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ronsk\Downloads\"/>
    </mc:Choice>
  </mc:AlternateContent>
  <xr:revisionPtr revIDLastSave="0" documentId="13_ncr:1_{3D130262-C1BF-437D-888E-96AC2C353B20}" xr6:coauthVersionLast="47" xr6:coauthVersionMax="47" xr10:uidLastSave="{00000000-0000-0000-0000-000000000000}"/>
  <bookViews>
    <workbookView xWindow="-120" yWindow="-120" windowWidth="38640" windowHeight="21120" tabRatio="500" xr2:uid="{00000000-000D-0000-FFFF-FFFF00000000}"/>
  </bookViews>
  <sheets>
    <sheet name="Sourcing" sheetId="1" r:id="rId1"/>
    <sheet name="Data" sheetId="2" r:id="rId2"/>
    <sheet name="Keepa" sheetId="3" r:id="rId3"/>
  </sheets>
  <definedNames>
    <definedName name="_xlnm._FilterDatabase" localSheetId="0" hidden="1">Sourcing!$A$1:$AG$1541</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155" i="1" l="1"/>
  <c r="P1155" i="1"/>
  <c r="O1155" i="1"/>
  <c r="I1155" i="1"/>
  <c r="F1155" i="1"/>
  <c r="Y1154" i="1"/>
  <c r="P1154" i="1"/>
  <c r="O1154" i="1"/>
  <c r="I1154" i="1"/>
  <c r="F1154" i="1"/>
  <c r="Y1153" i="1"/>
  <c r="P1153" i="1"/>
  <c r="O1153" i="1"/>
  <c r="I1153" i="1"/>
  <c r="F1153" i="1"/>
  <c r="Y1152" i="1"/>
  <c r="P1152" i="1"/>
  <c r="O1152" i="1"/>
  <c r="I1152" i="1"/>
  <c r="F1152" i="1"/>
  <c r="Y1151" i="1"/>
  <c r="P1151" i="1"/>
  <c r="O1151" i="1"/>
  <c r="I1151" i="1"/>
  <c r="F1151" i="1"/>
  <c r="Y1150" i="1"/>
  <c r="P1150" i="1"/>
  <c r="O1150" i="1"/>
  <c r="I1150" i="1"/>
  <c r="F1150" i="1"/>
  <c r="Y1149" i="1"/>
  <c r="P1149" i="1"/>
  <c r="O1149" i="1"/>
  <c r="I1149" i="1"/>
  <c r="F1149" i="1"/>
  <c r="Y909" i="1"/>
  <c r="P909" i="1"/>
  <c r="O909" i="1"/>
  <c r="I909" i="1"/>
  <c r="F909" i="1"/>
  <c r="Y261" i="1"/>
  <c r="P261" i="1"/>
  <c r="O261" i="1"/>
  <c r="I261" i="1"/>
  <c r="F261" i="1"/>
  <c r="Y139" i="1"/>
  <c r="P139" i="1"/>
  <c r="O139" i="1"/>
  <c r="I139" i="1"/>
  <c r="F139" i="1"/>
  <c r="Y130" i="1"/>
  <c r="P130" i="1"/>
  <c r="O130" i="1"/>
  <c r="I130" i="1"/>
  <c r="F130" i="1"/>
  <c r="Y121" i="1"/>
  <c r="P121" i="1"/>
  <c r="O121" i="1"/>
  <c r="I121" i="1"/>
  <c r="F121" i="1"/>
  <c r="Y141" i="1"/>
  <c r="P141" i="1"/>
  <c r="O141" i="1"/>
  <c r="I141" i="1"/>
  <c r="F141" i="1"/>
  <c r="Y1148" i="1"/>
  <c r="P1148" i="1"/>
  <c r="O1148" i="1"/>
  <c r="I1148" i="1"/>
  <c r="F1148" i="1"/>
  <c r="Y135" i="1"/>
  <c r="P135" i="1"/>
  <c r="O135" i="1"/>
  <c r="I135" i="1"/>
  <c r="F135" i="1"/>
  <c r="Y140" i="1"/>
  <c r="P140" i="1"/>
  <c r="O140" i="1"/>
  <c r="I140" i="1"/>
  <c r="F140" i="1"/>
  <c r="Y124" i="1"/>
  <c r="P124" i="1"/>
  <c r="O124" i="1"/>
  <c r="I124" i="1"/>
  <c r="F124" i="1"/>
  <c r="Y129" i="1"/>
  <c r="P129" i="1"/>
  <c r="O129" i="1"/>
  <c r="I129" i="1"/>
  <c r="F129" i="1"/>
  <c r="Y1147" i="1"/>
  <c r="P1147" i="1"/>
  <c r="O1147" i="1"/>
  <c r="I1147" i="1"/>
  <c r="F1147" i="1"/>
  <c r="Y1146" i="1"/>
  <c r="P1146" i="1"/>
  <c r="O1146" i="1"/>
  <c r="I1146" i="1"/>
  <c r="F1146" i="1"/>
  <c r="Y1145" i="1"/>
  <c r="P1145" i="1"/>
  <c r="O1145" i="1"/>
  <c r="I1145" i="1"/>
  <c r="F1145" i="1"/>
  <c r="Y929" i="1"/>
  <c r="P929" i="1"/>
  <c r="O929" i="1"/>
  <c r="I929" i="1"/>
  <c r="F929" i="1"/>
  <c r="Y903" i="1"/>
  <c r="P903" i="1"/>
  <c r="O903" i="1"/>
  <c r="I903" i="1"/>
  <c r="F903" i="1"/>
  <c r="Y812" i="1"/>
  <c r="P812" i="1"/>
  <c r="O812" i="1"/>
  <c r="I812" i="1"/>
  <c r="F812" i="1"/>
  <c r="Y919" i="1"/>
  <c r="P919" i="1"/>
  <c r="O919" i="1"/>
  <c r="I919" i="1"/>
  <c r="F919" i="1"/>
  <c r="Y1259" i="1"/>
  <c r="P1259" i="1"/>
  <c r="O1259" i="1"/>
  <c r="I1259" i="1"/>
  <c r="F1259" i="1"/>
  <c r="Y860" i="1"/>
  <c r="P860" i="1"/>
  <c r="O860" i="1"/>
  <c r="I860" i="1"/>
  <c r="F860" i="1"/>
  <c r="Y667" i="1"/>
  <c r="P667" i="1"/>
  <c r="O667" i="1"/>
  <c r="I667" i="1"/>
  <c r="F667" i="1"/>
  <c r="Y855" i="1"/>
  <c r="P855" i="1"/>
  <c r="O855" i="1"/>
  <c r="I855" i="1"/>
  <c r="F855" i="1"/>
  <c r="Y771" i="1"/>
  <c r="P771" i="1"/>
  <c r="O771" i="1"/>
  <c r="I771" i="1"/>
  <c r="F771" i="1"/>
  <c r="Y307" i="1"/>
  <c r="P307" i="1"/>
  <c r="O307" i="1"/>
  <c r="I307" i="1"/>
  <c r="F307" i="1"/>
  <c r="Y958" i="1"/>
  <c r="P958" i="1"/>
  <c r="O958" i="1"/>
  <c r="I958" i="1"/>
  <c r="F958" i="1"/>
  <c r="Y298" i="1"/>
  <c r="P298" i="1"/>
  <c r="O298" i="1"/>
  <c r="I298" i="1"/>
  <c r="F298" i="1"/>
  <c r="Y1376" i="1"/>
  <c r="P1376" i="1"/>
  <c r="O1376" i="1"/>
  <c r="I1376" i="1"/>
  <c r="F1376" i="1"/>
  <c r="Y673" i="1"/>
  <c r="P673" i="1"/>
  <c r="O673" i="1"/>
  <c r="I673" i="1"/>
  <c r="F673" i="1"/>
  <c r="Y1393" i="1"/>
  <c r="P1393" i="1"/>
  <c r="O1393" i="1"/>
  <c r="I1393" i="1"/>
  <c r="F1393" i="1"/>
  <c r="Y297" i="1"/>
  <c r="P297" i="1"/>
  <c r="O297" i="1"/>
  <c r="I297" i="1"/>
  <c r="F297" i="1"/>
  <c r="Y766" i="1"/>
  <c r="P766" i="1"/>
  <c r="O766" i="1"/>
  <c r="I766" i="1"/>
  <c r="F766" i="1"/>
  <c r="Y1250" i="1"/>
  <c r="P1250" i="1"/>
  <c r="O1250" i="1"/>
  <c r="I1250" i="1"/>
  <c r="F1250" i="1"/>
  <c r="Y1407" i="1"/>
  <c r="P1407" i="1"/>
  <c r="O1407" i="1"/>
  <c r="I1407" i="1"/>
  <c r="F1407" i="1"/>
  <c r="Y1164" i="1"/>
  <c r="P1164" i="1"/>
  <c r="O1164" i="1"/>
  <c r="I1164" i="1"/>
  <c r="F1164" i="1"/>
  <c r="Y967" i="1"/>
  <c r="P967" i="1"/>
  <c r="O967" i="1"/>
  <c r="I967" i="1"/>
  <c r="F967" i="1"/>
  <c r="Y880" i="1"/>
  <c r="P880" i="1"/>
  <c r="O880" i="1"/>
  <c r="I880" i="1"/>
  <c r="F880" i="1"/>
  <c r="Y1400" i="1"/>
  <c r="P1400" i="1"/>
  <c r="O1400" i="1"/>
  <c r="I1400" i="1"/>
  <c r="F1400" i="1"/>
  <c r="Y1360" i="1"/>
  <c r="P1360" i="1"/>
  <c r="O1360" i="1"/>
  <c r="I1360" i="1"/>
  <c r="F1360" i="1"/>
  <c r="Y1144" i="1"/>
  <c r="P1144" i="1"/>
  <c r="O1144" i="1"/>
  <c r="I1144" i="1"/>
  <c r="F1144" i="1"/>
  <c r="Y1143" i="1"/>
  <c r="P1143" i="1"/>
  <c r="O1143" i="1"/>
  <c r="I1143" i="1"/>
  <c r="F1143" i="1"/>
  <c r="Y1010" i="1"/>
  <c r="P1010" i="1"/>
  <c r="O1010" i="1"/>
  <c r="I1010" i="1"/>
  <c r="F1010" i="1"/>
  <c r="Y976" i="1"/>
  <c r="P976" i="1"/>
  <c r="O976" i="1"/>
  <c r="I976" i="1"/>
  <c r="F976" i="1"/>
  <c r="Y975" i="1"/>
  <c r="P975" i="1"/>
  <c r="O975" i="1"/>
  <c r="I975" i="1"/>
  <c r="F975" i="1"/>
  <c r="Y1498" i="1"/>
  <c r="P1498" i="1"/>
  <c r="O1498" i="1"/>
  <c r="I1498" i="1"/>
  <c r="F1498" i="1"/>
  <c r="Y1341" i="1"/>
  <c r="P1341" i="1"/>
  <c r="O1341" i="1"/>
  <c r="I1341" i="1"/>
  <c r="F1341" i="1"/>
  <c r="Y1142" i="1"/>
  <c r="P1142" i="1"/>
  <c r="O1142" i="1"/>
  <c r="I1142" i="1"/>
  <c r="F1142" i="1"/>
  <c r="Y85" i="1"/>
  <c r="P85" i="1"/>
  <c r="O85" i="1"/>
  <c r="I85" i="1"/>
  <c r="F85" i="1"/>
  <c r="Y137" i="1"/>
  <c r="P137" i="1"/>
  <c r="O137" i="1"/>
  <c r="I137" i="1"/>
  <c r="F137" i="1"/>
  <c r="Y799" i="1"/>
  <c r="P799" i="1"/>
  <c r="O799" i="1"/>
  <c r="I799" i="1"/>
  <c r="F799" i="1"/>
  <c r="Y362" i="1"/>
  <c r="P362" i="1"/>
  <c r="O362" i="1"/>
  <c r="I362" i="1"/>
  <c r="F362" i="1"/>
  <c r="Y158" i="1"/>
  <c r="P158" i="1"/>
  <c r="O158" i="1"/>
  <c r="I158" i="1"/>
  <c r="F158" i="1"/>
  <c r="Y475" i="1"/>
  <c r="P475" i="1"/>
  <c r="O475" i="1"/>
  <c r="I475" i="1"/>
  <c r="F475" i="1"/>
  <c r="Y461" i="1"/>
  <c r="P461" i="1"/>
  <c r="O461" i="1"/>
  <c r="I461" i="1"/>
  <c r="F461" i="1"/>
  <c r="Y695" i="1"/>
  <c r="P695" i="1"/>
  <c r="O695" i="1"/>
  <c r="I695" i="1"/>
  <c r="F695" i="1"/>
  <c r="Y686" i="1"/>
  <c r="P686" i="1"/>
  <c r="O686" i="1"/>
  <c r="I686" i="1"/>
  <c r="F686" i="1"/>
  <c r="Y694" i="1"/>
  <c r="P694" i="1"/>
  <c r="O694" i="1"/>
  <c r="I694" i="1"/>
  <c r="F694" i="1"/>
  <c r="Y498" i="1"/>
  <c r="P498" i="1"/>
  <c r="O498" i="1"/>
  <c r="I498" i="1"/>
  <c r="F498" i="1"/>
  <c r="Y387" i="1"/>
  <c r="P387" i="1"/>
  <c r="O387" i="1"/>
  <c r="I387" i="1"/>
  <c r="F387" i="1"/>
  <c r="Y386" i="1"/>
  <c r="P386" i="1"/>
  <c r="O386" i="1"/>
  <c r="I386" i="1"/>
  <c r="F386" i="1"/>
  <c r="Y1195" i="1"/>
  <c r="P1195" i="1"/>
  <c r="O1195" i="1"/>
  <c r="I1195" i="1"/>
  <c r="F1195" i="1"/>
  <c r="Y329" i="1"/>
  <c r="P329" i="1"/>
  <c r="O329" i="1"/>
  <c r="I329" i="1"/>
  <c r="F329" i="1"/>
  <c r="Y1226" i="1"/>
  <c r="P1226" i="1"/>
  <c r="O1226" i="1"/>
  <c r="I1226" i="1"/>
  <c r="F1226" i="1"/>
  <c r="Y1202" i="1"/>
  <c r="P1202" i="1"/>
  <c r="O1202" i="1"/>
  <c r="I1202" i="1"/>
  <c r="F1202" i="1"/>
  <c r="Y1180" i="1"/>
  <c r="P1180" i="1"/>
  <c r="O1180" i="1"/>
  <c r="I1180" i="1"/>
  <c r="F1180" i="1"/>
  <c r="Y28" i="1"/>
  <c r="P28" i="1"/>
  <c r="O28" i="1"/>
  <c r="I28" i="1"/>
  <c r="F28" i="1"/>
  <c r="Y813" i="1"/>
  <c r="P813" i="1"/>
  <c r="O813" i="1"/>
  <c r="I813" i="1"/>
  <c r="F813" i="1"/>
  <c r="Y231" i="1"/>
  <c r="P231" i="1"/>
  <c r="O231" i="1"/>
  <c r="I231" i="1"/>
  <c r="F231" i="1"/>
  <c r="Y822" i="1"/>
  <c r="P822" i="1"/>
  <c r="O822" i="1"/>
  <c r="I822" i="1"/>
  <c r="F822" i="1"/>
  <c r="Y7" i="1"/>
  <c r="P7" i="1"/>
  <c r="O7" i="1"/>
  <c r="I7" i="1"/>
  <c r="F7" i="1"/>
  <c r="Y779" i="1"/>
  <c r="P779" i="1"/>
  <c r="O779" i="1"/>
  <c r="I779" i="1"/>
  <c r="F779" i="1"/>
  <c r="Y479" i="1"/>
  <c r="P479" i="1"/>
  <c r="O479" i="1"/>
  <c r="I479" i="1"/>
  <c r="F479" i="1"/>
  <c r="Y66" i="1"/>
  <c r="P66" i="1"/>
  <c r="O66" i="1"/>
  <c r="I66" i="1"/>
  <c r="F66" i="1"/>
  <c r="Y744" i="1"/>
  <c r="P744" i="1"/>
  <c r="O744" i="1"/>
  <c r="I744" i="1"/>
  <c r="F744" i="1"/>
  <c r="Y98" i="1"/>
  <c r="P98" i="1"/>
  <c r="O98" i="1"/>
  <c r="I98" i="1"/>
  <c r="F98" i="1"/>
  <c r="Y99" i="1"/>
  <c r="P99" i="1"/>
  <c r="O99" i="1"/>
  <c r="I99" i="1"/>
  <c r="F99" i="1"/>
  <c r="Y102" i="1"/>
  <c r="P102" i="1"/>
  <c r="O102" i="1"/>
  <c r="I102" i="1"/>
  <c r="F102" i="1"/>
  <c r="Y798" i="1"/>
  <c r="P798" i="1"/>
  <c r="O798" i="1"/>
  <c r="I798" i="1"/>
  <c r="F798" i="1"/>
  <c r="Y1141" i="1"/>
  <c r="P1141" i="1"/>
  <c r="O1141" i="1"/>
  <c r="I1141" i="1"/>
  <c r="F1141" i="1"/>
  <c r="Y1140" i="1"/>
  <c r="P1140" i="1"/>
  <c r="O1140" i="1"/>
  <c r="I1140" i="1"/>
  <c r="F1140" i="1"/>
  <c r="Y53" i="1"/>
  <c r="P53" i="1"/>
  <c r="O53" i="1"/>
  <c r="I53" i="1"/>
  <c r="F53" i="1"/>
  <c r="Y118" i="1"/>
  <c r="P118" i="1"/>
  <c r="O118" i="1"/>
  <c r="I118" i="1"/>
  <c r="F118" i="1"/>
  <c r="Y174" i="1"/>
  <c r="P174" i="1"/>
  <c r="O174" i="1"/>
  <c r="I174" i="1"/>
  <c r="F174" i="1"/>
  <c r="Y1505" i="1"/>
  <c r="P1505" i="1"/>
  <c r="O1505" i="1"/>
  <c r="I1505" i="1"/>
  <c r="F1505" i="1"/>
  <c r="Y977" i="1"/>
  <c r="P977" i="1"/>
  <c r="O977" i="1"/>
  <c r="I977" i="1"/>
  <c r="F977" i="1"/>
  <c r="Y250" i="1"/>
  <c r="P250" i="1"/>
  <c r="O250" i="1"/>
  <c r="I250" i="1"/>
  <c r="F250" i="1"/>
  <c r="Y1276" i="1"/>
  <c r="P1276" i="1"/>
  <c r="O1276" i="1"/>
  <c r="I1276" i="1"/>
  <c r="F1276" i="1"/>
  <c r="Y1275" i="1"/>
  <c r="P1275" i="1"/>
  <c r="O1275" i="1"/>
  <c r="I1275" i="1"/>
  <c r="F1275" i="1"/>
  <c r="Y1371" i="1"/>
  <c r="P1371" i="1"/>
  <c r="O1371" i="1"/>
  <c r="I1371" i="1"/>
  <c r="F1371" i="1"/>
  <c r="Y1270" i="1"/>
  <c r="P1270" i="1"/>
  <c r="O1270" i="1"/>
  <c r="I1270" i="1"/>
  <c r="F1270" i="1"/>
  <c r="Y1267" i="1"/>
  <c r="P1267" i="1"/>
  <c r="O1267" i="1"/>
  <c r="I1267" i="1"/>
  <c r="F1267" i="1"/>
  <c r="Y1269" i="1"/>
  <c r="P1269" i="1"/>
  <c r="O1269" i="1"/>
  <c r="I1269" i="1"/>
  <c r="F1269" i="1"/>
  <c r="Y554" i="1"/>
  <c r="P554" i="1"/>
  <c r="O554" i="1"/>
  <c r="I554" i="1"/>
  <c r="F554" i="1"/>
  <c r="Y407" i="1"/>
  <c r="P407" i="1"/>
  <c r="O407" i="1"/>
  <c r="I407" i="1"/>
  <c r="F407" i="1"/>
  <c r="Y548" i="1"/>
  <c r="P548" i="1"/>
  <c r="O548" i="1"/>
  <c r="I548" i="1"/>
  <c r="F548" i="1"/>
  <c r="Y414" i="1"/>
  <c r="P414" i="1"/>
  <c r="O414" i="1"/>
  <c r="I414" i="1"/>
  <c r="F414" i="1"/>
  <c r="Y547" i="1"/>
  <c r="P547" i="1"/>
  <c r="O547" i="1"/>
  <c r="I547" i="1"/>
  <c r="F547" i="1"/>
  <c r="Y557" i="1"/>
  <c r="P557" i="1"/>
  <c r="O557" i="1"/>
  <c r="I557" i="1"/>
  <c r="F557" i="1"/>
  <c r="Y1499" i="1"/>
  <c r="P1499" i="1"/>
  <c r="O1499" i="1"/>
  <c r="I1499" i="1"/>
  <c r="F1499" i="1"/>
  <c r="Y1199" i="1"/>
  <c r="P1199" i="1"/>
  <c r="O1199" i="1"/>
  <c r="I1199" i="1"/>
  <c r="F1199" i="1"/>
  <c r="Y177" i="1"/>
  <c r="P177" i="1"/>
  <c r="O177" i="1"/>
  <c r="I177" i="1"/>
  <c r="F177" i="1"/>
  <c r="Y509" i="1"/>
  <c r="P509" i="1"/>
  <c r="O509" i="1"/>
  <c r="I509" i="1"/>
  <c r="F509" i="1"/>
  <c r="Y1312" i="1"/>
  <c r="P1312" i="1"/>
  <c r="O1312" i="1"/>
  <c r="I1312" i="1"/>
  <c r="F1312" i="1"/>
  <c r="Y1429" i="1"/>
  <c r="P1429" i="1"/>
  <c r="O1429" i="1"/>
  <c r="I1429" i="1"/>
  <c r="F1429" i="1"/>
  <c r="Y1441" i="1"/>
  <c r="P1441" i="1"/>
  <c r="O1441" i="1"/>
  <c r="I1441" i="1"/>
  <c r="F1441" i="1"/>
  <c r="Y1428" i="1"/>
  <c r="P1428" i="1"/>
  <c r="O1428" i="1"/>
  <c r="I1428" i="1"/>
  <c r="F1428" i="1"/>
  <c r="Y801" i="1"/>
  <c r="P801" i="1"/>
  <c r="O801" i="1"/>
  <c r="I801" i="1"/>
  <c r="F801" i="1"/>
  <c r="Y238" i="1"/>
  <c r="P238" i="1"/>
  <c r="O238" i="1"/>
  <c r="I238" i="1"/>
  <c r="F238" i="1"/>
  <c r="Y1139" i="1"/>
  <c r="P1139" i="1"/>
  <c r="O1139" i="1"/>
  <c r="I1139" i="1"/>
  <c r="F1139" i="1"/>
  <c r="Y154" i="1"/>
  <c r="P154" i="1"/>
  <c r="O154" i="1"/>
  <c r="I154" i="1"/>
  <c r="F154" i="1"/>
  <c r="Y88" i="1"/>
  <c r="P88" i="1"/>
  <c r="O88" i="1"/>
  <c r="I88" i="1"/>
  <c r="F88" i="1"/>
  <c r="Y87" i="1"/>
  <c r="P87" i="1"/>
  <c r="O87" i="1"/>
  <c r="I87" i="1"/>
  <c r="F87" i="1"/>
  <c r="Y153" i="1"/>
  <c r="P153" i="1"/>
  <c r="O153" i="1"/>
  <c r="I153" i="1"/>
  <c r="F153" i="1"/>
  <c r="Y144" i="1"/>
  <c r="P144" i="1"/>
  <c r="O144" i="1"/>
  <c r="I144" i="1"/>
  <c r="F144" i="1"/>
  <c r="Y592" i="1"/>
  <c r="P592" i="1"/>
  <c r="O592" i="1"/>
  <c r="I592" i="1"/>
  <c r="F592" i="1"/>
  <c r="Y631" i="1"/>
  <c r="P631" i="1"/>
  <c r="O631" i="1"/>
  <c r="I631" i="1"/>
  <c r="F631" i="1"/>
  <c r="Y559" i="1"/>
  <c r="P559" i="1"/>
  <c r="O559" i="1"/>
  <c r="I559" i="1"/>
  <c r="F559" i="1"/>
  <c r="Y829" i="1"/>
  <c r="P829" i="1"/>
  <c r="O829" i="1"/>
  <c r="I829" i="1"/>
  <c r="F829" i="1"/>
  <c r="Y1530" i="1"/>
  <c r="P1530" i="1"/>
  <c r="O1530" i="1"/>
  <c r="I1530" i="1"/>
  <c r="F1530" i="1"/>
  <c r="Y1183" i="1"/>
  <c r="P1183" i="1"/>
  <c r="O1183" i="1"/>
  <c r="I1183" i="1"/>
  <c r="F1183" i="1"/>
  <c r="Y270" i="1"/>
  <c r="P270" i="1"/>
  <c r="O270" i="1"/>
  <c r="I270" i="1"/>
  <c r="F270" i="1"/>
  <c r="Y354" i="1"/>
  <c r="P354" i="1"/>
  <c r="O354" i="1"/>
  <c r="I354" i="1"/>
  <c r="F354" i="1"/>
  <c r="Y501" i="1"/>
  <c r="P501" i="1"/>
  <c r="O501" i="1"/>
  <c r="I501" i="1"/>
  <c r="F501" i="1"/>
  <c r="Y18" i="1"/>
  <c r="P18" i="1"/>
  <c r="O18" i="1"/>
  <c r="I18" i="1"/>
  <c r="F18" i="1"/>
  <c r="Y16" i="1"/>
  <c r="P16" i="1"/>
  <c r="O16" i="1"/>
  <c r="I16" i="1"/>
  <c r="F16" i="1"/>
  <c r="Y23" i="1"/>
  <c r="P23" i="1"/>
  <c r="O23" i="1"/>
  <c r="I23" i="1"/>
  <c r="F23" i="1"/>
  <c r="Y11" i="1"/>
  <c r="P11" i="1"/>
  <c r="O11" i="1"/>
  <c r="I11" i="1"/>
  <c r="F11" i="1"/>
  <c r="Y5" i="1"/>
  <c r="P5" i="1"/>
  <c r="O5" i="1"/>
  <c r="I5" i="1"/>
  <c r="F5" i="1"/>
  <c r="Y15" i="1"/>
  <c r="P15" i="1"/>
  <c r="O15" i="1"/>
  <c r="I15" i="1"/>
  <c r="F15" i="1"/>
  <c r="Y6" i="1"/>
  <c r="P6" i="1"/>
  <c r="O6" i="1"/>
  <c r="I6" i="1"/>
  <c r="F6" i="1"/>
  <c r="Y29" i="1"/>
  <c r="P29" i="1"/>
  <c r="O29" i="1"/>
  <c r="I29" i="1"/>
  <c r="F29" i="1"/>
  <c r="Y1452" i="1"/>
  <c r="P1452" i="1"/>
  <c r="O1452" i="1"/>
  <c r="I1452" i="1"/>
  <c r="F1452" i="1"/>
  <c r="Y1424" i="1"/>
  <c r="P1424" i="1"/>
  <c r="O1424" i="1"/>
  <c r="I1424" i="1"/>
  <c r="F1424" i="1"/>
  <c r="Y1397" i="1"/>
  <c r="P1397" i="1"/>
  <c r="O1397" i="1"/>
  <c r="I1397" i="1"/>
  <c r="F1397" i="1"/>
  <c r="Y1396" i="1"/>
  <c r="P1396" i="1"/>
  <c r="O1396" i="1"/>
  <c r="I1396" i="1"/>
  <c r="F1396" i="1"/>
  <c r="Y1451" i="1"/>
  <c r="P1451" i="1"/>
  <c r="O1451" i="1"/>
  <c r="I1451" i="1"/>
  <c r="F1451" i="1"/>
  <c r="Y1395" i="1"/>
  <c r="P1395" i="1"/>
  <c r="O1395" i="1"/>
  <c r="I1395" i="1"/>
  <c r="F1395" i="1"/>
  <c r="Y1450" i="1"/>
  <c r="P1450" i="1"/>
  <c r="O1450" i="1"/>
  <c r="I1450" i="1"/>
  <c r="F1450" i="1"/>
  <c r="Y596" i="1"/>
  <c r="P596" i="1"/>
  <c r="O596" i="1"/>
  <c r="I596" i="1"/>
  <c r="F596" i="1"/>
  <c r="Y1323" i="1"/>
  <c r="P1323" i="1"/>
  <c r="O1323" i="1"/>
  <c r="I1323" i="1"/>
  <c r="F1323" i="1"/>
  <c r="Y1322" i="1"/>
  <c r="P1322" i="1"/>
  <c r="O1322" i="1"/>
  <c r="I1322" i="1"/>
  <c r="F1322" i="1"/>
  <c r="Y610" i="1"/>
  <c r="P610" i="1"/>
  <c r="O610" i="1"/>
  <c r="I610" i="1"/>
  <c r="F610" i="1"/>
  <c r="Y1313" i="1"/>
  <c r="P1313" i="1"/>
  <c r="O1313" i="1"/>
  <c r="I1313" i="1"/>
  <c r="F1313" i="1"/>
  <c r="Y704" i="1"/>
  <c r="P704" i="1"/>
  <c r="O704" i="1"/>
  <c r="I704" i="1"/>
  <c r="F704" i="1"/>
  <c r="Y170" i="1"/>
  <c r="P170" i="1"/>
  <c r="O170" i="1"/>
  <c r="I170" i="1"/>
  <c r="F170" i="1"/>
  <c r="Y217" i="1"/>
  <c r="P217" i="1"/>
  <c r="O217" i="1"/>
  <c r="I217" i="1"/>
  <c r="F217" i="1"/>
  <c r="Y381" i="1"/>
  <c r="P381" i="1"/>
  <c r="O381" i="1"/>
  <c r="I381" i="1"/>
  <c r="F381" i="1"/>
  <c r="Y971" i="1"/>
  <c r="P971" i="1"/>
  <c r="O971" i="1"/>
  <c r="I971" i="1"/>
  <c r="F971" i="1"/>
  <c r="Y456" i="1"/>
  <c r="P456" i="1"/>
  <c r="O456" i="1"/>
  <c r="I456" i="1"/>
  <c r="F456" i="1"/>
  <c r="Y446" i="1"/>
  <c r="P446" i="1"/>
  <c r="O446" i="1"/>
  <c r="I446" i="1"/>
  <c r="F446" i="1"/>
  <c r="Y246" i="1"/>
  <c r="P246" i="1"/>
  <c r="O246" i="1"/>
  <c r="I246" i="1"/>
  <c r="F246" i="1"/>
  <c r="Y1513" i="1"/>
  <c r="P1513" i="1"/>
  <c r="O1513" i="1"/>
  <c r="I1513" i="1"/>
  <c r="F1513" i="1"/>
  <c r="Y1419" i="1"/>
  <c r="P1419" i="1"/>
  <c r="O1419" i="1"/>
  <c r="I1419" i="1"/>
  <c r="F1419" i="1"/>
  <c r="Y1418" i="1"/>
  <c r="P1418" i="1"/>
  <c r="O1418" i="1"/>
  <c r="I1418" i="1"/>
  <c r="F1418" i="1"/>
  <c r="Y1408" i="1"/>
  <c r="P1408" i="1"/>
  <c r="O1408" i="1"/>
  <c r="I1408" i="1"/>
  <c r="F1408" i="1"/>
  <c r="Y10" i="1"/>
  <c r="P10" i="1"/>
  <c r="O10" i="1"/>
  <c r="I10" i="1"/>
  <c r="F10" i="1"/>
  <c r="Y8" i="1"/>
  <c r="P8" i="1"/>
  <c r="O8" i="1"/>
  <c r="I8" i="1"/>
  <c r="F8" i="1"/>
  <c r="Y31" i="1"/>
  <c r="P31" i="1"/>
  <c r="O31" i="1"/>
  <c r="I31" i="1"/>
  <c r="F31" i="1"/>
  <c r="Y40" i="1"/>
  <c r="P40" i="1"/>
  <c r="O40" i="1"/>
  <c r="I40" i="1"/>
  <c r="F40" i="1"/>
  <c r="Y30" i="1"/>
  <c r="P30" i="1"/>
  <c r="O30" i="1"/>
  <c r="I30" i="1"/>
  <c r="F30" i="1"/>
  <c r="Y1528" i="1"/>
  <c r="P1528" i="1"/>
  <c r="O1528" i="1"/>
  <c r="I1528" i="1"/>
  <c r="F1528" i="1"/>
  <c r="Y81" i="1"/>
  <c r="P81" i="1"/>
  <c r="O81" i="1"/>
  <c r="I81" i="1"/>
  <c r="F81" i="1"/>
  <c r="Y95" i="1"/>
  <c r="P95" i="1"/>
  <c r="O95" i="1"/>
  <c r="I95" i="1"/>
  <c r="F95" i="1"/>
  <c r="Y54" i="1"/>
  <c r="P54" i="1"/>
  <c r="O54" i="1"/>
  <c r="I54" i="1"/>
  <c r="F54" i="1"/>
  <c r="Y613" i="1"/>
  <c r="P613" i="1"/>
  <c r="O613" i="1"/>
  <c r="I613" i="1"/>
  <c r="F613" i="1"/>
  <c r="Y878" i="1"/>
  <c r="P878" i="1"/>
  <c r="O878" i="1"/>
  <c r="I878" i="1"/>
  <c r="F878" i="1"/>
  <c r="Y1509" i="1"/>
  <c r="P1509" i="1"/>
  <c r="O1509" i="1"/>
  <c r="I1509" i="1"/>
  <c r="F1509" i="1"/>
  <c r="Y56" i="1"/>
  <c r="P56" i="1"/>
  <c r="O56" i="1"/>
  <c r="I56" i="1"/>
  <c r="F56" i="1"/>
  <c r="Y1168" i="1"/>
  <c r="P1168" i="1"/>
  <c r="O1168" i="1"/>
  <c r="I1168" i="1"/>
  <c r="F1168" i="1"/>
  <c r="Y814" i="1"/>
  <c r="P814" i="1"/>
  <c r="O814" i="1"/>
  <c r="I814" i="1"/>
  <c r="F814" i="1"/>
  <c r="Y229" i="1"/>
  <c r="P229" i="1"/>
  <c r="O229" i="1"/>
  <c r="I229" i="1"/>
  <c r="F229" i="1"/>
  <c r="Y212" i="1"/>
  <c r="P212" i="1"/>
  <c r="O212" i="1"/>
  <c r="I212" i="1"/>
  <c r="F212" i="1"/>
  <c r="Y254" i="1"/>
  <c r="P254" i="1"/>
  <c r="O254" i="1"/>
  <c r="I254" i="1"/>
  <c r="F254" i="1"/>
  <c r="Y206" i="1"/>
  <c r="P206" i="1"/>
  <c r="O206" i="1"/>
  <c r="I206" i="1"/>
  <c r="F206" i="1"/>
  <c r="Y1138" i="1"/>
  <c r="P1138" i="1"/>
  <c r="O1138" i="1"/>
  <c r="I1138" i="1"/>
  <c r="F1138" i="1"/>
  <c r="Y376" i="1"/>
  <c r="P376" i="1"/>
  <c r="O376" i="1"/>
  <c r="I376" i="1"/>
  <c r="F376" i="1"/>
  <c r="Y375" i="1"/>
  <c r="P375" i="1"/>
  <c r="O375" i="1"/>
  <c r="I375" i="1"/>
  <c r="F375" i="1"/>
  <c r="Y1175" i="1"/>
  <c r="P1175" i="1"/>
  <c r="O1175" i="1"/>
  <c r="I1175" i="1"/>
  <c r="F1175" i="1"/>
  <c r="Y444" i="1"/>
  <c r="P444" i="1"/>
  <c r="O444" i="1"/>
  <c r="I444" i="1"/>
  <c r="F444" i="1"/>
  <c r="Y260" i="1"/>
  <c r="P260" i="1"/>
  <c r="O260" i="1"/>
  <c r="I260" i="1"/>
  <c r="F260" i="1"/>
  <c r="Y255" i="1"/>
  <c r="P255" i="1"/>
  <c r="O255" i="1"/>
  <c r="I255" i="1"/>
  <c r="F255" i="1"/>
  <c r="Y1403" i="1"/>
  <c r="P1403" i="1"/>
  <c r="O1403" i="1"/>
  <c r="I1403" i="1"/>
  <c r="F1403" i="1"/>
  <c r="Y1137" i="1"/>
  <c r="P1137" i="1"/>
  <c r="O1137" i="1"/>
  <c r="I1137" i="1"/>
  <c r="F1137" i="1"/>
  <c r="Y832" i="1"/>
  <c r="P832" i="1"/>
  <c r="O832" i="1"/>
  <c r="I832" i="1"/>
  <c r="F832" i="1"/>
  <c r="Y653" i="1"/>
  <c r="P653" i="1"/>
  <c r="O653" i="1"/>
  <c r="I653" i="1"/>
  <c r="F653" i="1"/>
  <c r="Y366" i="1"/>
  <c r="P366" i="1"/>
  <c r="O366" i="1"/>
  <c r="I366" i="1"/>
  <c r="F366" i="1"/>
  <c r="Y1256" i="1"/>
  <c r="P1256" i="1"/>
  <c r="O1256" i="1"/>
  <c r="I1256" i="1"/>
  <c r="F1256" i="1"/>
  <c r="Y1255" i="1"/>
  <c r="P1255" i="1"/>
  <c r="O1255" i="1"/>
  <c r="I1255" i="1"/>
  <c r="F1255" i="1"/>
  <c r="Y494" i="1"/>
  <c r="P494" i="1"/>
  <c r="O494" i="1"/>
  <c r="I494" i="1"/>
  <c r="F494" i="1"/>
  <c r="Y1300" i="1"/>
  <c r="P1300" i="1"/>
  <c r="O1300" i="1"/>
  <c r="I1300" i="1"/>
  <c r="F1300" i="1"/>
  <c r="Y1254" i="1"/>
  <c r="P1254" i="1"/>
  <c r="O1254" i="1"/>
  <c r="I1254" i="1"/>
  <c r="F1254" i="1"/>
  <c r="Y1258" i="1"/>
  <c r="P1258" i="1"/>
  <c r="O1258" i="1"/>
  <c r="I1258" i="1"/>
  <c r="F1258" i="1"/>
  <c r="Y1279" i="1"/>
  <c r="P1279" i="1"/>
  <c r="O1279" i="1"/>
  <c r="I1279" i="1"/>
  <c r="F1279" i="1"/>
  <c r="Y952" i="1"/>
  <c r="P952" i="1"/>
  <c r="O952" i="1"/>
  <c r="I952" i="1"/>
  <c r="F952" i="1"/>
  <c r="Y1253" i="1"/>
  <c r="P1253" i="1"/>
  <c r="O1253" i="1"/>
  <c r="I1253" i="1"/>
  <c r="F1253" i="1"/>
  <c r="Y1252" i="1"/>
  <c r="P1252" i="1"/>
  <c r="O1252" i="1"/>
  <c r="I1252" i="1"/>
  <c r="F1252" i="1"/>
  <c r="Y462" i="1"/>
  <c r="P462" i="1"/>
  <c r="O462" i="1"/>
  <c r="I462" i="1"/>
  <c r="F462" i="1"/>
  <c r="Y253" i="1"/>
  <c r="P253" i="1"/>
  <c r="O253" i="1"/>
  <c r="I253" i="1"/>
  <c r="F253" i="1"/>
  <c r="Y781" i="1"/>
  <c r="P781" i="1"/>
  <c r="O781" i="1"/>
  <c r="I781" i="1"/>
  <c r="F781" i="1"/>
  <c r="Y244" i="1"/>
  <c r="P244" i="1"/>
  <c r="O244" i="1"/>
  <c r="I244" i="1"/>
  <c r="F244" i="1"/>
  <c r="Y252" i="1"/>
  <c r="P252" i="1"/>
  <c r="O252" i="1"/>
  <c r="I252" i="1"/>
  <c r="F252" i="1"/>
  <c r="Y243" i="1"/>
  <c r="P243" i="1"/>
  <c r="O243" i="1"/>
  <c r="I243" i="1"/>
  <c r="F243" i="1"/>
  <c r="Y242" i="1"/>
  <c r="P242" i="1"/>
  <c r="O242" i="1"/>
  <c r="I242" i="1"/>
  <c r="F242" i="1"/>
  <c r="Y879" i="1"/>
  <c r="P879" i="1"/>
  <c r="O879" i="1"/>
  <c r="I879" i="1"/>
  <c r="F879" i="1"/>
  <c r="Y825" i="1"/>
  <c r="P825" i="1"/>
  <c r="O825" i="1"/>
  <c r="I825" i="1"/>
  <c r="F825" i="1"/>
  <c r="Y437" i="1"/>
  <c r="P437" i="1"/>
  <c r="O437" i="1"/>
  <c r="I437" i="1"/>
  <c r="F437" i="1"/>
  <c r="Y864" i="1"/>
  <c r="P864" i="1"/>
  <c r="O864" i="1"/>
  <c r="I864" i="1"/>
  <c r="F864" i="1"/>
  <c r="Y859" i="1"/>
  <c r="P859" i="1"/>
  <c r="O859" i="1"/>
  <c r="I859" i="1"/>
  <c r="F859" i="1"/>
  <c r="Y874" i="1"/>
  <c r="P874" i="1"/>
  <c r="O874" i="1"/>
  <c r="I874" i="1"/>
  <c r="F874" i="1"/>
  <c r="Y863" i="1"/>
  <c r="P863" i="1"/>
  <c r="O863" i="1"/>
  <c r="I863" i="1"/>
  <c r="F863" i="1"/>
  <c r="Y853" i="1"/>
  <c r="P853" i="1"/>
  <c r="O853" i="1"/>
  <c r="I853" i="1"/>
  <c r="F853" i="1"/>
  <c r="Y873" i="1"/>
  <c r="P873" i="1"/>
  <c r="O873" i="1"/>
  <c r="I873" i="1"/>
  <c r="F873" i="1"/>
  <c r="Y852" i="1"/>
  <c r="P852" i="1"/>
  <c r="O852" i="1"/>
  <c r="I852" i="1"/>
  <c r="F852" i="1"/>
  <c r="Y1536" i="1"/>
  <c r="P1536" i="1"/>
  <c r="O1536" i="1"/>
  <c r="I1536" i="1"/>
  <c r="F1536" i="1"/>
  <c r="Y1523" i="1"/>
  <c r="P1523" i="1"/>
  <c r="O1523" i="1"/>
  <c r="I1523" i="1"/>
  <c r="F1523" i="1"/>
  <c r="Y1522" i="1"/>
  <c r="P1522" i="1"/>
  <c r="O1522" i="1"/>
  <c r="I1522" i="1"/>
  <c r="F1522" i="1"/>
  <c r="Y1533" i="1"/>
  <c r="P1533" i="1"/>
  <c r="O1533" i="1"/>
  <c r="I1533" i="1"/>
  <c r="F1533" i="1"/>
  <c r="Y1520" i="1"/>
  <c r="P1520" i="1"/>
  <c r="O1520" i="1"/>
  <c r="I1520" i="1"/>
  <c r="F1520" i="1"/>
  <c r="Y1534" i="1"/>
  <c r="P1534" i="1"/>
  <c r="O1534" i="1"/>
  <c r="I1534" i="1"/>
  <c r="F1534" i="1"/>
  <c r="Y1526" i="1"/>
  <c r="P1526" i="1"/>
  <c r="O1526" i="1"/>
  <c r="I1526" i="1"/>
  <c r="F1526" i="1"/>
  <c r="Y1491" i="1"/>
  <c r="P1491" i="1"/>
  <c r="O1491" i="1"/>
  <c r="I1491" i="1"/>
  <c r="F1491" i="1"/>
  <c r="Y1277" i="1"/>
  <c r="P1277" i="1"/>
  <c r="O1277" i="1"/>
  <c r="I1277" i="1"/>
  <c r="F1277" i="1"/>
  <c r="Y960" i="1"/>
  <c r="P960" i="1"/>
  <c r="O960" i="1"/>
  <c r="I960" i="1"/>
  <c r="F960" i="1"/>
  <c r="Y1278" i="1"/>
  <c r="P1278" i="1"/>
  <c r="O1278" i="1"/>
  <c r="I1278" i="1"/>
  <c r="F1278" i="1"/>
  <c r="Y794" i="1"/>
  <c r="P794" i="1"/>
  <c r="O794" i="1"/>
  <c r="I794" i="1"/>
  <c r="F794" i="1"/>
  <c r="Y1512" i="1"/>
  <c r="P1512" i="1"/>
  <c r="O1512" i="1"/>
  <c r="I1512" i="1"/>
  <c r="F1512" i="1"/>
  <c r="Y1391" i="1"/>
  <c r="P1391" i="1"/>
  <c r="O1391" i="1"/>
  <c r="I1391" i="1"/>
  <c r="F1391" i="1"/>
  <c r="Y1524" i="1"/>
  <c r="P1524" i="1"/>
  <c r="O1524" i="1"/>
  <c r="I1524" i="1"/>
  <c r="F1524" i="1"/>
  <c r="Y1314" i="1"/>
  <c r="P1314" i="1"/>
  <c r="O1314" i="1"/>
  <c r="I1314" i="1"/>
  <c r="F1314" i="1"/>
  <c r="Y485" i="1"/>
  <c r="P485" i="1"/>
  <c r="O485" i="1"/>
  <c r="I485" i="1"/>
  <c r="F485" i="1"/>
  <c r="Y1246" i="1"/>
  <c r="P1246" i="1"/>
  <c r="O1246" i="1"/>
  <c r="I1246" i="1"/>
  <c r="F1246" i="1"/>
  <c r="Y1174" i="1"/>
  <c r="P1174" i="1"/>
  <c r="O1174" i="1"/>
  <c r="I1174" i="1"/>
  <c r="F1174" i="1"/>
  <c r="Y1136" i="1"/>
  <c r="P1136" i="1"/>
  <c r="O1136" i="1"/>
  <c r="I1136" i="1"/>
  <c r="F1136" i="1"/>
  <c r="Y1135" i="1"/>
  <c r="P1135" i="1"/>
  <c r="O1135" i="1"/>
  <c r="I1135" i="1"/>
  <c r="F1135" i="1"/>
  <c r="Y163" i="1"/>
  <c r="P163" i="1"/>
  <c r="O163" i="1"/>
  <c r="I163" i="1"/>
  <c r="F163" i="1"/>
  <c r="Y305" i="1"/>
  <c r="P305" i="1"/>
  <c r="O305" i="1"/>
  <c r="I305" i="1"/>
  <c r="F305" i="1"/>
  <c r="Y214" i="1"/>
  <c r="P214" i="1"/>
  <c r="O214" i="1"/>
  <c r="I214" i="1"/>
  <c r="F214" i="1"/>
  <c r="Y84" i="1"/>
  <c r="P84" i="1"/>
  <c r="O84" i="1"/>
  <c r="I84" i="1"/>
  <c r="F84" i="1"/>
  <c r="Y514" i="1"/>
  <c r="P514" i="1"/>
  <c r="O514" i="1"/>
  <c r="I514" i="1"/>
  <c r="F514" i="1"/>
  <c r="Y1166" i="1"/>
  <c r="P1166" i="1"/>
  <c r="O1166" i="1"/>
  <c r="I1166" i="1"/>
  <c r="F1166" i="1"/>
  <c r="Y1511" i="1"/>
  <c r="P1511" i="1"/>
  <c r="O1511" i="1"/>
  <c r="I1511" i="1"/>
  <c r="F1511" i="1"/>
  <c r="Y1134" i="1"/>
  <c r="P1134" i="1"/>
  <c r="O1134" i="1"/>
  <c r="I1134" i="1"/>
  <c r="F1134" i="1"/>
  <c r="Y1133" i="1"/>
  <c r="P1133" i="1"/>
  <c r="O1133" i="1"/>
  <c r="I1133" i="1"/>
  <c r="F1133" i="1"/>
  <c r="Y20" i="1"/>
  <c r="P20" i="1"/>
  <c r="O20" i="1"/>
  <c r="I20" i="1"/>
  <c r="F20" i="1"/>
  <c r="Y49" i="1"/>
  <c r="P49" i="1"/>
  <c r="O49" i="1"/>
  <c r="I49" i="1"/>
  <c r="F49" i="1"/>
  <c r="Y58" i="1"/>
  <c r="P58" i="1"/>
  <c r="O58" i="1"/>
  <c r="I58" i="1"/>
  <c r="F58" i="1"/>
  <c r="Y890" i="1"/>
  <c r="P890" i="1"/>
  <c r="O890" i="1"/>
  <c r="I890" i="1"/>
  <c r="F890" i="1"/>
  <c r="Y598" i="1"/>
  <c r="P598" i="1"/>
  <c r="O598" i="1"/>
  <c r="I598" i="1"/>
  <c r="F598" i="1"/>
  <c r="Y681" i="1"/>
  <c r="P681" i="1"/>
  <c r="O681" i="1"/>
  <c r="I681" i="1"/>
  <c r="F681" i="1"/>
  <c r="Y979" i="1"/>
  <c r="P979" i="1"/>
  <c r="O979" i="1"/>
  <c r="I979" i="1"/>
  <c r="F979" i="1"/>
  <c r="Y981" i="1"/>
  <c r="P981" i="1"/>
  <c r="O981" i="1"/>
  <c r="I981" i="1"/>
  <c r="F981" i="1"/>
  <c r="Y817" i="1"/>
  <c r="P817" i="1"/>
  <c r="O817" i="1"/>
  <c r="I817" i="1"/>
  <c r="F817" i="1"/>
  <c r="Y201" i="1"/>
  <c r="P201" i="1"/>
  <c r="O201" i="1"/>
  <c r="I201" i="1"/>
  <c r="F201" i="1"/>
  <c r="Y409" i="1"/>
  <c r="P409" i="1"/>
  <c r="O409" i="1"/>
  <c r="I409" i="1"/>
  <c r="F409" i="1"/>
  <c r="Y972" i="1"/>
  <c r="P972" i="1"/>
  <c r="O972" i="1"/>
  <c r="I972" i="1"/>
  <c r="F972" i="1"/>
  <c r="Y916" i="1"/>
  <c r="P916" i="1"/>
  <c r="O916" i="1"/>
  <c r="I916" i="1"/>
  <c r="F916" i="1"/>
  <c r="Y970" i="1"/>
  <c r="P970" i="1"/>
  <c r="O970" i="1"/>
  <c r="I970" i="1"/>
  <c r="F970" i="1"/>
  <c r="Y734" i="1"/>
  <c r="P734" i="1"/>
  <c r="O734" i="1"/>
  <c r="I734" i="1"/>
  <c r="F734" i="1"/>
  <c r="Y625" i="1"/>
  <c r="P625" i="1"/>
  <c r="O625" i="1"/>
  <c r="I625" i="1"/>
  <c r="F625" i="1"/>
  <c r="Y733" i="1"/>
  <c r="P733" i="1"/>
  <c r="O733" i="1"/>
  <c r="I733" i="1"/>
  <c r="F733" i="1"/>
  <c r="Y1329" i="1"/>
  <c r="P1329" i="1"/>
  <c r="O1329" i="1"/>
  <c r="I1329" i="1"/>
  <c r="F1329" i="1"/>
  <c r="Y1328" i="1"/>
  <c r="P1328" i="1"/>
  <c r="O1328" i="1"/>
  <c r="I1328" i="1"/>
  <c r="F1328" i="1"/>
  <c r="Y1327" i="1"/>
  <c r="P1327" i="1"/>
  <c r="O1327" i="1"/>
  <c r="I1327" i="1"/>
  <c r="F1327" i="1"/>
  <c r="Y742" i="1"/>
  <c r="P742" i="1"/>
  <c r="O742" i="1"/>
  <c r="I742" i="1"/>
  <c r="F742" i="1"/>
  <c r="Y1326" i="1"/>
  <c r="P1326" i="1"/>
  <c r="O1326" i="1"/>
  <c r="I1326" i="1"/>
  <c r="F1326" i="1"/>
  <c r="Y1325" i="1"/>
  <c r="P1325" i="1"/>
  <c r="O1325" i="1"/>
  <c r="I1325" i="1"/>
  <c r="F1325" i="1"/>
  <c r="Y591" i="1"/>
  <c r="P591" i="1"/>
  <c r="O591" i="1"/>
  <c r="I591" i="1"/>
  <c r="F591" i="1"/>
  <c r="Y1316" i="1"/>
  <c r="P1316" i="1"/>
  <c r="O1316" i="1"/>
  <c r="I1316" i="1"/>
  <c r="F1316" i="1"/>
  <c r="Y728" i="1"/>
  <c r="P728" i="1"/>
  <c r="O728" i="1"/>
  <c r="I728" i="1"/>
  <c r="F728" i="1"/>
  <c r="Y1420" i="1"/>
  <c r="P1420" i="1"/>
  <c r="O1420" i="1"/>
  <c r="I1420" i="1"/>
  <c r="F1420" i="1"/>
  <c r="Y1538" i="1"/>
  <c r="P1538" i="1"/>
  <c r="O1538" i="1"/>
  <c r="I1538" i="1"/>
  <c r="F1538" i="1"/>
  <c r="Y1132" i="1"/>
  <c r="P1132" i="1"/>
  <c r="O1132" i="1"/>
  <c r="I1132" i="1"/>
  <c r="F1132" i="1"/>
  <c r="Y385" i="1"/>
  <c r="P385" i="1"/>
  <c r="O385" i="1"/>
  <c r="I385" i="1"/>
  <c r="F385" i="1"/>
  <c r="Y1344" i="1"/>
  <c r="P1344" i="1"/>
  <c r="O1344" i="1"/>
  <c r="I1344" i="1"/>
  <c r="F1344" i="1"/>
  <c r="Y394" i="1"/>
  <c r="P394" i="1"/>
  <c r="O394" i="1"/>
  <c r="I394" i="1"/>
  <c r="F394" i="1"/>
  <c r="Y1320" i="1"/>
  <c r="P1320" i="1"/>
  <c r="O1320" i="1"/>
  <c r="I1320" i="1"/>
  <c r="F1320" i="1"/>
  <c r="Y1527" i="1"/>
  <c r="P1527" i="1"/>
  <c r="O1527" i="1"/>
  <c r="I1527" i="1"/>
  <c r="F1527" i="1"/>
  <c r="Y954" i="1"/>
  <c r="P954" i="1"/>
  <c r="O954" i="1"/>
  <c r="I954" i="1"/>
  <c r="F954" i="1"/>
  <c r="Y980" i="1"/>
  <c r="P980" i="1"/>
  <c r="O980" i="1"/>
  <c r="I980" i="1"/>
  <c r="F980" i="1"/>
  <c r="Y396" i="1"/>
  <c r="P396" i="1"/>
  <c r="O396" i="1"/>
  <c r="I396" i="1"/>
  <c r="F396" i="1"/>
  <c r="Y1334" i="1"/>
  <c r="P1334" i="1"/>
  <c r="O1334" i="1"/>
  <c r="I1334" i="1"/>
  <c r="F1334" i="1"/>
  <c r="Y218" i="1"/>
  <c r="P218" i="1"/>
  <c r="O218" i="1"/>
  <c r="I218" i="1"/>
  <c r="F218" i="1"/>
  <c r="Y46" i="1"/>
  <c r="P46" i="1"/>
  <c r="O46" i="1"/>
  <c r="I46" i="1"/>
  <c r="F46" i="1"/>
  <c r="Y1131" i="1"/>
  <c r="P1131" i="1"/>
  <c r="O1131" i="1"/>
  <c r="I1131" i="1"/>
  <c r="F1131" i="1"/>
  <c r="Y1130" i="1"/>
  <c r="P1130" i="1"/>
  <c r="O1130" i="1"/>
  <c r="I1130" i="1"/>
  <c r="F1130" i="1"/>
  <c r="Y1129" i="1"/>
  <c r="P1129" i="1"/>
  <c r="O1129" i="1"/>
  <c r="I1129" i="1"/>
  <c r="F1129" i="1"/>
  <c r="Y1128" i="1"/>
  <c r="P1128" i="1"/>
  <c r="O1128" i="1"/>
  <c r="I1128" i="1"/>
  <c r="F1128" i="1"/>
  <c r="Y1127" i="1"/>
  <c r="P1127" i="1"/>
  <c r="O1127" i="1"/>
  <c r="I1127" i="1"/>
  <c r="F1127" i="1"/>
  <c r="Y1484" i="1"/>
  <c r="P1484" i="1"/>
  <c r="O1484" i="1"/>
  <c r="I1484" i="1"/>
  <c r="F1484" i="1"/>
  <c r="Y1156" i="1"/>
  <c r="P1156" i="1"/>
  <c r="O1156" i="1"/>
  <c r="I1156" i="1"/>
  <c r="F1156" i="1"/>
  <c r="Y1311" i="1"/>
  <c r="P1311" i="1"/>
  <c r="O1311" i="1"/>
  <c r="I1311" i="1"/>
  <c r="F1311" i="1"/>
  <c r="Y1385" i="1"/>
  <c r="P1385" i="1"/>
  <c r="O1385" i="1"/>
  <c r="I1385" i="1"/>
  <c r="F1385" i="1"/>
  <c r="Y1384" i="1"/>
  <c r="P1384" i="1"/>
  <c r="O1384" i="1"/>
  <c r="I1384" i="1"/>
  <c r="F1384" i="1"/>
  <c r="Y1383" i="1"/>
  <c r="P1383" i="1"/>
  <c r="O1383" i="1"/>
  <c r="I1383" i="1"/>
  <c r="F1383" i="1"/>
  <c r="Y1390" i="1"/>
  <c r="P1390" i="1"/>
  <c r="O1390" i="1"/>
  <c r="I1390" i="1"/>
  <c r="F1390" i="1"/>
  <c r="Y689" i="1"/>
  <c r="P689" i="1"/>
  <c r="O689" i="1"/>
  <c r="I689" i="1"/>
  <c r="F689" i="1"/>
  <c r="Y961" i="1"/>
  <c r="P961" i="1"/>
  <c r="O961" i="1"/>
  <c r="I961" i="1"/>
  <c r="F961" i="1"/>
  <c r="Y541" i="1"/>
  <c r="P541" i="1"/>
  <c r="O541" i="1"/>
  <c r="I541" i="1"/>
  <c r="F541" i="1"/>
  <c r="Y552" i="1"/>
  <c r="P552" i="1"/>
  <c r="O552" i="1"/>
  <c r="I552" i="1"/>
  <c r="F552" i="1"/>
  <c r="Y669" i="1"/>
  <c r="P669" i="1"/>
  <c r="O669" i="1"/>
  <c r="I669" i="1"/>
  <c r="F669" i="1"/>
  <c r="Y800" i="1"/>
  <c r="P800" i="1"/>
  <c r="O800" i="1"/>
  <c r="I800" i="1"/>
  <c r="F800" i="1"/>
  <c r="Y538" i="1"/>
  <c r="P538" i="1"/>
  <c r="O538" i="1"/>
  <c r="I538" i="1"/>
  <c r="F538" i="1"/>
  <c r="Y1007" i="1"/>
  <c r="P1007" i="1"/>
  <c r="O1007" i="1"/>
  <c r="I1007" i="1"/>
  <c r="F1007" i="1"/>
  <c r="Y811" i="1"/>
  <c r="P811" i="1"/>
  <c r="O811" i="1"/>
  <c r="I811" i="1"/>
  <c r="F811" i="1"/>
  <c r="Y777" i="1"/>
  <c r="P777" i="1"/>
  <c r="O777" i="1"/>
  <c r="I777" i="1"/>
  <c r="F777" i="1"/>
  <c r="Y417" i="1"/>
  <c r="P417" i="1"/>
  <c r="O417" i="1"/>
  <c r="I417" i="1"/>
  <c r="F417" i="1"/>
  <c r="Y416" i="1"/>
  <c r="P416" i="1"/>
  <c r="O416" i="1"/>
  <c r="I416" i="1"/>
  <c r="F416" i="1"/>
  <c r="Y951" i="1"/>
  <c r="P951" i="1"/>
  <c r="O951" i="1"/>
  <c r="I951" i="1"/>
  <c r="F951" i="1"/>
  <c r="Y950" i="1"/>
  <c r="P950" i="1"/>
  <c r="O950" i="1"/>
  <c r="I950" i="1"/>
  <c r="F950" i="1"/>
  <c r="Y1126" i="1"/>
  <c r="P1126" i="1"/>
  <c r="O1126" i="1"/>
  <c r="I1126" i="1"/>
  <c r="F1126" i="1"/>
  <c r="Y1125" i="1"/>
  <c r="P1125" i="1"/>
  <c r="O1125" i="1"/>
  <c r="I1125" i="1"/>
  <c r="F1125" i="1"/>
  <c r="Y1124" i="1"/>
  <c r="P1124" i="1"/>
  <c r="O1124" i="1"/>
  <c r="I1124" i="1"/>
  <c r="F1124" i="1"/>
  <c r="Y849" i="1"/>
  <c r="P849" i="1"/>
  <c r="O849" i="1"/>
  <c r="I849" i="1"/>
  <c r="F849" i="1"/>
  <c r="Y1123" i="1"/>
  <c r="P1123" i="1"/>
  <c r="O1123" i="1"/>
  <c r="I1123" i="1"/>
  <c r="F1123" i="1"/>
  <c r="Y1122" i="1"/>
  <c r="P1122" i="1"/>
  <c r="O1122" i="1"/>
  <c r="I1122" i="1"/>
  <c r="F1122" i="1"/>
  <c r="Y1121" i="1"/>
  <c r="P1121" i="1"/>
  <c r="O1121" i="1"/>
  <c r="I1121" i="1"/>
  <c r="F1121" i="1"/>
  <c r="Y412" i="1"/>
  <c r="P412" i="1"/>
  <c r="O412" i="1"/>
  <c r="I412" i="1"/>
  <c r="F412" i="1"/>
  <c r="Y1120" i="1"/>
  <c r="P1120" i="1"/>
  <c r="O1120" i="1"/>
  <c r="I1120" i="1"/>
  <c r="F1120" i="1"/>
  <c r="Y447" i="1"/>
  <c r="P447" i="1"/>
  <c r="O447" i="1"/>
  <c r="I447" i="1"/>
  <c r="F447" i="1"/>
  <c r="Y1119" i="1"/>
  <c r="P1119" i="1"/>
  <c r="O1119" i="1"/>
  <c r="I1119" i="1"/>
  <c r="F1119" i="1"/>
  <c r="Y347" i="1"/>
  <c r="P347" i="1"/>
  <c r="O347" i="1"/>
  <c r="I347" i="1"/>
  <c r="F347" i="1"/>
  <c r="Y1222" i="1"/>
  <c r="P1222" i="1"/>
  <c r="O1222" i="1"/>
  <c r="I1222" i="1"/>
  <c r="F1222" i="1"/>
  <c r="Y1471" i="1"/>
  <c r="P1471" i="1"/>
  <c r="O1471" i="1"/>
  <c r="I1471" i="1"/>
  <c r="F1471" i="1"/>
  <c r="Y1157" i="1"/>
  <c r="P1157" i="1"/>
  <c r="O1157" i="1"/>
  <c r="I1157" i="1"/>
  <c r="F1157" i="1"/>
  <c r="Y537" i="1"/>
  <c r="P537" i="1"/>
  <c r="O537" i="1"/>
  <c r="I537" i="1"/>
  <c r="F537" i="1"/>
  <c r="Y503" i="1"/>
  <c r="P503" i="1"/>
  <c r="O503" i="1"/>
  <c r="I503" i="1"/>
  <c r="F503" i="1"/>
  <c r="Y1409" i="1"/>
  <c r="P1409" i="1"/>
  <c r="O1409" i="1"/>
  <c r="I1409" i="1"/>
  <c r="F1409" i="1"/>
  <c r="Y1118" i="1"/>
  <c r="P1118" i="1"/>
  <c r="O1118" i="1"/>
  <c r="I1118" i="1"/>
  <c r="F1118" i="1"/>
  <c r="Y1117" i="1"/>
  <c r="P1117" i="1"/>
  <c r="O1117" i="1"/>
  <c r="I1117" i="1"/>
  <c r="F1117" i="1"/>
  <c r="Y281" i="1"/>
  <c r="P281" i="1"/>
  <c r="O281" i="1"/>
  <c r="I281" i="1"/>
  <c r="F281" i="1"/>
  <c r="Y76" i="1"/>
  <c r="P76" i="1"/>
  <c r="O76" i="1"/>
  <c r="I76" i="1"/>
  <c r="F76" i="1"/>
  <c r="Y962" i="1"/>
  <c r="P962" i="1"/>
  <c r="O962" i="1"/>
  <c r="I962" i="1"/>
  <c r="F962" i="1"/>
  <c r="Y77" i="1"/>
  <c r="P77" i="1"/>
  <c r="O77" i="1"/>
  <c r="I77" i="1"/>
  <c r="F77" i="1"/>
  <c r="Y700" i="1"/>
  <c r="P700" i="1"/>
  <c r="O700" i="1"/>
  <c r="I700" i="1"/>
  <c r="F700" i="1"/>
  <c r="Y301" i="1"/>
  <c r="P301" i="1"/>
  <c r="O301" i="1"/>
  <c r="I301" i="1"/>
  <c r="F301" i="1"/>
  <c r="Y648" i="1"/>
  <c r="P648" i="1"/>
  <c r="O648" i="1"/>
  <c r="I648" i="1"/>
  <c r="F648" i="1"/>
  <c r="Y803" i="1"/>
  <c r="P803" i="1"/>
  <c r="O803" i="1"/>
  <c r="I803" i="1"/>
  <c r="F803" i="1"/>
  <c r="Y400" i="1"/>
  <c r="P400" i="1"/>
  <c r="O400" i="1"/>
  <c r="I400" i="1"/>
  <c r="F400" i="1"/>
  <c r="Y992" i="1"/>
  <c r="P992" i="1"/>
  <c r="O992" i="1"/>
  <c r="I992" i="1"/>
  <c r="F992" i="1"/>
  <c r="Y240" i="1"/>
  <c r="P240" i="1"/>
  <c r="O240" i="1"/>
  <c r="I240" i="1"/>
  <c r="F240" i="1"/>
  <c r="Y145" i="1"/>
  <c r="P145" i="1"/>
  <c r="O145" i="1"/>
  <c r="I145" i="1"/>
  <c r="F145" i="1"/>
  <c r="Y239" i="1"/>
  <c r="P239" i="1"/>
  <c r="O239" i="1"/>
  <c r="I239" i="1"/>
  <c r="F239" i="1"/>
  <c r="Y92" i="1"/>
  <c r="P92" i="1"/>
  <c r="O92" i="1"/>
  <c r="I92" i="1"/>
  <c r="F92" i="1"/>
  <c r="Y1339" i="1"/>
  <c r="P1339" i="1"/>
  <c r="O1339" i="1"/>
  <c r="I1339" i="1"/>
  <c r="F1339" i="1"/>
  <c r="Y1338" i="1"/>
  <c r="P1338" i="1"/>
  <c r="O1338" i="1"/>
  <c r="I1338" i="1"/>
  <c r="F1338" i="1"/>
  <c r="Y1337" i="1"/>
  <c r="P1337" i="1"/>
  <c r="O1337" i="1"/>
  <c r="I1337" i="1"/>
  <c r="F1337" i="1"/>
  <c r="Y1336" i="1"/>
  <c r="P1336" i="1"/>
  <c r="O1336" i="1"/>
  <c r="I1336" i="1"/>
  <c r="F1336" i="1"/>
  <c r="Y605" i="1"/>
  <c r="P605" i="1"/>
  <c r="O605" i="1"/>
  <c r="I605" i="1"/>
  <c r="F605" i="1"/>
  <c r="Y819" i="1"/>
  <c r="P819" i="1"/>
  <c r="O819" i="1"/>
  <c r="I819" i="1"/>
  <c r="F819" i="1"/>
  <c r="Y1172" i="1"/>
  <c r="P1172" i="1"/>
  <c r="O1172" i="1"/>
  <c r="I1172" i="1"/>
  <c r="F1172" i="1"/>
  <c r="Y953" i="1"/>
  <c r="P953" i="1"/>
  <c r="O953" i="1"/>
  <c r="I953" i="1"/>
  <c r="F953" i="1"/>
  <c r="Y753" i="1"/>
  <c r="P753" i="1"/>
  <c r="O753" i="1"/>
  <c r="I753" i="1"/>
  <c r="F753" i="1"/>
  <c r="Y443" i="1"/>
  <c r="P443" i="1"/>
  <c r="O443" i="1"/>
  <c r="I443" i="1"/>
  <c r="F443" i="1"/>
  <c r="Y722" i="1"/>
  <c r="P722" i="1"/>
  <c r="O722" i="1"/>
  <c r="I722" i="1"/>
  <c r="F722" i="1"/>
  <c r="Y474" i="1"/>
  <c r="P474" i="1"/>
  <c r="O474" i="1"/>
  <c r="I474" i="1"/>
  <c r="F474" i="1"/>
  <c r="Y224" i="1"/>
  <c r="P224" i="1"/>
  <c r="O224" i="1"/>
  <c r="I224" i="1"/>
  <c r="F224" i="1"/>
  <c r="Y935" i="1"/>
  <c r="P935" i="1"/>
  <c r="O935" i="1"/>
  <c r="I935" i="1"/>
  <c r="F935" i="1"/>
  <c r="Y306" i="1"/>
  <c r="P306" i="1"/>
  <c r="O306" i="1"/>
  <c r="I306" i="1"/>
  <c r="F306" i="1"/>
  <c r="Y361" i="1"/>
  <c r="P361" i="1"/>
  <c r="O361" i="1"/>
  <c r="I361" i="1"/>
  <c r="F361" i="1"/>
  <c r="Y468" i="1"/>
  <c r="P468" i="1"/>
  <c r="O468" i="1"/>
  <c r="I468" i="1"/>
  <c r="F468" i="1"/>
  <c r="Y467" i="1"/>
  <c r="P467" i="1"/>
  <c r="O467" i="1"/>
  <c r="I467" i="1"/>
  <c r="F467" i="1"/>
  <c r="Y466" i="1"/>
  <c r="P466" i="1"/>
  <c r="O466" i="1"/>
  <c r="I466" i="1"/>
  <c r="F466" i="1"/>
  <c r="Y45" i="1"/>
  <c r="P45" i="1"/>
  <c r="O45" i="1"/>
  <c r="I45" i="1"/>
  <c r="F45" i="1"/>
  <c r="Y14" i="1"/>
  <c r="P14" i="1"/>
  <c r="O14" i="1"/>
  <c r="I14" i="1"/>
  <c r="F14" i="1"/>
  <c r="Y13" i="1"/>
  <c r="P13" i="1"/>
  <c r="O13" i="1"/>
  <c r="I13" i="1"/>
  <c r="F13" i="1"/>
  <c r="Y161" i="1"/>
  <c r="P161" i="1"/>
  <c r="O161" i="1"/>
  <c r="I161" i="1"/>
  <c r="F161" i="1"/>
  <c r="Y160" i="1"/>
  <c r="P160" i="1"/>
  <c r="O160" i="1"/>
  <c r="I160" i="1"/>
  <c r="F160" i="1"/>
  <c r="Y12" i="1"/>
  <c r="P12" i="1"/>
  <c r="O12" i="1"/>
  <c r="I12" i="1"/>
  <c r="F12" i="1"/>
  <c r="Y75" i="1"/>
  <c r="P75" i="1"/>
  <c r="O75" i="1"/>
  <c r="I75" i="1"/>
  <c r="F75" i="1"/>
  <c r="Y237" i="1"/>
  <c r="P237" i="1"/>
  <c r="O237" i="1"/>
  <c r="I237" i="1"/>
  <c r="F237" i="1"/>
  <c r="Y707" i="1"/>
  <c r="P707" i="1"/>
  <c r="O707" i="1"/>
  <c r="I707" i="1"/>
  <c r="F707" i="1"/>
  <c r="Y535" i="1"/>
  <c r="P535" i="1"/>
  <c r="O535" i="1"/>
  <c r="I535" i="1"/>
  <c r="F535" i="1"/>
  <c r="Y627" i="1"/>
  <c r="P627" i="1"/>
  <c r="O627" i="1"/>
  <c r="I627" i="1"/>
  <c r="F627" i="1"/>
  <c r="Y543" i="1"/>
  <c r="P543" i="1"/>
  <c r="O543" i="1"/>
  <c r="I543" i="1"/>
  <c r="F543" i="1"/>
  <c r="Y71" i="1"/>
  <c r="P71" i="1"/>
  <c r="O71" i="1"/>
  <c r="I71" i="1"/>
  <c r="F71" i="1"/>
  <c r="Y542" i="1"/>
  <c r="P542" i="1"/>
  <c r="O542" i="1"/>
  <c r="I542" i="1"/>
  <c r="F542" i="1"/>
  <c r="Y74" i="1"/>
  <c r="P74" i="1"/>
  <c r="O74" i="1"/>
  <c r="I74" i="1"/>
  <c r="F74" i="1"/>
  <c r="Y80" i="1"/>
  <c r="P80" i="1"/>
  <c r="O80" i="1"/>
  <c r="I80" i="1"/>
  <c r="F80" i="1"/>
  <c r="Y82" i="1"/>
  <c r="P82" i="1"/>
  <c r="O82" i="1"/>
  <c r="I82" i="1"/>
  <c r="F82" i="1"/>
  <c r="Y398" i="1"/>
  <c r="P398" i="1"/>
  <c r="O398" i="1"/>
  <c r="I398" i="1"/>
  <c r="F398" i="1"/>
  <c r="Y359" i="1"/>
  <c r="P359" i="1"/>
  <c r="O359" i="1"/>
  <c r="I359" i="1"/>
  <c r="F359" i="1"/>
  <c r="Y358" i="1"/>
  <c r="P358" i="1"/>
  <c r="O358" i="1"/>
  <c r="I358" i="1"/>
  <c r="F358" i="1"/>
  <c r="Y357" i="1"/>
  <c r="P357" i="1"/>
  <c r="O357" i="1"/>
  <c r="I357" i="1"/>
  <c r="F357" i="1"/>
  <c r="Y1116" i="1"/>
  <c r="P1116" i="1"/>
  <c r="O1116" i="1"/>
  <c r="I1116" i="1"/>
  <c r="F1116" i="1"/>
  <c r="Y1115" i="1"/>
  <c r="P1115" i="1"/>
  <c r="O1115" i="1"/>
  <c r="I1115" i="1"/>
  <c r="F1115" i="1"/>
  <c r="Y1114" i="1"/>
  <c r="P1114" i="1"/>
  <c r="O1114" i="1"/>
  <c r="I1114" i="1"/>
  <c r="F1114" i="1"/>
  <c r="Y1113" i="1"/>
  <c r="P1113" i="1"/>
  <c r="O1113" i="1"/>
  <c r="I1113" i="1"/>
  <c r="F1113" i="1"/>
  <c r="Y1112" i="1"/>
  <c r="P1112" i="1"/>
  <c r="O1112" i="1"/>
  <c r="I1112" i="1"/>
  <c r="F1112" i="1"/>
  <c r="Y1111" i="1"/>
  <c r="P1111" i="1"/>
  <c r="O1111" i="1"/>
  <c r="I1111" i="1"/>
  <c r="F1111" i="1"/>
  <c r="Y824" i="1"/>
  <c r="P824" i="1"/>
  <c r="O824" i="1"/>
  <c r="I824" i="1"/>
  <c r="F824" i="1"/>
  <c r="Y1110" i="1"/>
  <c r="P1110" i="1"/>
  <c r="O1110" i="1"/>
  <c r="I1110" i="1"/>
  <c r="F1110" i="1"/>
  <c r="Y1109" i="1"/>
  <c r="P1109" i="1"/>
  <c r="O1109" i="1"/>
  <c r="I1109" i="1"/>
  <c r="F1109" i="1"/>
  <c r="Y1108" i="1"/>
  <c r="P1108" i="1"/>
  <c r="O1108" i="1"/>
  <c r="I1108" i="1"/>
  <c r="F1108" i="1"/>
  <c r="Y1107" i="1"/>
  <c r="P1107" i="1"/>
  <c r="O1107" i="1"/>
  <c r="I1107" i="1"/>
  <c r="F1107" i="1"/>
  <c r="Y1106" i="1"/>
  <c r="P1106" i="1"/>
  <c r="O1106" i="1"/>
  <c r="I1106" i="1"/>
  <c r="F1106" i="1"/>
  <c r="Y1105" i="1"/>
  <c r="P1105" i="1"/>
  <c r="O1105" i="1"/>
  <c r="I1105" i="1"/>
  <c r="F1105" i="1"/>
  <c r="Y1104" i="1"/>
  <c r="P1104" i="1"/>
  <c r="O1104" i="1"/>
  <c r="I1104" i="1"/>
  <c r="F1104" i="1"/>
  <c r="Y123" i="1"/>
  <c r="P123" i="1"/>
  <c r="O123" i="1"/>
  <c r="I123" i="1"/>
  <c r="F123" i="1"/>
  <c r="Y169" i="1"/>
  <c r="P169" i="1"/>
  <c r="O169" i="1"/>
  <c r="I169" i="1"/>
  <c r="F169" i="1"/>
  <c r="Y172" i="1"/>
  <c r="P172" i="1"/>
  <c r="O172" i="1"/>
  <c r="I172" i="1"/>
  <c r="F172" i="1"/>
  <c r="Y1103" i="1"/>
  <c r="P1103" i="1"/>
  <c r="O1103" i="1"/>
  <c r="I1103" i="1"/>
  <c r="F1103" i="1"/>
  <c r="Y1102" i="1"/>
  <c r="P1102" i="1"/>
  <c r="O1102" i="1"/>
  <c r="I1102" i="1"/>
  <c r="F1102" i="1"/>
  <c r="Y1101" i="1"/>
  <c r="P1101" i="1"/>
  <c r="O1101" i="1"/>
  <c r="I1101" i="1"/>
  <c r="F1101" i="1"/>
  <c r="Y441" i="1"/>
  <c r="P441" i="1"/>
  <c r="O441" i="1"/>
  <c r="I441" i="1"/>
  <c r="F441" i="1"/>
  <c r="Y1219" i="1"/>
  <c r="P1219" i="1"/>
  <c r="O1219" i="1"/>
  <c r="I1219" i="1"/>
  <c r="F1219" i="1"/>
  <c r="Y1262" i="1"/>
  <c r="P1262" i="1"/>
  <c r="O1262" i="1"/>
  <c r="I1262" i="1"/>
  <c r="F1262" i="1"/>
  <c r="Y1332" i="1"/>
  <c r="P1332" i="1"/>
  <c r="O1332" i="1"/>
  <c r="I1332" i="1"/>
  <c r="F1332" i="1"/>
  <c r="Y1261" i="1"/>
  <c r="P1261" i="1"/>
  <c r="O1261" i="1"/>
  <c r="I1261" i="1"/>
  <c r="F1261" i="1"/>
  <c r="Y1257" i="1"/>
  <c r="P1257" i="1"/>
  <c r="O1257" i="1"/>
  <c r="I1257" i="1"/>
  <c r="F1257" i="1"/>
  <c r="Y1303" i="1"/>
  <c r="P1303" i="1"/>
  <c r="O1303" i="1"/>
  <c r="I1303" i="1"/>
  <c r="F1303" i="1"/>
  <c r="Y1299" i="1"/>
  <c r="P1299" i="1"/>
  <c r="O1299" i="1"/>
  <c r="I1299" i="1"/>
  <c r="F1299" i="1"/>
  <c r="Y1310" i="1"/>
  <c r="P1310" i="1"/>
  <c r="O1310" i="1"/>
  <c r="I1310" i="1"/>
  <c r="F1310" i="1"/>
  <c r="Y1399" i="1"/>
  <c r="P1399" i="1"/>
  <c r="O1399" i="1"/>
  <c r="I1399" i="1"/>
  <c r="F1399" i="1"/>
  <c r="Y1394" i="1"/>
  <c r="P1394" i="1"/>
  <c r="O1394" i="1"/>
  <c r="I1394" i="1"/>
  <c r="F1394" i="1"/>
  <c r="Y1217" i="1"/>
  <c r="P1217" i="1"/>
  <c r="O1217" i="1"/>
  <c r="I1217" i="1"/>
  <c r="F1217" i="1"/>
  <c r="Y1416" i="1"/>
  <c r="P1416" i="1"/>
  <c r="O1416" i="1"/>
  <c r="I1416" i="1"/>
  <c r="F1416" i="1"/>
  <c r="Y1194" i="1"/>
  <c r="P1194" i="1"/>
  <c r="O1194" i="1"/>
  <c r="I1194" i="1"/>
  <c r="F1194" i="1"/>
  <c r="Y1192" i="1"/>
  <c r="P1192" i="1"/>
  <c r="O1192" i="1"/>
  <c r="I1192" i="1"/>
  <c r="F1192" i="1"/>
  <c r="Y1100" i="1"/>
  <c r="P1100" i="1"/>
  <c r="O1100" i="1"/>
  <c r="I1100" i="1"/>
  <c r="F1100" i="1"/>
  <c r="Y1099" i="1"/>
  <c r="P1099" i="1"/>
  <c r="O1099" i="1"/>
  <c r="I1099" i="1"/>
  <c r="F1099" i="1"/>
  <c r="Y389" i="1"/>
  <c r="P389" i="1"/>
  <c r="O389" i="1"/>
  <c r="I389" i="1"/>
  <c r="F389" i="1"/>
  <c r="Y388" i="1"/>
  <c r="P388" i="1"/>
  <c r="O388" i="1"/>
  <c r="I388" i="1"/>
  <c r="F388" i="1"/>
  <c r="Y367" i="1"/>
  <c r="P367" i="1"/>
  <c r="O367" i="1"/>
  <c r="I367" i="1"/>
  <c r="F367" i="1"/>
  <c r="Y1494" i="1"/>
  <c r="P1494" i="1"/>
  <c r="O1494" i="1"/>
  <c r="I1494" i="1"/>
  <c r="F1494" i="1"/>
  <c r="Y1501" i="1"/>
  <c r="P1501" i="1"/>
  <c r="O1501" i="1"/>
  <c r="I1501" i="1"/>
  <c r="F1501" i="1"/>
  <c r="Y220" i="1"/>
  <c r="P220" i="1"/>
  <c r="O220" i="1"/>
  <c r="I220" i="1"/>
  <c r="F220" i="1"/>
  <c r="Y1318" i="1"/>
  <c r="P1318" i="1"/>
  <c r="O1318" i="1"/>
  <c r="I1318" i="1"/>
  <c r="F1318" i="1"/>
  <c r="Y117" i="1"/>
  <c r="P117" i="1"/>
  <c r="O117" i="1"/>
  <c r="I117" i="1"/>
  <c r="F117" i="1"/>
  <c r="Y564" i="1"/>
  <c r="P564" i="1"/>
  <c r="O564" i="1"/>
  <c r="I564" i="1"/>
  <c r="F564" i="1"/>
  <c r="Y1388" i="1"/>
  <c r="P1388" i="1"/>
  <c r="O1388" i="1"/>
  <c r="I1388" i="1"/>
  <c r="F1388" i="1"/>
  <c r="Y1387" i="1"/>
  <c r="P1387" i="1"/>
  <c r="O1387" i="1"/>
  <c r="I1387" i="1"/>
  <c r="F1387" i="1"/>
  <c r="Y1374" i="1"/>
  <c r="P1374" i="1"/>
  <c r="O1374" i="1"/>
  <c r="I1374" i="1"/>
  <c r="F1374" i="1"/>
  <c r="Y761" i="1"/>
  <c r="P761" i="1"/>
  <c r="O761" i="1"/>
  <c r="I761" i="1"/>
  <c r="F761" i="1"/>
  <c r="Y760" i="1"/>
  <c r="P760" i="1"/>
  <c r="O760" i="1"/>
  <c r="I760" i="1"/>
  <c r="F760" i="1"/>
  <c r="Y776" i="1"/>
  <c r="P776" i="1"/>
  <c r="O776" i="1"/>
  <c r="I776" i="1"/>
  <c r="F776" i="1"/>
  <c r="Y1266" i="1"/>
  <c r="P1266" i="1"/>
  <c r="O1266" i="1"/>
  <c r="I1266" i="1"/>
  <c r="F1266" i="1"/>
  <c r="Y1483" i="1"/>
  <c r="P1483" i="1"/>
  <c r="O1483" i="1"/>
  <c r="I1483" i="1"/>
  <c r="F1483" i="1"/>
  <c r="Y127" i="1"/>
  <c r="P127" i="1"/>
  <c r="O127" i="1"/>
  <c r="I127" i="1"/>
  <c r="F127" i="1"/>
  <c r="Y741" i="1"/>
  <c r="P741" i="1"/>
  <c r="O741" i="1"/>
  <c r="I741" i="1"/>
  <c r="F741" i="1"/>
  <c r="Y670" i="1"/>
  <c r="P670" i="1"/>
  <c r="O670" i="1"/>
  <c r="I670" i="1"/>
  <c r="F670" i="1"/>
  <c r="Y26" i="1"/>
  <c r="P26" i="1"/>
  <c r="O26" i="1"/>
  <c r="I26" i="1"/>
  <c r="F26" i="1"/>
  <c r="Y383" i="1"/>
  <c r="P383" i="1"/>
  <c r="O383" i="1"/>
  <c r="I383" i="1"/>
  <c r="F383" i="1"/>
  <c r="Y787" i="1"/>
  <c r="P787" i="1"/>
  <c r="O787" i="1"/>
  <c r="I787" i="1"/>
  <c r="F787" i="1"/>
  <c r="Y482" i="1"/>
  <c r="P482" i="1"/>
  <c r="O482" i="1"/>
  <c r="I482" i="1"/>
  <c r="F482" i="1"/>
  <c r="Y481" i="1"/>
  <c r="P481" i="1"/>
  <c r="O481" i="1"/>
  <c r="I481" i="1"/>
  <c r="F481" i="1"/>
  <c r="Y480" i="1"/>
  <c r="P480" i="1"/>
  <c r="O480" i="1"/>
  <c r="I480" i="1"/>
  <c r="F480" i="1"/>
  <c r="Y1001" i="1"/>
  <c r="P1001" i="1"/>
  <c r="O1001" i="1"/>
  <c r="I1001" i="1"/>
  <c r="F1001" i="1"/>
  <c r="Y769" i="1"/>
  <c r="P769" i="1"/>
  <c r="O769" i="1"/>
  <c r="I769" i="1"/>
  <c r="F769" i="1"/>
  <c r="Y837" i="1"/>
  <c r="P837" i="1"/>
  <c r="O837" i="1"/>
  <c r="I837" i="1"/>
  <c r="F837" i="1"/>
  <c r="Y1439" i="1"/>
  <c r="P1439" i="1"/>
  <c r="O1439" i="1"/>
  <c r="I1439" i="1"/>
  <c r="F1439" i="1"/>
  <c r="Y1098" i="1"/>
  <c r="P1098" i="1"/>
  <c r="O1098" i="1"/>
  <c r="I1098" i="1"/>
  <c r="F1098" i="1"/>
  <c r="Y9" i="1"/>
  <c r="P9" i="1"/>
  <c r="O9" i="1"/>
  <c r="I9" i="1"/>
  <c r="F9" i="1"/>
  <c r="Y233" i="1"/>
  <c r="P233" i="1"/>
  <c r="O233" i="1"/>
  <c r="I233" i="1"/>
  <c r="F233" i="1"/>
  <c r="Y128" i="1"/>
  <c r="P128" i="1"/>
  <c r="O128" i="1"/>
  <c r="I128" i="1"/>
  <c r="F128" i="1"/>
  <c r="Y1290" i="1"/>
  <c r="P1290" i="1"/>
  <c r="O1290" i="1"/>
  <c r="I1290" i="1"/>
  <c r="F1290" i="1"/>
  <c r="Y809" i="1"/>
  <c r="P809" i="1"/>
  <c r="O809" i="1"/>
  <c r="I809" i="1"/>
  <c r="F809" i="1"/>
  <c r="Y1274" i="1"/>
  <c r="P1274" i="1"/>
  <c r="O1274" i="1"/>
  <c r="I1274" i="1"/>
  <c r="F1274" i="1"/>
  <c r="Y1273" i="1"/>
  <c r="P1273" i="1"/>
  <c r="O1273" i="1"/>
  <c r="I1273" i="1"/>
  <c r="F1273" i="1"/>
  <c r="Y662" i="1"/>
  <c r="P662" i="1"/>
  <c r="O662" i="1"/>
  <c r="I662" i="1"/>
  <c r="F662" i="1"/>
  <c r="Y300" i="1"/>
  <c r="P300" i="1"/>
  <c r="O300" i="1"/>
  <c r="I300" i="1"/>
  <c r="F300" i="1"/>
  <c r="Y156" i="1"/>
  <c r="P156" i="1"/>
  <c r="O156" i="1"/>
  <c r="I156" i="1"/>
  <c r="F156" i="1"/>
  <c r="Y471" i="1"/>
  <c r="P471" i="1"/>
  <c r="O471" i="1"/>
  <c r="I471" i="1"/>
  <c r="F471" i="1"/>
  <c r="Y155" i="1"/>
  <c r="P155" i="1"/>
  <c r="O155" i="1"/>
  <c r="I155" i="1"/>
  <c r="F155" i="1"/>
  <c r="Y202" i="1"/>
  <c r="P202" i="1"/>
  <c r="O202" i="1"/>
  <c r="I202" i="1"/>
  <c r="F202" i="1"/>
  <c r="Y495" i="1"/>
  <c r="P495" i="1"/>
  <c r="O495" i="1"/>
  <c r="I495" i="1"/>
  <c r="F495" i="1"/>
  <c r="Y845" i="1"/>
  <c r="P845" i="1"/>
  <c r="O845" i="1"/>
  <c r="I845" i="1"/>
  <c r="F845" i="1"/>
  <c r="Y1368" i="1"/>
  <c r="P1368" i="1"/>
  <c r="O1368" i="1"/>
  <c r="I1368" i="1"/>
  <c r="F1368" i="1"/>
  <c r="Y1292" i="1"/>
  <c r="P1292" i="1"/>
  <c r="O1292" i="1"/>
  <c r="I1292" i="1"/>
  <c r="F1292" i="1"/>
  <c r="Y905" i="1"/>
  <c r="P905" i="1"/>
  <c r="O905" i="1"/>
  <c r="I905" i="1"/>
  <c r="F905" i="1"/>
  <c r="Y1271" i="1"/>
  <c r="P1271" i="1"/>
  <c r="O1271" i="1"/>
  <c r="I1271" i="1"/>
  <c r="F1271" i="1"/>
  <c r="Y1517" i="1"/>
  <c r="P1517" i="1"/>
  <c r="O1517" i="1"/>
  <c r="I1517" i="1"/>
  <c r="F1517" i="1"/>
  <c r="Y664" i="1"/>
  <c r="P664" i="1"/>
  <c r="O664" i="1"/>
  <c r="I664" i="1"/>
  <c r="F664" i="1"/>
  <c r="Y17" i="1"/>
  <c r="P17" i="1"/>
  <c r="O17" i="1"/>
  <c r="I17" i="1"/>
  <c r="F17" i="1"/>
  <c r="Y693" i="1"/>
  <c r="P693" i="1"/>
  <c r="O693" i="1"/>
  <c r="I693" i="1"/>
  <c r="F693" i="1"/>
  <c r="Y834" i="1"/>
  <c r="P834" i="1"/>
  <c r="O834" i="1"/>
  <c r="I834" i="1"/>
  <c r="F834" i="1"/>
  <c r="Y262" i="1"/>
  <c r="P262" i="1"/>
  <c r="O262" i="1"/>
  <c r="I262" i="1"/>
  <c r="F262" i="1"/>
  <c r="Y715" i="1"/>
  <c r="P715" i="1"/>
  <c r="O715" i="1"/>
  <c r="I715" i="1"/>
  <c r="F715" i="1"/>
  <c r="Y1497" i="1"/>
  <c r="P1497" i="1"/>
  <c r="O1497" i="1"/>
  <c r="I1497" i="1"/>
  <c r="F1497" i="1"/>
  <c r="Y775" i="1"/>
  <c r="P775" i="1"/>
  <c r="O775" i="1"/>
  <c r="I775" i="1"/>
  <c r="F775" i="1"/>
  <c r="Y774" i="1"/>
  <c r="P774" i="1"/>
  <c r="O774" i="1"/>
  <c r="I774" i="1"/>
  <c r="F774" i="1"/>
  <c r="Y773" i="1"/>
  <c r="P773" i="1"/>
  <c r="O773" i="1"/>
  <c r="I773" i="1"/>
  <c r="F773" i="1"/>
  <c r="Y772" i="1"/>
  <c r="P772" i="1"/>
  <c r="O772" i="1"/>
  <c r="I772" i="1"/>
  <c r="F772" i="1"/>
  <c r="Y679" i="1"/>
  <c r="P679" i="1"/>
  <c r="O679" i="1"/>
  <c r="I679" i="1"/>
  <c r="F679" i="1"/>
  <c r="Y678" i="1"/>
  <c r="P678" i="1"/>
  <c r="O678" i="1"/>
  <c r="I678" i="1"/>
  <c r="F678" i="1"/>
  <c r="Y745" i="1"/>
  <c r="P745" i="1"/>
  <c r="O745" i="1"/>
  <c r="I745" i="1"/>
  <c r="F745" i="1"/>
  <c r="Y691" i="1"/>
  <c r="P691" i="1"/>
  <c r="O691" i="1"/>
  <c r="I691" i="1"/>
  <c r="F691" i="1"/>
  <c r="Y985" i="1"/>
  <c r="P985" i="1"/>
  <c r="O985" i="1"/>
  <c r="I985" i="1"/>
  <c r="F985" i="1"/>
  <c r="Y807" i="1"/>
  <c r="P807" i="1"/>
  <c r="O807" i="1"/>
  <c r="I807" i="1"/>
  <c r="F807" i="1"/>
  <c r="Y527" i="1"/>
  <c r="P527" i="1"/>
  <c r="O527" i="1"/>
  <c r="I527" i="1"/>
  <c r="F527" i="1"/>
  <c r="Y1004" i="1"/>
  <c r="P1004" i="1"/>
  <c r="O1004" i="1"/>
  <c r="I1004" i="1"/>
  <c r="F1004" i="1"/>
  <c r="Y930" i="1"/>
  <c r="P930" i="1"/>
  <c r="O930" i="1"/>
  <c r="I930" i="1"/>
  <c r="F930" i="1"/>
  <c r="Y1507" i="1"/>
  <c r="P1507" i="1"/>
  <c r="O1507" i="1"/>
  <c r="I1507" i="1"/>
  <c r="F1507" i="1"/>
  <c r="Y885" i="1"/>
  <c r="P885" i="1"/>
  <c r="O885" i="1"/>
  <c r="I885" i="1"/>
  <c r="F885" i="1"/>
  <c r="Y1490" i="1"/>
  <c r="P1490" i="1"/>
  <c r="O1490" i="1"/>
  <c r="I1490" i="1"/>
  <c r="F1490" i="1"/>
  <c r="Y1496" i="1"/>
  <c r="P1496" i="1"/>
  <c r="O1496" i="1"/>
  <c r="I1496" i="1"/>
  <c r="F1496" i="1"/>
  <c r="Y419" i="1"/>
  <c r="P419" i="1"/>
  <c r="O419" i="1"/>
  <c r="I419" i="1"/>
  <c r="F419" i="1"/>
  <c r="Y988" i="1"/>
  <c r="P988" i="1"/>
  <c r="O988" i="1"/>
  <c r="I988" i="1"/>
  <c r="F988" i="1"/>
  <c r="Y1495" i="1"/>
  <c r="P1495" i="1"/>
  <c r="O1495" i="1"/>
  <c r="I1495" i="1"/>
  <c r="F1495" i="1"/>
  <c r="Y1448" i="1"/>
  <c r="P1448" i="1"/>
  <c r="O1448" i="1"/>
  <c r="I1448" i="1"/>
  <c r="F1448" i="1"/>
  <c r="Y1293" i="1"/>
  <c r="P1293" i="1"/>
  <c r="O1293" i="1"/>
  <c r="I1293" i="1"/>
  <c r="F1293" i="1"/>
  <c r="Y1486" i="1"/>
  <c r="P1486" i="1"/>
  <c r="O1486" i="1"/>
  <c r="I1486" i="1"/>
  <c r="F1486" i="1"/>
  <c r="Y1502" i="1"/>
  <c r="P1502" i="1"/>
  <c r="O1502" i="1"/>
  <c r="I1502" i="1"/>
  <c r="F1502" i="1"/>
  <c r="Y1510" i="1"/>
  <c r="P1510" i="1"/>
  <c r="O1510" i="1"/>
  <c r="I1510" i="1"/>
  <c r="F1510" i="1"/>
  <c r="Y1514" i="1"/>
  <c r="P1514" i="1"/>
  <c r="O1514" i="1"/>
  <c r="I1514" i="1"/>
  <c r="F1514" i="1"/>
  <c r="Y1469" i="1"/>
  <c r="P1469" i="1"/>
  <c r="O1469" i="1"/>
  <c r="I1469" i="1"/>
  <c r="F1469" i="1"/>
  <c r="Y1532" i="1"/>
  <c r="P1532" i="1"/>
  <c r="O1532" i="1"/>
  <c r="I1532" i="1"/>
  <c r="F1532" i="1"/>
  <c r="Y599" i="1"/>
  <c r="P599" i="1"/>
  <c r="O599" i="1"/>
  <c r="I599" i="1"/>
  <c r="F599" i="1"/>
  <c r="Y808" i="1"/>
  <c r="P808" i="1"/>
  <c r="O808" i="1"/>
  <c r="I808" i="1"/>
  <c r="F808" i="1"/>
  <c r="Y1161" i="1"/>
  <c r="P1161" i="1"/>
  <c r="O1161" i="1"/>
  <c r="I1161" i="1"/>
  <c r="F1161" i="1"/>
  <c r="Y786" i="1"/>
  <c r="P786" i="1"/>
  <c r="O786" i="1"/>
  <c r="I786" i="1"/>
  <c r="F786" i="1"/>
  <c r="Y1160" i="1"/>
  <c r="P1160" i="1"/>
  <c r="O1160" i="1"/>
  <c r="I1160" i="1"/>
  <c r="F1160" i="1"/>
  <c r="Y232" i="1"/>
  <c r="P232" i="1"/>
  <c r="O232" i="1"/>
  <c r="I232" i="1"/>
  <c r="F232" i="1"/>
  <c r="Y920" i="1"/>
  <c r="P920" i="1"/>
  <c r="O920" i="1"/>
  <c r="I920" i="1"/>
  <c r="F920" i="1"/>
  <c r="Y857" i="1"/>
  <c r="P857" i="1"/>
  <c r="O857" i="1"/>
  <c r="I857" i="1"/>
  <c r="F857" i="1"/>
  <c r="Y998" i="1"/>
  <c r="P998" i="1"/>
  <c r="O998" i="1"/>
  <c r="I998" i="1"/>
  <c r="F998" i="1"/>
  <c r="Y204" i="1"/>
  <c r="P204" i="1"/>
  <c r="O204" i="1"/>
  <c r="I204" i="1"/>
  <c r="F204" i="1"/>
  <c r="Y991" i="1"/>
  <c r="P991" i="1"/>
  <c r="O991" i="1"/>
  <c r="I991" i="1"/>
  <c r="F991" i="1"/>
  <c r="Y1506" i="1"/>
  <c r="P1506" i="1"/>
  <c r="O1506" i="1"/>
  <c r="I1506" i="1"/>
  <c r="F1506" i="1"/>
  <c r="Y1500" i="1"/>
  <c r="P1500" i="1"/>
  <c r="O1500" i="1"/>
  <c r="I1500" i="1"/>
  <c r="F1500" i="1"/>
  <c r="Y1324" i="1"/>
  <c r="P1324" i="1"/>
  <c r="O1324" i="1"/>
  <c r="I1324" i="1"/>
  <c r="F1324" i="1"/>
  <c r="Y989" i="1"/>
  <c r="P989" i="1"/>
  <c r="O989" i="1"/>
  <c r="I989" i="1"/>
  <c r="F989" i="1"/>
  <c r="Y1193" i="1"/>
  <c r="P1193" i="1"/>
  <c r="O1193" i="1"/>
  <c r="I1193" i="1"/>
  <c r="F1193" i="1"/>
  <c r="Y1220" i="1"/>
  <c r="P1220" i="1"/>
  <c r="O1220" i="1"/>
  <c r="I1220" i="1"/>
  <c r="F1220" i="1"/>
  <c r="Y504" i="1"/>
  <c r="P504" i="1"/>
  <c r="O504" i="1"/>
  <c r="I504" i="1"/>
  <c r="F504" i="1"/>
  <c r="Y1485" i="1"/>
  <c r="P1485" i="1"/>
  <c r="O1485" i="1"/>
  <c r="I1485" i="1"/>
  <c r="F1485" i="1"/>
  <c r="Y1167" i="1"/>
  <c r="P1167" i="1"/>
  <c r="O1167" i="1"/>
  <c r="I1167" i="1"/>
  <c r="F1167" i="1"/>
  <c r="Y1200" i="1"/>
  <c r="P1200" i="1"/>
  <c r="O1200" i="1"/>
  <c r="I1200" i="1"/>
  <c r="F1200" i="1"/>
  <c r="Y1529" i="1"/>
  <c r="P1529" i="1"/>
  <c r="O1529" i="1"/>
  <c r="I1529" i="1"/>
  <c r="F1529" i="1"/>
  <c r="Y934" i="1"/>
  <c r="P934" i="1"/>
  <c r="O934" i="1"/>
  <c r="I934" i="1"/>
  <c r="F934" i="1"/>
  <c r="Y109" i="1"/>
  <c r="P109" i="1"/>
  <c r="O109" i="1"/>
  <c r="I109" i="1"/>
  <c r="F109" i="1"/>
  <c r="Y572" i="1"/>
  <c r="P572" i="1"/>
  <c r="O572" i="1"/>
  <c r="I572" i="1"/>
  <c r="F572" i="1"/>
  <c r="Y815" i="1"/>
  <c r="P815" i="1"/>
  <c r="O815" i="1"/>
  <c r="I815" i="1"/>
  <c r="F815" i="1"/>
  <c r="Y1351" i="1"/>
  <c r="P1351" i="1"/>
  <c r="O1351" i="1"/>
  <c r="I1351" i="1"/>
  <c r="F1351" i="1"/>
  <c r="Y571" i="1"/>
  <c r="P571" i="1"/>
  <c r="O571" i="1"/>
  <c r="I571" i="1"/>
  <c r="F571" i="1"/>
  <c r="Y427" i="1"/>
  <c r="P427" i="1"/>
  <c r="O427" i="1"/>
  <c r="I427" i="1"/>
  <c r="F427" i="1"/>
  <c r="Y1190" i="1"/>
  <c r="P1190" i="1"/>
  <c r="O1190" i="1"/>
  <c r="I1190" i="1"/>
  <c r="F1190" i="1"/>
  <c r="Y426" i="1"/>
  <c r="P426" i="1"/>
  <c r="O426" i="1"/>
  <c r="I426" i="1"/>
  <c r="F426" i="1"/>
  <c r="Y1189" i="1"/>
  <c r="P1189" i="1"/>
  <c r="O1189" i="1"/>
  <c r="I1189" i="1"/>
  <c r="F1189" i="1"/>
  <c r="Y710" i="1"/>
  <c r="P710" i="1"/>
  <c r="O710" i="1"/>
  <c r="I710" i="1"/>
  <c r="F710" i="1"/>
  <c r="Y569" i="1"/>
  <c r="P569" i="1"/>
  <c r="O569" i="1"/>
  <c r="I569" i="1"/>
  <c r="F569" i="1"/>
  <c r="Y1188" i="1"/>
  <c r="P1188" i="1"/>
  <c r="O1188" i="1"/>
  <c r="I1188" i="1"/>
  <c r="F1188" i="1"/>
  <c r="Y676" i="1"/>
  <c r="P676" i="1"/>
  <c r="O676" i="1"/>
  <c r="I676" i="1"/>
  <c r="F676" i="1"/>
  <c r="Y342" i="1"/>
  <c r="P342" i="1"/>
  <c r="O342" i="1"/>
  <c r="I342" i="1"/>
  <c r="F342" i="1"/>
  <c r="Y516" i="1"/>
  <c r="P516" i="1"/>
  <c r="O516" i="1"/>
  <c r="I516" i="1"/>
  <c r="F516" i="1"/>
  <c r="Y565" i="1"/>
  <c r="P565" i="1"/>
  <c r="O565" i="1"/>
  <c r="I565" i="1"/>
  <c r="F565" i="1"/>
  <c r="Y420" i="1"/>
  <c r="P420" i="1"/>
  <c r="O420" i="1"/>
  <c r="I420" i="1"/>
  <c r="F420" i="1"/>
  <c r="Y22" i="1"/>
  <c r="P22" i="1"/>
  <c r="O22" i="1"/>
  <c r="I22" i="1"/>
  <c r="F22" i="1"/>
  <c r="Y216" i="1"/>
  <c r="P216" i="1"/>
  <c r="O216" i="1"/>
  <c r="I216" i="1"/>
  <c r="F216" i="1"/>
  <c r="Y101" i="1"/>
  <c r="P101" i="1"/>
  <c r="O101" i="1"/>
  <c r="I101" i="1"/>
  <c r="F101" i="1"/>
  <c r="Y48" i="1"/>
  <c r="P48" i="1"/>
  <c r="O48" i="1"/>
  <c r="I48" i="1"/>
  <c r="F48" i="1"/>
  <c r="Y1097" i="1"/>
  <c r="P1097" i="1"/>
  <c r="O1097" i="1"/>
  <c r="I1097" i="1"/>
  <c r="F1097" i="1"/>
  <c r="Y1096" i="1"/>
  <c r="P1096" i="1"/>
  <c r="O1096" i="1"/>
  <c r="I1096" i="1"/>
  <c r="F1096" i="1"/>
  <c r="Y1095" i="1"/>
  <c r="P1095" i="1"/>
  <c r="O1095" i="1"/>
  <c r="I1095" i="1"/>
  <c r="F1095" i="1"/>
  <c r="Y1094" i="1"/>
  <c r="P1094" i="1"/>
  <c r="O1094" i="1"/>
  <c r="I1094" i="1"/>
  <c r="F1094" i="1"/>
  <c r="Y1093" i="1"/>
  <c r="P1093" i="1"/>
  <c r="O1093" i="1"/>
  <c r="I1093" i="1"/>
  <c r="F1093" i="1"/>
  <c r="Y360" i="1"/>
  <c r="P360" i="1"/>
  <c r="O360" i="1"/>
  <c r="I360" i="1"/>
  <c r="F360" i="1"/>
  <c r="Y750" i="1"/>
  <c r="P750" i="1"/>
  <c r="O750" i="1"/>
  <c r="I750" i="1"/>
  <c r="F750" i="1"/>
  <c r="Y749" i="1"/>
  <c r="P749" i="1"/>
  <c r="O749" i="1"/>
  <c r="I749" i="1"/>
  <c r="F749" i="1"/>
  <c r="Y1092" i="1"/>
  <c r="P1092" i="1"/>
  <c r="O1092" i="1"/>
  <c r="I1092" i="1"/>
  <c r="F1092" i="1"/>
  <c r="Y1091" i="1"/>
  <c r="P1091" i="1"/>
  <c r="O1091" i="1"/>
  <c r="I1091" i="1"/>
  <c r="F1091" i="1"/>
  <c r="Y1090" i="1"/>
  <c r="P1090" i="1"/>
  <c r="O1090" i="1"/>
  <c r="I1090" i="1"/>
  <c r="F1090" i="1"/>
  <c r="Y763" i="1"/>
  <c r="P763" i="1"/>
  <c r="O763" i="1"/>
  <c r="I763" i="1"/>
  <c r="F763" i="1"/>
  <c r="Y1089" i="1"/>
  <c r="P1089" i="1"/>
  <c r="O1089" i="1"/>
  <c r="I1089" i="1"/>
  <c r="F1089" i="1"/>
  <c r="Y1088" i="1"/>
  <c r="P1088" i="1"/>
  <c r="O1088" i="1"/>
  <c r="I1088" i="1"/>
  <c r="F1088" i="1"/>
  <c r="Y328" i="1"/>
  <c r="P328" i="1"/>
  <c r="O328" i="1"/>
  <c r="I328" i="1"/>
  <c r="F328" i="1"/>
  <c r="Y292" i="1"/>
  <c r="P292" i="1"/>
  <c r="O292" i="1"/>
  <c r="I292" i="1"/>
  <c r="F292" i="1"/>
  <c r="Y1430" i="1"/>
  <c r="P1430" i="1"/>
  <c r="O1430" i="1"/>
  <c r="I1430" i="1"/>
  <c r="F1430" i="1"/>
  <c r="Y312" i="1"/>
  <c r="P312" i="1"/>
  <c r="O312" i="1"/>
  <c r="I312" i="1"/>
  <c r="F312" i="1"/>
  <c r="Y532" i="1"/>
  <c r="P532" i="1"/>
  <c r="O532" i="1"/>
  <c r="I532" i="1"/>
  <c r="F532" i="1"/>
  <c r="Y1304" i="1"/>
  <c r="P1304" i="1"/>
  <c r="O1304" i="1"/>
  <c r="I1304" i="1"/>
  <c r="F1304" i="1"/>
  <c r="Y406" i="1"/>
  <c r="P406" i="1"/>
  <c r="O406" i="1"/>
  <c r="I406" i="1"/>
  <c r="F406" i="1"/>
  <c r="Y531" i="1"/>
  <c r="P531" i="1"/>
  <c r="O531" i="1"/>
  <c r="I531" i="1"/>
  <c r="F531" i="1"/>
  <c r="Y690" i="1"/>
  <c r="P690" i="1"/>
  <c r="O690" i="1"/>
  <c r="I690" i="1"/>
  <c r="F690" i="1"/>
  <c r="Y320" i="1"/>
  <c r="P320" i="1"/>
  <c r="O320" i="1"/>
  <c r="I320" i="1"/>
  <c r="F320" i="1"/>
  <c r="Y1537" i="1"/>
  <c r="P1537" i="1"/>
  <c r="O1537" i="1"/>
  <c r="I1537" i="1"/>
  <c r="F1537" i="1"/>
  <c r="Y436" i="1"/>
  <c r="P436" i="1"/>
  <c r="O436" i="1"/>
  <c r="I436" i="1"/>
  <c r="F436" i="1"/>
  <c r="Y21" i="1"/>
  <c r="P21" i="1"/>
  <c r="O21" i="1"/>
  <c r="I21" i="1"/>
  <c r="F21" i="1"/>
  <c r="Y632" i="1"/>
  <c r="P632" i="1"/>
  <c r="O632" i="1"/>
  <c r="I632" i="1"/>
  <c r="F632" i="1"/>
  <c r="Y1087" i="1"/>
  <c r="P1087" i="1"/>
  <c r="O1087" i="1"/>
  <c r="I1087" i="1"/>
  <c r="F1087" i="1"/>
  <c r="Y1086" i="1"/>
  <c r="P1086" i="1"/>
  <c r="O1086" i="1"/>
  <c r="I1086" i="1"/>
  <c r="F1086" i="1"/>
  <c r="Y1085" i="1"/>
  <c r="P1085" i="1"/>
  <c r="O1085" i="1"/>
  <c r="I1085" i="1"/>
  <c r="F1085" i="1"/>
  <c r="Y1084" i="1"/>
  <c r="P1084" i="1"/>
  <c r="O1084" i="1"/>
  <c r="I1084" i="1"/>
  <c r="F1084" i="1"/>
  <c r="Y1083" i="1"/>
  <c r="P1083" i="1"/>
  <c r="O1083" i="1"/>
  <c r="I1083" i="1"/>
  <c r="F1083" i="1"/>
  <c r="Y1082" i="1"/>
  <c r="P1082" i="1"/>
  <c r="O1082" i="1"/>
  <c r="I1082" i="1"/>
  <c r="F1082" i="1"/>
  <c r="Y1081" i="1"/>
  <c r="P1081" i="1"/>
  <c r="O1081" i="1"/>
  <c r="I1081" i="1"/>
  <c r="F1081" i="1"/>
  <c r="Y1488" i="1"/>
  <c r="P1488" i="1"/>
  <c r="O1488" i="1"/>
  <c r="I1488" i="1"/>
  <c r="F1488" i="1"/>
  <c r="Y299" i="1"/>
  <c r="P299" i="1"/>
  <c r="O299" i="1"/>
  <c r="I299" i="1"/>
  <c r="F299" i="1"/>
  <c r="Y973" i="1"/>
  <c r="P973" i="1"/>
  <c r="O973" i="1"/>
  <c r="I973" i="1"/>
  <c r="F973" i="1"/>
  <c r="Y344" i="1"/>
  <c r="P344" i="1"/>
  <c r="O344" i="1"/>
  <c r="I344" i="1"/>
  <c r="F344" i="1"/>
  <c r="Y696" i="1"/>
  <c r="P696" i="1"/>
  <c r="O696" i="1"/>
  <c r="I696" i="1"/>
  <c r="F696" i="1"/>
  <c r="Y1215" i="1"/>
  <c r="P1215" i="1"/>
  <c r="O1215" i="1"/>
  <c r="I1215" i="1"/>
  <c r="F1215" i="1"/>
  <c r="Y1214" i="1"/>
  <c r="P1214" i="1"/>
  <c r="O1214" i="1"/>
  <c r="I1214" i="1"/>
  <c r="F1214" i="1"/>
  <c r="Y1206" i="1"/>
  <c r="P1206" i="1"/>
  <c r="O1206" i="1"/>
  <c r="I1206" i="1"/>
  <c r="F1206" i="1"/>
  <c r="Y1213" i="1"/>
  <c r="P1213" i="1"/>
  <c r="O1213" i="1"/>
  <c r="I1213" i="1"/>
  <c r="F1213" i="1"/>
  <c r="Y1212" i="1"/>
  <c r="P1212" i="1"/>
  <c r="O1212" i="1"/>
  <c r="I1212" i="1"/>
  <c r="F1212" i="1"/>
  <c r="Y1211" i="1"/>
  <c r="P1211" i="1"/>
  <c r="O1211" i="1"/>
  <c r="I1211" i="1"/>
  <c r="F1211" i="1"/>
  <c r="Y1210" i="1"/>
  <c r="P1210" i="1"/>
  <c r="O1210" i="1"/>
  <c r="I1210" i="1"/>
  <c r="F1210" i="1"/>
  <c r="Y1209" i="1"/>
  <c r="P1209" i="1"/>
  <c r="O1209" i="1"/>
  <c r="I1209" i="1"/>
  <c r="F1209" i="1"/>
  <c r="Y1208" i="1"/>
  <c r="P1208" i="1"/>
  <c r="O1208" i="1"/>
  <c r="I1208" i="1"/>
  <c r="F1208" i="1"/>
  <c r="Y1080" i="1"/>
  <c r="P1080" i="1"/>
  <c r="O1080" i="1"/>
  <c r="I1080" i="1"/>
  <c r="F1080" i="1"/>
  <c r="Y1079" i="1"/>
  <c r="P1079" i="1"/>
  <c r="O1079" i="1"/>
  <c r="I1079" i="1"/>
  <c r="F1079" i="1"/>
  <c r="Y1078" i="1"/>
  <c r="P1078" i="1"/>
  <c r="O1078" i="1"/>
  <c r="I1078" i="1"/>
  <c r="F1078" i="1"/>
  <c r="Y806" i="1"/>
  <c r="P806" i="1"/>
  <c r="O806" i="1"/>
  <c r="I806" i="1"/>
  <c r="F806" i="1"/>
  <c r="Y701" i="1"/>
  <c r="P701" i="1"/>
  <c r="O701" i="1"/>
  <c r="I701" i="1"/>
  <c r="F701" i="1"/>
  <c r="Y1382" i="1"/>
  <c r="P1382" i="1"/>
  <c r="O1382" i="1"/>
  <c r="I1382" i="1"/>
  <c r="F1382" i="1"/>
  <c r="Y1177" i="1"/>
  <c r="P1177" i="1"/>
  <c r="O1177" i="1"/>
  <c r="I1177" i="1"/>
  <c r="F1177" i="1"/>
  <c r="Y522" i="1"/>
  <c r="P522" i="1"/>
  <c r="O522" i="1"/>
  <c r="I522" i="1"/>
  <c r="F522" i="1"/>
  <c r="Y805" i="1"/>
  <c r="P805" i="1"/>
  <c r="O805" i="1"/>
  <c r="I805" i="1"/>
  <c r="F805" i="1"/>
  <c r="Y100" i="1"/>
  <c r="P100" i="1"/>
  <c r="O100" i="1"/>
  <c r="I100" i="1"/>
  <c r="F100" i="1"/>
  <c r="Y226" i="1"/>
  <c r="P226" i="1"/>
  <c r="O226" i="1"/>
  <c r="I226" i="1"/>
  <c r="F226" i="1"/>
  <c r="Y1242" i="1"/>
  <c r="P1242" i="1"/>
  <c r="O1242" i="1"/>
  <c r="I1242" i="1"/>
  <c r="F1242" i="1"/>
  <c r="Y1249" i="1"/>
  <c r="P1249" i="1"/>
  <c r="O1249" i="1"/>
  <c r="I1249" i="1"/>
  <c r="F1249" i="1"/>
  <c r="Y1248" i="1"/>
  <c r="P1248" i="1"/>
  <c r="O1248" i="1"/>
  <c r="I1248" i="1"/>
  <c r="F1248" i="1"/>
  <c r="Y1241" i="1"/>
  <c r="P1241" i="1"/>
  <c r="O1241" i="1"/>
  <c r="I1241" i="1"/>
  <c r="F1241" i="1"/>
  <c r="Y778" i="1"/>
  <c r="P778" i="1"/>
  <c r="O778" i="1"/>
  <c r="I778" i="1"/>
  <c r="F778" i="1"/>
  <c r="Y1240" i="1"/>
  <c r="P1240" i="1"/>
  <c r="O1240" i="1"/>
  <c r="I1240" i="1"/>
  <c r="F1240" i="1"/>
  <c r="Y1239" i="1"/>
  <c r="P1239" i="1"/>
  <c r="O1239" i="1"/>
  <c r="I1239" i="1"/>
  <c r="F1239" i="1"/>
  <c r="Y1238" i="1"/>
  <c r="P1238" i="1"/>
  <c r="O1238" i="1"/>
  <c r="I1238" i="1"/>
  <c r="F1238" i="1"/>
  <c r="Y1237" i="1"/>
  <c r="P1237" i="1"/>
  <c r="O1237" i="1"/>
  <c r="I1237" i="1"/>
  <c r="F1237" i="1"/>
  <c r="Y1236" i="1"/>
  <c r="P1236" i="1"/>
  <c r="O1236" i="1"/>
  <c r="I1236" i="1"/>
  <c r="F1236" i="1"/>
  <c r="Y1235" i="1"/>
  <c r="P1235" i="1"/>
  <c r="O1235" i="1"/>
  <c r="I1235" i="1"/>
  <c r="F1235" i="1"/>
  <c r="Y1234" i="1"/>
  <c r="P1234" i="1"/>
  <c r="O1234" i="1"/>
  <c r="I1234" i="1"/>
  <c r="F1234" i="1"/>
  <c r="Y1233" i="1"/>
  <c r="P1233" i="1"/>
  <c r="O1233" i="1"/>
  <c r="I1233" i="1"/>
  <c r="F1233" i="1"/>
  <c r="Y1232" i="1"/>
  <c r="P1232" i="1"/>
  <c r="O1232" i="1"/>
  <c r="I1232" i="1"/>
  <c r="F1232" i="1"/>
  <c r="Y1247" i="1"/>
  <c r="P1247" i="1"/>
  <c r="O1247" i="1"/>
  <c r="I1247" i="1"/>
  <c r="F1247" i="1"/>
  <c r="Y149" i="1"/>
  <c r="P149" i="1"/>
  <c r="O149" i="1"/>
  <c r="I149" i="1"/>
  <c r="F149" i="1"/>
  <c r="Y148" i="1"/>
  <c r="P148" i="1"/>
  <c r="O148" i="1"/>
  <c r="I148" i="1"/>
  <c r="F148" i="1"/>
  <c r="Y19" i="1"/>
  <c r="P19" i="1"/>
  <c r="O19" i="1"/>
  <c r="I19" i="1"/>
  <c r="F19" i="1"/>
  <c r="Y147" i="1"/>
  <c r="P147" i="1"/>
  <c r="O147" i="1"/>
  <c r="I147" i="1"/>
  <c r="F147" i="1"/>
  <c r="Y146" i="1"/>
  <c r="P146" i="1"/>
  <c r="O146" i="1"/>
  <c r="I146" i="1"/>
  <c r="F146" i="1"/>
  <c r="Y151" i="1"/>
  <c r="P151" i="1"/>
  <c r="O151" i="1"/>
  <c r="I151" i="1"/>
  <c r="F151" i="1"/>
  <c r="Y150" i="1"/>
  <c r="P150" i="1"/>
  <c r="O150" i="1"/>
  <c r="I150" i="1"/>
  <c r="F150" i="1"/>
  <c r="Y663" i="1"/>
  <c r="P663" i="1"/>
  <c r="O663" i="1"/>
  <c r="I663" i="1"/>
  <c r="F663" i="1"/>
  <c r="Y4" i="1"/>
  <c r="P4" i="1"/>
  <c r="O4" i="1"/>
  <c r="I4" i="1"/>
  <c r="F4" i="1"/>
  <c r="Y506" i="1"/>
  <c r="P506" i="1"/>
  <c r="O506" i="1"/>
  <c r="I506" i="1"/>
  <c r="F506" i="1"/>
  <c r="Y793" i="1"/>
  <c r="P793" i="1"/>
  <c r="O793" i="1"/>
  <c r="I793" i="1"/>
  <c r="F793" i="1"/>
  <c r="Y167" i="1"/>
  <c r="P167" i="1"/>
  <c r="O167" i="1"/>
  <c r="I167" i="1"/>
  <c r="F167" i="1"/>
  <c r="Y341" i="1"/>
  <c r="P341" i="1"/>
  <c r="O341" i="1"/>
  <c r="I341" i="1"/>
  <c r="F341" i="1"/>
  <c r="Y941" i="1"/>
  <c r="P941" i="1"/>
  <c r="O941" i="1"/>
  <c r="I941" i="1"/>
  <c r="F941" i="1"/>
  <c r="Y581" i="1"/>
  <c r="P581" i="1"/>
  <c r="O581" i="1"/>
  <c r="I581" i="1"/>
  <c r="F581" i="1"/>
  <c r="Y324" i="1"/>
  <c r="P324" i="1"/>
  <c r="O324" i="1"/>
  <c r="I324" i="1"/>
  <c r="F324" i="1"/>
  <c r="Y889" i="1"/>
  <c r="P889" i="1"/>
  <c r="O889" i="1"/>
  <c r="I889" i="1"/>
  <c r="F889" i="1"/>
  <c r="Y333" i="1"/>
  <c r="P333" i="1"/>
  <c r="O333" i="1"/>
  <c r="I333" i="1"/>
  <c r="F333" i="1"/>
  <c r="Y173" i="1"/>
  <c r="P173" i="1"/>
  <c r="O173" i="1"/>
  <c r="I173" i="1"/>
  <c r="F173" i="1"/>
  <c r="Y904" i="1"/>
  <c r="P904" i="1"/>
  <c r="O904" i="1"/>
  <c r="I904" i="1"/>
  <c r="F904" i="1"/>
  <c r="Y639" i="1"/>
  <c r="P639" i="1"/>
  <c r="O639" i="1"/>
  <c r="I639" i="1"/>
  <c r="F639" i="1"/>
  <c r="Y340" i="1"/>
  <c r="P340" i="1"/>
  <c r="O340" i="1"/>
  <c r="I340" i="1"/>
  <c r="F340" i="1"/>
  <c r="Y866" i="1"/>
  <c r="P866" i="1"/>
  <c r="O866" i="1"/>
  <c r="I866" i="1"/>
  <c r="F866" i="1"/>
  <c r="Y323" i="1"/>
  <c r="P323" i="1"/>
  <c r="O323" i="1"/>
  <c r="I323" i="1"/>
  <c r="F323" i="1"/>
  <c r="Y870" i="1"/>
  <c r="P870" i="1"/>
  <c r="O870" i="1"/>
  <c r="I870" i="1"/>
  <c r="F870" i="1"/>
  <c r="Y574" i="1"/>
  <c r="P574" i="1"/>
  <c r="O574" i="1"/>
  <c r="I574" i="1"/>
  <c r="F574" i="1"/>
  <c r="Y636" i="1"/>
  <c r="P636" i="1"/>
  <c r="O636" i="1"/>
  <c r="I636" i="1"/>
  <c r="F636" i="1"/>
  <c r="Y835" i="1"/>
  <c r="P835" i="1"/>
  <c r="O835" i="1"/>
  <c r="I835" i="1"/>
  <c r="F835" i="1"/>
  <c r="Y635" i="1"/>
  <c r="P635" i="1"/>
  <c r="O635" i="1"/>
  <c r="I635" i="1"/>
  <c r="F635" i="1"/>
  <c r="Y770" i="1"/>
  <c r="P770" i="1"/>
  <c r="O770" i="1"/>
  <c r="I770" i="1"/>
  <c r="F770" i="1"/>
  <c r="Y896" i="1"/>
  <c r="P896" i="1"/>
  <c r="O896" i="1"/>
  <c r="I896" i="1"/>
  <c r="F896" i="1"/>
  <c r="Y649" i="1"/>
  <c r="P649" i="1"/>
  <c r="O649" i="1"/>
  <c r="I649" i="1"/>
  <c r="F649" i="1"/>
  <c r="Y856" i="1"/>
  <c r="P856" i="1"/>
  <c r="O856" i="1"/>
  <c r="I856" i="1"/>
  <c r="F856" i="1"/>
  <c r="Y642" i="1"/>
  <c r="P642" i="1"/>
  <c r="O642" i="1"/>
  <c r="I642" i="1"/>
  <c r="F642" i="1"/>
  <c r="Y899" i="1"/>
  <c r="P899" i="1"/>
  <c r="O899" i="1"/>
  <c r="I899" i="1"/>
  <c r="F899" i="1"/>
  <c r="Y843" i="1"/>
  <c r="P843" i="1"/>
  <c r="O843" i="1"/>
  <c r="I843" i="1"/>
  <c r="F843" i="1"/>
  <c r="Y528" i="1"/>
  <c r="P528" i="1"/>
  <c r="O528" i="1"/>
  <c r="I528" i="1"/>
  <c r="F528" i="1"/>
  <c r="Y902" i="1"/>
  <c r="P902" i="1"/>
  <c r="O902" i="1"/>
  <c r="I902" i="1"/>
  <c r="F902" i="1"/>
  <c r="Y322" i="1"/>
  <c r="P322" i="1"/>
  <c r="O322" i="1"/>
  <c r="I322" i="1"/>
  <c r="F322" i="1"/>
  <c r="Y570" i="1"/>
  <c r="P570" i="1"/>
  <c r="O570" i="1"/>
  <c r="I570" i="1"/>
  <c r="F570" i="1"/>
  <c r="Y304" i="1"/>
  <c r="P304" i="1"/>
  <c r="O304" i="1"/>
  <c r="I304" i="1"/>
  <c r="F304" i="1"/>
  <c r="Y764" i="1"/>
  <c r="P764" i="1"/>
  <c r="O764" i="1"/>
  <c r="I764" i="1"/>
  <c r="F764" i="1"/>
  <c r="Y622" i="1"/>
  <c r="P622" i="1"/>
  <c r="O622" i="1"/>
  <c r="I622" i="1"/>
  <c r="F622" i="1"/>
  <c r="Y550" i="1"/>
  <c r="P550" i="1"/>
  <c r="O550" i="1"/>
  <c r="I550" i="1"/>
  <c r="F550" i="1"/>
  <c r="Y767" i="1"/>
  <c r="P767" i="1"/>
  <c r="O767" i="1"/>
  <c r="I767" i="1"/>
  <c r="F767" i="1"/>
  <c r="Y496" i="1"/>
  <c r="P496" i="1"/>
  <c r="O496" i="1"/>
  <c r="I496" i="1"/>
  <c r="F496" i="1"/>
  <c r="Y747" i="1"/>
  <c r="P747" i="1"/>
  <c r="O747" i="1"/>
  <c r="I747" i="1"/>
  <c r="F747" i="1"/>
  <c r="Y791" i="1"/>
  <c r="P791" i="1"/>
  <c r="O791" i="1"/>
  <c r="I791" i="1"/>
  <c r="F791" i="1"/>
  <c r="Y1077" i="1"/>
  <c r="P1077" i="1"/>
  <c r="O1077" i="1"/>
  <c r="I1077" i="1"/>
  <c r="F1077" i="1"/>
  <c r="Y759" i="1"/>
  <c r="P759" i="1"/>
  <c r="O759" i="1"/>
  <c r="I759" i="1"/>
  <c r="F759" i="1"/>
  <c r="Y317" i="1"/>
  <c r="P317" i="1"/>
  <c r="O317" i="1"/>
  <c r="I317" i="1"/>
  <c r="F317" i="1"/>
  <c r="Y868" i="1"/>
  <c r="P868" i="1"/>
  <c r="O868" i="1"/>
  <c r="I868" i="1"/>
  <c r="F868" i="1"/>
  <c r="Y176" i="1"/>
  <c r="P176" i="1"/>
  <c r="O176" i="1"/>
  <c r="I176" i="1"/>
  <c r="F176" i="1"/>
  <c r="Y932" i="1"/>
  <c r="P932" i="1"/>
  <c r="O932" i="1"/>
  <c r="I932" i="1"/>
  <c r="F932" i="1"/>
  <c r="Y413" i="1"/>
  <c r="P413" i="1"/>
  <c r="O413" i="1"/>
  <c r="I413" i="1"/>
  <c r="F413" i="1"/>
  <c r="Y628" i="1"/>
  <c r="P628" i="1"/>
  <c r="O628" i="1"/>
  <c r="I628" i="1"/>
  <c r="F628" i="1"/>
  <c r="Y168" i="1"/>
  <c r="P168" i="1"/>
  <c r="O168" i="1"/>
  <c r="I168" i="1"/>
  <c r="F168" i="1"/>
  <c r="Y1417" i="1"/>
  <c r="P1417" i="1"/>
  <c r="O1417" i="1"/>
  <c r="I1417" i="1"/>
  <c r="F1417" i="1"/>
  <c r="Y910" i="1"/>
  <c r="P910" i="1"/>
  <c r="O910" i="1"/>
  <c r="I910" i="1"/>
  <c r="F910" i="1"/>
  <c r="Y893" i="1"/>
  <c r="P893" i="1"/>
  <c r="O893" i="1"/>
  <c r="I893" i="1"/>
  <c r="F893" i="1"/>
  <c r="Y546" i="1"/>
  <c r="P546" i="1"/>
  <c r="O546" i="1"/>
  <c r="I546" i="1"/>
  <c r="F546" i="1"/>
  <c r="Y1159" i="1"/>
  <c r="P1159" i="1"/>
  <c r="O1159" i="1"/>
  <c r="I1159" i="1"/>
  <c r="F1159" i="1"/>
  <c r="Y421" i="1"/>
  <c r="P421" i="1"/>
  <c r="O421" i="1"/>
  <c r="I421" i="1"/>
  <c r="F421" i="1"/>
  <c r="Y790" i="1"/>
  <c r="P790" i="1"/>
  <c r="O790" i="1"/>
  <c r="I790" i="1"/>
  <c r="F790" i="1"/>
  <c r="Y1231" i="1"/>
  <c r="P1231" i="1"/>
  <c r="O1231" i="1"/>
  <c r="I1231" i="1"/>
  <c r="F1231" i="1"/>
  <c r="Y1158" i="1"/>
  <c r="P1158" i="1"/>
  <c r="O1158" i="1"/>
  <c r="I1158" i="1"/>
  <c r="F1158" i="1"/>
  <c r="Y1230" i="1"/>
  <c r="P1230" i="1"/>
  <c r="O1230" i="1"/>
  <c r="I1230" i="1"/>
  <c r="F1230" i="1"/>
  <c r="Y810" i="1"/>
  <c r="P810" i="1"/>
  <c r="O810" i="1"/>
  <c r="I810" i="1"/>
  <c r="F810" i="1"/>
  <c r="Y912" i="1"/>
  <c r="P912" i="1"/>
  <c r="O912" i="1"/>
  <c r="I912" i="1"/>
  <c r="F912" i="1"/>
  <c r="Y1268" i="1"/>
  <c r="P1268" i="1"/>
  <c r="O1268" i="1"/>
  <c r="I1268" i="1"/>
  <c r="F1268" i="1"/>
  <c r="Y816" i="1"/>
  <c r="P816" i="1"/>
  <c r="O816" i="1"/>
  <c r="I816" i="1"/>
  <c r="F816" i="1"/>
  <c r="Y1229" i="1"/>
  <c r="P1229" i="1"/>
  <c r="O1229" i="1"/>
  <c r="I1229" i="1"/>
  <c r="F1229" i="1"/>
  <c r="Y1244" i="1"/>
  <c r="P1244" i="1"/>
  <c r="O1244" i="1"/>
  <c r="I1244" i="1"/>
  <c r="F1244" i="1"/>
  <c r="Y898" i="1"/>
  <c r="P898" i="1"/>
  <c r="O898" i="1"/>
  <c r="I898" i="1"/>
  <c r="F898" i="1"/>
  <c r="Y1228" i="1"/>
  <c r="P1228" i="1"/>
  <c r="O1228" i="1"/>
  <c r="I1228" i="1"/>
  <c r="F1228" i="1"/>
  <c r="Y995" i="1"/>
  <c r="P995" i="1"/>
  <c r="O995" i="1"/>
  <c r="I995" i="1"/>
  <c r="F995" i="1"/>
  <c r="Y1245" i="1"/>
  <c r="P1245" i="1"/>
  <c r="O1245" i="1"/>
  <c r="I1245" i="1"/>
  <c r="F1245" i="1"/>
  <c r="Y616" i="1"/>
  <c r="P616" i="1"/>
  <c r="O616" i="1"/>
  <c r="I616" i="1"/>
  <c r="F616" i="1"/>
  <c r="Y858" i="1"/>
  <c r="P858" i="1"/>
  <c r="O858" i="1"/>
  <c r="I858" i="1"/>
  <c r="F858" i="1"/>
  <c r="Y892" i="1"/>
  <c r="P892" i="1"/>
  <c r="O892" i="1"/>
  <c r="I892" i="1"/>
  <c r="F892" i="1"/>
  <c r="Y884" i="1"/>
  <c r="P884" i="1"/>
  <c r="O884" i="1"/>
  <c r="I884" i="1"/>
  <c r="F884" i="1"/>
  <c r="Y1227" i="1"/>
  <c r="P1227" i="1"/>
  <c r="O1227" i="1"/>
  <c r="I1227" i="1"/>
  <c r="F1227" i="1"/>
  <c r="Y1076" i="1"/>
  <c r="P1076" i="1"/>
  <c r="O1076" i="1"/>
  <c r="I1076" i="1"/>
  <c r="F1076" i="1"/>
  <c r="Y1075" i="1"/>
  <c r="P1075" i="1"/>
  <c r="O1075" i="1"/>
  <c r="I1075" i="1"/>
  <c r="F1075" i="1"/>
  <c r="Y132" i="1"/>
  <c r="P132" i="1"/>
  <c r="O132" i="1"/>
  <c r="I132" i="1"/>
  <c r="F132" i="1"/>
  <c r="Y609" i="1"/>
  <c r="P609" i="1"/>
  <c r="O609" i="1"/>
  <c r="I609" i="1"/>
  <c r="F609" i="1"/>
  <c r="Y1389" i="1"/>
  <c r="P1389" i="1"/>
  <c r="O1389" i="1"/>
  <c r="I1389" i="1"/>
  <c r="F1389" i="1"/>
  <c r="Y52" i="1"/>
  <c r="P52" i="1"/>
  <c r="O52" i="1"/>
  <c r="I52" i="1"/>
  <c r="F52" i="1"/>
  <c r="Y134" i="1"/>
  <c r="P134" i="1"/>
  <c r="O134" i="1"/>
  <c r="I134" i="1"/>
  <c r="F134" i="1"/>
  <c r="Y211" i="1"/>
  <c r="P211" i="1"/>
  <c r="O211" i="1"/>
  <c r="I211" i="1"/>
  <c r="F211" i="1"/>
  <c r="Y119" i="1"/>
  <c r="P119" i="1"/>
  <c r="O119" i="1"/>
  <c r="I119" i="1"/>
  <c r="F119" i="1"/>
  <c r="Y133" i="1"/>
  <c r="P133" i="1"/>
  <c r="O133" i="1"/>
  <c r="I133" i="1"/>
  <c r="F133" i="1"/>
  <c r="Y946" i="1"/>
  <c r="P946" i="1"/>
  <c r="O946" i="1"/>
  <c r="I946" i="1"/>
  <c r="F946" i="1"/>
  <c r="Y675" i="1"/>
  <c r="P675" i="1"/>
  <c r="O675" i="1"/>
  <c r="I675" i="1"/>
  <c r="F675" i="1"/>
  <c r="Y738" i="1"/>
  <c r="P738" i="1"/>
  <c r="O738" i="1"/>
  <c r="I738" i="1"/>
  <c r="F738" i="1"/>
  <c r="Y1379" i="1"/>
  <c r="P1379" i="1"/>
  <c r="O1379" i="1"/>
  <c r="I1379" i="1"/>
  <c r="F1379" i="1"/>
  <c r="Y256" i="1"/>
  <c r="P256" i="1"/>
  <c r="O256" i="1"/>
  <c r="I256" i="1"/>
  <c r="F256" i="1"/>
  <c r="Y422" i="1"/>
  <c r="P422" i="1"/>
  <c r="O422" i="1"/>
  <c r="I422" i="1"/>
  <c r="F422" i="1"/>
  <c r="Y872" i="1"/>
  <c r="P872" i="1"/>
  <c r="O872" i="1"/>
  <c r="I872" i="1"/>
  <c r="F872" i="1"/>
  <c r="Y894" i="1"/>
  <c r="P894" i="1"/>
  <c r="O894" i="1"/>
  <c r="I894" i="1"/>
  <c r="F894" i="1"/>
  <c r="Y353" i="1"/>
  <c r="P353" i="1"/>
  <c r="O353" i="1"/>
  <c r="I353" i="1"/>
  <c r="F353" i="1"/>
  <c r="Y453" i="1"/>
  <c r="P453" i="1"/>
  <c r="O453" i="1"/>
  <c r="I453" i="1"/>
  <c r="F453" i="1"/>
  <c r="Y784" i="1"/>
  <c r="P784" i="1"/>
  <c r="O784" i="1"/>
  <c r="I784" i="1"/>
  <c r="F784" i="1"/>
  <c r="Y431" i="1"/>
  <c r="P431" i="1"/>
  <c r="O431" i="1"/>
  <c r="I431" i="1"/>
  <c r="F431" i="1"/>
  <c r="Y371" i="1"/>
  <c r="P371" i="1"/>
  <c r="O371" i="1"/>
  <c r="I371" i="1"/>
  <c r="F371" i="1"/>
  <c r="Y783" i="1"/>
  <c r="P783" i="1"/>
  <c r="O783" i="1"/>
  <c r="I783" i="1"/>
  <c r="F783" i="1"/>
  <c r="Y245" i="1"/>
  <c r="P245" i="1"/>
  <c r="O245" i="1"/>
  <c r="I245" i="1"/>
  <c r="F245" i="1"/>
  <c r="Y365" i="1"/>
  <c r="P365" i="1"/>
  <c r="O365" i="1"/>
  <c r="I365" i="1"/>
  <c r="F365" i="1"/>
  <c r="Y867" i="1"/>
  <c r="P867" i="1"/>
  <c r="O867" i="1"/>
  <c r="I867" i="1"/>
  <c r="F867" i="1"/>
  <c r="Y430" i="1"/>
  <c r="P430" i="1"/>
  <c r="O430" i="1"/>
  <c r="I430" i="1"/>
  <c r="F430" i="1"/>
  <c r="Y364" i="1"/>
  <c r="P364" i="1"/>
  <c r="O364" i="1"/>
  <c r="I364" i="1"/>
  <c r="F364" i="1"/>
  <c r="Y714" i="1"/>
  <c r="P714" i="1"/>
  <c r="O714" i="1"/>
  <c r="I714" i="1"/>
  <c r="F714" i="1"/>
  <c r="Y725" i="1"/>
  <c r="P725" i="1"/>
  <c r="O725" i="1"/>
  <c r="I725" i="1"/>
  <c r="F725" i="1"/>
  <c r="Y727" i="1"/>
  <c r="P727" i="1"/>
  <c r="O727" i="1"/>
  <c r="I727" i="1"/>
  <c r="F727" i="1"/>
  <c r="Y713" i="1"/>
  <c r="P713" i="1"/>
  <c r="O713" i="1"/>
  <c r="I713" i="1"/>
  <c r="F713" i="1"/>
  <c r="Y1165" i="1"/>
  <c r="P1165" i="1"/>
  <c r="O1165" i="1"/>
  <c r="I1165" i="1"/>
  <c r="F1165" i="1"/>
  <c r="Y736" i="1"/>
  <c r="P736" i="1"/>
  <c r="O736" i="1"/>
  <c r="I736" i="1"/>
  <c r="F736" i="1"/>
  <c r="Y1185" i="1"/>
  <c r="P1185" i="1"/>
  <c r="O1185" i="1"/>
  <c r="I1185" i="1"/>
  <c r="F1185" i="1"/>
  <c r="Y712" i="1"/>
  <c r="P712" i="1"/>
  <c r="O712" i="1"/>
  <c r="I712" i="1"/>
  <c r="F712" i="1"/>
  <c r="Y1198" i="1"/>
  <c r="P1198" i="1"/>
  <c r="O1198" i="1"/>
  <c r="I1198" i="1"/>
  <c r="F1198" i="1"/>
  <c r="Y711" i="1"/>
  <c r="P711" i="1"/>
  <c r="O711" i="1"/>
  <c r="I711" i="1"/>
  <c r="F711" i="1"/>
  <c r="Y1221" i="1"/>
  <c r="P1221" i="1"/>
  <c r="O1221" i="1"/>
  <c r="I1221" i="1"/>
  <c r="F1221" i="1"/>
  <c r="Y699" i="1"/>
  <c r="P699" i="1"/>
  <c r="O699" i="1"/>
  <c r="I699" i="1"/>
  <c r="F699" i="1"/>
  <c r="Y724" i="1"/>
  <c r="P724" i="1"/>
  <c r="O724" i="1"/>
  <c r="I724" i="1"/>
  <c r="F724" i="1"/>
  <c r="Y743" i="1"/>
  <c r="P743" i="1"/>
  <c r="O743" i="1"/>
  <c r="I743" i="1"/>
  <c r="F743" i="1"/>
  <c r="Y723" i="1"/>
  <c r="P723" i="1"/>
  <c r="O723" i="1"/>
  <c r="I723" i="1"/>
  <c r="F723" i="1"/>
  <c r="Y2" i="1"/>
  <c r="P2" i="1"/>
  <c r="O2" i="1"/>
  <c r="I2" i="1"/>
  <c r="F2" i="1"/>
  <c r="Y1074" i="1"/>
  <c r="P1074" i="1"/>
  <c r="O1074" i="1"/>
  <c r="I1074" i="1"/>
  <c r="F1074" i="1"/>
  <c r="Y1291" i="1"/>
  <c r="P1291" i="1"/>
  <c r="O1291" i="1"/>
  <c r="I1291" i="1"/>
  <c r="F1291" i="1"/>
  <c r="Y949" i="1"/>
  <c r="P949" i="1"/>
  <c r="O949" i="1"/>
  <c r="I949" i="1"/>
  <c r="F949" i="1"/>
  <c r="Y459" i="1"/>
  <c r="P459" i="1"/>
  <c r="O459" i="1"/>
  <c r="I459" i="1"/>
  <c r="F459" i="1"/>
  <c r="Y293" i="1"/>
  <c r="P293" i="1"/>
  <c r="O293" i="1"/>
  <c r="I293" i="1"/>
  <c r="F293" i="1"/>
  <c r="Y586" i="1"/>
  <c r="P586" i="1"/>
  <c r="O586" i="1"/>
  <c r="I586" i="1"/>
  <c r="F586" i="1"/>
  <c r="Y593" i="1"/>
  <c r="P593" i="1"/>
  <c r="O593" i="1"/>
  <c r="I593" i="1"/>
  <c r="F593" i="1"/>
  <c r="Y1162" i="1"/>
  <c r="P1162" i="1"/>
  <c r="O1162" i="1"/>
  <c r="I1162" i="1"/>
  <c r="F1162" i="1"/>
  <c r="Y350" i="1"/>
  <c r="P350" i="1"/>
  <c r="O350" i="1"/>
  <c r="I350" i="1"/>
  <c r="F350" i="1"/>
  <c r="Y582" i="1"/>
  <c r="P582" i="1"/>
  <c r="O582" i="1"/>
  <c r="I582" i="1"/>
  <c r="F582" i="1"/>
  <c r="Y847" i="1"/>
  <c r="P847" i="1"/>
  <c r="O847" i="1"/>
  <c r="I847" i="1"/>
  <c r="F847" i="1"/>
  <c r="Y374" i="1"/>
  <c r="P374" i="1"/>
  <c r="O374" i="1"/>
  <c r="I374" i="1"/>
  <c r="F374" i="1"/>
  <c r="Y846" i="1"/>
  <c r="P846" i="1"/>
  <c r="O846" i="1"/>
  <c r="I846" i="1"/>
  <c r="F846" i="1"/>
  <c r="Y588" i="1"/>
  <c r="P588" i="1"/>
  <c r="O588" i="1"/>
  <c r="I588" i="1"/>
  <c r="F588" i="1"/>
  <c r="Y566" i="1"/>
  <c r="P566" i="1"/>
  <c r="O566" i="1"/>
  <c r="I566" i="1"/>
  <c r="F566" i="1"/>
  <c r="Y579" i="1"/>
  <c r="P579" i="1"/>
  <c r="O579" i="1"/>
  <c r="I579" i="1"/>
  <c r="F579" i="1"/>
  <c r="Y51" i="1"/>
  <c r="P51" i="1"/>
  <c r="O51" i="1"/>
  <c r="I51" i="1"/>
  <c r="F51" i="1"/>
  <c r="Y47" i="1"/>
  <c r="P47" i="1"/>
  <c r="O47" i="1"/>
  <c r="I47" i="1"/>
  <c r="F47" i="1"/>
  <c r="Y785" i="1"/>
  <c r="P785" i="1"/>
  <c r="O785" i="1"/>
  <c r="I785" i="1"/>
  <c r="F785" i="1"/>
  <c r="Y197" i="1"/>
  <c r="P197" i="1"/>
  <c r="O197" i="1"/>
  <c r="I197" i="1"/>
  <c r="F197" i="1"/>
  <c r="Y136" i="1"/>
  <c r="P136" i="1"/>
  <c r="O136" i="1"/>
  <c r="I136" i="1"/>
  <c r="F136" i="1"/>
  <c r="Y1447" i="1"/>
  <c r="P1447" i="1"/>
  <c r="O1447" i="1"/>
  <c r="I1447" i="1"/>
  <c r="F1447" i="1"/>
  <c r="Y1446" i="1"/>
  <c r="P1446" i="1"/>
  <c r="O1446" i="1"/>
  <c r="I1446" i="1"/>
  <c r="F1446" i="1"/>
  <c r="Y1422" i="1"/>
  <c r="P1422" i="1"/>
  <c r="O1422" i="1"/>
  <c r="I1422" i="1"/>
  <c r="F1422" i="1"/>
  <c r="Y611" i="1"/>
  <c r="P611" i="1"/>
  <c r="O611" i="1"/>
  <c r="I611" i="1"/>
  <c r="F611" i="1"/>
  <c r="Y1445" i="1"/>
  <c r="P1445" i="1"/>
  <c r="O1445" i="1"/>
  <c r="I1445" i="1"/>
  <c r="F1445" i="1"/>
  <c r="Y1444" i="1"/>
  <c r="P1444" i="1"/>
  <c r="O1444" i="1"/>
  <c r="I1444" i="1"/>
  <c r="F1444" i="1"/>
  <c r="Y1309" i="1"/>
  <c r="P1309" i="1"/>
  <c r="O1309" i="1"/>
  <c r="I1309" i="1"/>
  <c r="F1309" i="1"/>
  <c r="Y1443" i="1"/>
  <c r="P1443" i="1"/>
  <c r="O1443" i="1"/>
  <c r="I1443" i="1"/>
  <c r="F1443" i="1"/>
  <c r="Y302" i="1"/>
  <c r="P302" i="1"/>
  <c r="O302" i="1"/>
  <c r="I302" i="1"/>
  <c r="F302" i="1"/>
  <c r="Y284" i="1"/>
  <c r="P284" i="1"/>
  <c r="O284" i="1"/>
  <c r="I284" i="1"/>
  <c r="F284" i="1"/>
  <c r="Y278" i="1"/>
  <c r="P278" i="1"/>
  <c r="O278" i="1"/>
  <c r="I278" i="1"/>
  <c r="F278" i="1"/>
  <c r="Y277" i="1"/>
  <c r="P277" i="1"/>
  <c r="O277" i="1"/>
  <c r="I277" i="1"/>
  <c r="F277" i="1"/>
  <c r="Y282" i="1"/>
  <c r="P282" i="1"/>
  <c r="O282" i="1"/>
  <c r="I282" i="1"/>
  <c r="F282" i="1"/>
  <c r="Y335" i="1"/>
  <c r="P335" i="1"/>
  <c r="O335" i="1"/>
  <c r="I335" i="1"/>
  <c r="F335" i="1"/>
  <c r="Y288" i="1"/>
  <c r="P288" i="1"/>
  <c r="O288" i="1"/>
  <c r="I288" i="1"/>
  <c r="F288" i="1"/>
  <c r="Y458" i="1"/>
  <c r="P458" i="1"/>
  <c r="O458" i="1"/>
  <c r="I458" i="1"/>
  <c r="F458" i="1"/>
  <c r="Y263" i="1"/>
  <c r="P263" i="1"/>
  <c r="O263" i="1"/>
  <c r="I263" i="1"/>
  <c r="F263" i="1"/>
  <c r="Y368" i="1"/>
  <c r="P368" i="1"/>
  <c r="O368" i="1"/>
  <c r="I368" i="1"/>
  <c r="F368" i="1"/>
  <c r="Y308" i="1"/>
  <c r="P308" i="1"/>
  <c r="O308" i="1"/>
  <c r="I308" i="1"/>
  <c r="F308" i="1"/>
  <c r="Y295" i="1"/>
  <c r="P295" i="1"/>
  <c r="O295" i="1"/>
  <c r="I295" i="1"/>
  <c r="F295" i="1"/>
  <c r="Y472" i="1"/>
  <c r="P472" i="1"/>
  <c r="O472" i="1"/>
  <c r="I472" i="1"/>
  <c r="F472" i="1"/>
  <c r="Y854" i="1"/>
  <c r="P854" i="1"/>
  <c r="O854" i="1"/>
  <c r="I854" i="1"/>
  <c r="F854" i="1"/>
  <c r="Y251" i="1"/>
  <c r="P251" i="1"/>
  <c r="O251" i="1"/>
  <c r="I251" i="1"/>
  <c r="F251" i="1"/>
  <c r="Y756" i="1"/>
  <c r="P756" i="1"/>
  <c r="O756" i="1"/>
  <c r="I756" i="1"/>
  <c r="F756" i="1"/>
  <c r="Y939" i="1"/>
  <c r="P939" i="1"/>
  <c r="O939" i="1"/>
  <c r="I939" i="1"/>
  <c r="F939" i="1"/>
  <c r="Y384" i="1"/>
  <c r="P384" i="1"/>
  <c r="O384" i="1"/>
  <c r="I384" i="1"/>
  <c r="F384" i="1"/>
  <c r="Y73" i="1"/>
  <c r="P73" i="1"/>
  <c r="O73" i="1"/>
  <c r="I73" i="1"/>
  <c r="F73" i="1"/>
  <c r="Y463" i="1"/>
  <c r="P463" i="1"/>
  <c r="O463" i="1"/>
  <c r="I463" i="1"/>
  <c r="F463" i="1"/>
  <c r="Y478" i="1"/>
  <c r="P478" i="1"/>
  <c r="O478" i="1"/>
  <c r="I478" i="1"/>
  <c r="F478" i="1"/>
  <c r="Y395" i="1"/>
  <c r="P395" i="1"/>
  <c r="O395" i="1"/>
  <c r="I395" i="1"/>
  <c r="F395" i="1"/>
  <c r="Y62" i="1"/>
  <c r="P62" i="1"/>
  <c r="O62" i="1"/>
  <c r="I62" i="1"/>
  <c r="F62" i="1"/>
  <c r="Y348" i="1"/>
  <c r="P348" i="1"/>
  <c r="O348" i="1"/>
  <c r="I348" i="1"/>
  <c r="F348" i="1"/>
  <c r="Y558" i="1"/>
  <c r="P558" i="1"/>
  <c r="O558" i="1"/>
  <c r="I558" i="1"/>
  <c r="F558" i="1"/>
  <c r="Y688" i="1"/>
  <c r="P688" i="1"/>
  <c r="O688" i="1"/>
  <c r="I688" i="1"/>
  <c r="F688" i="1"/>
  <c r="Y549" i="1"/>
  <c r="P549" i="1"/>
  <c r="O549" i="1"/>
  <c r="I549" i="1"/>
  <c r="F549" i="1"/>
  <c r="Y97" i="1"/>
  <c r="P97" i="1"/>
  <c r="O97" i="1"/>
  <c r="I97" i="1"/>
  <c r="F97" i="1"/>
  <c r="Y1541" i="1"/>
  <c r="P1541" i="1"/>
  <c r="O1541" i="1"/>
  <c r="I1541" i="1"/>
  <c r="F1541" i="1"/>
  <c r="Y1539" i="1"/>
  <c r="P1539" i="1"/>
  <c r="O1539" i="1"/>
  <c r="I1539" i="1"/>
  <c r="F1539" i="1"/>
  <c r="Y1470" i="1"/>
  <c r="P1470" i="1"/>
  <c r="O1470" i="1"/>
  <c r="I1470" i="1"/>
  <c r="F1470" i="1"/>
  <c r="Y1073" i="1"/>
  <c r="P1073" i="1"/>
  <c r="O1073" i="1"/>
  <c r="I1073" i="1"/>
  <c r="F1073" i="1"/>
  <c r="Y1540" i="1"/>
  <c r="P1540" i="1"/>
  <c r="O1540" i="1"/>
  <c r="I1540" i="1"/>
  <c r="F1540" i="1"/>
  <c r="Y1535" i="1"/>
  <c r="P1535" i="1"/>
  <c r="O1535" i="1"/>
  <c r="I1535" i="1"/>
  <c r="F1535" i="1"/>
  <c r="Y1531" i="1"/>
  <c r="P1531" i="1"/>
  <c r="O1531" i="1"/>
  <c r="I1531" i="1"/>
  <c r="F1531" i="1"/>
  <c r="Y680" i="1"/>
  <c r="P680" i="1"/>
  <c r="O680" i="1"/>
  <c r="I680" i="1"/>
  <c r="F680" i="1"/>
  <c r="Y1308" i="1"/>
  <c r="P1308" i="1"/>
  <c r="O1308" i="1"/>
  <c r="I1308" i="1"/>
  <c r="F1308" i="1"/>
  <c r="Y1315" i="1"/>
  <c r="P1315" i="1"/>
  <c r="O1315" i="1"/>
  <c r="I1315" i="1"/>
  <c r="F1315" i="1"/>
  <c r="Y469" i="1"/>
  <c r="P469" i="1"/>
  <c r="O469" i="1"/>
  <c r="I469" i="1"/>
  <c r="F469" i="1"/>
  <c r="Y1307" i="1"/>
  <c r="P1307" i="1"/>
  <c r="O1307" i="1"/>
  <c r="I1307" i="1"/>
  <c r="F1307" i="1"/>
  <c r="Y620" i="1"/>
  <c r="P620" i="1"/>
  <c r="O620" i="1"/>
  <c r="I620" i="1"/>
  <c r="F620" i="1"/>
  <c r="Y882" i="1"/>
  <c r="P882" i="1"/>
  <c r="O882" i="1"/>
  <c r="I882" i="1"/>
  <c r="F882" i="1"/>
  <c r="Y612" i="1"/>
  <c r="P612" i="1"/>
  <c r="O612" i="1"/>
  <c r="I612" i="1"/>
  <c r="F612" i="1"/>
  <c r="Y820" i="1"/>
  <c r="P820" i="1"/>
  <c r="O820" i="1"/>
  <c r="I820" i="1"/>
  <c r="F820" i="1"/>
  <c r="Y755" i="1"/>
  <c r="P755" i="1"/>
  <c r="O755" i="1"/>
  <c r="I755" i="1"/>
  <c r="F755" i="1"/>
  <c r="Y1504" i="1"/>
  <c r="P1504" i="1"/>
  <c r="O1504" i="1"/>
  <c r="I1504" i="1"/>
  <c r="F1504" i="1"/>
  <c r="Y780" i="1"/>
  <c r="P780" i="1"/>
  <c r="O780" i="1"/>
  <c r="I780" i="1"/>
  <c r="F780" i="1"/>
  <c r="Y702" i="1"/>
  <c r="P702" i="1"/>
  <c r="O702" i="1"/>
  <c r="I702" i="1"/>
  <c r="F702" i="1"/>
  <c r="Y523" i="1"/>
  <c r="P523" i="1"/>
  <c r="O523" i="1"/>
  <c r="I523" i="1"/>
  <c r="F523" i="1"/>
  <c r="Y164" i="1"/>
  <c r="P164" i="1"/>
  <c r="O164" i="1"/>
  <c r="I164" i="1"/>
  <c r="F164" i="1"/>
  <c r="Y186" i="1"/>
  <c r="P186" i="1"/>
  <c r="O186" i="1"/>
  <c r="I186" i="1"/>
  <c r="F186" i="1"/>
  <c r="Y185" i="1"/>
  <c r="P185" i="1"/>
  <c r="O185" i="1"/>
  <c r="I185" i="1"/>
  <c r="F185" i="1"/>
  <c r="Y553" i="1"/>
  <c r="P553" i="1"/>
  <c r="O553" i="1"/>
  <c r="I553" i="1"/>
  <c r="F553" i="1"/>
  <c r="Y184" i="1"/>
  <c r="P184" i="1"/>
  <c r="O184" i="1"/>
  <c r="I184" i="1"/>
  <c r="F184" i="1"/>
  <c r="Y72" i="1"/>
  <c r="P72" i="1"/>
  <c r="O72" i="1"/>
  <c r="I72" i="1"/>
  <c r="F72" i="1"/>
  <c r="Y666" i="1"/>
  <c r="P666" i="1"/>
  <c r="O666" i="1"/>
  <c r="I666" i="1"/>
  <c r="F666" i="1"/>
  <c r="Y183" i="1"/>
  <c r="P183" i="1"/>
  <c r="O183" i="1"/>
  <c r="I183" i="1"/>
  <c r="F183" i="1"/>
  <c r="Y60" i="1"/>
  <c r="P60" i="1"/>
  <c r="O60" i="1"/>
  <c r="I60" i="1"/>
  <c r="F60" i="1"/>
  <c r="Y182" i="1"/>
  <c r="P182" i="1"/>
  <c r="O182" i="1"/>
  <c r="I182" i="1"/>
  <c r="F182" i="1"/>
  <c r="Y1459" i="1"/>
  <c r="P1459" i="1"/>
  <c r="O1459" i="1"/>
  <c r="I1459" i="1"/>
  <c r="F1459" i="1"/>
  <c r="Y165" i="1"/>
  <c r="P165" i="1"/>
  <c r="O165" i="1"/>
  <c r="I165" i="1"/>
  <c r="F165" i="1"/>
  <c r="Y63" i="1"/>
  <c r="P63" i="1"/>
  <c r="O63" i="1"/>
  <c r="I63" i="1"/>
  <c r="F63" i="1"/>
  <c r="Y181" i="1"/>
  <c r="P181" i="1"/>
  <c r="O181" i="1"/>
  <c r="I181" i="1"/>
  <c r="F181" i="1"/>
  <c r="Y152" i="1"/>
  <c r="P152" i="1"/>
  <c r="O152" i="1"/>
  <c r="I152" i="1"/>
  <c r="F152" i="1"/>
  <c r="Y180" i="1"/>
  <c r="P180" i="1"/>
  <c r="O180" i="1"/>
  <c r="I180" i="1"/>
  <c r="F180" i="1"/>
  <c r="Y179" i="1"/>
  <c r="P179" i="1"/>
  <c r="O179" i="1"/>
  <c r="I179" i="1"/>
  <c r="F179" i="1"/>
  <c r="Y1359" i="1"/>
  <c r="P1359" i="1"/>
  <c r="O1359" i="1"/>
  <c r="I1359" i="1"/>
  <c r="F1359" i="1"/>
  <c r="Y477" i="1"/>
  <c r="P477" i="1"/>
  <c r="O477" i="1"/>
  <c r="I477" i="1"/>
  <c r="F477" i="1"/>
  <c r="Y957" i="1"/>
  <c r="P957" i="1"/>
  <c r="O957" i="1"/>
  <c r="I957" i="1"/>
  <c r="F957" i="1"/>
  <c r="Y1358" i="1"/>
  <c r="P1358" i="1"/>
  <c r="O1358" i="1"/>
  <c r="I1358" i="1"/>
  <c r="F1358" i="1"/>
  <c r="Y561" i="1"/>
  <c r="P561" i="1"/>
  <c r="O561" i="1"/>
  <c r="I561" i="1"/>
  <c r="F561" i="1"/>
  <c r="Y296" i="1"/>
  <c r="P296" i="1"/>
  <c r="O296" i="1"/>
  <c r="I296" i="1"/>
  <c r="F296" i="1"/>
  <c r="Y508" i="1"/>
  <c r="P508" i="1"/>
  <c r="O508" i="1"/>
  <c r="I508" i="1"/>
  <c r="F508" i="1"/>
  <c r="Y1317" i="1"/>
  <c r="P1317" i="1"/>
  <c r="O1317" i="1"/>
  <c r="I1317" i="1"/>
  <c r="F1317" i="1"/>
  <c r="Y709" i="1"/>
  <c r="P709" i="1"/>
  <c r="O709" i="1"/>
  <c r="I709" i="1"/>
  <c r="F709" i="1"/>
  <c r="Y1357" i="1"/>
  <c r="P1357" i="1"/>
  <c r="O1357" i="1"/>
  <c r="I1357" i="1"/>
  <c r="F1357" i="1"/>
  <c r="Y1356" i="1"/>
  <c r="P1356" i="1"/>
  <c r="O1356" i="1"/>
  <c r="I1356" i="1"/>
  <c r="F1356" i="1"/>
  <c r="Y1355" i="1"/>
  <c r="P1355" i="1"/>
  <c r="O1355" i="1"/>
  <c r="I1355" i="1"/>
  <c r="F1355" i="1"/>
  <c r="Y833" i="1"/>
  <c r="P833" i="1"/>
  <c r="O833" i="1"/>
  <c r="I833" i="1"/>
  <c r="F833" i="1"/>
  <c r="Y1516" i="1"/>
  <c r="P1516" i="1"/>
  <c r="O1516" i="1"/>
  <c r="I1516" i="1"/>
  <c r="F1516" i="1"/>
  <c r="Y327" i="1"/>
  <c r="P327" i="1"/>
  <c r="O327" i="1"/>
  <c r="I327" i="1"/>
  <c r="F327" i="1"/>
  <c r="Y326" i="1"/>
  <c r="P326" i="1"/>
  <c r="O326" i="1"/>
  <c r="I326" i="1"/>
  <c r="F326" i="1"/>
  <c r="Y703" i="1"/>
  <c r="P703" i="1"/>
  <c r="O703" i="1"/>
  <c r="I703" i="1"/>
  <c r="F703" i="1"/>
  <c r="Y545" i="1"/>
  <c r="P545" i="1"/>
  <c r="O545" i="1"/>
  <c r="I545" i="1"/>
  <c r="F545" i="1"/>
  <c r="Y356" i="1"/>
  <c r="P356" i="1"/>
  <c r="O356" i="1"/>
  <c r="I356" i="1"/>
  <c r="F356" i="1"/>
  <c r="Y210" i="1"/>
  <c r="P210" i="1"/>
  <c r="O210" i="1"/>
  <c r="I210" i="1"/>
  <c r="F210" i="1"/>
  <c r="Y544" i="1"/>
  <c r="P544" i="1"/>
  <c r="O544" i="1"/>
  <c r="I544" i="1"/>
  <c r="F544" i="1"/>
  <c r="Y521" i="1"/>
  <c r="P521" i="1"/>
  <c r="O521" i="1"/>
  <c r="I521" i="1"/>
  <c r="F521" i="1"/>
  <c r="Y221" i="1"/>
  <c r="P221" i="1"/>
  <c r="O221" i="1"/>
  <c r="I221" i="1"/>
  <c r="F221" i="1"/>
  <c r="Y737" i="1"/>
  <c r="P737" i="1"/>
  <c r="O737" i="1"/>
  <c r="I737" i="1"/>
  <c r="F737" i="1"/>
  <c r="Y355" i="1"/>
  <c r="P355" i="1"/>
  <c r="O355" i="1"/>
  <c r="I355" i="1"/>
  <c r="F355" i="1"/>
  <c r="Y213" i="1"/>
  <c r="P213" i="1"/>
  <c r="O213" i="1"/>
  <c r="I213" i="1"/>
  <c r="F213" i="1"/>
  <c r="Y339" i="1"/>
  <c r="P339" i="1"/>
  <c r="O339" i="1"/>
  <c r="I339" i="1"/>
  <c r="F339" i="1"/>
  <c r="Y590" i="1"/>
  <c r="P590" i="1"/>
  <c r="O590" i="1"/>
  <c r="I590" i="1"/>
  <c r="F590" i="1"/>
  <c r="Y225" i="1"/>
  <c r="P225" i="1"/>
  <c r="O225" i="1"/>
  <c r="I225" i="1"/>
  <c r="F225" i="1"/>
  <c r="Y228" i="1"/>
  <c r="P228" i="1"/>
  <c r="O228" i="1"/>
  <c r="I228" i="1"/>
  <c r="F228" i="1"/>
  <c r="Y397" i="1"/>
  <c r="P397" i="1"/>
  <c r="O397" i="1"/>
  <c r="I397" i="1"/>
  <c r="F397" i="1"/>
  <c r="Y624" i="1"/>
  <c r="P624" i="1"/>
  <c r="O624" i="1"/>
  <c r="I624" i="1"/>
  <c r="F624" i="1"/>
  <c r="Y629" i="1"/>
  <c r="P629" i="1"/>
  <c r="O629" i="1"/>
  <c r="I629" i="1"/>
  <c r="F629" i="1"/>
  <c r="Y836" i="1"/>
  <c r="P836" i="1"/>
  <c r="O836" i="1"/>
  <c r="I836" i="1"/>
  <c r="F836" i="1"/>
  <c r="Y788" i="1"/>
  <c r="P788" i="1"/>
  <c r="O788" i="1"/>
  <c r="I788" i="1"/>
  <c r="F788" i="1"/>
  <c r="Y1170" i="1"/>
  <c r="P1170" i="1"/>
  <c r="O1170" i="1"/>
  <c r="I1170" i="1"/>
  <c r="F1170" i="1"/>
  <c r="Y1008" i="1"/>
  <c r="P1008" i="1"/>
  <c r="O1008" i="1"/>
  <c r="I1008" i="1"/>
  <c r="F1008" i="1"/>
  <c r="Y1518" i="1"/>
  <c r="P1518" i="1"/>
  <c r="O1518" i="1"/>
  <c r="I1518" i="1"/>
  <c r="F1518" i="1"/>
  <c r="Y105" i="1"/>
  <c r="P105" i="1"/>
  <c r="O105" i="1"/>
  <c r="I105" i="1"/>
  <c r="F105" i="1"/>
  <c r="Y1176" i="1"/>
  <c r="P1176" i="1"/>
  <c r="O1176" i="1"/>
  <c r="I1176" i="1"/>
  <c r="F1176" i="1"/>
  <c r="Y877" i="1"/>
  <c r="P877" i="1"/>
  <c r="O877" i="1"/>
  <c r="I877" i="1"/>
  <c r="F877" i="1"/>
  <c r="Y294" i="1"/>
  <c r="P294" i="1"/>
  <c r="O294" i="1"/>
  <c r="I294" i="1"/>
  <c r="F294" i="1"/>
  <c r="Y869" i="1"/>
  <c r="P869" i="1"/>
  <c r="O869" i="1"/>
  <c r="I869" i="1"/>
  <c r="F869" i="1"/>
  <c r="Y926" i="1"/>
  <c r="P926" i="1"/>
  <c r="O926" i="1"/>
  <c r="I926" i="1"/>
  <c r="F926" i="1"/>
  <c r="Y310" i="1"/>
  <c r="P310" i="1"/>
  <c r="O310" i="1"/>
  <c r="I310" i="1"/>
  <c r="F310" i="1"/>
  <c r="Y486" i="1"/>
  <c r="P486" i="1"/>
  <c r="O486" i="1"/>
  <c r="I486" i="1"/>
  <c r="F486" i="1"/>
  <c r="Y871" i="1"/>
  <c r="P871" i="1"/>
  <c r="O871" i="1"/>
  <c r="I871" i="1"/>
  <c r="F871" i="1"/>
  <c r="Y311" i="1"/>
  <c r="P311" i="1"/>
  <c r="O311" i="1"/>
  <c r="I311" i="1"/>
  <c r="F311" i="1"/>
  <c r="Y886" i="1"/>
  <c r="P886" i="1"/>
  <c r="O886" i="1"/>
  <c r="I886" i="1"/>
  <c r="F886" i="1"/>
  <c r="Y1297" i="1"/>
  <c r="P1297" i="1"/>
  <c r="O1297" i="1"/>
  <c r="I1297" i="1"/>
  <c r="F1297" i="1"/>
  <c r="Y276" i="1"/>
  <c r="P276" i="1"/>
  <c r="O276" i="1"/>
  <c r="I276" i="1"/>
  <c r="F276" i="1"/>
  <c r="Y1352" i="1"/>
  <c r="P1352" i="1"/>
  <c r="O1352" i="1"/>
  <c r="I1352" i="1"/>
  <c r="F1352" i="1"/>
  <c r="Y1186" i="1"/>
  <c r="P1186" i="1"/>
  <c r="O1186" i="1"/>
  <c r="I1186" i="1"/>
  <c r="F1186" i="1"/>
  <c r="Y110" i="1"/>
  <c r="P110" i="1"/>
  <c r="O110" i="1"/>
  <c r="I110" i="1"/>
  <c r="F110" i="1"/>
  <c r="Y264" i="1"/>
  <c r="P264" i="1"/>
  <c r="O264" i="1"/>
  <c r="I264" i="1"/>
  <c r="F264" i="1"/>
  <c r="Y1072" i="1"/>
  <c r="P1072" i="1"/>
  <c r="O1072" i="1"/>
  <c r="I1072" i="1"/>
  <c r="F1072" i="1"/>
  <c r="Y1071" i="1"/>
  <c r="P1071" i="1"/>
  <c r="O1071" i="1"/>
  <c r="I1071" i="1"/>
  <c r="F1071" i="1"/>
  <c r="Y410" i="1"/>
  <c r="P410" i="1"/>
  <c r="O410" i="1"/>
  <c r="I410" i="1"/>
  <c r="F410" i="1"/>
  <c r="Y908" i="1"/>
  <c r="P908" i="1"/>
  <c r="O908" i="1"/>
  <c r="I908" i="1"/>
  <c r="F908" i="1"/>
  <c r="Y937" i="1"/>
  <c r="P937" i="1"/>
  <c r="O937" i="1"/>
  <c r="I937" i="1"/>
  <c r="F937" i="1"/>
  <c r="Y936" i="1"/>
  <c r="P936" i="1"/>
  <c r="O936" i="1"/>
  <c r="I936" i="1"/>
  <c r="F936" i="1"/>
  <c r="Y65" i="1"/>
  <c r="P65" i="1"/>
  <c r="O65" i="1"/>
  <c r="I65" i="1"/>
  <c r="F65" i="1"/>
  <c r="Y208" i="1"/>
  <c r="P208" i="1"/>
  <c r="O208" i="1"/>
  <c r="I208" i="1"/>
  <c r="F208" i="1"/>
  <c r="Y850" i="1"/>
  <c r="P850" i="1"/>
  <c r="O850" i="1"/>
  <c r="I850" i="1"/>
  <c r="F850" i="1"/>
  <c r="Y227" i="1"/>
  <c r="P227" i="1"/>
  <c r="O227" i="1"/>
  <c r="I227" i="1"/>
  <c r="F227" i="1"/>
  <c r="Y735" i="1"/>
  <c r="P735" i="1"/>
  <c r="O735" i="1"/>
  <c r="I735" i="1"/>
  <c r="F735" i="1"/>
  <c r="Y223" i="1"/>
  <c r="P223" i="1"/>
  <c r="O223" i="1"/>
  <c r="I223" i="1"/>
  <c r="F223" i="1"/>
  <c r="Y432" i="1"/>
  <c r="P432" i="1"/>
  <c r="O432" i="1"/>
  <c r="I432" i="1"/>
  <c r="F432" i="1"/>
  <c r="Y746" i="1"/>
  <c r="P746" i="1"/>
  <c r="O746" i="1"/>
  <c r="I746" i="1"/>
  <c r="F746" i="1"/>
  <c r="Y159" i="1"/>
  <c r="P159" i="1"/>
  <c r="O159" i="1"/>
  <c r="I159" i="1"/>
  <c r="F159" i="1"/>
  <c r="Y187" i="1"/>
  <c r="P187" i="1"/>
  <c r="O187" i="1"/>
  <c r="I187" i="1"/>
  <c r="F187" i="1"/>
  <c r="Y540" i="1"/>
  <c r="P540" i="1"/>
  <c r="O540" i="1"/>
  <c r="I540" i="1"/>
  <c r="F540" i="1"/>
  <c r="Y377" i="1"/>
  <c r="P377" i="1"/>
  <c r="O377" i="1"/>
  <c r="I377" i="1"/>
  <c r="F377" i="1"/>
  <c r="Y534" i="1"/>
  <c r="P534" i="1"/>
  <c r="O534" i="1"/>
  <c r="I534" i="1"/>
  <c r="F534" i="1"/>
  <c r="Y931" i="1"/>
  <c r="P931" i="1"/>
  <c r="O931" i="1"/>
  <c r="I931" i="1"/>
  <c r="F931" i="1"/>
  <c r="Y258" i="1"/>
  <c r="P258" i="1"/>
  <c r="O258" i="1"/>
  <c r="I258" i="1"/>
  <c r="F258" i="1"/>
  <c r="Y1006" i="1"/>
  <c r="P1006" i="1"/>
  <c r="O1006" i="1"/>
  <c r="I1006" i="1"/>
  <c r="F1006" i="1"/>
  <c r="Y1070" i="1"/>
  <c r="P1070" i="1"/>
  <c r="O1070" i="1"/>
  <c r="I1070" i="1"/>
  <c r="F1070" i="1"/>
  <c r="Y1069" i="1"/>
  <c r="P1069" i="1"/>
  <c r="O1069" i="1"/>
  <c r="I1069" i="1"/>
  <c r="F1069" i="1"/>
  <c r="Y1068" i="1"/>
  <c r="P1068" i="1"/>
  <c r="O1068" i="1"/>
  <c r="I1068" i="1"/>
  <c r="F1068" i="1"/>
  <c r="Y1414" i="1"/>
  <c r="P1414" i="1"/>
  <c r="O1414" i="1"/>
  <c r="I1414" i="1"/>
  <c r="F1414" i="1"/>
  <c r="Y604" i="1"/>
  <c r="P604" i="1"/>
  <c r="O604" i="1"/>
  <c r="I604" i="1"/>
  <c r="F604" i="1"/>
  <c r="Y660" i="1"/>
  <c r="P660" i="1"/>
  <c r="O660" i="1"/>
  <c r="I660" i="1"/>
  <c r="F660" i="1"/>
  <c r="Y720" i="1"/>
  <c r="P720" i="1"/>
  <c r="O720" i="1"/>
  <c r="I720" i="1"/>
  <c r="F720" i="1"/>
  <c r="Y1331" i="1"/>
  <c r="P1331" i="1"/>
  <c r="O1331" i="1"/>
  <c r="I1331" i="1"/>
  <c r="F1331" i="1"/>
  <c r="Y956" i="1"/>
  <c r="P956" i="1"/>
  <c r="O956" i="1"/>
  <c r="I956" i="1"/>
  <c r="F956" i="1"/>
  <c r="Y1372" i="1"/>
  <c r="P1372" i="1"/>
  <c r="O1372" i="1"/>
  <c r="I1372" i="1"/>
  <c r="F1372" i="1"/>
  <c r="Y719" i="1"/>
  <c r="P719" i="1"/>
  <c r="O719" i="1"/>
  <c r="I719" i="1"/>
  <c r="F719" i="1"/>
  <c r="Y752" i="1"/>
  <c r="P752" i="1"/>
  <c r="O752" i="1"/>
  <c r="I752" i="1"/>
  <c r="F752" i="1"/>
  <c r="Y851" i="1"/>
  <c r="P851" i="1"/>
  <c r="O851" i="1"/>
  <c r="I851" i="1"/>
  <c r="F851" i="1"/>
  <c r="Y922" i="1"/>
  <c r="P922" i="1"/>
  <c r="O922" i="1"/>
  <c r="I922" i="1"/>
  <c r="F922" i="1"/>
  <c r="Y705" i="1"/>
  <c r="P705" i="1"/>
  <c r="O705" i="1"/>
  <c r="I705" i="1"/>
  <c r="F705" i="1"/>
  <c r="Y1294" i="1"/>
  <c r="P1294" i="1"/>
  <c r="O1294" i="1"/>
  <c r="I1294" i="1"/>
  <c r="F1294" i="1"/>
  <c r="Y718" i="1"/>
  <c r="P718" i="1"/>
  <c r="O718" i="1"/>
  <c r="I718" i="1"/>
  <c r="F718" i="1"/>
  <c r="Y1362" i="1"/>
  <c r="P1362" i="1"/>
  <c r="O1362" i="1"/>
  <c r="I1362" i="1"/>
  <c r="F1362" i="1"/>
  <c r="Y818" i="1"/>
  <c r="P818" i="1"/>
  <c r="O818" i="1"/>
  <c r="I818" i="1"/>
  <c r="F818" i="1"/>
  <c r="Y901" i="1"/>
  <c r="P901" i="1"/>
  <c r="O901" i="1"/>
  <c r="I901" i="1"/>
  <c r="F901" i="1"/>
  <c r="Y1225" i="1"/>
  <c r="P1225" i="1"/>
  <c r="O1225" i="1"/>
  <c r="I1225" i="1"/>
  <c r="F1225" i="1"/>
  <c r="Y575" i="1"/>
  <c r="P575" i="1"/>
  <c r="O575" i="1"/>
  <c r="I575" i="1"/>
  <c r="F575" i="1"/>
  <c r="Y925" i="1"/>
  <c r="P925" i="1"/>
  <c r="O925" i="1"/>
  <c r="I925" i="1"/>
  <c r="F925" i="1"/>
  <c r="Y672" i="1"/>
  <c r="P672" i="1"/>
  <c r="O672" i="1"/>
  <c r="I672" i="1"/>
  <c r="F672" i="1"/>
  <c r="Y732" i="1"/>
  <c r="P732" i="1"/>
  <c r="O732" i="1"/>
  <c r="I732" i="1"/>
  <c r="F732" i="1"/>
  <c r="Y986" i="1"/>
  <c r="P986" i="1"/>
  <c r="O986" i="1"/>
  <c r="I986" i="1"/>
  <c r="F986" i="1"/>
  <c r="Y1482" i="1"/>
  <c r="P1482" i="1"/>
  <c r="O1482" i="1"/>
  <c r="I1482" i="1"/>
  <c r="F1482" i="1"/>
  <c r="Y1472" i="1"/>
  <c r="P1472" i="1"/>
  <c r="O1472" i="1"/>
  <c r="I1472" i="1"/>
  <c r="F1472" i="1"/>
  <c r="Y1449" i="1"/>
  <c r="P1449" i="1"/>
  <c r="O1449" i="1"/>
  <c r="I1449" i="1"/>
  <c r="F1449" i="1"/>
  <c r="Y907" i="1"/>
  <c r="P907" i="1"/>
  <c r="O907" i="1"/>
  <c r="I907" i="1"/>
  <c r="F907" i="1"/>
  <c r="Y166" i="1"/>
  <c r="P166" i="1"/>
  <c r="O166" i="1"/>
  <c r="I166" i="1"/>
  <c r="F166" i="1"/>
  <c r="Y126" i="1"/>
  <c r="P126" i="1"/>
  <c r="O126" i="1"/>
  <c r="I126" i="1"/>
  <c r="F126" i="1"/>
  <c r="Y597" i="1"/>
  <c r="P597" i="1"/>
  <c r="O597" i="1"/>
  <c r="I597" i="1"/>
  <c r="F597" i="1"/>
  <c r="Y838" i="1"/>
  <c r="P838" i="1"/>
  <c r="O838" i="1"/>
  <c r="I838" i="1"/>
  <c r="F838" i="1"/>
  <c r="Y947" i="1"/>
  <c r="P947" i="1"/>
  <c r="O947" i="1"/>
  <c r="I947" i="1"/>
  <c r="F947" i="1"/>
  <c r="Y259" i="1"/>
  <c r="P259" i="1"/>
  <c r="O259" i="1"/>
  <c r="I259" i="1"/>
  <c r="F259" i="1"/>
  <c r="Y268" i="1"/>
  <c r="P268" i="1"/>
  <c r="O268" i="1"/>
  <c r="I268" i="1"/>
  <c r="F268" i="1"/>
  <c r="Y497" i="1"/>
  <c r="P497" i="1"/>
  <c r="O497" i="1"/>
  <c r="I497" i="1"/>
  <c r="F497" i="1"/>
  <c r="Y465" i="1"/>
  <c r="P465" i="1"/>
  <c r="O465" i="1"/>
  <c r="I465" i="1"/>
  <c r="F465" i="1"/>
  <c r="Y1197" i="1"/>
  <c r="P1197" i="1"/>
  <c r="O1197" i="1"/>
  <c r="I1197" i="1"/>
  <c r="F1197" i="1"/>
  <c r="Y1207" i="1"/>
  <c r="P1207" i="1"/>
  <c r="O1207" i="1"/>
  <c r="I1207" i="1"/>
  <c r="F1207" i="1"/>
  <c r="Y842" i="1"/>
  <c r="P842" i="1"/>
  <c r="O842" i="1"/>
  <c r="I842" i="1"/>
  <c r="F842" i="1"/>
  <c r="Y708" i="1"/>
  <c r="P708" i="1"/>
  <c r="O708" i="1"/>
  <c r="I708" i="1"/>
  <c r="F708" i="1"/>
  <c r="Y758" i="1"/>
  <c r="P758" i="1"/>
  <c r="O758" i="1"/>
  <c r="I758" i="1"/>
  <c r="F758" i="1"/>
  <c r="Y841" i="1"/>
  <c r="P841" i="1"/>
  <c r="O841" i="1"/>
  <c r="I841" i="1"/>
  <c r="F841" i="1"/>
  <c r="Y789" i="1"/>
  <c r="P789" i="1"/>
  <c r="O789" i="1"/>
  <c r="I789" i="1"/>
  <c r="F789" i="1"/>
  <c r="Y757" i="1"/>
  <c r="P757" i="1"/>
  <c r="O757" i="1"/>
  <c r="I757" i="1"/>
  <c r="F757" i="1"/>
  <c r="Y513" i="1"/>
  <c r="P513" i="1"/>
  <c r="O513" i="1"/>
  <c r="I513" i="1"/>
  <c r="F513" i="1"/>
  <c r="Y840" i="1"/>
  <c r="P840" i="1"/>
  <c r="O840" i="1"/>
  <c r="I840" i="1"/>
  <c r="F840" i="1"/>
  <c r="Y518" i="1"/>
  <c r="P518" i="1"/>
  <c r="O518" i="1"/>
  <c r="I518" i="1"/>
  <c r="F518" i="1"/>
  <c r="Y470" i="1"/>
  <c r="P470" i="1"/>
  <c r="O470" i="1"/>
  <c r="I470" i="1"/>
  <c r="F470" i="1"/>
  <c r="Y452" i="1"/>
  <c r="P452" i="1"/>
  <c r="O452" i="1"/>
  <c r="I452" i="1"/>
  <c r="F452" i="1"/>
  <c r="Y862" i="1"/>
  <c r="P862" i="1"/>
  <c r="O862" i="1"/>
  <c r="I862" i="1"/>
  <c r="F862" i="1"/>
  <c r="Y839" i="1"/>
  <c r="P839" i="1"/>
  <c r="O839" i="1"/>
  <c r="I839" i="1"/>
  <c r="F839" i="1"/>
  <c r="Y517" i="1"/>
  <c r="P517" i="1"/>
  <c r="O517" i="1"/>
  <c r="I517" i="1"/>
  <c r="F517" i="1"/>
  <c r="Y457" i="1"/>
  <c r="P457" i="1"/>
  <c r="O457" i="1"/>
  <c r="I457" i="1"/>
  <c r="F457" i="1"/>
  <c r="Y1204" i="1"/>
  <c r="P1204" i="1"/>
  <c r="O1204" i="1"/>
  <c r="I1204" i="1"/>
  <c r="F1204" i="1"/>
  <c r="Y1286" i="1"/>
  <c r="P1286" i="1"/>
  <c r="O1286" i="1"/>
  <c r="I1286" i="1"/>
  <c r="F1286" i="1"/>
  <c r="Y876" i="1"/>
  <c r="P876" i="1"/>
  <c r="O876" i="1"/>
  <c r="I876" i="1"/>
  <c r="F876" i="1"/>
  <c r="Y352" i="1"/>
  <c r="P352" i="1"/>
  <c r="O352" i="1"/>
  <c r="I352" i="1"/>
  <c r="F352" i="1"/>
  <c r="Y390" i="1"/>
  <c r="P390" i="1"/>
  <c r="O390" i="1"/>
  <c r="I390" i="1"/>
  <c r="F390" i="1"/>
  <c r="Y279" i="1"/>
  <c r="P279" i="1"/>
  <c r="O279" i="1"/>
  <c r="I279" i="1"/>
  <c r="F279" i="1"/>
  <c r="Y351" i="1"/>
  <c r="P351" i="1"/>
  <c r="O351" i="1"/>
  <c r="I351" i="1"/>
  <c r="F351" i="1"/>
  <c r="Y435" i="1"/>
  <c r="P435" i="1"/>
  <c r="O435" i="1"/>
  <c r="I435" i="1"/>
  <c r="F435" i="1"/>
  <c r="Y928" i="1"/>
  <c r="P928" i="1"/>
  <c r="O928" i="1"/>
  <c r="I928" i="1"/>
  <c r="F928" i="1"/>
  <c r="Y1285" i="1"/>
  <c r="P1285" i="1"/>
  <c r="O1285" i="1"/>
  <c r="I1285" i="1"/>
  <c r="F1285" i="1"/>
  <c r="Y1272" i="1"/>
  <c r="P1272" i="1"/>
  <c r="O1272" i="1"/>
  <c r="I1272" i="1"/>
  <c r="F1272" i="1"/>
  <c r="Y318" i="1"/>
  <c r="P318" i="1"/>
  <c r="O318" i="1"/>
  <c r="I318" i="1"/>
  <c r="F318" i="1"/>
  <c r="Y272" i="1"/>
  <c r="P272" i="1"/>
  <c r="O272" i="1"/>
  <c r="I272" i="1"/>
  <c r="F272" i="1"/>
  <c r="Y290" i="1"/>
  <c r="P290" i="1"/>
  <c r="O290" i="1"/>
  <c r="I290" i="1"/>
  <c r="F290" i="1"/>
  <c r="Y283" i="1"/>
  <c r="P283" i="1"/>
  <c r="O283" i="1"/>
  <c r="I283" i="1"/>
  <c r="F283" i="1"/>
  <c r="Y289" i="1"/>
  <c r="P289" i="1"/>
  <c r="O289" i="1"/>
  <c r="I289" i="1"/>
  <c r="F289" i="1"/>
  <c r="Y271" i="1"/>
  <c r="P271" i="1"/>
  <c r="O271" i="1"/>
  <c r="I271" i="1"/>
  <c r="F271" i="1"/>
  <c r="Y1521" i="1"/>
  <c r="P1521" i="1"/>
  <c r="O1521" i="1"/>
  <c r="I1521" i="1"/>
  <c r="F1521" i="1"/>
  <c r="Y948" i="1"/>
  <c r="P948" i="1"/>
  <c r="O948" i="1"/>
  <c r="I948" i="1"/>
  <c r="F948" i="1"/>
  <c r="Y267" i="1"/>
  <c r="P267" i="1"/>
  <c r="O267" i="1"/>
  <c r="I267" i="1"/>
  <c r="F267" i="1"/>
  <c r="Y1489" i="1"/>
  <c r="P1489" i="1"/>
  <c r="O1489" i="1"/>
  <c r="I1489" i="1"/>
  <c r="F1489" i="1"/>
  <c r="Y120" i="1"/>
  <c r="P120" i="1"/>
  <c r="O120" i="1"/>
  <c r="I120" i="1"/>
  <c r="F120" i="1"/>
  <c r="Y1392" i="1"/>
  <c r="P1392" i="1"/>
  <c r="O1392" i="1"/>
  <c r="I1392" i="1"/>
  <c r="F1392" i="1"/>
  <c r="Y492" i="1"/>
  <c r="P492" i="1"/>
  <c r="O492" i="1"/>
  <c r="I492" i="1"/>
  <c r="F492" i="1"/>
  <c r="Y1406" i="1"/>
  <c r="P1406" i="1"/>
  <c r="O1406" i="1"/>
  <c r="I1406" i="1"/>
  <c r="F1406" i="1"/>
  <c r="Y69" i="1"/>
  <c r="P69" i="1"/>
  <c r="O69" i="1"/>
  <c r="I69" i="1"/>
  <c r="F69" i="1"/>
  <c r="Y103" i="1"/>
  <c r="P103" i="1"/>
  <c r="O103" i="1"/>
  <c r="I103" i="1"/>
  <c r="F103" i="1"/>
  <c r="Y1181" i="1"/>
  <c r="P1181" i="1"/>
  <c r="O1181" i="1"/>
  <c r="I1181" i="1"/>
  <c r="F1181" i="1"/>
  <c r="Y491" i="1"/>
  <c r="P491" i="1"/>
  <c r="O491" i="1"/>
  <c r="I491" i="1"/>
  <c r="F491" i="1"/>
  <c r="Y924" i="1"/>
  <c r="P924" i="1"/>
  <c r="O924" i="1"/>
  <c r="I924" i="1"/>
  <c r="F924" i="1"/>
  <c r="Y1480" i="1"/>
  <c r="P1480" i="1"/>
  <c r="O1480" i="1"/>
  <c r="I1480" i="1"/>
  <c r="F1480" i="1"/>
  <c r="Y1519" i="1"/>
  <c r="P1519" i="1"/>
  <c r="O1519" i="1"/>
  <c r="I1519" i="1"/>
  <c r="F1519" i="1"/>
  <c r="Y490" i="1"/>
  <c r="P490" i="1"/>
  <c r="O490" i="1"/>
  <c r="I490" i="1"/>
  <c r="F490" i="1"/>
  <c r="Y68" i="1"/>
  <c r="P68" i="1"/>
  <c r="O68" i="1"/>
  <c r="I68" i="1"/>
  <c r="F68" i="1"/>
  <c r="Y401" i="1"/>
  <c r="P401" i="1"/>
  <c r="O401" i="1"/>
  <c r="I401" i="1"/>
  <c r="F401" i="1"/>
  <c r="Y489" i="1"/>
  <c r="P489" i="1"/>
  <c r="O489" i="1"/>
  <c r="I489" i="1"/>
  <c r="F489" i="1"/>
  <c r="Y1169" i="1"/>
  <c r="P1169" i="1"/>
  <c r="O1169" i="1"/>
  <c r="I1169" i="1"/>
  <c r="F1169" i="1"/>
  <c r="Y287" i="1"/>
  <c r="P287" i="1"/>
  <c r="O287" i="1"/>
  <c r="I287" i="1"/>
  <c r="F287" i="1"/>
  <c r="Y488" i="1"/>
  <c r="P488" i="1"/>
  <c r="O488" i="1"/>
  <c r="I488" i="1"/>
  <c r="F488" i="1"/>
  <c r="Y578" i="1"/>
  <c r="P578" i="1"/>
  <c r="O578" i="1"/>
  <c r="I578" i="1"/>
  <c r="F578" i="1"/>
  <c r="Y487" i="1"/>
  <c r="P487" i="1"/>
  <c r="O487" i="1"/>
  <c r="I487" i="1"/>
  <c r="F487" i="1"/>
  <c r="Y698" i="1"/>
  <c r="P698" i="1"/>
  <c r="O698" i="1"/>
  <c r="I698" i="1"/>
  <c r="F698" i="1"/>
  <c r="Y405" i="1"/>
  <c r="P405" i="1"/>
  <c r="O405" i="1"/>
  <c r="I405" i="1"/>
  <c r="F405" i="1"/>
  <c r="Y1005" i="1"/>
  <c r="P1005" i="1"/>
  <c r="O1005" i="1"/>
  <c r="I1005" i="1"/>
  <c r="F1005" i="1"/>
  <c r="Y802" i="1"/>
  <c r="P802" i="1"/>
  <c r="O802" i="1"/>
  <c r="I802" i="1"/>
  <c r="F802" i="1"/>
  <c r="Y67" i="1"/>
  <c r="P67" i="1"/>
  <c r="O67" i="1"/>
  <c r="I67" i="1"/>
  <c r="F67" i="1"/>
  <c r="Y266" i="1"/>
  <c r="P266" i="1"/>
  <c r="O266" i="1"/>
  <c r="I266" i="1"/>
  <c r="F266" i="1"/>
  <c r="Y556" i="1"/>
  <c r="P556" i="1"/>
  <c r="O556" i="1"/>
  <c r="I556" i="1"/>
  <c r="F556" i="1"/>
  <c r="Y626" i="1"/>
  <c r="P626" i="1"/>
  <c r="O626" i="1"/>
  <c r="I626" i="1"/>
  <c r="F626" i="1"/>
  <c r="Y900" i="1"/>
  <c r="P900" i="1"/>
  <c r="O900" i="1"/>
  <c r="I900" i="1"/>
  <c r="F900" i="1"/>
  <c r="Y883" i="1"/>
  <c r="P883" i="1"/>
  <c r="O883" i="1"/>
  <c r="I883" i="1"/>
  <c r="F883" i="1"/>
  <c r="Y483" i="1"/>
  <c r="P483" i="1"/>
  <c r="O483" i="1"/>
  <c r="I483" i="1"/>
  <c r="F483" i="1"/>
  <c r="Y511" i="1"/>
  <c r="P511" i="1"/>
  <c r="O511" i="1"/>
  <c r="I511" i="1"/>
  <c r="F511" i="1"/>
  <c r="Y1067" i="1"/>
  <c r="P1067" i="1"/>
  <c r="O1067" i="1"/>
  <c r="I1067" i="1"/>
  <c r="F1067" i="1"/>
  <c r="Y646" i="1"/>
  <c r="P646" i="1"/>
  <c r="O646" i="1"/>
  <c r="I646" i="1"/>
  <c r="F646" i="1"/>
  <c r="Y1066" i="1"/>
  <c r="P1066" i="1"/>
  <c r="O1066" i="1"/>
  <c r="I1066" i="1"/>
  <c r="F1066" i="1"/>
  <c r="Y1402" i="1"/>
  <c r="P1402" i="1"/>
  <c r="O1402" i="1"/>
  <c r="I1402" i="1"/>
  <c r="F1402" i="1"/>
  <c r="Y1401" i="1"/>
  <c r="P1401" i="1"/>
  <c r="O1401" i="1"/>
  <c r="I1401" i="1"/>
  <c r="F1401" i="1"/>
  <c r="Y1373" i="1"/>
  <c r="P1373" i="1"/>
  <c r="O1373" i="1"/>
  <c r="I1373" i="1"/>
  <c r="F1373" i="1"/>
  <c r="Y1283" i="1"/>
  <c r="P1283" i="1"/>
  <c r="O1283" i="1"/>
  <c r="I1283" i="1"/>
  <c r="F1283" i="1"/>
  <c r="Y729" i="1"/>
  <c r="P729" i="1"/>
  <c r="O729" i="1"/>
  <c r="I729" i="1"/>
  <c r="F729" i="1"/>
  <c r="Y1265" i="1"/>
  <c r="P1265" i="1"/>
  <c r="O1265" i="1"/>
  <c r="I1265" i="1"/>
  <c r="F1265" i="1"/>
  <c r="Y1282" i="1"/>
  <c r="P1282" i="1"/>
  <c r="O1282" i="1"/>
  <c r="I1282" i="1"/>
  <c r="F1282" i="1"/>
  <c r="Y974" i="1"/>
  <c r="P974" i="1"/>
  <c r="O974" i="1"/>
  <c r="I974" i="1"/>
  <c r="F974" i="1"/>
  <c r="Y655" i="1"/>
  <c r="P655" i="1"/>
  <c r="O655" i="1"/>
  <c r="I655" i="1"/>
  <c r="F655" i="1"/>
  <c r="Y1281" i="1"/>
  <c r="P1281" i="1"/>
  <c r="O1281" i="1"/>
  <c r="I1281" i="1"/>
  <c r="F1281" i="1"/>
  <c r="Y1264" i="1"/>
  <c r="P1264" i="1"/>
  <c r="O1264" i="1"/>
  <c r="I1264" i="1"/>
  <c r="F1264" i="1"/>
  <c r="Y1263" i="1"/>
  <c r="P1263" i="1"/>
  <c r="O1263" i="1"/>
  <c r="I1263" i="1"/>
  <c r="F1263" i="1"/>
  <c r="Y1280" i="1"/>
  <c r="P1280" i="1"/>
  <c r="O1280" i="1"/>
  <c r="I1280" i="1"/>
  <c r="F1280" i="1"/>
  <c r="Y607" i="1"/>
  <c r="P607" i="1"/>
  <c r="O607" i="1"/>
  <c r="I607" i="1"/>
  <c r="F607" i="1"/>
  <c r="Y567" i="1"/>
  <c r="P567" i="1"/>
  <c r="O567" i="1"/>
  <c r="I567" i="1"/>
  <c r="F567" i="1"/>
  <c r="Y782" i="1"/>
  <c r="P782" i="1"/>
  <c r="O782" i="1"/>
  <c r="I782" i="1"/>
  <c r="F782" i="1"/>
  <c r="Y826" i="1"/>
  <c r="P826" i="1"/>
  <c r="O826" i="1"/>
  <c r="I826" i="1"/>
  <c r="F826" i="1"/>
  <c r="Y831" i="1"/>
  <c r="P831" i="1"/>
  <c r="O831" i="1"/>
  <c r="I831" i="1"/>
  <c r="F831" i="1"/>
  <c r="Y1435" i="1"/>
  <c r="P1435" i="1"/>
  <c r="O1435" i="1"/>
  <c r="I1435" i="1"/>
  <c r="F1435" i="1"/>
  <c r="Y968" i="1"/>
  <c r="P968" i="1"/>
  <c r="O968" i="1"/>
  <c r="I968" i="1"/>
  <c r="F968" i="1"/>
  <c r="Y740" i="1"/>
  <c r="P740" i="1"/>
  <c r="O740" i="1"/>
  <c r="I740" i="1"/>
  <c r="F740" i="1"/>
  <c r="Y844" i="1"/>
  <c r="P844" i="1"/>
  <c r="O844" i="1"/>
  <c r="I844" i="1"/>
  <c r="F844" i="1"/>
  <c r="Y918" i="1"/>
  <c r="P918" i="1"/>
  <c r="O918" i="1"/>
  <c r="I918" i="1"/>
  <c r="F918" i="1"/>
  <c r="Y865" i="1"/>
  <c r="P865" i="1"/>
  <c r="O865" i="1"/>
  <c r="I865" i="1"/>
  <c r="F865" i="1"/>
  <c r="Y44" i="1"/>
  <c r="P44" i="1"/>
  <c r="O44" i="1"/>
  <c r="I44" i="1"/>
  <c r="F44" i="1"/>
  <c r="Y754" i="1"/>
  <c r="P754" i="1"/>
  <c r="O754" i="1"/>
  <c r="I754" i="1"/>
  <c r="F754" i="1"/>
  <c r="Y1440" i="1"/>
  <c r="P1440" i="1"/>
  <c r="O1440" i="1"/>
  <c r="I1440" i="1"/>
  <c r="F1440" i="1"/>
  <c r="Y1473" i="1"/>
  <c r="P1473" i="1"/>
  <c r="O1473" i="1"/>
  <c r="I1473" i="1"/>
  <c r="F1473" i="1"/>
  <c r="Y601" i="1"/>
  <c r="P601" i="1"/>
  <c r="O601" i="1"/>
  <c r="I601" i="1"/>
  <c r="F601" i="1"/>
  <c r="Y380" i="1"/>
  <c r="P380" i="1"/>
  <c r="O380" i="1"/>
  <c r="I380" i="1"/>
  <c r="F380" i="1"/>
  <c r="Y379" i="1"/>
  <c r="P379" i="1"/>
  <c r="O379" i="1"/>
  <c r="I379" i="1"/>
  <c r="F379" i="1"/>
  <c r="Y378" i="1"/>
  <c r="P378" i="1"/>
  <c r="O378" i="1"/>
  <c r="I378" i="1"/>
  <c r="F378" i="1"/>
  <c r="Y1065" i="1"/>
  <c r="P1065" i="1"/>
  <c r="O1065" i="1"/>
  <c r="I1065" i="1"/>
  <c r="F1065" i="1"/>
  <c r="Y621" i="1"/>
  <c r="P621" i="1"/>
  <c r="O621" i="1"/>
  <c r="I621" i="1"/>
  <c r="F621" i="1"/>
  <c r="Y1342" i="1"/>
  <c r="P1342" i="1"/>
  <c r="O1342" i="1"/>
  <c r="I1342" i="1"/>
  <c r="F1342" i="1"/>
  <c r="Y1468" i="1"/>
  <c r="P1468" i="1"/>
  <c r="O1468" i="1"/>
  <c r="I1468" i="1"/>
  <c r="F1468" i="1"/>
  <c r="Y1064" i="1"/>
  <c r="P1064" i="1"/>
  <c r="O1064" i="1"/>
  <c r="I1064" i="1"/>
  <c r="F1064" i="1"/>
  <c r="Y993" i="1"/>
  <c r="P993" i="1"/>
  <c r="O993" i="1"/>
  <c r="I993" i="1"/>
  <c r="F993" i="1"/>
  <c r="Y1179" i="1"/>
  <c r="P1179" i="1"/>
  <c r="O1179" i="1"/>
  <c r="I1179" i="1"/>
  <c r="F1179" i="1"/>
  <c r="Y1481" i="1"/>
  <c r="P1481" i="1"/>
  <c r="O1481" i="1"/>
  <c r="I1481" i="1"/>
  <c r="F1481" i="1"/>
  <c r="Y1063" i="1"/>
  <c r="P1063" i="1"/>
  <c r="O1063" i="1"/>
  <c r="I1063" i="1"/>
  <c r="F1063" i="1"/>
  <c r="Y1216" i="1"/>
  <c r="P1216" i="1"/>
  <c r="O1216" i="1"/>
  <c r="I1216" i="1"/>
  <c r="F1216" i="1"/>
  <c r="Y1184" i="1"/>
  <c r="P1184" i="1"/>
  <c r="O1184" i="1"/>
  <c r="I1184" i="1"/>
  <c r="F1184" i="1"/>
  <c r="Y887" i="1"/>
  <c r="P887" i="1"/>
  <c r="O887" i="1"/>
  <c r="I887" i="1"/>
  <c r="F887" i="1"/>
  <c r="Y1467" i="1"/>
  <c r="P1467" i="1"/>
  <c r="O1467" i="1"/>
  <c r="I1467" i="1"/>
  <c r="F1467" i="1"/>
  <c r="Y996" i="1"/>
  <c r="P996" i="1"/>
  <c r="O996" i="1"/>
  <c r="I996" i="1"/>
  <c r="F996" i="1"/>
  <c r="Y1433" i="1"/>
  <c r="P1433" i="1"/>
  <c r="O1433" i="1"/>
  <c r="I1433" i="1"/>
  <c r="F1433" i="1"/>
  <c r="Y984" i="1"/>
  <c r="P984" i="1"/>
  <c r="O984" i="1"/>
  <c r="I984" i="1"/>
  <c r="F984" i="1"/>
  <c r="Y1178" i="1"/>
  <c r="P1178" i="1"/>
  <c r="O1178" i="1"/>
  <c r="I1178" i="1"/>
  <c r="F1178" i="1"/>
  <c r="Y1062" i="1"/>
  <c r="P1062" i="1"/>
  <c r="O1062" i="1"/>
  <c r="I1062" i="1"/>
  <c r="F1062" i="1"/>
  <c r="Y1061" i="1"/>
  <c r="P1061" i="1"/>
  <c r="O1061" i="1"/>
  <c r="I1061" i="1"/>
  <c r="F1061" i="1"/>
  <c r="Y1492" i="1"/>
  <c r="P1492" i="1"/>
  <c r="O1492" i="1"/>
  <c r="I1492" i="1"/>
  <c r="F1492" i="1"/>
  <c r="Y1060" i="1"/>
  <c r="P1060" i="1"/>
  <c r="O1060" i="1"/>
  <c r="I1060" i="1"/>
  <c r="F1060" i="1"/>
  <c r="Y1508" i="1"/>
  <c r="P1508" i="1"/>
  <c r="O1508" i="1"/>
  <c r="I1508" i="1"/>
  <c r="F1508" i="1"/>
  <c r="Y1423" i="1"/>
  <c r="P1423" i="1"/>
  <c r="O1423" i="1"/>
  <c r="I1423" i="1"/>
  <c r="F1423" i="1"/>
  <c r="Y3" i="1"/>
  <c r="P3" i="1"/>
  <c r="O3" i="1"/>
  <c r="I3" i="1"/>
  <c r="F3" i="1"/>
  <c r="Y473" i="1"/>
  <c r="P473" i="1"/>
  <c r="O473" i="1"/>
  <c r="I473" i="1"/>
  <c r="F473" i="1"/>
  <c r="Y236" i="1"/>
  <c r="P236" i="1"/>
  <c r="O236" i="1"/>
  <c r="I236" i="1"/>
  <c r="F236" i="1"/>
  <c r="Y500" i="1"/>
  <c r="P500" i="1"/>
  <c r="O500" i="1"/>
  <c r="I500" i="1"/>
  <c r="F500" i="1"/>
  <c r="Y336" i="1"/>
  <c r="P336" i="1"/>
  <c r="O336" i="1"/>
  <c r="I336" i="1"/>
  <c r="F336" i="1"/>
  <c r="Y331" i="1"/>
  <c r="P331" i="1"/>
  <c r="O331" i="1"/>
  <c r="I331" i="1"/>
  <c r="F331" i="1"/>
  <c r="Y162" i="1"/>
  <c r="P162" i="1"/>
  <c r="O162" i="1"/>
  <c r="I162" i="1"/>
  <c r="F162" i="1"/>
  <c r="Y997" i="1"/>
  <c r="P997" i="1"/>
  <c r="O997" i="1"/>
  <c r="I997" i="1"/>
  <c r="F997" i="1"/>
  <c r="Y192" i="1"/>
  <c r="P192" i="1"/>
  <c r="O192" i="1"/>
  <c r="I192" i="1"/>
  <c r="F192" i="1"/>
  <c r="Y1462" i="1"/>
  <c r="P1462" i="1"/>
  <c r="O1462" i="1"/>
  <c r="I1462" i="1"/>
  <c r="F1462" i="1"/>
  <c r="Y1478" i="1"/>
  <c r="P1478" i="1"/>
  <c r="O1478" i="1"/>
  <c r="I1478" i="1"/>
  <c r="F1478" i="1"/>
  <c r="Y1461" i="1"/>
  <c r="P1461" i="1"/>
  <c r="O1461" i="1"/>
  <c r="I1461" i="1"/>
  <c r="F1461" i="1"/>
  <c r="Y330" i="1"/>
  <c r="P330" i="1"/>
  <c r="O330" i="1"/>
  <c r="I330" i="1"/>
  <c r="F330" i="1"/>
  <c r="Y1454" i="1"/>
  <c r="P1454" i="1"/>
  <c r="O1454" i="1"/>
  <c r="I1454" i="1"/>
  <c r="F1454" i="1"/>
  <c r="Y1493" i="1"/>
  <c r="P1493" i="1"/>
  <c r="O1493" i="1"/>
  <c r="I1493" i="1"/>
  <c r="F1493" i="1"/>
  <c r="Y1370" i="1"/>
  <c r="P1370" i="1"/>
  <c r="O1370" i="1"/>
  <c r="I1370" i="1"/>
  <c r="F1370" i="1"/>
  <c r="Y1350" i="1"/>
  <c r="P1350" i="1"/>
  <c r="O1350" i="1"/>
  <c r="I1350" i="1"/>
  <c r="F1350" i="1"/>
  <c r="Y1345" i="1"/>
  <c r="P1345" i="1"/>
  <c r="O1345" i="1"/>
  <c r="I1345" i="1"/>
  <c r="F1345" i="1"/>
  <c r="Y881" i="1"/>
  <c r="P881" i="1"/>
  <c r="O881" i="1"/>
  <c r="I881" i="1"/>
  <c r="F881" i="1"/>
  <c r="Y861" i="1"/>
  <c r="P861" i="1"/>
  <c r="O861" i="1"/>
  <c r="I861" i="1"/>
  <c r="F861" i="1"/>
  <c r="Y1378" i="1"/>
  <c r="P1378" i="1"/>
  <c r="O1378" i="1"/>
  <c r="I1378" i="1"/>
  <c r="F1378" i="1"/>
  <c r="Y1243" i="1"/>
  <c r="P1243" i="1"/>
  <c r="O1243" i="1"/>
  <c r="I1243" i="1"/>
  <c r="F1243" i="1"/>
  <c r="Y325" i="1"/>
  <c r="P325" i="1"/>
  <c r="O325" i="1"/>
  <c r="I325" i="1"/>
  <c r="F325" i="1"/>
  <c r="Y848" i="1"/>
  <c r="P848" i="1"/>
  <c r="O848" i="1"/>
  <c r="I848" i="1"/>
  <c r="F848" i="1"/>
  <c r="Y530" i="1"/>
  <c r="P530" i="1"/>
  <c r="O530" i="1"/>
  <c r="I530" i="1"/>
  <c r="F530" i="1"/>
  <c r="Y450" i="1"/>
  <c r="P450" i="1"/>
  <c r="O450" i="1"/>
  <c r="I450" i="1"/>
  <c r="F450" i="1"/>
  <c r="Y895" i="1"/>
  <c r="P895" i="1"/>
  <c r="O895" i="1"/>
  <c r="I895" i="1"/>
  <c r="F895" i="1"/>
  <c r="Y1224" i="1"/>
  <c r="P1224" i="1"/>
  <c r="O1224" i="1"/>
  <c r="I1224" i="1"/>
  <c r="F1224" i="1"/>
  <c r="Y524" i="1"/>
  <c r="P524" i="1"/>
  <c r="O524" i="1"/>
  <c r="I524" i="1"/>
  <c r="F524" i="1"/>
  <c r="Y618" i="1"/>
  <c r="P618" i="1"/>
  <c r="O618" i="1"/>
  <c r="I618" i="1"/>
  <c r="F618" i="1"/>
  <c r="Y455" i="1"/>
  <c r="P455" i="1"/>
  <c r="O455" i="1"/>
  <c r="I455" i="1"/>
  <c r="F455" i="1"/>
  <c r="Y520" i="1"/>
  <c r="P520" i="1"/>
  <c r="O520" i="1"/>
  <c r="I520" i="1"/>
  <c r="F520" i="1"/>
  <c r="Y460" i="1"/>
  <c r="P460" i="1"/>
  <c r="O460" i="1"/>
  <c r="I460" i="1"/>
  <c r="F460" i="1"/>
  <c r="Y643" i="1"/>
  <c r="P643" i="1"/>
  <c r="O643" i="1"/>
  <c r="I643" i="1"/>
  <c r="F643" i="1"/>
  <c r="Y1223" i="1"/>
  <c r="P1223" i="1"/>
  <c r="O1223" i="1"/>
  <c r="I1223" i="1"/>
  <c r="F1223" i="1"/>
  <c r="Y906" i="1"/>
  <c r="P906" i="1"/>
  <c r="O906" i="1"/>
  <c r="I906" i="1"/>
  <c r="F906" i="1"/>
  <c r="Y529" i="1"/>
  <c r="P529" i="1"/>
  <c r="O529" i="1"/>
  <c r="I529" i="1"/>
  <c r="F529" i="1"/>
  <c r="Y448" i="1"/>
  <c r="P448" i="1"/>
  <c r="O448" i="1"/>
  <c r="I448" i="1"/>
  <c r="F448" i="1"/>
  <c r="Y507" i="1"/>
  <c r="P507" i="1"/>
  <c r="O507" i="1"/>
  <c r="I507" i="1"/>
  <c r="F507" i="1"/>
  <c r="Y536" i="1"/>
  <c r="P536" i="1"/>
  <c r="O536" i="1"/>
  <c r="I536" i="1"/>
  <c r="F536" i="1"/>
  <c r="Y411" i="1"/>
  <c r="P411" i="1"/>
  <c r="O411" i="1"/>
  <c r="I411" i="1"/>
  <c r="F411" i="1"/>
  <c r="Y449" i="1"/>
  <c r="P449" i="1"/>
  <c r="O449" i="1"/>
  <c r="I449" i="1"/>
  <c r="F449" i="1"/>
  <c r="Y647" i="1"/>
  <c r="P647" i="1"/>
  <c r="O647" i="1"/>
  <c r="I647" i="1"/>
  <c r="F647" i="1"/>
  <c r="Y677" i="1"/>
  <c r="P677" i="1"/>
  <c r="O677" i="1"/>
  <c r="I677" i="1"/>
  <c r="F677" i="1"/>
  <c r="Y219" i="1"/>
  <c r="P219" i="1"/>
  <c r="O219" i="1"/>
  <c r="I219" i="1"/>
  <c r="F219" i="1"/>
  <c r="Y584" i="1"/>
  <c r="P584" i="1"/>
  <c r="O584" i="1"/>
  <c r="I584" i="1"/>
  <c r="F584" i="1"/>
  <c r="Y247" i="1"/>
  <c r="P247" i="1"/>
  <c r="O247" i="1"/>
  <c r="I247" i="1"/>
  <c r="F247" i="1"/>
  <c r="Y143" i="1"/>
  <c r="P143" i="1"/>
  <c r="O143" i="1"/>
  <c r="I143" i="1"/>
  <c r="F143" i="1"/>
  <c r="Y418" i="1"/>
  <c r="P418" i="1"/>
  <c r="O418" i="1"/>
  <c r="I418" i="1"/>
  <c r="F418" i="1"/>
  <c r="Y393" i="1"/>
  <c r="P393" i="1"/>
  <c r="O393" i="1"/>
  <c r="I393" i="1"/>
  <c r="F393" i="1"/>
  <c r="Y399" i="1"/>
  <c r="P399" i="1"/>
  <c r="O399" i="1"/>
  <c r="I399" i="1"/>
  <c r="F399" i="1"/>
  <c r="Y392" i="1"/>
  <c r="P392" i="1"/>
  <c r="O392" i="1"/>
  <c r="I392" i="1"/>
  <c r="F392" i="1"/>
  <c r="Y402" i="1"/>
  <c r="P402" i="1"/>
  <c r="O402" i="1"/>
  <c r="I402" i="1"/>
  <c r="F402" i="1"/>
  <c r="Y391" i="1"/>
  <c r="P391" i="1"/>
  <c r="O391" i="1"/>
  <c r="I391" i="1"/>
  <c r="F391" i="1"/>
  <c r="Y373" i="1"/>
  <c r="P373" i="1"/>
  <c r="O373" i="1"/>
  <c r="I373" i="1"/>
  <c r="F373" i="1"/>
  <c r="Y114" i="1"/>
  <c r="P114" i="1"/>
  <c r="O114" i="1"/>
  <c r="I114" i="1"/>
  <c r="F114" i="1"/>
  <c r="Y93" i="1"/>
  <c r="P93" i="1"/>
  <c r="O93" i="1"/>
  <c r="I93" i="1"/>
  <c r="F93" i="1"/>
  <c r="Y434" i="1"/>
  <c r="P434" i="1"/>
  <c r="O434" i="1"/>
  <c r="I434" i="1"/>
  <c r="F434" i="1"/>
  <c r="Y113" i="1"/>
  <c r="P113" i="1"/>
  <c r="O113" i="1"/>
  <c r="I113" i="1"/>
  <c r="F113" i="1"/>
  <c r="Y269" i="1"/>
  <c r="P269" i="1"/>
  <c r="O269" i="1"/>
  <c r="I269" i="1"/>
  <c r="F269" i="1"/>
  <c r="Y370" i="1"/>
  <c r="P370" i="1"/>
  <c r="O370" i="1"/>
  <c r="I370" i="1"/>
  <c r="F370" i="1"/>
  <c r="Y338" i="1"/>
  <c r="P338" i="1"/>
  <c r="O338" i="1"/>
  <c r="I338" i="1"/>
  <c r="F338" i="1"/>
  <c r="Y83" i="1"/>
  <c r="P83" i="1"/>
  <c r="O83" i="1"/>
  <c r="I83" i="1"/>
  <c r="F83" i="1"/>
  <c r="Y112" i="1"/>
  <c r="P112" i="1"/>
  <c r="O112" i="1"/>
  <c r="I112" i="1"/>
  <c r="F112" i="1"/>
  <c r="Y439" i="1"/>
  <c r="P439" i="1"/>
  <c r="O439" i="1"/>
  <c r="I439" i="1"/>
  <c r="F439" i="1"/>
  <c r="Y665" i="1"/>
  <c r="P665" i="1"/>
  <c r="O665" i="1"/>
  <c r="I665" i="1"/>
  <c r="F665" i="1"/>
  <c r="Y606" i="1"/>
  <c r="P606" i="1"/>
  <c r="O606" i="1"/>
  <c r="I606" i="1"/>
  <c r="F606" i="1"/>
  <c r="Y273" i="1"/>
  <c r="P273" i="1"/>
  <c r="O273" i="1"/>
  <c r="I273" i="1"/>
  <c r="F273" i="1"/>
  <c r="Y86" i="1"/>
  <c r="P86" i="1"/>
  <c r="O86" i="1"/>
  <c r="I86" i="1"/>
  <c r="F86" i="1"/>
  <c r="Y337" i="1"/>
  <c r="P337" i="1"/>
  <c r="O337" i="1"/>
  <c r="I337" i="1"/>
  <c r="F337" i="1"/>
  <c r="Y116" i="1"/>
  <c r="P116" i="1"/>
  <c r="O116" i="1"/>
  <c r="I116" i="1"/>
  <c r="F116" i="1"/>
  <c r="Y111" i="1"/>
  <c r="P111" i="1"/>
  <c r="O111" i="1"/>
  <c r="I111" i="1"/>
  <c r="F111" i="1"/>
  <c r="Y726" i="1"/>
  <c r="P726" i="1"/>
  <c r="O726" i="1"/>
  <c r="I726" i="1"/>
  <c r="F726" i="1"/>
  <c r="Y403" i="1"/>
  <c r="P403" i="1"/>
  <c r="O403" i="1"/>
  <c r="I403" i="1"/>
  <c r="F403" i="1"/>
  <c r="Y650" i="1"/>
  <c r="P650" i="1"/>
  <c r="O650" i="1"/>
  <c r="I650" i="1"/>
  <c r="F650" i="1"/>
  <c r="Y600" i="1"/>
  <c r="P600" i="1"/>
  <c r="O600" i="1"/>
  <c r="I600" i="1"/>
  <c r="F600" i="1"/>
  <c r="Y309" i="1"/>
  <c r="P309" i="1"/>
  <c r="O309" i="1"/>
  <c r="I309" i="1"/>
  <c r="F309" i="1"/>
  <c r="Y382" i="1"/>
  <c r="P382" i="1"/>
  <c r="O382" i="1"/>
  <c r="I382" i="1"/>
  <c r="F382" i="1"/>
  <c r="Y291" i="1"/>
  <c r="P291" i="1"/>
  <c r="O291" i="1"/>
  <c r="I291" i="1"/>
  <c r="F291" i="1"/>
  <c r="Y286" i="1"/>
  <c r="P286" i="1"/>
  <c r="O286" i="1"/>
  <c r="I286" i="1"/>
  <c r="F286" i="1"/>
  <c r="Y285" i="1"/>
  <c r="P285" i="1"/>
  <c r="O285" i="1"/>
  <c r="I285" i="1"/>
  <c r="F285" i="1"/>
  <c r="Y1059" i="1"/>
  <c r="P1059" i="1"/>
  <c r="O1059" i="1"/>
  <c r="I1059" i="1"/>
  <c r="F1059" i="1"/>
  <c r="Y1058" i="1"/>
  <c r="P1058" i="1"/>
  <c r="O1058" i="1"/>
  <c r="I1058" i="1"/>
  <c r="F1058" i="1"/>
  <c r="Y944" i="1"/>
  <c r="P944" i="1"/>
  <c r="O944" i="1"/>
  <c r="I944" i="1"/>
  <c r="F944" i="1"/>
  <c r="Y195" i="1"/>
  <c r="P195" i="1"/>
  <c r="O195" i="1"/>
  <c r="I195" i="1"/>
  <c r="F195" i="1"/>
  <c r="Y983" i="1"/>
  <c r="P983" i="1"/>
  <c r="O983" i="1"/>
  <c r="I983" i="1"/>
  <c r="F983" i="1"/>
  <c r="Y194" i="1"/>
  <c r="P194" i="1"/>
  <c r="O194" i="1"/>
  <c r="I194" i="1"/>
  <c r="F194" i="1"/>
  <c r="Y108" i="1"/>
  <c r="P108" i="1"/>
  <c r="O108" i="1"/>
  <c r="I108" i="1"/>
  <c r="F108" i="1"/>
  <c r="Y982" i="1"/>
  <c r="P982" i="1"/>
  <c r="O982" i="1"/>
  <c r="I982" i="1"/>
  <c r="F982" i="1"/>
  <c r="Y1057" i="1"/>
  <c r="P1057" i="1"/>
  <c r="O1057" i="1"/>
  <c r="I1057" i="1"/>
  <c r="F1057" i="1"/>
  <c r="Y1056" i="1"/>
  <c r="P1056" i="1"/>
  <c r="O1056" i="1"/>
  <c r="I1056" i="1"/>
  <c r="F1056" i="1"/>
  <c r="Y1055" i="1"/>
  <c r="P1055" i="1"/>
  <c r="O1055" i="1"/>
  <c r="I1055" i="1"/>
  <c r="F1055" i="1"/>
  <c r="Y440" i="1"/>
  <c r="P440" i="1"/>
  <c r="O440" i="1"/>
  <c r="I440" i="1"/>
  <c r="F440" i="1"/>
  <c r="Y1487" i="1"/>
  <c r="P1487" i="1"/>
  <c r="O1487" i="1"/>
  <c r="I1487" i="1"/>
  <c r="F1487" i="1"/>
  <c r="Y589" i="1"/>
  <c r="P589" i="1"/>
  <c r="O589" i="1"/>
  <c r="I589" i="1"/>
  <c r="F589" i="1"/>
  <c r="Y577" i="1"/>
  <c r="P577" i="1"/>
  <c r="O577" i="1"/>
  <c r="I577" i="1"/>
  <c r="F577" i="1"/>
  <c r="Y1479" i="1"/>
  <c r="P1479" i="1"/>
  <c r="O1479" i="1"/>
  <c r="I1479" i="1"/>
  <c r="F1479" i="1"/>
  <c r="Y1477" i="1"/>
  <c r="P1477" i="1"/>
  <c r="O1477" i="1"/>
  <c r="I1477" i="1"/>
  <c r="F1477" i="1"/>
  <c r="Y1457" i="1"/>
  <c r="P1457" i="1"/>
  <c r="O1457" i="1"/>
  <c r="I1457" i="1"/>
  <c r="F1457" i="1"/>
  <c r="Y1453" i="1"/>
  <c r="P1453" i="1"/>
  <c r="O1453" i="1"/>
  <c r="I1453" i="1"/>
  <c r="F1453" i="1"/>
  <c r="Y519" i="1"/>
  <c r="P519" i="1"/>
  <c r="O519" i="1"/>
  <c r="I519" i="1"/>
  <c r="F519" i="1"/>
  <c r="Y623" i="1"/>
  <c r="P623" i="1"/>
  <c r="O623" i="1"/>
  <c r="I623" i="1"/>
  <c r="F623" i="1"/>
  <c r="Y555" i="1"/>
  <c r="P555" i="1"/>
  <c r="O555" i="1"/>
  <c r="I555" i="1"/>
  <c r="F555" i="1"/>
  <c r="Y721" i="1"/>
  <c r="P721" i="1"/>
  <c r="O721" i="1"/>
  <c r="I721" i="1"/>
  <c r="F721" i="1"/>
  <c r="Y640" i="1"/>
  <c r="P640" i="1"/>
  <c r="O640" i="1"/>
  <c r="I640" i="1"/>
  <c r="F640" i="1"/>
  <c r="Y415" i="1"/>
  <c r="P415" i="1"/>
  <c r="O415" i="1"/>
  <c r="I415" i="1"/>
  <c r="F415" i="1"/>
  <c r="Y493" i="1"/>
  <c r="P493" i="1"/>
  <c r="O493" i="1"/>
  <c r="I493" i="1"/>
  <c r="F493" i="1"/>
  <c r="Y372" i="1"/>
  <c r="P372" i="1"/>
  <c r="O372" i="1"/>
  <c r="I372" i="1"/>
  <c r="F372" i="1"/>
  <c r="Y671" i="1"/>
  <c r="P671" i="1"/>
  <c r="O671" i="1"/>
  <c r="I671" i="1"/>
  <c r="F671" i="1"/>
  <c r="Y914" i="1"/>
  <c r="P914" i="1"/>
  <c r="O914" i="1"/>
  <c r="I914" i="1"/>
  <c r="F914" i="1"/>
  <c r="Y196" i="1"/>
  <c r="P196" i="1"/>
  <c r="O196" i="1"/>
  <c r="I196" i="1"/>
  <c r="F196" i="1"/>
  <c r="Y203" i="1"/>
  <c r="P203" i="1"/>
  <c r="O203" i="1"/>
  <c r="I203" i="1"/>
  <c r="F203" i="1"/>
  <c r="Y178" i="1"/>
  <c r="P178" i="1"/>
  <c r="O178" i="1"/>
  <c r="I178" i="1"/>
  <c r="F178" i="1"/>
  <c r="Y157" i="1"/>
  <c r="P157" i="1"/>
  <c r="O157" i="1"/>
  <c r="I157" i="1"/>
  <c r="F157" i="1"/>
  <c r="Y188" i="1"/>
  <c r="P188" i="1"/>
  <c r="O188" i="1"/>
  <c r="I188" i="1"/>
  <c r="F188" i="1"/>
  <c r="Y122" i="1"/>
  <c r="P122" i="1"/>
  <c r="O122" i="1"/>
  <c r="I122" i="1"/>
  <c r="F122" i="1"/>
  <c r="Y235" i="1"/>
  <c r="P235" i="1"/>
  <c r="O235" i="1"/>
  <c r="I235" i="1"/>
  <c r="F235" i="1"/>
  <c r="Y207" i="1"/>
  <c r="P207" i="1"/>
  <c r="O207" i="1"/>
  <c r="I207" i="1"/>
  <c r="F207" i="1"/>
  <c r="Y198" i="1"/>
  <c r="P198" i="1"/>
  <c r="O198" i="1"/>
  <c r="I198" i="1"/>
  <c r="F198" i="1"/>
  <c r="Y656" i="1"/>
  <c r="P656" i="1"/>
  <c r="O656" i="1"/>
  <c r="I656" i="1"/>
  <c r="F656" i="1"/>
  <c r="Y965" i="1"/>
  <c r="P965" i="1"/>
  <c r="O965" i="1"/>
  <c r="I965" i="1"/>
  <c r="F965" i="1"/>
  <c r="Y1377" i="1"/>
  <c r="P1377" i="1"/>
  <c r="O1377" i="1"/>
  <c r="I1377" i="1"/>
  <c r="F1377" i="1"/>
  <c r="Y938" i="1"/>
  <c r="P938" i="1"/>
  <c r="O938" i="1"/>
  <c r="I938" i="1"/>
  <c r="F938" i="1"/>
  <c r="Y964" i="1"/>
  <c r="P964" i="1"/>
  <c r="O964" i="1"/>
  <c r="I964" i="1"/>
  <c r="F964" i="1"/>
  <c r="Y658" i="1"/>
  <c r="P658" i="1"/>
  <c r="O658" i="1"/>
  <c r="I658" i="1"/>
  <c r="F658" i="1"/>
  <c r="Y1361" i="1"/>
  <c r="P1361" i="1"/>
  <c r="O1361" i="1"/>
  <c r="I1361" i="1"/>
  <c r="F1361" i="1"/>
  <c r="Y966" i="1"/>
  <c r="P966" i="1"/>
  <c r="O966" i="1"/>
  <c r="I966" i="1"/>
  <c r="F966" i="1"/>
  <c r="Y275" i="1"/>
  <c r="P275" i="1"/>
  <c r="O275" i="1"/>
  <c r="I275" i="1"/>
  <c r="F275" i="1"/>
  <c r="Y274" i="1"/>
  <c r="P274" i="1"/>
  <c r="O274" i="1"/>
  <c r="I274" i="1"/>
  <c r="F274" i="1"/>
  <c r="Y315" i="1"/>
  <c r="P315" i="1"/>
  <c r="O315" i="1"/>
  <c r="I315" i="1"/>
  <c r="F315" i="1"/>
  <c r="Y608" i="1"/>
  <c r="P608" i="1"/>
  <c r="O608" i="1"/>
  <c r="I608" i="1"/>
  <c r="F608" i="1"/>
  <c r="Y1333" i="1"/>
  <c r="P1333" i="1"/>
  <c r="O1333" i="1"/>
  <c r="I1333" i="1"/>
  <c r="F1333" i="1"/>
  <c r="Y959" i="1"/>
  <c r="P959" i="1"/>
  <c r="O959" i="1"/>
  <c r="I959" i="1"/>
  <c r="F959" i="1"/>
  <c r="Y634" i="1"/>
  <c r="P634" i="1"/>
  <c r="O634" i="1"/>
  <c r="I634" i="1"/>
  <c r="F634" i="1"/>
  <c r="Y343" i="1"/>
  <c r="P343" i="1"/>
  <c r="O343" i="1"/>
  <c r="I343" i="1"/>
  <c r="F343" i="1"/>
  <c r="Y445" i="1"/>
  <c r="P445" i="1"/>
  <c r="O445" i="1"/>
  <c r="I445" i="1"/>
  <c r="F445" i="1"/>
  <c r="Y512" i="1"/>
  <c r="P512" i="1"/>
  <c r="O512" i="1"/>
  <c r="I512" i="1"/>
  <c r="F512" i="1"/>
  <c r="Y438" i="1"/>
  <c r="P438" i="1"/>
  <c r="O438" i="1"/>
  <c r="I438" i="1"/>
  <c r="F438" i="1"/>
  <c r="Y334" i="1"/>
  <c r="P334" i="1"/>
  <c r="O334" i="1"/>
  <c r="I334" i="1"/>
  <c r="F334" i="1"/>
  <c r="Y717" i="1"/>
  <c r="P717" i="1"/>
  <c r="O717" i="1"/>
  <c r="I717" i="1"/>
  <c r="F717" i="1"/>
  <c r="Y1369" i="1"/>
  <c r="P1369" i="1"/>
  <c r="O1369" i="1"/>
  <c r="I1369" i="1"/>
  <c r="F1369" i="1"/>
  <c r="Y687" i="1"/>
  <c r="P687" i="1"/>
  <c r="O687" i="1"/>
  <c r="I687" i="1"/>
  <c r="F687" i="1"/>
  <c r="Y645" i="1"/>
  <c r="P645" i="1"/>
  <c r="O645" i="1"/>
  <c r="I645" i="1"/>
  <c r="F645" i="1"/>
  <c r="Y685" i="1"/>
  <c r="P685" i="1"/>
  <c r="O685" i="1"/>
  <c r="I685" i="1"/>
  <c r="F685" i="1"/>
  <c r="Y1306" i="1"/>
  <c r="P1306" i="1"/>
  <c r="O1306" i="1"/>
  <c r="I1306" i="1"/>
  <c r="F1306" i="1"/>
  <c r="Y562" i="1"/>
  <c r="P562" i="1"/>
  <c r="O562" i="1"/>
  <c r="I562" i="1"/>
  <c r="F562" i="1"/>
  <c r="Y830" i="1"/>
  <c r="P830" i="1"/>
  <c r="O830" i="1"/>
  <c r="I830" i="1"/>
  <c r="F830" i="1"/>
  <c r="Y792" i="1"/>
  <c r="P792" i="1"/>
  <c r="O792" i="1"/>
  <c r="I792" i="1"/>
  <c r="F792" i="1"/>
  <c r="Y911" i="1"/>
  <c r="P911" i="1"/>
  <c r="O911" i="1"/>
  <c r="I911" i="1"/>
  <c r="F911" i="1"/>
  <c r="Y568" i="1"/>
  <c r="P568" i="1"/>
  <c r="O568" i="1"/>
  <c r="I568" i="1"/>
  <c r="F568" i="1"/>
  <c r="Y1260" i="1"/>
  <c r="P1260" i="1"/>
  <c r="O1260" i="1"/>
  <c r="I1260" i="1"/>
  <c r="F1260" i="1"/>
  <c r="Y1054" i="1"/>
  <c r="P1054" i="1"/>
  <c r="O1054" i="1"/>
  <c r="I1054" i="1"/>
  <c r="F1054" i="1"/>
  <c r="Y573" i="1"/>
  <c r="P573" i="1"/>
  <c r="O573" i="1"/>
  <c r="I573" i="1"/>
  <c r="F573" i="1"/>
  <c r="Y1305" i="1"/>
  <c r="P1305" i="1"/>
  <c r="O1305" i="1"/>
  <c r="I1305" i="1"/>
  <c r="F1305" i="1"/>
  <c r="Y795" i="1"/>
  <c r="P795" i="1"/>
  <c r="O795" i="1"/>
  <c r="I795" i="1"/>
  <c r="F795" i="1"/>
  <c r="Y1173" i="1"/>
  <c r="P1173" i="1"/>
  <c r="O1173" i="1"/>
  <c r="I1173" i="1"/>
  <c r="F1173" i="1"/>
  <c r="Y563" i="1"/>
  <c r="P563" i="1"/>
  <c r="O563" i="1"/>
  <c r="I563" i="1"/>
  <c r="F563" i="1"/>
  <c r="Y241" i="1"/>
  <c r="P241" i="1"/>
  <c r="O241" i="1"/>
  <c r="I241" i="1"/>
  <c r="F241" i="1"/>
  <c r="Y1053" i="1"/>
  <c r="P1053" i="1"/>
  <c r="O1053" i="1"/>
  <c r="I1053" i="1"/>
  <c r="F1053" i="1"/>
  <c r="Y505" i="1"/>
  <c r="P505" i="1"/>
  <c r="O505" i="1"/>
  <c r="I505" i="1"/>
  <c r="F505" i="1"/>
  <c r="Y1052" i="1"/>
  <c r="P1052" i="1"/>
  <c r="O1052" i="1"/>
  <c r="I1052" i="1"/>
  <c r="F1052" i="1"/>
  <c r="Y1051" i="1"/>
  <c r="P1051" i="1"/>
  <c r="O1051" i="1"/>
  <c r="I1051" i="1"/>
  <c r="F1051" i="1"/>
  <c r="Y248" i="1"/>
  <c r="P248" i="1"/>
  <c r="O248" i="1"/>
  <c r="I248" i="1"/>
  <c r="F248" i="1"/>
  <c r="Y1050" i="1"/>
  <c r="P1050" i="1"/>
  <c r="O1050" i="1"/>
  <c r="I1050" i="1"/>
  <c r="F1050" i="1"/>
  <c r="Y199" i="1"/>
  <c r="P199" i="1"/>
  <c r="O199" i="1"/>
  <c r="I199" i="1"/>
  <c r="F199" i="1"/>
  <c r="Y1049" i="1"/>
  <c r="P1049" i="1"/>
  <c r="O1049" i="1"/>
  <c r="I1049" i="1"/>
  <c r="F1049" i="1"/>
  <c r="Y321" i="1"/>
  <c r="P321" i="1"/>
  <c r="O321" i="1"/>
  <c r="I321" i="1"/>
  <c r="F321" i="1"/>
  <c r="Y1460" i="1"/>
  <c r="P1460" i="1"/>
  <c r="O1460" i="1"/>
  <c r="I1460" i="1"/>
  <c r="F1460" i="1"/>
  <c r="Y963" i="1"/>
  <c r="P963" i="1"/>
  <c r="O963" i="1"/>
  <c r="I963" i="1"/>
  <c r="F963" i="1"/>
  <c r="Y171" i="1"/>
  <c r="P171" i="1"/>
  <c r="O171" i="1"/>
  <c r="I171" i="1"/>
  <c r="F171" i="1"/>
  <c r="Y804" i="1"/>
  <c r="P804" i="1"/>
  <c r="O804" i="1"/>
  <c r="I804" i="1"/>
  <c r="F804" i="1"/>
  <c r="Y408" i="1"/>
  <c r="P408" i="1"/>
  <c r="O408" i="1"/>
  <c r="I408" i="1"/>
  <c r="F408" i="1"/>
  <c r="Y96" i="1"/>
  <c r="P96" i="1"/>
  <c r="O96" i="1"/>
  <c r="I96" i="1"/>
  <c r="F96" i="1"/>
  <c r="Y551" i="1"/>
  <c r="P551" i="1"/>
  <c r="O551" i="1"/>
  <c r="I551" i="1"/>
  <c r="F551" i="1"/>
  <c r="Y1456" i="1"/>
  <c r="P1456" i="1"/>
  <c r="O1456" i="1"/>
  <c r="I1456" i="1"/>
  <c r="F1456" i="1"/>
  <c r="Y1455" i="1"/>
  <c r="P1455" i="1"/>
  <c r="O1455" i="1"/>
  <c r="I1455" i="1"/>
  <c r="F1455" i="1"/>
  <c r="Y683" i="1"/>
  <c r="P683" i="1"/>
  <c r="O683" i="1"/>
  <c r="I683" i="1"/>
  <c r="F683" i="1"/>
  <c r="Y533" i="1"/>
  <c r="P533" i="1"/>
  <c r="O533" i="1"/>
  <c r="I533" i="1"/>
  <c r="F533" i="1"/>
  <c r="Y651" i="1"/>
  <c r="P651" i="1"/>
  <c r="O651" i="1"/>
  <c r="I651" i="1"/>
  <c r="F651" i="1"/>
  <c r="Y1048" i="1"/>
  <c r="P1048" i="1"/>
  <c r="O1048" i="1"/>
  <c r="I1048" i="1"/>
  <c r="F1048" i="1"/>
  <c r="Y603" i="1"/>
  <c r="P603" i="1"/>
  <c r="O603" i="1"/>
  <c r="I603" i="1"/>
  <c r="F603" i="1"/>
  <c r="Y933" i="1"/>
  <c r="P933" i="1"/>
  <c r="O933" i="1"/>
  <c r="I933" i="1"/>
  <c r="F933" i="1"/>
  <c r="Y921" i="1"/>
  <c r="P921" i="1"/>
  <c r="O921" i="1"/>
  <c r="I921" i="1"/>
  <c r="F921" i="1"/>
  <c r="Y24" i="1"/>
  <c r="P24" i="1"/>
  <c r="O24" i="1"/>
  <c r="I24" i="1"/>
  <c r="F24" i="1"/>
  <c r="Y107" i="1"/>
  <c r="P107" i="1"/>
  <c r="O107" i="1"/>
  <c r="I107" i="1"/>
  <c r="F107" i="1"/>
  <c r="Y313" i="1"/>
  <c r="P313" i="1"/>
  <c r="O313" i="1"/>
  <c r="I313" i="1"/>
  <c r="F313" i="1"/>
  <c r="Y215" i="1"/>
  <c r="P215" i="1"/>
  <c r="O215" i="1"/>
  <c r="I215" i="1"/>
  <c r="F215" i="1"/>
  <c r="Y125" i="1"/>
  <c r="P125" i="1"/>
  <c r="O125" i="1"/>
  <c r="I125" i="1"/>
  <c r="F125" i="1"/>
  <c r="Y1353" i="1"/>
  <c r="P1353" i="1"/>
  <c r="O1353" i="1"/>
  <c r="I1353" i="1"/>
  <c r="F1353" i="1"/>
  <c r="Y617" i="1"/>
  <c r="P617" i="1"/>
  <c r="O617" i="1"/>
  <c r="I617" i="1"/>
  <c r="F617" i="1"/>
  <c r="Y502" i="1"/>
  <c r="P502" i="1"/>
  <c r="O502" i="1"/>
  <c r="I502" i="1"/>
  <c r="F502" i="1"/>
  <c r="Y191" i="1"/>
  <c r="P191" i="1"/>
  <c r="O191" i="1"/>
  <c r="I191" i="1"/>
  <c r="F191" i="1"/>
  <c r="Y190" i="1"/>
  <c r="P190" i="1"/>
  <c r="O190" i="1"/>
  <c r="I190" i="1"/>
  <c r="F190" i="1"/>
  <c r="Y1047" i="1"/>
  <c r="P1047" i="1"/>
  <c r="O1047" i="1"/>
  <c r="I1047" i="1"/>
  <c r="F1047" i="1"/>
  <c r="Y797" i="1"/>
  <c r="P797" i="1"/>
  <c r="O797" i="1"/>
  <c r="I797" i="1"/>
  <c r="F797" i="1"/>
  <c r="Y796" i="1"/>
  <c r="P796" i="1"/>
  <c r="O796" i="1"/>
  <c r="I796" i="1"/>
  <c r="F796" i="1"/>
  <c r="Y990" i="1"/>
  <c r="P990" i="1"/>
  <c r="O990" i="1"/>
  <c r="I990" i="1"/>
  <c r="F990" i="1"/>
  <c r="Y1386" i="1"/>
  <c r="P1386" i="1"/>
  <c r="O1386" i="1"/>
  <c r="I1386" i="1"/>
  <c r="F1386" i="1"/>
  <c r="Y234" i="1"/>
  <c r="P234" i="1"/>
  <c r="O234" i="1"/>
  <c r="I234" i="1"/>
  <c r="F234" i="1"/>
  <c r="Y349" i="1"/>
  <c r="P349" i="1"/>
  <c r="O349" i="1"/>
  <c r="I349" i="1"/>
  <c r="F349" i="1"/>
  <c r="Y265" i="1"/>
  <c r="P265" i="1"/>
  <c r="O265" i="1"/>
  <c r="I265" i="1"/>
  <c r="F265" i="1"/>
  <c r="Y827" i="1"/>
  <c r="P827" i="1"/>
  <c r="O827" i="1"/>
  <c r="I827" i="1"/>
  <c r="F827" i="1"/>
  <c r="Y1295" i="1"/>
  <c r="P1295" i="1"/>
  <c r="O1295" i="1"/>
  <c r="I1295" i="1"/>
  <c r="F1295" i="1"/>
  <c r="Y1203" i="1"/>
  <c r="P1203" i="1"/>
  <c r="O1203" i="1"/>
  <c r="I1203" i="1"/>
  <c r="F1203" i="1"/>
  <c r="Y668" i="1"/>
  <c r="P668" i="1"/>
  <c r="O668" i="1"/>
  <c r="I668" i="1"/>
  <c r="F668" i="1"/>
  <c r="Y1187" i="1"/>
  <c r="P1187" i="1"/>
  <c r="O1187" i="1"/>
  <c r="I1187" i="1"/>
  <c r="F1187" i="1"/>
  <c r="Y1009" i="1"/>
  <c r="P1009" i="1"/>
  <c r="O1009" i="1"/>
  <c r="I1009" i="1"/>
  <c r="F1009" i="1"/>
  <c r="Y999" i="1"/>
  <c r="P999" i="1"/>
  <c r="O999" i="1"/>
  <c r="I999" i="1"/>
  <c r="F999" i="1"/>
  <c r="Y1182" i="1"/>
  <c r="P1182" i="1"/>
  <c r="O1182" i="1"/>
  <c r="I1182" i="1"/>
  <c r="F1182" i="1"/>
  <c r="Y828" i="1"/>
  <c r="P828" i="1"/>
  <c r="O828" i="1"/>
  <c r="I828" i="1"/>
  <c r="F828" i="1"/>
  <c r="Y987" i="1"/>
  <c r="P987" i="1"/>
  <c r="O987" i="1"/>
  <c r="I987" i="1"/>
  <c r="F987" i="1"/>
  <c r="Y1375" i="1"/>
  <c r="P1375" i="1"/>
  <c r="O1375" i="1"/>
  <c r="I1375" i="1"/>
  <c r="F1375" i="1"/>
  <c r="Y1431" i="1"/>
  <c r="P1431" i="1"/>
  <c r="O1431" i="1"/>
  <c r="I1431" i="1"/>
  <c r="F1431" i="1"/>
  <c r="Y1046" i="1"/>
  <c r="P1046" i="1"/>
  <c r="O1046" i="1"/>
  <c r="I1046" i="1"/>
  <c r="F1046" i="1"/>
  <c r="Y1045" i="1"/>
  <c r="P1045" i="1"/>
  <c r="O1045" i="1"/>
  <c r="I1045" i="1"/>
  <c r="F1045" i="1"/>
  <c r="Y1476" i="1"/>
  <c r="P1476" i="1"/>
  <c r="O1476" i="1"/>
  <c r="I1476" i="1"/>
  <c r="F1476" i="1"/>
  <c r="Y1475" i="1"/>
  <c r="P1475" i="1"/>
  <c r="O1475" i="1"/>
  <c r="I1475" i="1"/>
  <c r="F1475" i="1"/>
  <c r="Y1474" i="1"/>
  <c r="P1474" i="1"/>
  <c r="O1474" i="1"/>
  <c r="I1474" i="1"/>
  <c r="F1474" i="1"/>
  <c r="Y314" i="1"/>
  <c r="P314" i="1"/>
  <c r="O314" i="1"/>
  <c r="I314" i="1"/>
  <c r="F314" i="1"/>
  <c r="Y319" i="1"/>
  <c r="P319" i="1"/>
  <c r="O319" i="1"/>
  <c r="I319" i="1"/>
  <c r="F319" i="1"/>
  <c r="Y1044" i="1"/>
  <c r="P1044" i="1"/>
  <c r="O1044" i="1"/>
  <c r="I1044" i="1"/>
  <c r="F1044" i="1"/>
  <c r="Y1043" i="1"/>
  <c r="P1043" i="1"/>
  <c r="O1043" i="1"/>
  <c r="I1043" i="1"/>
  <c r="F1043" i="1"/>
  <c r="Y1042" i="1"/>
  <c r="P1042" i="1"/>
  <c r="O1042" i="1"/>
  <c r="I1042" i="1"/>
  <c r="F1042" i="1"/>
  <c r="Y1041" i="1"/>
  <c r="P1041" i="1"/>
  <c r="O1041" i="1"/>
  <c r="I1041" i="1"/>
  <c r="F1041" i="1"/>
  <c r="Y1330" i="1"/>
  <c r="P1330" i="1"/>
  <c r="O1330" i="1"/>
  <c r="I1330" i="1"/>
  <c r="F1330" i="1"/>
  <c r="Y915" i="1"/>
  <c r="P915" i="1"/>
  <c r="O915" i="1"/>
  <c r="I915" i="1"/>
  <c r="F915" i="1"/>
  <c r="Y875" i="1"/>
  <c r="P875" i="1"/>
  <c r="O875" i="1"/>
  <c r="I875" i="1"/>
  <c r="F875" i="1"/>
  <c r="Y994" i="1"/>
  <c r="P994" i="1"/>
  <c r="O994" i="1"/>
  <c r="I994" i="1"/>
  <c r="F994" i="1"/>
  <c r="Y1040" i="1"/>
  <c r="P1040" i="1"/>
  <c r="O1040" i="1"/>
  <c r="I1040" i="1"/>
  <c r="F1040" i="1"/>
  <c r="Y1039" i="1"/>
  <c r="P1039" i="1"/>
  <c r="O1039" i="1"/>
  <c r="I1039" i="1"/>
  <c r="F1039" i="1"/>
  <c r="Y1038" i="1"/>
  <c r="P1038" i="1"/>
  <c r="O1038" i="1"/>
  <c r="I1038" i="1"/>
  <c r="F1038" i="1"/>
  <c r="Y1037" i="1"/>
  <c r="P1037" i="1"/>
  <c r="O1037" i="1"/>
  <c r="I1037" i="1"/>
  <c r="F1037" i="1"/>
  <c r="Y1036" i="1"/>
  <c r="P1036" i="1"/>
  <c r="O1036" i="1"/>
  <c r="I1036" i="1"/>
  <c r="F1036" i="1"/>
  <c r="Y1035" i="1"/>
  <c r="P1035" i="1"/>
  <c r="O1035" i="1"/>
  <c r="I1035" i="1"/>
  <c r="F1035" i="1"/>
  <c r="Y1034" i="1"/>
  <c r="P1034" i="1"/>
  <c r="O1034" i="1"/>
  <c r="I1034" i="1"/>
  <c r="F1034" i="1"/>
  <c r="Y1033" i="1"/>
  <c r="P1033" i="1"/>
  <c r="O1033" i="1"/>
  <c r="I1033" i="1"/>
  <c r="F1033" i="1"/>
  <c r="Y43" i="1"/>
  <c r="P43" i="1"/>
  <c r="O43" i="1"/>
  <c r="I43" i="1"/>
  <c r="F43" i="1"/>
  <c r="Y33" i="1"/>
  <c r="P33" i="1"/>
  <c r="O33" i="1"/>
  <c r="I33" i="1"/>
  <c r="F33" i="1"/>
  <c r="Y32" i="1"/>
  <c r="P32" i="1"/>
  <c r="O32" i="1"/>
  <c r="I32" i="1"/>
  <c r="F32" i="1"/>
  <c r="Y1032" i="1"/>
  <c r="P1032" i="1"/>
  <c r="O1032" i="1"/>
  <c r="I1032" i="1"/>
  <c r="F1032" i="1"/>
  <c r="Y641" i="1"/>
  <c r="P641" i="1"/>
  <c r="O641" i="1"/>
  <c r="I641" i="1"/>
  <c r="F641" i="1"/>
  <c r="Y580" i="1"/>
  <c r="P580" i="1"/>
  <c r="O580" i="1"/>
  <c r="I580" i="1"/>
  <c r="F580" i="1"/>
  <c r="Y499" i="1"/>
  <c r="P499" i="1"/>
  <c r="O499" i="1"/>
  <c r="I499" i="1"/>
  <c r="F499" i="1"/>
  <c r="Y630" i="1"/>
  <c r="P630" i="1"/>
  <c r="O630" i="1"/>
  <c r="I630" i="1"/>
  <c r="F630" i="1"/>
  <c r="Y442" i="1"/>
  <c r="P442" i="1"/>
  <c r="O442" i="1"/>
  <c r="I442" i="1"/>
  <c r="F442" i="1"/>
  <c r="Y945" i="1"/>
  <c r="P945" i="1"/>
  <c r="O945" i="1"/>
  <c r="I945" i="1"/>
  <c r="F945" i="1"/>
  <c r="Y731" i="1"/>
  <c r="P731" i="1"/>
  <c r="O731" i="1"/>
  <c r="I731" i="1"/>
  <c r="F731" i="1"/>
  <c r="Y1031" i="1"/>
  <c r="P1031" i="1"/>
  <c r="O1031" i="1"/>
  <c r="I1031" i="1"/>
  <c r="F1031" i="1"/>
  <c r="Y42" i="1"/>
  <c r="P42" i="1"/>
  <c r="O42" i="1"/>
  <c r="I42" i="1"/>
  <c r="F42" i="1"/>
  <c r="Y594" i="1"/>
  <c r="P594" i="1"/>
  <c r="O594" i="1"/>
  <c r="I594" i="1"/>
  <c r="F594" i="1"/>
  <c r="Y115" i="1"/>
  <c r="P115" i="1"/>
  <c r="O115" i="1"/>
  <c r="I115" i="1"/>
  <c r="F115" i="1"/>
  <c r="Y369" i="1"/>
  <c r="P369" i="1"/>
  <c r="O369" i="1"/>
  <c r="I369" i="1"/>
  <c r="F369" i="1"/>
  <c r="Y1413" i="1"/>
  <c r="P1413" i="1"/>
  <c r="O1413" i="1"/>
  <c r="I1413" i="1"/>
  <c r="F1413" i="1"/>
  <c r="Y1412" i="1"/>
  <c r="P1412" i="1"/>
  <c r="O1412" i="1"/>
  <c r="I1412" i="1"/>
  <c r="F1412" i="1"/>
  <c r="Y1411" i="1"/>
  <c r="P1411" i="1"/>
  <c r="O1411" i="1"/>
  <c r="I1411" i="1"/>
  <c r="F1411" i="1"/>
  <c r="Y1410" i="1"/>
  <c r="P1410" i="1"/>
  <c r="O1410" i="1"/>
  <c r="I1410" i="1"/>
  <c r="F1410" i="1"/>
  <c r="Y1415" i="1"/>
  <c r="P1415" i="1"/>
  <c r="O1415" i="1"/>
  <c r="I1415" i="1"/>
  <c r="F1415" i="1"/>
  <c r="Y1163" i="1"/>
  <c r="P1163" i="1"/>
  <c r="O1163" i="1"/>
  <c r="I1163" i="1"/>
  <c r="F1163" i="1"/>
  <c r="Y1381" i="1"/>
  <c r="P1381" i="1"/>
  <c r="O1381" i="1"/>
  <c r="I1381" i="1"/>
  <c r="F1381" i="1"/>
  <c r="Y942" i="1"/>
  <c r="P942" i="1"/>
  <c r="O942" i="1"/>
  <c r="I942" i="1"/>
  <c r="F942" i="1"/>
  <c r="Y1380" i="1"/>
  <c r="P1380" i="1"/>
  <c r="O1380" i="1"/>
  <c r="I1380" i="1"/>
  <c r="F1380" i="1"/>
  <c r="Y515" i="1"/>
  <c r="P515" i="1"/>
  <c r="O515" i="1"/>
  <c r="I515" i="1"/>
  <c r="F515" i="1"/>
  <c r="Y138" i="1"/>
  <c r="P138" i="1"/>
  <c r="O138" i="1"/>
  <c r="I138" i="1"/>
  <c r="F138" i="1"/>
  <c r="Y1030" i="1"/>
  <c r="P1030" i="1"/>
  <c r="O1030" i="1"/>
  <c r="I1030" i="1"/>
  <c r="F1030" i="1"/>
  <c r="Y78" i="1"/>
  <c r="P78" i="1"/>
  <c r="O78" i="1"/>
  <c r="I78" i="1"/>
  <c r="F78" i="1"/>
  <c r="Y1029" i="1"/>
  <c r="P1029" i="1"/>
  <c r="O1029" i="1"/>
  <c r="I1029" i="1"/>
  <c r="F1029" i="1"/>
  <c r="Y1028" i="1"/>
  <c r="P1028" i="1"/>
  <c r="O1028" i="1"/>
  <c r="I1028" i="1"/>
  <c r="F1028" i="1"/>
  <c r="Y1027" i="1"/>
  <c r="P1027" i="1"/>
  <c r="O1027" i="1"/>
  <c r="I1027" i="1"/>
  <c r="F1027" i="1"/>
  <c r="Y716" i="1"/>
  <c r="P716" i="1"/>
  <c r="O716" i="1"/>
  <c r="I716" i="1"/>
  <c r="F716" i="1"/>
  <c r="Y189" i="1"/>
  <c r="P189" i="1"/>
  <c r="O189" i="1"/>
  <c r="I189" i="1"/>
  <c r="F189" i="1"/>
  <c r="Y652" i="1"/>
  <c r="P652" i="1"/>
  <c r="O652" i="1"/>
  <c r="I652" i="1"/>
  <c r="F652" i="1"/>
  <c r="Y1525" i="1"/>
  <c r="P1525" i="1"/>
  <c r="O1525" i="1"/>
  <c r="I1525" i="1"/>
  <c r="F1525" i="1"/>
  <c r="Y363" i="1"/>
  <c r="P363" i="1"/>
  <c r="O363" i="1"/>
  <c r="I363" i="1"/>
  <c r="F363" i="1"/>
  <c r="Y1301" i="1"/>
  <c r="P1301" i="1"/>
  <c r="O1301" i="1"/>
  <c r="I1301" i="1"/>
  <c r="F1301" i="1"/>
  <c r="Y1026" i="1"/>
  <c r="P1026" i="1"/>
  <c r="O1026" i="1"/>
  <c r="I1026" i="1"/>
  <c r="F1026" i="1"/>
  <c r="Y1025" i="1"/>
  <c r="P1025" i="1"/>
  <c r="O1025" i="1"/>
  <c r="I1025" i="1"/>
  <c r="F1025" i="1"/>
  <c r="Y209" i="1"/>
  <c r="P209" i="1"/>
  <c r="O209" i="1"/>
  <c r="I209" i="1"/>
  <c r="F209" i="1"/>
  <c r="Y1024" i="1"/>
  <c r="P1024" i="1"/>
  <c r="O1024" i="1"/>
  <c r="I1024" i="1"/>
  <c r="F1024" i="1"/>
  <c r="Y424" i="1"/>
  <c r="P424" i="1"/>
  <c r="O424" i="1"/>
  <c r="I424" i="1"/>
  <c r="F424" i="1"/>
  <c r="Y1023" i="1"/>
  <c r="P1023" i="1"/>
  <c r="O1023" i="1"/>
  <c r="I1023" i="1"/>
  <c r="F1023" i="1"/>
  <c r="Y587" i="1"/>
  <c r="P587" i="1"/>
  <c r="O587" i="1"/>
  <c r="I587" i="1"/>
  <c r="F587" i="1"/>
  <c r="Y1398" i="1"/>
  <c r="P1398" i="1"/>
  <c r="O1398" i="1"/>
  <c r="I1398" i="1"/>
  <c r="F1398" i="1"/>
  <c r="Y510" i="1"/>
  <c r="P510" i="1"/>
  <c r="O510" i="1"/>
  <c r="I510" i="1"/>
  <c r="F510" i="1"/>
  <c r="Y104" i="1"/>
  <c r="P104" i="1"/>
  <c r="O104" i="1"/>
  <c r="I104" i="1"/>
  <c r="F104" i="1"/>
  <c r="Y27" i="1"/>
  <c r="P27" i="1"/>
  <c r="O27" i="1"/>
  <c r="I27" i="1"/>
  <c r="F27" i="1"/>
  <c r="Y35" i="1"/>
  <c r="P35" i="1"/>
  <c r="O35" i="1"/>
  <c r="I35" i="1"/>
  <c r="F35" i="1"/>
  <c r="Y25" i="1"/>
  <c r="P25" i="1"/>
  <c r="O25" i="1"/>
  <c r="I25" i="1"/>
  <c r="F25" i="1"/>
  <c r="Y34" i="1"/>
  <c r="P34" i="1"/>
  <c r="O34" i="1"/>
  <c r="I34" i="1"/>
  <c r="F34" i="1"/>
  <c r="Y249" i="1"/>
  <c r="P249" i="1"/>
  <c r="O249" i="1"/>
  <c r="I249" i="1"/>
  <c r="F249" i="1"/>
  <c r="Y1022" i="1"/>
  <c r="P1022" i="1"/>
  <c r="O1022" i="1"/>
  <c r="I1022" i="1"/>
  <c r="F1022" i="1"/>
  <c r="Y1201" i="1"/>
  <c r="P1201" i="1"/>
  <c r="O1201" i="1"/>
  <c r="I1201" i="1"/>
  <c r="F1201" i="1"/>
  <c r="Y1218" i="1"/>
  <c r="P1218" i="1"/>
  <c r="O1218" i="1"/>
  <c r="I1218" i="1"/>
  <c r="F1218" i="1"/>
  <c r="Y1404" i="1"/>
  <c r="P1404" i="1"/>
  <c r="O1404" i="1"/>
  <c r="I1404" i="1"/>
  <c r="F1404" i="1"/>
  <c r="Y1191" i="1"/>
  <c r="P1191" i="1"/>
  <c r="O1191" i="1"/>
  <c r="I1191" i="1"/>
  <c r="F1191" i="1"/>
  <c r="Y583" i="1"/>
  <c r="P583" i="1"/>
  <c r="O583" i="1"/>
  <c r="I583" i="1"/>
  <c r="F583" i="1"/>
  <c r="Y821" i="1"/>
  <c r="P821" i="1"/>
  <c r="O821" i="1"/>
  <c r="I821" i="1"/>
  <c r="F821" i="1"/>
  <c r="Y1021" i="1"/>
  <c r="P1021" i="1"/>
  <c r="O1021" i="1"/>
  <c r="I1021" i="1"/>
  <c r="F1021" i="1"/>
  <c r="Y661" i="1"/>
  <c r="P661" i="1"/>
  <c r="O661" i="1"/>
  <c r="I661" i="1"/>
  <c r="F661" i="1"/>
  <c r="Y346" i="1"/>
  <c r="P346" i="1"/>
  <c r="O346" i="1"/>
  <c r="I346" i="1"/>
  <c r="F346" i="1"/>
  <c r="Y222" i="1"/>
  <c r="P222" i="1"/>
  <c r="O222" i="1"/>
  <c r="I222" i="1"/>
  <c r="F222" i="1"/>
  <c r="Y175" i="1"/>
  <c r="P175" i="1"/>
  <c r="O175" i="1"/>
  <c r="I175" i="1"/>
  <c r="F175" i="1"/>
  <c r="Y230" i="1"/>
  <c r="P230" i="1"/>
  <c r="O230" i="1"/>
  <c r="I230" i="1"/>
  <c r="F230" i="1"/>
  <c r="Y1003" i="1"/>
  <c r="P1003" i="1"/>
  <c r="O1003" i="1"/>
  <c r="I1003" i="1"/>
  <c r="F1003" i="1"/>
  <c r="Y64" i="1"/>
  <c r="P64" i="1"/>
  <c r="O64" i="1"/>
  <c r="I64" i="1"/>
  <c r="F64" i="1"/>
  <c r="Y37" i="1"/>
  <c r="P37" i="1"/>
  <c r="O37" i="1"/>
  <c r="I37" i="1"/>
  <c r="F37" i="1"/>
  <c r="Y39" i="1"/>
  <c r="P39" i="1"/>
  <c r="O39" i="1"/>
  <c r="I39" i="1"/>
  <c r="F39" i="1"/>
  <c r="Y36" i="1"/>
  <c r="P36" i="1"/>
  <c r="O36" i="1"/>
  <c r="I36" i="1"/>
  <c r="F36" i="1"/>
  <c r="Y38" i="1"/>
  <c r="P38" i="1"/>
  <c r="O38" i="1"/>
  <c r="I38" i="1"/>
  <c r="F38" i="1"/>
  <c r="Y1020" i="1"/>
  <c r="P1020" i="1"/>
  <c r="O1020" i="1"/>
  <c r="I1020" i="1"/>
  <c r="F1020" i="1"/>
  <c r="Y940" i="1"/>
  <c r="P940" i="1"/>
  <c r="O940" i="1"/>
  <c r="I940" i="1"/>
  <c r="F940" i="1"/>
  <c r="Y888" i="1"/>
  <c r="P888" i="1"/>
  <c r="O888" i="1"/>
  <c r="I888" i="1"/>
  <c r="F888" i="1"/>
  <c r="Y1302" i="1"/>
  <c r="P1302" i="1"/>
  <c r="O1302" i="1"/>
  <c r="I1302" i="1"/>
  <c r="F1302" i="1"/>
  <c r="Y1019" i="1"/>
  <c r="P1019" i="1"/>
  <c r="O1019" i="1"/>
  <c r="I1019" i="1"/>
  <c r="F1019" i="1"/>
  <c r="Y428" i="1"/>
  <c r="P428" i="1"/>
  <c r="O428" i="1"/>
  <c r="I428" i="1"/>
  <c r="F428" i="1"/>
  <c r="Y433" i="1"/>
  <c r="P433" i="1"/>
  <c r="O433" i="1"/>
  <c r="I433" i="1"/>
  <c r="F433" i="1"/>
  <c r="Y1018" i="1"/>
  <c r="P1018" i="1"/>
  <c r="O1018" i="1"/>
  <c r="I1018" i="1"/>
  <c r="F1018" i="1"/>
  <c r="Y1196" i="1"/>
  <c r="P1196" i="1"/>
  <c r="O1196" i="1"/>
  <c r="I1196" i="1"/>
  <c r="F1196" i="1"/>
  <c r="Y943" i="1"/>
  <c r="P943" i="1"/>
  <c r="O943" i="1"/>
  <c r="I943" i="1"/>
  <c r="F943" i="1"/>
  <c r="Y1434" i="1"/>
  <c r="P1434" i="1"/>
  <c r="O1434" i="1"/>
  <c r="I1434" i="1"/>
  <c r="F1434" i="1"/>
  <c r="Y1017" i="1"/>
  <c r="P1017" i="1"/>
  <c r="O1017" i="1"/>
  <c r="I1017" i="1"/>
  <c r="F1017" i="1"/>
  <c r="Y923" i="1"/>
  <c r="P923" i="1"/>
  <c r="O923" i="1"/>
  <c r="I923" i="1"/>
  <c r="F923" i="1"/>
  <c r="Y751" i="1"/>
  <c r="P751" i="1"/>
  <c r="O751" i="1"/>
  <c r="I751" i="1"/>
  <c r="F751" i="1"/>
  <c r="Y614" i="1"/>
  <c r="P614" i="1"/>
  <c r="O614" i="1"/>
  <c r="I614" i="1"/>
  <c r="F614" i="1"/>
  <c r="Y1442" i="1"/>
  <c r="P1442" i="1"/>
  <c r="O1442" i="1"/>
  <c r="I1442" i="1"/>
  <c r="F1442" i="1"/>
  <c r="Y595" i="1"/>
  <c r="P595" i="1"/>
  <c r="O595" i="1"/>
  <c r="I595" i="1"/>
  <c r="F595" i="1"/>
  <c r="Y1354" i="1"/>
  <c r="P1354" i="1"/>
  <c r="O1354" i="1"/>
  <c r="I1354" i="1"/>
  <c r="F1354" i="1"/>
  <c r="Y762" i="1"/>
  <c r="P762" i="1"/>
  <c r="O762" i="1"/>
  <c r="I762" i="1"/>
  <c r="F762" i="1"/>
  <c r="Y1349" i="1"/>
  <c r="P1349" i="1"/>
  <c r="O1349" i="1"/>
  <c r="I1349" i="1"/>
  <c r="F1349" i="1"/>
  <c r="Y1421" i="1"/>
  <c r="P1421" i="1"/>
  <c r="O1421" i="1"/>
  <c r="I1421" i="1"/>
  <c r="F1421" i="1"/>
  <c r="Y1348" i="1"/>
  <c r="P1348" i="1"/>
  <c r="O1348" i="1"/>
  <c r="I1348" i="1"/>
  <c r="F1348" i="1"/>
  <c r="Y1437" i="1"/>
  <c r="P1437" i="1"/>
  <c r="O1437" i="1"/>
  <c r="I1437" i="1"/>
  <c r="F1437" i="1"/>
  <c r="Y1347" i="1"/>
  <c r="P1347" i="1"/>
  <c r="O1347" i="1"/>
  <c r="I1347" i="1"/>
  <c r="F1347" i="1"/>
  <c r="Y1335" i="1"/>
  <c r="P1335" i="1"/>
  <c r="O1335" i="1"/>
  <c r="I1335" i="1"/>
  <c r="F1335" i="1"/>
  <c r="Y1432" i="1"/>
  <c r="P1432" i="1"/>
  <c r="O1432" i="1"/>
  <c r="I1432" i="1"/>
  <c r="F1432" i="1"/>
  <c r="Y1346" i="1"/>
  <c r="P1346" i="1"/>
  <c r="O1346" i="1"/>
  <c r="I1346" i="1"/>
  <c r="F1346" i="1"/>
  <c r="Y476" i="1"/>
  <c r="P476" i="1"/>
  <c r="O476" i="1"/>
  <c r="I476" i="1"/>
  <c r="F476" i="1"/>
  <c r="Y1171" i="1"/>
  <c r="P1171" i="1"/>
  <c r="O1171" i="1"/>
  <c r="I1171" i="1"/>
  <c r="F1171" i="1"/>
  <c r="Y768" i="1"/>
  <c r="P768" i="1"/>
  <c r="O768" i="1"/>
  <c r="I768" i="1"/>
  <c r="F768" i="1"/>
  <c r="Y765" i="1"/>
  <c r="P765" i="1"/>
  <c r="O765" i="1"/>
  <c r="I765" i="1"/>
  <c r="F765" i="1"/>
  <c r="Y345" i="1"/>
  <c r="P345" i="1"/>
  <c r="O345" i="1"/>
  <c r="I345" i="1"/>
  <c r="F345" i="1"/>
  <c r="Y70" i="1"/>
  <c r="P70" i="1"/>
  <c r="O70" i="1"/>
  <c r="I70" i="1"/>
  <c r="F70" i="1"/>
  <c r="Y1016" i="1"/>
  <c r="P1016" i="1"/>
  <c r="O1016" i="1"/>
  <c r="I1016" i="1"/>
  <c r="F1016" i="1"/>
  <c r="Y1436" i="1"/>
  <c r="P1436" i="1"/>
  <c r="O1436" i="1"/>
  <c r="I1436" i="1"/>
  <c r="F1436" i="1"/>
  <c r="Y1515" i="1"/>
  <c r="P1515" i="1"/>
  <c r="O1515" i="1"/>
  <c r="I1515" i="1"/>
  <c r="F1515" i="1"/>
  <c r="Y1367" i="1"/>
  <c r="P1367" i="1"/>
  <c r="O1367" i="1"/>
  <c r="I1367" i="1"/>
  <c r="F1367" i="1"/>
  <c r="Y1366" i="1"/>
  <c r="P1366" i="1"/>
  <c r="O1366" i="1"/>
  <c r="I1366" i="1"/>
  <c r="F1366" i="1"/>
  <c r="Y1365" i="1"/>
  <c r="P1365" i="1"/>
  <c r="O1365" i="1"/>
  <c r="I1365" i="1"/>
  <c r="F1365" i="1"/>
  <c r="Y1319" i="1"/>
  <c r="P1319" i="1"/>
  <c r="O1319" i="1"/>
  <c r="I1319" i="1"/>
  <c r="F1319" i="1"/>
  <c r="Y1364" i="1"/>
  <c r="P1364" i="1"/>
  <c r="O1364" i="1"/>
  <c r="I1364" i="1"/>
  <c r="F1364" i="1"/>
  <c r="Y1363" i="1"/>
  <c r="P1363" i="1"/>
  <c r="O1363" i="1"/>
  <c r="I1363" i="1"/>
  <c r="F1363" i="1"/>
  <c r="Y1426" i="1"/>
  <c r="P1426" i="1"/>
  <c r="O1426" i="1"/>
  <c r="I1426" i="1"/>
  <c r="F1426" i="1"/>
  <c r="Y50" i="1"/>
  <c r="P50" i="1"/>
  <c r="O50" i="1"/>
  <c r="I50" i="1"/>
  <c r="F50" i="1"/>
  <c r="Y1405" i="1"/>
  <c r="P1405" i="1"/>
  <c r="O1405" i="1"/>
  <c r="I1405" i="1"/>
  <c r="F1405" i="1"/>
  <c r="Y451" i="1"/>
  <c r="P451" i="1"/>
  <c r="O451" i="1"/>
  <c r="I451" i="1"/>
  <c r="F451" i="1"/>
  <c r="Y697" i="1"/>
  <c r="P697" i="1"/>
  <c r="O697" i="1"/>
  <c r="I697" i="1"/>
  <c r="F697" i="1"/>
  <c r="Y706" i="1"/>
  <c r="P706" i="1"/>
  <c r="O706" i="1"/>
  <c r="I706" i="1"/>
  <c r="F706" i="1"/>
  <c r="Y748" i="1"/>
  <c r="P748" i="1"/>
  <c r="O748" i="1"/>
  <c r="I748" i="1"/>
  <c r="F748" i="1"/>
  <c r="Y1251" i="1"/>
  <c r="P1251" i="1"/>
  <c r="O1251" i="1"/>
  <c r="I1251" i="1"/>
  <c r="F1251" i="1"/>
  <c r="Y423" i="1"/>
  <c r="P423" i="1"/>
  <c r="O423" i="1"/>
  <c r="I423" i="1"/>
  <c r="F423" i="1"/>
  <c r="Y1343" i="1"/>
  <c r="P1343" i="1"/>
  <c r="O1343" i="1"/>
  <c r="I1343" i="1"/>
  <c r="F1343" i="1"/>
  <c r="Y61" i="1"/>
  <c r="P61" i="1"/>
  <c r="O61" i="1"/>
  <c r="I61" i="1"/>
  <c r="F61" i="1"/>
  <c r="Y913" i="1"/>
  <c r="P913" i="1"/>
  <c r="O913" i="1"/>
  <c r="I913" i="1"/>
  <c r="F913" i="1"/>
  <c r="Y1298" i="1"/>
  <c r="P1298" i="1"/>
  <c r="O1298" i="1"/>
  <c r="I1298" i="1"/>
  <c r="F1298" i="1"/>
  <c r="Y41" i="1"/>
  <c r="P41" i="1"/>
  <c r="O41" i="1"/>
  <c r="I41" i="1"/>
  <c r="F41" i="1"/>
  <c r="Y316" i="1"/>
  <c r="P316" i="1"/>
  <c r="O316" i="1"/>
  <c r="I316" i="1"/>
  <c r="F316" i="1"/>
  <c r="Y303" i="1"/>
  <c r="P303" i="1"/>
  <c r="O303" i="1"/>
  <c r="I303" i="1"/>
  <c r="F303" i="1"/>
  <c r="Y332" i="1"/>
  <c r="P332" i="1"/>
  <c r="O332" i="1"/>
  <c r="I332" i="1"/>
  <c r="F332" i="1"/>
  <c r="Y585" i="1"/>
  <c r="P585" i="1"/>
  <c r="O585" i="1"/>
  <c r="I585" i="1"/>
  <c r="F585" i="1"/>
  <c r="Y674" i="1"/>
  <c r="P674" i="1"/>
  <c r="O674" i="1"/>
  <c r="I674" i="1"/>
  <c r="F674" i="1"/>
  <c r="Y79" i="1"/>
  <c r="P79" i="1"/>
  <c r="O79" i="1"/>
  <c r="I79" i="1"/>
  <c r="F79" i="1"/>
  <c r="Y1015" i="1"/>
  <c r="P1015" i="1"/>
  <c r="O1015" i="1"/>
  <c r="I1015" i="1"/>
  <c r="F1015" i="1"/>
  <c r="Y205" i="1"/>
  <c r="P205" i="1"/>
  <c r="O205" i="1"/>
  <c r="I205" i="1"/>
  <c r="F205" i="1"/>
  <c r="Y257" i="1"/>
  <c r="P257" i="1"/>
  <c r="O257" i="1"/>
  <c r="I257" i="1"/>
  <c r="F257" i="1"/>
  <c r="Y142" i="1"/>
  <c r="P142" i="1"/>
  <c r="O142" i="1"/>
  <c r="I142" i="1"/>
  <c r="F142" i="1"/>
  <c r="Y57" i="1"/>
  <c r="P57" i="1"/>
  <c r="O57" i="1"/>
  <c r="I57" i="1"/>
  <c r="F57" i="1"/>
  <c r="Y602" i="1"/>
  <c r="P602" i="1"/>
  <c r="O602" i="1"/>
  <c r="I602" i="1"/>
  <c r="F602" i="1"/>
  <c r="Y692" i="1"/>
  <c r="P692" i="1"/>
  <c r="O692" i="1"/>
  <c r="I692" i="1"/>
  <c r="F692" i="1"/>
  <c r="Y644" i="1"/>
  <c r="P644" i="1"/>
  <c r="O644" i="1"/>
  <c r="I644" i="1"/>
  <c r="F644" i="1"/>
  <c r="Y654" i="1"/>
  <c r="P654" i="1"/>
  <c r="O654" i="1"/>
  <c r="I654" i="1"/>
  <c r="F654" i="1"/>
  <c r="Y684" i="1"/>
  <c r="P684" i="1"/>
  <c r="O684" i="1"/>
  <c r="I684" i="1"/>
  <c r="F684" i="1"/>
  <c r="Y657" i="1"/>
  <c r="P657" i="1"/>
  <c r="O657" i="1"/>
  <c r="I657" i="1"/>
  <c r="F657" i="1"/>
  <c r="Y429" i="1"/>
  <c r="P429" i="1"/>
  <c r="O429" i="1"/>
  <c r="I429" i="1"/>
  <c r="F429" i="1"/>
  <c r="Y526" i="1"/>
  <c r="P526" i="1"/>
  <c r="O526" i="1"/>
  <c r="I526" i="1"/>
  <c r="F526" i="1"/>
  <c r="Y525" i="1"/>
  <c r="P525" i="1"/>
  <c r="O525" i="1"/>
  <c r="I525" i="1"/>
  <c r="F525" i="1"/>
  <c r="Y560" i="1"/>
  <c r="P560" i="1"/>
  <c r="O560" i="1"/>
  <c r="I560" i="1"/>
  <c r="F560" i="1"/>
  <c r="Y969" i="1"/>
  <c r="P969" i="1"/>
  <c r="O969" i="1"/>
  <c r="I969" i="1"/>
  <c r="F969" i="1"/>
  <c r="Y404" i="1"/>
  <c r="P404" i="1"/>
  <c r="O404" i="1"/>
  <c r="I404" i="1"/>
  <c r="F404" i="1"/>
  <c r="Y927" i="1"/>
  <c r="P927" i="1"/>
  <c r="O927" i="1"/>
  <c r="I927" i="1"/>
  <c r="F927" i="1"/>
  <c r="Y1014" i="1"/>
  <c r="P1014" i="1"/>
  <c r="O1014" i="1"/>
  <c r="I1014" i="1"/>
  <c r="F1014" i="1"/>
  <c r="Y730" i="1"/>
  <c r="P730" i="1"/>
  <c r="O730" i="1"/>
  <c r="I730" i="1"/>
  <c r="F730" i="1"/>
  <c r="Y1205" i="1"/>
  <c r="P1205" i="1"/>
  <c r="O1205" i="1"/>
  <c r="I1205" i="1"/>
  <c r="F1205" i="1"/>
  <c r="Y682" i="1"/>
  <c r="P682" i="1"/>
  <c r="O682" i="1"/>
  <c r="I682" i="1"/>
  <c r="F682" i="1"/>
  <c r="Y659" i="1"/>
  <c r="P659" i="1"/>
  <c r="O659" i="1"/>
  <c r="I659" i="1"/>
  <c r="F659" i="1"/>
  <c r="Y1002" i="1"/>
  <c r="P1002" i="1"/>
  <c r="O1002" i="1"/>
  <c r="I1002" i="1"/>
  <c r="F1002" i="1"/>
  <c r="Y891" i="1"/>
  <c r="P891" i="1"/>
  <c r="O891" i="1"/>
  <c r="I891" i="1"/>
  <c r="F891" i="1"/>
  <c r="Y484" i="1"/>
  <c r="P484" i="1"/>
  <c r="O484" i="1"/>
  <c r="I484" i="1"/>
  <c r="F484" i="1"/>
  <c r="Y1503" i="1"/>
  <c r="P1503" i="1"/>
  <c r="O1503" i="1"/>
  <c r="I1503" i="1"/>
  <c r="F1503" i="1"/>
  <c r="Y1321" i="1"/>
  <c r="P1321" i="1"/>
  <c r="O1321" i="1"/>
  <c r="I1321" i="1"/>
  <c r="F1321" i="1"/>
  <c r="Y1340" i="1"/>
  <c r="P1340" i="1"/>
  <c r="O1340" i="1"/>
  <c r="I1340" i="1"/>
  <c r="F1340" i="1"/>
  <c r="Y1284" i="1"/>
  <c r="P1284" i="1"/>
  <c r="O1284" i="1"/>
  <c r="I1284" i="1"/>
  <c r="F1284" i="1"/>
  <c r="Y823" i="1"/>
  <c r="P823" i="1"/>
  <c r="O823" i="1"/>
  <c r="I823" i="1"/>
  <c r="F823" i="1"/>
  <c r="Y955" i="1"/>
  <c r="P955" i="1"/>
  <c r="O955" i="1"/>
  <c r="I955" i="1"/>
  <c r="F955" i="1"/>
  <c r="Y1427" i="1"/>
  <c r="P1427" i="1"/>
  <c r="O1427" i="1"/>
  <c r="I1427" i="1"/>
  <c r="F1427" i="1"/>
  <c r="Y1013" i="1"/>
  <c r="P1013" i="1"/>
  <c r="O1013" i="1"/>
  <c r="I1013" i="1"/>
  <c r="F1013" i="1"/>
  <c r="Y1466" i="1"/>
  <c r="P1466" i="1"/>
  <c r="O1466" i="1"/>
  <c r="I1466" i="1"/>
  <c r="F1466" i="1"/>
  <c r="Y1465" i="1"/>
  <c r="P1465" i="1"/>
  <c r="O1465" i="1"/>
  <c r="I1465" i="1"/>
  <c r="F1465" i="1"/>
  <c r="Y1464" i="1"/>
  <c r="P1464" i="1"/>
  <c r="O1464" i="1"/>
  <c r="I1464" i="1"/>
  <c r="F1464" i="1"/>
  <c r="Y1012" i="1"/>
  <c r="P1012" i="1"/>
  <c r="O1012" i="1"/>
  <c r="I1012" i="1"/>
  <c r="F1012" i="1"/>
  <c r="Y1463" i="1"/>
  <c r="P1463" i="1"/>
  <c r="O1463" i="1"/>
  <c r="I1463" i="1"/>
  <c r="F1463" i="1"/>
  <c r="Y1458" i="1"/>
  <c r="P1458" i="1"/>
  <c r="O1458" i="1"/>
  <c r="I1458" i="1"/>
  <c r="F1458" i="1"/>
  <c r="Y1289" i="1"/>
  <c r="P1289" i="1"/>
  <c r="O1289" i="1"/>
  <c r="I1289" i="1"/>
  <c r="F1289" i="1"/>
  <c r="Y739" i="1"/>
  <c r="P739" i="1"/>
  <c r="O739" i="1"/>
  <c r="I739" i="1"/>
  <c r="F739" i="1"/>
  <c r="Y1288" i="1"/>
  <c r="P1288" i="1"/>
  <c r="O1288" i="1"/>
  <c r="I1288" i="1"/>
  <c r="F1288" i="1"/>
  <c r="Y539" i="1"/>
  <c r="P539" i="1"/>
  <c r="O539" i="1"/>
  <c r="I539" i="1"/>
  <c r="F539" i="1"/>
  <c r="Y1296" i="1"/>
  <c r="P1296" i="1"/>
  <c r="O1296" i="1"/>
  <c r="I1296" i="1"/>
  <c r="F1296" i="1"/>
  <c r="Y637" i="1"/>
  <c r="P637" i="1"/>
  <c r="O637" i="1"/>
  <c r="I637" i="1"/>
  <c r="F637" i="1"/>
  <c r="Y633" i="1"/>
  <c r="P633" i="1"/>
  <c r="O633" i="1"/>
  <c r="I633" i="1"/>
  <c r="F633" i="1"/>
  <c r="Y615" i="1"/>
  <c r="P615" i="1"/>
  <c r="O615" i="1"/>
  <c r="I615" i="1"/>
  <c r="F615" i="1"/>
  <c r="Y576" i="1"/>
  <c r="P576" i="1"/>
  <c r="O576" i="1"/>
  <c r="I576" i="1"/>
  <c r="F576" i="1"/>
  <c r="Y619" i="1"/>
  <c r="P619" i="1"/>
  <c r="O619" i="1"/>
  <c r="I619" i="1"/>
  <c r="F619" i="1"/>
  <c r="Y1287" i="1"/>
  <c r="P1287" i="1"/>
  <c r="O1287" i="1"/>
  <c r="I1287" i="1"/>
  <c r="F1287" i="1"/>
  <c r="Y464" i="1"/>
  <c r="P464" i="1"/>
  <c r="O464" i="1"/>
  <c r="I464" i="1"/>
  <c r="F464" i="1"/>
  <c r="Y1000" i="1"/>
  <c r="P1000" i="1"/>
  <c r="O1000" i="1"/>
  <c r="I1000" i="1"/>
  <c r="F1000" i="1"/>
  <c r="Y978" i="1"/>
  <c r="P978" i="1"/>
  <c r="O978" i="1"/>
  <c r="I978" i="1"/>
  <c r="F978" i="1"/>
  <c r="Y638" i="1"/>
  <c r="P638" i="1"/>
  <c r="O638" i="1"/>
  <c r="I638" i="1"/>
  <c r="F638" i="1"/>
  <c r="Y917" i="1"/>
  <c r="P917" i="1"/>
  <c r="O917" i="1"/>
  <c r="I917" i="1"/>
  <c r="F917" i="1"/>
  <c r="Y193" i="1"/>
  <c r="P193" i="1"/>
  <c r="O193" i="1"/>
  <c r="I193" i="1"/>
  <c r="F193" i="1"/>
  <c r="Y1011" i="1"/>
  <c r="P1011" i="1"/>
  <c r="O1011" i="1"/>
  <c r="I1011" i="1"/>
  <c r="F1011" i="1"/>
  <c r="Y1438" i="1"/>
  <c r="P1438" i="1"/>
  <c r="O1438" i="1"/>
  <c r="I1438" i="1"/>
  <c r="F1438" i="1"/>
  <c r="Y1425" i="1"/>
  <c r="P1425" i="1"/>
  <c r="O1425" i="1"/>
  <c r="I1425" i="1"/>
  <c r="F1425" i="1"/>
  <c r="Y90" i="1"/>
  <c r="P90" i="1"/>
  <c r="O90" i="1"/>
  <c r="I90" i="1"/>
  <c r="F90" i="1"/>
  <c r="Y89" i="1"/>
  <c r="P89" i="1"/>
  <c r="O89" i="1"/>
  <c r="I89" i="1"/>
  <c r="F89" i="1"/>
  <c r="Y106" i="1"/>
  <c r="P106" i="1"/>
  <c r="O106" i="1"/>
  <c r="I106" i="1"/>
  <c r="F106" i="1"/>
  <c r="Y59" i="1"/>
  <c r="P59" i="1"/>
  <c r="O59" i="1"/>
  <c r="I59" i="1"/>
  <c r="F59" i="1"/>
  <c r="Y131" i="1"/>
  <c r="P131" i="1"/>
  <c r="O131" i="1"/>
  <c r="I131" i="1"/>
  <c r="F131" i="1"/>
  <c r="Y55" i="1"/>
  <c r="P55" i="1"/>
  <c r="O55" i="1"/>
  <c r="I55" i="1"/>
  <c r="F55" i="1"/>
  <c r="Y91" i="1"/>
  <c r="P91" i="1"/>
  <c r="O91" i="1"/>
  <c r="I91" i="1"/>
  <c r="F91" i="1"/>
  <c r="Y425" i="1"/>
  <c r="P425" i="1"/>
  <c r="O425" i="1"/>
  <c r="I425" i="1"/>
  <c r="F425" i="1"/>
  <c r="Y897" i="1"/>
  <c r="P897" i="1"/>
  <c r="O897" i="1"/>
  <c r="I897" i="1"/>
  <c r="F897" i="1"/>
  <c r="Y454" i="1"/>
  <c r="P454" i="1"/>
  <c r="O454" i="1"/>
  <c r="I454" i="1"/>
  <c r="F454" i="1"/>
  <c r="Y280" i="1"/>
  <c r="P280" i="1"/>
  <c r="O280" i="1"/>
  <c r="I280" i="1"/>
  <c r="F280" i="1"/>
  <c r="Y94" i="1"/>
  <c r="P94" i="1"/>
  <c r="O94" i="1"/>
  <c r="I94" i="1"/>
  <c r="F94" i="1"/>
  <c r="Y200" i="1"/>
  <c r="P200" i="1"/>
  <c r="O200" i="1"/>
  <c r="I200" i="1"/>
  <c r="F200" i="1"/>
</calcChain>
</file>

<file path=xl/sharedStrings.xml><?xml version="1.0" encoding="utf-8"?>
<sst xmlns="http://schemas.openxmlformats.org/spreadsheetml/2006/main" count="142406" uniqueCount="37876">
  <si>
    <t>UPC</t>
  </si>
  <si>
    <t>Amazon Link 1</t>
  </si>
  <si>
    <t>ASIN</t>
  </si>
  <si>
    <t>Inactive ASINs</t>
  </si>
  <si>
    <t>Amazon Link 2</t>
  </si>
  <si>
    <t>ASIN Link</t>
  </si>
  <si>
    <t>Retail Link</t>
  </si>
  <si>
    <t>SKU ID</t>
  </si>
  <si>
    <t>WebID</t>
  </si>
  <si>
    <t>Title</t>
  </si>
  <si>
    <t>Cost</t>
  </si>
  <si>
    <t>Price</t>
  </si>
  <si>
    <t>Profit</t>
  </si>
  <si>
    <t>BuyBox Past</t>
  </si>
  <si>
    <t>ROI</t>
  </si>
  <si>
    <t>Sales Rank</t>
  </si>
  <si>
    <t>Bought Last 30</t>
  </si>
  <si>
    <t>Weight</t>
  </si>
  <si>
    <t>New Current</t>
  </si>
  <si>
    <t xml:space="preserve"> BB Price 90</t>
  </si>
  <si>
    <t>New Price 180</t>
  </si>
  <si>
    <t>Availability</t>
  </si>
  <si>
    <t>Offers</t>
  </si>
  <si>
    <t>Reviews Match</t>
  </si>
  <si>
    <t>30 Day Drop</t>
  </si>
  <si>
    <t>90 Day Drop</t>
  </si>
  <si>
    <t>Reviews</t>
  </si>
  <si>
    <t>Review Total</t>
  </si>
  <si>
    <t>Model</t>
  </si>
  <si>
    <t>Color</t>
  </si>
  <si>
    <t>FBA Fee</t>
  </si>
  <si>
    <t>FBA Shipping</t>
  </si>
  <si>
    <t>196739108640</t>
  </si>
  <si>
    <t>https://www.amazon.com/dp/</t>
  </si>
  <si>
    <t>B0CSPQ6BQ8</t>
  </si>
  <si>
    <t>?th=1&amp;psc=1&amp;tag=sdcdeals03-20</t>
  </si>
  <si>
    <t>https://www.kohls.com/search.jsp?submit-search=web-regular&amp;search={search_term}</t>
  </si>
  <si>
    <t>54801844</t>
  </si>
  <si>
    <t>6006576</t>
  </si>
  <si>
    <t>Champion Men's Script Logo Midweight Classic Jersey T-Shirt, Red, M</t>
  </si>
  <si>
    <t>84</t>
  </si>
  <si>
    <t>Script Primary Red.</t>
  </si>
  <si>
    <t>196739108565</t>
  </si>
  <si>
    <t>B0CSPQJWC1</t>
  </si>
  <si>
    <t>54801848</t>
  </si>
  <si>
    <t>Champion Men's Script Logo Midweight Classic Jersey T-Shirt, RoyalBlue, XXL</t>
  </si>
  <si>
    <t>115</t>
  </si>
  <si>
    <t>Script Royal-blue.</t>
  </si>
  <si>
    <t>194428896335</t>
  </si>
  <si>
    <t>B081V3K5JW</t>
  </si>
  <si>
    <t>33868163</t>
  </si>
  <si>
    <t>4273199</t>
  </si>
  <si>
    <t>Skechers Women's GO Walk Pickleball Jacket, Chocolate Drizzle, XS</t>
  </si>
  <si>
    <t>1</t>
  </si>
  <si>
    <t>W03JA158</t>
  </si>
  <si>
    <t>Chocolate Drizzle</t>
  </si>
  <si>
    <t>196989443140</t>
  </si>
  <si>
    <t>B0C3SSVTCH</t>
  </si>
  <si>
    <t>29368541</t>
  </si>
  <si>
    <t>Skechers Women's GO Walk Pickleball Jacket, Asphalt, X-Small</t>
  </si>
  <si>
    <t>2</t>
  </si>
  <si>
    <t>Asphalt</t>
  </si>
  <si>
    <t>742728986678</t>
  </si>
  <si>
    <t>B095WTNX8K</t>
  </si>
  <si>
    <t>67292259</t>
  </si>
  <si>
    <t>5057710</t>
  </si>
  <si>
    <t>Hurley Boys' Solar Jogger Pants, Dark Grey, 4</t>
  </si>
  <si>
    <t>158</t>
  </si>
  <si>
    <t>884851-042</t>
  </si>
  <si>
    <t>Dark Grey</t>
  </si>
  <si>
    <t>742728942605</t>
  </si>
  <si>
    <t>B095WY3PK2</t>
  </si>
  <si>
    <t>81181110</t>
  </si>
  <si>
    <t>Hurley Boys' Solar Jogger Pants, Black, 4</t>
  </si>
  <si>
    <t>155</t>
  </si>
  <si>
    <t>884851-K08</t>
  </si>
  <si>
    <t>Black</t>
  </si>
  <si>
    <t>196099064266</t>
  </si>
  <si>
    <t>B09JBF87BK</t>
  </si>
  <si>
    <t>54519949</t>
  </si>
  <si>
    <t>7081357</t>
  </si>
  <si>
    <t>Levi's Women's 724 High Rise Straight Jeans, Dark Indigo Destructed, 25 Short</t>
  </si>
  <si>
    <t>18883-0181</t>
  </si>
  <si>
    <t>Indigo Destructed</t>
  </si>
  <si>
    <t>195339903594</t>
  </si>
  <si>
    <t>B08NV3VRRF</t>
  </si>
  <si>
    <t>58046464</t>
  </si>
  <si>
    <t>Levi's Women's 724 High Rise Straight Jeans, Slate Reveal (Waterless), 24 Regular</t>
  </si>
  <si>
    <t>6</t>
  </si>
  <si>
    <t>18883-0153</t>
  </si>
  <si>
    <t>Slate Reveal - Light Indigo</t>
  </si>
  <si>
    <t>196099064259</t>
  </si>
  <si>
    <t>B09JBB5Z9B</t>
  </si>
  <si>
    <t>54519967</t>
  </si>
  <si>
    <t>Levi's Women's 724 High Rise Straight Jeans, Dark Indigo Destructed, 24 Regular</t>
  </si>
  <si>
    <t>20</t>
  </si>
  <si>
    <t>195339903631</t>
  </si>
  <si>
    <t>B08NV69L53</t>
  </si>
  <si>
    <t>58046465</t>
  </si>
  <si>
    <t>Levi's Women's 724 High Rise Straight Jeans, Slate Reveal (Waterless), 25 Regular</t>
  </si>
  <si>
    <t>4</t>
  </si>
  <si>
    <t>195861998921</t>
  </si>
  <si>
    <t>B0CM4PXH4X</t>
  </si>
  <si>
    <t>80688346</t>
  </si>
  <si>
    <t>6055720</t>
  </si>
  <si>
    <t>Carter's Baby Boys' Hooded Jumpsuit (Navy Plaid, 3 Months)</t>
  </si>
  <si>
    <t>5</t>
  </si>
  <si>
    <t>V_1P813910</t>
  </si>
  <si>
    <t>Navy Plaid</t>
  </si>
  <si>
    <t>195861998938</t>
  </si>
  <si>
    <t>B0CM569TFP</t>
  </si>
  <si>
    <t>80688349</t>
  </si>
  <si>
    <t>Carter's Baby Boys' Hooded Jumpsuit (Navy Plaid, 6 Months)</t>
  </si>
  <si>
    <t>29</t>
  </si>
  <si>
    <t>195861998945</t>
  </si>
  <si>
    <t>B0CM579WF6</t>
  </si>
  <si>
    <t>80688350</t>
  </si>
  <si>
    <t>Carter's Baby Boys' Hooded Jumpsuit (Navy Plaid, 9 Months)</t>
  </si>
  <si>
    <t>38</t>
  </si>
  <si>
    <t>192660473871</t>
  </si>
  <si>
    <t>B07JY6VPGX</t>
  </si>
  <si>
    <t>44112345</t>
  </si>
  <si>
    <t>4913640</t>
  </si>
  <si>
    <t>Columbia Toddler Unisex Powderbug Plus II, Emperor/Paisley Purple, 4</t>
  </si>
  <si>
    <t>56</t>
  </si>
  <si>
    <t>1637873</t>
  </si>
  <si>
    <t>Emperor, Paisley Purple</t>
  </si>
  <si>
    <t>192660473888</t>
  </si>
  <si>
    <t>B07JQWH52S</t>
  </si>
  <si>
    <t>44112346</t>
  </si>
  <si>
    <t>Columbia unisex child Powderbug Plus Ii Snow Boot, Emperor/Paisley Purple, 5 Toddler US</t>
  </si>
  <si>
    <t>7</t>
  </si>
  <si>
    <t>721357002379</t>
  </si>
  <si>
    <t>B06X9RNJ8P</t>
  </si>
  <si>
    <t>50632995</t>
  </si>
  <si>
    <t>6271523</t>
  </si>
  <si>
    <t>Terramar Women's Cloud Nine 4-Way Stretch Brushed Long Sleeve Scoop Neck Hoodie, Ink, Large (14)</t>
  </si>
  <si>
    <t>W8324</t>
  </si>
  <si>
    <t>Ink</t>
  </si>
  <si>
    <t>196027315149</t>
  </si>
  <si>
    <t>B0D28QWY8P</t>
  </si>
  <si>
    <t>66720533</t>
  </si>
  <si>
    <t>6238174</t>
  </si>
  <si>
    <t>Harry Potter Big Girls' Doodles Long Sleeve Top &amp; Pants Pajama 2-Piece Set (Size 10) Pink</t>
  </si>
  <si>
    <t>116</t>
  </si>
  <si>
    <t>Pink</t>
  </si>
  <si>
    <t>195253803178</t>
  </si>
  <si>
    <t>B09JNK4Y6C</t>
  </si>
  <si>
    <t>83068737</t>
  </si>
  <si>
    <t>6554348</t>
  </si>
  <si>
    <t>Under Armour Men's ArmourFleece 1/4 Zip, (410) Midnight Navy / / Black, Small</t>
  </si>
  <si>
    <t>186</t>
  </si>
  <si>
    <t>1373358</t>
  </si>
  <si>
    <t>(410) Midnight Navy / / Black</t>
  </si>
  <si>
    <t>195253803420</t>
  </si>
  <si>
    <t>B09JNL78LN</t>
  </si>
  <si>
    <t>83068738</t>
  </si>
  <si>
    <t>Under Armour Men's ArmourFleece 1/4 Zip, (410) Midnight Navy / / Black, Medium</t>
  </si>
  <si>
    <t>290</t>
  </si>
  <si>
    <t>194895411147</t>
  </si>
  <si>
    <t>B09KMDMRLB</t>
  </si>
  <si>
    <t>63856210</t>
  </si>
  <si>
    <t>5560103</t>
  </si>
  <si>
    <t>Columbia Women's Tipton Peak II Insulated Jacket, White/Tradewinds Grey/Cirrus Grey, 1X Plus</t>
  </si>
  <si>
    <t>14</t>
  </si>
  <si>
    <t>2009492</t>
  </si>
  <si>
    <t>White, Cirrus Grey, Tradewinds Grey</t>
  </si>
  <si>
    <t>195979402341</t>
  </si>
  <si>
    <t>B0BKQYFTNY</t>
  </si>
  <si>
    <t>58791810</t>
  </si>
  <si>
    <t>Columbia Women's Tipton Peak II Insulated Jacket, Bright Aqua/White/Night Wave, 1X Plus</t>
  </si>
  <si>
    <t>Bright Aqua, White, Night Wave</t>
  </si>
  <si>
    <t>196099206444</t>
  </si>
  <si>
    <t>B09N6FR1V4</t>
  </si>
  <si>
    <t>46688121</t>
  </si>
  <si>
    <t>6721181</t>
  </si>
  <si>
    <t>Levi's 510 Skinny Fit Men's Jeans, Light Gray Worn in, 28W x 30L</t>
  </si>
  <si>
    <t>05510-1249</t>
  </si>
  <si>
    <t>Light Gray Worn in</t>
  </si>
  <si>
    <t>196099206451</t>
  </si>
  <si>
    <t>B09N68DPF2</t>
  </si>
  <si>
    <t>46688122</t>
  </si>
  <si>
    <t>Levi's 510 Skinny Fit Men's Jeans, Light Gray Worn in, 28W x 32L</t>
  </si>
  <si>
    <t>196099206512</t>
  </si>
  <si>
    <t>B09N6F7PR6</t>
  </si>
  <si>
    <t>46688126</t>
  </si>
  <si>
    <t>Levi's 510 Skinny Fit Men's Jeans, Light Gray Worn in, 30W x 32L</t>
  </si>
  <si>
    <t>196099206543</t>
  </si>
  <si>
    <t>B09N6P9N91</t>
  </si>
  <si>
    <t>46688128</t>
  </si>
  <si>
    <t>Levi's 510 Skinny Fit Men's Jeans, Light Gray Worn in, 31W x 32L</t>
  </si>
  <si>
    <t>196099206581</t>
  </si>
  <si>
    <t>B09N6D4MFJ</t>
  </si>
  <si>
    <t>46688132</t>
  </si>
  <si>
    <t>Levi's 510 Skinny Fit Men's Jeans, Light Gray Worn in, 32W x 34L</t>
  </si>
  <si>
    <t>196099206628</t>
  </si>
  <si>
    <t>B09N6PBFVW</t>
  </si>
  <si>
    <t>46688135</t>
  </si>
  <si>
    <t>Levi's 510 Skinny Fit Men's Jeans, Light Gray Worn in, 33W x 34L</t>
  </si>
  <si>
    <t>18</t>
  </si>
  <si>
    <t>196099206734</t>
  </si>
  <si>
    <t>B09N6PXY4M</t>
  </si>
  <si>
    <t>46688142</t>
  </si>
  <si>
    <t>Levi's 510 Skinny Fit Men's Jeans, Light Gray Worn in, 36W x 32L</t>
  </si>
  <si>
    <t>196099206741</t>
  </si>
  <si>
    <t>B09N6F229G</t>
  </si>
  <si>
    <t>46688143</t>
  </si>
  <si>
    <t>Levi's 510 Skinny Fit Men's Jeans, Light Gray Worn in, 36W x 34L</t>
  </si>
  <si>
    <t>196099206765</t>
  </si>
  <si>
    <t>B09N6DDNPP</t>
  </si>
  <si>
    <t>46688144</t>
  </si>
  <si>
    <t>Levi's 510 Skinny Fit Men's Jeans, Light Gray Worn in, 38W x 30L</t>
  </si>
  <si>
    <t>196099206789</t>
  </si>
  <si>
    <t>B09N6CSNBW</t>
  </si>
  <si>
    <t>46688146</t>
  </si>
  <si>
    <t>Levi's 510 Skinny Fit Men's Jeans, Light Gray Worn in, 38W x 34L</t>
  </si>
  <si>
    <t>196099206796</t>
  </si>
  <si>
    <t>B09N6M7RCC</t>
  </si>
  <si>
    <t>46688147</t>
  </si>
  <si>
    <t>Levi's 510 Skinny Fit Men's Jeans, Light Gray Worn in, 40W x 30L</t>
  </si>
  <si>
    <t>196099206826</t>
  </si>
  <si>
    <t>B09N6HHDM9</t>
  </si>
  <si>
    <t>46688150</t>
  </si>
  <si>
    <t>Levi's 510 Skinny Fit Men's Jeans, Light Gray Worn in, 42W x 32L</t>
  </si>
  <si>
    <t>700030296076</t>
  </si>
  <si>
    <t>B0BBCDNJXT</t>
  </si>
  <si>
    <t>77141449</t>
  </si>
  <si>
    <t>5724887</t>
  </si>
  <si>
    <t>Rachel Shoes Girl's Lil Aubriella (Toddler/Little Kid) Black 6 Toddler M</t>
  </si>
  <si>
    <t>36</t>
  </si>
  <si>
    <t>700030296144</t>
  </si>
  <si>
    <t>B0BBCC9XH4</t>
  </si>
  <si>
    <t>80663933</t>
  </si>
  <si>
    <t>Rachel Shoes Girl's Lil Aubriella (Toddler/Little Kid) Brown 6 Toddler M</t>
  </si>
  <si>
    <t>50</t>
  </si>
  <si>
    <t>Brown</t>
  </si>
  <si>
    <t>700030296083</t>
  </si>
  <si>
    <t>B0BD1VNG5H</t>
  </si>
  <si>
    <t>77141450</t>
  </si>
  <si>
    <t>Rachel Shoes Girl's Lil Aubriella (Toddler/Little Kid) Black 7 Toddler M</t>
  </si>
  <si>
    <t>30</t>
  </si>
  <si>
    <t>700030296151</t>
  </si>
  <si>
    <t>B0BD1VRY2C</t>
  </si>
  <si>
    <t>80663934</t>
  </si>
  <si>
    <t>Rachel Shoes Girl's Lil Aubriella (Toddler/Little Kid) Brown 7 Toddler M</t>
  </si>
  <si>
    <t>48</t>
  </si>
  <si>
    <t>700030296168</t>
  </si>
  <si>
    <t>B0BD1VMCXP</t>
  </si>
  <si>
    <t>80663935</t>
  </si>
  <si>
    <t>Rachel Shoes Girl's Lil Aubriella (Toddler/Little Kid) Brown 8 Toddler M</t>
  </si>
  <si>
    <t>34</t>
  </si>
  <si>
    <t>700030296090</t>
  </si>
  <si>
    <t>B0BD1SZK99</t>
  </si>
  <si>
    <t>77141451</t>
  </si>
  <si>
    <t>Rachel Shoes Girl's Lil Aubriella (Toddler/Little Kid) Black 8 Toddler M</t>
  </si>
  <si>
    <t>10</t>
  </si>
  <si>
    <t>700030296175</t>
  </si>
  <si>
    <t>B0BD28RDH5</t>
  </si>
  <si>
    <t>80663936</t>
  </si>
  <si>
    <t>Rachel Shoes Girl's Lil Aubriella (Toddler/Little Kid) Brown 9 Toddler M</t>
  </si>
  <si>
    <t>195737741910</t>
  </si>
  <si>
    <t>B093SFXDQ8</t>
  </si>
  <si>
    <t>37286459</t>
  </si>
  <si>
    <t>5200416</t>
  </si>
  <si>
    <t>adidas Women's Plus Size Training Medium Support Racer Back Good Level Bra Padded w/ Removable Pads</t>
  </si>
  <si>
    <t>RT588</t>
  </si>
  <si>
    <t>195737741729</t>
  </si>
  <si>
    <t>B093QY8X81</t>
  </si>
  <si>
    <t>37286469</t>
  </si>
  <si>
    <t>8</t>
  </si>
  <si>
    <t>195736790209</t>
  </si>
  <si>
    <t>B093RNG4YX</t>
  </si>
  <si>
    <t>61414263</t>
  </si>
  <si>
    <t>Clear Pink</t>
  </si>
  <si>
    <t>195737742344</t>
  </si>
  <si>
    <t>B093G776YF</t>
  </si>
  <si>
    <t>50798205</t>
  </si>
  <si>
    <t>12</t>
  </si>
  <si>
    <t>White</t>
  </si>
  <si>
    <t>195737742368</t>
  </si>
  <si>
    <t>B093G5QD7L</t>
  </si>
  <si>
    <t>50798216</t>
  </si>
  <si>
    <t>11</t>
  </si>
  <si>
    <t>195736794023</t>
  </si>
  <si>
    <t>B093RDTNHZ</t>
  </si>
  <si>
    <t>61414273</t>
  </si>
  <si>
    <t>24</t>
  </si>
  <si>
    <t>195736790223</t>
  </si>
  <si>
    <t>B093R3TB5G</t>
  </si>
  <si>
    <t>61414269</t>
  </si>
  <si>
    <t>16</t>
  </si>
  <si>
    <t>194381191232</t>
  </si>
  <si>
    <t>B0BLZVMHX9</t>
  </si>
  <si>
    <t>80341005</t>
  </si>
  <si>
    <t>6288478</t>
  </si>
  <si>
    <t>Snoop Doggie Doggs Deluxe Pet Jersey, Off The Chain, Small</t>
  </si>
  <si>
    <t>71</t>
  </si>
  <si>
    <t>194381191287</t>
  </si>
  <si>
    <t>B0BLZSKKHK</t>
  </si>
  <si>
    <t>49968440</t>
  </si>
  <si>
    <t>Snoop Doggie Doggs Deluxe Pet Jersey, Boss Lady, Small</t>
  </si>
  <si>
    <t>28</t>
  </si>
  <si>
    <t>194381191270</t>
  </si>
  <si>
    <t>B0BLZTWXYH</t>
  </si>
  <si>
    <t>80629058</t>
  </si>
  <si>
    <t>Snoop Doggie Doggs Deluxe Pet Jersey, Boss Lady, Medium</t>
  </si>
  <si>
    <t>96</t>
  </si>
  <si>
    <t>194381191225</t>
  </si>
  <si>
    <t>B0BLZT14RM</t>
  </si>
  <si>
    <t>65002412</t>
  </si>
  <si>
    <t>Snoop Doggie Doggs Deluxe Pet Jersey, Off The Chain, Medium</t>
  </si>
  <si>
    <t>40</t>
  </si>
  <si>
    <t>194381191218</t>
  </si>
  <si>
    <t>B0BLZTWNBJ</t>
  </si>
  <si>
    <t>65185971</t>
  </si>
  <si>
    <t>Snoop Doggie Doggs Deluxe Pet Jersey, Off The Chain, Large</t>
  </si>
  <si>
    <t>89</t>
  </si>
  <si>
    <t>194381191263</t>
  </si>
  <si>
    <t>B0BM1HT5F7</t>
  </si>
  <si>
    <t>45976760</t>
  </si>
  <si>
    <t>Snoop Doggie Doggs Deluxe Pet Jersey, Boss Lady, Large</t>
  </si>
  <si>
    <t>72</t>
  </si>
  <si>
    <t>194381191294</t>
  </si>
  <si>
    <t>B0BM1HR23R</t>
  </si>
  <si>
    <t>83474782</t>
  </si>
  <si>
    <t>Snoop Doggie Doggs Deluxe Pet Jersey, Boss Lady, X-Large</t>
  </si>
  <si>
    <t>194381191249</t>
  </si>
  <si>
    <t>B0BLZT1M7P</t>
  </si>
  <si>
    <t>76796274</t>
  </si>
  <si>
    <t>Snoop Doggie Doggs Deluxe Pet Jersey, Off The Chain, X-Large</t>
  </si>
  <si>
    <t>15</t>
  </si>
  <si>
    <t>195979225933</t>
  </si>
  <si>
    <t>B0BKR4ZGGC</t>
  </si>
  <si>
    <t>76899426</t>
  </si>
  <si>
    <t>3252913</t>
  </si>
  <si>
    <t>Columbia Men's Cornell Woods Flannel Long Sleeve Shirt, Warp Red Buffalo Check, Small</t>
  </si>
  <si>
    <t>1617951</t>
  </si>
  <si>
    <t>Warp Red Buffalo Check</t>
  </si>
  <si>
    <t>195979225964</t>
  </si>
  <si>
    <t>B0BKR5Z8RX</t>
  </si>
  <si>
    <t>76899444</t>
  </si>
  <si>
    <t>Columbia Men's Cornell Woods Flannel Long Sleeve Shirt, Stone Blue Buffalo Check, XX-Large</t>
  </si>
  <si>
    <t>3</t>
  </si>
  <si>
    <t>Stone Blue Buffalo Check</t>
  </si>
  <si>
    <t>195979225896</t>
  </si>
  <si>
    <t>B0BKR71BJH</t>
  </si>
  <si>
    <t>76899431</t>
  </si>
  <si>
    <t>Columbia Men's Cornell Woods Flannel Long Sleeve Shirt, Warp Red Buffalo Check, XX-Large</t>
  </si>
  <si>
    <t>194004504241</t>
  </si>
  <si>
    <t>B08N2T218K</t>
  </si>
  <si>
    <t>76899450</t>
  </si>
  <si>
    <t>Columbia Men's Cornell Woods Flannel Long Sleeve Shirt, Grey Buffalo Check, XX-Large</t>
  </si>
  <si>
    <t>17</t>
  </si>
  <si>
    <t>Columbia Grey Buffalo Check</t>
  </si>
  <si>
    <t>091217595144</t>
  </si>
  <si>
    <t>B0C62HGRHP</t>
  </si>
  <si>
    <t>37564069</t>
  </si>
  <si>
    <t>6207057</t>
  </si>
  <si>
    <t>Dearfoams Women's Wren High Vamp Clog Indoor/Outdoor Memory Foam House Shoe, Oatmeal, 5-6</t>
  </si>
  <si>
    <t>33</t>
  </si>
  <si>
    <t>41221</t>
  </si>
  <si>
    <t>Oatmeal</t>
  </si>
  <si>
    <t>091217595106</t>
  </si>
  <si>
    <t>B0C62KKHWM</t>
  </si>
  <si>
    <t>37564078</t>
  </si>
  <si>
    <t>Dearfoams Women's Wren High Vamp Clog Indoor/Outdoor Memory Foam House Shoe, Light Heather Grey, 5-6</t>
  </si>
  <si>
    <t>27</t>
  </si>
  <si>
    <t>Light Heather Grey</t>
  </si>
  <si>
    <t>195979248291</t>
  </si>
  <si>
    <t>B0BKQX5VJR</t>
  </si>
  <si>
    <t>54785107</t>
  </si>
  <si>
    <t>6076474</t>
  </si>
  <si>
    <t>Columbia Women's Chatfield Hill II Jacket, Beach, X-Large</t>
  </si>
  <si>
    <t>2051541</t>
  </si>
  <si>
    <t>Beach</t>
  </si>
  <si>
    <t>195979248253</t>
  </si>
  <si>
    <t>B0BKQXYYYT</t>
  </si>
  <si>
    <t>54785108</t>
  </si>
  <si>
    <t>Columbia Women's Chatfield Hill II Jacket, Beach, XX-Large</t>
  </si>
  <si>
    <t>63</t>
  </si>
  <si>
    <t>196470703258</t>
  </si>
  <si>
    <t>B0BNSJT4WZ</t>
  </si>
  <si>
    <t>59029163</t>
  </si>
  <si>
    <t>6068603</t>
  </si>
  <si>
    <t>adidas Women's Essentials Sleeveless Polo Shirt, Lucid Lemon, X-Small</t>
  </si>
  <si>
    <t>26</t>
  </si>
  <si>
    <t>MKU16</t>
  </si>
  <si>
    <t>Lucid Lemon</t>
  </si>
  <si>
    <t>196470703296</t>
  </si>
  <si>
    <t>B0BNSKVHRX</t>
  </si>
  <si>
    <t>59029170</t>
  </si>
  <si>
    <t>adidas Women's Essentials Sleeveless Polo Shirt, Lucid Lemon, Small</t>
  </si>
  <si>
    <t>196470703302</t>
  </si>
  <si>
    <t>B0BNR4R4PC</t>
  </si>
  <si>
    <t>59029171</t>
  </si>
  <si>
    <t>adidas Women's Essentials Sleeveless Polo Shirt, Lucid Lemon, Medium</t>
  </si>
  <si>
    <t>62</t>
  </si>
  <si>
    <t>196470699889</t>
  </si>
  <si>
    <t>B0BNSMJH82</t>
  </si>
  <si>
    <t>59029172</t>
  </si>
  <si>
    <t>adidas Women's Essentials Sleeveless Polo Shirt, Lucid Lemon, Large</t>
  </si>
  <si>
    <t>196470703333</t>
  </si>
  <si>
    <t>B0BNSS2NY1</t>
  </si>
  <si>
    <t>59029173</t>
  </si>
  <si>
    <t>adidas Women's Essentials Sleeveless Polo Shirt, Lucid Lemon, X-Large</t>
  </si>
  <si>
    <t>195862000784</t>
  </si>
  <si>
    <t>B0CLZ3S37R</t>
  </si>
  <si>
    <t>76398119</t>
  </si>
  <si>
    <t>6055724</t>
  </si>
  <si>
    <t>Carter's Baby Boys' Hooded Footed Coveralls - green, newborn</t>
  </si>
  <si>
    <t>Green</t>
  </si>
  <si>
    <t>196739276776</t>
  </si>
  <si>
    <t>B0CSPSLLN9</t>
  </si>
  <si>
    <t>70237111</t>
  </si>
  <si>
    <t>6018158</t>
  </si>
  <si>
    <t>Champion Men's Iconic Mesh Shorts (Navy, XXL)</t>
  </si>
  <si>
    <t>310</t>
  </si>
  <si>
    <t>French Navy</t>
  </si>
  <si>
    <t>196739276738</t>
  </si>
  <si>
    <t>B0CSPSFG23</t>
  </si>
  <si>
    <t>70237101</t>
  </si>
  <si>
    <t>Champion Men's Iconic Mesh Shorts (Navy, XL)</t>
  </si>
  <si>
    <t>336</t>
  </si>
  <si>
    <t>840140214635</t>
  </si>
  <si>
    <t>B09PDY8WN1</t>
  </si>
  <si>
    <t>49080752</t>
  </si>
  <si>
    <t>5646740</t>
  </si>
  <si>
    <t>BILLY Footwear Cozy Boot II (Little Kid/Big Kid) Black 11 Little Kid M</t>
  </si>
  <si>
    <t>840140214642</t>
  </si>
  <si>
    <t>B09PDXWBMD</t>
  </si>
  <si>
    <t>49080754</t>
  </si>
  <si>
    <t>BILLY Footwear Cozy Boot II (Little Kid/Big Kid) Black 12 Little Kid M</t>
  </si>
  <si>
    <t>840140214543</t>
  </si>
  <si>
    <t>B09PDX6BT1</t>
  </si>
  <si>
    <t>68693401</t>
  </si>
  <si>
    <t>BILLY Footwear Cozy Boot II (Little Kid/Big Kid) Chestnut 12 Little Kid M</t>
  </si>
  <si>
    <t>13</t>
  </si>
  <si>
    <t>BK21304-250-12</t>
  </si>
  <si>
    <t>Chestnut</t>
  </si>
  <si>
    <t>196469240214</t>
  </si>
  <si>
    <t>B0BHN4QGH7</t>
  </si>
  <si>
    <t>80575850</t>
  </si>
  <si>
    <t>6122056</t>
  </si>
  <si>
    <t>adidas Women's Essentials 3-Stripes Oversized Fleece Sweatshirt, Medium Grey Heather/White, XX-Small-X-Small</t>
  </si>
  <si>
    <t>DTB26</t>
  </si>
  <si>
    <t>Medium Grey Heather/White</t>
  </si>
  <si>
    <t>196469240245</t>
  </si>
  <si>
    <t>B0BHN5SLNX</t>
  </si>
  <si>
    <t>83412955</t>
  </si>
  <si>
    <t>adidas Women's Essentials 3-Stripes Oversized Fleece Sweatshirt, Off White Melange/White, XX-Small-X-Small</t>
  </si>
  <si>
    <t>78</t>
  </si>
  <si>
    <t>Off White Melange/White</t>
  </si>
  <si>
    <t>196524357635</t>
  </si>
  <si>
    <t>B0B1KR2K1T</t>
  </si>
  <si>
    <t>47623806</t>
  </si>
  <si>
    <t>6890003</t>
  </si>
  <si>
    <t>Levi's Men's 510 Skinny Fit Jeans, (New) Snapdragon, 28W x 32L</t>
  </si>
  <si>
    <t>05510-1273</t>
  </si>
  <si>
    <t>(New) Snapdragon</t>
  </si>
  <si>
    <t>196524357680</t>
  </si>
  <si>
    <t>B0B1K9WCFF</t>
  </si>
  <si>
    <t>47623807</t>
  </si>
  <si>
    <t>Levi's Men's 510 Skinny Fit Jeans, (New) Snapdragon, 29W x 30L</t>
  </si>
  <si>
    <t>196978671332</t>
  </si>
  <si>
    <t>B0C9ZX9FHJ</t>
  </si>
  <si>
    <t>37582959</t>
  </si>
  <si>
    <t>Levi's® 510™ Skinny When Pigs Fly Adv 38 32</t>
  </si>
  <si>
    <t>055101302-001</t>
  </si>
  <si>
    <t>When Pigs Fly Adv</t>
  </si>
  <si>
    <t>825664787407</t>
  </si>
  <si>
    <t>B0BMGT4QY4</t>
  </si>
  <si>
    <t>73180795</t>
  </si>
  <si>
    <t>5878517</t>
  </si>
  <si>
    <t>Hurley Boy's Checkered Shark Boardshorts (Big Kids) Black 16 Big Kid</t>
  </si>
  <si>
    <t>986771</t>
  </si>
  <si>
    <t>652874875118</t>
  </si>
  <si>
    <t>B0CPP8R82M</t>
  </si>
  <si>
    <t>72579437</t>
  </si>
  <si>
    <t>6527521</t>
  </si>
  <si>
    <t>Speechless Girls' Sleeveless Pleated Chiffon Maxi Dress, Mint, 7</t>
  </si>
  <si>
    <t>SC200D06TG28</t>
  </si>
  <si>
    <t>Mint</t>
  </si>
  <si>
    <t>652874882741</t>
  </si>
  <si>
    <t>B0CPP5FCCD</t>
  </si>
  <si>
    <t>72579431</t>
  </si>
  <si>
    <t>Speechless Girls' Sleeveless Pleated Chiffon Maxi Dress, Rose, 7</t>
  </si>
  <si>
    <t>Rose</t>
  </si>
  <si>
    <t>195861476450</t>
  </si>
  <si>
    <t>B0CL5FMCR5</t>
  </si>
  <si>
    <t>68737401</t>
  </si>
  <si>
    <t>5663462</t>
  </si>
  <si>
    <t>Carter's Baby Girls' 3 Piece Vest Little Jacket Set (Butterfly/Floral/Multi, 6 Months)</t>
  </si>
  <si>
    <t>Butterfly/Floral/Multi</t>
  </si>
  <si>
    <t>195861476443</t>
  </si>
  <si>
    <t>B0CL5D2SKD</t>
  </si>
  <si>
    <t>68737400</t>
  </si>
  <si>
    <t>Carter's Baby Girls' 3 Piece Vest Little Jacket Set (Butterfly/Floral/Multi, 3 Months)</t>
  </si>
  <si>
    <t>Multi</t>
  </si>
  <si>
    <t>195861476467</t>
  </si>
  <si>
    <t>B0CL5F2THN</t>
  </si>
  <si>
    <t>68737402</t>
  </si>
  <si>
    <t>Carter's Baby Girls' 3 Piece Vest Little Jacket Set (Butterfly/Floral/Multi, 9 Months)</t>
  </si>
  <si>
    <t>196470696499</t>
  </si>
  <si>
    <t>B0BNR5ZT2W</t>
  </si>
  <si>
    <t>76784479</t>
  </si>
  <si>
    <t>6068987</t>
  </si>
  <si>
    <t>adidas Women's Jacquard Polo Shirt, White, X-Small</t>
  </si>
  <si>
    <t>MKU27</t>
  </si>
  <si>
    <t>196470699667</t>
  </si>
  <si>
    <t>B0BNT16HZV</t>
  </si>
  <si>
    <t>76784480</t>
  </si>
  <si>
    <t>adidas Women's Jacquard Polo Shirt, White, Small</t>
  </si>
  <si>
    <t>196470699704</t>
  </si>
  <si>
    <t>B0BNT8117V</t>
  </si>
  <si>
    <t>76784481</t>
  </si>
  <si>
    <t>adidas Women's Jacquard Polo Shirt, White, Medium</t>
  </si>
  <si>
    <t>59</t>
  </si>
  <si>
    <t>196470696482</t>
  </si>
  <si>
    <t>B0BNT7ZYK8</t>
  </si>
  <si>
    <t>76784482</t>
  </si>
  <si>
    <t>adidas Women's Jacquard Polo Shirt, White, Large</t>
  </si>
  <si>
    <t>196470699674</t>
  </si>
  <si>
    <t>B0BNSJSV9J</t>
  </si>
  <si>
    <t>76784484</t>
  </si>
  <si>
    <t>adidas Women's Jacquard Polo Shirt, White, X-Large</t>
  </si>
  <si>
    <t>086131616129</t>
  </si>
  <si>
    <t>B0986SQMB7</t>
  </si>
  <si>
    <t>64928309</t>
  </si>
  <si>
    <t>6423701</t>
  </si>
  <si>
    <t>Kurt S. Adler Harry Potter 4 Houses of Hogwarts Stocking</t>
  </si>
  <si>
    <t>965</t>
  </si>
  <si>
    <t>HP7212</t>
  </si>
  <si>
    <t>Multi Color</t>
  </si>
  <si>
    <t>627574478129</t>
  </si>
  <si>
    <t>B08CRTSKLC</t>
  </si>
  <si>
    <t>55125955</t>
  </si>
  <si>
    <t>3216166</t>
  </si>
  <si>
    <t>Kamik Girls Crab Sandal, Grey/Pink, 7 Big Kid</t>
  </si>
  <si>
    <t>HK4594</t>
  </si>
  <si>
    <t>Grey/Pink</t>
  </si>
  <si>
    <t>713610136969</t>
  </si>
  <si>
    <t>B0BC26YYBP</t>
  </si>
  <si>
    <t>65747730</t>
  </si>
  <si>
    <t>6131036</t>
  </si>
  <si>
    <t>GRAND SLAM Women's Essential Solid Short Sleeve Tennis Tee Shirt with Mesh Trim, Brilliant White, X-Small</t>
  </si>
  <si>
    <t>G1KSD024</t>
  </si>
  <si>
    <t>Brilliant White</t>
  </si>
  <si>
    <t>713610137140</t>
  </si>
  <si>
    <t>B0BC26HPVM</t>
  </si>
  <si>
    <t>65747719</t>
  </si>
  <si>
    <t>GRAND SLAM Women's Essential Solid Short Sleeve Tennis Tee Shirt with Mesh Trim, Peacoat, X-Small</t>
  </si>
  <si>
    <t>Peacoat</t>
  </si>
  <si>
    <t>713610136976</t>
  </si>
  <si>
    <t>B0BC296RLQ</t>
  </si>
  <si>
    <t>65747731</t>
  </si>
  <si>
    <t>GRAND SLAM Women's Essential Solid Short Sleeve Tennis Tee Shirt with Mesh Trim, Brilliant White, Small</t>
  </si>
  <si>
    <t>713610136983</t>
  </si>
  <si>
    <t>B0BC29ZTTR</t>
  </si>
  <si>
    <t>65747732</t>
  </si>
  <si>
    <t>GRAND SLAM Women's Essential Solid Short Sleeve Tennis Tee Shirt with Mesh Trim, Brilliant White, Medium</t>
  </si>
  <si>
    <t>713610137171</t>
  </si>
  <si>
    <t>B0BC29X216</t>
  </si>
  <si>
    <t>65747722</t>
  </si>
  <si>
    <t>GRAND SLAM Women's Essential Solid Short Sleeve Tennis Tee Shirt with Mesh Trim, Peacoat, Large</t>
  </si>
  <si>
    <t>713610136990</t>
  </si>
  <si>
    <t>B0BC284FP2</t>
  </si>
  <si>
    <t>65747739</t>
  </si>
  <si>
    <t>GRAND SLAM Women's Essential Solid Short Sleeve Tennis Tee Shirt with Mesh Trim, Brilliant White, Large</t>
  </si>
  <si>
    <t>713610137003</t>
  </si>
  <si>
    <t>B0BC26WH8C</t>
  </si>
  <si>
    <t>65747740</t>
  </si>
  <si>
    <t>GRAND SLAM Women's Essential Solid Short Sleeve Tennis Tee Shirt with Mesh Trim, Brilliant White, X-Large</t>
  </si>
  <si>
    <t>713610137188</t>
  </si>
  <si>
    <t>B0BC26WND7</t>
  </si>
  <si>
    <t>65747729</t>
  </si>
  <si>
    <t>GRAND SLAM Women's Essential Solid Short Sleeve Tennis Tee Shirt with Mesh Trim, Peacoat, X-Large</t>
  </si>
  <si>
    <t>9</t>
  </si>
  <si>
    <t>196099436995</t>
  </si>
  <si>
    <t>B09N5QWBMF</t>
  </si>
  <si>
    <t>68728523</t>
  </si>
  <si>
    <t>6265210</t>
  </si>
  <si>
    <t>Levi's Women's Low Pro Jeans, (New) Light Gray Worn in, 24 Regular</t>
  </si>
  <si>
    <t>44</t>
  </si>
  <si>
    <t>A0964-0017</t>
  </si>
  <si>
    <t>196099437008</t>
  </si>
  <si>
    <t>B09N63RDCW</t>
  </si>
  <si>
    <t>68728524</t>
  </si>
  <si>
    <t>Levi's Women's Low Pro Jeans, (New) Light Gray Worn in, 25 Regular</t>
  </si>
  <si>
    <t>37</t>
  </si>
  <si>
    <t>196099437015</t>
  </si>
  <si>
    <t>B09N5VGRV5</t>
  </si>
  <si>
    <t>68728525</t>
  </si>
  <si>
    <t>Levi's Women's Low Pro Jeans, (New) Light Gray Worn in, 26 Regular</t>
  </si>
  <si>
    <t>148</t>
  </si>
  <si>
    <t>196099153717</t>
  </si>
  <si>
    <t>B09N5YKMQJ</t>
  </si>
  <si>
    <t>68728526</t>
  </si>
  <si>
    <t>Levi's Women's Low Pro Jeans, (New) Light Gray Worn in, 27 Regular</t>
  </si>
  <si>
    <t>93</t>
  </si>
  <si>
    <t>196099437022</t>
  </si>
  <si>
    <t>B09N5PDZJ8</t>
  </si>
  <si>
    <t>68728527</t>
  </si>
  <si>
    <t>Levi's Women's Low Pro Jeans, (New) Light Gray Worn in, 28 Regular</t>
  </si>
  <si>
    <t>196701942906</t>
  </si>
  <si>
    <t>B0C5YYCCCK</t>
  </si>
  <si>
    <t>19188569</t>
  </si>
  <si>
    <t>6689808</t>
  </si>
  <si>
    <t>Tommy Hilfiger Women's Weather Resistant Fur Trim Jacket, Crimson</t>
  </si>
  <si>
    <t>TW2MP277-CRI-S</t>
  </si>
  <si>
    <t>Crimson</t>
  </si>
  <si>
    <t>196701942890</t>
  </si>
  <si>
    <t>B0C5YD3Y3S</t>
  </si>
  <si>
    <t>19188570</t>
  </si>
  <si>
    <t>39</t>
  </si>
  <si>
    <t>TW2MP277-CRI-M</t>
  </si>
  <si>
    <t>850004887455</t>
  </si>
  <si>
    <t>B09SR6NX98</t>
  </si>
  <si>
    <t>29801972</t>
  </si>
  <si>
    <t>5850910</t>
  </si>
  <si>
    <t>Upbounders: Birthday Balloons -48 pc Jumbo Puzzle for Girls, Boys (Multicultural)</t>
  </si>
  <si>
    <t>BDAYJPZL-48</t>
  </si>
  <si>
    <t>191900490715</t>
  </si>
  <si>
    <t>B0C7LJ3T8J</t>
  </si>
  <si>
    <t>61543756</t>
  </si>
  <si>
    <t>6933378</t>
  </si>
  <si>
    <t>Levi's Women's Vegan Leather Quilted Shorty Puffer, Chocolate Brown</t>
  </si>
  <si>
    <t>77</t>
  </si>
  <si>
    <t>LW2RU483-CBR-01-SM</t>
  </si>
  <si>
    <t>Chocolate Brown</t>
  </si>
  <si>
    <t>191900490418</t>
  </si>
  <si>
    <t>B0C7LJLGFZ</t>
  </si>
  <si>
    <t>61543751</t>
  </si>
  <si>
    <t>Levi's Women's Vegan Leather Quilted Shorty Puffer, Caramel</t>
  </si>
  <si>
    <t>79</t>
  </si>
  <si>
    <t>LW2RU483-CAR-01-SM</t>
  </si>
  <si>
    <t>Caramel</t>
  </si>
  <si>
    <t>191900490708</t>
  </si>
  <si>
    <t>B0C7LJF7KC</t>
  </si>
  <si>
    <t>61543757</t>
  </si>
  <si>
    <t>135</t>
  </si>
  <si>
    <t>LW2RU483-CBR-02-MD</t>
  </si>
  <si>
    <t>191900490401</t>
  </si>
  <si>
    <t>B0C7LMDXHQ</t>
  </si>
  <si>
    <t>61543752</t>
  </si>
  <si>
    <t>182</t>
  </si>
  <si>
    <t>LW2RU483-CAR-02-MD</t>
  </si>
  <si>
    <t>191900490692</t>
  </si>
  <si>
    <t>B0C7LL96CX</t>
  </si>
  <si>
    <t>61543758</t>
  </si>
  <si>
    <t>188</t>
  </si>
  <si>
    <t>LW2RU483-CBR-03-LG</t>
  </si>
  <si>
    <t>191900490395</t>
  </si>
  <si>
    <t>B0C7LJYLTB</t>
  </si>
  <si>
    <t>61543753</t>
  </si>
  <si>
    <t>180</t>
  </si>
  <si>
    <t>LW2RU483-CAR-03-LG</t>
  </si>
  <si>
    <t>191900490685</t>
  </si>
  <si>
    <t>B0C7LMXC7D</t>
  </si>
  <si>
    <t>61543759</t>
  </si>
  <si>
    <t>90</t>
  </si>
  <si>
    <t>LW2RU483-CBR-04-XL</t>
  </si>
  <si>
    <t>191900490388</t>
  </si>
  <si>
    <t>B0C7LK11G9</t>
  </si>
  <si>
    <t>61543754</t>
  </si>
  <si>
    <t>87</t>
  </si>
  <si>
    <t>LW2RU483-CAR-04-XL</t>
  </si>
  <si>
    <t>194880805906</t>
  </si>
  <si>
    <t>B08C81QCLW</t>
  </si>
  <si>
    <t>49815009</t>
  </si>
  <si>
    <t>7081055</t>
  </si>
  <si>
    <t>Skechers Women's Go Walk High Waisted Legging, Heathered Gray, 3X-Large</t>
  </si>
  <si>
    <t>43</t>
  </si>
  <si>
    <t>W03LG30B</t>
  </si>
  <si>
    <t>Heathered Gray</t>
  </si>
  <si>
    <t>756571661743</t>
  </si>
  <si>
    <t>B0BCCQ3QHN</t>
  </si>
  <si>
    <t>18431931</t>
  </si>
  <si>
    <t>5593190</t>
  </si>
  <si>
    <t>Unionbay Women's Jordana Stretch Twill Cargo Pant, Terrain, 1</t>
  </si>
  <si>
    <t>J3W7J38</t>
  </si>
  <si>
    <t>Terrain</t>
  </si>
  <si>
    <t>756571661668</t>
  </si>
  <si>
    <t>B0BCCGXCSK</t>
  </si>
  <si>
    <t>18431923</t>
  </si>
  <si>
    <t>Unionbay Women's Jordana Stretch Twill Cargo Pant, Black, 1</t>
  </si>
  <si>
    <t>756571661774</t>
  </si>
  <si>
    <t>B0BCC6BYVQ</t>
  </si>
  <si>
    <t>18431933</t>
  </si>
  <si>
    <t>Unionbay Women's Jordana Stretch Twill Cargo Pant, Terrain, 3</t>
  </si>
  <si>
    <t>756571661781</t>
  </si>
  <si>
    <t>B0BCBKC4DL</t>
  </si>
  <si>
    <t>18431934</t>
  </si>
  <si>
    <t>Unionbay Women's Jordana Stretch Twill Cargo Pant, Terrain, 5</t>
  </si>
  <si>
    <t>191900561675</t>
  </si>
  <si>
    <t>B0BFV9YQRB</t>
  </si>
  <si>
    <t>20255784</t>
  </si>
  <si>
    <t>6703434</t>
  </si>
  <si>
    <t>Marc New York by Andrew Marc Women's Signature Crinkle Nylon Quilted Lava Jacket, SURF, Small</t>
  </si>
  <si>
    <t>45</t>
  </si>
  <si>
    <t>MW2AQ022</t>
  </si>
  <si>
    <t>Surf</t>
  </si>
  <si>
    <t>191900561750</t>
  </si>
  <si>
    <t>B0BFT5WJJX</t>
  </si>
  <si>
    <t>20255779</t>
  </si>
  <si>
    <t>Marc New York by Andrew Marc Women's Signature Crinkle Nylon Quilted Lava Jacket, Black, Small</t>
  </si>
  <si>
    <t>61</t>
  </si>
  <si>
    <t>191900561712</t>
  </si>
  <si>
    <t>B0BFVKJHTT</t>
  </si>
  <si>
    <t>20255789</t>
  </si>
  <si>
    <t>Marc New York by Andrew Marc Women's Signature Crinkle Nylon Quilted Lava Jacket, Picante, Small</t>
  </si>
  <si>
    <t>Picante</t>
  </si>
  <si>
    <t>191900565208</t>
  </si>
  <si>
    <t>B0BFTQ5581</t>
  </si>
  <si>
    <t>20255780</t>
  </si>
  <si>
    <t>Marc New York by Andrew Marc Women's Signature Crinkle Nylon Quilted Lava Jacket, Black, Medium</t>
  </si>
  <si>
    <t>97</t>
  </si>
  <si>
    <t>191900565192</t>
  </si>
  <si>
    <t>B0BFTNNYL8</t>
  </si>
  <si>
    <t>20255790</t>
  </si>
  <si>
    <t>Marc New York by Andrew Marc Women's Signature Crinkle Nylon Quilted Lava Jacket, Picante, Medium</t>
  </si>
  <si>
    <t>103</t>
  </si>
  <si>
    <t>191900565185</t>
  </si>
  <si>
    <t>B0BFTWWDR6</t>
  </si>
  <si>
    <t>20255785</t>
  </si>
  <si>
    <t>Marc New York by Andrew Marc Women's Signature Crinkle Nylon Quilted Lava Jacket, SURF, Medium</t>
  </si>
  <si>
    <t>94</t>
  </si>
  <si>
    <t>191900561705</t>
  </si>
  <si>
    <t>B0BFTG9ZG7</t>
  </si>
  <si>
    <t>20255791</t>
  </si>
  <si>
    <t>Marc New York by Andrew Marc Women's Signature Crinkle Nylon Quilted Lava Jacket, Picante, Large</t>
  </si>
  <si>
    <t>191900561743</t>
  </si>
  <si>
    <t>B0BFTTCG2S</t>
  </si>
  <si>
    <t>20255781</t>
  </si>
  <si>
    <t>Marc New York by Andrew Marc Women's Signature Crinkle Nylon Quilted Lava Jacket, Black, Large</t>
  </si>
  <si>
    <t>191900561668</t>
  </si>
  <si>
    <t>B0BFTRHR8P</t>
  </si>
  <si>
    <t>20255786</t>
  </si>
  <si>
    <t>Marc New York by Andrew Marc Women's Signature Crinkle Nylon Quilted Lava Jacket, SURF, Large</t>
  </si>
  <si>
    <t>191900561736</t>
  </si>
  <si>
    <t>B0BFTRR8GN</t>
  </si>
  <si>
    <t>20255782</t>
  </si>
  <si>
    <t>Marc New York by Andrew Marc Women's Signature Crinkle Nylon Quilted Lava Jacket, Black, X-Large</t>
  </si>
  <si>
    <t>19</t>
  </si>
  <si>
    <t>191900561651</t>
  </si>
  <si>
    <t>B0BFV9YH2N</t>
  </si>
  <si>
    <t>20255787</t>
  </si>
  <si>
    <t>Marc New York by Andrew Marc Women's Signature Crinkle Nylon Quilted Lava Jacket, SURF, X-Large</t>
  </si>
  <si>
    <t>810816034584</t>
  </si>
  <si>
    <t>B0BPJSXF42</t>
  </si>
  <si>
    <t>45996872</t>
  </si>
  <si>
    <t>6425468</t>
  </si>
  <si>
    <t>They're a 10 But...The Hot or Not Party Game - Fun Card Games for Adults by What Do You Meme®</t>
  </si>
  <si>
    <t>471</t>
  </si>
  <si>
    <t>BUT4015</t>
  </si>
  <si>
    <t>194004650993</t>
  </si>
  <si>
    <t>B08MP99TLL</t>
  </si>
  <si>
    <t>75202116</t>
  </si>
  <si>
    <t>6933520</t>
  </si>
  <si>
    <t>Columbia Toddler Unisex Powderbug Plus II, Black/Graphite, 4</t>
  </si>
  <si>
    <t>Black, Graphite</t>
  </si>
  <si>
    <t>195871691584</t>
  </si>
  <si>
    <t>B0BH8R73R5</t>
  </si>
  <si>
    <t>37267340</t>
  </si>
  <si>
    <t>5581543</t>
  </si>
  <si>
    <t>Nike Boy's NSW Long Sleeve All Over Print Futura Tee (Little Kids/Big Kids) White XL (18-20 Big Kid)</t>
  </si>
  <si>
    <t>DR9651</t>
  </si>
  <si>
    <t>195862116560</t>
  </si>
  <si>
    <t>B0CNSCS2HZ</t>
  </si>
  <si>
    <t>80326125</t>
  </si>
  <si>
    <t>6185573</t>
  </si>
  <si>
    <t>Carter's baby-boys Bodysuits 119g163 (Green First, Newborn)</t>
  </si>
  <si>
    <t>Green First</t>
  </si>
  <si>
    <t>195862116522</t>
  </si>
  <si>
    <t>B0CNSB94YS</t>
  </si>
  <si>
    <t>80326126</t>
  </si>
  <si>
    <t>Carter's baby-boys Bodysuits 119g163 (Green First, 3 Months)</t>
  </si>
  <si>
    <t>54</t>
  </si>
  <si>
    <t>195862116546</t>
  </si>
  <si>
    <t>B0CNSCJHYT</t>
  </si>
  <si>
    <t>80326128</t>
  </si>
  <si>
    <t>Carter's baby-boys Bodysuits 119g163 (Green First, 9 Months)</t>
  </si>
  <si>
    <t>51</t>
  </si>
  <si>
    <t>195862116492</t>
  </si>
  <si>
    <t>B0CNSCJ44D</t>
  </si>
  <si>
    <t>80326135</t>
  </si>
  <si>
    <t>Carter's baby-boys Bodysuits 119g163 (Green First, 12 Months)</t>
  </si>
  <si>
    <t>143</t>
  </si>
  <si>
    <t>195862116508</t>
  </si>
  <si>
    <t>B0CNSBGMXY</t>
  </si>
  <si>
    <t>80326136</t>
  </si>
  <si>
    <t>Carter's baby-boys Bodysuits 119g163 (Green First, 18 Months)</t>
  </si>
  <si>
    <t>179</t>
  </si>
  <si>
    <t>196457295752</t>
  </si>
  <si>
    <t>B0BP2G46Y7</t>
  </si>
  <si>
    <t>81852222</t>
  </si>
  <si>
    <t>6079456</t>
  </si>
  <si>
    <t>Lee Women's Plus Size Flex-to-Go Mid-Rise Relaxed Fit Cargo Bermuda Short, White</t>
  </si>
  <si>
    <t>112329018</t>
  </si>
  <si>
    <t>716825125407</t>
  </si>
  <si>
    <t>B0028K3CMI</t>
  </si>
  <si>
    <t>45904947</t>
  </si>
  <si>
    <t>6858388</t>
  </si>
  <si>
    <t>MORGAN &amp; PAIGE Oxidized 925 Sterling Silver Celtic Knot Medallion Pendant Necklace, 18"</t>
  </si>
  <si>
    <t>320</t>
  </si>
  <si>
    <t>63ADYKA0LB-0Y6B900</t>
  </si>
  <si>
    <t>Grey</t>
  </si>
  <si>
    <t>196327198169</t>
  </si>
  <si>
    <t>B0C9ZXG2MF</t>
  </si>
  <si>
    <t>81993161</t>
  </si>
  <si>
    <t>6382764</t>
  </si>
  <si>
    <t>Levi's® Girl's Notch Neck Top (Big Kids) Purple Rose SM (7-8 Big Kid)</t>
  </si>
  <si>
    <t>Purple Rose</t>
  </si>
  <si>
    <t>196524381159</t>
  </si>
  <si>
    <t>B0B1KW1N4T</t>
  </si>
  <si>
    <t>20552257</t>
  </si>
  <si>
    <t>6890008</t>
  </si>
  <si>
    <t>Levi's Men's 527 Slim Bootcut Fit Jeans, Deep Down Below, 42W x 32L</t>
  </si>
  <si>
    <t>05527-0709</t>
  </si>
  <si>
    <t>Deep Down Below</t>
  </si>
  <si>
    <t>195901028519</t>
  </si>
  <si>
    <t>B08PCD37C3</t>
  </si>
  <si>
    <t>49568007</t>
  </si>
  <si>
    <t>Levi's Men's 527 Slim Bootcut Fit Jeans, Feelin' Right-Medium Indigo, 44W x 30L</t>
  </si>
  <si>
    <t>05527-0669</t>
  </si>
  <si>
    <t>Feelin' Right - Medium Indigo</t>
  </si>
  <si>
    <t>195901028526</t>
  </si>
  <si>
    <t>B08PCBLH8S</t>
  </si>
  <si>
    <t>49568008</t>
  </si>
  <si>
    <t>Levi's Men's 527 Slim Bootcut Fit Jeans, Feelin' Right-Medium Indigo, 44W x 32L</t>
  </si>
  <si>
    <t>05527-0698</t>
  </si>
  <si>
    <t>196884160876</t>
  </si>
  <si>
    <t>B0BGWZ5S7N</t>
  </si>
  <si>
    <t>55590997</t>
  </si>
  <si>
    <t>6077938</t>
  </si>
  <si>
    <t>Under Armour womens Blitzing Scrunchie 3 Pack, (057) Ash Taupe/Lime Yellow/White, One Size</t>
  </si>
  <si>
    <t>32</t>
  </si>
  <si>
    <t>1380019</t>
  </si>
  <si>
    <t>(057) Ash Taupe / Lime Yellow / White</t>
  </si>
  <si>
    <t>195862128679</t>
  </si>
  <si>
    <t>B0CRZ81DPX</t>
  </si>
  <si>
    <t>78316036</t>
  </si>
  <si>
    <t>6185703</t>
  </si>
  <si>
    <t>Carter's Two Piece Much Love Valentine's Day Top and Tutu Pants Set Red (Red, Newborn)</t>
  </si>
  <si>
    <t>55</t>
  </si>
  <si>
    <t>196219547686</t>
  </si>
  <si>
    <t>B0BRKNTV81</t>
  </si>
  <si>
    <t>46935309</t>
  </si>
  <si>
    <t>5797965</t>
  </si>
  <si>
    <t>Allover Print Loose Box Tee White</t>
  </si>
  <si>
    <t>22</t>
  </si>
  <si>
    <t>196469864236</t>
  </si>
  <si>
    <t>B0BNWH4B6T</t>
  </si>
  <si>
    <t>20535291</t>
  </si>
  <si>
    <t>6068915</t>
  </si>
  <si>
    <t>adidas Women's Essentials Jacquard Skort, Wonder Blue, X-Small</t>
  </si>
  <si>
    <t>DKI48</t>
  </si>
  <si>
    <t>Wonder Blue</t>
  </si>
  <si>
    <t>196469864212</t>
  </si>
  <si>
    <t>B0BNWGF3NS</t>
  </si>
  <si>
    <t>20535292</t>
  </si>
  <si>
    <t>adidas Women's Essentials Jacquard Skort, Wonder Blue, Small</t>
  </si>
  <si>
    <t>196469864243</t>
  </si>
  <si>
    <t>B0BNWHG1Q5</t>
  </si>
  <si>
    <t>20535293</t>
  </si>
  <si>
    <t>adidas Women's Essentials Jacquard Skort, Wonder Blue, Medium</t>
  </si>
  <si>
    <t>95</t>
  </si>
  <si>
    <t>196469864274</t>
  </si>
  <si>
    <t>B0BNWGBDB5</t>
  </si>
  <si>
    <t>20535294</t>
  </si>
  <si>
    <t>adidas Women's Essentials Jacquard Skort, Wonder Blue, Large</t>
  </si>
  <si>
    <t>73</t>
  </si>
  <si>
    <t>196469864182</t>
  </si>
  <si>
    <t>B0BNWH1JW9</t>
  </si>
  <si>
    <t>20535295</t>
  </si>
  <si>
    <t>adidas Women's Essentials Jacquard Skort, Wonder Blue, X-Large</t>
  </si>
  <si>
    <t>42</t>
  </si>
  <si>
    <t>196884269678</t>
  </si>
  <si>
    <t>B0D324X26M</t>
  </si>
  <si>
    <t>79243961</t>
  </si>
  <si>
    <t>6078763</t>
  </si>
  <si>
    <t>Under Armour Unisex Insulated Adjustable Bucket Hat Green</t>
  </si>
  <si>
    <t>193769409136</t>
  </si>
  <si>
    <t>B08TTBV57B</t>
  </si>
  <si>
    <t>67225470</t>
  </si>
  <si>
    <t>7081202</t>
  </si>
  <si>
    <t>WallFlower Women's Ultra Skinny Mid-Rise Insta Soft Juniors Jeans (Standard and Plus), Hayden, 0 Long</t>
  </si>
  <si>
    <t>WLM10213S</t>
  </si>
  <si>
    <t>Hayden</t>
  </si>
  <si>
    <t>195862118984</t>
  </si>
  <si>
    <t>B0CNS46YCX</t>
  </si>
  <si>
    <t>50696457</t>
  </si>
  <si>
    <t>6185574</t>
  </si>
  <si>
    <t>Carter's Unisex Baby St. Patrick's Day Jumpsuit (Heather, Newborn)</t>
  </si>
  <si>
    <t>V_1Q121310</t>
  </si>
  <si>
    <t>Heather</t>
  </si>
  <si>
    <t>195862118953</t>
  </si>
  <si>
    <t>B0CNS3YRK8</t>
  </si>
  <si>
    <t>50696465</t>
  </si>
  <si>
    <t>Carter's Unisex Baby St. Patrick's Day Jumpsuit (Heather, 6 Months)</t>
  </si>
  <si>
    <t>195862118946</t>
  </si>
  <si>
    <t>B0CNS41VLZ</t>
  </si>
  <si>
    <t>50696464</t>
  </si>
  <si>
    <t>Carter's Unisex Baby St. Patrick's Day Jumpsuit (Heather, 3 Months)</t>
  </si>
  <si>
    <t>85</t>
  </si>
  <si>
    <t>195862118960</t>
  </si>
  <si>
    <t>B0CNS4DSWY</t>
  </si>
  <si>
    <t>50696466</t>
  </si>
  <si>
    <t>Carter's Unisex Baby St. Patrick's Day Jumpsuit (Heather, 9 Months)</t>
  </si>
  <si>
    <t>120</t>
  </si>
  <si>
    <t>195862118915</t>
  </si>
  <si>
    <t>B0CNS2RTNH</t>
  </si>
  <si>
    <t>50696467</t>
  </si>
  <si>
    <t>Carter's Unisex Baby St. Patrick's Day Jumpsuit (Heather, 12 Months)</t>
  </si>
  <si>
    <t>113</t>
  </si>
  <si>
    <t>194895268550</t>
  </si>
  <si>
    <t>B09KMFZWRW</t>
  </si>
  <si>
    <t>63943880</t>
  </si>
  <si>
    <t>3588853</t>
  </si>
  <si>
    <t>Columbia Men's Tipton Peak II Insulated Jacket, Stone Green/Shark, Small</t>
  </si>
  <si>
    <t>2010091</t>
  </si>
  <si>
    <t>Stone Green, Shark</t>
  </si>
  <si>
    <t>194512217206</t>
  </si>
  <si>
    <t>B07YXN8TV3</t>
  </si>
  <si>
    <t>61955204</t>
  </si>
  <si>
    <t>6866174</t>
  </si>
  <si>
    <t>Under Armour Mens Rival Fleece Pants , Black (001)/Onyx White , Small</t>
  </si>
  <si>
    <t>69</t>
  </si>
  <si>
    <t>1320739/1357129/1248351</t>
  </si>
  <si>
    <t>000716863098</t>
  </si>
  <si>
    <t>B0CJSNW4V7</t>
  </si>
  <si>
    <t>55623606</t>
  </si>
  <si>
    <t>6131967</t>
  </si>
  <si>
    <t>Super Mario &amp; Sonic The Hedgehog Fleece Kids Robe - Super Soft Plush Bathrobe for Boys, Perfect for Toddlers &amp; Kids - Sizes 4-10</t>
  </si>
  <si>
    <t>201</t>
  </si>
  <si>
    <t>K269799SH-4</t>
  </si>
  <si>
    <t>Red</t>
  </si>
  <si>
    <t>195861294375</t>
  </si>
  <si>
    <t>B0CHHPCS27</t>
  </si>
  <si>
    <t>54692385</t>
  </si>
  <si>
    <t>5948367</t>
  </si>
  <si>
    <t>Carter's Boys' 2 Pc Fleece 347g178 (4, Brown/Navy/Plaid)</t>
  </si>
  <si>
    <t>123</t>
  </si>
  <si>
    <t>Brown/Navy/Plaid</t>
  </si>
  <si>
    <t>091217512202</t>
  </si>
  <si>
    <t>B09QH7DZKZ</t>
  </si>
  <si>
    <t>83022883</t>
  </si>
  <si>
    <t>5601650</t>
  </si>
  <si>
    <t>Fireside by Dearfoams Bunbury Shearling Indoor/Outdoor Folddown Boot Fashion, Grey, 3 US Unisex Big Kid</t>
  </si>
  <si>
    <t>40761</t>
  </si>
  <si>
    <t>700030294980</t>
  </si>
  <si>
    <t>B0B8HJL5CC</t>
  </si>
  <si>
    <t>34116147</t>
  </si>
  <si>
    <t>5724881</t>
  </si>
  <si>
    <t>Rachel Shoes Girl's Natilee (Toddler/Little Kid) Misty Rose Suede 5 Toddler M</t>
  </si>
  <si>
    <t>Misty Rose Suede</t>
  </si>
  <si>
    <t>700030294997</t>
  </si>
  <si>
    <t>B0B9XF6RNQ</t>
  </si>
  <si>
    <t>34116148</t>
  </si>
  <si>
    <t>Rachel Shoes Girl's Natilee (Toddler/Little Kid) Misty Rose Suede 6 Toddler M</t>
  </si>
  <si>
    <t>21</t>
  </si>
  <si>
    <t>700030296540</t>
  </si>
  <si>
    <t>B0BLK74KPR</t>
  </si>
  <si>
    <t>54543231</t>
  </si>
  <si>
    <t>Rachel Shoes Girl's Natilee (Toddler/Little Kid) Black Crinkled Patent 6 Toddler M</t>
  </si>
  <si>
    <t>23</t>
  </si>
  <si>
    <t>Black Crinkled Patent</t>
  </si>
  <si>
    <t>700030295000</t>
  </si>
  <si>
    <t>B0B9XGBG21</t>
  </si>
  <si>
    <t>34116149</t>
  </si>
  <si>
    <t>Rachel Shoes Girl's Natilee (Toddler/Little Kid) Misty Rose Suede 7 Toddler M</t>
  </si>
  <si>
    <t>191900561590</t>
  </si>
  <si>
    <t>B0BFV12G84</t>
  </si>
  <si>
    <t>83188588</t>
  </si>
  <si>
    <t>6703436</t>
  </si>
  <si>
    <t>Marc New York by Andrew Marc Women's Signature Anorak Crinkle Nylon Quilted Jacket, SURF, Small</t>
  </si>
  <si>
    <t>81</t>
  </si>
  <si>
    <t>MW2AQ023</t>
  </si>
  <si>
    <t>191900561637</t>
  </si>
  <si>
    <t>B0BFTQLL38</t>
  </si>
  <si>
    <t>83188582</t>
  </si>
  <si>
    <t>Marc New York by Andrew Marc Women's Signature Anorak Crinkle Nylon Quilted Jacket, Black, Small</t>
  </si>
  <si>
    <t>64</t>
  </si>
  <si>
    <t>191900565178</t>
  </si>
  <si>
    <t>B0BFTBL14Q</t>
  </si>
  <si>
    <t>83188583</t>
  </si>
  <si>
    <t>Marc New York by Andrew Marc Women's Signature Anorak Crinkle Nylon Quilted Jacket, Black, Medium</t>
  </si>
  <si>
    <t>133</t>
  </si>
  <si>
    <t>191900565161</t>
  </si>
  <si>
    <t>B0BFTZKFF3</t>
  </si>
  <si>
    <t>83188589</t>
  </si>
  <si>
    <t>Marc New York by Andrew Marc Women's Signature Anorak Crinkle Nylon Quilted Jacket, SURF, Medium</t>
  </si>
  <si>
    <t>106</t>
  </si>
  <si>
    <t>191900561620</t>
  </si>
  <si>
    <t>B0BFTMBQNK</t>
  </si>
  <si>
    <t>83188584</t>
  </si>
  <si>
    <t>Marc New York by Andrew Marc Women's Signature Anorak Crinkle Nylon Quilted Jacket, Black, Large</t>
  </si>
  <si>
    <t>114</t>
  </si>
  <si>
    <t>191900561583</t>
  </si>
  <si>
    <t>B0BFTH2KZC</t>
  </si>
  <si>
    <t>83188590</t>
  </si>
  <si>
    <t>Marc New York by Andrew Marc Women's Signature Anorak Crinkle Nylon Quilted Jacket, SURF, Large</t>
  </si>
  <si>
    <t>191900561613</t>
  </si>
  <si>
    <t>B0BFV7ZXBP</t>
  </si>
  <si>
    <t>83188586</t>
  </si>
  <si>
    <t>Marc New York by Andrew Marc Women's Signature Anorak Crinkle Nylon Quilted Jacket, Black, X-Large</t>
  </si>
  <si>
    <t>191900561576</t>
  </si>
  <si>
    <t>B0BFTVD44Y</t>
  </si>
  <si>
    <t>83188591</t>
  </si>
  <si>
    <t>Marc New York by Andrew Marc Women's Signature Anorak Crinkle Nylon Quilted Jacket, SURF, X-Large</t>
  </si>
  <si>
    <t>195861969860</t>
  </si>
  <si>
    <t>B0CNBLVFDT</t>
  </si>
  <si>
    <t>65209270</t>
  </si>
  <si>
    <t>6062064</t>
  </si>
  <si>
    <t>Carter's Big-Boys' 1 Pc Micro Fleece Footed Blanket Sleeper (4, Gamer/Grey)</t>
  </si>
  <si>
    <t>171</t>
  </si>
  <si>
    <t>Gamer/Grey</t>
  </si>
  <si>
    <t>195861969877</t>
  </si>
  <si>
    <t>B0CNBHK17J</t>
  </si>
  <si>
    <t>65209271</t>
  </si>
  <si>
    <t>Carter's Big-Boys' 1 Pc Micro Fleece Footed Blanket Sleeper (5, Gamer/Grey)</t>
  </si>
  <si>
    <t>178</t>
  </si>
  <si>
    <t>889273584451</t>
  </si>
  <si>
    <t>B09DKPV39W</t>
  </si>
  <si>
    <t>66057937</t>
  </si>
  <si>
    <t>6839574</t>
  </si>
  <si>
    <t>1 Pair Punk Spider Earrings Spider Stud Ear Clip Earring Halloween Black Spider Dangle Earrings for Women Girls Birthday Wedding Christmas Festival PartyCute Animal Jewelry</t>
  </si>
  <si>
    <t>195979121815</t>
  </si>
  <si>
    <t>B0CJ2DNSMJ</t>
  </si>
  <si>
    <t>49546069</t>
  </si>
  <si>
    <t>6098305</t>
  </si>
  <si>
    <t>Men's Pitchstone Heavyweight Flannel Shirt - Warp Red Macro Multi</t>
  </si>
  <si>
    <t>Warp Red Macro Multi</t>
  </si>
  <si>
    <t>193769941803</t>
  </si>
  <si>
    <t>B0C699RHPJ</t>
  </si>
  <si>
    <t>86730572</t>
  </si>
  <si>
    <t>3849916</t>
  </si>
  <si>
    <t>WallFlower Women's Luscious Curvy Bootcut Mid-Rise Bling Insta Stretch Juniors Jeans (Standard and Plus), Vici, 0</t>
  </si>
  <si>
    <t>WFCURVYBLING</t>
  </si>
  <si>
    <t>Vici</t>
  </si>
  <si>
    <t>652874719030</t>
  </si>
  <si>
    <t>B0C6YPN85S</t>
  </si>
  <si>
    <t>70277001</t>
  </si>
  <si>
    <t>6425125</t>
  </si>
  <si>
    <t>Speechless Girls' Sleeveless A-line Party Dress, Black, 7</t>
  </si>
  <si>
    <t>C4167D01DNE</t>
  </si>
  <si>
    <t>652874682570</t>
  </si>
  <si>
    <t>B0C3WF1P34</t>
  </si>
  <si>
    <t>80298256</t>
  </si>
  <si>
    <t>Speechless Girls' Sleeveless A-Line Party Dress, Red, 7</t>
  </si>
  <si>
    <t>652874719047</t>
  </si>
  <si>
    <t>B0C6YQ4PQ8</t>
  </si>
  <si>
    <t>70277002</t>
  </si>
  <si>
    <t>Speechless Girls' Sleeveless A-line Party Dress, Black, 8</t>
  </si>
  <si>
    <t>652874682587</t>
  </si>
  <si>
    <t>B0C3WDS6L4</t>
  </si>
  <si>
    <t>80298257</t>
  </si>
  <si>
    <t>Speechless Girls' Sleeveless A-Line Party Dress, Red, 8</t>
  </si>
  <si>
    <t>888664575504</t>
  </si>
  <si>
    <t>B00PV42PD0</t>
  </si>
  <si>
    <t>38190452</t>
  </si>
  <si>
    <t>2527312</t>
  </si>
  <si>
    <t>Columbia Toddler Unisex Powderbug Plus II, Black/Hyper Blue, 4</t>
  </si>
  <si>
    <t>Black, Hyper Blue</t>
  </si>
  <si>
    <t>888664575443</t>
  </si>
  <si>
    <t>B00PV434XU</t>
  </si>
  <si>
    <t>76070160</t>
  </si>
  <si>
    <t>Columbia Toddler Unisex Powderbug Plus II, Collegiate Navy/Chili, 4</t>
  </si>
  <si>
    <t>Collegiate Navy, Chili</t>
  </si>
  <si>
    <t>888664575511</t>
  </si>
  <si>
    <t>B00PV42T6I</t>
  </si>
  <si>
    <t>38190461</t>
  </si>
  <si>
    <t>Columbia girls Powderbug Plus Ii Snow Boot, Black/Hyper Blue, 5 Toddler US</t>
  </si>
  <si>
    <t>888664575450</t>
  </si>
  <si>
    <t>B00PV438UY</t>
  </si>
  <si>
    <t>76070161</t>
  </si>
  <si>
    <t>Columbia girls Powderbug Plus Ii Snow Boot, Collegiate Navy/Chili, 5 Toddler US</t>
  </si>
  <si>
    <t>888664575467</t>
  </si>
  <si>
    <t>B00PV43CHS</t>
  </si>
  <si>
    <t>76070162</t>
  </si>
  <si>
    <t>Columbia girls Powderbug Plus Ii Snow Boot, Collegiate Navy/Chili, 6 Toddler US</t>
  </si>
  <si>
    <t>825663532770</t>
  </si>
  <si>
    <t>B0BDSMQBYN</t>
  </si>
  <si>
    <t>37649488</t>
  </si>
  <si>
    <t>5709263</t>
  </si>
  <si>
    <t>Hurley Boy's Graphic Pullover Hoodie (Big Kids) Birch Heather SM (8 Big Kid)</t>
  </si>
  <si>
    <t>Birch Heather</t>
  </si>
  <si>
    <t>196038293870</t>
  </si>
  <si>
    <t>B07FZFN4PX</t>
  </si>
  <si>
    <t>59281943</t>
  </si>
  <si>
    <t>5860467</t>
  </si>
  <si>
    <t>Tommy Hilfiger Men's Adaptive Chino Pants with Adjustable Waist and Magnets, MALLET, 38</t>
  </si>
  <si>
    <t>78C4170-281</t>
  </si>
  <si>
    <t>Mallet</t>
  </si>
  <si>
    <t>196038293894</t>
  </si>
  <si>
    <t>B07FZDMR27</t>
  </si>
  <si>
    <t>59281944</t>
  </si>
  <si>
    <t>Tommy Hilfiger Men's Adaptive Chino Pants with Adjustable Waist and Magnets, MALLET, 40</t>
  </si>
  <si>
    <t>41</t>
  </si>
  <si>
    <t>843401052236</t>
  </si>
  <si>
    <t>B09TCGMQMK</t>
  </si>
  <si>
    <t>50675705</t>
  </si>
  <si>
    <t>6226083</t>
  </si>
  <si>
    <t>Alder Creek Gift Baskets Eggcellent Easter Sweet Treats Gift Tower of pretzels, carmel corn, and Easter candy</t>
  </si>
  <si>
    <t>889260953130</t>
  </si>
  <si>
    <t>B07WN4HHM4</t>
  </si>
  <si>
    <t>67179452</t>
  </si>
  <si>
    <t>4957143</t>
  </si>
  <si>
    <t>GanCheng Laputa Castle in The Sky Tee Cute Teenager Tshirts Pink</t>
  </si>
  <si>
    <t>194381191119</t>
  </si>
  <si>
    <t>B0BM1TQ52X</t>
  </si>
  <si>
    <t>28149099</t>
  </si>
  <si>
    <t>6286426</t>
  </si>
  <si>
    <t>Snoop Doggie Doggs Deluxe Pet Toy, Chain Steering Wheel</t>
  </si>
  <si>
    <t>599</t>
  </si>
  <si>
    <t>black</t>
  </si>
  <si>
    <t>196039138163</t>
  </si>
  <si>
    <t>B09JNJYSCW</t>
  </si>
  <si>
    <t>33476470</t>
  </si>
  <si>
    <t>5552403</t>
  </si>
  <si>
    <t>Under Armour Men's ArmourFleece Twist Hoodie, (410) Midnight Navy / / Black, Small</t>
  </si>
  <si>
    <t>1373354</t>
  </si>
  <si>
    <t>194381184821</t>
  </si>
  <si>
    <t>B0BM1XLG5B</t>
  </si>
  <si>
    <t>78173788</t>
  </si>
  <si>
    <t>6288480</t>
  </si>
  <si>
    <t>Snoop Doggie Doggs Deluxe Pet PJs, Off The Chain, Small</t>
  </si>
  <si>
    <t>194381184807</t>
  </si>
  <si>
    <t>B0BLZPV98D</t>
  </si>
  <si>
    <t>51007640</t>
  </si>
  <si>
    <t>Snoop Doggie Doggs Deluxe Pet PJs, Off The Chain, Large</t>
  </si>
  <si>
    <t>194381191737</t>
  </si>
  <si>
    <t>B0BLZSRCRB</t>
  </si>
  <si>
    <t>65185977</t>
  </si>
  <si>
    <t>Snoop Doggie Doggs Deluxe Pet PJs, Boss Lady, Large</t>
  </si>
  <si>
    <t>49</t>
  </si>
  <si>
    <t>194381191768</t>
  </si>
  <si>
    <t>B0BM1Q2MV6</t>
  </si>
  <si>
    <t>76796276</t>
  </si>
  <si>
    <t>Snoop Doggie Doggs Deluxe Pet PJs, Boss Lady, X-Large</t>
  </si>
  <si>
    <t>194381184838</t>
  </si>
  <si>
    <t>B0BM1VN6Q6</t>
  </si>
  <si>
    <t>49968500</t>
  </si>
  <si>
    <t>Snoop Doggie Doggs Deluxe Pet PJs, Off The Chain, X-Large</t>
  </si>
  <si>
    <t>31</t>
  </si>
  <si>
    <t>747941465177</t>
  </si>
  <si>
    <t>B07FKL5VSM</t>
  </si>
  <si>
    <t>64893511</t>
  </si>
  <si>
    <t>6890036</t>
  </si>
  <si>
    <t>Speechless High Neck Romper Maxi Dress</t>
  </si>
  <si>
    <t>SC224D19H908</t>
  </si>
  <si>
    <t>Red/Silver</t>
  </si>
  <si>
    <t>888681254529</t>
  </si>
  <si>
    <t>B0BF36YNJK</t>
  </si>
  <si>
    <t>63445348</t>
  </si>
  <si>
    <t>7060942</t>
  </si>
  <si>
    <t>PARFAIT Marissa P50117 Women's Full Bust and Full Figure Strapless Longline Bra-Black Mosaic-30GG</t>
  </si>
  <si>
    <t>Black Mosaic</t>
  </si>
  <si>
    <t>888681254536</t>
  </si>
  <si>
    <t>B0BF31C95P</t>
  </si>
  <si>
    <t>63445357</t>
  </si>
  <si>
    <t>PARFAIT Marissa P50117 Women's Full Bust and Full Figure Strapless Longline Bra-Black Mosaic-30H</t>
  </si>
  <si>
    <t>888681254611</t>
  </si>
  <si>
    <t>B0BF2VJTTB</t>
  </si>
  <si>
    <t>63445349</t>
  </si>
  <si>
    <t>PARFAIT Marissa P50117 Women's Full Bust and Full Figure Strapless Longline Bra-Black Mosaic-32GG</t>
  </si>
  <si>
    <t>888681250552</t>
  </si>
  <si>
    <t>B0BF3G3Z69</t>
  </si>
  <si>
    <t>49598685</t>
  </si>
  <si>
    <t>7061057</t>
  </si>
  <si>
    <t>PARFAIT Shea P6062 Women's Full Bust Mesh Plunge Unlined Wired Bra-Racing Red-30E</t>
  </si>
  <si>
    <t>Racing Red</t>
  </si>
  <si>
    <t>888681250569</t>
  </si>
  <si>
    <t>B0BF2ZML5X</t>
  </si>
  <si>
    <t>49598691</t>
  </si>
  <si>
    <t>PARFAIT Shea P6062 Women's Full Bust Mesh Plunge Unlined Wired Bra-Racing Red-30F</t>
  </si>
  <si>
    <t>888681250576</t>
  </si>
  <si>
    <t>B0BF2T5GF5</t>
  </si>
  <si>
    <t>49598697</t>
  </si>
  <si>
    <t>PARFAIT Shea P6062 Women's Full Bust Mesh Plunge Unlined Wired Bra-Racing Red-30FF</t>
  </si>
  <si>
    <t>888681250583</t>
  </si>
  <si>
    <t>B0BF3RLPSG</t>
  </si>
  <si>
    <t>49598703</t>
  </si>
  <si>
    <t>PARFAIT Shea P6062 Women's Full Bust Mesh Plunge Unlined Wired Bra-Racing Red-30G</t>
  </si>
  <si>
    <t>888681250590</t>
  </si>
  <si>
    <t>B0BF3DC5N8</t>
  </si>
  <si>
    <t>49598709</t>
  </si>
  <si>
    <t>PARFAIT Shea P6062 Women's Full Bust Mesh Plunge Unlined Wired Bra-Racing Red-30GG</t>
  </si>
  <si>
    <t>888681250651</t>
  </si>
  <si>
    <t>B0BF2WJQSR</t>
  </si>
  <si>
    <t>49598698</t>
  </si>
  <si>
    <t>PARFAIT Shea P6062 Women's Full Bust Mesh Plunge Unlined Wired Bra-Racing Red-32FF</t>
  </si>
  <si>
    <t>P6062</t>
  </si>
  <si>
    <t>888681250675</t>
  </si>
  <si>
    <t>B0BF2TKQH5</t>
  </si>
  <si>
    <t>49598710</t>
  </si>
  <si>
    <t>PARFAIT Shea P6062 Women's Full Bust Mesh Plunge Unlined Wired Bra-Racing Red-32GG</t>
  </si>
  <si>
    <t>888681250682</t>
  </si>
  <si>
    <t>B0BF3JQKL3</t>
  </si>
  <si>
    <t>49598716</t>
  </si>
  <si>
    <t>PARFAIT Shea P6062 Women's Full Bust Mesh Plunge Unlined Wired Bra-Racing Red-32H</t>
  </si>
  <si>
    <t>195979487799</t>
  </si>
  <si>
    <t>B0BKQRM5X1</t>
  </si>
  <si>
    <t>28257745</t>
  </si>
  <si>
    <t>6101612</t>
  </si>
  <si>
    <t>Columbia Men's Hart Mountain Quilted Half Snap Pull Over, Dark Mountain, Small</t>
  </si>
  <si>
    <t>2054091</t>
  </si>
  <si>
    <t>Dark Mountain</t>
  </si>
  <si>
    <t>195979487430</t>
  </si>
  <si>
    <t>B0BKQRF1ZT</t>
  </si>
  <si>
    <t>28257751</t>
  </si>
  <si>
    <t>Columbia Men's Hart Mountain Quilted Half Snap Pull Over, Delta, Small</t>
  </si>
  <si>
    <t>Delta</t>
  </si>
  <si>
    <t>195979487447</t>
  </si>
  <si>
    <t>B0BKQS12L1</t>
  </si>
  <si>
    <t>28257762</t>
  </si>
  <si>
    <t>Columbia Men's Hart Mountain Quilted Half Snap Pull Over, Raw Honey, Small</t>
  </si>
  <si>
    <t>Raw Honey</t>
  </si>
  <si>
    <t>196468455329</t>
  </si>
  <si>
    <t>B0BNR5F7GZ</t>
  </si>
  <si>
    <t>20535237</t>
  </si>
  <si>
    <t>5218421</t>
  </si>
  <si>
    <t>adidas Womens Ultimate365 Solid Sleeveless Polo Shirt, Lucid Lemon, X-Small</t>
  </si>
  <si>
    <t>22774</t>
  </si>
  <si>
    <t>191170788932</t>
  </si>
  <si>
    <t>B08VRSGK4Z</t>
  </si>
  <si>
    <t>50895372</t>
  </si>
  <si>
    <t>6890552</t>
  </si>
  <si>
    <t>Vogee Adhesion 20 pcs Nail Art Transfer Decals Sticker Design Series The Cocktail Collection Manicure DIY Nail Polish Strips Wraps for Wedding,Party,Shopping,Travelling (NAILWRAP-HAND-068)</t>
  </si>
  <si>
    <t>191170788918</t>
  </si>
  <si>
    <t>B08VRTCFL1</t>
  </si>
  <si>
    <t>50895370</t>
  </si>
  <si>
    <t>Vogee Adhesion 20 pcs Nail Art Transfer Decals Sticker Design Series The Cocktail Collection Manicure DIY Nail Polish Strips Wraps for Wedding,Party,Shopping,Travelling,Black</t>
  </si>
  <si>
    <t>191170788925</t>
  </si>
  <si>
    <t>B08VRS1Z7P</t>
  </si>
  <si>
    <t>50895371</t>
  </si>
  <si>
    <t>Vogee Adhesion 20 pcs Nail Art Transfer Decals Sticker Design Series The Cocktail Collection Manicure DIY Nail Polish Strips Wraps for Wedding,Party,Shopping,Travelling (NAILWRAP-HAND-067)</t>
  </si>
  <si>
    <t>47</t>
  </si>
  <si>
    <t>000716860707</t>
  </si>
  <si>
    <t>B0CJRZ68C9</t>
  </si>
  <si>
    <t>81904548</t>
  </si>
  <si>
    <t>6178825</t>
  </si>
  <si>
    <t>Komar Kids Boys DC Comics Blue Beetle Classic Long Sleeve Cotton 4 Piece Pajama (4)</t>
  </si>
  <si>
    <t>K269888BT4</t>
  </si>
  <si>
    <t>Blue</t>
  </si>
  <si>
    <t>195861922643</t>
  </si>
  <si>
    <t>B0CK4WS7PQ</t>
  </si>
  <si>
    <t>54863287</t>
  </si>
  <si>
    <t>5975283</t>
  </si>
  <si>
    <t>Carter's Baby Boys' Cardigan (Dark Red, Size Newborn)</t>
  </si>
  <si>
    <t>Dark Red</t>
  </si>
  <si>
    <t>195861922605</t>
  </si>
  <si>
    <t>B0CK3K3JQ5</t>
  </si>
  <si>
    <t>54863288</t>
  </si>
  <si>
    <t>Carter's Baby Boys' Cardigan (Dark Red, Size 3 Months)</t>
  </si>
  <si>
    <t>74</t>
  </si>
  <si>
    <t>700030296809</t>
  </si>
  <si>
    <t>B0BBDCWPKF</t>
  </si>
  <si>
    <t>71122707</t>
  </si>
  <si>
    <t>5724883</t>
  </si>
  <si>
    <t>Rachel Shoes Girl's Harmoni (Toddler/Little Kid) Pale Gold Metallic 5 Toddler M</t>
  </si>
  <si>
    <t>Pale Gold Metallic</t>
  </si>
  <si>
    <t>700030296816</t>
  </si>
  <si>
    <t>B0BD1SY2M4</t>
  </si>
  <si>
    <t>71122713</t>
  </si>
  <si>
    <t>Rachel Shoes Girl's Harmoni (Toddler/Little Kid) Pale Gold Metallic 6 Toddler M</t>
  </si>
  <si>
    <t>700030296823</t>
  </si>
  <si>
    <t>B0BD1QS29W</t>
  </si>
  <si>
    <t>71122714</t>
  </si>
  <si>
    <t>Rachel Shoes Girl's Harmoni (Toddler/Little Kid) Pale Gold Metallic 7 Toddler M</t>
  </si>
  <si>
    <t>028266901206</t>
  </si>
  <si>
    <t>B00ISFA5R2</t>
  </si>
  <si>
    <t>82026091</t>
  </si>
  <si>
    <t>5943718</t>
  </si>
  <si>
    <t>Baldwin Filters Fuel Filter BF1348-SP</t>
  </si>
  <si>
    <t>195861981008</t>
  </si>
  <si>
    <t>B0CNFT39CL</t>
  </si>
  <si>
    <t>49616332</t>
  </si>
  <si>
    <t>6058331</t>
  </si>
  <si>
    <t>Carter's Boys' 2 Pc Fleece 347g178 (4, Navy/Sleep/Game)</t>
  </si>
  <si>
    <t>Navy/Sleep/Game</t>
  </si>
  <si>
    <t>194895752042</t>
  </si>
  <si>
    <t>B09K2PN75V</t>
  </si>
  <si>
    <t>46621252</t>
  </si>
  <si>
    <t>5570709</t>
  </si>
  <si>
    <t>Columbia Toddler Unisex Bugaboot Celsius, Black/Graphite, 4</t>
  </si>
  <si>
    <t>2020151</t>
  </si>
  <si>
    <t>Black/Graphite</t>
  </si>
  <si>
    <t>196099208622</t>
  </si>
  <si>
    <t>B09N6N64HS</t>
  </si>
  <si>
    <t>60161505</t>
  </si>
  <si>
    <t>6721178</t>
  </si>
  <si>
    <t>Levi's Men's 517 Boot Cut Jeans, Medium Indigo Worn in, 29W x 30L</t>
  </si>
  <si>
    <t>00517-0225</t>
  </si>
  <si>
    <t>Medium Indigo Worn in</t>
  </si>
  <si>
    <t>196099208646</t>
  </si>
  <si>
    <t>B09N682CBZ</t>
  </si>
  <si>
    <t>60161507</t>
  </si>
  <si>
    <t>Levi's Men's 517 Boot Cut Jeans, Medium Indigo Worn in, 29W x 34L</t>
  </si>
  <si>
    <t>196099208677</t>
  </si>
  <si>
    <t>B09N6BJ6XL</t>
  </si>
  <si>
    <t>60161514</t>
  </si>
  <si>
    <t>Levi's Men's 517 Boot Cut Jeans, Medium Indigo Worn in, 30W x 34L</t>
  </si>
  <si>
    <t>196099208684</t>
  </si>
  <si>
    <t>B09N6ST3MV</t>
  </si>
  <si>
    <t>60161515</t>
  </si>
  <si>
    <t>Levi's Men's 517 Boot Cut Jeans, Medium Indigo Worn in, 31W x 30L</t>
  </si>
  <si>
    <t>196099208691</t>
  </si>
  <si>
    <t>B09N6NW25T</t>
  </si>
  <si>
    <t>60161516</t>
  </si>
  <si>
    <t>Levi's Men's 517 Boot Cut Jeans, Medium Indigo Worn in, 31W x 32L</t>
  </si>
  <si>
    <t>196099208721</t>
  </si>
  <si>
    <t>B09N6HFN19</t>
  </si>
  <si>
    <t>60161519</t>
  </si>
  <si>
    <t>Levi's Men's 517 Boot Cut Jeans, Medium Indigo Worn in, 32W x 30L</t>
  </si>
  <si>
    <t>196099150686</t>
  </si>
  <si>
    <t>B09N683JSG</t>
  </si>
  <si>
    <t>60161524</t>
  </si>
  <si>
    <t>Levi's Men's 517 Boot Cut Jeans, Medium Indigo Worn in, 32W x 32L</t>
  </si>
  <si>
    <t>196099209490</t>
  </si>
  <si>
    <t>B09N6BHVTC</t>
  </si>
  <si>
    <t>74365583</t>
  </si>
  <si>
    <t>Levi's Men's 517 Boot Cut Jeans, Light Indigo Stonewash, 42W x 34L</t>
  </si>
  <si>
    <t>00517-0223</t>
  </si>
  <si>
    <t>Light Indigo Stonewash</t>
  </si>
  <si>
    <t>195979512156</t>
  </si>
  <si>
    <t>B0BKR4L427</t>
  </si>
  <si>
    <t>54784941</t>
  </si>
  <si>
    <t>5558157</t>
  </si>
  <si>
    <t>Columbia Women's Holly Hideaway Flannel Shirt, Faded Peach Ombre Tartan, Small</t>
  </si>
  <si>
    <t>2012791</t>
  </si>
  <si>
    <t>Faded Peach Ombre Tartan</t>
  </si>
  <si>
    <t>195979512538</t>
  </si>
  <si>
    <t>B0BKR65Q2C</t>
  </si>
  <si>
    <t>54784931</t>
  </si>
  <si>
    <t>Columbia Women's Holly Hideaway Flannel Shirt, Sea Salt Buffalo Check, Small</t>
  </si>
  <si>
    <t>Sea Salt Buffalo Check</t>
  </si>
  <si>
    <t>195979512149</t>
  </si>
  <si>
    <t>B0BKR4JPM9</t>
  </si>
  <si>
    <t>54784942</t>
  </si>
  <si>
    <t>Columbia Women's Holly Hideaway Flannel Shirt, Faded Peach Ombre Tartan, Medium</t>
  </si>
  <si>
    <t>191459027530</t>
  </si>
  <si>
    <t>B0BSLKS83V</t>
  </si>
  <si>
    <t>28602250</t>
  </si>
  <si>
    <t>4438850</t>
  </si>
  <si>
    <t>FlexFit Glove with Faux Fur Lining Black / OS</t>
  </si>
  <si>
    <t>17329-200-OS</t>
  </si>
  <si>
    <t>196989262659</t>
  </si>
  <si>
    <t>B0D3652L2X</t>
  </si>
  <si>
    <t>79169264</t>
  </si>
  <si>
    <t>6056677</t>
  </si>
  <si>
    <t>Skechers Women's Gowalk 1/4 Zip Soft Knit Jacket, Bold Black</t>
  </si>
  <si>
    <t>LT6</t>
  </si>
  <si>
    <t>Bold Black</t>
  </si>
  <si>
    <t>196989262925</t>
  </si>
  <si>
    <t>B0D364YF2B</t>
  </si>
  <si>
    <t>79169289</t>
  </si>
  <si>
    <t>Skechers Women's Gowalk 1/4 Zip Soft Knit Jacket, Bright White</t>
  </si>
  <si>
    <t>Bright White</t>
  </si>
  <si>
    <t>197524004390</t>
  </si>
  <si>
    <t>B0BXQTQ54J</t>
  </si>
  <si>
    <t>63522069</t>
  </si>
  <si>
    <t>6303004</t>
  </si>
  <si>
    <t>Madden Girl Women's Ease-HR Ankle Boot, Tan Multi, 6.5</t>
  </si>
  <si>
    <t>EASE01J1</t>
  </si>
  <si>
    <t>Tan Multi</t>
  </si>
  <si>
    <t>196327204310</t>
  </si>
  <si>
    <t>B0CH876QJ6</t>
  </si>
  <si>
    <t>20110856</t>
  </si>
  <si>
    <t>6382765</t>
  </si>
  <si>
    <t>Levi's® Girl's Long Sleeve Hooded Flannel Top (Big Kids) Aster Purple Leaves SM (7-8 Big Kid)</t>
  </si>
  <si>
    <t>41J217F-P9J</t>
  </si>
  <si>
    <t>Aster Purple Leaves</t>
  </si>
  <si>
    <t>700030290128</t>
  </si>
  <si>
    <t>B0B9XGMKS7</t>
  </si>
  <si>
    <t>46697058</t>
  </si>
  <si>
    <t>5724884</t>
  </si>
  <si>
    <t>Rachel Shoes Girl's Lil Leanna (Toddler/Little Kid) Black 6 Toddler M</t>
  </si>
  <si>
    <t>700030290135</t>
  </si>
  <si>
    <t>B0B8HJDTP1</t>
  </si>
  <si>
    <t>46697059</t>
  </si>
  <si>
    <t>Rachel Shoes Girl's Lil Leanna (Toddler/Little Kid) Black 7 Toddler M</t>
  </si>
  <si>
    <t>729367701633</t>
  </si>
  <si>
    <t>B0957Z1ZCS</t>
  </si>
  <si>
    <t>71084082</t>
  </si>
  <si>
    <t>6861677</t>
  </si>
  <si>
    <t>Rope &amp; Bar Linear Drop Earrings in 14K Gold</t>
  </si>
  <si>
    <t>129</t>
  </si>
  <si>
    <t>FRE014738Y</t>
  </si>
  <si>
    <t>197524028792</t>
  </si>
  <si>
    <t>B0BZ5PCTNW</t>
  </si>
  <si>
    <t>63118349</t>
  </si>
  <si>
    <t>6285640</t>
  </si>
  <si>
    <t>Madden Girl Women's Picadilly Loafer, Bone Croco, 9.5</t>
  </si>
  <si>
    <t>PICA01J1</t>
  </si>
  <si>
    <t>Bone Croco</t>
  </si>
  <si>
    <t>197524028235</t>
  </si>
  <si>
    <t>B0BZ63FC2L</t>
  </si>
  <si>
    <t>58085016</t>
  </si>
  <si>
    <t>Madden Girl Women's Picadilly Loafer, Tan Croco, 5</t>
  </si>
  <si>
    <t>Tan Croco</t>
  </si>
  <si>
    <t>195745462777</t>
  </si>
  <si>
    <t>B09Z558W4C</t>
  </si>
  <si>
    <t>37226438</t>
  </si>
  <si>
    <t>6075956</t>
  </si>
  <si>
    <t>adidas Women's Standard Textured Full Zip Jacket, Collegiate Navy, X-Small</t>
  </si>
  <si>
    <t>W6347</t>
  </si>
  <si>
    <t>Collegiate Navy</t>
  </si>
  <si>
    <t>715676492546</t>
  </si>
  <si>
    <t>B07FYXYXBS</t>
  </si>
  <si>
    <t>58259331</t>
  </si>
  <si>
    <t>5860466</t>
  </si>
  <si>
    <t>Tommy Hilfiger Men's Adaptive Jeans Straight Adjustable Waist Magnet Buttons, dark wash 40</t>
  </si>
  <si>
    <t>78D0797-409</t>
  </si>
  <si>
    <t>Dark Wash</t>
  </si>
  <si>
    <t>196953105487</t>
  </si>
  <si>
    <t>B0CHY7GR3P</t>
  </si>
  <si>
    <t>49554450</t>
  </si>
  <si>
    <t>6101503</t>
  </si>
  <si>
    <t>Eddie Bauer Women's Quest Plush 1/4 Zip Fleece, Port</t>
  </si>
  <si>
    <t>0315102834000050</t>
  </si>
  <si>
    <t>Port</t>
  </si>
  <si>
    <t>195862120390</t>
  </si>
  <si>
    <t>B0CNS63NWJ</t>
  </si>
  <si>
    <t>80430202</t>
  </si>
  <si>
    <t>6185578</t>
  </si>
  <si>
    <t>Carter's St Patricks Day Dress with Shamrock for Baby Girls (Green, Newborn)</t>
  </si>
  <si>
    <t>195862120352</t>
  </si>
  <si>
    <t>B0CNS2L54N</t>
  </si>
  <si>
    <t>80430203</t>
  </si>
  <si>
    <t>Carter's St Patricks Day Dress with Shamrock for Baby Girls (Green, 3 Months)</t>
  </si>
  <si>
    <t>195862120376</t>
  </si>
  <si>
    <t>B0CNS52J52</t>
  </si>
  <si>
    <t>80430213</t>
  </si>
  <si>
    <t>Carter's St Patricks Day Dress with Shamrock for Baby Girls (Green, 9 Months)</t>
  </si>
  <si>
    <t>888681240218</t>
  </si>
  <si>
    <t>B09NP7PB4T</t>
  </si>
  <si>
    <t>29058881</t>
  </si>
  <si>
    <t>7061079</t>
  </si>
  <si>
    <t>PARFAIT Wave P6052 Women's Wire-Free Front Closure Sports Bra-Silver-32E</t>
  </si>
  <si>
    <t>P6052-Silver-32E</t>
  </si>
  <si>
    <t>Silver</t>
  </si>
  <si>
    <t>888681240225</t>
  </si>
  <si>
    <t>B09NP7JR6Q</t>
  </si>
  <si>
    <t>29058886</t>
  </si>
  <si>
    <t>PARFAIT Wave P6052 Women's Wire-Free Front Closure Sports Bra-Silver-32F</t>
  </si>
  <si>
    <t>P6052-Silver-32F</t>
  </si>
  <si>
    <t>195862018338</t>
  </si>
  <si>
    <t>B0CJ25BN6C</t>
  </si>
  <si>
    <t>46972653</t>
  </si>
  <si>
    <t>6047059</t>
  </si>
  <si>
    <t>Carter's Winter Holiday 2-Piece Christmas Bodysuit and Pant Set (My First Christmas, 24 Months)</t>
  </si>
  <si>
    <t>450</t>
  </si>
  <si>
    <t>pant set</t>
  </si>
  <si>
    <t>Multicolor</t>
  </si>
  <si>
    <t>817742024832</t>
  </si>
  <si>
    <t>B07FK2Y69W</t>
  </si>
  <si>
    <t>30951252</t>
  </si>
  <si>
    <t>6446517</t>
  </si>
  <si>
    <t>Big Mouth Toys BMBG-0008 Big Mouth Beer Glass Elfed Up, Plastic</t>
  </si>
  <si>
    <t>132</t>
  </si>
  <si>
    <t>BMBG-0008</t>
  </si>
  <si>
    <t>810816034522</t>
  </si>
  <si>
    <t>B0CDD87KDJ</t>
  </si>
  <si>
    <t>80548663</t>
  </si>
  <si>
    <t>6318159</t>
  </si>
  <si>
    <t>WHAT DO YOU MEME? Who Killed Mia — A Modern Murder Mystery Game True Crime Solving Games for Adults, Find Out who Killed Influencer Mia Star, for True Crime Fans</t>
  </si>
  <si>
    <t>544</t>
  </si>
  <si>
    <t>WKM4009</t>
  </si>
  <si>
    <t>196978676092</t>
  </si>
  <si>
    <t>B0CD1139F8</t>
  </si>
  <si>
    <t>86836402</t>
  </si>
  <si>
    <t>6890212</t>
  </si>
  <si>
    <t>Levi's Men's 512 Slim Taper Jeans (Seasonal), (New) October Love Adv</t>
  </si>
  <si>
    <t>28833-1255</t>
  </si>
  <si>
    <t>(New) October Love Adv</t>
  </si>
  <si>
    <t>196978676375</t>
  </si>
  <si>
    <t>B0CCZPS864</t>
  </si>
  <si>
    <t>86836453</t>
  </si>
  <si>
    <t>196978676382</t>
  </si>
  <si>
    <t>B0CD111PX2</t>
  </si>
  <si>
    <t>86836454</t>
  </si>
  <si>
    <t>196978676399</t>
  </si>
  <si>
    <t>B0CCZTNKK4</t>
  </si>
  <si>
    <t>86836455</t>
  </si>
  <si>
    <t>850004887172</t>
  </si>
  <si>
    <t>B08F2Z1517</t>
  </si>
  <si>
    <t>73153819</t>
  </si>
  <si>
    <t>5850902</t>
  </si>
  <si>
    <t>Upbounders- A Day at The Barbershop 48 Piece Floor Puzzle, Beginner Puzzle for Toddlers Kids - African American Boy - Ages 4-8 (Multicultural)</t>
  </si>
  <si>
    <t>BSJPZL-48</t>
  </si>
  <si>
    <t>Navy</t>
  </si>
  <si>
    <t>700030295321</t>
  </si>
  <si>
    <t>B0B8HK6PC1</t>
  </si>
  <si>
    <t>83024179</t>
  </si>
  <si>
    <t>5724885</t>
  </si>
  <si>
    <t>Rachel Shoes Girl's Lil Agatha (Toddler/Little Kid) Black 6 Toddler M</t>
  </si>
  <si>
    <t>LAGATHA-001</t>
  </si>
  <si>
    <t>700030295338</t>
  </si>
  <si>
    <t>B0B9XF1GSD</t>
  </si>
  <si>
    <t>83024180</t>
  </si>
  <si>
    <t>Rachel Shoes Girl's Lil Agatha (Toddler/Little Kid) Black 7 Toddler M</t>
  </si>
  <si>
    <t>195979517700</t>
  </si>
  <si>
    <t>B0BKR5QFBV</t>
  </si>
  <si>
    <t>65850268</t>
  </si>
  <si>
    <t>5558154</t>
  </si>
  <si>
    <t>Columbia Women's Holly Hideaway Flannel Shirt, Sea Salt Buffalo Check, 1X Plus</t>
  </si>
  <si>
    <t>2012793</t>
  </si>
  <si>
    <t>195861918899</t>
  </si>
  <si>
    <t>B0CDCQMV3P</t>
  </si>
  <si>
    <t>76732106</t>
  </si>
  <si>
    <t>5975624</t>
  </si>
  <si>
    <t>Carter's Baby 2 Pc Halloween Bodysuit and Pants Set (Orange/Black, 24 Months)</t>
  </si>
  <si>
    <t>109</t>
  </si>
  <si>
    <t>Orange/Black</t>
  </si>
  <si>
    <t>194381191386</t>
  </si>
  <si>
    <t>B0BLZSKK61</t>
  </si>
  <si>
    <t>30076274</t>
  </si>
  <si>
    <t>6288486</t>
  </si>
  <si>
    <t>Snoop Doggie Doggs Deluxe Pet T-Shirt, Boss Lady, Small</t>
  </si>
  <si>
    <t>194381191379</t>
  </si>
  <si>
    <t>B0BM1RLZFQ</t>
  </si>
  <si>
    <t>55703551</t>
  </si>
  <si>
    <t>Snoop Doggie Doggs Deluxe Pet T-Shirt, Boss Lady, Medium</t>
  </si>
  <si>
    <t>194381191362</t>
  </si>
  <si>
    <t>B0BM1HNCKV</t>
  </si>
  <si>
    <t>18839969</t>
  </si>
  <si>
    <t>Snoop Doggie Doggs Deluxe Pet T-Shirt, Boss Lady, Large</t>
  </si>
  <si>
    <t>194381191393</t>
  </si>
  <si>
    <t>B0BM1YZS21</t>
  </si>
  <si>
    <t>82048396</t>
  </si>
  <si>
    <t>Snoop Doggie Doggs Deluxe Pet T-Shirt, Boss Lady, X-Large</t>
  </si>
  <si>
    <t>729367634405</t>
  </si>
  <si>
    <t>B07QSJSPH8</t>
  </si>
  <si>
    <t>72074340</t>
  </si>
  <si>
    <t>6861688</t>
  </si>
  <si>
    <t>Created Pink Sapphire Mother and Child Pendant w Diamond in Silver (.003 ct, I-J Color, I3 Clarity), 18"</t>
  </si>
  <si>
    <t>82</t>
  </si>
  <si>
    <t>SAX52689CSPM18</t>
  </si>
  <si>
    <t>191291437993</t>
  </si>
  <si>
    <t>B083WLNRS6</t>
  </si>
  <si>
    <t>65572536</t>
  </si>
  <si>
    <t>6890179</t>
  </si>
  <si>
    <t>Levi's Men's 502 Taper Fit Jeans (Also Available in Big &amp; Tall), Caraway-Soft Wash Stretch Twill, 28W x 32L</t>
  </si>
  <si>
    <t>29507-0100</t>
  </si>
  <si>
    <t>Caraway - Soft Wash Stretch Twill</t>
  </si>
  <si>
    <t>195339265340</t>
  </si>
  <si>
    <t>B093YYD7PC</t>
  </si>
  <si>
    <t>75067471</t>
  </si>
  <si>
    <t>Levi's 502 Regular Taper Fit Clean Run 28 32</t>
  </si>
  <si>
    <t>29507-1153</t>
  </si>
  <si>
    <t>810104240956</t>
  </si>
  <si>
    <t>B09SB3LP2T</t>
  </si>
  <si>
    <t>55053633</t>
  </si>
  <si>
    <t>6890834</t>
  </si>
  <si>
    <t>Blueberry Pet Essentials Matching Small Dog Collar | Adjustable Classic Solid Color Nylon Dog Collars for Small Dogs | Orange Vermilion Dog Collar for Small Dogs</t>
  </si>
  <si>
    <t>EBPDCLRS00007OR0S</t>
  </si>
  <si>
    <t>Orange Vermilion</t>
  </si>
  <si>
    <t>810104241137</t>
  </si>
  <si>
    <t>B09SBJTD9P</t>
  </si>
  <si>
    <t>63404654</t>
  </si>
  <si>
    <t>Blueberry Pet Essentials Matching Small Dog Collar | Adjustable Classic Solid Color Nylon Dog Collars for Small Dogs | Verdant Green Dog Collar for Small Dogs</t>
  </si>
  <si>
    <t>EBPDCLRS00007GR0S</t>
  </si>
  <si>
    <t>Verdant Green</t>
  </si>
  <si>
    <t>810104240963</t>
  </si>
  <si>
    <t>B09SB8P4W9</t>
  </si>
  <si>
    <t>30831951</t>
  </si>
  <si>
    <t>Blueberry Pet Essentials Matching Medium Dog Collar | Adjustable Classic Solid Color Nylon Dog Collars for Medium Dogs | Orange Vermilion Dog Collar for Medium Dogs</t>
  </si>
  <si>
    <t>136</t>
  </si>
  <si>
    <t>EBPDCLRS00007OR0M</t>
  </si>
  <si>
    <t>810104241144</t>
  </si>
  <si>
    <t>B09SB5MW8D</t>
  </si>
  <si>
    <t>65088851</t>
  </si>
  <si>
    <t>Blueberry Pet Essentials Matching Medium Dog Collar | Adjustable Classic Solid Color Nylon Dog Collars for Medium Dogs | Verdant Green Dog Collar for Medium Dogs</t>
  </si>
  <si>
    <t>121</t>
  </si>
  <si>
    <t>EBPDCLRS00007GR0M</t>
  </si>
  <si>
    <t>810104241151</t>
  </si>
  <si>
    <t>B09SBCQYMX</t>
  </si>
  <si>
    <t>50886832</t>
  </si>
  <si>
    <t>Blueberry Pet Essentials Matching Large Dog Collar | Adjustable Classic Solid Color Nylon Dog Collars for Large Dogs | Verdant Green Dog Collar for Large Dogs</t>
  </si>
  <si>
    <t>92</t>
  </si>
  <si>
    <t>EBPDCLRS00007GR0L</t>
  </si>
  <si>
    <t>810104240970</t>
  </si>
  <si>
    <t>B09S9T6RFB</t>
  </si>
  <si>
    <t>44190087</t>
  </si>
  <si>
    <t>Blueberry Pet Essentials Matching Large Dog Collar | Adjustable Classic Solid Color Nylon Dog Collars for Large Dogs | Orange Vermilion Dog Collar for Large Dogs</t>
  </si>
  <si>
    <t>EBPDCLRS00007OR0L</t>
  </si>
  <si>
    <t>194194180676</t>
  </si>
  <si>
    <t>B09BDWKMMC</t>
  </si>
  <si>
    <t>67398569</t>
  </si>
  <si>
    <t>4585771</t>
  </si>
  <si>
    <t>Epic USA Patriotic American Party Quick Dry Towel Quick Dry, Super Absorbent, Ultra Compact Towel-Fit for Beach Yoga Golf Gym Camping Backpacking Hiking(27.5"X55")</t>
  </si>
  <si>
    <t>086131705403</t>
  </si>
  <si>
    <t>B0CXNJ2Y3L</t>
  </si>
  <si>
    <t>80525863</t>
  </si>
  <si>
    <t>6423704</t>
  </si>
  <si>
    <t>Disney Kurt Adler 19 Inch Encanto Christmas Stocking, Purple/Blue</t>
  </si>
  <si>
    <t>699</t>
  </si>
  <si>
    <t>DN7226</t>
  </si>
  <si>
    <t>Purple/Blue</t>
  </si>
  <si>
    <t>195979240387</t>
  </si>
  <si>
    <t>B0BKQW4CM4</t>
  </si>
  <si>
    <t>74360632</t>
  </si>
  <si>
    <t>6101513</t>
  </si>
  <si>
    <t>Columbia Men's Cornell Woods Fleece Lined Shirt Jacket, Delta/Warp Red Woodsman Tartan, Small</t>
  </si>
  <si>
    <t>2053961</t>
  </si>
  <si>
    <t>Delta/Warp Red Woodsman Tartan</t>
  </si>
  <si>
    <t>195979238292</t>
  </si>
  <si>
    <t>B0BKQSZMYT</t>
  </si>
  <si>
    <t>74360622</t>
  </si>
  <si>
    <t>Columbia Men's Cornell Woods Fleece Lined Shirt Jacket, Warp Red/Delta Woodsman Tartan, Medium</t>
  </si>
  <si>
    <t>Warp Red/Delta Woodsman Tartan</t>
  </si>
  <si>
    <t>191900561910</t>
  </si>
  <si>
    <t>B0BFTWWDR3</t>
  </si>
  <si>
    <t>71786096</t>
  </si>
  <si>
    <t>6703432</t>
  </si>
  <si>
    <t>Marc New York by Andrew Marc Women's Asymmetrical Cire Puffer Quilted Mid-Length, SURF, Small</t>
  </si>
  <si>
    <t>MW2AP027</t>
  </si>
  <si>
    <t>191900562030</t>
  </si>
  <si>
    <t>B0BFVBPFZ2</t>
  </si>
  <si>
    <t>71786086</t>
  </si>
  <si>
    <t>Marc New York by Andrew Marc Women's Asymmetrical Cire Puffer Quilted Mid-Length, Birch, Small</t>
  </si>
  <si>
    <t>46</t>
  </si>
  <si>
    <t>Birch</t>
  </si>
  <si>
    <t>191900561958</t>
  </si>
  <si>
    <t>B0BFV9Z1TP</t>
  </si>
  <si>
    <t>71786076</t>
  </si>
  <si>
    <t>Marc New York by Andrew Marc Women's Asymmetrical Cire Puffer Quilted Mid-Length, Gunmetal, Small</t>
  </si>
  <si>
    <t>Gunmetal</t>
  </si>
  <si>
    <t>191900565215</t>
  </si>
  <si>
    <t>B0BFV5DW2T</t>
  </si>
  <si>
    <t>71786097</t>
  </si>
  <si>
    <t>Marc New York by Andrew Marc Women's Asymmetrical Cire Puffer Quilted Mid-Length, SURF, Medium</t>
  </si>
  <si>
    <t>191900565246</t>
  </si>
  <si>
    <t>B0BFVBNWFN</t>
  </si>
  <si>
    <t>71786087</t>
  </si>
  <si>
    <t>Marc New York by Andrew Marc Women's Asymmetrical Cire Puffer Quilted Mid-Length, Birch, Medium</t>
  </si>
  <si>
    <t>191900565222</t>
  </si>
  <si>
    <t>B0BFTK1FB3</t>
  </si>
  <si>
    <t>71786077</t>
  </si>
  <si>
    <t>Marc New York by Andrew Marc Women's Asymmetrical Cire Puffer Quilted Mid-Length, Gunmetal, Medium</t>
  </si>
  <si>
    <t>191900565253</t>
  </si>
  <si>
    <t>B0BFTKNT8B</t>
  </si>
  <si>
    <t>71786067</t>
  </si>
  <si>
    <t>Marc New York by Andrew Marc Women's Asymmetrical Cire Puffer Quilted Mid-Length, Black, Medium</t>
  </si>
  <si>
    <t>118</t>
  </si>
  <si>
    <t>191900561903</t>
  </si>
  <si>
    <t>B0BFT9FG4W</t>
  </si>
  <si>
    <t>71786103</t>
  </si>
  <si>
    <t>Marc New York by Andrew Marc Women's Asymmetrical Cire Puffer Quilted Mid-Length, SURF, Large</t>
  </si>
  <si>
    <t>191900561941</t>
  </si>
  <si>
    <t>B0BFT56DNG</t>
  </si>
  <si>
    <t>71786083</t>
  </si>
  <si>
    <t>Marc New York by Andrew Marc Women's Asymmetrical Cire Puffer Quilted Mid-Length, Gunmetal, Large</t>
  </si>
  <si>
    <t>191900561897</t>
  </si>
  <si>
    <t>B0BFVKJJXT</t>
  </si>
  <si>
    <t>71786104</t>
  </si>
  <si>
    <t>Marc New York by Andrew Marc Women's Asymmetrical Cire Puffer Quilted Mid-Length, SURF, X-Large</t>
  </si>
  <si>
    <t>191900562016</t>
  </si>
  <si>
    <t>B0BFTTFT9R</t>
  </si>
  <si>
    <t>71786094</t>
  </si>
  <si>
    <t>Marc New York by Andrew Marc Women's Asymmetrical Cire Puffer Quilted Mid-Length, Birch, X-Large</t>
  </si>
  <si>
    <t>191900561934</t>
  </si>
  <si>
    <t>B0BFV5CTTQ</t>
  </si>
  <si>
    <t>71786084</t>
  </si>
  <si>
    <t>Marc New York by Andrew Marc Women's Asymmetrical Cire Puffer Quilted Mid-Length, Gunmetal, X-Large</t>
  </si>
  <si>
    <t>196642552707</t>
  </si>
  <si>
    <t>B0BCM7XZS7</t>
  </si>
  <si>
    <t>80704771</t>
  </si>
  <si>
    <t>7090363</t>
  </si>
  <si>
    <t>Skechers Women's Go Dri Swift Stretchable Wicking Quick Drying Tunic Tee, Bold Black, X-Small</t>
  </si>
  <si>
    <t>WTS359</t>
  </si>
  <si>
    <t>196311522888</t>
  </si>
  <si>
    <t>B0B11PSW38</t>
  </si>
  <si>
    <t>37342261</t>
  </si>
  <si>
    <t>Skechers Women's Go Dri Swift Stretchable Wicking Quick Drying Tunic Tee, Charcoal, X-Small</t>
  </si>
  <si>
    <t>Charcoal</t>
  </si>
  <si>
    <t>086131826603</t>
  </si>
  <si>
    <t>B0C5V1K699</t>
  </si>
  <si>
    <t>80196027</t>
  </si>
  <si>
    <t>6423698</t>
  </si>
  <si>
    <t>Baby Shark Kurt Adler 19 Inch Ollie and Family Printed Christmas Stocking, Blue</t>
  </si>
  <si>
    <t>1621</t>
  </si>
  <si>
    <t>BK7231</t>
  </si>
  <si>
    <t>Product Codes: UPC</t>
  </si>
  <si>
    <t>Buy Box: Current</t>
  </si>
  <si>
    <t>Sales Rank: Current</t>
  </si>
  <si>
    <t>Bought in past month</t>
  </si>
  <si>
    <t>Package: Weight (g)</t>
  </si>
  <si>
    <t>New: Current</t>
  </si>
  <si>
    <t>Buy Box: 90 days avg.</t>
  </si>
  <si>
    <t>Buy Box: 180 days avg.</t>
  </si>
  <si>
    <t>New Offer Count: 90 days avg.</t>
  </si>
  <si>
    <t>Sales Rank: Drops last 30 days</t>
  </si>
  <si>
    <t>Sales Rank: Drops last 90 days</t>
  </si>
  <si>
    <t>Reviews: Ratings - Format Specific</t>
  </si>
  <si>
    <t>Reviews: Review Count</t>
  </si>
  <si>
    <t>Referral Fee based on current Buy Box price</t>
  </si>
  <si>
    <t>FBA Fees:</t>
  </si>
  <si>
    <t>194953017649</t>
  </si>
  <si>
    <t>B08NYJPR42</t>
  </si>
  <si>
    <t>75742804</t>
  </si>
  <si>
    <t>7081190</t>
  </si>
  <si>
    <t>Nike Men's Cargo Shorts, Grey Heather, Small</t>
  </si>
  <si>
    <t>452</t>
  </si>
  <si>
    <t>CZ9956</t>
  </si>
  <si>
    <t>Grey Heather</t>
  </si>
  <si>
    <t>194953017656</t>
  </si>
  <si>
    <t>B08NYKGWR2</t>
  </si>
  <si>
    <t>75742805</t>
  </si>
  <si>
    <t>Nike Sportswear Club Men's Cargo Shorts CZ9956-063 Size M</t>
  </si>
  <si>
    <t>157</t>
  </si>
  <si>
    <t>194953017779</t>
  </si>
  <si>
    <t>B08NYJWLN8</t>
  </si>
  <si>
    <t>75742816</t>
  </si>
  <si>
    <t>Nike Mens Cargo Shorts (Navy/White, Medium)</t>
  </si>
  <si>
    <t>373</t>
  </si>
  <si>
    <t>194953017663</t>
  </si>
  <si>
    <t>B08NYJZWBQ</t>
  </si>
  <si>
    <t>75742806</t>
  </si>
  <si>
    <t>Nike Men's Sportswear Club Cargo Shorts, Grey Heather, Large</t>
  </si>
  <si>
    <t>194953017786</t>
  </si>
  <si>
    <t>B08NYJFFQB</t>
  </si>
  <si>
    <t>75742817</t>
  </si>
  <si>
    <t>Nike Mens Cargo Shorts (Large, Midnight Navy/White)</t>
  </si>
  <si>
    <t>194953017670</t>
  </si>
  <si>
    <t>B08NYK5GWG</t>
  </si>
  <si>
    <t>75742807</t>
  </si>
  <si>
    <t>Nike Men's Cargo Shorts, Grey Heather, X-Large</t>
  </si>
  <si>
    <t>CZ9956-063</t>
  </si>
  <si>
    <t>196469131321</t>
  </si>
  <si>
    <t>B0BJ6DXJ9B</t>
  </si>
  <si>
    <t>79062521</t>
  </si>
  <si>
    <t>6033554</t>
  </si>
  <si>
    <t>adidas Men's Essentials Fleece Open Hem 3-Stripes Pants, Dark Grey Heather, Small</t>
  </si>
  <si>
    <t>478</t>
  </si>
  <si>
    <t>DTN83</t>
  </si>
  <si>
    <t>Dark Grey Heather</t>
  </si>
  <si>
    <t>196469135206</t>
  </si>
  <si>
    <t>B0BHL7Q21P</t>
  </si>
  <si>
    <t>77202421</t>
  </si>
  <si>
    <t>adidas Men's Essentials Fleece Open Hem 3-Stripes Pants, Black, Small</t>
  </si>
  <si>
    <t>440</t>
  </si>
  <si>
    <t>196469127430</t>
  </si>
  <si>
    <t>B0BHL67XGC</t>
  </si>
  <si>
    <t>62942361</t>
  </si>
  <si>
    <t>adidas Men's Essentials Fleece Open Hem 3-Stripes Pants, Medium Grey Heather, Small</t>
  </si>
  <si>
    <t>435</t>
  </si>
  <si>
    <t>Medium Grey Heather</t>
  </si>
  <si>
    <t>196469135176</t>
  </si>
  <si>
    <t>B0BHKMBCJJ</t>
  </si>
  <si>
    <t>77202422</t>
  </si>
  <si>
    <t>adidas Men's Essentials Fleece Open Hem 3-Stripes Pants, Black, Medium</t>
  </si>
  <si>
    <t>705</t>
  </si>
  <si>
    <t>196469131307</t>
  </si>
  <si>
    <t>B0BHN4HWFZ</t>
  </si>
  <si>
    <t>79062522</t>
  </si>
  <si>
    <t>adidas Men's Essentials Fleece Open Hem 3-Stripes Pants, Dark Grey Heather, Medium</t>
  </si>
  <si>
    <t>771</t>
  </si>
  <si>
    <t>196469131130</t>
  </si>
  <si>
    <t>B0BHLB9Y78</t>
  </si>
  <si>
    <t>62942362</t>
  </si>
  <si>
    <t>adidas Men's Essentials Fleece Open Hem 3-Stripes Pants, Medium Grey Heather</t>
  </si>
  <si>
    <t>809</t>
  </si>
  <si>
    <t>196469138900</t>
  </si>
  <si>
    <t>B0BHKRGMMD</t>
  </si>
  <si>
    <t>77202423</t>
  </si>
  <si>
    <t>adidas Men's Essentials Fleece Open Hem 3-Stripes Pants, Black, Large</t>
  </si>
  <si>
    <t>247</t>
  </si>
  <si>
    <t>196469135022</t>
  </si>
  <si>
    <t>B0BHN1T4MW</t>
  </si>
  <si>
    <t>79062524</t>
  </si>
  <si>
    <t>adidas Men's Essentials Fleece Open Hem 3-Stripes Pants, Dark Grey Heather, Large</t>
  </si>
  <si>
    <t>631</t>
  </si>
  <si>
    <t>196469127416</t>
  </si>
  <si>
    <t>B0BHL1FR14</t>
  </si>
  <si>
    <t>62942363</t>
  </si>
  <si>
    <t>adidas Men's Essentials Fleece Open Hem 3-Stripes Pants, Medium Grey Heather, Large</t>
  </si>
  <si>
    <t>760</t>
  </si>
  <si>
    <t>196469135121</t>
  </si>
  <si>
    <t>B0BJ5S7V12</t>
  </si>
  <si>
    <t>77202424</t>
  </si>
  <si>
    <t>adidas Men's Essentials Fleece Open Hem 3-Stripes Pants, Black, X-Large</t>
  </si>
  <si>
    <t>196469131178</t>
  </si>
  <si>
    <t>B0BJ5N9R26</t>
  </si>
  <si>
    <t>62942370</t>
  </si>
  <si>
    <t>adidas Men's Essentials Fleece Open Hem 3-Stripes Pants, Medium Grey Heather, X-Large</t>
  </si>
  <si>
    <t>196469131260</t>
  </si>
  <si>
    <t>B0BJ6DNDS3</t>
  </si>
  <si>
    <t>79062525</t>
  </si>
  <si>
    <t>adidas Men's Essentials Fleece Open Hem 3-Stripes Pants, Dark Grey Heather, X-Large</t>
  </si>
  <si>
    <t>329</t>
  </si>
  <si>
    <t>196469135183</t>
  </si>
  <si>
    <t>B0BJ6DHJPK</t>
  </si>
  <si>
    <t>77202429</t>
  </si>
  <si>
    <t>adidas Men's Essentials Fleece Open Hem 3-Stripes Pants, Black, XX-Large</t>
  </si>
  <si>
    <t>165</t>
  </si>
  <si>
    <t>196469127485</t>
  </si>
  <si>
    <t>B0BJ6H1MXH</t>
  </si>
  <si>
    <t>62942371</t>
  </si>
  <si>
    <t>adidas Men's Essentials Fleece Open Hem 3-Stripes Pants, Medium Grey Heather, XX-Large</t>
  </si>
  <si>
    <t>239</t>
  </si>
  <si>
    <t>196469131314</t>
  </si>
  <si>
    <t>B0BJ6MWNTR</t>
  </si>
  <si>
    <t>79062526</t>
  </si>
  <si>
    <t>adidas Men's Essentials Fleece Open Hem 3-Stripes Pants, Dark Grey Heather, XX-Large</t>
  </si>
  <si>
    <t>265</t>
  </si>
  <si>
    <t>196570651398</t>
  </si>
  <si>
    <t>B0BNC33VP3</t>
  </si>
  <si>
    <t>82004518</t>
  </si>
  <si>
    <t>5741192</t>
  </si>
  <si>
    <t>VANS Women's Filmore Hi Tapered Platform St, Canvas Black, 6 US</t>
  </si>
  <si>
    <t>75</t>
  </si>
  <si>
    <t>VN0A5JLGBLK1</t>
  </si>
  <si>
    <t>Canvas Black</t>
  </si>
  <si>
    <t>196570651435</t>
  </si>
  <si>
    <t>B0BNC3BDWB</t>
  </si>
  <si>
    <t>82004519</t>
  </si>
  <si>
    <t>Vans Womens Filmore Hi Tapered High Top Platform Trainers - Black - 5.5 US</t>
  </si>
  <si>
    <t>196570651473</t>
  </si>
  <si>
    <t>B0BJ7FMQFY</t>
  </si>
  <si>
    <t>82004520</t>
  </si>
  <si>
    <t>Vans Women's Sneaker, Canvas Black, 7</t>
  </si>
  <si>
    <t>58</t>
  </si>
  <si>
    <t>196570651718</t>
  </si>
  <si>
    <t>B0BJ7CN439</t>
  </si>
  <si>
    <t>82004521</t>
  </si>
  <si>
    <t>Vans Women's Filmore Hi Tapered Platform ST Trainers Sneaker, Canvas Black, 7.5</t>
  </si>
  <si>
    <t>161</t>
  </si>
  <si>
    <t>196570651756</t>
  </si>
  <si>
    <t>B0BJ82GK58</t>
  </si>
  <si>
    <t>82004522</t>
  </si>
  <si>
    <t>Vans Women's Sneaker, Canvas Black, 8</t>
  </si>
  <si>
    <t>267</t>
  </si>
  <si>
    <t>196570651794</t>
  </si>
  <si>
    <t>B0BJ79K5VM</t>
  </si>
  <si>
    <t>82004528</t>
  </si>
  <si>
    <t>Vans Women's Filmore Hi Tapered Platform ST Trainers Sneaker, Canvas Black, 8.5</t>
  </si>
  <si>
    <t>249</t>
  </si>
  <si>
    <t>196570652036</t>
  </si>
  <si>
    <t>B0BJ7B3ZYC</t>
  </si>
  <si>
    <t>82004529</t>
  </si>
  <si>
    <t>Vans Women's Sneaker, Canvas Black, 9</t>
  </si>
  <si>
    <t>264</t>
  </si>
  <si>
    <t>196570652074</t>
  </si>
  <si>
    <t>B0BJ793MGC</t>
  </si>
  <si>
    <t>82004530</t>
  </si>
  <si>
    <t>Vans Women's Sneaker, Canvas Black, 9.5</t>
  </si>
  <si>
    <t>152</t>
  </si>
  <si>
    <t>196570652302</t>
  </si>
  <si>
    <t>B0BNC33LRT</t>
  </si>
  <si>
    <t>82004531</t>
  </si>
  <si>
    <t>Vans Women's Sneaker, Canvas Black, 10</t>
  </si>
  <si>
    <t>88</t>
  </si>
  <si>
    <t>196884202262</t>
  </si>
  <si>
    <t>B0BGVPF4ZM</t>
  </si>
  <si>
    <t>63445448</t>
  </si>
  <si>
    <t>6102721</t>
  </si>
  <si>
    <t>Under Armour Men's Rival Fleece Joggers, (001) Black / / White, Small</t>
  </si>
  <si>
    <t>1379774</t>
  </si>
  <si>
    <t>(001) Black / / White</t>
  </si>
  <si>
    <t>196884792503</t>
  </si>
  <si>
    <t>B0BGVM458C</t>
  </si>
  <si>
    <t>63445466</t>
  </si>
  <si>
    <t>Under Armour Men's Rival Fleece Joggers, (025) Castlerock Light Heather / / White, Small</t>
  </si>
  <si>
    <t>214</t>
  </si>
  <si>
    <t>(025) Castlerock Light Heather / / White</t>
  </si>
  <si>
    <t>196884792541</t>
  </si>
  <si>
    <t>B0BGVFL6Z4</t>
  </si>
  <si>
    <t>63445467</t>
  </si>
  <si>
    <t>Under Armour Men's Rival Fleece Joggers, (025) Castlerock Light Heather / / White, Medium</t>
  </si>
  <si>
    <t>196884792817</t>
  </si>
  <si>
    <t>B0BGVPZK97</t>
  </si>
  <si>
    <t>63445468</t>
  </si>
  <si>
    <t>Under Armour Men's Rival Fleece Joggers, (025) Castlerock Light Heather / / White, Large</t>
  </si>
  <si>
    <t>236</t>
  </si>
  <si>
    <t>196884792626</t>
  </si>
  <si>
    <t>B0BGW1GQXS</t>
  </si>
  <si>
    <t>63445469</t>
  </si>
  <si>
    <t>Under Armour Men's Rival Fleece Joggers, (025) Castlerock Light Heather / / White, X-Large</t>
  </si>
  <si>
    <t>483</t>
  </si>
  <si>
    <t>196884202286</t>
  </si>
  <si>
    <t>B0BGW2H7KM</t>
  </si>
  <si>
    <t>63445455</t>
  </si>
  <si>
    <t>Under Armour Men's Rival Fleece Joggers, (001) Black / / White, X-Large</t>
  </si>
  <si>
    <t>337</t>
  </si>
  <si>
    <t>196884202316</t>
  </si>
  <si>
    <t>B0BGW2DCJV</t>
  </si>
  <si>
    <t>63445456</t>
  </si>
  <si>
    <t>Under Armour Men's Rival Fleece Joggers, (001) Black / / White, XX-Large</t>
  </si>
  <si>
    <t>196884792602</t>
  </si>
  <si>
    <t>B0BGVZVPNC</t>
  </si>
  <si>
    <t>63445474</t>
  </si>
  <si>
    <t>Under Armour Men's Rival Fleece Joggers, (025) Castlerock Light Heather / / White, XX-Large</t>
  </si>
  <si>
    <t>241</t>
  </si>
  <si>
    <t>090563296101</t>
  </si>
  <si>
    <t>B01IE1OJQM</t>
  </si>
  <si>
    <t>46361250</t>
  </si>
  <si>
    <t>3614295</t>
  </si>
  <si>
    <t>Champion Men's Sweatpants, Powerblend, Fleece, Open-Bottom Sweatpants (Reg. or Big &amp; Tall)</t>
  </si>
  <si>
    <t>1874</t>
  </si>
  <si>
    <t>P0893</t>
  </si>
  <si>
    <t>Granite Heather C Patch Logo</t>
  </si>
  <si>
    <t>090563296057</t>
  </si>
  <si>
    <t>B01IE1ODP4</t>
  </si>
  <si>
    <t>46361239</t>
  </si>
  <si>
    <t>1603</t>
  </si>
  <si>
    <t>Black C Patch Logo</t>
  </si>
  <si>
    <t>090563296064</t>
  </si>
  <si>
    <t>B01IE1OFE8</t>
  </si>
  <si>
    <t>46361240</t>
  </si>
  <si>
    <t>1586</t>
  </si>
  <si>
    <t>090563296118</t>
  </si>
  <si>
    <t>B01IE1OLXS</t>
  </si>
  <si>
    <t>46361251</t>
  </si>
  <si>
    <t>Champion Mens Sweatpants, Powerblend, Fleece, Open-bottom (Reg. Or Big &amp; Tall) Athletic-sweatpants, Granite Heather C Patch Logo, Medium US</t>
  </si>
  <si>
    <t>1934</t>
  </si>
  <si>
    <t>090563296125</t>
  </si>
  <si>
    <t>B01IE1OMX2</t>
  </si>
  <si>
    <t>46361252</t>
  </si>
  <si>
    <t>Champion Mens Sweatpants, Powerblend, Fleece Open-bottom For (Reg. Or Big &amp; Tall) Athletic-sweatpants, Granite Heather C Patch Logo, Large US</t>
  </si>
  <si>
    <t>943</t>
  </si>
  <si>
    <t>090563296088</t>
  </si>
  <si>
    <t>B01IE1OH4Q</t>
  </si>
  <si>
    <t>46361242</t>
  </si>
  <si>
    <t>219</t>
  </si>
  <si>
    <t>090563296132</t>
  </si>
  <si>
    <t>B01IE1ONRW</t>
  </si>
  <si>
    <t>46361253</t>
  </si>
  <si>
    <t>1189</t>
  </si>
  <si>
    <t>090563296095</t>
  </si>
  <si>
    <t>B01IE1OI2M</t>
  </si>
  <si>
    <t>46361243</t>
  </si>
  <si>
    <t>494</t>
  </si>
  <si>
    <t>090563296149</t>
  </si>
  <si>
    <t>B01IE1OOWQ</t>
  </si>
  <si>
    <t>46361255</t>
  </si>
  <si>
    <t>935</t>
  </si>
  <si>
    <t>196884158279</t>
  </si>
  <si>
    <t>B0BGV9NR52</t>
  </si>
  <si>
    <t>79034051</t>
  </si>
  <si>
    <t>6102614</t>
  </si>
  <si>
    <t>Under Armour Men's Rival Fleece Hoodie, (410) Midnight Navy / / White, X-Large</t>
  </si>
  <si>
    <t>1379757</t>
  </si>
  <si>
    <t>(410) Midnight Navy / / White</t>
  </si>
  <si>
    <t>826422972585</t>
  </si>
  <si>
    <t>B00B9DAOU8</t>
  </si>
  <si>
    <t>30527196</t>
  </si>
  <si>
    <t>5675305</t>
  </si>
  <si>
    <t>A. Byer Belted Lace Duet Dress IVORY/BLACK Small Juniors</t>
  </si>
  <si>
    <t>100</t>
  </si>
  <si>
    <t>826422972592</t>
  </si>
  <si>
    <t>B00B9DAPFC</t>
  </si>
  <si>
    <t>30527202</t>
  </si>
  <si>
    <t>A. Byer Belted Lace Duet Dress IVORY/BLACK Medium Juniors</t>
  </si>
  <si>
    <t>398</t>
  </si>
  <si>
    <t>826422972608</t>
  </si>
  <si>
    <t>B00B9DAQ56</t>
  </si>
  <si>
    <t>30527203</t>
  </si>
  <si>
    <t>A. Byer Belted Lace Duet Dress IVORY/BLACK Large Juniors</t>
  </si>
  <si>
    <t>713</t>
  </si>
  <si>
    <t>888254107528</t>
  </si>
  <si>
    <t>B0883NZC1Z</t>
  </si>
  <si>
    <t>71946777</t>
  </si>
  <si>
    <t>4517777</t>
  </si>
  <si>
    <t>adidas Men's Stretch Cotton Boxer Brief Underwear (3-Pack), Black/Light Onix Grey, XX-Large Big Tall</t>
  </si>
  <si>
    <t>154</t>
  </si>
  <si>
    <t>979395</t>
  </si>
  <si>
    <t>Black/Light Onix Grey</t>
  </si>
  <si>
    <t>888254107023</t>
  </si>
  <si>
    <t>B0883N2PCV</t>
  </si>
  <si>
    <t>34051297</t>
  </si>
  <si>
    <t>adidas Men's Stretch Cotton Boxer Brief Underwear (3-Pack), Bold Blue/Onix Grey/Black, XX-Large Big Tall</t>
  </si>
  <si>
    <t>323</t>
  </si>
  <si>
    <t>Bold Blue/Onix Grey/Black</t>
  </si>
  <si>
    <t>888254107030</t>
  </si>
  <si>
    <t>B0883MVXSD</t>
  </si>
  <si>
    <t>82117681</t>
  </si>
  <si>
    <t>adidas Men's Stretch Cotton Boxer Brief Underwear (3-Pack), Bold Blue/Onix Grey/Black, 3X-Large Big Tall</t>
  </si>
  <si>
    <t>888254107535</t>
  </si>
  <si>
    <t>B0883Q56M4</t>
  </si>
  <si>
    <t>18950388</t>
  </si>
  <si>
    <t>adidas Men's Stretch Cotton Boxer Brief Underwear (3-Pack), Black/Light Onix Grey, 3X-Large Big Tall</t>
  </si>
  <si>
    <t>888254107047</t>
  </si>
  <si>
    <t>B0883M36BF</t>
  </si>
  <si>
    <t>34051314</t>
  </si>
  <si>
    <t>adidas Men's Stretch Cotton Boxer Brief Underwear (3-Pack), Bold Blue/Onix Grey/Black, 4X-Large Big Tall</t>
  </si>
  <si>
    <t>888254107542</t>
  </si>
  <si>
    <t>B0883NYCBT</t>
  </si>
  <si>
    <t>64129110</t>
  </si>
  <si>
    <t>adidas Men's Stretch Cotton Boxer Brief Underwear (3-Pack), Black/Light Onix Grey, 4X-Large Big Tall</t>
  </si>
  <si>
    <t>196565706928</t>
  </si>
  <si>
    <t>B0CMDWVW53</t>
  </si>
  <si>
    <t>71766573</t>
  </si>
  <si>
    <t>7081180</t>
  </si>
  <si>
    <t>Koolaburra by UGG174 Nalie Short Womens Boot 7 BM US Wild Dove</t>
  </si>
  <si>
    <t>328</t>
  </si>
  <si>
    <t>Wild Dove</t>
  </si>
  <si>
    <t>196565706874</t>
  </si>
  <si>
    <t>B0CMFF2MNK</t>
  </si>
  <si>
    <t>71766576</t>
  </si>
  <si>
    <t>Koolaburra by UGG174 Nalie Short Womens Boot 10 BM US Wild Dove</t>
  </si>
  <si>
    <t>196</t>
  </si>
  <si>
    <t>194829442995</t>
  </si>
  <si>
    <t>B0D1639NL6</t>
  </si>
  <si>
    <t>46587500</t>
  </si>
  <si>
    <t>4912732</t>
  </si>
  <si>
    <t>Adidas Recycled Content Tapered Golf Pants</t>
  </si>
  <si>
    <t>Grey Three</t>
  </si>
  <si>
    <t>194829442926</t>
  </si>
  <si>
    <t>B0D163PF8B</t>
  </si>
  <si>
    <t>46587502</t>
  </si>
  <si>
    <t>195251347810</t>
  </si>
  <si>
    <t>B0942PKD85</t>
  </si>
  <si>
    <t>46568052</t>
  </si>
  <si>
    <t>4889675</t>
  </si>
  <si>
    <t>Under Armour Men's Brawler Pants, Black (001)/White, X-Large Tall</t>
  </si>
  <si>
    <t>1366213</t>
  </si>
  <si>
    <t>Black (001)/White</t>
  </si>
  <si>
    <t>195251343508</t>
  </si>
  <si>
    <t>B09437J3HB</t>
  </si>
  <si>
    <t>46568066</t>
  </si>
  <si>
    <t>Under Armour Men's Brawler Pants, Pitch Gray (012)/White, X-Large Tall</t>
  </si>
  <si>
    <t>57</t>
  </si>
  <si>
    <t>Pitch Gray (012)/White</t>
  </si>
  <si>
    <t>195251343539</t>
  </si>
  <si>
    <t>B09439QC7P</t>
  </si>
  <si>
    <t>46568067</t>
  </si>
  <si>
    <t>Under Armour Men's Brawler Pants, Pitch Gray (012)/White, XX-Large Tall</t>
  </si>
  <si>
    <t>195251347186</t>
  </si>
  <si>
    <t>B08LNZWSJV</t>
  </si>
  <si>
    <t>46568056</t>
  </si>
  <si>
    <t>Under Armour Men's Brawler Pants, Black (001)/White, 3X-Large</t>
  </si>
  <si>
    <t>195251343140</t>
  </si>
  <si>
    <t>B08LNXM9Q6</t>
  </si>
  <si>
    <t>46568069</t>
  </si>
  <si>
    <t>Under Armour Men's Brawler Pants, Pitch Gray (012)/White, 3X-Large</t>
  </si>
  <si>
    <t>91</t>
  </si>
  <si>
    <t>195251343300</t>
  </si>
  <si>
    <t>B094383NFV</t>
  </si>
  <si>
    <t>46568070</t>
  </si>
  <si>
    <t>Under Armour Men's Brawler Pants, Pitch Gray (012)/White, 4X-Large</t>
  </si>
  <si>
    <t>195251347537</t>
  </si>
  <si>
    <t>B0942QYF1Q</t>
  </si>
  <si>
    <t>46568057</t>
  </si>
  <si>
    <t>Under Armour Men's Brawler Pants, Black (001)/White, 4X-Large</t>
  </si>
  <si>
    <t>098713857080</t>
  </si>
  <si>
    <t>B07D1MZ51W</t>
  </si>
  <si>
    <t>73143102</t>
  </si>
  <si>
    <t>7081311</t>
  </si>
  <si>
    <t>WallFlower Women's Luscious Curvy Bootcut Mid-Rise Insta Stretch Juniors Jeans (Standard and Plus), Twinkle, 0</t>
  </si>
  <si>
    <t>WFCURBOOT</t>
  </si>
  <si>
    <t>Twinkle</t>
  </si>
  <si>
    <t>098713813918</t>
  </si>
  <si>
    <t>B07D1MJWKL</t>
  </si>
  <si>
    <t>28149182</t>
  </si>
  <si>
    <t>WallFlower Women's Luscious Curvy Bootcut Mid-Rise Insta Stretch Juniors Jeans (Standard and Plus), Jenny, 0</t>
  </si>
  <si>
    <t>110</t>
  </si>
  <si>
    <t>Jenny</t>
  </si>
  <si>
    <t>098713857196</t>
  </si>
  <si>
    <t>B07D1MFF8B</t>
  </si>
  <si>
    <t>54174601</t>
  </si>
  <si>
    <t>WallFlower Women's Luscious Curvy Bootcut Mid-Rise Insta Stretch Juniors Jeans (Standard and Plus), Andrea, 0</t>
  </si>
  <si>
    <t>Andrea</t>
  </si>
  <si>
    <t>193769483686</t>
  </si>
  <si>
    <t>B09B6962FZ</t>
  </si>
  <si>
    <t>69700395</t>
  </si>
  <si>
    <t>WallFlower Women's Luscious Curvy Bootcut Mid-Rise Insta Stretch Juniors Jeans (Standard and Plus), Cypress, 0</t>
  </si>
  <si>
    <t>Cypress</t>
  </si>
  <si>
    <t>098713856984</t>
  </si>
  <si>
    <t>B07D1PFKWY</t>
  </si>
  <si>
    <t>73143092</t>
  </si>
  <si>
    <t>WallFlower Women's Luscious Curvy Bootcut Mid-Rise Insta Stretch Juniors Jeans (Standard and Plus), Basil, 0</t>
  </si>
  <si>
    <t>65</t>
  </si>
  <si>
    <t>Basil</t>
  </si>
  <si>
    <t>193769685400</t>
  </si>
  <si>
    <t>B09P8JNWGG</t>
  </si>
  <si>
    <t>18840119</t>
  </si>
  <si>
    <t>WallFlower Women's Luscious Curvy Bootcut Mid-Rise Insta Stretch Juniors Jeans (Standard and Plus), Betsy, 0</t>
  </si>
  <si>
    <t>107</t>
  </si>
  <si>
    <t>Betsy</t>
  </si>
  <si>
    <t>098713857301</t>
  </si>
  <si>
    <t>B07D1N42JT</t>
  </si>
  <si>
    <t>54174614</t>
  </si>
  <si>
    <t>WallFlower Women's Luscious Curvy Bootcut Mid-Rise Insta Stretch Juniors Jeans (Standard and Plus), BlackBerry, 0</t>
  </si>
  <si>
    <t>Blackberry</t>
  </si>
  <si>
    <t>193769327850</t>
  </si>
  <si>
    <t>B08DJ8S7J2</t>
  </si>
  <si>
    <t>45976790</t>
  </si>
  <si>
    <t>WallFlower Women's Luscious Curvy Bootcut Mid-Rise Insta Stretch Juniors Jeans (Standard and Plus), Galaxy, 0</t>
  </si>
  <si>
    <t>Galaxy</t>
  </si>
  <si>
    <t>098713932046</t>
  </si>
  <si>
    <t>B07GXTC42P</t>
  </si>
  <si>
    <t>81145356</t>
  </si>
  <si>
    <t>WallFlower Women's Luscious Curvy Bootcut Mid-Rise Insta Stretch Juniors Jeans (Standard and Plus), Magic, 0</t>
  </si>
  <si>
    <t>Magic</t>
  </si>
  <si>
    <t>098713813925</t>
  </si>
  <si>
    <t>B07D1NSRM9</t>
  </si>
  <si>
    <t>28149183</t>
  </si>
  <si>
    <t>WallFlower Women's Luscious Curvy Bootcut Mid-Rise Insta Stretch Juniors Jeans (Standard and Plus), Jenny, 1</t>
  </si>
  <si>
    <t>66</t>
  </si>
  <si>
    <t>098713857202</t>
  </si>
  <si>
    <t>B07D1PZ2RN</t>
  </si>
  <si>
    <t>54174602</t>
  </si>
  <si>
    <t>WallFlower Women's Luscious Curvy Bootcut Mid-Rise Insta Stretch Juniors Jeans (Standard and Plus), Andrea, 1</t>
  </si>
  <si>
    <t>193769685417</t>
  </si>
  <si>
    <t>B09P8HC36T</t>
  </si>
  <si>
    <t>18840120</t>
  </si>
  <si>
    <t>WallFlower Women's Luscious Curvy Bootcut Mid-Rise Insta Stretch Juniors Jeans (Standard and Plus), Betsy, 1</t>
  </si>
  <si>
    <t>098713856991</t>
  </si>
  <si>
    <t>B07D1PZ2SJ</t>
  </si>
  <si>
    <t>73143093</t>
  </si>
  <si>
    <t>WallFlower Women's Luscious Curvy Bootcut Mid-Rise Insta Stretch Juniors Jeans (Standard and Plus), Basil, 1</t>
  </si>
  <si>
    <t>098713857097</t>
  </si>
  <si>
    <t>B07D1P23FR</t>
  </si>
  <si>
    <t>73143103</t>
  </si>
  <si>
    <t>WallFlower Women's Luscious Curvy Bootcut Mid-Rise Insta Stretch Juniors Jeans (Standard and Plus), Twinkle, 1</t>
  </si>
  <si>
    <t>098713857318</t>
  </si>
  <si>
    <t>B07D1NZ6MX</t>
  </si>
  <si>
    <t>54174618</t>
  </si>
  <si>
    <t>WallFlower Women's Luscious Curvy Bootcut Mid-Rise Insta Stretch Juniors Jeans (Standard and Plus), BlackBerry, 1</t>
  </si>
  <si>
    <t>193769483693</t>
  </si>
  <si>
    <t>B09B69GXKY</t>
  </si>
  <si>
    <t>69700403</t>
  </si>
  <si>
    <t>WallFlower Women's Luscious Curvy Bootcut Mid-Rise Insta Stretch Juniors Jeans (Standard and Plus), Cypress, 1</t>
  </si>
  <si>
    <t>098713932053</t>
  </si>
  <si>
    <t>B07GY437HM</t>
  </si>
  <si>
    <t>81145358</t>
  </si>
  <si>
    <t>WallFlower Women's Luscious Curvy Bootcut Mid-Rise Insta Stretch Juniors Jeans (Standard and Plus), Magic, 1</t>
  </si>
  <si>
    <t>196884781484</t>
  </si>
  <si>
    <t>B0BGW28C53</t>
  </si>
  <si>
    <t>58732101</t>
  </si>
  <si>
    <t>6131093</t>
  </si>
  <si>
    <t>Under Armour Men's Rival Fleece Cargo Jogger, (001) Black / / White, Small</t>
  </si>
  <si>
    <t>1382134</t>
  </si>
  <si>
    <t>196884776718</t>
  </si>
  <si>
    <t>B0BGW186GQ</t>
  </si>
  <si>
    <t>58732111</t>
  </si>
  <si>
    <t>Under Armour Men's Rival Fleece Cargo Jogger, (390) Marine OD Green / / White, Small</t>
  </si>
  <si>
    <t>128</t>
  </si>
  <si>
    <t>(390) Marine Od Green / / White</t>
  </si>
  <si>
    <t>196884767150</t>
  </si>
  <si>
    <t>B0BGV2YNDF</t>
  </si>
  <si>
    <t>58732106</t>
  </si>
  <si>
    <t>Under Armour Men's Rival Fleece Cargo Jogger, (026) Castlerock Light Heather / / White, Small</t>
  </si>
  <si>
    <t>(026) Castlerock Light Heather / / White</t>
  </si>
  <si>
    <t>196884776572</t>
  </si>
  <si>
    <t>B0BGW17S3R</t>
  </si>
  <si>
    <t>58732112</t>
  </si>
  <si>
    <t>Under Armour Men's Rival Fleece Cargo Jogger, (390) Marine OD Green / / White, Medium</t>
  </si>
  <si>
    <t>104</t>
  </si>
  <si>
    <t>196884767174</t>
  </si>
  <si>
    <t>B0BGV7NFFY</t>
  </si>
  <si>
    <t>58732107</t>
  </si>
  <si>
    <t>Under Armour Men's Rival Fleece Cargo Jogger, (026) Castlerock Light Heather / / White, Medium</t>
  </si>
  <si>
    <t>196884776534</t>
  </si>
  <si>
    <t>B0BGVN7R5D</t>
  </si>
  <si>
    <t>58732113</t>
  </si>
  <si>
    <t>Under Armour Men's Rival Fleece Cargo Jogger, (390) Marine OD Green / / White, Large</t>
  </si>
  <si>
    <t>196884767389</t>
  </si>
  <si>
    <t>B0BGVZSNVX</t>
  </si>
  <si>
    <t>58732108</t>
  </si>
  <si>
    <t>Under Armour Men's Rival Fleece Cargo Jogger, (026) Castlerock Light Heather / / White, Large</t>
  </si>
  <si>
    <t>196884767310</t>
  </si>
  <si>
    <t>B0BGVVLQ29</t>
  </si>
  <si>
    <t>58732109</t>
  </si>
  <si>
    <t>Under Armour Men's Rival Fleece Cargo Jogger, (026) Castlerock Light Heather / / White, X-Large</t>
  </si>
  <si>
    <t>196884767303</t>
  </si>
  <si>
    <t>B0BGVRZVZW</t>
  </si>
  <si>
    <t>58732110</t>
  </si>
  <si>
    <t>Under Armour Men's Rival Fleece Cargo Jogger, (026) Castlerock Light Heather / / White, XX-Large</t>
  </si>
  <si>
    <t>191985758243</t>
  </si>
  <si>
    <t>B08FVP7JS6</t>
  </si>
  <si>
    <t>77408854</t>
  </si>
  <si>
    <t>7083931</t>
  </si>
  <si>
    <t>adidas Men's Performance Primegreen Polo Shirt, Grey Heather, Small</t>
  </si>
  <si>
    <t>TM1377S21H</t>
  </si>
  <si>
    <t>195738333442</t>
  </si>
  <si>
    <t>B0CBQRX4LG</t>
  </si>
  <si>
    <t>73171111</t>
  </si>
  <si>
    <t>adidas Performance Golf Mens Polo S, Collegiate Burgundy Melange</t>
  </si>
  <si>
    <t>GQ3113</t>
  </si>
  <si>
    <t>191985716717</t>
  </si>
  <si>
    <t>B08FV9FKQN</t>
  </si>
  <si>
    <t>18896060</t>
  </si>
  <si>
    <t>adidas Men's Performance Primegreen Polo Shirt, Noble Indigo, Small</t>
  </si>
  <si>
    <t>Noble Indigo Heather</t>
  </si>
  <si>
    <t>191985758328</t>
  </si>
  <si>
    <t>B08FVH7MXV</t>
  </si>
  <si>
    <t>77408856</t>
  </si>
  <si>
    <t>adidas Men's Performance Primegreen Polo Shirt, Grey Heather, Large</t>
  </si>
  <si>
    <t>191985758311</t>
  </si>
  <si>
    <t>B08FVNSH9S</t>
  </si>
  <si>
    <t>77408857</t>
  </si>
  <si>
    <t>adidas Men's Performance Primegreen Polo Shirt, Grey Heather, X-Large</t>
  </si>
  <si>
    <t>191985758236</t>
  </si>
  <si>
    <t>B08FV48HS6</t>
  </si>
  <si>
    <t>77408858</t>
  </si>
  <si>
    <t>adidas Men's Performance Primegreen Polo Shirt, Grey Heather, 2X-Large</t>
  </si>
  <si>
    <t>108</t>
  </si>
  <si>
    <t>195253814228</t>
  </si>
  <si>
    <t>B09JNGRTHN</t>
  </si>
  <si>
    <t>38790675</t>
  </si>
  <si>
    <t>7090262</t>
  </si>
  <si>
    <t>Under Armour Men's Tech 2.0 Short-Sleeve T-Shirt, (390) Marine OD Green / / Black, Small</t>
  </si>
  <si>
    <t>567</t>
  </si>
  <si>
    <t>1326413</t>
  </si>
  <si>
    <t>(390) Marine Od Green / / Black</t>
  </si>
  <si>
    <t>195979101053</t>
  </si>
  <si>
    <t>B0BKQN544Q</t>
  </si>
  <si>
    <t>62949696</t>
  </si>
  <si>
    <t>6111106</t>
  </si>
  <si>
    <t>Columbia Men's Leif Trail Parka, Stone Green, Small</t>
  </si>
  <si>
    <t>2051041</t>
  </si>
  <si>
    <t>Stone Green</t>
  </si>
  <si>
    <t>195979100971</t>
  </si>
  <si>
    <t>B0BKQWYH4T</t>
  </si>
  <si>
    <t>62949705</t>
  </si>
  <si>
    <t>Columbia Men's Leif Trail Parka, Collegiate Navy, Small</t>
  </si>
  <si>
    <t>195979100865</t>
  </si>
  <si>
    <t>B0BKQWNN6D</t>
  </si>
  <si>
    <t>62949714</t>
  </si>
  <si>
    <t>Columbia Men's Leif Trail Parka, Delta, Small</t>
  </si>
  <si>
    <t>195979101008</t>
  </si>
  <si>
    <t>B0BKQQTPSM</t>
  </si>
  <si>
    <t>62949719</t>
  </si>
  <si>
    <t>Columbia Men's Leif Trail Parka, Black, Small</t>
  </si>
  <si>
    <t>195979101091</t>
  </si>
  <si>
    <t>B0BKQVDRSK</t>
  </si>
  <si>
    <t>62949697</t>
  </si>
  <si>
    <t>Columbia Men's Leif Trail Parka, Stone Green, Medium</t>
  </si>
  <si>
    <t>195979100964</t>
  </si>
  <si>
    <t>B0BKQWW2QY</t>
  </si>
  <si>
    <t>62949706</t>
  </si>
  <si>
    <t>Columbia Men's Leif Trail Parka, Collegiate Navy, Medium</t>
  </si>
  <si>
    <t>195979100841</t>
  </si>
  <si>
    <t>B0BKQX3LV1</t>
  </si>
  <si>
    <t>62949715</t>
  </si>
  <si>
    <t>Columbia Men's Leif Trail Parka, Delta, Medium</t>
  </si>
  <si>
    <t>145</t>
  </si>
  <si>
    <t>195979101084</t>
  </si>
  <si>
    <t>B0BKQX5C8L</t>
  </si>
  <si>
    <t>62949698</t>
  </si>
  <si>
    <t>Columbia Men's Leif Trail Parka, Stone Green, Large</t>
  </si>
  <si>
    <t>139</t>
  </si>
  <si>
    <t>195979100889</t>
  </si>
  <si>
    <t>B0BKQY887Z</t>
  </si>
  <si>
    <t>62949716</t>
  </si>
  <si>
    <t>Columbia Men's Leif Trail Parka, Delta, Large</t>
  </si>
  <si>
    <t>213</t>
  </si>
  <si>
    <t>195979100957</t>
  </si>
  <si>
    <t>B0BKQWSR56</t>
  </si>
  <si>
    <t>62949707</t>
  </si>
  <si>
    <t>Columbia Men's Leif Trail Parka, Collegiate Navy, Large</t>
  </si>
  <si>
    <t>53</t>
  </si>
  <si>
    <t>195979101060</t>
  </si>
  <si>
    <t>B0BKQXQFFR</t>
  </si>
  <si>
    <t>62949699</t>
  </si>
  <si>
    <t>Columbia Men's Leif Trail Parka, Stone Green, X-Large</t>
  </si>
  <si>
    <t>195979100872</t>
  </si>
  <si>
    <t>B0BKQYJFCG</t>
  </si>
  <si>
    <t>62949717</t>
  </si>
  <si>
    <t>Columbia Men's Leif Trail Parka, Delta, X-Large</t>
  </si>
  <si>
    <t>149</t>
  </si>
  <si>
    <t>195979101015</t>
  </si>
  <si>
    <t>B0BKQZVGTK</t>
  </si>
  <si>
    <t>62949726</t>
  </si>
  <si>
    <t>Columbia Men's Leif Trail Parka, Black, X-Large</t>
  </si>
  <si>
    <t>195979100988</t>
  </si>
  <si>
    <t>B0BKQX27KS</t>
  </si>
  <si>
    <t>62949708</t>
  </si>
  <si>
    <t>Columbia Men's Leif Trail Parka, Collegiate Navy, X-Large</t>
  </si>
  <si>
    <t>195979101046</t>
  </si>
  <si>
    <t>B0BKQYTP23</t>
  </si>
  <si>
    <t>62949727</t>
  </si>
  <si>
    <t>Columbia Men's Leif Trail Parka, Black, XX-Large</t>
  </si>
  <si>
    <t>195979101077</t>
  </si>
  <si>
    <t>B0BKR1RPZV</t>
  </si>
  <si>
    <t>62949704</t>
  </si>
  <si>
    <t>Columbia Men's Leif Trail Parka, Stone Green, XX-Large</t>
  </si>
  <si>
    <t>195979100995</t>
  </si>
  <si>
    <t>B0BKR1N428</t>
  </si>
  <si>
    <t>62949709</t>
  </si>
  <si>
    <t>Columbia Men's Leif Trail Parka, Collegiate Navy, XX-Large</t>
  </si>
  <si>
    <t>195979100858</t>
  </si>
  <si>
    <t>B0BKR1D2GG</t>
  </si>
  <si>
    <t>62949718</t>
  </si>
  <si>
    <t>Columbia Men's Leif Trail Parka, Delta, XX-Large</t>
  </si>
  <si>
    <t>196884797881</t>
  </si>
  <si>
    <t>B0BGVPC8CQ</t>
  </si>
  <si>
    <t>76910547</t>
  </si>
  <si>
    <t>4265981</t>
  </si>
  <si>
    <t>Under Armour Men's Rival Fleece Pants, (025) Castlerock Light Heather / / White, Small</t>
  </si>
  <si>
    <t>1067</t>
  </si>
  <si>
    <t>1379770</t>
  </si>
  <si>
    <t>196884198268</t>
  </si>
  <si>
    <t>B0BGV8QBQS</t>
  </si>
  <si>
    <t>76910541</t>
  </si>
  <si>
    <t>Under Armour Men's Rival Fleece Pants, (001) Black / / White, Small</t>
  </si>
  <si>
    <t>196884198244</t>
  </si>
  <si>
    <t>B0BGVWHV1J</t>
  </si>
  <si>
    <t>76910542</t>
  </si>
  <si>
    <t>Under Armour Men's Rival Fleece Pants, (001) Black / / White, Medium</t>
  </si>
  <si>
    <t>1099</t>
  </si>
  <si>
    <t>196884797904</t>
  </si>
  <si>
    <t>B0BGW69NBD</t>
  </si>
  <si>
    <t>76910549</t>
  </si>
  <si>
    <t>Under Armour Men's Rival Fleece Pants, (025) Castlerock Light Heather / / White, Medium</t>
  </si>
  <si>
    <t>1468</t>
  </si>
  <si>
    <t>196884798512</t>
  </si>
  <si>
    <t>B0BGW65CQP</t>
  </si>
  <si>
    <t>76910550</t>
  </si>
  <si>
    <t>Under Armour Men's Rival Fleece Pants, (025) Castlerock Light Heather / / White, Large</t>
  </si>
  <si>
    <t>710</t>
  </si>
  <si>
    <t>196884797942</t>
  </si>
  <si>
    <t>B0BGVLXCWM</t>
  </si>
  <si>
    <t>76910551</t>
  </si>
  <si>
    <t>Under Armour Men's Rival Fleece Pants, (025) Castlerock Light Heather / / White, X-Large</t>
  </si>
  <si>
    <t>234</t>
  </si>
  <si>
    <t>196884797935</t>
  </si>
  <si>
    <t>B0BGVZYZD3</t>
  </si>
  <si>
    <t>76910552</t>
  </si>
  <si>
    <t>Under Armour Men's Rival Fleece Pants, (025) Castlerock Light Heather / / White, XX-Large</t>
  </si>
  <si>
    <t>142</t>
  </si>
  <si>
    <t>194916059389</t>
  </si>
  <si>
    <t>B08FF3N7TG</t>
  </si>
  <si>
    <t>76190316</t>
  </si>
  <si>
    <t>4227399</t>
  </si>
  <si>
    <t>Van Heusen Men's Dress Shirt Slim Fit Stain Shield Stretch, Black, 15"-15.5" Neck 34"-35" Sleeve</t>
  </si>
  <si>
    <t>20FZ151-001</t>
  </si>
  <si>
    <t>016722991861</t>
  </si>
  <si>
    <t>B08G9Z79V4</t>
  </si>
  <si>
    <t>58151590</t>
  </si>
  <si>
    <t>Van Heusen Men's Dress Shirt Slim Fit Stain Shield Stretch, Dark Mercury, 15"-15.5" Neck 34"-35" Sleeve</t>
  </si>
  <si>
    <t>20FZ152-060</t>
  </si>
  <si>
    <t>Dark Mercury</t>
  </si>
  <si>
    <t>194916059341</t>
  </si>
  <si>
    <t>B08FF5Q2JF</t>
  </si>
  <si>
    <t>76190317</t>
  </si>
  <si>
    <t>Van Heusen Men's Dress Shirt Slim Fit Stain Shield Stretch, Black, 16"-16.5" Neck 32"-33" Sleeve</t>
  </si>
  <si>
    <t>194916059396</t>
  </si>
  <si>
    <t>B08FF35MMQ</t>
  </si>
  <si>
    <t>76190318</t>
  </si>
  <si>
    <t>Van Heusen Men's Dress Shirt Slim Fit Stain Shield Stretch, Black, 16"-16.5" Neck 34"-35" Sleeve</t>
  </si>
  <si>
    <t>194916059402</t>
  </si>
  <si>
    <t>B08FF2SXQD</t>
  </si>
  <si>
    <t>76190325</t>
  </si>
  <si>
    <t>Van Heusen Men's Dress Shirt Slim Fit Stain Shield Stretch, Black, 17"-17.5" Neck 34"-35" Sleeve</t>
  </si>
  <si>
    <t>150</t>
  </si>
  <si>
    <t>194916059433</t>
  </si>
  <si>
    <t>B08FF3DKBT</t>
  </si>
  <si>
    <t>76190324</t>
  </si>
  <si>
    <t>Van Heusen Men's Dress Shirt Slim Fit Stain Shield Stretch, Black, 16"-16.5" Neck 36"-37" Sleeve</t>
  </si>
  <si>
    <t>195744566407</t>
  </si>
  <si>
    <t>B09XWSRQJT</t>
  </si>
  <si>
    <t>74842774</t>
  </si>
  <si>
    <t>5799478</t>
  </si>
  <si>
    <t>adidas Kids' Tiro23 League Pants, Team Onix, X-Large</t>
  </si>
  <si>
    <t>EVR70</t>
  </si>
  <si>
    <t>Team Onix</t>
  </si>
  <si>
    <t>195746866468</t>
  </si>
  <si>
    <t>B09KMRYMSK</t>
  </si>
  <si>
    <t>54082535</t>
  </si>
  <si>
    <t>7090352</t>
  </si>
  <si>
    <t>adidas Men's Essentials Fleece Regular Tapered Cargo Pants, Medium Grey Heather/Black, Small</t>
  </si>
  <si>
    <t>216</t>
  </si>
  <si>
    <t>SU165</t>
  </si>
  <si>
    <t>Medium Grey Heather/Black</t>
  </si>
  <si>
    <t>195746866529</t>
  </si>
  <si>
    <t>B09KMSK77F</t>
  </si>
  <si>
    <t>54082536</t>
  </si>
  <si>
    <t>adidas Men's Essentials Fleece Regular Tapered Cargo Pants, Medium Grey Heather/Black</t>
  </si>
  <si>
    <t>102</t>
  </si>
  <si>
    <t>195746862781</t>
  </si>
  <si>
    <t>B09KMSL9F7</t>
  </si>
  <si>
    <t>54082538</t>
  </si>
  <si>
    <t>adidas Men's Essentials Fleece Regular Tapered Cargo Pants, Medium Grey Heather/Black, Large</t>
  </si>
  <si>
    <t>189</t>
  </si>
  <si>
    <t>195746866550</t>
  </si>
  <si>
    <t>B09KMRVW3M</t>
  </si>
  <si>
    <t>54082539</t>
  </si>
  <si>
    <t>adidas Men's Essentials Fleece Regular Tapered Cargo Pants, Medium Grey Heather/Black, X-Large</t>
  </si>
  <si>
    <t>127</t>
  </si>
  <si>
    <t>195746862750</t>
  </si>
  <si>
    <t>B09KMSC2SF</t>
  </si>
  <si>
    <t>54082540</t>
  </si>
  <si>
    <t>adidas Men's Essentials Fleece Regular Tapered Cargo Pants, Medium Grey Heather/Black, XX-Large</t>
  </si>
  <si>
    <t>887961975871</t>
  </si>
  <si>
    <t>B08V7JFFC8</t>
  </si>
  <si>
    <t>71108014</t>
  </si>
  <si>
    <t>5120743</t>
  </si>
  <si>
    <t>Fisher-Price B.B. Hoopster, Motorized Electronic Basketball Toy with Lights, Sounds and Game Play for Preschool Kids Ages 3 Years and Older</t>
  </si>
  <si>
    <t>GYM22</t>
  </si>
  <si>
    <t>028266900537</t>
  </si>
  <si>
    <t>B002HC345M</t>
  </si>
  <si>
    <t>76789944</t>
  </si>
  <si>
    <t>7082737</t>
  </si>
  <si>
    <t>Truck-Lite Light-80 Series Hook-Up Boc, Bos 80423C</t>
  </si>
  <si>
    <t>028266900681</t>
  </si>
  <si>
    <t>B002HC396G</t>
  </si>
  <si>
    <t>37922583</t>
  </si>
  <si>
    <t>Truck-Lite 97944 NYK-77 Compound (2 Oz. Tube, Corrosion Preventive Compound For Electrical Contacts, Switches, And Junction Boxes)</t>
  </si>
  <si>
    <t>97944</t>
  </si>
  <si>
    <t>028266900582</t>
  </si>
  <si>
    <t>B001OQZBYY</t>
  </si>
  <si>
    <t>76789949</t>
  </si>
  <si>
    <t>Truck-Lite 94862 4.5" LED M/C plug w/#6 ring terminal &amp; .180 molded bullet</t>
  </si>
  <si>
    <t>94862</t>
  </si>
  <si>
    <t>028266900599</t>
  </si>
  <si>
    <t>B0009X3EII</t>
  </si>
  <si>
    <t>76789950</t>
  </si>
  <si>
    <t>Truck-Lite Plug-Lic Plate Lamp 94922</t>
  </si>
  <si>
    <t>028266900551</t>
  </si>
  <si>
    <t>B002HC3A1U</t>
  </si>
  <si>
    <t>76789946</t>
  </si>
  <si>
    <t>Truck-Lite Plug - 94707</t>
  </si>
  <si>
    <t>94707</t>
  </si>
  <si>
    <t>028266900605</t>
  </si>
  <si>
    <t>B00IQV2SZ0</t>
  </si>
  <si>
    <t>76789951</t>
  </si>
  <si>
    <t>Truck-Lite Pigtail W/Adapter 2 Plug 94932</t>
  </si>
  <si>
    <t>028266900568</t>
  </si>
  <si>
    <t>B00IQV2RZG</t>
  </si>
  <si>
    <t>76789947</t>
  </si>
  <si>
    <t>Truck-Lite Pigtail 94727</t>
  </si>
  <si>
    <t>194959151552</t>
  </si>
  <si>
    <t>B08FTJG8CM</t>
  </si>
  <si>
    <t>71884962</t>
  </si>
  <si>
    <t>4888581</t>
  </si>
  <si>
    <t>Hanes Total Support Pouch Boxer Brief Winter Wine Red/Winter River Teal/Stealth Heather/Black SM</t>
  </si>
  <si>
    <t>UFSBA4</t>
  </si>
  <si>
    <t>Winter Wine Red/Winter River Teal/Stealth Heather/Black</t>
  </si>
  <si>
    <t>194959151026</t>
  </si>
  <si>
    <t>B0BV2WMT1F</t>
  </si>
  <si>
    <t>67089091</t>
  </si>
  <si>
    <t>Hanes Total Support Pouch Boxer Brief Black/Stealth Heather/Black/Stealth Heather SM</t>
  </si>
  <si>
    <t>UFSBB4</t>
  </si>
  <si>
    <t>Black/Stealth Heather/Black/Stealth Heather</t>
  </si>
  <si>
    <t>B08FWLDHGW</t>
  </si>
  <si>
    <t>Hanes Ultimate Men's Total Support Pouch Boxer Brief, Black/Grey, Small</t>
  </si>
  <si>
    <t>Black/Grey</t>
  </si>
  <si>
    <t>194959151569</t>
  </si>
  <si>
    <t>B08FTKT3VP</t>
  </si>
  <si>
    <t>71884969</t>
  </si>
  <si>
    <t>Hanes Ultimate mens Total Support Pouch Boxer Briefs, Assorted Dyed, Medium US</t>
  </si>
  <si>
    <t>6187</t>
  </si>
  <si>
    <t>Assorted Dyed</t>
  </si>
  <si>
    <t>B0BV2W176N</t>
  </si>
  <si>
    <t>Hanes Total Support Pouch Boxer Brief Winter Wine Red/Winter River Teal/Stealth Heather/Black MD</t>
  </si>
  <si>
    <t>194959151033</t>
  </si>
  <si>
    <t>B0BV2WGBW2</t>
  </si>
  <si>
    <t>67089092</t>
  </si>
  <si>
    <t>Hanes Total Support Pouch Boxer Brief Black/Stealth Heather/Black/Stealth Heather MD</t>
  </si>
  <si>
    <t>6858</t>
  </si>
  <si>
    <t>B08FTJX799</t>
  </si>
  <si>
    <t>Hanes Ultimate Men's Total Support Pouch Boxer Brief, Black/Grey, Medium</t>
  </si>
  <si>
    <t>194959151576</t>
  </si>
  <si>
    <t>B08FTKFH5G</t>
  </si>
  <si>
    <t>71884970</t>
  </si>
  <si>
    <t>Hanes Ultimate Men's Total Support Pouch Boxer Brief, Assorted Dyed, Large</t>
  </si>
  <si>
    <t>6327</t>
  </si>
  <si>
    <t>B0BV2YLQ4H</t>
  </si>
  <si>
    <t>Hanes Total Support Pouch Boxer Brief Winter Wine Red/Winter River Teal/Stealth Heather/Black LG</t>
  </si>
  <si>
    <t>194959151040</t>
  </si>
  <si>
    <t>B0BV2YRZ5T</t>
  </si>
  <si>
    <t>67089099</t>
  </si>
  <si>
    <t>Hanes Total Support Pouch Boxer Brief Black/Stealth Heather/Black/Stealth Heather LG</t>
  </si>
  <si>
    <t>5508</t>
  </si>
  <si>
    <t>B08FTKQDDG</t>
  </si>
  <si>
    <t>Hanes Ultimate mens Total Support Pouch Boxer Briefs, Black/Grey, Large US</t>
  </si>
  <si>
    <t>194959151583</t>
  </si>
  <si>
    <t>B08FTJJR93</t>
  </si>
  <si>
    <t>71884971</t>
  </si>
  <si>
    <t>Hanes Ultimate Men's Total Support Pouch Boxer Brief, Assorted Dyed, X Large</t>
  </si>
  <si>
    <t>4343</t>
  </si>
  <si>
    <t>B0BV2WHBTQ</t>
  </si>
  <si>
    <t>Hanes Total Support Pouch Boxer Brief Winter Wine Red/Winter River Teal/Stealth Heather/Black XL</t>
  </si>
  <si>
    <t>194959151057</t>
  </si>
  <si>
    <t>B0BV2XH25Y</t>
  </si>
  <si>
    <t>67089100</t>
  </si>
  <si>
    <t>Hanes Total Support Pouch Boxer Brief Black/Stealth Heather/Black/Stealth Heather XL</t>
  </si>
  <si>
    <t>5176</t>
  </si>
  <si>
    <t>B08FTL9ZK7</t>
  </si>
  <si>
    <t>Hanes Ultimate Men's Total Support Pouch Boxer Brief, Black/Grey, X Large</t>
  </si>
  <si>
    <t>825663979971</t>
  </si>
  <si>
    <t>B0C12VNSS6</t>
  </si>
  <si>
    <t>80787756</t>
  </si>
  <si>
    <t>5698496</t>
  </si>
  <si>
    <t>Nike Baby-boys Jordan Assorted 3 Pack BodySuit, Blue, 0 - 3 Months</t>
  </si>
  <si>
    <t>300</t>
  </si>
  <si>
    <t>81817</t>
  </si>
  <si>
    <t>012655035283</t>
  </si>
  <si>
    <t>B0B7J5JN63</t>
  </si>
  <si>
    <t>29765592</t>
  </si>
  <si>
    <t>5189110</t>
  </si>
  <si>
    <t>Body Glove - Lightweight &amp; Portable Hammock for Camping and Outdoor Use, Durable Nylon Construction, Easy Assembly</t>
  </si>
  <si>
    <t>774</t>
  </si>
  <si>
    <t>Teal</t>
  </si>
  <si>
    <t>196311899805</t>
  </si>
  <si>
    <t>B0BJW3TNLX</t>
  </si>
  <si>
    <t>45961448</t>
  </si>
  <si>
    <t>5550748</t>
  </si>
  <si>
    <t>Skechers Women's, Relaxed Fit: Breathe-Easy - Kindred Slip-On - Wide Width Brown</t>
  </si>
  <si>
    <t>100377W-DSCH</t>
  </si>
  <si>
    <t>196311899812</t>
  </si>
  <si>
    <t>B0BJW3924L</t>
  </si>
  <si>
    <t>45961449</t>
  </si>
  <si>
    <t>196311899829</t>
  </si>
  <si>
    <t>B0BJW1KBW4</t>
  </si>
  <si>
    <t>45961450</t>
  </si>
  <si>
    <t>196311899836</t>
  </si>
  <si>
    <t>B0BJWT449F</t>
  </si>
  <si>
    <t>45961451</t>
  </si>
  <si>
    <t>196562293100</t>
  </si>
  <si>
    <t>B0C887MLJ9</t>
  </si>
  <si>
    <t>29813464</t>
  </si>
  <si>
    <t>6132477</t>
  </si>
  <si>
    <t>Carter's Kids Freddie Boot, Brown, 4 US Unisex Toddler</t>
  </si>
  <si>
    <t>684</t>
  </si>
  <si>
    <t>CF23H06HM040H</t>
  </si>
  <si>
    <t>196562293117</t>
  </si>
  <si>
    <t>B0C88H4QBG</t>
  </si>
  <si>
    <t>29813467</t>
  </si>
  <si>
    <t>Carter's Kids Freddie Boot, Brown, 5 US Unisex Toddler</t>
  </si>
  <si>
    <t>909</t>
  </si>
  <si>
    <t>CF23H06HM050H</t>
  </si>
  <si>
    <t>196562293124</t>
  </si>
  <si>
    <t>B0C88FLD35</t>
  </si>
  <si>
    <t>29813468</t>
  </si>
  <si>
    <t>Carter's Kids Freddie Boot, Brown, 6 US Unisex Toddler</t>
  </si>
  <si>
    <t>912</t>
  </si>
  <si>
    <t>CF23H06HM060H</t>
  </si>
  <si>
    <t>196562293131</t>
  </si>
  <si>
    <t>B0C8839P2R</t>
  </si>
  <si>
    <t>29813469</t>
  </si>
  <si>
    <t>Carter's Kids Freddie Boot, Brown, 7 US Unisex Toddler</t>
  </si>
  <si>
    <t>915</t>
  </si>
  <si>
    <t>CF23H06HM070H</t>
  </si>
  <si>
    <t>196562293148</t>
  </si>
  <si>
    <t>B0C881546M</t>
  </si>
  <si>
    <t>29813470</t>
  </si>
  <si>
    <t>Carter's Kids Freddie Boot, Brown, 8 US Unisex Toddler</t>
  </si>
  <si>
    <t>1046</t>
  </si>
  <si>
    <t>CF23H06HM080H</t>
  </si>
  <si>
    <t>196562293155</t>
  </si>
  <si>
    <t>B0C8893Z9P</t>
  </si>
  <si>
    <t>29813471</t>
  </si>
  <si>
    <t>Carter's Kids Freddie Boot, Brown, 9 US Unisex Toddler</t>
  </si>
  <si>
    <t>1800</t>
  </si>
  <si>
    <t>CF23H06HM090H</t>
  </si>
  <si>
    <t>196562293162</t>
  </si>
  <si>
    <t>B0C88HN52J</t>
  </si>
  <si>
    <t>29813472</t>
  </si>
  <si>
    <t>Carter's Kids Freddie Boot, Brown, 10 US Unisex Toddler</t>
  </si>
  <si>
    <t>1759</t>
  </si>
  <si>
    <t>CF23H06HM100H</t>
  </si>
  <si>
    <t>196562293179</t>
  </si>
  <si>
    <t>B0C88KXZZY</t>
  </si>
  <si>
    <t>29813473</t>
  </si>
  <si>
    <t>Carter's Kids Freddie Boot, Brown, 11 US Unisex Toddler</t>
  </si>
  <si>
    <t>1762</t>
  </si>
  <si>
    <t>CF23H06HM110H</t>
  </si>
  <si>
    <t>196562293186</t>
  </si>
  <si>
    <t>B0C885VNC8</t>
  </si>
  <si>
    <t>29813474</t>
  </si>
  <si>
    <t>Carter's Kids Freddie Boot, Brown, 12 US Unisex Toddler</t>
  </si>
  <si>
    <t>853</t>
  </si>
  <si>
    <t>CF23H06HM120H</t>
  </si>
  <si>
    <t>196562048540</t>
  </si>
  <si>
    <t>B09Y2F24CV</t>
  </si>
  <si>
    <t>73547768</t>
  </si>
  <si>
    <t>6137398</t>
  </si>
  <si>
    <t>OshKosh B'Gosh Girls Estell Ankle Boot, Black, 4 Toddler</t>
  </si>
  <si>
    <t>284</t>
  </si>
  <si>
    <t>OF22K03H</t>
  </si>
  <si>
    <t>196562049936</t>
  </si>
  <si>
    <t>B09Y2HCBJD</t>
  </si>
  <si>
    <t>73547773</t>
  </si>
  <si>
    <t>OshKosh B'Gosh Girls Estell Ankle Boot, Black, 5 Toddler</t>
  </si>
  <si>
    <t>293</t>
  </si>
  <si>
    <t>196562048557</t>
  </si>
  <si>
    <t>B09Y2FDX6V</t>
  </si>
  <si>
    <t>73547774</t>
  </si>
  <si>
    <t>OshKosh B'Gosh Girls Estell Ankle Boot, Black, 6 Toddler</t>
  </si>
  <si>
    <t>196562048564</t>
  </si>
  <si>
    <t>B09Y2FB79M</t>
  </si>
  <si>
    <t>73547775</t>
  </si>
  <si>
    <t>OshKosh B'Gosh Girls Estell Ankle Boot, Black, 7 Toddler</t>
  </si>
  <si>
    <t>184</t>
  </si>
  <si>
    <t>196562051267</t>
  </si>
  <si>
    <t>B09Y2BNCM7</t>
  </si>
  <si>
    <t>73547776</t>
  </si>
  <si>
    <t>OshKosh B'Gosh Girls Estell Ankle Boot, Black, 8 Toddler</t>
  </si>
  <si>
    <t>196562048571</t>
  </si>
  <si>
    <t>B09Y2H1CC3</t>
  </si>
  <si>
    <t>73547777</t>
  </si>
  <si>
    <t>OshKosh B'Gosh Girls Estell Ankle Boot, Black, 9 Toddler</t>
  </si>
  <si>
    <t>281</t>
  </si>
  <si>
    <t>196470216949</t>
  </si>
  <si>
    <t>B0BNR1NFHX</t>
  </si>
  <si>
    <t>49642717</t>
  </si>
  <si>
    <t>6075215</t>
  </si>
  <si>
    <t>adidas Men's Core Colorblock Polo Shirt, Olive strata, Small</t>
  </si>
  <si>
    <t>NBY59</t>
  </si>
  <si>
    <t>Olive Strata</t>
  </si>
  <si>
    <t>196470196029</t>
  </si>
  <si>
    <t>B0BNR3PN5Q</t>
  </si>
  <si>
    <t>55628704</t>
  </si>
  <si>
    <t>adidas Men's Core Colorblock Polo Shirt, Red, Small</t>
  </si>
  <si>
    <t>196470196067</t>
  </si>
  <si>
    <t>B0BNQZ129C</t>
  </si>
  <si>
    <t>55628705</t>
  </si>
  <si>
    <t>adidas Men's Core Colorblock Polo Shirt, Red, Medium</t>
  </si>
  <si>
    <t>196470217755</t>
  </si>
  <si>
    <t>B0BNQYCS6D</t>
  </si>
  <si>
    <t>49642718</t>
  </si>
  <si>
    <t>adidas Men's Core Colorblock Polo Shirt, Olive strata, Medium</t>
  </si>
  <si>
    <t>196470196036</t>
  </si>
  <si>
    <t>B0BNR1C55R</t>
  </si>
  <si>
    <t>55628706</t>
  </si>
  <si>
    <t>adidas Men's Core Colorblock Polo Shirt, Red, Large</t>
  </si>
  <si>
    <t>68</t>
  </si>
  <si>
    <t>196470217731</t>
  </si>
  <si>
    <t>B0BNR166YW</t>
  </si>
  <si>
    <t>49642719</t>
  </si>
  <si>
    <t>adidas Men's Core Colorblock Polo Shirt, Olive strata, Large</t>
  </si>
  <si>
    <t>196470198603</t>
  </si>
  <si>
    <t>B0BNS3FPGL</t>
  </si>
  <si>
    <t>37226319</t>
  </si>
  <si>
    <t>adidas Men's Core Colorblock Polo Shirt, Collegiate Navy, Large</t>
  </si>
  <si>
    <t>196470198641</t>
  </si>
  <si>
    <t>B0BNQZ2Y1F</t>
  </si>
  <si>
    <t>37226320</t>
  </si>
  <si>
    <t>adidas Men's Core Colorblock Polo Shirt, Collegiate Navy, X-Large</t>
  </si>
  <si>
    <t>196470196005</t>
  </si>
  <si>
    <t>B0BNQYQ9DN</t>
  </si>
  <si>
    <t>55628707</t>
  </si>
  <si>
    <t>adidas Men's Core Colorblock Polo Shirt, Red, X-Large</t>
  </si>
  <si>
    <t>196470216956</t>
  </si>
  <si>
    <t>B0BNRY6C32</t>
  </si>
  <si>
    <t>49642720</t>
  </si>
  <si>
    <t>adidas Men's Core Colorblock Polo Shirt, Olive strata, X-Large</t>
  </si>
  <si>
    <t>196565697332</t>
  </si>
  <si>
    <t>B0BRR4LQ44</t>
  </si>
  <si>
    <t>73547365</t>
  </si>
  <si>
    <t>6117529</t>
  </si>
  <si>
    <t>Koolaburra by UGG Koola Tall Fashion Boot, Fuchsia, 3 US Unisex Little Kid</t>
  </si>
  <si>
    <t>1020172</t>
  </si>
  <si>
    <t>Fuchsia</t>
  </si>
  <si>
    <t>196565697288</t>
  </si>
  <si>
    <t>B0BRR4MMJP</t>
  </si>
  <si>
    <t>73547366</t>
  </si>
  <si>
    <t>Koolaburra by UGG Koola Tall Fashion Boot, Fuchsia, 4 US Unisex Big Kid</t>
  </si>
  <si>
    <t>130</t>
  </si>
  <si>
    <t>196565697226</t>
  </si>
  <si>
    <t>B0BRR3N93S</t>
  </si>
  <si>
    <t>73547367</t>
  </si>
  <si>
    <t>Koolaburra by UGG Koola Tall Fashion Boot, Fuchsia, 5 US Unisex Big Kid</t>
  </si>
  <si>
    <t>196156348896</t>
  </si>
  <si>
    <t>B0CYSLZX7R</t>
  </si>
  <si>
    <t>73025631</t>
  </si>
  <si>
    <t>6167668</t>
  </si>
  <si>
    <t>Nike AF1-LSP (5255-400) Size: 10 - Polar/Orange-Multi</t>
  </si>
  <si>
    <t>Men's - Polar/Orange-multi (5255-400)</t>
  </si>
  <si>
    <t>400640867016</t>
  </si>
  <si>
    <t>B00008HDLG</t>
  </si>
  <si>
    <t>64086701</t>
  </si>
  <si>
    <t>6520086</t>
  </si>
  <si>
    <t>Sonate Fuer Violine &amp;</t>
  </si>
  <si>
    <t>197235169524</t>
  </si>
  <si>
    <t>B0D5VSJCKX</t>
  </si>
  <si>
    <t>66456363</t>
  </si>
  <si>
    <t>6288704</t>
  </si>
  <si>
    <t>adidas Boys' Graphic Camo Logo Long Sleeve T-Shirt (Big Kids) (X-Large, Wonder Silver)</t>
  </si>
  <si>
    <t>AA7935</t>
  </si>
  <si>
    <t>Wonder Silver</t>
  </si>
  <si>
    <t>196155076301</t>
  </si>
  <si>
    <t>B0CYV3YWWS</t>
  </si>
  <si>
    <t>83440010</t>
  </si>
  <si>
    <t>6480240</t>
  </si>
  <si>
    <t>Nike Dri-FIT UV UPF 40+ Advantage Women's Full-Zip Golf Jacket, White/Black, MEDIUM</t>
  </si>
  <si>
    <t>DX1489</t>
  </si>
  <si>
    <t>White/Black</t>
  </si>
  <si>
    <t>195979524937</t>
  </si>
  <si>
    <t>B0BKQT57KK</t>
  </si>
  <si>
    <t>46946426</t>
  </si>
  <si>
    <t>6076478</t>
  </si>
  <si>
    <t>Columbia Women's Suttle Mountain Mid Jacket, Red Lily, Small</t>
  </si>
  <si>
    <t>2051481</t>
  </si>
  <si>
    <t>Red Lily</t>
  </si>
  <si>
    <t>195979524456</t>
  </si>
  <si>
    <t>B0BKQT5WZ2</t>
  </si>
  <si>
    <t>46946436</t>
  </si>
  <si>
    <t>Columbia Women's Suttle Mountain Mid Jacket, Stone Green, Small</t>
  </si>
  <si>
    <t>195979524944</t>
  </si>
  <si>
    <t>B0BKQS7XJ6</t>
  </si>
  <si>
    <t>46946427</t>
  </si>
  <si>
    <t>Columbia Women's Suttle Mountain Mid Jacket, Red Lily, Medium</t>
  </si>
  <si>
    <t>25</t>
  </si>
  <si>
    <t>195979524920</t>
  </si>
  <si>
    <t>B0BKQWRF74</t>
  </si>
  <si>
    <t>46946428</t>
  </si>
  <si>
    <t>Columbia Women's Suttle Mountain Mid Jacket, Red Lily, Large</t>
  </si>
  <si>
    <t>195612268327</t>
  </si>
  <si>
    <t>B0CRLJJP56</t>
  </si>
  <si>
    <t>58105566</t>
  </si>
  <si>
    <t>7090397</t>
  </si>
  <si>
    <t>Haggar Men's Size Big and Tall Premium Comfort Classic Fit Wrinkle Resistant Dress Shirt, White</t>
  </si>
  <si>
    <t>HAG031HE510</t>
  </si>
  <si>
    <t>195612270122</t>
  </si>
  <si>
    <t>B0CCC1J7BQ</t>
  </si>
  <si>
    <t>49706585</t>
  </si>
  <si>
    <t>Haggar Premium Comfort Big&amp;Tall Men's Button Down Dress Shirt, Grey Solid, Neck Sleeve</t>
  </si>
  <si>
    <t>HAG031HE512</t>
  </si>
  <si>
    <t>Grey Solid</t>
  </si>
  <si>
    <t>195612271020</t>
  </si>
  <si>
    <t>B0CCBH66WY</t>
  </si>
  <si>
    <t>29746922</t>
  </si>
  <si>
    <t>Haggar Premium Comfort Big&amp;Tall Men's Button Down Dress Shirt, Black Solid, Neck Sleeve</t>
  </si>
  <si>
    <t>HAG031HE514</t>
  </si>
  <si>
    <t>Black Solid</t>
  </si>
  <si>
    <t>195612269225</t>
  </si>
  <si>
    <t>B0CCBZYZG4</t>
  </si>
  <si>
    <t>53952528</t>
  </si>
  <si>
    <t>Haggar Premium Comfort Big&amp;Tall Men's Button Down Dress Shirt, Blue Solid, Neck Sleeve</t>
  </si>
  <si>
    <t>HAG031HE511</t>
  </si>
  <si>
    <t>Blue Solid</t>
  </si>
  <si>
    <t>195612267702</t>
  </si>
  <si>
    <t>B0CRWQZBJY</t>
  </si>
  <si>
    <t>81947208</t>
  </si>
  <si>
    <t>Haggar Men's Big &amp; Tall Premium Comfort Button Down Shirt, Pink Solid</t>
  </si>
  <si>
    <t>HAG031HE447</t>
  </si>
  <si>
    <t>Pink Solid</t>
  </si>
  <si>
    <t>195612257802</t>
  </si>
  <si>
    <t>B0CCBVFL7S</t>
  </si>
  <si>
    <t>67197129</t>
  </si>
  <si>
    <t>Haggar Big &amp; Tall Premium Comfort Big&amp;Tall Men's Button Down Dress Shirt, White Solid, Neck Sleeve</t>
  </si>
  <si>
    <t>384</t>
  </si>
  <si>
    <t>HAG030HE510</t>
  </si>
  <si>
    <t>White Solid</t>
  </si>
  <si>
    <t>195612258441</t>
  </si>
  <si>
    <t>B0CCBRH5ZJ</t>
  </si>
  <si>
    <t>33438542</t>
  </si>
  <si>
    <t>Haggar Big &amp; Tall Premium Comfort Big&amp;Tall Men's Button Down Dress Shirt, Blue Solid, Neck Sleeve</t>
  </si>
  <si>
    <t>HAG030HE511</t>
  </si>
  <si>
    <t>195612259080</t>
  </si>
  <si>
    <t>B0CCBKF4RH</t>
  </si>
  <si>
    <t>64250554</t>
  </si>
  <si>
    <t>476</t>
  </si>
  <si>
    <t>HAG030HE512</t>
  </si>
  <si>
    <t>195612259721</t>
  </si>
  <si>
    <t>B0CCBVSD3Q</t>
  </si>
  <si>
    <t>17927045</t>
  </si>
  <si>
    <t>Haggar Big &amp; Tall Premium Comfort Big&amp;Tall Men's Button Down Dress Shirt, Black Solid, Neck Sleeve</t>
  </si>
  <si>
    <t>487</t>
  </si>
  <si>
    <t>HAG030HE514</t>
  </si>
  <si>
    <t>195612270139</t>
  </si>
  <si>
    <t>B0CCBH79PL</t>
  </si>
  <si>
    <t>49706587</t>
  </si>
  <si>
    <t>Haggar Big &amp; Tall Premium Comfort Big&amp;Tall Men's Button Down Dress Shirt, Grey Solid, Neck Sleeve</t>
  </si>
  <si>
    <t>195612271037</t>
  </si>
  <si>
    <t>B0CCC1ZZM4</t>
  </si>
  <si>
    <t>29746923</t>
  </si>
  <si>
    <t>194</t>
  </si>
  <si>
    <t>195612269232</t>
  </si>
  <si>
    <t>B0CCC1FLK6</t>
  </si>
  <si>
    <t>53952530</t>
  </si>
  <si>
    <t>195612257819</t>
  </si>
  <si>
    <t>B0CCBBZN63</t>
  </si>
  <si>
    <t>67197130</t>
  </si>
  <si>
    <t>Haggar Premium Comfort Big&amp;Tall Men's Button Down Dress Shirt, White Solid, Neck Sleeve</t>
  </si>
  <si>
    <t>195612259097</t>
  </si>
  <si>
    <t>B0CCC415ZW</t>
  </si>
  <si>
    <t>64250555</t>
  </si>
  <si>
    <t>Haggar Men's Big &amp; Tall Premium Comfort Button Down Shirt, Grey Solid, 19" Neck 34"-35" Sleeve</t>
  </si>
  <si>
    <t>195612259738</t>
  </si>
  <si>
    <t>B0CCC1H2S4</t>
  </si>
  <si>
    <t>17927046</t>
  </si>
  <si>
    <t>195612270146</t>
  </si>
  <si>
    <t>B0CCBNBZXF</t>
  </si>
  <si>
    <t>49706589</t>
  </si>
  <si>
    <t>195612271044</t>
  </si>
  <si>
    <t>B0CCBY97KC</t>
  </si>
  <si>
    <t>29746924</t>
  </si>
  <si>
    <t>222</t>
  </si>
  <si>
    <t>195612269249</t>
  </si>
  <si>
    <t>B0CCC4NDLV</t>
  </si>
  <si>
    <t>53952533</t>
  </si>
  <si>
    <t>83</t>
  </si>
  <si>
    <t>195612271327</t>
  </si>
  <si>
    <t>B0CCBW49PX</t>
  </si>
  <si>
    <t>29746931</t>
  </si>
  <si>
    <t>195612257840</t>
  </si>
  <si>
    <t>B0CCC269KV</t>
  </si>
  <si>
    <t>67197131</t>
  </si>
  <si>
    <t>195612259127</t>
  </si>
  <si>
    <t>B0CCBHCC9B</t>
  </si>
  <si>
    <t>64250556</t>
  </si>
  <si>
    <t>191</t>
  </si>
  <si>
    <t>195612259769</t>
  </si>
  <si>
    <t>B0CCBTLF7M</t>
  </si>
  <si>
    <t>17927047</t>
  </si>
  <si>
    <t>195612271075</t>
  </si>
  <si>
    <t>B0CCC1KZJL</t>
  </si>
  <si>
    <t>29746927</t>
  </si>
  <si>
    <t>131</t>
  </si>
  <si>
    <t>195612270177</t>
  </si>
  <si>
    <t>B0CCBQFWDL</t>
  </si>
  <si>
    <t>49706591</t>
  </si>
  <si>
    <t>195612269270</t>
  </si>
  <si>
    <t>B0CCCDR815</t>
  </si>
  <si>
    <t>53952535</t>
  </si>
  <si>
    <t>195612258496</t>
  </si>
  <si>
    <t>B0CCBQ31P5</t>
  </si>
  <si>
    <t>33438546</t>
  </si>
  <si>
    <t>195612259776</t>
  </si>
  <si>
    <t>B0CCCBFKGP</t>
  </si>
  <si>
    <t>17927048</t>
  </si>
  <si>
    <t>195612259134</t>
  </si>
  <si>
    <t>B0CCBP4YNH</t>
  </si>
  <si>
    <t>64250557</t>
  </si>
  <si>
    <t>195612268389</t>
  </si>
  <si>
    <t>B0CCBS9GCY</t>
  </si>
  <si>
    <t>58105573</t>
  </si>
  <si>
    <t>195612270184</t>
  </si>
  <si>
    <t>B0CCBKPCPJ</t>
  </si>
  <si>
    <t>49706592</t>
  </si>
  <si>
    <t>195612269287</t>
  </si>
  <si>
    <t>B0CCCBKBM7</t>
  </si>
  <si>
    <t>53952536</t>
  </si>
  <si>
    <t>196884218133</t>
  </si>
  <si>
    <t>B0BGVJWQ7D</t>
  </si>
  <si>
    <t>28218917</t>
  </si>
  <si>
    <t>7081802</t>
  </si>
  <si>
    <t>Under Armour Womens Motion Ankle Leggings, (500) Misty Purple / / Fresh Orchid, 1X</t>
  </si>
  <si>
    <t>1369488/1369494</t>
  </si>
  <si>
    <t>(500) Misty Purple / / Fresh Orchid</t>
  </si>
  <si>
    <t>196884218317</t>
  </si>
  <si>
    <t>B0BGVMHCPH</t>
  </si>
  <si>
    <t>28218924</t>
  </si>
  <si>
    <t>Under Armour Womens Motion Ankle Leggings, (573) Mystic Magenta / / Black, 1X</t>
  </si>
  <si>
    <t>(573) Mystic Magenta / / Black</t>
  </si>
  <si>
    <t>196884218126</t>
  </si>
  <si>
    <t>B0BGV7M3SD</t>
  </si>
  <si>
    <t>28218918</t>
  </si>
  <si>
    <t>Under Armour Womens Motion Ankle Leggings, (500) Misty Purple / / Fresh Orchid, 2X</t>
  </si>
  <si>
    <t>278</t>
  </si>
  <si>
    <t>196884218300</t>
  </si>
  <si>
    <t>B0BGVWSKFH</t>
  </si>
  <si>
    <t>28218925</t>
  </si>
  <si>
    <t>Under Armour Womens Motion Ankle Leggings, (573) Mystic Magenta / / Black, 2X</t>
  </si>
  <si>
    <t>313</t>
  </si>
  <si>
    <t>196884218140</t>
  </si>
  <si>
    <t>B0BGVPHBVS</t>
  </si>
  <si>
    <t>28218919</t>
  </si>
  <si>
    <t>Under Armour Womens Motion Ankle Leggings, (500) Misty Purple / / Fresh Orchid, 3X</t>
  </si>
  <si>
    <t>169</t>
  </si>
  <si>
    <t>196884218324</t>
  </si>
  <si>
    <t>B0BGVVXGBQ</t>
  </si>
  <si>
    <t>28218926</t>
  </si>
  <si>
    <t>Under Armour Womens Motion Ankle Leggings, (573) Mystic Magenta / / Black, 3X</t>
  </si>
  <si>
    <t>194895395331</t>
  </si>
  <si>
    <t>B09KMWYJ26</t>
  </si>
  <si>
    <t>76932886</t>
  </si>
  <si>
    <t>5849142</t>
  </si>
  <si>
    <t>Columbia Men's Loma Vista II Jacket, City Grey, Small</t>
  </si>
  <si>
    <t>2008531</t>
  </si>
  <si>
    <t>City Grey</t>
  </si>
  <si>
    <t>194895395324</t>
  </si>
  <si>
    <t>B09KMCSSPT</t>
  </si>
  <si>
    <t>76932874</t>
  </si>
  <si>
    <t>Columbia Men's Loma Vista II Jacket, Delta, Small</t>
  </si>
  <si>
    <t>195979477431</t>
  </si>
  <si>
    <t>B0BKR16Y1K</t>
  </si>
  <si>
    <t>76932880</t>
  </si>
  <si>
    <t>Columbia Men's Loma Vista II Jacket, Stone Green, Small</t>
  </si>
  <si>
    <t>195979477448</t>
  </si>
  <si>
    <t>B0BKQXLQ6L</t>
  </si>
  <si>
    <t>76932881</t>
  </si>
  <si>
    <t>Columbia Men's Loma Vista II Jacket, Stone Green, Medium</t>
  </si>
  <si>
    <t>35</t>
  </si>
  <si>
    <t>194895395362</t>
  </si>
  <si>
    <t>B09KMD7LVJ</t>
  </si>
  <si>
    <t>76932887</t>
  </si>
  <si>
    <t>Columbia Men's Loma Vista II Jacket, City Grey, Medium</t>
  </si>
  <si>
    <t>258</t>
  </si>
  <si>
    <t>194895395317</t>
  </si>
  <si>
    <t>B09KMD2TY5</t>
  </si>
  <si>
    <t>76932875</t>
  </si>
  <si>
    <t>Columbia Men's Loma Vista II Jacket, Delta, Medium</t>
  </si>
  <si>
    <t>194895395294</t>
  </si>
  <si>
    <t>B09KMDTLLY</t>
  </si>
  <si>
    <t>76932876</t>
  </si>
  <si>
    <t>Columbia Men's Loma Vista II Jacket, Delta, Large</t>
  </si>
  <si>
    <t>194895395379</t>
  </si>
  <si>
    <t>B09KMF33YP</t>
  </si>
  <si>
    <t>76932889</t>
  </si>
  <si>
    <t>Columbia Men's Loma Vista II Jacket, City Grey, Large</t>
  </si>
  <si>
    <t>194895395348</t>
  </si>
  <si>
    <t>B09KMDKZVC</t>
  </si>
  <si>
    <t>76932890</t>
  </si>
  <si>
    <t>Columbia Men's Loma Vista II Jacket, City Grey, X-Large</t>
  </si>
  <si>
    <t>194895395355</t>
  </si>
  <si>
    <t>B09KMFK3SY</t>
  </si>
  <si>
    <t>76932891</t>
  </si>
  <si>
    <t>Columbia Men's Loma Vista II Jacket, City Grey, XX-Large</t>
  </si>
  <si>
    <t>194895611141</t>
  </si>
  <si>
    <t>B09KMFX9QQ</t>
  </si>
  <si>
    <t>61935451</t>
  </si>
  <si>
    <t>5570552</t>
  </si>
  <si>
    <t>Columbia Men's Loma Vista Interchange Jacket, Black, Small</t>
  </si>
  <si>
    <t>60</t>
  </si>
  <si>
    <t>2008561</t>
  </si>
  <si>
    <t>194895611035</t>
  </si>
  <si>
    <t>B09KMFYH9H</t>
  </si>
  <si>
    <t>61935473</t>
  </si>
  <si>
    <t>Columbia Men's Loma Vista Interchange Jacket, Delta, Small</t>
  </si>
  <si>
    <t>195979191672</t>
  </si>
  <si>
    <t>B0BKQTCHVS</t>
  </si>
  <si>
    <t>29976314</t>
  </si>
  <si>
    <t>Columbia Men's Loma Vista Interchange Jacket, Stone Green, Small</t>
  </si>
  <si>
    <t>195979191641</t>
  </si>
  <si>
    <t>B0BKQPJPBK</t>
  </si>
  <si>
    <t>29976296</t>
  </si>
  <si>
    <t>Columbia Men's Loma Vista Interchange Jacket, Dark Stone, Small</t>
  </si>
  <si>
    <t>Dark Stone</t>
  </si>
  <si>
    <t>195979191566</t>
  </si>
  <si>
    <t>B0BKQSQP5N</t>
  </si>
  <si>
    <t>29976333</t>
  </si>
  <si>
    <t>Columbia Men's Loma Vista Interchange Jacket, Shark, Small</t>
  </si>
  <si>
    <t>Shark</t>
  </si>
  <si>
    <t>194895611042</t>
  </si>
  <si>
    <t>B09KMGBGNK</t>
  </si>
  <si>
    <t>61935480</t>
  </si>
  <si>
    <t>Columbia Men's Loma Vista Interchange Jacket, Delta, Medium</t>
  </si>
  <si>
    <t>194895611134</t>
  </si>
  <si>
    <t>B09KMFG928</t>
  </si>
  <si>
    <t>61935452</t>
  </si>
  <si>
    <t>Columbia Men's Loma Vista Interchange Jacket, Black, Medium</t>
  </si>
  <si>
    <t>195979191702</t>
  </si>
  <si>
    <t>B0BKQT64XG</t>
  </si>
  <si>
    <t>29976316</t>
  </si>
  <si>
    <t>Columbia Men's Loma Vista Interchange Jacket, Stone Green, Medium</t>
  </si>
  <si>
    <t>195979191665</t>
  </si>
  <si>
    <t>B0BKQT1X45</t>
  </si>
  <si>
    <t>29976303</t>
  </si>
  <si>
    <t>Columbia Men's Loma Vista Interchange Jacket, Dark Stone, Medium</t>
  </si>
  <si>
    <t>195979191542</t>
  </si>
  <si>
    <t>B0BKQTM34L</t>
  </si>
  <si>
    <t>29976334</t>
  </si>
  <si>
    <t>Columbia Men's Loma Vista Interchange Jacket, Shark, Medium</t>
  </si>
  <si>
    <t>194895611028</t>
  </si>
  <si>
    <t>B09KMF77SR</t>
  </si>
  <si>
    <t>61935481</t>
  </si>
  <si>
    <t>Columbia Men's Loma Vista Interchange Jacket, Delta, Large</t>
  </si>
  <si>
    <t>195979191719</t>
  </si>
  <si>
    <t>B0BKQXD3QQ</t>
  </si>
  <si>
    <t>29976323</t>
  </si>
  <si>
    <t>Columbia Men's Loma Vista Interchange Jacket, Stone Green, Large</t>
  </si>
  <si>
    <t>195979191627</t>
  </si>
  <si>
    <t>B0BKQY6BS2</t>
  </si>
  <si>
    <t>29976304</t>
  </si>
  <si>
    <t>Columbia Men's Loma Vista Interchange Jacket, Dark Stone, Large</t>
  </si>
  <si>
    <t>194895611066</t>
  </si>
  <si>
    <t>B09KMFPSQR</t>
  </si>
  <si>
    <t>61935482</t>
  </si>
  <si>
    <t>Columbia Men's Loma Vista Interchange Jacket, Delta, X-Large</t>
  </si>
  <si>
    <t>195979191696</t>
  </si>
  <si>
    <t>B0BKQYT5J3</t>
  </si>
  <si>
    <t>29976324</t>
  </si>
  <si>
    <t>Columbia Men's Loma Vista Interchange Jacket, Stone Green, X-Large</t>
  </si>
  <si>
    <t>195979191658</t>
  </si>
  <si>
    <t>B0BKQYGXVF</t>
  </si>
  <si>
    <t>29976306</t>
  </si>
  <si>
    <t>Columbia Men's Loma Vista Interchange Jacket, Dark Stone, X-Large</t>
  </si>
  <si>
    <t>194895611059</t>
  </si>
  <si>
    <t>B09KMGW1B8</t>
  </si>
  <si>
    <t>61935483</t>
  </si>
  <si>
    <t>Columbia Men's Loma Vista Interchange Jacket, Delta, XX-Large</t>
  </si>
  <si>
    <t>195979191634</t>
  </si>
  <si>
    <t>B0BKR19W7P</t>
  </si>
  <si>
    <t>29976313</t>
  </si>
  <si>
    <t>Columbia Men's Loma Vista Interchange Jacket, Dark Stone, XX-Large</t>
  </si>
  <si>
    <t>195979191689</t>
  </si>
  <si>
    <t>B0BKQZFPNF</t>
  </si>
  <si>
    <t>29976326</t>
  </si>
  <si>
    <t>Columbia Men's Loma Vista Interchange Jacket, Stone Green, XX-Large</t>
  </si>
  <si>
    <t>193769455492</t>
  </si>
  <si>
    <t>B09B69N5C3</t>
  </si>
  <si>
    <t>30476602</t>
  </si>
  <si>
    <t>3849873</t>
  </si>
  <si>
    <t>WallFlower Women's Legendary Slim Bootcut Mid-Rise Belted Insta Stretch Juniors Jeans (Standard and Plus), Evan, 0</t>
  </si>
  <si>
    <t>WFBELTLEGSLIMBOOT</t>
  </si>
  <si>
    <t>Evan</t>
  </si>
  <si>
    <t>193769941964</t>
  </si>
  <si>
    <t>B0C699P1G4</t>
  </si>
  <si>
    <t>59467424</t>
  </si>
  <si>
    <t>WallFlower Women's Legendary Slim Bootcut Mid-Rise Belted Insta Stretch Juniors Jeans (Standard and Plus), Ice</t>
  </si>
  <si>
    <t>Ice</t>
  </si>
  <si>
    <t>193769941971</t>
  </si>
  <si>
    <t>B0C699B7N4</t>
  </si>
  <si>
    <t>59467425</t>
  </si>
  <si>
    <t>193769455539</t>
  </si>
  <si>
    <t>B09B69QQZK</t>
  </si>
  <si>
    <t>30476615</t>
  </si>
  <si>
    <t>WallFlower Women's Legendary Slim Bootcut Mid-Rise Belted Insta Stretch Juniors Jeans (Standard and Plus), Evan, 15</t>
  </si>
  <si>
    <t>193769455546</t>
  </si>
  <si>
    <t>B09B68ZYPR</t>
  </si>
  <si>
    <t>30476616</t>
  </si>
  <si>
    <t>WallFlower Women's Legendary Slim Bootcut Mid-Rise Belted Insta Stretch Juniors Jeans (Standard and Plus), Evan, 17</t>
  </si>
  <si>
    <t>192576006569</t>
  </si>
  <si>
    <t>B07N7MKYYQ</t>
  </si>
  <si>
    <t>49891008</t>
  </si>
  <si>
    <t>7081259</t>
  </si>
  <si>
    <t>Nick Graham mens Stretch Modern Fit Gingham Dress and Solid Tie Set Button Down Shirt, Red, Small US</t>
  </si>
  <si>
    <t>N7GTS404SVP</t>
  </si>
  <si>
    <t>192576006590</t>
  </si>
  <si>
    <t>B07N7MGTZM</t>
  </si>
  <si>
    <t>49891012</t>
  </si>
  <si>
    <t>Nick Graham Men's Stretch Modern Fit Gingham Dress Shirt and Solid Tie Set, Red, 15-15.5" Neck / 34-35" Sleeve</t>
  </si>
  <si>
    <t>192576006606</t>
  </si>
  <si>
    <t>B07N7P3ZJQ</t>
  </si>
  <si>
    <t>49891013</t>
  </si>
  <si>
    <t>Nick Graham Men's Stretch Modern Fit Gingham Dress Shirt and Solid Tie Set, Red, 16-16.5" Neck / 32-33" Sleeve</t>
  </si>
  <si>
    <t>117</t>
  </si>
  <si>
    <t>196642243643</t>
  </si>
  <si>
    <t>B09RGB8GJ3</t>
  </si>
  <si>
    <t>30513264</t>
  </si>
  <si>
    <t>5664414</t>
  </si>
  <si>
    <t>Skechers Men's GO Walk Slip Ins Stretchable Straight Leg Pintuck Zip Fly Pants, Heather Charcoal, S</t>
  </si>
  <si>
    <t>MPT129</t>
  </si>
  <si>
    <t>Heather Charcoal</t>
  </si>
  <si>
    <t>196642243582</t>
  </si>
  <si>
    <t>B09RGMFBNJ</t>
  </si>
  <si>
    <t>30513254</t>
  </si>
  <si>
    <t>Skechers Men's GO Walk Slip Ins Stretchable Straight Leg Pintuck Zip Fly Pants, Raisin, S</t>
  </si>
  <si>
    <t>Raisin</t>
  </si>
  <si>
    <t>196642243605</t>
  </si>
  <si>
    <t>B09RG8XL44</t>
  </si>
  <si>
    <t>30513256</t>
  </si>
  <si>
    <t>Skechers Men's GO Walk Slip Ins Stretchable Straight Leg Pintuck Zip Fly Pants, Raisin, L</t>
  </si>
  <si>
    <t>196642243612</t>
  </si>
  <si>
    <t>B09RGH3V75</t>
  </si>
  <si>
    <t>30513262</t>
  </si>
  <si>
    <t>Skechers Men's GO Walk Slip Ins Stretchable Straight Leg Pintuck Zip Fly Pants, Raisin, XL</t>
  </si>
  <si>
    <t>195862021314</t>
  </si>
  <si>
    <t>B0CF6BFXVY</t>
  </si>
  <si>
    <t>49607313</t>
  </si>
  <si>
    <t>6048609</t>
  </si>
  <si>
    <t>Carter's Baby Girls' Pram, Ivory/Plaid, Newborn</t>
  </si>
  <si>
    <t>V_1P954310</t>
  </si>
  <si>
    <t>195862021260</t>
  </si>
  <si>
    <t>B0CF6334X5</t>
  </si>
  <si>
    <t>63518819</t>
  </si>
  <si>
    <t>Carter's baby-boys Pram (Pink/Leopard, Newborn)</t>
  </si>
  <si>
    <t>V_1P955010</t>
  </si>
  <si>
    <t>Leopard</t>
  </si>
  <si>
    <t>195862021130</t>
  </si>
  <si>
    <t>B0CF67CSZX</t>
  </si>
  <si>
    <t>79091830</t>
  </si>
  <si>
    <t>Carter's Baby Girls' Pram, Blue/Plaid, Newborn</t>
  </si>
  <si>
    <t>202</t>
  </si>
  <si>
    <t>V_1P954710</t>
  </si>
  <si>
    <t>195862021284</t>
  </si>
  <si>
    <t>B0CF68TXDM</t>
  </si>
  <si>
    <t>49607311</t>
  </si>
  <si>
    <t>Carter's Baby Girls' Pram, Ivory/Plaid, 6 Months</t>
  </si>
  <si>
    <t>195862021222</t>
  </si>
  <si>
    <t>B0CF665ZLL</t>
  </si>
  <si>
    <t>63518816</t>
  </si>
  <si>
    <t>Carter's Baby Girls' Pram, Pink/Leopard, 3 Months</t>
  </si>
  <si>
    <t>257</t>
  </si>
  <si>
    <t>Pink/Leopard</t>
  </si>
  <si>
    <t>195862021277</t>
  </si>
  <si>
    <t>B0CF6CGD5W</t>
  </si>
  <si>
    <t>49607310</t>
  </si>
  <si>
    <t>Carter's Baby Girls' Pram, Ivory/Plaid, 3 Months</t>
  </si>
  <si>
    <t>315</t>
  </si>
  <si>
    <t>Ivory/Plaid</t>
  </si>
  <si>
    <t>195862021093</t>
  </si>
  <si>
    <t>B0CF68ZG6Q</t>
  </si>
  <si>
    <t>79091827</t>
  </si>
  <si>
    <t>Carter's Baby Girls' Pram, Blue/Plaid, 3 Months</t>
  </si>
  <si>
    <t>195862021291</t>
  </si>
  <si>
    <t>B0CF6BRGWT</t>
  </si>
  <si>
    <t>49607312</t>
  </si>
  <si>
    <t>Carter's Baby Girls' Pram, Ivory/Plaid, 9 Months</t>
  </si>
  <si>
    <t>111</t>
  </si>
  <si>
    <t>888807288605</t>
  </si>
  <si>
    <t>B0B64JHB97</t>
  </si>
  <si>
    <t>78064361</t>
  </si>
  <si>
    <t>6695466</t>
  </si>
  <si>
    <t>Tommy Hilfiger Men's Arctic Cloth Quilted Snorkel Bomber Jacket, Navy Tech, Small</t>
  </si>
  <si>
    <t>152AP858-NVY-01-SM</t>
  </si>
  <si>
    <t>Navy Tech</t>
  </si>
  <si>
    <t>729391976366</t>
  </si>
  <si>
    <t>B07KM7S3BC</t>
  </si>
  <si>
    <t>78064355</t>
  </si>
  <si>
    <t>Tommy Hilfiger Men's Arctic Cloth Quilted Snorkel Bomber Jacket, Black Tech, Small</t>
  </si>
  <si>
    <t>152AP858-BLK-01-SM</t>
  </si>
  <si>
    <t>Black Tech</t>
  </si>
  <si>
    <t>888807288506</t>
  </si>
  <si>
    <t>B0B5FM8CZF</t>
  </si>
  <si>
    <t>78064372</t>
  </si>
  <si>
    <t>Tommy Hilfiger Men's Arctic Cloth Quilted Snorkel Bomber Jacket, Red Tech, Small</t>
  </si>
  <si>
    <t>152AP858-RED-01-SM</t>
  </si>
  <si>
    <t>Red Tech</t>
  </si>
  <si>
    <t>888807288599</t>
  </si>
  <si>
    <t>B0B5G1GL6H</t>
  </si>
  <si>
    <t>78064362</t>
  </si>
  <si>
    <t>Tommy Hilfiger Men's Arctic Cloth Quilted Snorkel Bomber Jacket, Navy Tech, Medium</t>
  </si>
  <si>
    <t>119</t>
  </si>
  <si>
    <t>152AP858-NVY-02-MD</t>
  </si>
  <si>
    <t>888807288544</t>
  </si>
  <si>
    <t>B0B64JG4K8</t>
  </si>
  <si>
    <t>78064368</t>
  </si>
  <si>
    <t>Tommy Hilfiger Men's Arctic Cloth Quilted Snorkel Bomber Jacket, Olive Tech, Medium</t>
  </si>
  <si>
    <t>152AP858-OLV-02-MD</t>
  </si>
  <si>
    <t>Olive Tech</t>
  </si>
  <si>
    <t>729391976359</t>
  </si>
  <si>
    <t>B0B5FFYFLT</t>
  </si>
  <si>
    <t>78064356</t>
  </si>
  <si>
    <t>Tommy Hilfiger Men's Arctic Cloth Quilted Snorkel Bomber Jacket, Black Tech, Medium</t>
  </si>
  <si>
    <t>152AP858-BLK-02-MD</t>
  </si>
  <si>
    <t>888807288490</t>
  </si>
  <si>
    <t>B0B64J63MD</t>
  </si>
  <si>
    <t>78064373</t>
  </si>
  <si>
    <t>Tommy Hilfiger Men's Arctic Cloth Quilted Snorkel Bomber Jacket, Red Tech, Medium</t>
  </si>
  <si>
    <t>152AP858-RED-02-MD</t>
  </si>
  <si>
    <t>888807288643</t>
  </si>
  <si>
    <t>B0B64KVVHH</t>
  </si>
  <si>
    <t>78064379</t>
  </si>
  <si>
    <t>Tommy Hilfiger Men's Arctic Cloth Quilted Snorkel Bomber Jacket, Tommy Logo Print, Medium</t>
  </si>
  <si>
    <t>152AP858-NF1-02-MD</t>
  </si>
  <si>
    <t>Tommy Logo Print</t>
  </si>
  <si>
    <t>888807288483</t>
  </si>
  <si>
    <t>B07KGQL7BS</t>
  </si>
  <si>
    <t>78064374</t>
  </si>
  <si>
    <t>Tommy Hilfiger Men's Arctic Cloth Quilted Snorkel Bomber Jacket, Red Tech, Large</t>
  </si>
  <si>
    <t>152AP858-RED-03-LG</t>
  </si>
  <si>
    <t>888807288520</t>
  </si>
  <si>
    <t>B0B5FFRWY1</t>
  </si>
  <si>
    <t>78064370</t>
  </si>
  <si>
    <t>Tommy Hilfiger Men's Arctic Cloth Quilted Snorkel Bomber Jacket, Olive Tech, X-Large</t>
  </si>
  <si>
    <t>152AP858-OLV-04-XL</t>
  </si>
  <si>
    <t>888807288575</t>
  </si>
  <si>
    <t>B0B64G9FNC</t>
  </si>
  <si>
    <t>78064364</t>
  </si>
  <si>
    <t>Tommy Hilfiger Men's Arctic Cloth Quilted Snorkel Bomber Jacket, Navy Tech, X-Large</t>
  </si>
  <si>
    <t>152AP858-NVY-04-XL</t>
  </si>
  <si>
    <t>888807288629</t>
  </si>
  <si>
    <t>B0B64GMBLG</t>
  </si>
  <si>
    <t>78064381</t>
  </si>
  <si>
    <t>Tommy Hilfiger Men's Arctic Cloth Quilted Snorkel Bomber Jacket, Tommy Logo Print, X-Large</t>
  </si>
  <si>
    <t>99</t>
  </si>
  <si>
    <t>152AP858-NF1-04-XL</t>
  </si>
  <si>
    <t>888807288476</t>
  </si>
  <si>
    <t>B0B5FF9ZD4</t>
  </si>
  <si>
    <t>78064375</t>
  </si>
  <si>
    <t>Tommy Hilfiger Men's Arctic Cloth Quilted Snorkel Bomber Jacket, Red Tech, X-Large</t>
  </si>
  <si>
    <t>152AP858-RED-04-XL</t>
  </si>
  <si>
    <t>888807288612</t>
  </si>
  <si>
    <t>B0B5FDGDPM</t>
  </si>
  <si>
    <t>78064382</t>
  </si>
  <si>
    <t>Tommy Hilfiger Men's Arctic Cloth Quilted Snorkel Bomber Jacket, Tommy Logo Print, XX-Large</t>
  </si>
  <si>
    <t>152AP858-NF1-05-XXL</t>
  </si>
  <si>
    <t>888807288469</t>
  </si>
  <si>
    <t>B07KGQK6PG</t>
  </si>
  <si>
    <t>78064376</t>
  </si>
  <si>
    <t>Tommy Hilfiger Men's Arctic Cloth Quilted Snorkel Bomber Jacket, Red Tech, XX-Large</t>
  </si>
  <si>
    <t>152AP858-RED-05-XXL</t>
  </si>
  <si>
    <t>195862081738</t>
  </si>
  <si>
    <t>B0CKWLLCN1</t>
  </si>
  <si>
    <t>65443196</t>
  </si>
  <si>
    <t>6207219</t>
  </si>
  <si>
    <t>Carter's Boys' 2T-4T 2 Piece Long Sleeve Knit Top and Pants Set (Blue/Red Shawl Sweater, 2T)</t>
  </si>
  <si>
    <t>147</t>
  </si>
  <si>
    <t>195862081745</t>
  </si>
  <si>
    <t>B0CKWHMQ3L</t>
  </si>
  <si>
    <t>65443197</t>
  </si>
  <si>
    <t>Carter's Boys' 2T-4T 2 Piece Long Sleeve Knit Top and Pants Set (Blue/Red Shawl Sweater, 3T)</t>
  </si>
  <si>
    <t>195862081752</t>
  </si>
  <si>
    <t>B0CKWJPD58</t>
  </si>
  <si>
    <t>65443203</t>
  </si>
  <si>
    <t>Carter's Boys' 2T-4T 2 Piece Long Sleeve Knit Top and Pants Set (Blue/Red Shawl Sweater, 4T)</t>
  </si>
  <si>
    <t>52</t>
  </si>
  <si>
    <t>195862118168</t>
  </si>
  <si>
    <t>B0CL5S6HNH</t>
  </si>
  <si>
    <t>37530930</t>
  </si>
  <si>
    <t>6185246</t>
  </si>
  <si>
    <t>Carter's Baby Boys 3 Piece Little Jacket Set (Doubleknit Grey/Red/Black, Newborn)</t>
  </si>
  <si>
    <t>Doubleknit Grey/Red/Black</t>
  </si>
  <si>
    <t>195862118137</t>
  </si>
  <si>
    <t>B0CL5SKKM6</t>
  </si>
  <si>
    <t>37530932</t>
  </si>
  <si>
    <t>Carter's Baby Boys 3 Piece Little Jacket Set (Doubleknit Grey/Red/Black, 6 Months)…</t>
  </si>
  <si>
    <t>195862118120</t>
  </si>
  <si>
    <t>B0CL5RBM8Z</t>
  </si>
  <si>
    <t>37530931</t>
  </si>
  <si>
    <t>Carter's Baby Boys 3 Piece Little Jacket Set (Doubleknit Grey/Red/Black, 3 Months)……</t>
  </si>
  <si>
    <t>195862118144</t>
  </si>
  <si>
    <t>B0CL5RJTWQ</t>
  </si>
  <si>
    <t>37530938</t>
  </si>
  <si>
    <t>Carter's Baby Boys 3 Piece Little Jacket Set (Doubleknit Grey/Red/Black, 9 Months)……</t>
  </si>
  <si>
    <t>378</t>
  </si>
  <si>
    <t>195862118090</t>
  </si>
  <si>
    <t>B0CL5SDBPL</t>
  </si>
  <si>
    <t>37530939</t>
  </si>
  <si>
    <t>Carter's Baby Boys 3 Piece Little Jacket Set (Doubleknit Grey/Red/Black, 12 Months)…</t>
  </si>
  <si>
    <t>421</t>
  </si>
  <si>
    <t>195862118106</t>
  </si>
  <si>
    <t>B0CL5R932P</t>
  </si>
  <si>
    <t>37530940</t>
  </si>
  <si>
    <t>Carter's Baby Boys 3 Piece Little Jacket Set (Doubleknit Grey/Red/Black, 18 Months)……</t>
  </si>
  <si>
    <t>193855254732</t>
  </si>
  <si>
    <t>B0815HT39Q</t>
  </si>
  <si>
    <t>75883032</t>
  </si>
  <si>
    <t>4217722</t>
  </si>
  <si>
    <t>Columbia Men's Steens Mountain Printed Jacket, Mountain Red Check Print, Small</t>
  </si>
  <si>
    <t>1478231</t>
  </si>
  <si>
    <t>Mountain Red Check Print</t>
  </si>
  <si>
    <t>193855254756</t>
  </si>
  <si>
    <t>B0815HWBV9</t>
  </si>
  <si>
    <t>75883034</t>
  </si>
  <si>
    <t>Columbia Men's Steens Mountain Printed Jacket, Mountain Red Check Print, Medium</t>
  </si>
  <si>
    <t>303</t>
  </si>
  <si>
    <t>194895237785</t>
  </si>
  <si>
    <t>B09KMKFKT4</t>
  </si>
  <si>
    <t>29769609</t>
  </si>
  <si>
    <t>Columbia Men's Steens Mountain Printed Jacket, Chalk Check Print, Medium</t>
  </si>
  <si>
    <t>Chalk Check Print</t>
  </si>
  <si>
    <t>193855254725</t>
  </si>
  <si>
    <t>B0815J4LGR</t>
  </si>
  <si>
    <t>75883035</t>
  </si>
  <si>
    <t>Columbia Men's Steens Mountain Printed Jacket, Mountain Red Check Print, Large</t>
  </si>
  <si>
    <t>474</t>
  </si>
  <si>
    <t>194895237792</t>
  </si>
  <si>
    <t>B09KMK2NQH</t>
  </si>
  <si>
    <t>29769610</t>
  </si>
  <si>
    <t>Columbia Men's Steens Mountain Printed Jacket, Chalk Check Print, Large</t>
  </si>
  <si>
    <t>276</t>
  </si>
  <si>
    <t>193855254763</t>
  </si>
  <si>
    <t>B0815HWSDQ</t>
  </si>
  <si>
    <t>75883036</t>
  </si>
  <si>
    <t>Columbia Men's Steens Mountain Printed Jacket, Mountain Red Check Print, X-Large</t>
  </si>
  <si>
    <t>388</t>
  </si>
  <si>
    <t>194895237761</t>
  </si>
  <si>
    <t>B09KMKDNXQ</t>
  </si>
  <si>
    <t>29769611</t>
  </si>
  <si>
    <t>Columbia Men's Steens Mountain Printed Jacket, Chalk Check Print, X-Large</t>
  </si>
  <si>
    <t>193855254749</t>
  </si>
  <si>
    <t>B0815HQFST</t>
  </si>
  <si>
    <t>75883037</t>
  </si>
  <si>
    <t>Columbia Men's Steens Mountain Printed Jacket, Mountain Red Check Print, XX-Large</t>
  </si>
  <si>
    <t>166</t>
  </si>
  <si>
    <t>194895237754</t>
  </si>
  <si>
    <t>B09KMK9NT9</t>
  </si>
  <si>
    <t>29769612</t>
  </si>
  <si>
    <t>Columbia Men's Steens Mountain Printed Jacket, Chalk Check Print, XX-Large</t>
  </si>
  <si>
    <t>80</t>
  </si>
  <si>
    <t>194817945200</t>
  </si>
  <si>
    <t>B0893RWLVB</t>
  </si>
  <si>
    <t>54082764</t>
  </si>
  <si>
    <t>5538887</t>
  </si>
  <si>
    <t>adidas womens Essentials Logo Tee T Shirt, White/Black, X-Small US</t>
  </si>
  <si>
    <t>46361</t>
  </si>
  <si>
    <t>194817917481</t>
  </si>
  <si>
    <t>B0893SHLHF</t>
  </si>
  <si>
    <t>30091066</t>
  </si>
  <si>
    <t>adidas Women's Essentials Logo Tee, Black/White, X-Small</t>
  </si>
  <si>
    <t>Black / White</t>
  </si>
  <si>
    <t>194817944449</t>
  </si>
  <si>
    <t>B08MR24NC4</t>
  </si>
  <si>
    <t>54082765</t>
  </si>
  <si>
    <t>adidas Women's Essentials Logo Tee, White/Black, Small</t>
  </si>
  <si>
    <t>194817917504</t>
  </si>
  <si>
    <t>B08MT4NC89</t>
  </si>
  <si>
    <t>30091067</t>
  </si>
  <si>
    <t>adidas Women's Essentials Logo Tee, Black/White, Small</t>
  </si>
  <si>
    <t>195333899893</t>
  </si>
  <si>
    <t>B0BPDZSSN5</t>
  </si>
  <si>
    <t>30479043</t>
  </si>
  <si>
    <t>5868068</t>
  </si>
  <si>
    <t>Reef Boy's Ahi Flip-Flop, Sunset 45, 10 Little Kid</t>
  </si>
  <si>
    <t>CJ2095</t>
  </si>
  <si>
    <t>Sunset 45</t>
  </si>
  <si>
    <t>195333899909</t>
  </si>
  <si>
    <t>B0BPDZXB1S</t>
  </si>
  <si>
    <t>30479044</t>
  </si>
  <si>
    <t>Reef Boy's Ahi Flip-Flop, Sunset 45, 11 Little Kid</t>
  </si>
  <si>
    <t>175</t>
  </si>
  <si>
    <t>195333897219</t>
  </si>
  <si>
    <t>B0BPDX487R</t>
  </si>
  <si>
    <t>76909170</t>
  </si>
  <si>
    <t>Reef Boy's Ahi Flip-Flop, 80'S Tread, 11 Little Kid</t>
  </si>
  <si>
    <t>CJ2091</t>
  </si>
  <si>
    <t>80's Tread</t>
  </si>
  <si>
    <t>195333899916</t>
  </si>
  <si>
    <t>B0BPDZ1665</t>
  </si>
  <si>
    <t>30479045</t>
  </si>
  <si>
    <t>Reef Boy's Ahi Flip-Flop, Sunset 45, 12 Little Kid</t>
  </si>
  <si>
    <t>195333897226</t>
  </si>
  <si>
    <t>B0BPDXB7RR</t>
  </si>
  <si>
    <t>76909171</t>
  </si>
  <si>
    <t>Reef Boy's Ahi Flip-Flop, 80'S Tread, 12 Little Kid</t>
  </si>
  <si>
    <t>194514374617</t>
  </si>
  <si>
    <t>B0874V9TV3</t>
  </si>
  <si>
    <t>18895564</t>
  </si>
  <si>
    <t>4551355</t>
  </si>
  <si>
    <t>Under Armour Womens HeatGear Armour High Waisted Ankle No-Slip Leggings , Black (001)/White , X-Small</t>
  </si>
  <si>
    <t>1365335</t>
  </si>
  <si>
    <t>194514375126</t>
  </si>
  <si>
    <t>B0872D817B</t>
  </si>
  <si>
    <t>18885276</t>
  </si>
  <si>
    <t>Under Armour Womens HeatGear Armour High Waisted Ankle No-Slip Leggings , Midnight Navy (410)/White , X-Small</t>
  </si>
  <si>
    <t>Midnight Navy (410)/White</t>
  </si>
  <si>
    <t>195979391850</t>
  </si>
  <si>
    <t>B0BKQSQ2CK</t>
  </si>
  <si>
    <t>75525013</t>
  </si>
  <si>
    <t>7060946</t>
  </si>
  <si>
    <t>Columbia Men's Puffect II Jacket, Collegiate Navy, Small</t>
  </si>
  <si>
    <t>2025822</t>
  </si>
  <si>
    <t>195979392208</t>
  </si>
  <si>
    <t>B0BKRGVWD4</t>
  </si>
  <si>
    <t>75541533</t>
  </si>
  <si>
    <t>Columbia Men's Puffect II Jacket, Stone Green, Small</t>
  </si>
  <si>
    <t>195979392222</t>
  </si>
  <si>
    <t>B0BKQPPB98</t>
  </si>
  <si>
    <t>75541563</t>
  </si>
  <si>
    <t>Columbia Men's Puffect II Jacket, City Grey/Black, Small</t>
  </si>
  <si>
    <t>City Grey, Black</t>
  </si>
  <si>
    <t>195979391874</t>
  </si>
  <si>
    <t>B0BKQWSK71</t>
  </si>
  <si>
    <t>75541534</t>
  </si>
  <si>
    <t>Columbia Men's Puffect II Jacket, Stone Green, Medium</t>
  </si>
  <si>
    <t>195979392253</t>
  </si>
  <si>
    <t>B0BKQXBR2Z</t>
  </si>
  <si>
    <t>75541564</t>
  </si>
  <si>
    <t>Columbia Men's Puffect II Jacket, City Grey/Black, Medium</t>
  </si>
  <si>
    <t>195979391898</t>
  </si>
  <si>
    <t>B0BKQZV9F3</t>
  </si>
  <si>
    <t>75541535</t>
  </si>
  <si>
    <t>Columbia Men's Puffect II Jacket, Stone Green, Large</t>
  </si>
  <si>
    <t>195979391881</t>
  </si>
  <si>
    <t>B0BKQZTDKG</t>
  </si>
  <si>
    <t>75541536</t>
  </si>
  <si>
    <t>Columbia Men's Puffect II Jacket, Stone Green, X-Large</t>
  </si>
  <si>
    <t>195979392246</t>
  </si>
  <si>
    <t>B0BKQYT8WM</t>
  </si>
  <si>
    <t>75541566</t>
  </si>
  <si>
    <t>Columbia Men's Puffect II Jacket, City Grey/Black, X-Large</t>
  </si>
  <si>
    <t>195979392277</t>
  </si>
  <si>
    <t>B0BKQV3KK3</t>
  </si>
  <si>
    <t>75541576</t>
  </si>
  <si>
    <t>Columbia Men's Puffect II Jacket, Black, X-Large</t>
  </si>
  <si>
    <t>195979392215</t>
  </si>
  <si>
    <t>B0BKR1V2T9</t>
  </si>
  <si>
    <t>75541538</t>
  </si>
  <si>
    <t>Columbia Men's Puffect II Jacket, Stone Green, XX-Large</t>
  </si>
  <si>
    <t>195979392239</t>
  </si>
  <si>
    <t>B0BKR2K7P9</t>
  </si>
  <si>
    <t>75541568</t>
  </si>
  <si>
    <t>Columbia Men's Puffect II Jacket, City Grey/Black, XX-Large</t>
  </si>
  <si>
    <t>195979392307</t>
  </si>
  <si>
    <t>B0BKR21JCX</t>
  </si>
  <si>
    <t>75541578</t>
  </si>
  <si>
    <t>Columbia Men's Puffect II Jacket, Black, XX-Large</t>
  </si>
  <si>
    <t>195743062641</t>
  </si>
  <si>
    <t>B09KMH7PXK</t>
  </si>
  <si>
    <t>75386324</t>
  </si>
  <si>
    <t>7090356</t>
  </si>
  <si>
    <t>adidas Lite Racer Adapt 5.0 Running Shoe, Ink/Shadow Navy/White, 5 US Unisex Big Kid</t>
  </si>
  <si>
    <t>LKK53</t>
  </si>
  <si>
    <t>Ink/Shadow Navy/White</t>
  </si>
  <si>
    <t>195861372790</t>
  </si>
  <si>
    <t>B0CL5DH89L</t>
  </si>
  <si>
    <t>54727582</t>
  </si>
  <si>
    <t>5579717</t>
  </si>
  <si>
    <t>Carter's Baby Boys' 3 Piece Plaid Patch Little Vest Set (Red/Multi Airplane, Newborn)</t>
  </si>
  <si>
    <t>76</t>
  </si>
  <si>
    <t>Plaid Patch Little Vest Set</t>
  </si>
  <si>
    <t>Red/Multi Airplane</t>
  </si>
  <si>
    <t>195861372769</t>
  </si>
  <si>
    <t>B0CL5BWDSB</t>
  </si>
  <si>
    <t>54727585</t>
  </si>
  <si>
    <t>Carter's Baby Boys' 3 Piece Plaid Patch Little Vest Set (Red/Multi Airplane, 6 Months)</t>
  </si>
  <si>
    <t>195861372752</t>
  </si>
  <si>
    <t>B0CL5CMQVG</t>
  </si>
  <si>
    <t>54727584</t>
  </si>
  <si>
    <t>Carter's Baby Boys' 3 Piece Plaid Patch Little Vest Set (Red/Multi Airplane, 3 Months)</t>
  </si>
  <si>
    <t>280</t>
  </si>
  <si>
    <t>195861372776</t>
  </si>
  <si>
    <t>B0CL5CX76Y</t>
  </si>
  <si>
    <t>54727586</t>
  </si>
  <si>
    <t>Carter's Baby Boys' 3 Piece Plaid Patch Little Vest Set (Red/Multi Airplane, 9 Months)</t>
  </si>
  <si>
    <t>343</t>
  </si>
  <si>
    <t>195861372721</t>
  </si>
  <si>
    <t>B0CL5CTZ37</t>
  </si>
  <si>
    <t>54727587</t>
  </si>
  <si>
    <t>Carter's Baby Boys' 3 Piece Plaid Patch Little Vest Set (Red/Multi Airplane, 12 Months)…</t>
  </si>
  <si>
    <t>468</t>
  </si>
  <si>
    <t>195861372738</t>
  </si>
  <si>
    <t>B0CL5CXJCB</t>
  </si>
  <si>
    <t>54727588</t>
  </si>
  <si>
    <t>Carter's Baby Boys' 3 Piece Plaid Patch Little Vest Set (Red/Multi Airplane, 18 Months)…</t>
  </si>
  <si>
    <t>439</t>
  </si>
  <si>
    <t>195861372745</t>
  </si>
  <si>
    <t>B0CL5C7VZL</t>
  </si>
  <si>
    <t>54727589</t>
  </si>
  <si>
    <t>Carter's Baby Boys' 3 Piece Plaid Patch Little Vest Set (Red/Multi Airplane, 24 Months)…</t>
  </si>
  <si>
    <t>174</t>
  </si>
  <si>
    <t>193769466443</t>
  </si>
  <si>
    <t>B09B69GV8N</t>
  </si>
  <si>
    <t>70353898</t>
  </si>
  <si>
    <t>7081383</t>
  </si>
  <si>
    <t>WallFlower Women's Size Luscious Curvy Bootcut Mid-Rise Bling Insta Stretch Juniors Jeans (Standard, Clarke, 16 Plus</t>
  </si>
  <si>
    <t>254</t>
  </si>
  <si>
    <t>Clarke</t>
  </si>
  <si>
    <t>193769894260</t>
  </si>
  <si>
    <t>B0BZDXP55K</t>
  </si>
  <si>
    <t>55684934</t>
  </si>
  <si>
    <t>WallFlower Women's Size Luscious Curvy Bootcut Mid-Rise Bling Insta Stretch Juniors Jeans (Standard, Ryan, 16 Plus</t>
  </si>
  <si>
    <t>Ryan</t>
  </si>
  <si>
    <t>193769467112</t>
  </si>
  <si>
    <t>B09VGVP8NZ</t>
  </si>
  <si>
    <t>64132693</t>
  </si>
  <si>
    <t>WallFlower Women's Size Luscious Curvy Bootcut Mid-Rise Bling Insta Stretch Juniors Jeans (Standard, Galaxy, 16 Plus</t>
  </si>
  <si>
    <t>193769467129</t>
  </si>
  <si>
    <t>B09VGW459K</t>
  </si>
  <si>
    <t>37724578</t>
  </si>
  <si>
    <t>WallFlower Women's Size Luscious Curvy Bootcut Mid-Rise Bling Insta Stretch Juniors Jeans (Standard, Galaxy, 18 Plus</t>
  </si>
  <si>
    <t>233</t>
  </si>
  <si>
    <t>193769466450</t>
  </si>
  <si>
    <t>B09B69PWSV</t>
  </si>
  <si>
    <t>49703958</t>
  </si>
  <si>
    <t>WallFlower Women's Size Luscious Curvy Bootcut Mid-Rise Bling Insta Stretch Juniors Jeans (Standard, Clarke, 18 Plus</t>
  </si>
  <si>
    <t>200</t>
  </si>
  <si>
    <t>193769894277</t>
  </si>
  <si>
    <t>B0BZDVVBTV</t>
  </si>
  <si>
    <t>55684935</t>
  </si>
  <si>
    <t>WallFlower Women's Size Luscious Curvy Bootcut Mid-Rise Bling Insta Stretch Juniors Jeans (Standard, Ryan, 18 Plus</t>
  </si>
  <si>
    <t>193769467136</t>
  </si>
  <si>
    <t>B09VGWWQ7F</t>
  </si>
  <si>
    <t>37724579</t>
  </si>
  <si>
    <t>WallFlower Women's Size Luscious Curvy Bootcut Mid-Rise Bling Insta Stretch Juniors Jeans (Standard, Galaxy, 20 Plus</t>
  </si>
  <si>
    <t>203</t>
  </si>
  <si>
    <t>193769693122</t>
  </si>
  <si>
    <t>B09VGWLPVV</t>
  </si>
  <si>
    <t>71094384</t>
  </si>
  <si>
    <t>WallFlower Women's Size Luscious Curvy Bootcut Mid-Rise Bling Insta Stretch Juniors Jeans (Standard, Birch, 20 Plus</t>
  </si>
  <si>
    <t>193769894284</t>
  </si>
  <si>
    <t>B0BZDWBVJG</t>
  </si>
  <si>
    <t>55684936</t>
  </si>
  <si>
    <t>WallFlower Women's Size Luscious Curvy Bootcut Mid-Rise Bling Insta Stretch Juniors Jeans (Standard, Ryan, 20 Plus</t>
  </si>
  <si>
    <t>193769466467</t>
  </si>
  <si>
    <t>B09B69HG46</t>
  </si>
  <si>
    <t>49703959</t>
  </si>
  <si>
    <t>WallFlower Women's Size Luscious Curvy Bootcut Mid-Rise Bling Insta Stretch Juniors Jeans (Standard, Clarke, 20 Plus</t>
  </si>
  <si>
    <t>235</t>
  </si>
  <si>
    <t>193769466474</t>
  </si>
  <si>
    <t>B09B69P7HZ</t>
  </si>
  <si>
    <t>49703960</t>
  </si>
  <si>
    <t>WallFlower Women's Size Luscious Curvy Bootcut Mid-Rise Bling Insta Stretch Juniors Jeans (Standard, Clarke, 22 Plus</t>
  </si>
  <si>
    <t>193769894291</t>
  </si>
  <si>
    <t>B0BZDT71LY</t>
  </si>
  <si>
    <t>55684937</t>
  </si>
  <si>
    <t>WallFlower Women's Size Luscious Curvy Bootcut Mid-Rise Bling Insta Stretch Juniors Jeans (Standard, Ryan, 22 Plus</t>
  </si>
  <si>
    <t>193769467143</t>
  </si>
  <si>
    <t>B09VGVYXGG</t>
  </si>
  <si>
    <t>37724580</t>
  </si>
  <si>
    <t>WallFlower Women's Size Luscious Curvy Bootcut Mid-Rise Bling Insta Stretch Juniors Jeans (Standard, Galaxy, 22 Plus</t>
  </si>
  <si>
    <t>172</t>
  </si>
  <si>
    <t>193769466481</t>
  </si>
  <si>
    <t>B09B69DZWL</t>
  </si>
  <si>
    <t>49703961</t>
  </si>
  <si>
    <t>WallFlower Women's Size Luscious Curvy Bootcut Mid-Rise Bling Insta Stretch Juniors Jeans (Standard, Clarke, 24 Plus</t>
  </si>
  <si>
    <t>193769693146</t>
  </si>
  <si>
    <t>B09VGWP21T</t>
  </si>
  <si>
    <t>71094386</t>
  </si>
  <si>
    <t>WallFlower Women's Size Luscious Curvy Bootcut Mid-Rise Bling Insta Stretch Juniors Jeans (Standard, Birch, 24 Plus</t>
  </si>
  <si>
    <t>193769894307</t>
  </si>
  <si>
    <t>B0BZDYMWWJ</t>
  </si>
  <si>
    <t>55684938</t>
  </si>
  <si>
    <t>WallFlower Women's Size Luscious Curvy Bootcut Mid-Rise Bling Insta Stretch Juniors Jeans (Standard, Ryan, 24 Plus</t>
  </si>
  <si>
    <t>193769467150</t>
  </si>
  <si>
    <t>B09VGWMC4L</t>
  </si>
  <si>
    <t>37724581</t>
  </si>
  <si>
    <t>WallFlower Women's Size Luscious Curvy Bootcut Mid-Rise Bling Insta Stretch Juniors Jeans (Standard, Galaxy, 24 Plus</t>
  </si>
  <si>
    <t>193666646511</t>
  </si>
  <si>
    <t>B08W2C3GXL</t>
  </si>
  <si>
    <t>55247325</t>
  </si>
  <si>
    <t>4972112</t>
  </si>
  <si>
    <t>Spalding Men's Activewear Branded Jogger Sweatpant, Heather Grey, XXL</t>
  </si>
  <si>
    <t>RH6S298</t>
  </si>
  <si>
    <t>Heather Grey</t>
  </si>
  <si>
    <t>195979510756</t>
  </si>
  <si>
    <t>B0BKQWV6BD</t>
  </si>
  <si>
    <t>58450462</t>
  </si>
  <si>
    <t>6076484</t>
  </si>
  <si>
    <t>Columbia Women's West Bend 1/4 Zip Pullover, Sea Salt Skyscape/Sea Salt, Small</t>
  </si>
  <si>
    <t>2051821</t>
  </si>
  <si>
    <t>Sea Salt Skyscape/Sea Salt</t>
  </si>
  <si>
    <t>195979516413</t>
  </si>
  <si>
    <t>B0BKQTHMB9</t>
  </si>
  <si>
    <t>58450442</t>
  </si>
  <si>
    <t>Columbia Women's West Bend 1/4 Zip Pullover, Red Lily Checkered Peaks/Chalk, Small</t>
  </si>
  <si>
    <t>Red Lily Checkered Peaks/Chalk</t>
  </si>
  <si>
    <t>195979516437</t>
  </si>
  <si>
    <t>B0BKR55JXS</t>
  </si>
  <si>
    <t>58450443</t>
  </si>
  <si>
    <t>Columbia Women's West Bend 1/4 Zip Pullover, Red Lily Checkered Peaks/Chalk, Medium</t>
  </si>
  <si>
    <t>195979516451</t>
  </si>
  <si>
    <t>B0BKQY8B63</t>
  </si>
  <si>
    <t>58450444</t>
  </si>
  <si>
    <t>Columbia Women's West Bend 1/4 Zip Pullover, Red Lily Checkered Peaks/Chalk, Large</t>
  </si>
  <si>
    <t>195979510749</t>
  </si>
  <si>
    <t>B0BKQW8VHV</t>
  </si>
  <si>
    <t>58450464</t>
  </si>
  <si>
    <t>Columbia Women's West Bend 1/4 Zip Pullover, Sea Salt Skyscape/Sea Salt, Large</t>
  </si>
  <si>
    <t>195979516406</t>
  </si>
  <si>
    <t>B0BKQYPS29</t>
  </si>
  <si>
    <t>58450445</t>
  </si>
  <si>
    <t>Columbia Women's West Bend 1/4 Zip Pullover, Red Lily Checkered Peaks/Chalk, X-Large</t>
  </si>
  <si>
    <t>195979510725</t>
  </si>
  <si>
    <t>B0BKQXNXS9</t>
  </si>
  <si>
    <t>58450465</t>
  </si>
  <si>
    <t>Columbia Women's West Bend 1/4 Zip Pullover, Sea Salt Skyscape/Sea Salt, X-Large</t>
  </si>
  <si>
    <t>195979510053</t>
  </si>
  <si>
    <t>B0BKR19VXK</t>
  </si>
  <si>
    <t>58450455</t>
  </si>
  <si>
    <t>Columbia Women's West Bend 1/4 Zip Pullover, Stone Green Serendipity Stripe, X-Large</t>
  </si>
  <si>
    <t>Stone Green Serendipity Stripe</t>
  </si>
  <si>
    <t>195979510770</t>
  </si>
  <si>
    <t>B0BKQY4WSS</t>
  </si>
  <si>
    <t>58450435</t>
  </si>
  <si>
    <t>Columbia Women's West Bend 1/4 Zip Pullover, Chalk Checkered Peaks/Chalk, X-Large</t>
  </si>
  <si>
    <t>Chalk Checkered Peaks/Chalk</t>
  </si>
  <si>
    <t>195979510077</t>
  </si>
  <si>
    <t>B0BKQZMDQY</t>
  </si>
  <si>
    <t>58450461</t>
  </si>
  <si>
    <t>Columbia Women's West Bend 1/4 Zip Pullover, Stone Green Serendipity Stripe, XX-Large</t>
  </si>
  <si>
    <t>195979511128</t>
  </si>
  <si>
    <t>B0BKQZ9KCH</t>
  </si>
  <si>
    <t>58450441</t>
  </si>
  <si>
    <t>Columbia Women's West Bend 1/4 Zip Pullover, Chalk Checkered Peaks/Chalk, XX-Large</t>
  </si>
  <si>
    <t>195979510718</t>
  </si>
  <si>
    <t>B0BKR18T5P</t>
  </si>
  <si>
    <t>58450471</t>
  </si>
  <si>
    <t>Columbia Women's West Bend 1/4 Zip Pullover, Sea Salt Skyscape/Sea Salt, XX-Large</t>
  </si>
  <si>
    <t>195979516444</t>
  </si>
  <si>
    <t>B0BKQYLR2P</t>
  </si>
  <si>
    <t>58450451</t>
  </si>
  <si>
    <t>Columbia Women's West Bend 1/4 Zip Pullover, Red Lily Checkered Peaks/Chalk, XX-Large</t>
  </si>
  <si>
    <t>756571280036</t>
  </si>
  <si>
    <t>B01E8O3GJA</t>
  </si>
  <si>
    <t>79369770</t>
  </si>
  <si>
    <t>3364458</t>
  </si>
  <si>
    <t>Unionbay Women's Karma Ultra Stretch Skinny Pant, Black, 0</t>
  </si>
  <si>
    <t>J3W66GN</t>
  </si>
  <si>
    <t>756571280760</t>
  </si>
  <si>
    <t>B01E8O4J8W</t>
  </si>
  <si>
    <t>49936212</t>
  </si>
  <si>
    <t>Unionbay Women's Karma Ultra Stretch Skinny Pant, Galaxy Grey, 0</t>
  </si>
  <si>
    <t>Galaxy Grey</t>
  </si>
  <si>
    <t>756571379327</t>
  </si>
  <si>
    <t>B0792GX74L</t>
  </si>
  <si>
    <t>63989886</t>
  </si>
  <si>
    <t>Unionbay Women's Karma Ultra Stretch Skinny Pant, Beige, 0</t>
  </si>
  <si>
    <t>Beige</t>
  </si>
  <si>
    <t>756571280043</t>
  </si>
  <si>
    <t>B01E8O4F5Y</t>
  </si>
  <si>
    <t>79369771</t>
  </si>
  <si>
    <t>Unionbay Women's Karma Ultra Stretch Skinny Pant, Black, 1</t>
  </si>
  <si>
    <t>122</t>
  </si>
  <si>
    <t>756571280777</t>
  </si>
  <si>
    <t>B01E8O4J8C</t>
  </si>
  <si>
    <t>49936211</t>
  </si>
  <si>
    <t>Unionbay Women's Karma Ultra Stretch Skinny Pant, Galaxy Grey, 1</t>
  </si>
  <si>
    <t>70</t>
  </si>
  <si>
    <t>756571379334</t>
  </si>
  <si>
    <t>B0792R1P22</t>
  </si>
  <si>
    <t>63989885</t>
  </si>
  <si>
    <t>Unionbay Women's Karma Ultra Stretch Skinny Pant, Beige, 1</t>
  </si>
  <si>
    <t>756571280074</t>
  </si>
  <si>
    <t>B01E8O4FI6</t>
  </si>
  <si>
    <t>79369772</t>
  </si>
  <si>
    <t>Unionbay Women's Karma Ultra Stretch Skinny Pant, Black, 3</t>
  </si>
  <si>
    <t>756571379389</t>
  </si>
  <si>
    <t>B0792GX74K</t>
  </si>
  <si>
    <t>63989887</t>
  </si>
  <si>
    <t>Unionbay Women's Karma Ultra Stretch Skinny Pant, Beige, 3</t>
  </si>
  <si>
    <t>319</t>
  </si>
  <si>
    <t>756571280081</t>
  </si>
  <si>
    <t>B01E8O4FK4</t>
  </si>
  <si>
    <t>79369773</t>
  </si>
  <si>
    <t>Unionbay Women's Karma Ultra Stretch Skinny Pant, Black, 5</t>
  </si>
  <si>
    <t>756571379396</t>
  </si>
  <si>
    <t>B0792FKCWR</t>
  </si>
  <si>
    <t>63989888</t>
  </si>
  <si>
    <t>Unionbay Women's Karma Ultra Stretch Skinny Pant, Beige, 5</t>
  </si>
  <si>
    <t>361</t>
  </si>
  <si>
    <t>756571379402</t>
  </si>
  <si>
    <t>B0792TNLDY</t>
  </si>
  <si>
    <t>63989889</t>
  </si>
  <si>
    <t>Unionbay Women's Karma Ultra Stretch Skinny Pant, Beige, 7</t>
  </si>
  <si>
    <t>138</t>
  </si>
  <si>
    <t>756571379419</t>
  </si>
  <si>
    <t>B0792FRHVS</t>
  </si>
  <si>
    <t>63989894</t>
  </si>
  <si>
    <t>Unionbay Women's Karma Ultra Stretch Skinny Pant, Beige, 9</t>
  </si>
  <si>
    <t>756571379341</t>
  </si>
  <si>
    <t>B0792GXC4R</t>
  </si>
  <si>
    <t>63989895</t>
  </si>
  <si>
    <t>Unionbay Women's Karma Ultra Stretch Skinny Pant, Beige, 11</t>
  </si>
  <si>
    <t>375</t>
  </si>
  <si>
    <t>756571379358</t>
  </si>
  <si>
    <t>B0792FQPCQ</t>
  </si>
  <si>
    <t>63989896</t>
  </si>
  <si>
    <t>Unionbay Women's Karma Ultra Stretch Skinny Pant, Beige, 13</t>
  </si>
  <si>
    <t>756571379365</t>
  </si>
  <si>
    <t>B07CWCQBZN</t>
  </si>
  <si>
    <t>63989897</t>
  </si>
  <si>
    <t>Unionbay Women's Karma Ultra Stretch Skinny Pant, Beige, 15</t>
  </si>
  <si>
    <t>756571324068</t>
  </si>
  <si>
    <t>B08LYQ94SP</t>
  </si>
  <si>
    <t>61733936</t>
  </si>
  <si>
    <t>Unionbay Women's Karma Ultra Stretch Skinny Pant, Black, 15</t>
  </si>
  <si>
    <t>756571292626</t>
  </si>
  <si>
    <t>B08LYWRKYV</t>
  </si>
  <si>
    <t>73826063</t>
  </si>
  <si>
    <t>Unionbay Women's Karma Ultra Stretch Skinny Pant, Black, 17</t>
  </si>
  <si>
    <t>196601724442</t>
  </si>
  <si>
    <t>B0C824TXJB</t>
  </si>
  <si>
    <t>20552284</t>
  </si>
  <si>
    <t>6032221</t>
  </si>
  <si>
    <t>Under Armour Boys Outdoor Quarter Zip Pullover Fleece, Lightweight Sweatshirt with a Full Fit, Black Camo</t>
  </si>
  <si>
    <t>UJFGB01F-001</t>
  </si>
  <si>
    <t>Black Camo</t>
  </si>
  <si>
    <t>196601724435</t>
  </si>
  <si>
    <t>B0C826R4Z8</t>
  </si>
  <si>
    <t>20552285</t>
  </si>
  <si>
    <t>261</t>
  </si>
  <si>
    <t>196601724428</t>
  </si>
  <si>
    <t>B0C825PZQJ</t>
  </si>
  <si>
    <t>20552286</t>
  </si>
  <si>
    <t>295</t>
  </si>
  <si>
    <t>196601724459</t>
  </si>
  <si>
    <t>B0C824KPQQ</t>
  </si>
  <si>
    <t>20552287</t>
  </si>
  <si>
    <t>742728944425</t>
  </si>
  <si>
    <t>B098SJ1CJ5</t>
  </si>
  <si>
    <t>48909332</t>
  </si>
  <si>
    <t>5058347</t>
  </si>
  <si>
    <t>Hurley Boys' Woven Jogger Pants, Khaki Twill, S</t>
  </si>
  <si>
    <t>338</t>
  </si>
  <si>
    <t>984853-X1T</t>
  </si>
  <si>
    <t>Khaki Twill</t>
  </si>
  <si>
    <t>742728944432</t>
  </si>
  <si>
    <t>B098SCG6VX</t>
  </si>
  <si>
    <t>48909338</t>
  </si>
  <si>
    <t>Hurley Boys' Woven Jogger Pants, Khaki Twill, M</t>
  </si>
  <si>
    <t>557</t>
  </si>
  <si>
    <t>742728944449</t>
  </si>
  <si>
    <t>B098SSNR9T</t>
  </si>
  <si>
    <t>48909339</t>
  </si>
  <si>
    <t>Hurley Boys' Woven Jogger Pants, Khaki Twill, L</t>
  </si>
  <si>
    <t>299</t>
  </si>
  <si>
    <t>196701562258</t>
  </si>
  <si>
    <t>B0C8FW3FCL</t>
  </si>
  <si>
    <t>74734540</t>
  </si>
  <si>
    <t>6705983</t>
  </si>
  <si>
    <t>Tommy Hilfiger Women's Furry Lining Mid Weight Quilted Puffer with Gold Hardware, Navy</t>
  </si>
  <si>
    <t>TW3MP784-NVY-S</t>
  </si>
  <si>
    <t>196701562296</t>
  </si>
  <si>
    <t>B0C8FVQGYS</t>
  </si>
  <si>
    <t>74734550</t>
  </si>
  <si>
    <t>Tommy Hilfiger Zip-Up Quilted Coat Juniper SM (US 4-6)</t>
  </si>
  <si>
    <t>Juniper</t>
  </si>
  <si>
    <t>196701562371</t>
  </si>
  <si>
    <t>B0C8FXLV6S</t>
  </si>
  <si>
    <t>74734535</t>
  </si>
  <si>
    <t>Tommy Hilfiger Women's Furry Lining Mid Weight Quilted Puffer with Gold Hardware, Black</t>
  </si>
  <si>
    <t>TW3MP784-BLK-S</t>
  </si>
  <si>
    <t>196701562289</t>
  </si>
  <si>
    <t>B0C8FWFMYN</t>
  </si>
  <si>
    <t>74734551</t>
  </si>
  <si>
    <t>Tommy Hilfiger Zip-Up Quilted Coat Juniper MD (US 8-10)</t>
  </si>
  <si>
    <t>196701562241</t>
  </si>
  <si>
    <t>B0C8FWS5NR</t>
  </si>
  <si>
    <t>74734541</t>
  </si>
  <si>
    <t>TW3MP784-NVY-M</t>
  </si>
  <si>
    <t>196701562364</t>
  </si>
  <si>
    <t>B0C8FX5RLV</t>
  </si>
  <si>
    <t>74734536</t>
  </si>
  <si>
    <t>TW3MP784-BLK-M</t>
  </si>
  <si>
    <t>196701562272</t>
  </si>
  <si>
    <t>B0C8FWS2LY</t>
  </si>
  <si>
    <t>74734552</t>
  </si>
  <si>
    <t>Tommy Hilfiger Zip-Up Quilted Coat Juniper LG (US 12-14)</t>
  </si>
  <si>
    <t>028266900612</t>
  </si>
  <si>
    <t>B001OQXLEQ</t>
  </si>
  <si>
    <t>76792729</t>
  </si>
  <si>
    <t>7082734</t>
  </si>
  <si>
    <t>Truck-Lite 94940 Pigtail</t>
  </si>
  <si>
    <t>94940</t>
  </si>
  <si>
    <t>028266900643</t>
  </si>
  <si>
    <t>B001OK05TQ</t>
  </si>
  <si>
    <t>76792732</t>
  </si>
  <si>
    <t>Truck-Lite 94992 Pigtail</t>
  </si>
  <si>
    <t>94992</t>
  </si>
  <si>
    <t>028266900742</t>
  </si>
  <si>
    <t>B00ISF8ZDS</t>
  </si>
  <si>
    <t>58146752</t>
  </si>
  <si>
    <t>Baldwin Filters Oil Filter, Spin-On,</t>
  </si>
  <si>
    <t>B1428</t>
  </si>
  <si>
    <t>028266900650</t>
  </si>
  <si>
    <t>B00IQV2TTK</t>
  </si>
  <si>
    <t>76792734</t>
  </si>
  <si>
    <t>Truck-Lite Series 19 Pigtail-License Lamp Wrw-Pb-R01 95332</t>
  </si>
  <si>
    <t>028266900629</t>
  </si>
  <si>
    <t>B001OQVUVM</t>
  </si>
  <si>
    <t>76792730</t>
  </si>
  <si>
    <t>Truck-Lite Right Angle Marker Clearance Plugs 94964</t>
  </si>
  <si>
    <t>028266900759</t>
  </si>
  <si>
    <t>B00ISF90HS</t>
  </si>
  <si>
    <t>58146753</t>
  </si>
  <si>
    <t>Baldwin Filters Oil Filter, Spin-On, 4-3/32"x3 x4-3/32</t>
  </si>
  <si>
    <t>B1432</t>
  </si>
  <si>
    <t>028266900766</t>
  </si>
  <si>
    <t>B00ISF91JK</t>
  </si>
  <si>
    <t>58146754</t>
  </si>
  <si>
    <t>B1441</t>
  </si>
  <si>
    <t>195703352690</t>
  </si>
  <si>
    <t>B09Z8HND7P</t>
  </si>
  <si>
    <t>61425460</t>
  </si>
  <si>
    <t>5859398</t>
  </si>
  <si>
    <t>TOMS Boy's Alpargata Recycled Cotton Loafer Flat, Drizzle Grey, 3 Big Kid</t>
  </si>
  <si>
    <t>10019841</t>
  </si>
  <si>
    <t>Drizzle Grey</t>
  </si>
  <si>
    <t>196153466197</t>
  </si>
  <si>
    <t>B0BS3PLYSG</t>
  </si>
  <si>
    <t>65548344</t>
  </si>
  <si>
    <t>5828749</t>
  </si>
  <si>
    <t>Nike Boys NSW Club All Over Print Fleece Shorts XL Black</t>
  </si>
  <si>
    <t>196155583069</t>
  </si>
  <si>
    <t>B0CH74NFF8</t>
  </si>
  <si>
    <t>65548353</t>
  </si>
  <si>
    <t>Nike Boys NSW Club All Over Print Fleece Shorts Extra Large</t>
  </si>
  <si>
    <t>Blue 416</t>
  </si>
  <si>
    <t>196565698834</t>
  </si>
  <si>
    <t>B0BRR51384</t>
  </si>
  <si>
    <t>37703762</t>
  </si>
  <si>
    <t>6933238</t>
  </si>
  <si>
    <t>Koolaburra by UGG Koola Mini Fashion Boot, Passion Flower, 3 US Unisex Little Kid</t>
  </si>
  <si>
    <t>1116770</t>
  </si>
  <si>
    <t>Passion Flower</t>
  </si>
  <si>
    <t>196565698841</t>
  </si>
  <si>
    <t>B0BRR2JHF2</t>
  </si>
  <si>
    <t>37703768</t>
  </si>
  <si>
    <t>Koolaburra by UGG Koola Mini Fashion Boot, Passion Flower, 4 US Unisex Big Kid</t>
  </si>
  <si>
    <t>196565698803</t>
  </si>
  <si>
    <t>B0BRR3HX9J</t>
  </si>
  <si>
    <t>37703769</t>
  </si>
  <si>
    <t>Koolaburra by UGG Koola Mini Fashion Boot, Passion Flower, 5 US Unisex Big Kid</t>
  </si>
  <si>
    <t>195979194185</t>
  </si>
  <si>
    <t>B0BQ7KLXT8</t>
  </si>
  <si>
    <t>37802337</t>
  </si>
  <si>
    <t>5570550</t>
  </si>
  <si>
    <t>Men's Lake 22™ Down Jacket</t>
  </si>
  <si>
    <t>1864582</t>
  </si>
  <si>
    <t>Shasta</t>
  </si>
  <si>
    <t>195979194178</t>
  </si>
  <si>
    <t>B0BQ7JTYWZ</t>
  </si>
  <si>
    <t>37802344</t>
  </si>
  <si>
    <t>195979194192</t>
  </si>
  <si>
    <t>B0BQ7JRZVY</t>
  </si>
  <si>
    <t>37802345</t>
  </si>
  <si>
    <t>195979194161</t>
  </si>
  <si>
    <t>B0BQ7HMHZG</t>
  </si>
  <si>
    <t>37802346</t>
  </si>
  <si>
    <t>195979194208</t>
  </si>
  <si>
    <t>B0BQ7KWRNC</t>
  </si>
  <si>
    <t>37802347</t>
  </si>
  <si>
    <t>033977610460</t>
  </si>
  <si>
    <t>B0CD3236NJ</t>
  </si>
  <si>
    <t>65922429</t>
  </si>
  <si>
    <t>7090266</t>
  </si>
  <si>
    <t>MUK LUKS Women's Melinda Slipper, Black Diamonds, Small</t>
  </si>
  <si>
    <t>0016661010-S</t>
  </si>
  <si>
    <t>Black Diamonds</t>
  </si>
  <si>
    <t>033977610491</t>
  </si>
  <si>
    <t>B0CD31JL6X</t>
  </si>
  <si>
    <t>65922432</t>
  </si>
  <si>
    <t>MUK LUKS Women's Melinda Slipper, Black Diamonds, X-Large</t>
  </si>
  <si>
    <t>0016661010-XL</t>
  </si>
  <si>
    <t>197232054120</t>
  </si>
  <si>
    <t>B0CK5RB5LJ</t>
  </si>
  <si>
    <t>44119362</t>
  </si>
  <si>
    <t>6166062</t>
  </si>
  <si>
    <t>Tommy Hilfiger Mens Solid Crewneck Pullover Sweater, Burgundy, XXL</t>
  </si>
  <si>
    <t>Burgundy</t>
  </si>
  <si>
    <t>195862000869</t>
  </si>
  <si>
    <t>B0CKCW6LLR</t>
  </si>
  <si>
    <t>54672463</t>
  </si>
  <si>
    <t>6055719</t>
  </si>
  <si>
    <t>Carter's Baby Boys' Hooded Pram Suit - gray multi, newborn</t>
  </si>
  <si>
    <t>Gray Multi</t>
  </si>
  <si>
    <t>195862000791</t>
  </si>
  <si>
    <t>B0CKD8KS63</t>
  </si>
  <si>
    <t>54672403</t>
  </si>
  <si>
    <t>Carter's Baby Boys' Hooded Pram Suit - gray multi, 12 months</t>
  </si>
  <si>
    <t>196884792190</t>
  </si>
  <si>
    <t>B0BGVLQTT4</t>
  </si>
  <si>
    <t>37226373</t>
  </si>
  <si>
    <t>6075579</t>
  </si>
  <si>
    <t>Under Armour Womens Motion Long Sleeve Longline Crew, (100) White / / Halo Gray, X-Small</t>
  </si>
  <si>
    <t>170</t>
  </si>
  <si>
    <t>1379179/1380173</t>
  </si>
  <si>
    <t>(100) White / / Halo Gray</t>
  </si>
  <si>
    <t>196883898640</t>
  </si>
  <si>
    <t>B0BGVVBVDL</t>
  </si>
  <si>
    <t>37226363</t>
  </si>
  <si>
    <t>Under Armour Womens Motion Long Sleeve Longline Crew, (001) Black / / Jet Gray, X-Small</t>
  </si>
  <si>
    <t>(001) Black / / Jet Gray</t>
  </si>
  <si>
    <t>196883898626</t>
  </si>
  <si>
    <t>B0BGW1KV5X</t>
  </si>
  <si>
    <t>37226368</t>
  </si>
  <si>
    <t>Under Armour Womens Motion Long Sleeve Longline Crew, (001) Black / / Jet Gray, Small</t>
  </si>
  <si>
    <t>141</t>
  </si>
  <si>
    <t>196884792152</t>
  </si>
  <si>
    <t>B0BGVXK55P</t>
  </si>
  <si>
    <t>37226378</t>
  </si>
  <si>
    <t>Under Armour Womens Motion Long Sleeve Longline Crew, (100) White / / Halo Gray, Small</t>
  </si>
  <si>
    <t>215</t>
  </si>
  <si>
    <t>196883898619</t>
  </si>
  <si>
    <t>B0BGVXJTWM</t>
  </si>
  <si>
    <t>37226369</t>
  </si>
  <si>
    <t>Under Armour Womens Motion Long Sleeve Longline Crew, (001) Black / / Jet Gray, Medium</t>
  </si>
  <si>
    <t>196884792145</t>
  </si>
  <si>
    <t>B0BGW5XF7V</t>
  </si>
  <si>
    <t>37226379</t>
  </si>
  <si>
    <t>Under Armour Womens Motion Long Sleeve Longline Crew, (100) White / / Halo Gray, Medium</t>
  </si>
  <si>
    <t>256</t>
  </si>
  <si>
    <t>196883898602</t>
  </si>
  <si>
    <t>B0BGVZY9GX</t>
  </si>
  <si>
    <t>37226370</t>
  </si>
  <si>
    <t>Under Armour Womens Motion Long Sleeve Longline Crew, (001) Black / / Jet Gray, Large</t>
  </si>
  <si>
    <t>196884792169</t>
  </si>
  <si>
    <t>B0BGVXK55R</t>
  </si>
  <si>
    <t>37226380</t>
  </si>
  <si>
    <t>Under Armour Womens Motion Long Sleeve Longline Crew, (100) White / / Halo Gray, Large</t>
  </si>
  <si>
    <t>220</t>
  </si>
  <si>
    <t>196883898633</t>
  </si>
  <si>
    <t>B0BGVGNLHV</t>
  </si>
  <si>
    <t>37226371</t>
  </si>
  <si>
    <t>Under Armour Womens Motion Long Sleeve Longline Crew, (001) Black / / Jet Gray, X-Large</t>
  </si>
  <si>
    <t>196884792176</t>
  </si>
  <si>
    <t>B0BGW2V26B</t>
  </si>
  <si>
    <t>37226381</t>
  </si>
  <si>
    <t>Under Armour Womens Motion Long Sleeve Longline Crew, (100) White / / Halo Gray, X-Large</t>
  </si>
  <si>
    <t>196883898657</t>
  </si>
  <si>
    <t>B0BGVQQCK7</t>
  </si>
  <si>
    <t>37226372</t>
  </si>
  <si>
    <t>Under Armour Womens Motion Long Sleeve Longline Crew, (001) Black / / Jet Gray, XX-Large</t>
  </si>
  <si>
    <t>196884792183</t>
  </si>
  <si>
    <t>B0BGW3L9MW</t>
  </si>
  <si>
    <t>37226382</t>
  </si>
  <si>
    <t>Under Armour Womens Motion Long Sleeve Longline Crew, (100) White / / Halo Gray, XX-Large</t>
  </si>
  <si>
    <t>196601688645</t>
  </si>
  <si>
    <t>B0C46T4CX6</t>
  </si>
  <si>
    <t>82008001</t>
  </si>
  <si>
    <t>6032367</t>
  </si>
  <si>
    <t>Under Armour UA MTN Mix Logo LS, Midnight Navy MTN Mix, YSM</t>
  </si>
  <si>
    <t>263</t>
  </si>
  <si>
    <t>UOFGA14F-413</t>
  </si>
  <si>
    <t>Midnight Navy Mtn Mix</t>
  </si>
  <si>
    <t>196601688546</t>
  </si>
  <si>
    <t>B0C46SNKMQ</t>
  </si>
  <si>
    <t>86687255</t>
  </si>
  <si>
    <t>Under Armour Boys Outdoor Long Sleeve Tee, Stylish Crew Neckline, Cute Full Fit T-Shirt, Black MTN Mix, Small US</t>
  </si>
  <si>
    <t>492</t>
  </si>
  <si>
    <t>UOFGA14F-001</t>
  </si>
  <si>
    <t>Black Mtn Mix</t>
  </si>
  <si>
    <t>196601688638</t>
  </si>
  <si>
    <t>B0C46VHDKF</t>
  </si>
  <si>
    <t>82008002</t>
  </si>
  <si>
    <t>Under Armour UA MTN Mix Logo LS, Midnight Navy MTN Mix, YMD</t>
  </si>
  <si>
    <t>565</t>
  </si>
  <si>
    <t>196601688539</t>
  </si>
  <si>
    <t>B0C46SPPNK</t>
  </si>
  <si>
    <t>86687257</t>
  </si>
  <si>
    <t>Under Armour UA MTN Mix Logo LS, Black MTN Mix, YMD</t>
  </si>
  <si>
    <t>797</t>
  </si>
  <si>
    <t>196601688522</t>
  </si>
  <si>
    <t>B0C46VSW4R</t>
  </si>
  <si>
    <t>86687258</t>
  </si>
  <si>
    <t>Under Armour Boys Outdoor Long Sleeve Tee, Stylish Crew Neckline, Cute Full Fit T-Shirt, Black MTN Mix, Large US</t>
  </si>
  <si>
    <t>937</t>
  </si>
  <si>
    <t>196601688621</t>
  </si>
  <si>
    <t>B0C46SGX1B</t>
  </si>
  <si>
    <t>82008008</t>
  </si>
  <si>
    <t>Under Armour UA MTN Mix Logo LS, Midnight Navy MTN Mix, YLG</t>
  </si>
  <si>
    <t>196601688553</t>
  </si>
  <si>
    <t>B0C46SMBNV</t>
  </si>
  <si>
    <t>86687259</t>
  </si>
  <si>
    <t>Under Armour Boys Outdoor Long Sleeve Tee, Stylish Crew Neckline, Cute Full Fit T-Shirt, Black MTN Mix, X-Large US</t>
  </si>
  <si>
    <t>434</t>
  </si>
  <si>
    <t>196601688652</t>
  </si>
  <si>
    <t>B0C46QMRVK</t>
  </si>
  <si>
    <t>82008009</t>
  </si>
  <si>
    <t>Under Armour UA MTN Mix Logo LS, Midnight Navy MTN Mix, YXL</t>
  </si>
  <si>
    <t>193671455955</t>
  </si>
  <si>
    <t>B0B5B8JFHB</t>
  </si>
  <si>
    <t>33265896</t>
  </si>
  <si>
    <t>5867800</t>
  </si>
  <si>
    <t>Dickies Men's Leather Double Prong Belt, Olive Perforated, Small (30-32)</t>
  </si>
  <si>
    <t>11DI020053-319-SM</t>
  </si>
  <si>
    <t>Olive Perforated</t>
  </si>
  <si>
    <t>193671455962</t>
  </si>
  <si>
    <t>B0B5B99RY2</t>
  </si>
  <si>
    <t>33265897</t>
  </si>
  <si>
    <t>Dickies Men's Leather Double Prong Belt, Olive Perforated, Medium (34-36)</t>
  </si>
  <si>
    <t>11DI020053-319-MD</t>
  </si>
  <si>
    <t>196885365720</t>
  </si>
  <si>
    <t>B0C12W6KCD</t>
  </si>
  <si>
    <t>80604209</t>
  </si>
  <si>
    <t>7081527</t>
  </si>
  <si>
    <t>Under Armour Womens Motion Ankle Leggings, (253) Tundra / / Black, Small</t>
  </si>
  <si>
    <t>(253) Tundra / / Black</t>
  </si>
  <si>
    <t>196953850042</t>
  </si>
  <si>
    <t>B0C42VG64D</t>
  </si>
  <si>
    <t>44163985</t>
  </si>
  <si>
    <t>7081150</t>
  </si>
  <si>
    <t>Eddie Bauer Men's Voyager Flex Long-Sleeve Shirt, Navy, Large</t>
  </si>
  <si>
    <t>0340611400000060</t>
  </si>
  <si>
    <t>196953395598</t>
  </si>
  <si>
    <t>B0C42VRXMQ</t>
  </si>
  <si>
    <t>44163987</t>
  </si>
  <si>
    <t>Eddie Bauer Men's Voyager Flex Long-Sleeve Shirt, Navy, XX-Large</t>
  </si>
  <si>
    <t>0340611400000080</t>
  </si>
  <si>
    <t>193769945719</t>
  </si>
  <si>
    <t>B0C696J1RB</t>
  </si>
  <si>
    <t>80598045</t>
  </si>
  <si>
    <t>7081387</t>
  </si>
  <si>
    <t>WallFlower Women's Luscious Curvy Bootcut Mid-Rise Bling Insta Stretch Juniors Jeans (Standard and Plus), Vici, 16 Plus</t>
  </si>
  <si>
    <t>159</t>
  </si>
  <si>
    <t>193769896073</t>
  </si>
  <si>
    <t>B0BZDWLWZR</t>
  </si>
  <si>
    <t>18760702</t>
  </si>
  <si>
    <t>WallFlower Women's Size Legendary Slim Bootcut Mid-Rise Belted Insta Stretch Juniors Jeans (Standard and Plus), Summer</t>
  </si>
  <si>
    <t>Summer</t>
  </si>
  <si>
    <t>193769467174</t>
  </si>
  <si>
    <t>B09B69MNWH</t>
  </si>
  <si>
    <t>49742196</t>
  </si>
  <si>
    <t>WallFlower Women's Size Legendary Slim Bootcut Mid-Rise Belted Insta Stretch Juniors Jeans (Standard, Evan, 16 Plus</t>
  </si>
  <si>
    <t>330</t>
  </si>
  <si>
    <t>193769945726</t>
  </si>
  <si>
    <t>B0C699Q9WV</t>
  </si>
  <si>
    <t>80598046</t>
  </si>
  <si>
    <t>WallFlower Women's Size Luscious Curvy Bootcut Mid-Rise Bling Insta Stretch Juniors Jeans (Standard, Vici, 18 Plus</t>
  </si>
  <si>
    <t>193769896080</t>
  </si>
  <si>
    <t>B0BZDXY8Y3</t>
  </si>
  <si>
    <t>18760712</t>
  </si>
  <si>
    <t>266</t>
  </si>
  <si>
    <t>193769467181</t>
  </si>
  <si>
    <t>B09B69FQ8Y</t>
  </si>
  <si>
    <t>78202045</t>
  </si>
  <si>
    <t>WallFlower Women's Size Legendary Slim Bootcut Mid-Rise Belted Insta Stretch Juniors Jeans (Standard, Evan, 18 Plus</t>
  </si>
  <si>
    <t>193769945733</t>
  </si>
  <si>
    <t>B0C69C6D9Q</t>
  </si>
  <si>
    <t>80598047</t>
  </si>
  <si>
    <t>WallFlower Women's Size Luscious Curvy Bootcut Mid-Rise Bling Insta Stretch Juniors Jeans (Standard, Vici, 20 Plus</t>
  </si>
  <si>
    <t>193769896097</t>
  </si>
  <si>
    <t>B0BZDVFMS8</t>
  </si>
  <si>
    <t>18760722</t>
  </si>
  <si>
    <t>221</t>
  </si>
  <si>
    <t>193769467198</t>
  </si>
  <si>
    <t>B09B69889T</t>
  </si>
  <si>
    <t>78202046</t>
  </si>
  <si>
    <t>WallFlower Women's Size Legendary Slim Bootcut Mid-Rise Belted Insta Stretch Juniors Jeans (Standard, Evan, 20 Plus</t>
  </si>
  <si>
    <t>379</t>
  </si>
  <si>
    <t>193769945740</t>
  </si>
  <si>
    <t>B0C69BY9QK</t>
  </si>
  <si>
    <t>80598048</t>
  </si>
  <si>
    <t>WallFlower Women's Size Luscious Curvy Bootcut Mid-Rise Bling Insta Stretch Juniors Jeans (Standard, Vici, 22 Plus</t>
  </si>
  <si>
    <t>193769467204</t>
  </si>
  <si>
    <t>B09B695MMQ</t>
  </si>
  <si>
    <t>78202048</t>
  </si>
  <si>
    <t>WallFlower Women's Size Legendary Slim Bootcut Mid-Rise Belted Insta Stretch Juniors Jeans (Standard, Evan, 22 Plus</t>
  </si>
  <si>
    <t>307</t>
  </si>
  <si>
    <t>193769896103</t>
  </si>
  <si>
    <t>B0BZDVG7QB</t>
  </si>
  <si>
    <t>18760732</t>
  </si>
  <si>
    <t>193769896110</t>
  </si>
  <si>
    <t>B0BZDXC318</t>
  </si>
  <si>
    <t>18760742</t>
  </si>
  <si>
    <t>193769467211</t>
  </si>
  <si>
    <t>B09B699N6Z</t>
  </si>
  <si>
    <t>78202053</t>
  </si>
  <si>
    <t>WallFlower womens Legendary Slim Bootcut Mid-rise Belted Insta Stretch Juniors (Standard and Plus) Jeans, Evan, 24 Plus</t>
  </si>
  <si>
    <t>207</t>
  </si>
  <si>
    <t>197235139107</t>
  </si>
  <si>
    <t>B0CH4V75GY</t>
  </si>
  <si>
    <t>65581008</t>
  </si>
  <si>
    <t>6286452</t>
  </si>
  <si>
    <t>Adidas Long Sleeve Cozy Furry Pullover Hoodie Black</t>
  </si>
  <si>
    <t>AA3153</t>
  </si>
  <si>
    <t>884920369603</t>
  </si>
  <si>
    <t>B0BSVHS9JJ</t>
  </si>
  <si>
    <t>37297692</t>
  </si>
  <si>
    <t>5761073</t>
  </si>
  <si>
    <t>Cra-Z-Art Disney Encanto Enchanted Sparkling Jewelry Bracelet Kit, Make 25 Bracelets, Ages 6 and up</t>
  </si>
  <si>
    <t>185</t>
  </si>
  <si>
    <t>36960</t>
  </si>
  <si>
    <t>Jewelry Art</t>
  </si>
  <si>
    <t>195745969412</t>
  </si>
  <si>
    <t>B0BZJXMR8M</t>
  </si>
  <si>
    <t>83030669</t>
  </si>
  <si>
    <t>5518627</t>
  </si>
  <si>
    <t>adidas Boost Rocket Graphic Tee Men's, Blue, Size 4XL</t>
  </si>
  <si>
    <t>HK6760_240</t>
  </si>
  <si>
    <t>Pulse Blue</t>
  </si>
  <si>
    <t>191057843808</t>
  </si>
  <si>
    <t>B07T5FS78L</t>
  </si>
  <si>
    <t>53919679</t>
  </si>
  <si>
    <t>5262411</t>
  </si>
  <si>
    <t>ATG by Wrangler Men's Convertible Trail Jogger, Tiger Brown, 34W x 32L</t>
  </si>
  <si>
    <t>NS715TR</t>
  </si>
  <si>
    <t>Tiger Brown</t>
  </si>
  <si>
    <t>191057843815</t>
  </si>
  <si>
    <t>B07T5GGRNJ</t>
  </si>
  <si>
    <t>53919680</t>
  </si>
  <si>
    <t>ATG by Wrangler Men's Convertible Trail Jogger, Tiger Brown, 34W x 34L</t>
  </si>
  <si>
    <t>191057843822</t>
  </si>
  <si>
    <t>B07T39LWSF</t>
  </si>
  <si>
    <t>53919681</t>
  </si>
  <si>
    <t>ATG by Wrangler Men's Convertible Trail Jogger, Tiger Brown, 36W x 30L</t>
  </si>
  <si>
    <t>191057843839</t>
  </si>
  <si>
    <t>B07T5FJJWF</t>
  </si>
  <si>
    <t>53919683</t>
  </si>
  <si>
    <t>ATG by Wrangler Men's Convertible Trail Jogger, Tiger Brown, 36W x 32L</t>
  </si>
  <si>
    <t>191057849640</t>
  </si>
  <si>
    <t>B07SZ3RSB2</t>
  </si>
  <si>
    <t>46615802</t>
  </si>
  <si>
    <t>ATG by Wrangler Men's Convertible Trail Jogger, Caviar, 36W x 32L</t>
  </si>
  <si>
    <t>NS715CV</t>
  </si>
  <si>
    <t>Caviar</t>
  </si>
  <si>
    <t>191057843846</t>
  </si>
  <si>
    <t>B07T4DZMBL</t>
  </si>
  <si>
    <t>53919684</t>
  </si>
  <si>
    <t>ATG by Wrangler Men's Convertible Trail Jogger, Tiger Brown, 36W x 34L</t>
  </si>
  <si>
    <t>191057849657</t>
  </si>
  <si>
    <t>B07T5G69ZS</t>
  </si>
  <si>
    <t>46615803</t>
  </si>
  <si>
    <t>ATG by Wrangler Men's Convertible Trail Jogger, Caviar, 36W x 34L</t>
  </si>
  <si>
    <t>191057843853</t>
  </si>
  <si>
    <t>B07T27JP48</t>
  </si>
  <si>
    <t>53919685</t>
  </si>
  <si>
    <t>ATG by Wrangler Men's Convertible Trail Jogger, Tiger Brown, 38W x 30L</t>
  </si>
  <si>
    <t>191057849671</t>
  </si>
  <si>
    <t>B07T4DQ5M3</t>
  </si>
  <si>
    <t>46615805</t>
  </si>
  <si>
    <t>ATG by Wrangler Men's Convertible Trail Jogger, Caviar, 38W x 32L</t>
  </si>
  <si>
    <t>191057843860</t>
  </si>
  <si>
    <t>B07T179RNP</t>
  </si>
  <si>
    <t>53919686</t>
  </si>
  <si>
    <t>ATG by Wrangler Men's Convertible Trail Jogger, Tiger Brown, 38W x 32L</t>
  </si>
  <si>
    <t>191057843877</t>
  </si>
  <si>
    <t>B07T5FW1YG</t>
  </si>
  <si>
    <t>53919688</t>
  </si>
  <si>
    <t>ATG by Wrangler Men's Convertible Trail Jogger, Tiger Brown, 38W x 34L</t>
  </si>
  <si>
    <t>191057843891</t>
  </si>
  <si>
    <t>B07T39GNL6</t>
  </si>
  <si>
    <t>53919690</t>
  </si>
  <si>
    <t>ATG by Wrangler Men's Convertible Trail Jogger, Tiger Brown, 40W x 32L</t>
  </si>
  <si>
    <t>191057843907</t>
  </si>
  <si>
    <t>B07T27HCVT</t>
  </si>
  <si>
    <t>53919691</t>
  </si>
  <si>
    <t>ATG by Wrangler Men's Convertible Trail Jogger, Tiger Brown, 40W x 34L</t>
  </si>
  <si>
    <t>191057843921</t>
  </si>
  <si>
    <t>B07T27HCY9</t>
  </si>
  <si>
    <t>53919694</t>
  </si>
  <si>
    <t>ATG by Wrangler Men's Convertible Trail Jogger, Tiger Brown, 42W x 32L</t>
  </si>
  <si>
    <t>191057843938</t>
  </si>
  <si>
    <t>B07SZ35R5Z</t>
  </si>
  <si>
    <t>53919695</t>
  </si>
  <si>
    <t>ATG by Wrangler Men's Convertible Trail Jogger, Tiger Brown, 42W x 34L</t>
  </si>
  <si>
    <t>195979586591</t>
  </si>
  <si>
    <t>B0BKQVBM7V</t>
  </si>
  <si>
    <t>71992589</t>
  </si>
  <si>
    <t>6114839</t>
  </si>
  <si>
    <t>Columbia Men's Birchwood Jacket, Collegiate Navy, Small</t>
  </si>
  <si>
    <t>2051121</t>
  </si>
  <si>
    <t>195979586447</t>
  </si>
  <si>
    <t>B0BKQT6JDB</t>
  </si>
  <si>
    <t>71992639</t>
  </si>
  <si>
    <t>Columbia Men's Birchwood Jacket, Stone Green, Small</t>
  </si>
  <si>
    <t>195979586737</t>
  </si>
  <si>
    <t>B0BKQVGG89</t>
  </si>
  <si>
    <t>71992650</t>
  </si>
  <si>
    <t>Columbia Men's Birchwood Jacket, Black, Small</t>
  </si>
  <si>
    <t>137</t>
  </si>
  <si>
    <t>195979586416</t>
  </si>
  <si>
    <t>B0BKQX43NZ</t>
  </si>
  <si>
    <t>71992640</t>
  </si>
  <si>
    <t>Columbia Men's Birchwood Jacket, Stone Green, Medium</t>
  </si>
  <si>
    <t>195979586706</t>
  </si>
  <si>
    <t>B0BKQS3GD2</t>
  </si>
  <si>
    <t>71992590</t>
  </si>
  <si>
    <t>Columbia Men's Birchwood Jacket, Collegiate Navy, Medium</t>
  </si>
  <si>
    <t>190</t>
  </si>
  <si>
    <t>195979586751</t>
  </si>
  <si>
    <t>B0BKQV9QBV</t>
  </si>
  <si>
    <t>71992651</t>
  </si>
  <si>
    <t>Columbia Men's Birchwood Jacket, Black, Medium</t>
  </si>
  <si>
    <t>243</t>
  </si>
  <si>
    <t>195979586423</t>
  </si>
  <si>
    <t>B0BKQWS4G7</t>
  </si>
  <si>
    <t>71992641</t>
  </si>
  <si>
    <t>Columbia Men's Birchwood Jacket, Stone Green, Large</t>
  </si>
  <si>
    <t>195979586577</t>
  </si>
  <si>
    <t>B0BKQVXSGP</t>
  </si>
  <si>
    <t>71992591</t>
  </si>
  <si>
    <t>Columbia Men's Birchwood Jacket, Collegiate Navy, Large</t>
  </si>
  <si>
    <t>195979586713</t>
  </si>
  <si>
    <t>B0BKQX4BYZ</t>
  </si>
  <si>
    <t>71992652</t>
  </si>
  <si>
    <t>Columbia Men's Birchwood Jacket, Black, Large</t>
  </si>
  <si>
    <t>210</t>
  </si>
  <si>
    <t>195979586454</t>
  </si>
  <si>
    <t>B0BKR19GS8</t>
  </si>
  <si>
    <t>71992642</t>
  </si>
  <si>
    <t>Columbia Men's Birchwood Jacket, Stone Green, X-Large</t>
  </si>
  <si>
    <t>195979586584</t>
  </si>
  <si>
    <t>B0BKQW6M6M</t>
  </si>
  <si>
    <t>71992592</t>
  </si>
  <si>
    <t>Columbia Men's Birchwood Jacket, Collegiate Navy, X-Large</t>
  </si>
  <si>
    <t>162</t>
  </si>
  <si>
    <t>195979586744</t>
  </si>
  <si>
    <t>B0BKQZVQ2D</t>
  </si>
  <si>
    <t>71992659</t>
  </si>
  <si>
    <t>Columbia Men's Birchwood Jacket, Black, X-Large</t>
  </si>
  <si>
    <t>126</t>
  </si>
  <si>
    <t>195979586720</t>
  </si>
  <si>
    <t>B0BKQZ1J5G</t>
  </si>
  <si>
    <t>71992660</t>
  </si>
  <si>
    <t>Columbia Men's Birchwood Jacket, Black, XX-Large</t>
  </si>
  <si>
    <t>195979586560</t>
  </si>
  <si>
    <t>B0BKR6PFDH</t>
  </si>
  <si>
    <t>71992599</t>
  </si>
  <si>
    <t>Columbia Men's Birchwood Jacket, Collegiate Navy, XX-Large</t>
  </si>
  <si>
    <t>195979586430</t>
  </si>
  <si>
    <t>B0BKR2DJDC</t>
  </si>
  <si>
    <t>71992649</t>
  </si>
  <si>
    <t>Columbia Men's Birchwood Jacket, Stone Green, XX-Large</t>
  </si>
  <si>
    <t>196039125828</t>
  </si>
  <si>
    <t>B09JKX7PRL</t>
  </si>
  <si>
    <t>46611736</t>
  </si>
  <si>
    <t>5552458</t>
  </si>
  <si>
    <t>Under Armour Mens ArmourFleece Twist Tapered Leg Pant, (012) Pitch Gray / / Black, Small</t>
  </si>
  <si>
    <t>412</t>
  </si>
  <si>
    <t>1373361</t>
  </si>
  <si>
    <t>(012) Pitch Gray / / Black</t>
  </si>
  <si>
    <t>196039126689</t>
  </si>
  <si>
    <t>B09JL2C49Z</t>
  </si>
  <si>
    <t>46611731</t>
  </si>
  <si>
    <t>Under Armour Mens ArmourFleece Twist Tapered Leg Pant, (410) Midnight Navy / / Black, Small</t>
  </si>
  <si>
    <t>196039125873</t>
  </si>
  <si>
    <t>B09JL1DTP6</t>
  </si>
  <si>
    <t>46611740</t>
  </si>
  <si>
    <t>Under Armour Mens ArmourFleece Twist Tapered Leg Pant, (012) Pitch Gray / / Black, XX-Large</t>
  </si>
  <si>
    <t>196601688218</t>
  </si>
  <si>
    <t>B0C46SB3BT</t>
  </si>
  <si>
    <t>70276809</t>
  </si>
  <si>
    <t>6032369</t>
  </si>
  <si>
    <t>Under Armour Boys Outdoor Long Sleeve Tee, Stylish Crew Neckline, Cute Full Fit T-Shirt, Downpour Gray Linux Elk, Large US</t>
  </si>
  <si>
    <t>UOFGA12F-062</t>
  </si>
  <si>
    <t>Downpour Gray Linux Elk</t>
  </si>
  <si>
    <t>825663856081</t>
  </si>
  <si>
    <t>B0B6PP6BBX</t>
  </si>
  <si>
    <t>20144518</t>
  </si>
  <si>
    <t>5725698</t>
  </si>
  <si>
    <t>Hurley Boy's Long Sleeve Graphic T-Shirt (Big Kids) Birch Heather SM (8 Big Kid)</t>
  </si>
  <si>
    <t>986407</t>
  </si>
  <si>
    <t>825663856098</t>
  </si>
  <si>
    <t>B0B6PP6QMP</t>
  </si>
  <si>
    <t>20144519</t>
  </si>
  <si>
    <t>Hurley Boy's Long Sleeve Graphic T-Shirt (Big Kids) Birch Heather MD (10/12 Big Kid)</t>
  </si>
  <si>
    <t>369</t>
  </si>
  <si>
    <t>825663856104</t>
  </si>
  <si>
    <t>B0B6PKN4BC</t>
  </si>
  <si>
    <t>20144520</t>
  </si>
  <si>
    <t>Hurley Boy's Long Sleeve Graphic T-Shirt (Big Kids) Birch Heather LG (14/16 Big Kid)</t>
  </si>
  <si>
    <t>389</t>
  </si>
  <si>
    <t>825663856111</t>
  </si>
  <si>
    <t>B0B6PPJNJP</t>
  </si>
  <si>
    <t>20144521</t>
  </si>
  <si>
    <t>Hurley Boy's Long Sleeve Graphic T-Shirt (Big Kids) Birch Heather XL (18/20 Big Kid)</t>
  </si>
  <si>
    <t>627574753103</t>
  </si>
  <si>
    <t>B0C4T6SDV9</t>
  </si>
  <si>
    <t>70352860</t>
  </si>
  <si>
    <t>5834917</t>
  </si>
  <si>
    <t>Kamik Harrow (Toddler/Little Kid/Big Kid) Black 2 Little Kid M</t>
  </si>
  <si>
    <t>195861970507</t>
  </si>
  <si>
    <t>B0CGW3THP8</t>
  </si>
  <si>
    <t>81866567</t>
  </si>
  <si>
    <t>6054942</t>
  </si>
  <si>
    <t>Carter's 4 Piece Pajama Set (Green/White/Orange, 12 Months)</t>
  </si>
  <si>
    <t>1098</t>
  </si>
  <si>
    <t>Green/White/Orange</t>
  </si>
  <si>
    <t>195861970514</t>
  </si>
  <si>
    <t>B0CGWM7JQM</t>
  </si>
  <si>
    <t>81866574</t>
  </si>
  <si>
    <t>Carter's 4 Piece Pajama Set (Green/White/Orange, 18 Months)</t>
  </si>
  <si>
    <t>1349</t>
  </si>
  <si>
    <t>195861970521</t>
  </si>
  <si>
    <t>B0CGW21P59</t>
  </si>
  <si>
    <t>81866575</t>
  </si>
  <si>
    <t>Carter's 4 Piece Pajama Set (Green/White/Orange, 24 Months)</t>
  </si>
  <si>
    <t>602</t>
  </si>
  <si>
    <t>B0CY15WX3N</t>
  </si>
  <si>
    <t>Carter's Baby and Toddler Boys' 4-Piece Snug-Fit Cotton Pajamas (Blue/Heather Animals, 9 Months)</t>
  </si>
  <si>
    <t>Blue/Heather Animals</t>
  </si>
  <si>
    <t>889260944596</t>
  </si>
  <si>
    <t>B07WH5WPWP</t>
  </si>
  <si>
    <t>30420025</t>
  </si>
  <si>
    <t>4957142</t>
  </si>
  <si>
    <t>GanCheng Castle in The Sky Movie Stills Baby Boy Romper Cute Onesies Gray</t>
  </si>
  <si>
    <t>528</t>
  </si>
  <si>
    <t>195979365011</t>
  </si>
  <si>
    <t>B0BKQWPV7Y</t>
  </si>
  <si>
    <t>76194421</t>
  </si>
  <si>
    <t>6076471</t>
  </si>
  <si>
    <t>Columbia Women's Ruby Falls Novelty Jacket, Camel Brown Corduroy, Small</t>
  </si>
  <si>
    <t>2051451</t>
  </si>
  <si>
    <t>Camel Brown Corduroy</t>
  </si>
  <si>
    <t>195979365219</t>
  </si>
  <si>
    <t>B0BKQQHW6G</t>
  </si>
  <si>
    <t>76194400</t>
  </si>
  <si>
    <t>Columbia Women's Ruby Falls Novelty Jacket, Black Doodle Sherpa, Small</t>
  </si>
  <si>
    <t>Black Doodle Sherpa</t>
  </si>
  <si>
    <t>195979365233</t>
  </si>
  <si>
    <t>B0BKQRS4NC</t>
  </si>
  <si>
    <t>76194401</t>
  </si>
  <si>
    <t>Columbia Women's Ruby Falls Novelty Jacket, Black Doodle Sherpa, Medium</t>
  </si>
  <si>
    <t>195979828585</t>
  </si>
  <si>
    <t>B0BKRCTKHX</t>
  </si>
  <si>
    <t>76194412</t>
  </si>
  <si>
    <t>Columbia Women's Ruby Falls Novelty Jacket, Stone Green Corduroy, Medium</t>
  </si>
  <si>
    <t>Stone Green Corduroy</t>
  </si>
  <si>
    <t>195979365004</t>
  </si>
  <si>
    <t>B0BKQXRGTX</t>
  </si>
  <si>
    <t>76194422</t>
  </si>
  <si>
    <t>Columbia Women's Ruby Falls Novelty Jacket, Camel Brown Corduroy, Medium</t>
  </si>
  <si>
    <t>195979365134</t>
  </si>
  <si>
    <t>B0BKQT7N1W</t>
  </si>
  <si>
    <t>76194390</t>
  </si>
  <si>
    <t>Columbia Women's Ruby Falls Novelty Jacket, Dark Stone Doodle Sherpa, Medium</t>
  </si>
  <si>
    <t>Dark Stone Doodle Sherpa</t>
  </si>
  <si>
    <t>195979365202</t>
  </si>
  <si>
    <t>B0BKQVKGQG</t>
  </si>
  <si>
    <t>76194402</t>
  </si>
  <si>
    <t>Columbia Women's Ruby Falls Novelty Jacket, Black Doodle Sherpa, Large</t>
  </si>
  <si>
    <t>195979364991</t>
  </si>
  <si>
    <t>B0BKQSQH9Q</t>
  </si>
  <si>
    <t>76194429</t>
  </si>
  <si>
    <t>Columbia Women's Ruby Falls Novelty Jacket, Camel Brown Corduroy, Large</t>
  </si>
  <si>
    <t>195979828578</t>
  </si>
  <si>
    <t>B0BKQX8M5D</t>
  </si>
  <si>
    <t>76194419</t>
  </si>
  <si>
    <t>Columbia Women's Ruby Falls Novelty Jacket, Stone Green Corduroy, Large</t>
  </si>
  <si>
    <t>67</t>
  </si>
  <si>
    <t>195979365103</t>
  </si>
  <si>
    <t>B0BKQY4RRL</t>
  </si>
  <si>
    <t>76194391</t>
  </si>
  <si>
    <t>Columbia Women's Ruby Falls Novelty Jacket, Dark Stone Doodle Sherpa, Large</t>
  </si>
  <si>
    <t>195979364960</t>
  </si>
  <si>
    <t>B0BKR1S6ZK</t>
  </si>
  <si>
    <t>76194430</t>
  </si>
  <si>
    <t>Columbia Women's Ruby Falls Novelty Jacket, Camel Brown Corduroy, X-Large</t>
  </si>
  <si>
    <t>195979828608</t>
  </si>
  <si>
    <t>B0BKQZMC3P</t>
  </si>
  <si>
    <t>76194420</t>
  </si>
  <si>
    <t>Columbia Women's Ruby Falls Novelty Jacket, Stone Green Corduroy, X-Large</t>
  </si>
  <si>
    <t>195979365080</t>
  </si>
  <si>
    <t>B0BKR1S6ZQ</t>
  </si>
  <si>
    <t>76194392</t>
  </si>
  <si>
    <t>Columbia Women's Ruby Falls Novelty Jacket, Dark Stone Doodle Sherpa, X-Large</t>
  </si>
  <si>
    <t>195979365257</t>
  </si>
  <si>
    <t>B0BKQXM8CJ</t>
  </si>
  <si>
    <t>76194409</t>
  </si>
  <si>
    <t>Columbia Women's Ruby Falls Novelty Jacket, Black Doodle Sherpa, X-Large</t>
  </si>
  <si>
    <t>195979828622</t>
  </si>
  <si>
    <t>B0BKQYGFC4</t>
  </si>
  <si>
    <t>20561425</t>
  </si>
  <si>
    <t>Columbia Women's Ruby Falls Novelty Jacket, Stone Green Corduroy, XX-Large</t>
  </si>
  <si>
    <t>195979365097</t>
  </si>
  <si>
    <t>B0BKQYLLSG</t>
  </si>
  <si>
    <t>76194399</t>
  </si>
  <si>
    <t>Columbia Women's Ruby Falls Novelty Jacket, Dark Stone Doodle Sherpa, XX-Large</t>
  </si>
  <si>
    <t>195979365240</t>
  </si>
  <si>
    <t>B0BKR113NM</t>
  </si>
  <si>
    <t>76194410</t>
  </si>
  <si>
    <t>Columbia Women's Ruby Falls Novelty Jacket, Black Doodle Sherpa, XX-Large</t>
  </si>
  <si>
    <t>195979364977</t>
  </si>
  <si>
    <t>B0BKR2FKSH</t>
  </si>
  <si>
    <t>76194431</t>
  </si>
  <si>
    <t>Columbia Women's Ruby Falls Novelty Jacket, Camel Brown Corduroy, XX-Large</t>
  </si>
  <si>
    <t>195861934325</t>
  </si>
  <si>
    <t>B0C8BNWZN9</t>
  </si>
  <si>
    <t>28150533</t>
  </si>
  <si>
    <t>5988460</t>
  </si>
  <si>
    <t>little planet by carter's Organic Sweater Knit Overalls, Subtle Grey Heather, 6M</t>
  </si>
  <si>
    <t>1P697510</t>
  </si>
  <si>
    <t>Subtle Grey Heather</t>
  </si>
  <si>
    <t>195861934318</t>
  </si>
  <si>
    <t>B0C8BKP666</t>
  </si>
  <si>
    <t>28150532</t>
  </si>
  <si>
    <t>little planet by carter's Organic Sweater Knit Overalls, Subtle Grey Heather, 3M</t>
  </si>
  <si>
    <t>195861934332</t>
  </si>
  <si>
    <t>B0C8BKYL78</t>
  </si>
  <si>
    <t>28150534</t>
  </si>
  <si>
    <t>little planet by carter's unisex-baby Organic Cotton Sweater Knit Overalls, Subtle Grey Heather, 9 Months</t>
  </si>
  <si>
    <t>112</t>
  </si>
  <si>
    <t>195861934288</t>
  </si>
  <si>
    <t>B0C8BNN2ZH</t>
  </si>
  <si>
    <t>28150535</t>
  </si>
  <si>
    <t>little planet by carter's Organic Sweater Knit Overalls, Subtle Grey Heather, 12M</t>
  </si>
  <si>
    <t>124</t>
  </si>
  <si>
    <t>195861934295</t>
  </si>
  <si>
    <t>B0C8BMKDWZ</t>
  </si>
  <si>
    <t>28150536</t>
  </si>
  <si>
    <t>little planet by carter's unisex-baby Organic Cotton Sweater Knit Overalls, Subtle Grey Heather, 18 Months</t>
  </si>
  <si>
    <t>195861934301</t>
  </si>
  <si>
    <t>B0C8BLPF76</t>
  </si>
  <si>
    <t>28150537</t>
  </si>
  <si>
    <t>little planet by carter's unisex-baby Organic Cotton Sweater Knit Overalls, Subtle Grey Heather, 24 Months</t>
  </si>
  <si>
    <t>192503120450</t>
  </si>
  <si>
    <t>B07DJBDB82</t>
  </si>
  <si>
    <t>53259463</t>
  </si>
  <si>
    <t>6889893</t>
  </si>
  <si>
    <t>Champion mens Classic T-shirt, Script Logo T Shirt, Granite Heather-y07718, Medium US</t>
  </si>
  <si>
    <t>1292</t>
  </si>
  <si>
    <t>GT23H</t>
  </si>
  <si>
    <t>Granite Heather Script</t>
  </si>
  <si>
    <t>196524362523</t>
  </si>
  <si>
    <t>B0B1KSQRWH</t>
  </si>
  <si>
    <t>39483043</t>
  </si>
  <si>
    <t>6902646</t>
  </si>
  <si>
    <t>Levi's Men's 511 Slim Fit Jeans (Also Available in Big &amp; Tall), (New) India Ink Gd, 28W x 30L</t>
  </si>
  <si>
    <t>04511-5525</t>
  </si>
  <si>
    <t>(New) India Ink Gd</t>
  </si>
  <si>
    <t>196524359585</t>
  </si>
  <si>
    <t>B0B1KLPNTW</t>
  </si>
  <si>
    <t>68949018</t>
  </si>
  <si>
    <t>Levi's Men's 511 Slim Fit Jeans (Also Available in Big &amp; Tall), (New) Vampire Squid, 28W x 30L</t>
  </si>
  <si>
    <t>04511-5532</t>
  </si>
  <si>
    <t>(New) Vampire Squid</t>
  </si>
  <si>
    <t>196524362530</t>
  </si>
  <si>
    <t>B0B1JSMHX8</t>
  </si>
  <si>
    <t>39483048</t>
  </si>
  <si>
    <t>Levi's Men's 511 Slim Fit Jeans (Also Available in Big &amp; Tall), (New) India Ink Gd, 28W x 32L</t>
  </si>
  <si>
    <t>196524359592</t>
  </si>
  <si>
    <t>B0B1KVW2XL</t>
  </si>
  <si>
    <t>68949028</t>
  </si>
  <si>
    <t>Levi's Men's 511 Slim Fit Jeans (Also Available in Big &amp; Tall), (New) Vampire Squid, 28W x 32L</t>
  </si>
  <si>
    <t>196524362585</t>
  </si>
  <si>
    <t>B0B1KGYDGR</t>
  </si>
  <si>
    <t>39483049</t>
  </si>
  <si>
    <t>Levi's Men's 511 Slim Fit Jeans (Also Available in Big &amp; Tall), (New) India Ink Gd, 29W x 30L</t>
  </si>
  <si>
    <t>196524359646</t>
  </si>
  <si>
    <t>B0B1K9V7BQ</t>
  </si>
  <si>
    <t>68949038</t>
  </si>
  <si>
    <t>Levi's Men's 511 Slim Fit Jeans (Also Available in Big &amp; Tall), (New) Vampire Squid, 29W x 30L</t>
  </si>
  <si>
    <t>196524362592</t>
  </si>
  <si>
    <t>B0B1KCFN8V</t>
  </si>
  <si>
    <t>39483050</t>
  </si>
  <si>
    <t>Levi's Men's 511 Slim Fit Jeans (Also Available in Big &amp; Tall), (New) India Ink Gd, 29W x 32L</t>
  </si>
  <si>
    <t>196524359653</t>
  </si>
  <si>
    <t>B0B1KBWMLF</t>
  </si>
  <si>
    <t>68949048</t>
  </si>
  <si>
    <t>Levi's Men's 511 Slim Fit Jeans (Also Available in Big &amp; Tall), (New) Vampire Squid, 29W x 32L</t>
  </si>
  <si>
    <t>196524363575</t>
  </si>
  <si>
    <t>B0C9ZZ46LN</t>
  </si>
  <si>
    <t>70259841</t>
  </si>
  <si>
    <t>Levi's® 511™ Slim Monks Robe Gd 29 32</t>
  </si>
  <si>
    <t>045115524-200</t>
  </si>
  <si>
    <t>Monks Robe Gd</t>
  </si>
  <si>
    <t>196524359707</t>
  </si>
  <si>
    <t>B0B1JRD7MX</t>
  </si>
  <si>
    <t>68949058</t>
  </si>
  <si>
    <t>Levi's Men's 511 Slim Fit Jeans (Also Available in Big &amp; Tall), (New) Vampire Squid, 30W x 30L</t>
  </si>
  <si>
    <t>196524359714</t>
  </si>
  <si>
    <t>B0B1JSC2W8</t>
  </si>
  <si>
    <t>68949068</t>
  </si>
  <si>
    <t>Levi's Men's 511 Slim Fit Jeans (Also Available in Big &amp; Tall), (New) Vampire Squid, 30W x 32L</t>
  </si>
  <si>
    <t>196524359769</t>
  </si>
  <si>
    <t>B0B1K9HT2M</t>
  </si>
  <si>
    <t>68949078</t>
  </si>
  <si>
    <t>Levi's Men's 511 Slim Fit Jeans (Also Available in Big &amp; Tall), (New) Vampire Squid, 31W x 30L</t>
  </si>
  <si>
    <t>196524359776</t>
  </si>
  <si>
    <t>B0B1KVVKX4</t>
  </si>
  <si>
    <t>68949088</t>
  </si>
  <si>
    <t>Levi's Men's 511 Slim Fit Jeans (Also Available in Big &amp; Tall), (New) Vampire Squid, 31W x 32L</t>
  </si>
  <si>
    <t>196524359837</t>
  </si>
  <si>
    <t>B0B1JT3SZQ</t>
  </si>
  <si>
    <t>68949108</t>
  </si>
  <si>
    <t>Levi's Men's 511 Slim Fit Jeans (Also Available in Big &amp; Tall), (New) Vampire Squid, 32W x 30L</t>
  </si>
  <si>
    <t>196524240371</t>
  </si>
  <si>
    <t>B0B1JSF7XG</t>
  </si>
  <si>
    <t>68949118</t>
  </si>
  <si>
    <t>Levi's Men's 511 Slim Fit Jeans (Also Available in Big &amp; Tall), (New) Vampire Squid, 32W x 32L</t>
  </si>
  <si>
    <t>196524359851</t>
  </si>
  <si>
    <t>B0B1JRL1S2</t>
  </si>
  <si>
    <t>68949138</t>
  </si>
  <si>
    <t>Levi's Men's 511 Slim Fit Jeans (Also Available in Big &amp; Tall), (New) Vampire Squid, 32W x 36L</t>
  </si>
  <si>
    <t>196524366712</t>
  </si>
  <si>
    <t>B0B1KHDJ81</t>
  </si>
  <si>
    <t>69117037</t>
  </si>
  <si>
    <t>Levi's Men's 511 Slim Fit Jeans (Also Available in Big &amp; Tall), (New) Glowing Octopus, 32W x 36L</t>
  </si>
  <si>
    <t>04511-5530</t>
  </si>
  <si>
    <t>(New) Glowing Octopus</t>
  </si>
  <si>
    <t>196524359912</t>
  </si>
  <si>
    <t>B0B1K9XLPQ</t>
  </si>
  <si>
    <t>68949158</t>
  </si>
  <si>
    <t>Levi's Men's 511 Slim Fit Jeans (Also Available in Big &amp; Tall), (New) Vampire Squid, 33W x 32L</t>
  </si>
  <si>
    <t>196524362868</t>
  </si>
  <si>
    <t>B0B1KMJBCJ</t>
  </si>
  <si>
    <t>39483070</t>
  </si>
  <si>
    <t>Levi's Men's 511 Slim Fit Jeans (Also Available in Big &amp; Tall), (New) India Ink Gd, 33W x 34L</t>
  </si>
  <si>
    <t>196524359929</t>
  </si>
  <si>
    <t>B0B1KLXG48</t>
  </si>
  <si>
    <t>68949168</t>
  </si>
  <si>
    <t>Levi's Men's 511 Slim Fit Jeans (Also Available in Big &amp; Tall), (New) Vampire Squid, 33W x 34L</t>
  </si>
  <si>
    <t>196524359950</t>
  </si>
  <si>
    <t>B0B1KCYQTS</t>
  </si>
  <si>
    <t>68949178</t>
  </si>
  <si>
    <t>Levi's Men's 511 Slim Fit Jeans (Also Available in Big &amp; Tall), (New) Vampire Squid, 34W x 29L</t>
  </si>
  <si>
    <t>196524359967</t>
  </si>
  <si>
    <t>B0B1KQ14ZF</t>
  </si>
  <si>
    <t>68949188</t>
  </si>
  <si>
    <t>Levi's Men's 511 Slim Fit Jeans (Also Available in Big &amp; Tall), (New) Vampire Squid, 34W x 30L</t>
  </si>
  <si>
    <t>196524359974</t>
  </si>
  <si>
    <t>B0B1KPYVST</t>
  </si>
  <si>
    <t>68949198</t>
  </si>
  <si>
    <t>Levi's Men's 511 Slim Fit Jeans (Also Available in Big &amp; Tall), (New) Vampire Squid, 34W x 32L</t>
  </si>
  <si>
    <t>196524362936</t>
  </si>
  <si>
    <t>B0B1KCN1V5</t>
  </si>
  <si>
    <t>39483079</t>
  </si>
  <si>
    <t>Levi's Men's 511 Slim Fit Jeans (Also Available in Big &amp; Tall), (New) India Ink Gd, 34W x 36L</t>
  </si>
  <si>
    <t>196524359998</t>
  </si>
  <si>
    <t>B0B1K3Y45X</t>
  </si>
  <si>
    <t>68949218</t>
  </si>
  <si>
    <t>Levi's Men's 511 Slim Fit Jeans (Also Available in Big &amp; Tall), (New) Vampire Squid, 34W x 36L</t>
  </si>
  <si>
    <t>196524366859</t>
  </si>
  <si>
    <t>B0B1KQMPJF</t>
  </si>
  <si>
    <t>69117053</t>
  </si>
  <si>
    <t>Levi's Men's 511 Slim Fit Jeans (Also Available in Big &amp; Tall), (New) Glowing Octopus, 34W x 36L</t>
  </si>
  <si>
    <t>196524360093</t>
  </si>
  <si>
    <t>B0B1KVVKX7</t>
  </si>
  <si>
    <t>68949248</t>
  </si>
  <si>
    <t>Levi's Men's 511 Slim Fit Jeans (Also Available in Big &amp; Tall), (New) Vampire Squid, 36W x 32L</t>
  </si>
  <si>
    <t>196524360109</t>
  </si>
  <si>
    <t>B0B1JTFR47</t>
  </si>
  <si>
    <t>68949258</t>
  </si>
  <si>
    <t>Levi's Men's 511 Slim Fit Jeans (Also Available in Big &amp; Tall), (New) Vampire Squid, 36W x 34L</t>
  </si>
  <si>
    <t>196524363049</t>
  </si>
  <si>
    <t>B0B1K3X756</t>
  </si>
  <si>
    <t>39483083</t>
  </si>
  <si>
    <t>Levi's Men's 511 Slim Fit Jeans (Also Available in Big &amp; Tall), (New) India Ink Gd, 36W x 34L</t>
  </si>
  <si>
    <t>196524360116</t>
  </si>
  <si>
    <t>B0B1KCWCN8</t>
  </si>
  <si>
    <t>68949268</t>
  </si>
  <si>
    <t>Levi's Men's 511 Slim Fit Jeans (Also Available in Big &amp; Tall), (New) Vampire Squid, 36W x 36L</t>
  </si>
  <si>
    <t>196524363056</t>
  </si>
  <si>
    <t>B0B1KH25QZ</t>
  </si>
  <si>
    <t>39483088</t>
  </si>
  <si>
    <t>Levi's Men's 511 Slim Fit Jeans (Also Available in Big &amp; Tall), (New) India Ink Gd, 36W x 36L</t>
  </si>
  <si>
    <t>196524366972</t>
  </si>
  <si>
    <t>B0B1KSFQX4</t>
  </si>
  <si>
    <t>69117058</t>
  </si>
  <si>
    <t>Levi's Men's 511 Slim Fit Jeans (Also Available in Big &amp; Tall), (New) Glowing Octopus, 36W x 36L</t>
  </si>
  <si>
    <t>196524360154</t>
  </si>
  <si>
    <t>B0B1JSMQNR</t>
  </si>
  <si>
    <t>68949278</t>
  </si>
  <si>
    <t>Levi's Men's 511 Slim Fit Jeans (Also Available in Big &amp; Tall), (New) Vampire Squid, 38W x 30L</t>
  </si>
  <si>
    <t>196524367023</t>
  </si>
  <si>
    <t>B0B1KMQQ5V</t>
  </si>
  <si>
    <t>69117064</t>
  </si>
  <si>
    <t>Levi's Men's 511 Slim Fit Jeans (Also Available in Big &amp; Tall), (New) Glowing Octopus, 38W x 32L</t>
  </si>
  <si>
    <t>196524360178</t>
  </si>
  <si>
    <t>B0B1K82V11</t>
  </si>
  <si>
    <t>68949298</t>
  </si>
  <si>
    <t>Levi's Men's 511 Slim Fit Jeans (Also Available in Big &amp; Tall), (New) Vampire Squid, 38W x 34L</t>
  </si>
  <si>
    <t>196524367030</t>
  </si>
  <si>
    <t>B0B1KGQ5RK</t>
  </si>
  <si>
    <t>69117065</t>
  </si>
  <si>
    <t>Levi's Men's 511 Slim Fit Jeans (Also Available in Big &amp; Tall), (New) Glowing Octopus, 38W x 34L</t>
  </si>
  <si>
    <t>196099252625</t>
  </si>
  <si>
    <t>B09N6DXCSW</t>
  </si>
  <si>
    <t>37268519</t>
  </si>
  <si>
    <t>Levi's Men's 511 Slim Fit Jeans (Also Available in Big &amp; Tall), Medium Gray Worn in, 40W x 30L</t>
  </si>
  <si>
    <t>04511-5448</t>
  </si>
  <si>
    <t>Medium Gray Worn in</t>
  </si>
  <si>
    <t>196524360215</t>
  </si>
  <si>
    <t>B0B1JT8CGR</t>
  </si>
  <si>
    <t>68949308</t>
  </si>
  <si>
    <t>Levi's Men's 511 Slim Fit Jeans (Also Available in Big &amp; Tall), (New) Vampire Squid, 40W x 30L</t>
  </si>
  <si>
    <t>196524363155</t>
  </si>
  <si>
    <t>B0B1KR3QH2</t>
  </si>
  <si>
    <t>39483092</t>
  </si>
  <si>
    <t>Levi's Men's 511 Slim Fit Jeans (Also Available in Big &amp; Tall), (New) India Ink Gd, 40W x 30L</t>
  </si>
  <si>
    <t>196524367078</t>
  </si>
  <si>
    <t>B0B1K855LY</t>
  </si>
  <si>
    <t>69117066</t>
  </si>
  <si>
    <t>Levi's Men's 511 Slim Fit Jeans (Also Available in Big &amp; Tall), (New) Glowing Octopus, 40W x 30L</t>
  </si>
  <si>
    <t>196524360222</t>
  </si>
  <si>
    <t>B0B1JSBRZD</t>
  </si>
  <si>
    <t>68949318</t>
  </si>
  <si>
    <t>Levi's Men's 511 Slim Fit Jeans (Also Available in Big &amp; Tall), (New) Vampire Squid, 40W x 32L</t>
  </si>
  <si>
    <t>196524367085</t>
  </si>
  <si>
    <t>B0B1JT9SZV</t>
  </si>
  <si>
    <t>69117067</t>
  </si>
  <si>
    <t>Levi's Men's 511 Slim Fit Jeans (Also Available in Big &amp; Tall), (New) Glowing Octopus, 40W x 32L</t>
  </si>
  <si>
    <t>196099252649</t>
  </si>
  <si>
    <t>B09N6V36GZ</t>
  </si>
  <si>
    <t>37268521</t>
  </si>
  <si>
    <t>Levi's Men's 511 Slim Fit Jeans (Also Available in Big &amp; Tall), Medium Gray Worn in, 42W x 30L</t>
  </si>
  <si>
    <t>196524360277</t>
  </si>
  <si>
    <t>B0B1KF7N3W</t>
  </si>
  <si>
    <t>68949328</t>
  </si>
  <si>
    <t>Levi's Men's 511 Slim Fit Jeans (Also Available in Big &amp; Tall), (New) Vampire Squid, 42W x 30L</t>
  </si>
  <si>
    <t>196524367139</t>
  </si>
  <si>
    <t>B0B1JSWDP3</t>
  </si>
  <si>
    <t>69117068</t>
  </si>
  <si>
    <t>Levi's Men's 511 Slim Fit Jeans (Also Available in Big &amp; Tall), (New) Glowing Octopus, 42W x 30L</t>
  </si>
  <si>
    <t>196524363223</t>
  </si>
  <si>
    <t>B0B1JTQ4N2</t>
  </si>
  <si>
    <t>39483099</t>
  </si>
  <si>
    <t>Levi's Men's 511 Slim Fit Jeans (Also Available in Big &amp; Tall), (New) India Ink Gd, 42W x 32L</t>
  </si>
  <si>
    <t>196524360284</t>
  </si>
  <si>
    <t>B0B1KR218Z</t>
  </si>
  <si>
    <t>68949338</t>
  </si>
  <si>
    <t>Levi's Men's 511 Slim Fit Jeans (Also Available in Big &amp; Tall), (New) Vampire Squid, 42W x 32L</t>
  </si>
  <si>
    <t>196524367146</t>
  </si>
  <si>
    <t>B0B1JSGV3K</t>
  </si>
  <si>
    <t>69117073</t>
  </si>
  <si>
    <t>Levi's Men's 511 Slim Fit Jeans (Also Available in Big &amp; Tall), (New) Glowing Octopus, 42W x 32L</t>
  </si>
  <si>
    <t>195861471745</t>
  </si>
  <si>
    <t>B0CL5CYPYC</t>
  </si>
  <si>
    <t>28182155</t>
  </si>
  <si>
    <t>5663465</t>
  </si>
  <si>
    <t>Carter's Baby Girls' 3 Piece Vest Little Jacket Set (white yellow plaid/Multi, Newborn)</t>
  </si>
  <si>
    <t>195861471707</t>
  </si>
  <si>
    <t>B0CL5DC1XR</t>
  </si>
  <si>
    <t>28182156</t>
  </si>
  <si>
    <t>Carter's Baby Girls' 3 Piece Vest Little Jacket Set (white yellow plaid/Multi, 3 Months)</t>
  </si>
  <si>
    <t>195861471721</t>
  </si>
  <si>
    <t>B0CL5DV735</t>
  </si>
  <si>
    <t>28182158</t>
  </si>
  <si>
    <t>Carter's Baby Girls' 3 Piece Vest Little Jacket Set (white yellow plaid/Multi, 9 Months)</t>
  </si>
  <si>
    <t>White Yellow Plaid/Multi</t>
  </si>
  <si>
    <t>195861471677</t>
  </si>
  <si>
    <t>B0CL5CM9D8</t>
  </si>
  <si>
    <t>28182159</t>
  </si>
  <si>
    <t>Carter's Baby Girls' 3 Piece Vest Little Jacket Set (white yellow plaid/Multi, 12 Months)</t>
  </si>
  <si>
    <t>196739106295</t>
  </si>
  <si>
    <t>B0CSPRHMMH</t>
  </si>
  <si>
    <t>30374003</t>
  </si>
  <si>
    <t>6007051</t>
  </si>
  <si>
    <t>Champion Men's Script Logo Midweight Classic Jersey T-Shirt, RoyalBlue, M</t>
  </si>
  <si>
    <t>196739106219</t>
  </si>
  <si>
    <t>B0CSPS4HZN</t>
  </si>
  <si>
    <t>30373994</t>
  </si>
  <si>
    <t>Champion Men's Script Logo Midweight Classic Jersey T-Shirt, Navy, XXL</t>
  </si>
  <si>
    <t>Script French Navy.</t>
  </si>
  <si>
    <t>196739106301</t>
  </si>
  <si>
    <t>B0CSPS9DWZ</t>
  </si>
  <si>
    <t>30374004</t>
  </si>
  <si>
    <t>Champion Men's Script Logo Midweight Classic Jersey T-Shirt, RoyalBlue, L</t>
  </si>
  <si>
    <t>156</t>
  </si>
  <si>
    <t>196739106226</t>
  </si>
  <si>
    <t>B0CSPPVM63</t>
  </si>
  <si>
    <t>30373995</t>
  </si>
  <si>
    <t>Champion Men's Script Logo Midweight Classic Jersey T-Shirt, White, S</t>
  </si>
  <si>
    <t>164</t>
  </si>
  <si>
    <t>Script Optic White.</t>
  </si>
  <si>
    <t>196739106264</t>
  </si>
  <si>
    <t>B0CSPRMFHN</t>
  </si>
  <si>
    <t>30374013</t>
  </si>
  <si>
    <t>Champion Men's Script Logo Midweight Classic Jersey T-Shirt, White, XL</t>
  </si>
  <si>
    <t>196470720446</t>
  </si>
  <si>
    <t>B0BNR55ZRW</t>
  </si>
  <si>
    <t>37212123</t>
  </si>
  <si>
    <t>6068978</t>
  </si>
  <si>
    <t>adidas Women's Essentials Long Sleeve Printed Mock Polo Shirt, Black, X-Small</t>
  </si>
  <si>
    <t>MKU22</t>
  </si>
  <si>
    <t>196470719419</t>
  </si>
  <si>
    <t>B0BNSWLLCB</t>
  </si>
  <si>
    <t>29762476</t>
  </si>
  <si>
    <t>adidas Women's Essentials Long Sleeve Printed Mock Polo Shirt, Bright red, X-Small</t>
  </si>
  <si>
    <t>Bright Red</t>
  </si>
  <si>
    <t>196470717583</t>
  </si>
  <si>
    <t>B0BNR5ZQPW</t>
  </si>
  <si>
    <t>81910726</t>
  </si>
  <si>
    <t>adidas Women's Essentials Long Sleeve Printed Mock Polo Shirt, Wonder Blue, X-Small</t>
  </si>
  <si>
    <t>196470720385</t>
  </si>
  <si>
    <t>B0BNR5BV8B</t>
  </si>
  <si>
    <t>37212128</t>
  </si>
  <si>
    <t>adidas Women's Essentials Long Sleeve Printed Mock Polo Shirt, Black, Small</t>
  </si>
  <si>
    <t>196470719440</t>
  </si>
  <si>
    <t>B0BNSPTT1J</t>
  </si>
  <si>
    <t>29762486</t>
  </si>
  <si>
    <t>adidas Women's Essentials Long Sleeve Printed Mock Polo Shirt, Bright red, Small</t>
  </si>
  <si>
    <t>196470717620</t>
  </si>
  <si>
    <t>B0BNSTR3W2</t>
  </si>
  <si>
    <t>81910727</t>
  </si>
  <si>
    <t>adidas Women's Essentials Long Sleeve Printed Mock Polo Shirt, Wonder Blue, Small</t>
  </si>
  <si>
    <t>196470720484</t>
  </si>
  <si>
    <t>B0BNSVW8KF</t>
  </si>
  <si>
    <t>37212129</t>
  </si>
  <si>
    <t>adidas Women's Essentials Long Sleeve Printed Mock Polo Shirt, Black, Medium</t>
  </si>
  <si>
    <t>196470719396</t>
  </si>
  <si>
    <t>B0BNR36NJT</t>
  </si>
  <si>
    <t>29762496</t>
  </si>
  <si>
    <t>adidas Women's Essentials Long Sleeve Printed Mock Polo Shirt, Bright red, Medium</t>
  </si>
  <si>
    <t>196470717521</t>
  </si>
  <si>
    <t>B0BNR78XW4</t>
  </si>
  <si>
    <t>81910734</t>
  </si>
  <si>
    <t>adidas Women's Essentials Long Sleeve Printed Mock Polo Shirt, Wonder Blue, Medium</t>
  </si>
  <si>
    <t>196470719488</t>
  </si>
  <si>
    <t>B0BNR57RKJ</t>
  </si>
  <si>
    <t>29762506</t>
  </si>
  <si>
    <t>adidas Women's Essentials Long Sleeve Printed Mock Polo Shirt, Bright red, Large</t>
  </si>
  <si>
    <t>196470720507</t>
  </si>
  <si>
    <t>B0BNR47SS2</t>
  </si>
  <si>
    <t>37212130</t>
  </si>
  <si>
    <t>adidas Women's Essentials Long Sleeve Printed Mock Polo Shirt, Black, Large</t>
  </si>
  <si>
    <t>196470717514</t>
  </si>
  <si>
    <t>B0BNR46VLJ</t>
  </si>
  <si>
    <t>81910735</t>
  </si>
  <si>
    <t>adidas Women's Essentials Long Sleeve Printed Mock Polo Shirt, Wonder Blue, Large</t>
  </si>
  <si>
    <t>196470719464</t>
  </si>
  <si>
    <t>B0BNSTQQ74</t>
  </si>
  <si>
    <t>29762516</t>
  </si>
  <si>
    <t>adidas Women's Essentials Long Sleeve Printed Mock Polo Shirt, Bright red, X-Large</t>
  </si>
  <si>
    <t>196470720422</t>
  </si>
  <si>
    <t>B0BNSWMDQX</t>
  </si>
  <si>
    <t>37212131</t>
  </si>
  <si>
    <t>adidas Women's Essentials Long Sleeve Printed Mock Polo Shirt, Black, X-Large</t>
  </si>
  <si>
    <t>196470717613</t>
  </si>
  <si>
    <t>B0BNSVV94C</t>
  </si>
  <si>
    <t>81910736</t>
  </si>
  <si>
    <t>adidas Women's Essentials Long Sleeve Printed Mock Polo Shirt, Wonder Blue, X-Large</t>
  </si>
  <si>
    <t>195142150338</t>
  </si>
  <si>
    <t>B0BPZ61QK5</t>
  </si>
  <si>
    <t>79042468</t>
  </si>
  <si>
    <t>5818934</t>
  </si>
  <si>
    <t>Disney Girls Lilo &amp; Stitch Sneakers - Lilo and Stitch High Top Athletic Shoes - Lilo and Stitch High Top Lace Up Sneakers (Lavender, 11)</t>
  </si>
  <si>
    <t>ECCL4139S-LAVENDER-11</t>
  </si>
  <si>
    <t>Lavender</t>
  </si>
  <si>
    <t>195861998563</t>
  </si>
  <si>
    <t>B0CKWHMM51</t>
  </si>
  <si>
    <t>30108385</t>
  </si>
  <si>
    <t>6044838</t>
  </si>
  <si>
    <t>Carter's Baby Boys' 3 Piece Vest Set (Navy/Heather Plaid, Newborn)</t>
  </si>
  <si>
    <t>V_1P811110</t>
  </si>
  <si>
    <t>Navy/Heather Plaid</t>
  </si>
  <si>
    <t>195861998532</t>
  </si>
  <si>
    <t>B0CKWGQNYX</t>
  </si>
  <si>
    <t>30108387</t>
  </si>
  <si>
    <t>Carter's Baby Boys' 3 Piece Vest Set (Navy/Heather Plaid, 6 Months)</t>
  </si>
  <si>
    <t>195861998525</t>
  </si>
  <si>
    <t>B0CKWCLNDN</t>
  </si>
  <si>
    <t>30108386</t>
  </si>
  <si>
    <t>Carter's Baby Boys' 3 Piece Vest Set (Navy/Heather Plaid, 3 Months)</t>
  </si>
  <si>
    <t>195861998549</t>
  </si>
  <si>
    <t>B0CH1RYMJN</t>
  </si>
  <si>
    <t>30108388</t>
  </si>
  <si>
    <t>Carter's Baby Boys' 3 Piece Vest Set (Navy/Heather Plaid, 9 Months)</t>
  </si>
  <si>
    <t>301</t>
  </si>
  <si>
    <t>Pant Set</t>
  </si>
  <si>
    <t>195861998495</t>
  </si>
  <si>
    <t>B0CH1SPKND</t>
  </si>
  <si>
    <t>30108389</t>
  </si>
  <si>
    <t>Carter's Baby Boys' 3 Piece Vest Set (Navy/Heather Plaid, 12 Months)</t>
  </si>
  <si>
    <t>326</t>
  </si>
  <si>
    <t>195861998501</t>
  </si>
  <si>
    <t>B0CH1S96S5</t>
  </si>
  <si>
    <t>30108390</t>
  </si>
  <si>
    <t>Carter's Baby Boys' 3 Piece Vest Set (Navy/Heather Plaid, 18 Months)</t>
  </si>
  <si>
    <t>195861998518</t>
  </si>
  <si>
    <t>B0CKWH2R2T</t>
  </si>
  <si>
    <t>30108391</t>
  </si>
  <si>
    <t>Carter's Baby Boys' 3 Piece Vest Set (Navy/Heather Plaid, 24 Months)</t>
  </si>
  <si>
    <t>Navy/Heather</t>
  </si>
  <si>
    <t>196953317996</t>
  </si>
  <si>
    <t>B0CFQ4TSCL</t>
  </si>
  <si>
    <t>28257902</t>
  </si>
  <si>
    <t>6102906</t>
  </si>
  <si>
    <t>Eddie Bauer Women's Rainfoil Insulated Parka, Aubergine, X-Small</t>
  </si>
  <si>
    <t>0061944304000030</t>
  </si>
  <si>
    <t>Aubergine</t>
  </si>
  <si>
    <t>196953009006</t>
  </si>
  <si>
    <t>B0CFQ6T86D</t>
  </si>
  <si>
    <t>28257888</t>
  </si>
  <si>
    <t>Eddie Bauer Women's Rainfoil Insulated Parka, Black, X-Small</t>
  </si>
  <si>
    <t>0061944100000030</t>
  </si>
  <si>
    <t>196953861369</t>
  </si>
  <si>
    <t>B0CFQ352S5</t>
  </si>
  <si>
    <t>28257895</t>
  </si>
  <si>
    <t>Eddie Bauer Women's Rainfoil Insulated Parka, Storm, X-Small</t>
  </si>
  <si>
    <t>0061944182000030</t>
  </si>
  <si>
    <t>Storm</t>
  </si>
  <si>
    <t>196953626746</t>
  </si>
  <si>
    <t>B0CFQ4MSFL</t>
  </si>
  <si>
    <t>28257903</t>
  </si>
  <si>
    <t>Eddie Bauer Women's Rainfoil Insulated Parka, Aubergine, Small</t>
  </si>
  <si>
    <t>0061944304000040</t>
  </si>
  <si>
    <t>196953558078</t>
  </si>
  <si>
    <t>B0CFQ46WTP</t>
  </si>
  <si>
    <t>28257896</t>
  </si>
  <si>
    <t>Eddie Bauer Women's Rainfoil Insulated Parka, Storm, Small</t>
  </si>
  <si>
    <t>0061944182000040</t>
  </si>
  <si>
    <t>196953766923</t>
  </si>
  <si>
    <t>B0CFQ28GF7</t>
  </si>
  <si>
    <t>28257891</t>
  </si>
  <si>
    <t>Eddie Bauer Women's Rainfoil Insulated Parka, Black, Small</t>
  </si>
  <si>
    <t>0061944100000040</t>
  </si>
  <si>
    <t>196953594823</t>
  </si>
  <si>
    <t>B0CFQ2PS66</t>
  </si>
  <si>
    <t>28257897</t>
  </si>
  <si>
    <t>Eddie Bauer Women's Rainfoil Insulated Parka, Storm, Medium</t>
  </si>
  <si>
    <t>0061944182000050</t>
  </si>
  <si>
    <t>196953821738</t>
  </si>
  <si>
    <t>B0CFQ2Q24B</t>
  </si>
  <si>
    <t>28257892</t>
  </si>
  <si>
    <t>Eddie Bauer Women's Rainfoil Insulated Parka, Black, Medium</t>
  </si>
  <si>
    <t>0061944100000050</t>
  </si>
  <si>
    <t>196953782114</t>
  </si>
  <si>
    <t>B0CFQ57VH6</t>
  </si>
  <si>
    <t>28257898</t>
  </si>
  <si>
    <t>Eddie Bauer Women's Rainfoil Insulated Parka, Storm, Large</t>
  </si>
  <si>
    <t>0061944182000060</t>
  </si>
  <si>
    <t>196953333576</t>
  </si>
  <si>
    <t>B0CFQ4M6W4</t>
  </si>
  <si>
    <t>28257905</t>
  </si>
  <si>
    <t>Eddie Bauer Women's Rainfoil Insulated Parka, Aubergine, Large</t>
  </si>
  <si>
    <t>0061944304000060</t>
  </si>
  <si>
    <t>196953231339</t>
  </si>
  <si>
    <t>B0CFQ46R7W</t>
  </si>
  <si>
    <t>28257899</t>
  </si>
  <si>
    <t>Eddie Bauer Women's Rainfoil Insulated Parka, Storm, X-Large</t>
  </si>
  <si>
    <t>0061944182000070</t>
  </si>
  <si>
    <t>196953473258</t>
  </si>
  <si>
    <t>B0CFQ4V5HQ</t>
  </si>
  <si>
    <t>28257906</t>
  </si>
  <si>
    <t>Eddie Bauer Women's Rainfoil Insulated Parka, Aubergine, X-Large</t>
  </si>
  <si>
    <t>0061944304000070</t>
  </si>
  <si>
    <t>195744580816</t>
  </si>
  <si>
    <t>B09Z386GL3</t>
  </si>
  <si>
    <t>34141603</t>
  </si>
  <si>
    <t>5772110</t>
  </si>
  <si>
    <t>adidas Men's Allover Printed Polo Shirt, Olive Strata, Medium</t>
  </si>
  <si>
    <t>EEW12</t>
  </si>
  <si>
    <t>195744599740</t>
  </si>
  <si>
    <t>B09Z37Y647</t>
  </si>
  <si>
    <t>37327321</t>
  </si>
  <si>
    <t>adidas Men's Allover Printed Polo Shirt, White, Large</t>
  </si>
  <si>
    <t>195744583398</t>
  </si>
  <si>
    <t>B09Z3P5YTF</t>
  </si>
  <si>
    <t>34141604</t>
  </si>
  <si>
    <t>adidas Men's Allover Printed Polo Shirt, Olive Strata, Large</t>
  </si>
  <si>
    <t>195744599719</t>
  </si>
  <si>
    <t>B09Z36DN81</t>
  </si>
  <si>
    <t>37327323</t>
  </si>
  <si>
    <t>adidas Men's Allover Printed Polo Shirt, White, 2X-Large</t>
  </si>
  <si>
    <t>195861935353</t>
  </si>
  <si>
    <t>B0CQD5DLMC</t>
  </si>
  <si>
    <t>46962764</t>
  </si>
  <si>
    <t>5988462</t>
  </si>
  <si>
    <t>little planet by carter's unisex-baby Sweater Knit 2-Piece Set made with Organic Cotton, Grey Heather, NB</t>
  </si>
  <si>
    <t>1P697810</t>
  </si>
  <si>
    <t>195861935322</t>
  </si>
  <si>
    <t>B0CQD5DBTY</t>
  </si>
  <si>
    <t>46962766</t>
  </si>
  <si>
    <t>little planet by carter's unisex-baby Sweater Knit 2-Piece Set made with Organic Cotton, Grey Heather, 6M</t>
  </si>
  <si>
    <t>195861935315</t>
  </si>
  <si>
    <t>B0CQD663CB</t>
  </si>
  <si>
    <t>46962765</t>
  </si>
  <si>
    <t>little planet by carter's unisex-baby Sweater Knit 2-Piece Set made with Organic Cotton, Grey Heather, 3M</t>
  </si>
  <si>
    <t>195861935339</t>
  </si>
  <si>
    <t>B0CQD4GPCJ</t>
  </si>
  <si>
    <t>46962767</t>
  </si>
  <si>
    <t>little planet by carter's unisex-baby Sweater Knit 2-Piece Set made with Organic Cotton, Grey Heather, 9M</t>
  </si>
  <si>
    <t>160</t>
  </si>
  <si>
    <t>195861935285</t>
  </si>
  <si>
    <t>B0CQD5TXQR</t>
  </si>
  <si>
    <t>46962768</t>
  </si>
  <si>
    <t>little planet by carter's unisex-baby Sweater Knit 2-Piece Set made with Organic Cotton, Grey Heather, 12M</t>
  </si>
  <si>
    <t>173</t>
  </si>
  <si>
    <t>195861935292</t>
  </si>
  <si>
    <t>B0CQD55T4H</t>
  </si>
  <si>
    <t>46962769</t>
  </si>
  <si>
    <t>little planet by carter's unisex-baby Sweater Knit 2-Piece Set made with Organic Cotton, Grey Heather, 18M</t>
  </si>
  <si>
    <t>177</t>
  </si>
  <si>
    <t>195861935308</t>
  </si>
  <si>
    <t>B0CQD4THKJ</t>
  </si>
  <si>
    <t>46962770</t>
  </si>
  <si>
    <t>little planet by carter's unisex-baby Sweater Knit 2-Piece Set made with Organic Cotton, Grey Heather, 24M</t>
  </si>
  <si>
    <t>197016117324</t>
  </si>
  <si>
    <t>B0CT83TLW9</t>
  </si>
  <si>
    <t>79144594</t>
  </si>
  <si>
    <t>5885662</t>
  </si>
  <si>
    <t>Pruce Ankle Strap Block Heel Sandals</t>
  </si>
  <si>
    <t>Brown Raffia</t>
  </si>
  <si>
    <t>092298953311</t>
  </si>
  <si>
    <t>B09HWGGLHM</t>
  </si>
  <si>
    <t>28699404</t>
  </si>
  <si>
    <t>5120568</t>
  </si>
  <si>
    <t>eKids Disney Encanto Toy Microphone for Kids, Built-in Music and Flashing Lights</t>
  </si>
  <si>
    <t>070</t>
  </si>
  <si>
    <t>Purple</t>
  </si>
  <si>
    <t>195719109516</t>
  </si>
  <si>
    <t>B08YH7KW8Z</t>
  </si>
  <si>
    <t>77032473</t>
  </si>
  <si>
    <t>6677525</t>
  </si>
  <si>
    <t>Koolaburra by UGG Unisex-Child Koola Short Boot, Fandango Pink, 6 US Unisex Toddler</t>
  </si>
  <si>
    <t>1090329</t>
  </si>
  <si>
    <t>Fandango Pink</t>
  </si>
  <si>
    <t>195719109523</t>
  </si>
  <si>
    <t>B08YGTMR74</t>
  </si>
  <si>
    <t>77032483</t>
  </si>
  <si>
    <t>Koolaburra by UGG Unisex-Child Koola Short Boot, Fandango Pink, 7 US Unisex Toddler</t>
  </si>
  <si>
    <t>810009204121</t>
  </si>
  <si>
    <t>B097J3VR7C</t>
  </si>
  <si>
    <t>50776176</t>
  </si>
  <si>
    <t>5190144</t>
  </si>
  <si>
    <t>Sunny Days Entertainment Bath Time Sing Along Play Center - Ball Pit Tent with 20 Bonus Play Balls and Music - CoComelon</t>
  </si>
  <si>
    <t>1086</t>
  </si>
  <si>
    <t>320412</t>
  </si>
  <si>
    <t>719220937712</t>
  </si>
  <si>
    <t>B078MKVZ2W</t>
  </si>
  <si>
    <t>20872332</t>
  </si>
  <si>
    <t>5904828</t>
  </si>
  <si>
    <t>Tommy Hilfiger mens Big and Tall Classic Fit Stretch Chino Casual Pants, Mallet, 44W x 30L US</t>
  </si>
  <si>
    <t>78C2690-281</t>
  </si>
  <si>
    <t>719220938917</t>
  </si>
  <si>
    <t>B078MNRXZC</t>
  </si>
  <si>
    <t>20872339</t>
  </si>
  <si>
    <t>Tommy Hilfiger Men's Big and Tall Classic Fit Stretch Chino Pants, Drizzle, 44X30</t>
  </si>
  <si>
    <t>78C2690-877</t>
  </si>
  <si>
    <t>Drizzle</t>
  </si>
  <si>
    <t>719220939037</t>
  </si>
  <si>
    <t>B078MNTD5B</t>
  </si>
  <si>
    <t>20872340</t>
  </si>
  <si>
    <t>Tommy Hilfiger mens Big and Tall Classic Fit Stretch Chino Casual Pants, Drizzle R, 44W x 32L US</t>
  </si>
  <si>
    <t>719220937835</t>
  </si>
  <si>
    <t>B078MPT31B</t>
  </si>
  <si>
    <t>20872333</t>
  </si>
  <si>
    <t>Tommy Hilfiger mens Big and Tall Classic Fit Stretch Chino Casual Pants, Mallet, 44W x 32L US</t>
  </si>
  <si>
    <t>719220937842</t>
  </si>
  <si>
    <t>B078MP8F6P</t>
  </si>
  <si>
    <t>20872334</t>
  </si>
  <si>
    <t>Tommy Hilfiger mens Big and Tall Classic Fit Stretch Chino Casual Pants, Mallet, 46W x 32L US</t>
  </si>
  <si>
    <t>719220939051</t>
  </si>
  <si>
    <t>B078MNRXZD</t>
  </si>
  <si>
    <t>20872343</t>
  </si>
  <si>
    <t>Tommy Hilfiger mens Big and Tall Classic Fit Stretch Chino Casual Pants, Drizzle R, 48W x 32L US</t>
  </si>
  <si>
    <t>719220937859</t>
  </si>
  <si>
    <t>B078MNPXFS</t>
  </si>
  <si>
    <t>20872336</t>
  </si>
  <si>
    <t>Tommy Hilfiger mens Big and Tall Classic Fit Stretch Chino Casual Pants, Mallet, 48W x 32L US</t>
  </si>
  <si>
    <t>690222116391</t>
  </si>
  <si>
    <t>B00NFPP1K6</t>
  </si>
  <si>
    <t>28701318</t>
  </si>
  <si>
    <t>5466344</t>
  </si>
  <si>
    <t>Louis Garneau, Men's Leeway 2 Mountain Biking Shorts, Black, XX-Large</t>
  </si>
  <si>
    <t>1054001</t>
  </si>
  <si>
    <t>196884848347</t>
  </si>
  <si>
    <t>B0BJ7TJDR3</t>
  </si>
  <si>
    <t>78619885</t>
  </si>
  <si>
    <t>7081418</t>
  </si>
  <si>
    <t>Under Armour Womens Motion Jogger, (504) Grove Green / / Black, 3X</t>
  </si>
  <si>
    <t>1376353</t>
  </si>
  <si>
    <t>(504) Grove Green / / Black</t>
  </si>
  <si>
    <t>196884247829</t>
  </si>
  <si>
    <t>B0BGVVJH43</t>
  </si>
  <si>
    <t>20561516</t>
  </si>
  <si>
    <t>Under Armour Womens Motion Jogger, (390) Marine OD Green / / Grove Green, 3X</t>
  </si>
  <si>
    <t>(390) Marine Od Green / / Grove Green</t>
  </si>
  <si>
    <t>196953833205</t>
  </si>
  <si>
    <t>B0CFQ2K88H</t>
  </si>
  <si>
    <t>19710897</t>
  </si>
  <si>
    <t>5578814</t>
  </si>
  <si>
    <t>Eddie Bauer Men's Eddie's Field Flannel - Pattern, Pacific Blue, Small</t>
  </si>
  <si>
    <t>0670408360000040</t>
  </si>
  <si>
    <t>Pacific Blue</t>
  </si>
  <si>
    <t>196953615504</t>
  </si>
  <si>
    <t>B0CFQ415G2</t>
  </si>
  <si>
    <t>19710907</t>
  </si>
  <si>
    <t>Eddie Bauer Men's Eddie's Field Flannel - Pattern, Aubergine, Small</t>
  </si>
  <si>
    <t>0670408304000040</t>
  </si>
  <si>
    <t>196953892011</t>
  </si>
  <si>
    <t>B0CFQ3XLJ5</t>
  </si>
  <si>
    <t>19702634</t>
  </si>
  <si>
    <t>Eddie Bauer Men's Eddie's Field Flannel - Pattern, Coast, Small</t>
  </si>
  <si>
    <t>0670408781000040</t>
  </si>
  <si>
    <t>Coast</t>
  </si>
  <si>
    <t>196953609510</t>
  </si>
  <si>
    <t>B0CFQ3KM2W</t>
  </si>
  <si>
    <t>19702639</t>
  </si>
  <si>
    <t>Eddie Bauer Men's Eddie's Field Flannel - Pattern, Dusty Red, Small</t>
  </si>
  <si>
    <t>0670408956000040</t>
  </si>
  <si>
    <t>Dusty Red</t>
  </si>
  <si>
    <t>196953658136</t>
  </si>
  <si>
    <t>B0CFQ1ZFTJ</t>
  </si>
  <si>
    <t>19710912</t>
  </si>
  <si>
    <t>Eddie Bauer Men's Eddie's Field Flannel - Pattern, Peacock, Small</t>
  </si>
  <si>
    <t>0670408361000040</t>
  </si>
  <si>
    <t>Peacock</t>
  </si>
  <si>
    <t>196953494468</t>
  </si>
  <si>
    <t>B0CFQ3G1ZR</t>
  </si>
  <si>
    <t>19710898</t>
  </si>
  <si>
    <t>Eddie Bauer Men's Eddie's Field Flannel - Pattern, Pacific Blue, Medium</t>
  </si>
  <si>
    <t>98</t>
  </si>
  <si>
    <t>0670408360000050</t>
  </si>
  <si>
    <t>196953295720</t>
  </si>
  <si>
    <t>B0CFQ3TY1L</t>
  </si>
  <si>
    <t>19702643</t>
  </si>
  <si>
    <t>Eddie Bauer Men's Eddie's Field Flannel - Pattern, Dusty Red, Medium</t>
  </si>
  <si>
    <t>0670408956000050</t>
  </si>
  <si>
    <t>196953647628</t>
  </si>
  <si>
    <t>B0CFQ2WXVG</t>
  </si>
  <si>
    <t>19702635</t>
  </si>
  <si>
    <t>Eddie Bauer Men's Eddie's Field Flannel - Pattern, Coast, Medium</t>
  </si>
  <si>
    <t>0670408781000050</t>
  </si>
  <si>
    <t>196953417818</t>
  </si>
  <si>
    <t>B0CFQ33X1D</t>
  </si>
  <si>
    <t>19710913</t>
  </si>
  <si>
    <t>Eddie Bauer Men's Eddie's Field Flannel - Pattern, Peacock, Medium</t>
  </si>
  <si>
    <t>0670408361000050</t>
  </si>
  <si>
    <t>196953752612</t>
  </si>
  <si>
    <t>B0CFQ2JDZX</t>
  </si>
  <si>
    <t>19702644</t>
  </si>
  <si>
    <t>Eddie Bauer Men's Eddie's Field Flannel - Pattern, Dusty Red, Large</t>
  </si>
  <si>
    <t>0670408956000060</t>
  </si>
  <si>
    <t>196953834714</t>
  </si>
  <si>
    <t>B0CFQ2WKCF</t>
  </si>
  <si>
    <t>19702645</t>
  </si>
  <si>
    <t>Eddie Bauer Men's Eddie's Field Flannel - Pattern, Dusty Red, X-Large</t>
  </si>
  <si>
    <t>0670408956000070</t>
  </si>
  <si>
    <t>196953963872</t>
  </si>
  <si>
    <t>B0CFQ31DV5</t>
  </si>
  <si>
    <t>19702646</t>
  </si>
  <si>
    <t>Eddie Bauer Men's Eddie's Field Flannel - Pattern, Dusty Red, XX-Large</t>
  </si>
  <si>
    <t>0670408956000080</t>
  </si>
  <si>
    <t>196953751462</t>
  </si>
  <si>
    <t>B0CFQ3GL7X</t>
  </si>
  <si>
    <t>19702638</t>
  </si>
  <si>
    <t>Eddie Bauer Men's Eddie's Field Flannel - Pattern, Coast, XX-Large</t>
  </si>
  <si>
    <t>0670408781000080</t>
  </si>
  <si>
    <t>196953475450</t>
  </si>
  <si>
    <t>B0CFQ35ZN8</t>
  </si>
  <si>
    <t>19710916</t>
  </si>
  <si>
    <t>Eddie Bauer Men's Eddie's Field Flannel - Pattern, Peacock, XX-Large</t>
  </si>
  <si>
    <t>0670408361000080</t>
  </si>
  <si>
    <t>196327459703</t>
  </si>
  <si>
    <t>B0D2JG7ZBL</t>
  </si>
  <si>
    <t>58310625</t>
  </si>
  <si>
    <t>6119914</t>
  </si>
  <si>
    <t>Nike Big Boys 2 Piece Pom Beanie Hat and Gloves Set (One Size, Neutral Olive)</t>
  </si>
  <si>
    <t>1036</t>
  </si>
  <si>
    <t>193671456112</t>
  </si>
  <si>
    <t>B0B5B7DNF1</t>
  </si>
  <si>
    <t>49615994</t>
  </si>
  <si>
    <t>5867821</t>
  </si>
  <si>
    <t>Dickies Men's Leather Belt, Black Casual Plaque, Small (30-32)</t>
  </si>
  <si>
    <t>11DI020055-001-SM</t>
  </si>
  <si>
    <t>Black Casual Plaque</t>
  </si>
  <si>
    <t>193671456129</t>
  </si>
  <si>
    <t>B0B5B575H8</t>
  </si>
  <si>
    <t>49615995</t>
  </si>
  <si>
    <t>Dickies Men's Leather Belt, Black Casual Plaque, Medium (34-36)</t>
  </si>
  <si>
    <t>11DI020055-001-MD</t>
  </si>
  <si>
    <t>193671456136</t>
  </si>
  <si>
    <t>B0B5B7R1SY</t>
  </si>
  <si>
    <t>49615996</t>
  </si>
  <si>
    <t>Dickies Men's Leather Belt, Black Casual Plaque, Large (38-40)</t>
  </si>
  <si>
    <t>11DI020055-001-LG</t>
  </si>
  <si>
    <t>196524173662</t>
  </si>
  <si>
    <t>B0B1JPXPRM</t>
  </si>
  <si>
    <t>76965220</t>
  </si>
  <si>
    <t>6032083</t>
  </si>
  <si>
    <t>Levi's Men's Xx Chino Jogger (Also Available in Big &amp; Tall), Olive Night, Small</t>
  </si>
  <si>
    <t>A4761-0001</t>
  </si>
  <si>
    <t>Olive Night</t>
  </si>
  <si>
    <t>196524257546</t>
  </si>
  <si>
    <t>B0B1KBWCCK</t>
  </si>
  <si>
    <t>82007968</t>
  </si>
  <si>
    <t>Levi's Men's Xx Chino Jogger (Also Available in Big &amp; Tall), Harvest Gold, Small</t>
  </si>
  <si>
    <t>A4761-0004</t>
  </si>
  <si>
    <t>Harvest Gold</t>
  </si>
  <si>
    <t>196524257553</t>
  </si>
  <si>
    <t>B0B1KFW5F6</t>
  </si>
  <si>
    <t>82007970</t>
  </si>
  <si>
    <t>Levi's Men's Xx Chino Jogger (Also Available in Big &amp; Tall), Harvest Gold, Large</t>
  </si>
  <si>
    <t>196524173686</t>
  </si>
  <si>
    <t>B0B1KBW74D</t>
  </si>
  <si>
    <t>76965222</t>
  </si>
  <si>
    <t>Levi's Men's Xx Chino Jogger (Also Available in Big &amp; Tall), Olive Night, Large</t>
  </si>
  <si>
    <t>194818206294</t>
  </si>
  <si>
    <t>B088P451TP</t>
  </si>
  <si>
    <t>75104122</t>
  </si>
  <si>
    <t>5218392</t>
  </si>
  <si>
    <t>adidas Golf Women's Ultimate365 Primegreen Short Sleeve Polo Shirt, White, Extra Small</t>
  </si>
  <si>
    <t>TW3901S21</t>
  </si>
  <si>
    <t>196468564397</t>
  </si>
  <si>
    <t>B0BNSJVJMB</t>
  </si>
  <si>
    <t>73620863</t>
  </si>
  <si>
    <t>adidas Womens Ultimate365 Solid Polo Shirt, Wonder Blue, X-Small</t>
  </si>
  <si>
    <t>22760</t>
  </si>
  <si>
    <t>194818206249</t>
  </si>
  <si>
    <t>B088P446DD</t>
  </si>
  <si>
    <t>75104123</t>
  </si>
  <si>
    <t>adidas Golf Women's Ultimate365 Primegreen Short Sleeve Polo Shirt, White, Small</t>
  </si>
  <si>
    <t>195745482065</t>
  </si>
  <si>
    <t>B09Z37VDYT</t>
  </si>
  <si>
    <t>61268352</t>
  </si>
  <si>
    <t>adidas Women's Standard Ultimate365 Solid Polo Shirt, Collegiate Navy, Small</t>
  </si>
  <si>
    <t>196468564380</t>
  </si>
  <si>
    <t>B0BNSP34TM</t>
  </si>
  <si>
    <t>73620864</t>
  </si>
  <si>
    <t>adidas Womens Ultimate365 Solid Polo Shirt, Wonder Blue, Small</t>
  </si>
  <si>
    <t>194818206171</t>
  </si>
  <si>
    <t>B088P2ZPY8</t>
  </si>
  <si>
    <t>75104124</t>
  </si>
  <si>
    <t>adidas Golf Women's Ultimate365 Primegreen Short Sleeve Polo Shirt, White, Medium</t>
  </si>
  <si>
    <t>196468567107</t>
  </si>
  <si>
    <t>B0BNT3BLZK</t>
  </si>
  <si>
    <t>73620865</t>
  </si>
  <si>
    <t>adidas Womens Ultimate365 Solid Polo Shirt, Wonder Blue, Medium</t>
  </si>
  <si>
    <t>194818206355</t>
  </si>
  <si>
    <t>B088P3TC5Z</t>
  </si>
  <si>
    <t>75104125</t>
  </si>
  <si>
    <t>adidas Golf Women's Ultimate365 Primegreen Short Sleeve Polo Shirt, White, Large</t>
  </si>
  <si>
    <t>196468567121</t>
  </si>
  <si>
    <t>B0BNSWLFXF</t>
  </si>
  <si>
    <t>73620866</t>
  </si>
  <si>
    <t>adidas Womens Ultimate365 Solid Polo Shirt, Wonder Blue, Large</t>
  </si>
  <si>
    <t>194818206225</t>
  </si>
  <si>
    <t>B088P2VZ8X</t>
  </si>
  <si>
    <t>75104126</t>
  </si>
  <si>
    <t>adidas Golf Women's Ultimate365 Primegreen Short Sleeve Polo Shirt, White, Extra Large</t>
  </si>
  <si>
    <t>196468564359</t>
  </si>
  <si>
    <t>B0BNSWMZ1Z</t>
  </si>
  <si>
    <t>73620867</t>
  </si>
  <si>
    <t>adidas Womens Ultimate365 Solid Polo Shirt, Wonder Blue, X-Large</t>
  </si>
  <si>
    <t>196468564335</t>
  </si>
  <si>
    <t>B0BNR66PGR</t>
  </si>
  <si>
    <t>73620868</t>
  </si>
  <si>
    <t>adidas Womens Ultimate365 Solid Polo Shirt, Wonder Blue, XX-Large</t>
  </si>
  <si>
    <t>195862120000</t>
  </si>
  <si>
    <t>B0CL5KDZ5J</t>
  </si>
  <si>
    <t>55860560</t>
  </si>
  <si>
    <t>6185264</t>
  </si>
  <si>
    <t>Carter's baby-girls 3-piece Layette Set (Blue/Pink Fair Isle, Newborn)</t>
  </si>
  <si>
    <t>195862119974</t>
  </si>
  <si>
    <t>B0CL5LBXGH</t>
  </si>
  <si>
    <t>55860567</t>
  </si>
  <si>
    <t>Carter's baby-girls 3-piece Layette Set (Blue/Pink Fair Isle, 6 Months)</t>
  </si>
  <si>
    <t>Blue/Pink Fair Isle</t>
  </si>
  <si>
    <t>195862119967</t>
  </si>
  <si>
    <t>B0CL5K8RGJ</t>
  </si>
  <si>
    <t>55860562</t>
  </si>
  <si>
    <t>Carter's baby-girls 3-piece Layette Set (Blue/Pink Fair Isle, 3 Months)</t>
  </si>
  <si>
    <t>195862119981</t>
  </si>
  <si>
    <t>B0CL5JFG91</t>
  </si>
  <si>
    <t>55860568</t>
  </si>
  <si>
    <t>Carter's baby-girls 3-piece Layette Set (Blue/Pink Fair Isle, 9 Months)</t>
  </si>
  <si>
    <t>195862119936</t>
  </si>
  <si>
    <t>B0CL5L688V</t>
  </si>
  <si>
    <t>55860569</t>
  </si>
  <si>
    <t>Carter's baby-girls 3-piece Layette Set (Blue/Pink Fair Isle, 12 Months)</t>
  </si>
  <si>
    <t>195862119943</t>
  </si>
  <si>
    <t>B0CL5JQRFK</t>
  </si>
  <si>
    <t>55860570</t>
  </si>
  <si>
    <t>Carter's baby-girls 3-piece Layette Set (Blue/Pink Fair Isle, 18 Months)</t>
  </si>
  <si>
    <t>195862116157</t>
  </si>
  <si>
    <t>B0CL5KSTNL</t>
  </si>
  <si>
    <t>18796705</t>
  </si>
  <si>
    <t>6185252</t>
  </si>
  <si>
    <t>Carter's baby-girls 3-piece Layette Set (Leopard/Multi, Newborn)</t>
  </si>
  <si>
    <t>Leopard/Multi</t>
  </si>
  <si>
    <t>195862116126</t>
  </si>
  <si>
    <t>B0CL5KBKVS</t>
  </si>
  <si>
    <t>18796707</t>
  </si>
  <si>
    <t>Carter's baby-girls 3-piece Layette Set (Leopard/Multi, 6 Months)</t>
  </si>
  <si>
    <t>195862116119</t>
  </si>
  <si>
    <t>B0CL5JJ3S4</t>
  </si>
  <si>
    <t>18796706</t>
  </si>
  <si>
    <t>Carter's baby-girls 3-piece Layette Set (Leopard/Multi, 3 Months)</t>
  </si>
  <si>
    <t>195862116133</t>
  </si>
  <si>
    <t>B0CL5K8C7L</t>
  </si>
  <si>
    <t>18796708</t>
  </si>
  <si>
    <t>Carter's baby-girls 3-piece Layette Set (Leopard/Multi, 9 Months)</t>
  </si>
  <si>
    <t>377</t>
  </si>
  <si>
    <t>195862116089</t>
  </si>
  <si>
    <t>B0CL65HT2D</t>
  </si>
  <si>
    <t>18796709</t>
  </si>
  <si>
    <t>Carter's baby-girls 3-piece Layette Set (Leopard/Multi, 12 Months)</t>
  </si>
  <si>
    <t>451</t>
  </si>
  <si>
    <t>195862116096</t>
  </si>
  <si>
    <t>B0CL5JBF5D</t>
  </si>
  <si>
    <t>18796710</t>
  </si>
  <si>
    <t>Carter's baby-girls 3-piece Layette Set (Leopard/Multi, 18 Months)</t>
  </si>
  <si>
    <t>195862116102</t>
  </si>
  <si>
    <t>B0CL5JCVX4</t>
  </si>
  <si>
    <t>18796711</t>
  </si>
  <si>
    <t>Carter's baby-girls 3-piece Layette Set (Leopard/Multi, 24 Months)</t>
  </si>
  <si>
    <t>230</t>
  </si>
  <si>
    <t>196978548122</t>
  </si>
  <si>
    <t>B0BN4ZYJCL</t>
  </si>
  <si>
    <t>20254361</t>
  </si>
  <si>
    <t>7029949</t>
  </si>
  <si>
    <t>Levi's Men's Classic Worker Long Sleeve Wovens Shirt, Scottie Plaid Desert Sun</t>
  </si>
  <si>
    <t>19587-0260</t>
  </si>
  <si>
    <t>Scottie Plaid Desert Sun</t>
  </si>
  <si>
    <t>196978549143</t>
  </si>
  <si>
    <t>B0BN51XFSS</t>
  </si>
  <si>
    <t>78859855</t>
  </si>
  <si>
    <t>Levi's Men's Classic Worker Long Sleeve Wovens Shirt, Scottie Plaid Chocolate Truffle</t>
  </si>
  <si>
    <t>19587-0261</t>
  </si>
  <si>
    <t>Scottie Plaid Chocolate Truffle</t>
  </si>
  <si>
    <t>196978357519</t>
  </si>
  <si>
    <t>B0BN51N1BG</t>
  </si>
  <si>
    <t>20254362</t>
  </si>
  <si>
    <t>196978357113</t>
  </si>
  <si>
    <t>B0BN53KBWM</t>
  </si>
  <si>
    <t>78859856</t>
  </si>
  <si>
    <t>196978548139</t>
  </si>
  <si>
    <t>B0BN51ZTQQ</t>
  </si>
  <si>
    <t>20254363</t>
  </si>
  <si>
    <t>196978549150</t>
  </si>
  <si>
    <t>B0BN51DXG1</t>
  </si>
  <si>
    <t>78859858</t>
  </si>
  <si>
    <t>101</t>
  </si>
  <si>
    <t>196978405494</t>
  </si>
  <si>
    <t>B0BN51P82W</t>
  </si>
  <si>
    <t>20254364</t>
  </si>
  <si>
    <t>196978405098</t>
  </si>
  <si>
    <t>B0BN54B7WP</t>
  </si>
  <si>
    <t>78859859</t>
  </si>
  <si>
    <t>196978548146</t>
  </si>
  <si>
    <t>B0BN6T5NH9</t>
  </si>
  <si>
    <t>20254365</t>
  </si>
  <si>
    <t>196978549167</t>
  </si>
  <si>
    <t>B0BN6T4PYP</t>
  </si>
  <si>
    <t>78859860</t>
  </si>
  <si>
    <t>889819035324</t>
  </si>
  <si>
    <t>B00YO77F6M</t>
  </si>
  <si>
    <t>84919929</t>
  </si>
  <si>
    <t>2897117</t>
  </si>
  <si>
    <t>Under Armour Women's UA Tech™ Twist Tank XS Black</t>
  </si>
  <si>
    <t>1275487</t>
  </si>
  <si>
    <t>Black/ Metallic Silver</t>
  </si>
  <si>
    <t>195862114399</t>
  </si>
  <si>
    <t>B0CL5KJS9Y</t>
  </si>
  <si>
    <t>18796722</t>
  </si>
  <si>
    <t>6185259</t>
  </si>
  <si>
    <t>Carter's baby-girls 3-piece Layette Set (Gray/Red Plaid, Newborn)</t>
  </si>
  <si>
    <t>Red Plaid/Grey/Black</t>
  </si>
  <si>
    <t>195862114368</t>
  </si>
  <si>
    <t>B0CL5KT3QR</t>
  </si>
  <si>
    <t>18796724</t>
  </si>
  <si>
    <t>Carter's baby-girls 3-piece Layette Set (Gray/Red Plaid, 6 Months)</t>
  </si>
  <si>
    <t>195862114351</t>
  </si>
  <si>
    <t>B0CL5K99G7</t>
  </si>
  <si>
    <t>18796723</t>
  </si>
  <si>
    <t>Carter's baby-girls 3-piece Layette Set (Gray/Red Plaid, 3 Months)</t>
  </si>
  <si>
    <t>382</t>
  </si>
  <si>
    <t>Gray/Red</t>
  </si>
  <si>
    <t>195862114375</t>
  </si>
  <si>
    <t>B0CL5KXYXP</t>
  </si>
  <si>
    <t>18796725</t>
  </si>
  <si>
    <t>Carter's baby-girls 3-piece Layette Set (Gray/Red Plaid, 9 Months)</t>
  </si>
  <si>
    <t>587</t>
  </si>
  <si>
    <t>195862114320</t>
  </si>
  <si>
    <t>B0CL5KJFZJ</t>
  </si>
  <si>
    <t>18796726</t>
  </si>
  <si>
    <t>Carter's baby-girls 3-piece Layette Set (Gray/Red Plaid, 12 Months)…</t>
  </si>
  <si>
    <t>596</t>
  </si>
  <si>
    <t>Gray/Red Plaid</t>
  </si>
  <si>
    <t>195862114337</t>
  </si>
  <si>
    <t>B0CL5LTTN9</t>
  </si>
  <si>
    <t>18796727</t>
  </si>
  <si>
    <t>Carter's baby-girls 3-piece Layette Set (Gray/Red Plaid, 18 Months)</t>
  </si>
  <si>
    <t>612</t>
  </si>
  <si>
    <t>195862114344</t>
  </si>
  <si>
    <t>B0CL5KHLHX</t>
  </si>
  <si>
    <t>18796728</t>
  </si>
  <si>
    <t>Carter's baby-girls 3-piece Layette Set (Gray/Red Plaid, 24 Months)</t>
  </si>
  <si>
    <t>402</t>
  </si>
  <si>
    <t>Gray</t>
  </si>
  <si>
    <t>195736951426</t>
  </si>
  <si>
    <t>B093RCSD3Y</t>
  </si>
  <si>
    <t>37910678</t>
  </si>
  <si>
    <t>5200409</t>
  </si>
  <si>
    <t>adidas Women's Training Light Support Good Level Bra Padded, Clear Pink, Medium DD</t>
  </si>
  <si>
    <t>ZG487</t>
  </si>
  <si>
    <t>195736951501</t>
  </si>
  <si>
    <t>B093QX5MD5</t>
  </si>
  <si>
    <t>37910679</t>
  </si>
  <si>
    <t>adidas Women's Training Light Support Good Level Bra Padded, Clear Pink, Large DD</t>
  </si>
  <si>
    <t>195736951518</t>
  </si>
  <si>
    <t>B093QYGPWX</t>
  </si>
  <si>
    <t>37910680</t>
  </si>
  <si>
    <t>adidas Women's Training Light Support Good Level Bra Padded, Clear Pink, X-Large DD</t>
  </si>
  <si>
    <t>195736951402</t>
  </si>
  <si>
    <t>B093S12MHH</t>
  </si>
  <si>
    <t>37910681</t>
  </si>
  <si>
    <t>adidas Women's Training Light Support Good Level Bra Padded, Clear Pink, X-Small DD</t>
  </si>
  <si>
    <t>195736947672</t>
  </si>
  <si>
    <t>B093SBGZL7</t>
  </si>
  <si>
    <t>37910671</t>
  </si>
  <si>
    <t>adidas Women's Training Light Support Good Level Bra Padded, Clear Pink, XX-Small D</t>
  </si>
  <si>
    <t>195736951372</t>
  </si>
  <si>
    <t>B093QZ6FNZ</t>
  </si>
  <si>
    <t>37910673</t>
  </si>
  <si>
    <t>adidas Women's Training Light Support Good Level Bra Padded, Clear Pink, Small DD</t>
  </si>
  <si>
    <t>195736955424</t>
  </si>
  <si>
    <t>B093G54WYX</t>
  </si>
  <si>
    <t>67183659</t>
  </si>
  <si>
    <t>adidas Women's Training Light Support Good Level Bra Padded, Black, XX-Small D</t>
  </si>
  <si>
    <t>195736943841</t>
  </si>
  <si>
    <t>B093G7GMCM</t>
  </si>
  <si>
    <t>72098938</t>
  </si>
  <si>
    <t>adidas Women's Training Light Support Good Level Bra Padded, White, XX-Small D</t>
  </si>
  <si>
    <t>195736943926</t>
  </si>
  <si>
    <t>B093G5VJBP</t>
  </si>
  <si>
    <t>72098944</t>
  </si>
  <si>
    <t>adidas Women's Training Light Support Good Level Bra Padded, White, X-Small DD</t>
  </si>
  <si>
    <t>195736955288</t>
  </si>
  <si>
    <t>B093G5QZLX</t>
  </si>
  <si>
    <t>67183671</t>
  </si>
  <si>
    <t>adidas Women's Training Light Support Good Level Bra Padded, Black, X-Small DD</t>
  </si>
  <si>
    <t>195736959125</t>
  </si>
  <si>
    <t>B093G5798D</t>
  </si>
  <si>
    <t>67183661</t>
  </si>
  <si>
    <t>adidas Women's Training Light Support Good Level Bra Padded, Black, Small DD</t>
  </si>
  <si>
    <t>195736943834</t>
  </si>
  <si>
    <t>B093G4TH2M</t>
  </si>
  <si>
    <t>72098940</t>
  </si>
  <si>
    <t>adidas Women's Training Light Support Good Level Bra Padded, White, Small DD</t>
  </si>
  <si>
    <t>195736943902</t>
  </si>
  <si>
    <t>B093G54WZ4</t>
  </si>
  <si>
    <t>72098941</t>
  </si>
  <si>
    <t>adidas Women's Training Light Support Good Level Bra Padded, White, Medium DD</t>
  </si>
  <si>
    <t>195736955387</t>
  </si>
  <si>
    <t>B093G5Z45J</t>
  </si>
  <si>
    <t>67183669</t>
  </si>
  <si>
    <t>adidas Women's Training Light Support Good Level Bra Padded, Black, Large DD</t>
  </si>
  <si>
    <t>195736943827</t>
  </si>
  <si>
    <t>B093G4V5Y9</t>
  </si>
  <si>
    <t>72098942</t>
  </si>
  <si>
    <t>adidas Women's Training Light Support Good Level Bra Padded, White, Large DD</t>
  </si>
  <si>
    <t>196701939425</t>
  </si>
  <si>
    <t>B0CZY2ZGND</t>
  </si>
  <si>
    <t>61543738</t>
  </si>
  <si>
    <t>6689806</t>
  </si>
  <si>
    <t>Tommy Hilfiger Women's Cold Weather Puffer with Removable Fur, Black</t>
  </si>
  <si>
    <t>TW2MP186-BLK-S</t>
  </si>
  <si>
    <t>196701939302</t>
  </si>
  <si>
    <t>B0CZY2M19H</t>
  </si>
  <si>
    <t>61543742</t>
  </si>
  <si>
    <t>Tommy Hilfiger Women's Cold Weather Puffer with Removable Fur, Navy</t>
  </si>
  <si>
    <t>TW2MP186-NVY-S</t>
  </si>
  <si>
    <t>196701939418</t>
  </si>
  <si>
    <t>B0CZY2QVCD</t>
  </si>
  <si>
    <t>61543739</t>
  </si>
  <si>
    <t>TW2MP186-BLK-M</t>
  </si>
  <si>
    <t>196701939296</t>
  </si>
  <si>
    <t>B0CZY1Z6QV</t>
  </si>
  <si>
    <t>61543743</t>
  </si>
  <si>
    <t>168</t>
  </si>
  <si>
    <t>TW2MP186-NVY-M</t>
  </si>
  <si>
    <t>196701939289</t>
  </si>
  <si>
    <t>B0CZY3RN1D</t>
  </si>
  <si>
    <t>61543744</t>
  </si>
  <si>
    <t>TW2MP186-NVY-L</t>
  </si>
  <si>
    <t>196701939401</t>
  </si>
  <si>
    <t>B0CZY2KS3Q</t>
  </si>
  <si>
    <t>61543740</t>
  </si>
  <si>
    <t>TW2MP186-BLK-L</t>
  </si>
  <si>
    <t>196701939272</t>
  </si>
  <si>
    <t>B0CZY3B74W</t>
  </si>
  <si>
    <t>61543745</t>
  </si>
  <si>
    <t>TW2MP186-NVY-XL</t>
  </si>
  <si>
    <t>633731135590</t>
  </si>
  <si>
    <t>B07Z569PCN</t>
  </si>
  <si>
    <t>33879443</t>
  </si>
  <si>
    <t>4341806</t>
  </si>
  <si>
    <t>Nike Baby Boys' 1-Piece Snowsuit - Orange/Multi, 3 Months</t>
  </si>
  <si>
    <t>Orange</t>
  </si>
  <si>
    <t>633731135743</t>
  </si>
  <si>
    <t>B07Z59LSBB</t>
  </si>
  <si>
    <t>29655202</t>
  </si>
  <si>
    <t>Nike Baby`s Puffer Snowsuit (Game Royal(56F422-U89)/Red, 3 Months)</t>
  </si>
  <si>
    <t>56F422</t>
  </si>
  <si>
    <t>Game Royal(56f422-u89)/Red</t>
  </si>
  <si>
    <t>056551488040</t>
  </si>
  <si>
    <t>B0019ZR4WM</t>
  </si>
  <si>
    <t>73123641</t>
  </si>
  <si>
    <t>5815551</t>
  </si>
  <si>
    <t>Kamik Stomp Rain Boot (Toddler/Little Kid/Big Kid),Navy/Black Sole,5 M US Toddler</t>
  </si>
  <si>
    <t>EK6149</t>
  </si>
  <si>
    <t>Navy/Black</t>
  </si>
  <si>
    <t>056551488057</t>
  </si>
  <si>
    <t>B0019ZP9EM</t>
  </si>
  <si>
    <t>73123642</t>
  </si>
  <si>
    <t>Kamik Stomp Rain Boot (Toddler/Little Kid/Big Kid),Navy/Black Sole,6 M US Toddler</t>
  </si>
  <si>
    <t>056551488064</t>
  </si>
  <si>
    <t>B003S8U7BS</t>
  </si>
  <si>
    <t>73123649</t>
  </si>
  <si>
    <t>Kamik Youth Stomp Rain Boot Navy/Black 7</t>
  </si>
  <si>
    <t>B0019ZR53K</t>
  </si>
  <si>
    <t>Kamik Stomp Rain Boot (Toddler/Little Kid/Big Kid),Navy/Black Sole,7 M US Toddler</t>
  </si>
  <si>
    <t>630996301722</t>
  </si>
  <si>
    <t>B09Q4GHNGQ</t>
  </si>
  <si>
    <t>77038464</t>
  </si>
  <si>
    <t>5706332</t>
  </si>
  <si>
    <t>Little Live Pets | Scruff-a-Luvs Sew Surprise: Pink. Rescue, Reveal &amp; Groom A Mystery Puppy Or Kitten. Reveal Outfits to Dress Your Pet with The Magic Sewing Machine - 3 Clothing items, Comb, Glasses</t>
  </si>
  <si>
    <t>709</t>
  </si>
  <si>
    <t>30172</t>
  </si>
  <si>
    <t>194895166788</t>
  </si>
  <si>
    <t>B09KMK1KG5</t>
  </si>
  <si>
    <t>58124996</t>
  </si>
  <si>
    <t>4508798</t>
  </si>
  <si>
    <t>Columbia Women's West Bend Full Zip, Red Lily Check Print, Small</t>
  </si>
  <si>
    <t>1939901</t>
  </si>
  <si>
    <t>Red Lily Check Print</t>
  </si>
  <si>
    <t>194895166795</t>
  </si>
  <si>
    <t>B09KN2MJ4Y</t>
  </si>
  <si>
    <t>58124997</t>
  </si>
  <si>
    <t>Columbia Women's West Bend Full Zip, Red Lily Check Print, Medium</t>
  </si>
  <si>
    <t>194895166801</t>
  </si>
  <si>
    <t>B09KMJY87W</t>
  </si>
  <si>
    <t>58124998</t>
  </si>
  <si>
    <t>Columbia Women's West Bend Full Zip, Red Lily Check Print, Large</t>
  </si>
  <si>
    <t>194895166825</t>
  </si>
  <si>
    <t>B09KMJGQJM</t>
  </si>
  <si>
    <t>58125001</t>
  </si>
  <si>
    <t>Columbia Women's West Bend Full Zip, Red Lily Check Print, X-Large</t>
  </si>
  <si>
    <t>633716634728</t>
  </si>
  <si>
    <t>B082HDLDST</t>
  </si>
  <si>
    <t>46280809</t>
  </si>
  <si>
    <t>6093258</t>
  </si>
  <si>
    <t>Nike Baby Fleece Chin Strap Trapper Hat and Mittens 2 Piece Set (Anthracite(7A2781-693)/White, 2-4T)</t>
  </si>
  <si>
    <t>6A2779</t>
  </si>
  <si>
    <t>191900627753</t>
  </si>
  <si>
    <t>B0B49P7CKT</t>
  </si>
  <si>
    <t>45872359</t>
  </si>
  <si>
    <t>6689902</t>
  </si>
  <si>
    <t>Levi's Women's Rancher Aviator Jacket, Black Faux Leather, Small</t>
  </si>
  <si>
    <t>LW2RU559-BLK-01-SM</t>
  </si>
  <si>
    <t>Black Faux Leather</t>
  </si>
  <si>
    <t>191900627814</t>
  </si>
  <si>
    <t>B0B9P22465</t>
  </si>
  <si>
    <t>70384160</t>
  </si>
  <si>
    <t>Levi's Women's Rancher Aviator Jacket, Brown Faux Shearling, Small</t>
  </si>
  <si>
    <t>LW2RS559-BRN-01-SM</t>
  </si>
  <si>
    <t>Brown Faux Shearling</t>
  </si>
  <si>
    <t>191900627807</t>
  </si>
  <si>
    <t>B0B9PXCZNP</t>
  </si>
  <si>
    <t>70384161</t>
  </si>
  <si>
    <t>Levi's Women's Rancher Aviator Jacket, Brown Faux Shearling, Medium</t>
  </si>
  <si>
    <t>LW2RS559-BRN-02-MD</t>
  </si>
  <si>
    <t>191900627746</t>
  </si>
  <si>
    <t>B0B49NHF8R</t>
  </si>
  <si>
    <t>45872360</t>
  </si>
  <si>
    <t>Levi's Women's Rancher Aviator Jacket, Black Faux Leather, Medium</t>
  </si>
  <si>
    <t>LW2RU559-BLK-02-MD</t>
  </si>
  <si>
    <t>191900627791</t>
  </si>
  <si>
    <t>B0B9P36MPL</t>
  </si>
  <si>
    <t>70384162</t>
  </si>
  <si>
    <t>Levi's Women's Rancher Aviator Jacket, Brown Faux Shearling, Large</t>
  </si>
  <si>
    <t>LW2RS559-BRN-03-LG</t>
  </si>
  <si>
    <t>191900627739</t>
  </si>
  <si>
    <t>B0B49NSJ62</t>
  </si>
  <si>
    <t>45872361</t>
  </si>
  <si>
    <t>Levi's Women's Rancher Aviator Jacket, Black Faux Leather, Large</t>
  </si>
  <si>
    <t>LW2RU559-BLK-03-LG</t>
  </si>
  <si>
    <t>195979466893</t>
  </si>
  <si>
    <t>B0BKQWW5JT</t>
  </si>
  <si>
    <t>76863029</t>
  </si>
  <si>
    <t>6933181</t>
  </si>
  <si>
    <t>Columbia Women's Holly Hideaway Waffle Shirt Jacket, Dark Stone, Medium</t>
  </si>
  <si>
    <t>2052521</t>
  </si>
  <si>
    <t>195979467654</t>
  </si>
  <si>
    <t>B0BKQWY6CY</t>
  </si>
  <si>
    <t>76863040</t>
  </si>
  <si>
    <t>Columbia Women's Holly Hideaway Waffle Shirt Jacket, Camel Brown, Medium</t>
  </si>
  <si>
    <t>Camel Brown</t>
  </si>
  <si>
    <t>195979467692</t>
  </si>
  <si>
    <t>B0BKQVX67M</t>
  </si>
  <si>
    <t>76863041</t>
  </si>
  <si>
    <t>Columbia Women's Holly Hideaway Waffle Shirt Jacket, Camel Brown, Large</t>
  </si>
  <si>
    <t>195979467210</t>
  </si>
  <si>
    <t>B0BKQZ7JD5</t>
  </si>
  <si>
    <t>76863031</t>
  </si>
  <si>
    <t>Columbia Women's Holly Hideaway Waffle Shirt Jacket, Dark Stone, X-Large</t>
  </si>
  <si>
    <t>195979467661</t>
  </si>
  <si>
    <t>B0BKQZMD2W</t>
  </si>
  <si>
    <t>76863042</t>
  </si>
  <si>
    <t>Columbia Women's Holly Hideaway Waffle Shirt Jacket, Camel Brown, X-Large</t>
  </si>
  <si>
    <t>196739089024</t>
  </si>
  <si>
    <t>B0CSPQRRFX</t>
  </si>
  <si>
    <t>79042975</t>
  </si>
  <si>
    <t>6018150</t>
  </si>
  <si>
    <t>Champion Men's Script Logo Midweight Classic Jersey T-Shirt, Black, L</t>
  </si>
  <si>
    <t>Script Dark Sable Black.</t>
  </si>
  <si>
    <t>196739100958</t>
  </si>
  <si>
    <t>B0CSPST7KB</t>
  </si>
  <si>
    <t>70237091</t>
  </si>
  <si>
    <t>Champion Men's Script Logo Midweight Classic Jersey T-Shirt, Navy, L</t>
  </si>
  <si>
    <t>196739089062</t>
  </si>
  <si>
    <t>B0CSPSVRFN</t>
  </si>
  <si>
    <t>79042979</t>
  </si>
  <si>
    <t>Champion Men's Script Logo Midweight Classic Jersey T-Shirt, Black, XL</t>
  </si>
  <si>
    <t>028266902005</t>
  </si>
  <si>
    <t>B00ISFBV48</t>
  </si>
  <si>
    <t>30931802</t>
  </si>
  <si>
    <t>5944472</t>
  </si>
  <si>
    <t>Baldwin Filters Hydraulic Filter BT9362-MPG</t>
  </si>
  <si>
    <t>028266900377</t>
  </si>
  <si>
    <t>B001NVTT5W</t>
  </si>
  <si>
    <t>83402644</t>
  </si>
  <si>
    <t>Truck-Lite 3/4'' I.D. fitting for 6 &amp; 7 conductor cable 50842</t>
  </si>
  <si>
    <t>50842</t>
  </si>
  <si>
    <t>195746980898</t>
  </si>
  <si>
    <t>B09KMXN36B</t>
  </si>
  <si>
    <t>64067681</t>
  </si>
  <si>
    <t>5593388</t>
  </si>
  <si>
    <t>adidas Men's AEROREADY Game and Go Small Logo Tapered Pants, Solid Grey</t>
  </si>
  <si>
    <t>NQ257</t>
  </si>
  <si>
    <t>Solid Grey</t>
  </si>
  <si>
    <t>195746980812</t>
  </si>
  <si>
    <t>B09KMSCWJN</t>
  </si>
  <si>
    <t>64067691</t>
  </si>
  <si>
    <t>adidas Men's AEROREADY Game and Go Small Logo Tapered Pants, Solid Grey, XX-Large</t>
  </si>
  <si>
    <t>195746946467</t>
  </si>
  <si>
    <t>B09KMRRYQZ</t>
  </si>
  <si>
    <t>86410796</t>
  </si>
  <si>
    <t>adidas Men's AEROREADY Game and Go Small Logo Tapered Pants, Grey, XX-Large</t>
  </si>
  <si>
    <t>196883963362</t>
  </si>
  <si>
    <t>B0BGZ5JW4K</t>
  </si>
  <si>
    <t>58226304</t>
  </si>
  <si>
    <t>4898205</t>
  </si>
  <si>
    <t>Under Armour girls Armour Fleece Printed Hoodie, (003) Black / / Black, Small</t>
  </si>
  <si>
    <t>1373138</t>
  </si>
  <si>
    <t>(003) Black / / Black</t>
  </si>
  <si>
    <t>196883963348</t>
  </si>
  <si>
    <t>B0BGYD8VDZ</t>
  </si>
  <si>
    <t>58226305</t>
  </si>
  <si>
    <t>Under Armour girls Armour Fleece Printed Hoodie, (003) Black / / Black, Medium</t>
  </si>
  <si>
    <t>196883963416</t>
  </si>
  <si>
    <t>B0BGYFZFM2</t>
  </si>
  <si>
    <t>58226311</t>
  </si>
  <si>
    <t>Under Armour girls Armour Fleece Printed Hoodie, (003) Black / / Black, Large</t>
  </si>
  <si>
    <t>195861936060</t>
  </si>
  <si>
    <t>B0C8BLCXPN</t>
  </si>
  <si>
    <t>61160480</t>
  </si>
  <si>
    <t>5988470</t>
  </si>
  <si>
    <t>little planet by carter's unisex-baby Quilted Double Knit Hooded Jumpsuit made with Organic Cotton, Light Grey, 6M</t>
  </si>
  <si>
    <t>1P699010</t>
  </si>
  <si>
    <t>Light Grey</t>
  </si>
  <si>
    <t>195861936077</t>
  </si>
  <si>
    <t>B0C8BKRWRF</t>
  </si>
  <si>
    <t>61160481</t>
  </si>
  <si>
    <t>little planet by carter's unisex-baby Quilted Double Knit Hooded Jumpsuit made with Organic Cotton, Light Grey, 9M</t>
  </si>
  <si>
    <t>195861936022</t>
  </si>
  <si>
    <t>B0C8BM8JZN</t>
  </si>
  <si>
    <t>61160482</t>
  </si>
  <si>
    <t>little planet by carter's unisex-baby Quilted Double Knit Hooded Jumpsuit made with Organic Cotton, Light Grey, 12M</t>
  </si>
  <si>
    <t>195861936039</t>
  </si>
  <si>
    <t>B0C8BKJDN6</t>
  </si>
  <si>
    <t>61160483</t>
  </si>
  <si>
    <t>little planet by carter's unisex-baby Quilted Double Knit Hooded Jumpsuit made with Organic Cotton, Light Grey, 18M</t>
  </si>
  <si>
    <t>195861936046</t>
  </si>
  <si>
    <t>B0C8BM9TYX</t>
  </si>
  <si>
    <t>61160490</t>
  </si>
  <si>
    <t>little planet by carter's unisex-baby Quilted Double Knit Hooded Jumpsuit made with Organic Cotton, Light Grey, 24M</t>
  </si>
  <si>
    <t>195333897349</t>
  </si>
  <si>
    <t>B0BPDXVDQ3</t>
  </si>
  <si>
    <t>29857504</t>
  </si>
  <si>
    <t>6172298</t>
  </si>
  <si>
    <t>Reef Girls Kids Stargazer Print Flip-Flop, Pineapple Rainbows, 4 Big</t>
  </si>
  <si>
    <t>CJ2059</t>
  </si>
  <si>
    <t>Pineapple Rainbows</t>
  </si>
  <si>
    <t>191726445449</t>
  </si>
  <si>
    <t>B09NL4S6WM</t>
  </si>
  <si>
    <t>73280948</t>
  </si>
  <si>
    <t>5757392</t>
  </si>
  <si>
    <t>Squishville by Original Squishmallows Sweet Shop - Playset with 2-Inch Priya The Purple Panda, Tres’zure The Teal Cat &amp; Bistro Table and Chair - Toys for Kids</t>
  </si>
  <si>
    <t>633</t>
  </si>
  <si>
    <t>SQM0341</t>
  </si>
  <si>
    <t>Squishville Sweet Shop</t>
  </si>
  <si>
    <t>195737806060</t>
  </si>
  <si>
    <t>B095W1HQQJ</t>
  </si>
  <si>
    <t>54585228</t>
  </si>
  <si>
    <t>6565728</t>
  </si>
  <si>
    <t>adidas Men's UPF Long Sleeve Polo Shirt, Black, Small</t>
  </si>
  <si>
    <t>SU923</t>
  </si>
  <si>
    <t>195737806091</t>
  </si>
  <si>
    <t>B095VFKXSS</t>
  </si>
  <si>
    <t>54585229</t>
  </si>
  <si>
    <t>adidas Men's UPF Long Sleeve Polo Shirt, Black, Medium</t>
  </si>
  <si>
    <t>195737806107</t>
  </si>
  <si>
    <t>B095VFKXST</t>
  </si>
  <si>
    <t>54585230</t>
  </si>
  <si>
    <t>adidas Men's UPF Long Sleeve Polo Shirt, Black, Large</t>
  </si>
  <si>
    <t>195737806114</t>
  </si>
  <si>
    <t>B095VTDRM8</t>
  </si>
  <si>
    <t>54585231</t>
  </si>
  <si>
    <t>adidas Men's UPF Long Sleeve Polo Shirt, Black, X-Large</t>
  </si>
  <si>
    <t>627574783582</t>
  </si>
  <si>
    <t>B0C9ZWNGLW</t>
  </si>
  <si>
    <t>79092609</t>
  </si>
  <si>
    <t>6121429</t>
  </si>
  <si>
    <t>Kamik Timber (Toddler/Little Kid/Big Kid) Black 1 Little Kid M</t>
  </si>
  <si>
    <t>EK4452N</t>
  </si>
  <si>
    <t>627574783599</t>
  </si>
  <si>
    <t>B0C9ZW53HY</t>
  </si>
  <si>
    <t>79092610</t>
  </si>
  <si>
    <t>Kamik Timber (Toddler/Little Kid/Big Kid) Black 2 Little Kid M</t>
  </si>
  <si>
    <t>627574783612</t>
  </si>
  <si>
    <t>B0C9ZT2ZDN</t>
  </si>
  <si>
    <t>79092612</t>
  </si>
  <si>
    <t>Kamik Timber (Toddler/Little Kid/Big Kid) Black 4 Big Kid M</t>
  </si>
  <si>
    <t>825663856005</t>
  </si>
  <si>
    <t>B0B3MLWTRY</t>
  </si>
  <si>
    <t>29094196</t>
  </si>
  <si>
    <t>5725699</t>
  </si>
  <si>
    <t>Hurley Boy's Match Stix Long Sleeve Tee (Big Kids) Black LG (14/16 Big Kid)</t>
  </si>
  <si>
    <t>986406E-009</t>
  </si>
  <si>
    <t>197064522996</t>
  </si>
  <si>
    <t>B0D19DYFHM</t>
  </si>
  <si>
    <t>68810835</t>
  </si>
  <si>
    <t>6383835</t>
  </si>
  <si>
    <t>Vans Men's Long Sleeve Graphic T-Shirt (US, Alpha, Small, Regular, Regular, OTW Camo (Black))</t>
  </si>
  <si>
    <t>Otw Camo Black</t>
  </si>
  <si>
    <t>196601689048</t>
  </si>
  <si>
    <t>B0C46QMRW1</t>
  </si>
  <si>
    <t>55967791</t>
  </si>
  <si>
    <t>6032374</t>
  </si>
  <si>
    <t>Under Armour UA Survival Pack LS, Mod Gray Survival, YSM</t>
  </si>
  <si>
    <t>UOFGA19F-052</t>
  </si>
  <si>
    <t>Mod Gray Survival</t>
  </si>
  <si>
    <t>196601689031</t>
  </si>
  <si>
    <t>B0C46WG9BL</t>
  </si>
  <si>
    <t>55967801</t>
  </si>
  <si>
    <t>Under Armour Boys Outdoor Long Sleeve Tee, Stylish Crew Neckline, Cute Full Fit T-Shirt, Mod Gray Survival, Medium US</t>
  </si>
  <si>
    <t>196601689024</t>
  </si>
  <si>
    <t>B0C46V2QHF</t>
  </si>
  <si>
    <t>55967811</t>
  </si>
  <si>
    <t>Under Armour UA Survival Pack LS, Mod Gray Survival, YLG</t>
  </si>
  <si>
    <t>206</t>
  </si>
  <si>
    <t>196601689055</t>
  </si>
  <si>
    <t>B0C46TFMH5</t>
  </si>
  <si>
    <t>55967821</t>
  </si>
  <si>
    <t>Under Armour UA Survival Pack LS, Mod Gray Survival, YXL</t>
  </si>
  <si>
    <t>196667106176</t>
  </si>
  <si>
    <t>B0BZ562Q3P</t>
  </si>
  <si>
    <t>79052448</t>
  </si>
  <si>
    <t>4933844</t>
  </si>
  <si>
    <t>Van Heusen Men's Dress Shirt Slim Fit Ultra Wrinkle Free Flex Collar Stretch, Flint, 16"-16.5" Neck 32"-33" Sleeve</t>
  </si>
  <si>
    <t>20FZ593-60</t>
  </si>
  <si>
    <t>Flint</t>
  </si>
  <si>
    <t>194916525723</t>
  </si>
  <si>
    <t>B0979MCY6J</t>
  </si>
  <si>
    <t>78201563</t>
  </si>
  <si>
    <t>Van Heusen Men's Dress Shirt Slim Fit Ultra Wrinkle Free Flex Collar Stretch, Mulberry, 13"-13.5" Neck 32"-33" Sleeve</t>
  </si>
  <si>
    <t>20FZ334-641</t>
  </si>
  <si>
    <t>Mulberry</t>
  </si>
  <si>
    <t>194916525785</t>
  </si>
  <si>
    <t>B0979JN6HC</t>
  </si>
  <si>
    <t>78201565</t>
  </si>
  <si>
    <t>Van Heusen Men's Dress Shirt Slim Fit Ultra Wrinkle Free Flex Collar Stretch, Mulberry, 14"-14.5" Neck 34"-35" Sleeve</t>
  </si>
  <si>
    <t>887863193236</t>
  </si>
  <si>
    <t>B07HRPPQPW</t>
  </si>
  <si>
    <t>44179845</t>
  </si>
  <si>
    <t>5763589</t>
  </si>
  <si>
    <t>Stainless Steel Anal Sex Toys Butt Anal Plug for Women Crystal Jewelry Metal Anal Bead Anal Tube Erotic Adult Sex Toy for Men Medium Green,MediumBlue</t>
  </si>
  <si>
    <t>125</t>
  </si>
  <si>
    <t>887863193243</t>
  </si>
  <si>
    <t>B07HRPWH1W</t>
  </si>
  <si>
    <t>44179846</t>
  </si>
  <si>
    <t>Stainless Steel Anal Sex Toys Butt Anal Plug for Women Crystal Jewelry Metal Anal Bead Anal Tube Erotic Adult Sex Toy for Men Medium Green,MediumPurple</t>
  </si>
  <si>
    <t>196565706799</t>
  </si>
  <si>
    <t>B0BRR4MG6R</t>
  </si>
  <si>
    <t>77042356</t>
  </si>
  <si>
    <t>6125256</t>
  </si>
  <si>
    <t>Koolaburra by UGG Women's Nalie Short, Chestnut, 5</t>
  </si>
  <si>
    <t>1145870</t>
  </si>
  <si>
    <t>196565706638</t>
  </si>
  <si>
    <t>B0BRR34QCR</t>
  </si>
  <si>
    <t>79102219</t>
  </si>
  <si>
    <t>Koolaburra by UGG Women's Nalie Short, Black, 5</t>
  </si>
  <si>
    <t>196565706645</t>
  </si>
  <si>
    <t>B0BRR32P56</t>
  </si>
  <si>
    <t>79102220</t>
  </si>
  <si>
    <t>Koolaburra by UGG Women's Nalie Short, Black, 6</t>
  </si>
  <si>
    <t>441</t>
  </si>
  <si>
    <t>196565706744</t>
  </si>
  <si>
    <t>B0BRR4PTJX</t>
  </si>
  <si>
    <t>77042357</t>
  </si>
  <si>
    <t>Koolaburra by UGG Women's Nalie Short, Chestnut, 6</t>
  </si>
  <si>
    <t>880</t>
  </si>
  <si>
    <t>196565706652</t>
  </si>
  <si>
    <t>B0BRR434RS</t>
  </si>
  <si>
    <t>79102221</t>
  </si>
  <si>
    <t>Koolaburra by UGG Women's Nalie Short, Black, 7</t>
  </si>
  <si>
    <t>993</t>
  </si>
  <si>
    <t>196565706751</t>
  </si>
  <si>
    <t>B0BRR2SB1R</t>
  </si>
  <si>
    <t>77042359</t>
  </si>
  <si>
    <t>Koolaburra by UGG Women's Nalie Short, Chestnut, 7</t>
  </si>
  <si>
    <t>1716</t>
  </si>
  <si>
    <t>196565706843</t>
  </si>
  <si>
    <t>B0BRR4JZR6</t>
  </si>
  <si>
    <t>77042360</t>
  </si>
  <si>
    <t>Koolaburra by UGG Women's Nalie Short, Chestnut, 8</t>
  </si>
  <si>
    <t>2444</t>
  </si>
  <si>
    <t>196565706690</t>
  </si>
  <si>
    <t>B0BRR3FQBY</t>
  </si>
  <si>
    <t>79102222</t>
  </si>
  <si>
    <t>Koolaburra by UGG Women's Nalie Short, Black, 8</t>
  </si>
  <si>
    <t>1556</t>
  </si>
  <si>
    <t>196565706805</t>
  </si>
  <si>
    <t>B0BRR2CMW3</t>
  </si>
  <si>
    <t>77042361</t>
  </si>
  <si>
    <t>Koolaburra by UGG Women's Nalie Short, Chestnut, 9</t>
  </si>
  <si>
    <t>2065</t>
  </si>
  <si>
    <t>196565706706</t>
  </si>
  <si>
    <t>B0BRR338BT</t>
  </si>
  <si>
    <t>79102224</t>
  </si>
  <si>
    <t>Koolaburra by UGG Women's Nalie Short, Black, 9</t>
  </si>
  <si>
    <t>1204</t>
  </si>
  <si>
    <t>196565706812</t>
  </si>
  <si>
    <t>B0BRR4NRZD</t>
  </si>
  <si>
    <t>77042362</t>
  </si>
  <si>
    <t>Koolaburra by UGG Women's Nalie Short, Chestnut, 10</t>
  </si>
  <si>
    <t>1372</t>
  </si>
  <si>
    <t>196565706713</t>
  </si>
  <si>
    <t>B0BRR44ZB9</t>
  </si>
  <si>
    <t>79102225</t>
  </si>
  <si>
    <t>Koolaburra by UGG Women's Nalie Short, Black, 10</t>
  </si>
  <si>
    <t>754</t>
  </si>
  <si>
    <t>196565706829</t>
  </si>
  <si>
    <t>B0BRR3H442</t>
  </si>
  <si>
    <t>77042364</t>
  </si>
  <si>
    <t>Koolaburra by UGG Women's Nalie Short, Chestnut, 11</t>
  </si>
  <si>
    <t>457</t>
  </si>
  <si>
    <t>196565706720</t>
  </si>
  <si>
    <t>B0BRR3X5GF</t>
  </si>
  <si>
    <t>79102226</t>
  </si>
  <si>
    <t>Koolaburra by UGG Women's Nalie Short, Black, 11</t>
  </si>
  <si>
    <t>196601688591</t>
  </si>
  <si>
    <t>B0C81SWYSX</t>
  </si>
  <si>
    <t>73070722</t>
  </si>
  <si>
    <t>6032581</t>
  </si>
  <si>
    <t>Under Armour UA BADGE HOODIE, White Clay Badge, YSM</t>
  </si>
  <si>
    <t>UOFGB06F-275</t>
  </si>
  <si>
    <t>White Clay Badge</t>
  </si>
  <si>
    <t>694414048002</t>
  </si>
  <si>
    <t>B07QMFSBKD</t>
  </si>
  <si>
    <t>19188585</t>
  </si>
  <si>
    <t>6690033</t>
  </si>
  <si>
    <t>Marc New York by Andrew Marc Women's Odessa Slim Long Synthetic Down Jacket, Dark Olive, Small</t>
  </si>
  <si>
    <t>MW9AP450</t>
  </si>
  <si>
    <t>Dark Olive</t>
  </si>
  <si>
    <t>694414048057</t>
  </si>
  <si>
    <t>B07QQMB1YG</t>
  </si>
  <si>
    <t>19188590</t>
  </si>
  <si>
    <t>Marc New York by Andrew Marc Women's Odessa Slim Long Synthetic Down Jacket, Navy, Small</t>
  </si>
  <si>
    <t>694414048095</t>
  </si>
  <si>
    <t>B07QLFMYFS</t>
  </si>
  <si>
    <t>19188580</t>
  </si>
  <si>
    <t>Marc New York by Andrew Marc Women's Odessa Slim Long Synthetic Down Jacket, Black, Medium</t>
  </si>
  <si>
    <t>196601700323</t>
  </si>
  <si>
    <t>B0C5JWYHFN</t>
  </si>
  <si>
    <t>29315631</t>
  </si>
  <si>
    <t>6141187</t>
  </si>
  <si>
    <t>Under Armour Boys' Match Play Pant, Belt Loops, Soft &amp; Comfortable, Midnight Navy-Core</t>
  </si>
  <si>
    <t>UAFGC03D-413</t>
  </si>
  <si>
    <t>Midnight Navy - Core</t>
  </si>
  <si>
    <t>196601700330</t>
  </si>
  <si>
    <t>B0C5JZJQVS</t>
  </si>
  <si>
    <t>29315640</t>
  </si>
  <si>
    <t>196601700347</t>
  </si>
  <si>
    <t>B0C5JWKX4D</t>
  </si>
  <si>
    <t>29315641</t>
  </si>
  <si>
    <t>195861935438</t>
  </si>
  <si>
    <t>B0CQD5XHXV</t>
  </si>
  <si>
    <t>20272412</t>
  </si>
  <si>
    <t>5988461</t>
  </si>
  <si>
    <t>little planet by carter's unisex-baby Sweater Knit 2-Piece Set made with Organic Cotton, Plum Taupe, NB</t>
  </si>
  <si>
    <t>1P697710</t>
  </si>
  <si>
    <t>Plum Taupe</t>
  </si>
  <si>
    <t>195861935407</t>
  </si>
  <si>
    <t>B0CQD3NXZ2</t>
  </si>
  <si>
    <t>20272414</t>
  </si>
  <si>
    <t>little planet by carter's unisex-baby Sweater Knit 2-Piece Set made with Organic Cotton, Plum Taupe, 6M</t>
  </si>
  <si>
    <t>195861935391</t>
  </si>
  <si>
    <t>B0CQD5373X</t>
  </si>
  <si>
    <t>20272413</t>
  </si>
  <si>
    <t>little planet by carter's unisex-baby Sweater Knit 2-Piece Set made with Organic Cotton, Plum Taupe, 3M</t>
  </si>
  <si>
    <t>225</t>
  </si>
  <si>
    <t>195861935414</t>
  </si>
  <si>
    <t>B0CQD5DBTV</t>
  </si>
  <si>
    <t>20272415</t>
  </si>
  <si>
    <t>little planet by carter's unisex-baby Sweater Knit 2-Piece Set made with Organic Cotton, Plum Taupe, 9M</t>
  </si>
  <si>
    <t>195861935360</t>
  </si>
  <si>
    <t>B0CQD663CV</t>
  </si>
  <si>
    <t>20272416</t>
  </si>
  <si>
    <t>little planet by carter's unisex-baby Sweater Knit 2-Piece Set made with Organic Cotton, Plum Taupe, 12M</t>
  </si>
  <si>
    <t>195861935377</t>
  </si>
  <si>
    <t>B0CQD4BHPZ</t>
  </si>
  <si>
    <t>20272417</t>
  </si>
  <si>
    <t>little planet by carter's unisex-baby Sweater Knit 2-Piece Set made with Organic Cotton, Plum Taupe, 18M</t>
  </si>
  <si>
    <t>195861935384</t>
  </si>
  <si>
    <t>B0CQD5Y45P</t>
  </si>
  <si>
    <t>20272418</t>
  </si>
  <si>
    <t>little planet by carter's unisex-baby Sweater Knit 2-Piece Set made with Organic Cotton, Plum Taupe, 24M</t>
  </si>
  <si>
    <t>191726468509</t>
  </si>
  <si>
    <t>B09Y69V8TR</t>
  </si>
  <si>
    <t>58381193</t>
  </si>
  <si>
    <t>6143819</t>
  </si>
  <si>
    <t>Jazwares Squishmallow Marvin Monster Tp</t>
  </si>
  <si>
    <t>455</t>
  </si>
  <si>
    <t>JAZ 1313</t>
  </si>
  <si>
    <t>Mauve</t>
  </si>
  <si>
    <t>195901365232</t>
  </si>
  <si>
    <t>B096HF7VZB</t>
  </si>
  <si>
    <t>48734898</t>
  </si>
  <si>
    <t>6721278</t>
  </si>
  <si>
    <t>Levi's Women's Plus-Size 721 High Rise Skinny Jeans, Lapis Link - Light Indigo, (US 20) 37 Regular</t>
  </si>
  <si>
    <t>83368-0080</t>
  </si>
  <si>
    <t>Lapis Link - Light Indigo</t>
  </si>
  <si>
    <t>196258011216</t>
  </si>
  <si>
    <t>B09LVGMLKR</t>
  </si>
  <si>
    <t>86472761</t>
  </si>
  <si>
    <t>5501048</t>
  </si>
  <si>
    <t>Spalding Men's Fundamental Long Sleeve T-Shirt Black</t>
  </si>
  <si>
    <t>R36P665</t>
  </si>
  <si>
    <t>196258011209</t>
  </si>
  <si>
    <t>B09LVGBGF3</t>
  </si>
  <si>
    <t>86472762</t>
  </si>
  <si>
    <t>Spalding Men's Fundamental Long Sleeve T-Shirt, Black, M</t>
  </si>
  <si>
    <t>196258011254</t>
  </si>
  <si>
    <t>B09LVHKMDT</t>
  </si>
  <si>
    <t>86472752</t>
  </si>
  <si>
    <t>Spalding Men's Fundamental Long Sleeve T-Shirt, White, M</t>
  </si>
  <si>
    <t>White.</t>
  </si>
  <si>
    <t>196258011278</t>
  </si>
  <si>
    <t>B09LVHBDL1</t>
  </si>
  <si>
    <t>86472754</t>
  </si>
  <si>
    <t>Spalding Men's Fundamental Long Sleeve T-Shirt, White, XL</t>
  </si>
  <si>
    <t>196258011285</t>
  </si>
  <si>
    <t>B09LVJ33NZ</t>
  </si>
  <si>
    <t>86472755</t>
  </si>
  <si>
    <t>Spalding Men's Fundamental Long Sleeve T-Shirt, White, XXL</t>
  </si>
  <si>
    <t>196900157750</t>
  </si>
  <si>
    <t>B0CQZ49PLG</t>
  </si>
  <si>
    <t>46907018</t>
  </si>
  <si>
    <t>6597629</t>
  </si>
  <si>
    <t>Bonnie Jean Girl Tween Girls Ruffle Dress - Sleeveless, One Shoulder Scuba Skater Dress with Triple Strap and Asymmetrical Ruffle, Elegant Formal Girls Dress</t>
  </si>
  <si>
    <t>196900157873</t>
  </si>
  <si>
    <t>B0CQZ5HL9L</t>
  </si>
  <si>
    <t>46907024</t>
  </si>
  <si>
    <t>196900157767</t>
  </si>
  <si>
    <t>B0CQZ4LCLL</t>
  </si>
  <si>
    <t>46907019</t>
  </si>
  <si>
    <t>196900157880</t>
  </si>
  <si>
    <t>B0CQZ5FPL6</t>
  </si>
  <si>
    <t>46907025</t>
  </si>
  <si>
    <t>196884135980</t>
  </si>
  <si>
    <t>B0BGVVDWPV</t>
  </si>
  <si>
    <t>55600950</t>
  </si>
  <si>
    <t>6075396</t>
  </si>
  <si>
    <t>Under Armour Women's Motion Long Sleeve Longline Crew Plus, (001) Black / / Jet Gray, 1X</t>
  </si>
  <si>
    <t>1380173</t>
  </si>
  <si>
    <t>196884134655</t>
  </si>
  <si>
    <t>B0BGVSJY1X</t>
  </si>
  <si>
    <t>55600954</t>
  </si>
  <si>
    <t>Under Armour Women's Motion Long Sleeve Longline Crew Plus, (390) Marine OD Green / / Grove Green, 1X</t>
  </si>
  <si>
    <t>196884135997</t>
  </si>
  <si>
    <t>B0BGWK3XQJ</t>
  </si>
  <si>
    <t>55600952</t>
  </si>
  <si>
    <t>Under Armour Women's Motion Long Sleeve Longline Crew Plus, (001) Black / / Jet Gray, 2X</t>
  </si>
  <si>
    <t>196884134662</t>
  </si>
  <si>
    <t>B0BGVSCHB5</t>
  </si>
  <si>
    <t>55600955</t>
  </si>
  <si>
    <t>Under Armour Women's Motion Long Sleeve Longline Crew Plus, (390) Marine OD Green / / Grove Green, 2X</t>
  </si>
  <si>
    <t>196884136208</t>
  </si>
  <si>
    <t>B0BGWG86M2</t>
  </si>
  <si>
    <t>55600953</t>
  </si>
  <si>
    <t>Under Armour Women's Motion Long Sleeve Longline Crew Plus, (001) Black / / Jet Gray, 3X</t>
  </si>
  <si>
    <t>196884134679</t>
  </si>
  <si>
    <t>B0BGWGK25D</t>
  </si>
  <si>
    <t>55600956</t>
  </si>
  <si>
    <t>Under Armour Women's Motion Long Sleeve Longline Crew Plus, (390) Marine OD Green / / Grove Green, 3X</t>
  </si>
  <si>
    <t>196978460585</t>
  </si>
  <si>
    <t>B0BNJZ77LP</t>
  </si>
  <si>
    <t>27564338</t>
  </si>
  <si>
    <t>6828679</t>
  </si>
  <si>
    <t>Levi's Women's Padded Trucker Jacket, Whatever Whenever, Large</t>
  </si>
  <si>
    <t>A6060-0002</t>
  </si>
  <si>
    <t>Whatever Whenever</t>
  </si>
  <si>
    <t>196978697479</t>
  </si>
  <si>
    <t>B0BNJWP76D</t>
  </si>
  <si>
    <t>27564339</t>
  </si>
  <si>
    <t>Levi's Women's Padded Trucker Jacket, Whatever Whenever, X-Large</t>
  </si>
  <si>
    <t>196587001018</t>
  </si>
  <si>
    <t>B0B49CVW21</t>
  </si>
  <si>
    <t>70335374</t>
  </si>
  <si>
    <t>5947639</t>
  </si>
  <si>
    <t>Stranger Things 4 (Soundtrack From The Netflix Series)</t>
  </si>
  <si>
    <t>195861971832</t>
  </si>
  <si>
    <t>B0CGW2TYHD</t>
  </si>
  <si>
    <t>80688239</t>
  </si>
  <si>
    <t>6054943</t>
  </si>
  <si>
    <t>Carter's 4 Piece Pajama Set (Multi Stripe Cars, 12 Months)</t>
  </si>
  <si>
    <t>573</t>
  </si>
  <si>
    <t>Multi Stripe Cars</t>
  </si>
  <si>
    <t>195861971849</t>
  </si>
  <si>
    <t>B0CGW1GPB3</t>
  </si>
  <si>
    <t>80688240</t>
  </si>
  <si>
    <t>Carter's 4 Piece Pajama Set (Multi Stripe Cars, 18 Months)</t>
  </si>
  <si>
    <t>195862122059</t>
  </si>
  <si>
    <t>B0CL5SF56R</t>
  </si>
  <si>
    <t>37530969</t>
  </si>
  <si>
    <t>6185256</t>
  </si>
  <si>
    <t>Carter's Baby Boys 3 Piece Little Jacket Set (Chill, Newborn)</t>
  </si>
  <si>
    <t>Chill</t>
  </si>
  <si>
    <t>195862122028</t>
  </si>
  <si>
    <t>B0CL5SDZGV</t>
  </si>
  <si>
    <t>37530971</t>
  </si>
  <si>
    <t>Carter's Baby Boys 3 Piece Little Jacket Set (Chill, 6 Months)</t>
  </si>
  <si>
    <t>195862122011</t>
  </si>
  <si>
    <t>B0CL5QYQD1</t>
  </si>
  <si>
    <t>37530970</t>
  </si>
  <si>
    <t>Carter's Baby Boys 3 Piece Little Jacket Set (Chill, 3 Months)</t>
  </si>
  <si>
    <t>195862122035</t>
  </si>
  <si>
    <t>B0CL5QK45X</t>
  </si>
  <si>
    <t>37530972</t>
  </si>
  <si>
    <t>Carter's Baby Boys 3 Piece Little Jacket Set (Chill, 9 Months)</t>
  </si>
  <si>
    <t>195862121984</t>
  </si>
  <si>
    <t>B0CL5RGYYQ</t>
  </si>
  <si>
    <t>37530978</t>
  </si>
  <si>
    <t>Carter's Baby Boys 3 Piece Little Jacket Set (Chill, 12 Months)</t>
  </si>
  <si>
    <t>195862121991</t>
  </si>
  <si>
    <t>B0CL5RCQRZ</t>
  </si>
  <si>
    <t>37530979</t>
  </si>
  <si>
    <t>Carter's Baby Boys 3 Piece Little Jacket Set (Chill, 18 Months)</t>
  </si>
  <si>
    <t>196474720008</t>
  </si>
  <si>
    <t>B0CYQH8ZPJ</t>
  </si>
  <si>
    <t>80453132</t>
  </si>
  <si>
    <t>6437902</t>
  </si>
  <si>
    <t>Essentials 3-Stripes Animal-Print 7/8 Pants (Plus Size) Medium Grey Heather</t>
  </si>
  <si>
    <t>196474719996</t>
  </si>
  <si>
    <t>B0CYQJNS9V</t>
  </si>
  <si>
    <t>80453133</t>
  </si>
  <si>
    <t>196474720022</t>
  </si>
  <si>
    <t>B0CYQJSSRS</t>
  </si>
  <si>
    <t>80453142</t>
  </si>
  <si>
    <t>195861474166</t>
  </si>
  <si>
    <t>B0CL5RH29N</t>
  </si>
  <si>
    <t>34133436</t>
  </si>
  <si>
    <t>5664066</t>
  </si>
  <si>
    <t>Carter's Baby Boys 3 Piece Little Jacket Set (Sherpa Green/Multi, Newborn)</t>
  </si>
  <si>
    <t>Sherpa Green/Multi</t>
  </si>
  <si>
    <t>195861474128</t>
  </si>
  <si>
    <t>B0CL5QQZTL</t>
  </si>
  <si>
    <t>34133437</t>
  </si>
  <si>
    <t>Carter's Baby Boys 3 Piece Little Jacket Set (Sherpa Green/Multi, 3 Months)</t>
  </si>
  <si>
    <t>195861474142</t>
  </si>
  <si>
    <t>B0CL5RZZ71</t>
  </si>
  <si>
    <t>34133439</t>
  </si>
  <si>
    <t>Carter's Baby Boys 3 Piece Little Jacket Set (Sherpa Green/Multi, 9 Months)</t>
  </si>
  <si>
    <t>195861474098</t>
  </si>
  <si>
    <t>B0CL5RK555</t>
  </si>
  <si>
    <t>34133440</t>
  </si>
  <si>
    <t>Carter's Baby Boys 3 Piece Little Jacket Set (Sherpa Green/Multi, 12 Months)</t>
  </si>
  <si>
    <t>195861474104</t>
  </si>
  <si>
    <t>B0CL5SKM8F</t>
  </si>
  <si>
    <t>34133441</t>
  </si>
  <si>
    <t>Carter's Baby Boys 3 Piece Little Jacket Set (Sherpa Green/Multi, 18 Months)</t>
  </si>
  <si>
    <t>196301158615</t>
  </si>
  <si>
    <t>B09LDCY9PN</t>
  </si>
  <si>
    <t>75460036</t>
  </si>
  <si>
    <t>5574112</t>
  </si>
  <si>
    <t>Nine West Women's BLITZ2 Heeled Sandal, Beige, 9</t>
  </si>
  <si>
    <t>wnBLITZ2</t>
  </si>
  <si>
    <t>196301158653</t>
  </si>
  <si>
    <t>B09LF1HJY3</t>
  </si>
  <si>
    <t>75460045</t>
  </si>
  <si>
    <t>Nine West Women's BLITZ2 Heeled Sandal, Beige, 11</t>
  </si>
  <si>
    <t>195979339685</t>
  </si>
  <si>
    <t>B0BKQR1F4R</t>
  </si>
  <si>
    <t>46912034</t>
  </si>
  <si>
    <t>4882813</t>
  </si>
  <si>
    <t>Columbia Men's Tunnel Falls Interchange Jacket, City Grey/Black/White, Small</t>
  </si>
  <si>
    <t>1960612</t>
  </si>
  <si>
    <t>City Grey/Black/White</t>
  </si>
  <si>
    <t>195979337940</t>
  </si>
  <si>
    <t>B0BKQQFQBF</t>
  </si>
  <si>
    <t>46912071</t>
  </si>
  <si>
    <t>Columbia Men's Tunnel Falls Interchange Jacket, Warp Red/Shark, Small</t>
  </si>
  <si>
    <t>Warp Red/Shark</t>
  </si>
  <si>
    <t>195979339555</t>
  </si>
  <si>
    <t>B0BKQQKQ7R</t>
  </si>
  <si>
    <t>65860070</t>
  </si>
  <si>
    <t>Columbia Men's Tunnel Falls Interchange Jacket, Black, Small</t>
  </si>
  <si>
    <t>195979339586</t>
  </si>
  <si>
    <t>B0BKR1PK8D</t>
  </si>
  <si>
    <t>65860073</t>
  </si>
  <si>
    <t>Columbia Men's Tunnel Falls Interchange Jacket, Black, XX-Large</t>
  </si>
  <si>
    <t>196883803002</t>
  </si>
  <si>
    <t>B0BGVRN2KV</t>
  </si>
  <si>
    <t>29847666</t>
  </si>
  <si>
    <t>7082743</t>
  </si>
  <si>
    <t>Under Armour Womens Motion Bike Shorts, (504) Grove Green / / Colorado Sage, Small</t>
  </si>
  <si>
    <t>1377088/1377354</t>
  </si>
  <si>
    <t>(504) Grove Green / / Colorado Sage</t>
  </si>
  <si>
    <t>627574822168</t>
  </si>
  <si>
    <t>B0C8HZQZTK</t>
  </si>
  <si>
    <t>66335481</t>
  </si>
  <si>
    <t>6122053</t>
  </si>
  <si>
    <t>Kamik Timber (Toddler/Little Kid/Big Kid) Black 8 Toddler M</t>
  </si>
  <si>
    <t>EK8452N</t>
  </si>
  <si>
    <t>627574822175</t>
  </si>
  <si>
    <t>B0C9ZXZZSG</t>
  </si>
  <si>
    <t>66335482</t>
  </si>
  <si>
    <t>Kamik Timber (Toddler/Little Kid/Big Kid) Black 9 Toddler M</t>
  </si>
  <si>
    <t>627574822199</t>
  </si>
  <si>
    <t>B0C9ZYD2T4</t>
  </si>
  <si>
    <t>66335490</t>
  </si>
  <si>
    <t>Kamik Timber (Toddler/Little Kid/Big Kid) Black 11 Little Kid M</t>
  </si>
  <si>
    <t>627574822205</t>
  </si>
  <si>
    <t>B0C9ZY5S7V</t>
  </si>
  <si>
    <t>66335491</t>
  </si>
  <si>
    <t>Kamik Timber (Toddler/Little Kid/Big Kid) Black 12 Little Kid M</t>
  </si>
  <si>
    <t>195862000906</t>
  </si>
  <si>
    <t>B0CKCPY4HV</t>
  </si>
  <si>
    <t>70298180</t>
  </si>
  <si>
    <t>6050166</t>
  </si>
  <si>
    <t>Carter's Baby Girls' Hooded Footed Coveralls - orange/multi, 3 months</t>
  </si>
  <si>
    <t>Orange/Multi</t>
  </si>
  <si>
    <t>195862000913</t>
  </si>
  <si>
    <t>B0CKD53XNN</t>
  </si>
  <si>
    <t>70298181</t>
  </si>
  <si>
    <t>Carter's Baby Girls' Hooded Footed Coveralls - orange/multi, 6 months</t>
  </si>
  <si>
    <t>195862000920</t>
  </si>
  <si>
    <t>B0CKCZZKZJ</t>
  </si>
  <si>
    <t>70298182</t>
  </si>
  <si>
    <t>Carter's Baby Infant Hooded Footed Coveralls - orange/multi, 9 months</t>
  </si>
  <si>
    <t>288</t>
  </si>
  <si>
    <t>195862000876</t>
  </si>
  <si>
    <t>B0CKCW4W8X</t>
  </si>
  <si>
    <t>70298189</t>
  </si>
  <si>
    <t>Carter's Baby Infant Hooded Footed Coveralls - orange/multi, 12 months</t>
  </si>
  <si>
    <t>191900562078</t>
  </si>
  <si>
    <t>B0BFTTCVNV</t>
  </si>
  <si>
    <t>72822602</t>
  </si>
  <si>
    <t>6703435</t>
  </si>
  <si>
    <t>Marc New York by Andrew Marc Women's Mid Length Quilted Hooded Jacket, STEAM, Small</t>
  </si>
  <si>
    <t>MW2AQ007</t>
  </si>
  <si>
    <t>Steam</t>
  </si>
  <si>
    <t>191900562191</t>
  </si>
  <si>
    <t>B0BFTVCGXW</t>
  </si>
  <si>
    <t>72822591</t>
  </si>
  <si>
    <t>Marc New York by Andrew Marc Women's Mid Length Quilted Hooded Jacket, Black, Small</t>
  </si>
  <si>
    <t>191900562115</t>
  </si>
  <si>
    <t>B0BFVKHYTR</t>
  </si>
  <si>
    <t>72822619</t>
  </si>
  <si>
    <t>Marc New York by Andrew Marc Women's Mid Length Quilted Hooded Jacket, Khaki, Small</t>
  </si>
  <si>
    <t>Khaki</t>
  </si>
  <si>
    <t>191900564959</t>
  </si>
  <si>
    <t>B0BFV2SYWL</t>
  </si>
  <si>
    <t>72822620</t>
  </si>
  <si>
    <t>Marc New York by Andrew Marc Women's Mid Length Quilted Hooded Jacket, Khaki, Medium</t>
  </si>
  <si>
    <t>191900564966</t>
  </si>
  <si>
    <t>B0BFTLSMMJ</t>
  </si>
  <si>
    <t>72822592</t>
  </si>
  <si>
    <t>Marc New York by Andrew Marc Women's Mid Length Quilted Hooded Jacket, Black, Medium</t>
  </si>
  <si>
    <t>191900564942</t>
  </si>
  <si>
    <t>B0BFTX7SYM</t>
  </si>
  <si>
    <t>72822609</t>
  </si>
  <si>
    <t>Marc New York by Andrew Marc Women's Mid Length Quilted Hooded Jacket, STEAM, Medium</t>
  </si>
  <si>
    <t>194870515983</t>
  </si>
  <si>
    <t>B096YKDZF7</t>
  </si>
  <si>
    <t>62532821</t>
  </si>
  <si>
    <t>7081432</t>
  </si>
  <si>
    <t>adidas girls Short Sleeve Rainbow Scoop Neck Tee T-shirt T Shirt, White, Small Plus</t>
  </si>
  <si>
    <t>AA4640</t>
  </si>
  <si>
    <t>194870515990</t>
  </si>
  <si>
    <t>B096YJ7BTJ</t>
  </si>
  <si>
    <t>62532822</t>
  </si>
  <si>
    <t>adidas girls Short Sleeve Rainbow Scoop Neck Tee T-shirt T Shirt, White, Medium Plus</t>
  </si>
  <si>
    <t>194870516003</t>
  </si>
  <si>
    <t>B096YKRBCS</t>
  </si>
  <si>
    <t>62532823</t>
  </si>
  <si>
    <t>adidas girls Short Sleeve Rainbow Scoop Neck Tee T-shirt T Shirt, White, Large Plus</t>
  </si>
  <si>
    <t>192576886239</t>
  </si>
  <si>
    <t>B0CLPLG5KK</t>
  </si>
  <si>
    <t>29077262</t>
  </si>
  <si>
    <t>6175274</t>
  </si>
  <si>
    <t>Nick Graham Men's Park Ave Paisley Tie Set, Navy</t>
  </si>
  <si>
    <t>N7GTS1400WS</t>
  </si>
  <si>
    <t>196572689511</t>
  </si>
  <si>
    <t>B0CFB9L51S</t>
  </si>
  <si>
    <t>54568183</t>
  </si>
  <si>
    <t>5826737</t>
  </si>
  <si>
    <t>Vans Men's Ward Sneaker, Red Side Print, 8.5</t>
  </si>
  <si>
    <t>387</t>
  </si>
  <si>
    <t>Red Side Print</t>
  </si>
  <si>
    <t>196572689627</t>
  </si>
  <si>
    <t>B0CFB8LVST</t>
  </si>
  <si>
    <t>29259301</t>
  </si>
  <si>
    <t>Vans Men's Ward Sneaker, Red Side Print, 9</t>
  </si>
  <si>
    <t>438</t>
  </si>
  <si>
    <t>195861426035</t>
  </si>
  <si>
    <t>B0CLB8TKWY</t>
  </si>
  <si>
    <t>61156141</t>
  </si>
  <si>
    <t>5583654</t>
  </si>
  <si>
    <t>Carter's Girls' 4-14 Jersey Gown and Doll Dress Set (Red Plaid, 12-14)</t>
  </si>
  <si>
    <t>Red Plaid</t>
  </si>
  <si>
    <t>196457521066</t>
  </si>
  <si>
    <t>B0BN6SC2R9</t>
  </si>
  <si>
    <t>58450743</t>
  </si>
  <si>
    <t>6077648</t>
  </si>
  <si>
    <t>Lee Women's Ultra Lux Mid-Rise Relaxed Fit Pull-On Short, Pioneer Beige</t>
  </si>
  <si>
    <t>112333985</t>
  </si>
  <si>
    <t>Pioneer Beige</t>
  </si>
  <si>
    <t>196457453541</t>
  </si>
  <si>
    <t>B0BN6WDMZS</t>
  </si>
  <si>
    <t>65859644</t>
  </si>
  <si>
    <t>Lee Women's Ultra Lux Mid-Rise Relaxed Fit Pull-On Short, Tickle Me Peach</t>
  </si>
  <si>
    <t>112333988</t>
  </si>
  <si>
    <t>Tickle Me Peach</t>
  </si>
  <si>
    <t>196457452650</t>
  </si>
  <si>
    <t>B0BN6SBCZR</t>
  </si>
  <si>
    <t>81955424</t>
  </si>
  <si>
    <t>Lee Women's Ultra Lux Mid-Rise Relaxed Fit Pull-On Short, Tech Gray</t>
  </si>
  <si>
    <t>112333944</t>
  </si>
  <si>
    <t>Tech Gray</t>
  </si>
  <si>
    <t>196457453398</t>
  </si>
  <si>
    <t>B0BN6RSPP6</t>
  </si>
  <si>
    <t>81852199</t>
  </si>
  <si>
    <t>Lee Women's Ultra Lux Mid-Rise Relaxed Fit Pull-On Short, Fort Green</t>
  </si>
  <si>
    <t>112333986</t>
  </si>
  <si>
    <t>Fort Green</t>
  </si>
  <si>
    <t>191900560517</t>
  </si>
  <si>
    <t>B0BFT5F5BN</t>
  </si>
  <si>
    <t>80018210</t>
  </si>
  <si>
    <t>6690030</t>
  </si>
  <si>
    <t>Marc New York by Andrew Marc Women's Mid Length Faux Down Mixed Quilted Puffer, Ink, Small</t>
  </si>
  <si>
    <t>MW2AP034</t>
  </si>
  <si>
    <t>191900560555</t>
  </si>
  <si>
    <t>B0BFTVNNN3</t>
  </si>
  <si>
    <t>80018201</t>
  </si>
  <si>
    <t>Marc New York by Andrew Marc Women's Mid Length Faux Down Mixed Quilted Puffer, Black, Small</t>
  </si>
  <si>
    <t>191900564041</t>
  </si>
  <si>
    <t>B0BFTXD38P</t>
  </si>
  <si>
    <t>66293121</t>
  </si>
  <si>
    <t>Marc New York by Andrew Marc Women's Mid Length Faux Down Mixed Quilted Puffer, Forest, Small</t>
  </si>
  <si>
    <t>Forest</t>
  </si>
  <si>
    <t>191900560470</t>
  </si>
  <si>
    <t>B0BFV741Q4</t>
  </si>
  <si>
    <t>66293132</t>
  </si>
  <si>
    <t>Marc New York by Andrew Marc Women's Mid Length Faux Down Mixed Quilted Puffer, Rose Taupe, Small</t>
  </si>
  <si>
    <t>Rose Taupe</t>
  </si>
  <si>
    <t>191900565024</t>
  </si>
  <si>
    <t>B0BFTQX4NC</t>
  </si>
  <si>
    <t>80018211</t>
  </si>
  <si>
    <t>Marc New York by Andrew Marc Women's Mid Length Faux Down Mixed Quilted Puffer, Ink, Medium</t>
  </si>
  <si>
    <t>191900565031</t>
  </si>
  <si>
    <t>B0BFT5892K</t>
  </si>
  <si>
    <t>80018202</t>
  </si>
  <si>
    <t>Marc New York by Andrew Marc Women's Mid Length Faux Down Mixed Quilted Puffer, Black, Medium</t>
  </si>
  <si>
    <t>191900565017</t>
  </si>
  <si>
    <t>B0BFTRJCTF</t>
  </si>
  <si>
    <t>66293139</t>
  </si>
  <si>
    <t>Marc New York by Andrew Marc Women's Mid Length Faux Down Mixed Quilted Puffer, Rose Taupe, Medium</t>
  </si>
  <si>
    <t>191900565000</t>
  </si>
  <si>
    <t>B0BFTRGZSJ</t>
  </si>
  <si>
    <t>66293122</t>
  </si>
  <si>
    <t>Marc New York by Andrew Marc Women's Mid Length Faux Down Mixed Quilted Puffer, Forest, Medium</t>
  </si>
  <si>
    <t>191900560548</t>
  </si>
  <si>
    <t>B0BFTCY24M</t>
  </si>
  <si>
    <t>80018203</t>
  </si>
  <si>
    <t>Marc New York by Andrew Marc Women's Mid Length Faux Down Mixed Quilted Puffer, Black, Large</t>
  </si>
  <si>
    <t>191900560500</t>
  </si>
  <si>
    <t>B0BFV38Y27</t>
  </si>
  <si>
    <t>80018212</t>
  </si>
  <si>
    <t>Marc New York by Andrew Marc Women's Mid Length Faux Down Mixed Quilted Puffer, Ink, Large</t>
  </si>
  <si>
    <t>191900564034</t>
  </si>
  <si>
    <t>B0BFTYWJWT</t>
  </si>
  <si>
    <t>66293129</t>
  </si>
  <si>
    <t>Marc New York by Andrew Marc Women's Mid Length Faux Down Mixed Quilted Puffer, Forest, Large</t>
  </si>
  <si>
    <t>191900560463</t>
  </si>
  <si>
    <t>B0BFTXG69W</t>
  </si>
  <si>
    <t>66293140</t>
  </si>
  <si>
    <t>Marc New York by Andrew Marc Women's Mid Length Faux Down Mixed Quilted Puffer, Rose Taupe, Large</t>
  </si>
  <si>
    <t>191900560456</t>
  </si>
  <si>
    <t>B0BFVHM2P3</t>
  </si>
  <si>
    <t>66293141</t>
  </si>
  <si>
    <t>Marc New York by Andrew Marc Women's Mid Length Faux Down Mixed Quilted Puffer, Rose Taupe, X-Large</t>
  </si>
  <si>
    <t>196474693258</t>
  </si>
  <si>
    <t>B0CYR2Z1Q9</t>
  </si>
  <si>
    <t>64965048</t>
  </si>
  <si>
    <t>6437904</t>
  </si>
  <si>
    <t>Essentials 3-Stripes Animal Print Relaxed Hoodie (Plus Size)</t>
  </si>
  <si>
    <t>IT0287_140</t>
  </si>
  <si>
    <t>Medium Grey Heather / Grey</t>
  </si>
  <si>
    <t>196474693241</t>
  </si>
  <si>
    <t>B0CYQZN5G6</t>
  </si>
  <si>
    <t>64965049</t>
  </si>
  <si>
    <t>IT0287_150</t>
  </si>
  <si>
    <t>196474693234</t>
  </si>
  <si>
    <t>B0CYQPHFBM</t>
  </si>
  <si>
    <t>64965050</t>
  </si>
  <si>
    <t>196474693265</t>
  </si>
  <si>
    <t>B0CYQKMKDH</t>
  </si>
  <si>
    <t>64965051</t>
  </si>
  <si>
    <t>195253804212</t>
  </si>
  <si>
    <t>B09JNKJGZB</t>
  </si>
  <si>
    <t>83068722</t>
  </si>
  <si>
    <t>6171456</t>
  </si>
  <si>
    <t>Under Armour Men's ArmourFleece 1/4 Zip, (001) Black / / Black, Small</t>
  </si>
  <si>
    <t>(001) Black / / Black</t>
  </si>
  <si>
    <t>195253804236</t>
  </si>
  <si>
    <t>B09JNKLTF6</t>
  </si>
  <si>
    <t>83068723</t>
  </si>
  <si>
    <t>Under Armour Men's ArmourFleece 1/4 Zip, (001) Black / / Black, Medium</t>
  </si>
  <si>
    <t>195862110278</t>
  </si>
  <si>
    <t>B0CL5SCFBN</t>
  </si>
  <si>
    <t>62953083</t>
  </si>
  <si>
    <t>6185254</t>
  </si>
  <si>
    <t>Carter's Baby Boys 3 Piece Little Jacket Set (Aztec Multi, Newborn)</t>
  </si>
  <si>
    <t>Aztec Multi</t>
  </si>
  <si>
    <t>195862110247</t>
  </si>
  <si>
    <t>B0CL5RTZ5L</t>
  </si>
  <si>
    <t>62953091</t>
  </si>
  <si>
    <t>Carter's Baby Boys 3 Piece Little Jacket Set (Aztec Multi, 6 Months)</t>
  </si>
  <si>
    <t>193</t>
  </si>
  <si>
    <t>195862110230</t>
  </si>
  <si>
    <t>B0CL5QTWDN</t>
  </si>
  <si>
    <t>62953090</t>
  </si>
  <si>
    <t>Carter's Baby Boys 3 Piece Little Jacket Set (Aztec Multi, 3 Months)</t>
  </si>
  <si>
    <t>195862110254</t>
  </si>
  <si>
    <t>B0CL5RK554</t>
  </si>
  <si>
    <t>62953092</t>
  </si>
  <si>
    <t>Carter's Baby Boys 3 Piece Little Jacket Set (Aztec Multi, 9 Months)</t>
  </si>
  <si>
    <t>195862110209</t>
  </si>
  <si>
    <t>B0CL5QLZVL</t>
  </si>
  <si>
    <t>62953093</t>
  </si>
  <si>
    <t>Carter's Baby Boys 3 Piece Little Jacket Set (Aztec Multi, 12 Months)</t>
  </si>
  <si>
    <t>317</t>
  </si>
  <si>
    <t>195862110216</t>
  </si>
  <si>
    <t>B0CL5RGBBQ</t>
  </si>
  <si>
    <t>62953100</t>
  </si>
  <si>
    <t>Carter's Baby Boys 3 Piece Little Jacket Set (Aztec Multi, 18 Months)</t>
  </si>
  <si>
    <t>195862110223</t>
  </si>
  <si>
    <t>B0CL5RLSZ8</t>
  </si>
  <si>
    <t>62953101</t>
  </si>
  <si>
    <t>Carter's Baby Boys 3 Piece Little Jacket Set (Aztec Multi, 24 Months)</t>
  </si>
  <si>
    <t>196883878062</t>
  </si>
  <si>
    <t>B0BGVDG323</t>
  </si>
  <si>
    <t>73050719</t>
  </si>
  <si>
    <t>6968339</t>
  </si>
  <si>
    <t>Under Armour womens Rival Fleece Hoodie, (100) White / / Black, 2X</t>
  </si>
  <si>
    <t>1379500/1380239</t>
  </si>
  <si>
    <t>(100) White / / Black</t>
  </si>
  <si>
    <t>195862115013</t>
  </si>
  <si>
    <t>B0CL5LCHSY</t>
  </si>
  <si>
    <t>50022574</t>
  </si>
  <si>
    <t>6185469</t>
  </si>
  <si>
    <t>Carter's Baby Girls' 3 Piece Vest Little Jacket Set (pink/blue plaid, Newborn)</t>
  </si>
  <si>
    <t>Pink/Blue Plaid</t>
  </si>
  <si>
    <t>195862114986</t>
  </si>
  <si>
    <t>B0CL5LL4FQ</t>
  </si>
  <si>
    <t>50022579</t>
  </si>
  <si>
    <t>Carter's Baby Girls' 3 Piece Vest Little Jacket Set (pink/blue plaid, 6 Months)</t>
  </si>
  <si>
    <t>144</t>
  </si>
  <si>
    <t>195862114979</t>
  </si>
  <si>
    <t>B0CL5LV2R3</t>
  </si>
  <si>
    <t>50022578</t>
  </si>
  <si>
    <t>Carter's Baby Girls' 3 Piece Vest Little Jacket Set (pink/blue plaid, 3 Months)</t>
  </si>
  <si>
    <t>195862114993</t>
  </si>
  <si>
    <t>B0CL5KY1SN</t>
  </si>
  <si>
    <t>50022580</t>
  </si>
  <si>
    <t>Carter's Baby Girls' 3 Piece Vest Little Jacket Set (pink/blue plaid, 9 Months)</t>
  </si>
  <si>
    <t>195862114948</t>
  </si>
  <si>
    <t>B0CL5LPKYZ</t>
  </si>
  <si>
    <t>50022581</t>
  </si>
  <si>
    <t>Carter's Baby Girls' 3 Piece Vest Little Jacket Set (pink/blue plaid, 12 Months)</t>
  </si>
  <si>
    <t>195862114955</t>
  </si>
  <si>
    <t>B0CL5KPXGM</t>
  </si>
  <si>
    <t>50022582</t>
  </si>
  <si>
    <t>Carter's Baby Girls' 3 Piece Vest Little Jacket Set (pink/blue plaid, 18 Months)</t>
  </si>
  <si>
    <t>195862114962</t>
  </si>
  <si>
    <t>B0CL5KC89J</t>
  </si>
  <si>
    <t>50022583</t>
  </si>
  <si>
    <t>Carter's Baby Girls' 3 Piece Vest Little Jacket Set (pink/blue plaid, 24 Months)</t>
  </si>
  <si>
    <t>196900120167</t>
  </si>
  <si>
    <t>B0CLYRRLX4</t>
  </si>
  <si>
    <t>76846071</t>
  </si>
  <si>
    <t>6379808</t>
  </si>
  <si>
    <t>Bonnie Jean Holiday Christmas Dress - Big Girls' Sequin Bodice Dress (US, Age, 4, Red Sequin)</t>
  </si>
  <si>
    <t>Red Sequin</t>
  </si>
  <si>
    <t>196900120310</t>
  </si>
  <si>
    <t>B0CMVBNZ8K</t>
  </si>
  <si>
    <t>47636297</t>
  </si>
  <si>
    <t>Bonnie Jean - Girls Christmas Dress Velvet Sparkle Dress with Jacket (US, Age, 12, Red)</t>
  </si>
  <si>
    <t>196900120266</t>
  </si>
  <si>
    <t>B0CKH5GGP1</t>
  </si>
  <si>
    <t>47636304</t>
  </si>
  <si>
    <t>Bonnie Jean Little Girls' Sparkle Stretch Santa Dress, Red, (10, Red)</t>
  </si>
  <si>
    <t>479</t>
  </si>
  <si>
    <t>196900120297</t>
  </si>
  <si>
    <t>B0CLYNXR2T</t>
  </si>
  <si>
    <t>47636307</t>
  </si>
  <si>
    <t>Bonnie Jean Holiday Christmas Dress - Big Girls' Sequin Bodice Dress (US, Numeric, 16, Red Sequin)</t>
  </si>
  <si>
    <t>843401047249</t>
  </si>
  <si>
    <t>B0BY3G3N88</t>
  </si>
  <si>
    <t>79178681</t>
  </si>
  <si>
    <t>6226077</t>
  </si>
  <si>
    <t>Alder Creek Gift Baskets Spring Outdoor Treats Gift Basket with Activities &amp; Treats</t>
  </si>
  <si>
    <t>195862113514</t>
  </si>
  <si>
    <t>B0CL5LQ9WM</t>
  </si>
  <si>
    <t>78299448</t>
  </si>
  <si>
    <t>6185248</t>
  </si>
  <si>
    <t>Carter's baby-girls 3-piece Layette Set (Yellow/Grey Houndstooth, Newborn)</t>
  </si>
  <si>
    <t>195862113484</t>
  </si>
  <si>
    <t>B0CL5KKTQS</t>
  </si>
  <si>
    <t>78299454</t>
  </si>
  <si>
    <t>Carter's baby-girls 3-piece Layette Set (Yellow/Grey Houndstooth, 6 Months)…</t>
  </si>
  <si>
    <t>195862113477</t>
  </si>
  <si>
    <t>B0CL5JXN5N</t>
  </si>
  <si>
    <t>78299453</t>
  </si>
  <si>
    <t>Carter's baby-girls 3-piece Layette Set (Yellow/Grey Houndstooth, 3 Months)</t>
  </si>
  <si>
    <t>Yellow/Grey Houndstooth</t>
  </si>
  <si>
    <t>195862113491</t>
  </si>
  <si>
    <t>B0CL5K3T9M</t>
  </si>
  <si>
    <t>78299455</t>
  </si>
  <si>
    <t>Carter's baby-girls 3-piece Layette Set (Yellow/Grey Houndstooth, 9 Months)…</t>
  </si>
  <si>
    <t>86</t>
  </si>
  <si>
    <t>195862113446</t>
  </si>
  <si>
    <t>B0CL5L72XY</t>
  </si>
  <si>
    <t>78299456</t>
  </si>
  <si>
    <t>Carter's baby-girls 3-piece Layette Set (Yellow/Grey Houndstooth, 12 Months)…</t>
  </si>
  <si>
    <t>195862113453</t>
  </si>
  <si>
    <t>B0CL5JYC18</t>
  </si>
  <si>
    <t>78299458</t>
  </si>
  <si>
    <t>Carter's baby-girls 3-piece Layette Set (Yellow/Grey Houndstooth, 18 Months)…</t>
  </si>
  <si>
    <t>778988345498</t>
  </si>
  <si>
    <t>B09NLDS14J</t>
  </si>
  <si>
    <t>71448863</t>
  </si>
  <si>
    <t>5774271</t>
  </si>
  <si>
    <t>Gabby’s Dollhouse, Bakey with Cakey Oven, Kitchen Toy with Lights and Sounds, Toy Kitchen Accessories and Play Food, Kids Toys for Ages 3 and up</t>
  </si>
  <si>
    <t>2474</t>
  </si>
  <si>
    <t>6065599</t>
  </si>
  <si>
    <t>Cakey Oven</t>
  </si>
  <si>
    <t>195979218638</t>
  </si>
  <si>
    <t>B0BKQZ3SFP</t>
  </si>
  <si>
    <t>80724840</t>
  </si>
  <si>
    <t>6076483</t>
  </si>
  <si>
    <t>Columbia Women's Copper Crest Mid Vest, Dark Stone, 2X Plus</t>
  </si>
  <si>
    <t>2051492</t>
  </si>
  <si>
    <t>195979218676</t>
  </si>
  <si>
    <t>B0BKR1W6RM</t>
  </si>
  <si>
    <t>80724846</t>
  </si>
  <si>
    <t>Columbia Women's Copper Crest Mid Vest, Dark Nocturnal, 2X Plus</t>
  </si>
  <si>
    <t>Dark Nocturnal</t>
  </si>
  <si>
    <t>195979218614</t>
  </si>
  <si>
    <t>B0BKR2N9BV</t>
  </si>
  <si>
    <t>80724841</t>
  </si>
  <si>
    <t>Columbia Women's Copper Crest Mid Vest, Dark Stone, 3X Plus</t>
  </si>
  <si>
    <t>195979218683</t>
  </si>
  <si>
    <t>B0BKR23VWF</t>
  </si>
  <si>
    <t>80724849</t>
  </si>
  <si>
    <t>Columbia Women's Copper Crest Mid Vest, Dark Nocturnal, 3X Plus</t>
  </si>
  <si>
    <t>028266900711</t>
  </si>
  <si>
    <t>B0044SSWGS</t>
  </si>
  <si>
    <t>29331718</t>
  </si>
  <si>
    <t>5944480</t>
  </si>
  <si>
    <t>Truck-Lite Repalcement Lens Yellow 99066Y</t>
  </si>
  <si>
    <t>99066Y</t>
  </si>
  <si>
    <t>028266900728</t>
  </si>
  <si>
    <t>B00ISF8VQE</t>
  </si>
  <si>
    <t>29331719</t>
  </si>
  <si>
    <t>Baldwin Filters Oil Filter, Spin-On, Full-Flow</t>
  </si>
  <si>
    <t>B109</t>
  </si>
  <si>
    <t>028266900735</t>
  </si>
  <si>
    <t>B00ISF8X6W</t>
  </si>
  <si>
    <t>29331720</t>
  </si>
  <si>
    <t>B113</t>
  </si>
  <si>
    <t>194328960532</t>
  </si>
  <si>
    <t>B08BFLSPQX</t>
  </si>
  <si>
    <t>18176765</t>
  </si>
  <si>
    <t>6148935</t>
  </si>
  <si>
    <t>Levi's Men's Classic Western Shirt (Also Available in Big &amp; Tall), Black Rinse, Small</t>
  </si>
  <si>
    <t>85745-0000</t>
  </si>
  <si>
    <t>Black Rinse</t>
  </si>
  <si>
    <t>196978547088</t>
  </si>
  <si>
    <t>B0BN5FXH3N</t>
  </si>
  <si>
    <t>28274977</t>
  </si>
  <si>
    <t>Levi's Men's Classic Western Shirt (Also Available in Big &amp; Tall), Mccaren Mid Wash</t>
  </si>
  <si>
    <t>85745-0118</t>
  </si>
  <si>
    <t>Mccaren Mid Wash</t>
  </si>
  <si>
    <t>196978547774</t>
  </si>
  <si>
    <t>B0BN52FPK1</t>
  </si>
  <si>
    <t>82000457</t>
  </si>
  <si>
    <t>Levi's Men's Classic Western Shirt (Also Available in Big &amp; Tall), Mt Norman Grey Wash</t>
  </si>
  <si>
    <t>85745-0111</t>
  </si>
  <si>
    <t>Mt Norman Grey Wash</t>
  </si>
  <si>
    <t>747941784179</t>
  </si>
  <si>
    <t>B07VLNPH7B</t>
  </si>
  <si>
    <t>48744312</t>
  </si>
  <si>
    <t>4498127</t>
  </si>
  <si>
    <t>Speechless Big Girl's Circle Neck Party Dress With High-Low Hemline Dress, Silver, 7</t>
  </si>
  <si>
    <t>SC428D06J659</t>
  </si>
  <si>
    <t>747941784308</t>
  </si>
  <si>
    <t>B07VMTF529</t>
  </si>
  <si>
    <t>48744318</t>
  </si>
  <si>
    <t>Speechless Big Girl's Circle Neck Party Dress With High-Low Hemline Dress, Silver, 8</t>
  </si>
  <si>
    <t>747941784315</t>
  </si>
  <si>
    <t>B07VT1B78G</t>
  </si>
  <si>
    <t>48744319</t>
  </si>
  <si>
    <t>Speechless Big Girl's Circle Neck Party Dress With High-Low Hemline Dress, Silver, 10</t>
  </si>
  <si>
    <t>747941784322</t>
  </si>
  <si>
    <t>B07VPWWJ6Y</t>
  </si>
  <si>
    <t>48744320</t>
  </si>
  <si>
    <t>Speechless Big Girls Circle Neck Party Dress with High-Low Hemline, Silver, 12</t>
  </si>
  <si>
    <t>747941784339</t>
  </si>
  <si>
    <t>B07VPWW851</t>
  </si>
  <si>
    <t>48744321</t>
  </si>
  <si>
    <t>Speechless Big Girls Circle Neck Party Dress with High-Low Hemline, Silver, 14</t>
  </si>
  <si>
    <t>747941784346</t>
  </si>
  <si>
    <t>B07VPWXS2D</t>
  </si>
  <si>
    <t>48744322</t>
  </si>
  <si>
    <t>Speechless Big Girl's Circle Neck Party Dress With High-Low Hemline Dress, Silver, 16</t>
  </si>
  <si>
    <t>195861919605</t>
  </si>
  <si>
    <t>B0CL5CRXDR</t>
  </si>
  <si>
    <t>78738270</t>
  </si>
  <si>
    <t>5975675</t>
  </si>
  <si>
    <t>Carter's Baby Boys' 3 Piece Plaid Patch Little Vest Set (Multi/yellow stripe, Newborn)</t>
  </si>
  <si>
    <t>Multi/Yellow Stripe</t>
  </si>
  <si>
    <t>195861919575</t>
  </si>
  <si>
    <t>B0CL5CV2FK</t>
  </si>
  <si>
    <t>78738272</t>
  </si>
  <si>
    <t>Carter's Baby Boys' 3 Piece Plaid Patch Little Vest Set (Multi/yellow stripe, 6 Months)</t>
  </si>
  <si>
    <t>195861919568</t>
  </si>
  <si>
    <t>B0CL5C2FTT</t>
  </si>
  <si>
    <t>78738271</t>
  </si>
  <si>
    <t>Carter's Baby Boys' 3 Piece Plaid Patch Little Vest Set (Multi/yellow stripe, 3 Months)</t>
  </si>
  <si>
    <t>195861919582</t>
  </si>
  <si>
    <t>B0CL5D14L3</t>
  </si>
  <si>
    <t>78738273</t>
  </si>
  <si>
    <t>Carter's Baby Boys' 3 Piece Plaid Patch Little Vest Set (Multi/yellow stripe, 9 Months)</t>
  </si>
  <si>
    <t>195861919537</t>
  </si>
  <si>
    <t>B0CL5BXC36</t>
  </si>
  <si>
    <t>78738274</t>
  </si>
  <si>
    <t>Carter's Baby Boys' 3 Piece Plaid Patch Little Vest Set (Multi/yellow stripe, 12 Months)</t>
  </si>
  <si>
    <t>195861919544</t>
  </si>
  <si>
    <t>B0CL5DBDV2</t>
  </si>
  <si>
    <t>78738275</t>
  </si>
  <si>
    <t>Carter's Baby Boys' 3 Piece Plaid Patch Little Vest Set (Multi/yellow stripe, 18 Months)</t>
  </si>
  <si>
    <t>205</t>
  </si>
  <si>
    <t>627574822281</t>
  </si>
  <si>
    <t>B0CLPM11GF</t>
  </si>
  <si>
    <t>19951467</t>
  </si>
  <si>
    <t>6122055</t>
  </si>
  <si>
    <t>Kamik girls Timber Snow Boot, Grape, 8 Toddler</t>
  </si>
  <si>
    <t>Grape</t>
  </si>
  <si>
    <t>627574822298</t>
  </si>
  <si>
    <t>B0CLPKNBF5</t>
  </si>
  <si>
    <t>19951477</t>
  </si>
  <si>
    <t>Kamik girls Timber Snow Boot, Grape, 9 Toddler</t>
  </si>
  <si>
    <t>627574822304</t>
  </si>
  <si>
    <t>B0CJFTVMHN</t>
  </si>
  <si>
    <t>19951487</t>
  </si>
  <si>
    <t>Kamik Girls Timber Snow Boot, 10 Toddler</t>
  </si>
  <si>
    <t>EK8452</t>
  </si>
  <si>
    <t>627574822311</t>
  </si>
  <si>
    <t>B0CJFRQH14</t>
  </si>
  <si>
    <t>19951497</t>
  </si>
  <si>
    <t>Kamik Girls Timber Snow Boot, 11 Little Kid</t>
  </si>
  <si>
    <t>627574822328</t>
  </si>
  <si>
    <t>B0CJFRN2J6</t>
  </si>
  <si>
    <t>19951507</t>
  </si>
  <si>
    <t>Kamik Girls Timber Snow Boot, 12 Little Kid</t>
  </si>
  <si>
    <t>194514366636</t>
  </si>
  <si>
    <t>B0874WH925</t>
  </si>
  <si>
    <t>62652820</t>
  </si>
  <si>
    <t>4567534</t>
  </si>
  <si>
    <t>Under Armour Womens HeatGear Armour High No-Slip Waistband Pocketed Leggings , Black (001)/White , X-Small</t>
  </si>
  <si>
    <t>1365336</t>
  </si>
  <si>
    <t>194514382605</t>
  </si>
  <si>
    <t>B0872DS9RL</t>
  </si>
  <si>
    <t>62652856</t>
  </si>
  <si>
    <t>Under Armour Womens HeatGear Armour High No-Slip Waistband Pocketed Leggings , Midnight Navy (410)/White , X-Small</t>
  </si>
  <si>
    <t>196039029164</t>
  </si>
  <si>
    <t>B09JL3B2RZ</t>
  </si>
  <si>
    <t>76837413</t>
  </si>
  <si>
    <t>Under Armour Womens HeatGear Armour High No-Slip Waistband Pocketed Leggings, (558) Tempered Steel / / Strobe, X-Small Tall</t>
  </si>
  <si>
    <t>(558) Tempered Steel / / Strobe</t>
  </si>
  <si>
    <t>195861999515</t>
  </si>
  <si>
    <t>B0CKCTKKR3</t>
  </si>
  <si>
    <t>55691314</t>
  </si>
  <si>
    <t>6050173</t>
  </si>
  <si>
    <t>Carter's Baby Girls' Hooded Footed Coveralls - white/multi, 9 months</t>
  </si>
  <si>
    <t>White/Multi</t>
  </si>
  <si>
    <t>195861999461</t>
  </si>
  <si>
    <t>B0CKCXH82T</t>
  </si>
  <si>
    <t>55691315</t>
  </si>
  <si>
    <t>Carter's Baby Girls' Hooded Footed Coveralls - white/multi, 12 months</t>
  </si>
  <si>
    <t>237</t>
  </si>
  <si>
    <t>195861999478</t>
  </si>
  <si>
    <t>B0CKTXG5MZ</t>
  </si>
  <si>
    <t>55691316</t>
  </si>
  <si>
    <t>Carter's Baby Girls' Hooded Footed Coveralls - white/multi, 18 months</t>
  </si>
  <si>
    <t>729367607737</t>
  </si>
  <si>
    <t>B0144F31N4</t>
  </si>
  <si>
    <t>30225648</t>
  </si>
  <si>
    <t>6861699</t>
  </si>
  <si>
    <t>1 ct Created Opal and 1/6 ct Swiss Blue Topaz Pendant with Diamonds in Sterling Silver</t>
  </si>
  <si>
    <t>SN41941MSPM18</t>
  </si>
  <si>
    <t>197394092244</t>
  </si>
  <si>
    <t>B0CMBBXX33</t>
  </si>
  <si>
    <t>47900684</t>
  </si>
  <si>
    <t>6301859</t>
  </si>
  <si>
    <t>National Lampoon's Christmas Vacation Chibi Clark Red Pajama Pants, Red, Small</t>
  </si>
  <si>
    <t>195333898117</t>
  </si>
  <si>
    <t>B0BPDXB5JD</t>
  </si>
  <si>
    <t>74405922</t>
  </si>
  <si>
    <t>6172023</t>
  </si>
  <si>
    <t>Reef Girls Little Stargazer Prints Flip-Flop, Pineapple Rainbows, 7 Kid</t>
  </si>
  <si>
    <t>CJ2021</t>
  </si>
  <si>
    <t>195333898124</t>
  </si>
  <si>
    <t>B0BPDWHW18</t>
  </si>
  <si>
    <t>74405932</t>
  </si>
  <si>
    <t>Reef Girls Little Stargazer Prints Flip-Flop, Pineapple Rainbows, 8 Kid</t>
  </si>
  <si>
    <t>195333881058</t>
  </si>
  <si>
    <t>B0BPDZJMVS</t>
  </si>
  <si>
    <t>74405942</t>
  </si>
  <si>
    <t>Reef Girls Little Stargazer Prints Flip-Flop, Pineapple Rainbows, 9 Kid</t>
  </si>
  <si>
    <t>195333898131</t>
  </si>
  <si>
    <t>B0BPF1DZ8R</t>
  </si>
  <si>
    <t>74405952</t>
  </si>
  <si>
    <t>Reef Girls Little Stargazer Prints Flip-Flop, Pineapple Rainbows, 10 Kid</t>
  </si>
  <si>
    <t>195333898148</t>
  </si>
  <si>
    <t>B0BPF1NQDQ</t>
  </si>
  <si>
    <t>74405962</t>
  </si>
  <si>
    <t>Reef Girls Little Stargazer Prints Flip-Flop, Pineapple Rainbows, 11 Kid</t>
  </si>
  <si>
    <t>195333898155</t>
  </si>
  <si>
    <t>B0BPDVGQG6</t>
  </si>
  <si>
    <t>74405972</t>
  </si>
  <si>
    <t>Reef Girls Little Stargazer Prints Flip-Flop, Pineapple Rainbows, 12 Kid</t>
  </si>
  <si>
    <t>196575365337</t>
  </si>
  <si>
    <t>B0CS8GRF3V</t>
  </si>
  <si>
    <t>28180715</t>
  </si>
  <si>
    <t>6172407</t>
  </si>
  <si>
    <t>Vans Kids Long Sleeve Flying V T-Shirt Silver/Black/Turquoise, Medium</t>
  </si>
  <si>
    <t>Flying V Silver/Black/Turquoise</t>
  </si>
  <si>
    <t>196575365306</t>
  </si>
  <si>
    <t>B0CS8GJ2G7</t>
  </si>
  <si>
    <t>28180716</t>
  </si>
  <si>
    <t>Vans Kids Long Sleeve Flying V T-Shirt Silver/Black/Turquoise, Large</t>
  </si>
  <si>
    <t>229</t>
  </si>
  <si>
    <t>196575365399</t>
  </si>
  <si>
    <t>B0CS8CFMXN</t>
  </si>
  <si>
    <t>28180717</t>
  </si>
  <si>
    <t>Vans Kids Long Sleeve Flying V T-Shirt Silver/Black/Turquoise, X-Large</t>
  </si>
  <si>
    <t>713610115872</t>
  </si>
  <si>
    <t>B0BHXF2NTV</t>
  </si>
  <si>
    <t>75436216</t>
  </si>
  <si>
    <t>6093344</t>
  </si>
  <si>
    <t>GRAND SLAM Women's Essential Solid Sleeveless Tennis Tank with Mesh Front Panel, Brilliant White, X-Small</t>
  </si>
  <si>
    <t>G1KSD000</t>
  </si>
  <si>
    <t>713610130547</t>
  </si>
  <si>
    <t>B0BHXDWMNN</t>
  </si>
  <si>
    <t>75436233</t>
  </si>
  <si>
    <t>GRAND SLAM Women's Essential Solid Sleeveless Tennis Tank with Mesh Front Panel, Caviar, Medium</t>
  </si>
  <si>
    <t>713610115896</t>
  </si>
  <si>
    <t>B0BHXGSXZM</t>
  </si>
  <si>
    <t>75436223</t>
  </si>
  <si>
    <t>GRAND SLAM Women's Essential Solid Sleeveless Tennis Tank with Mesh Front Panel, Brilliant White, Medium</t>
  </si>
  <si>
    <t>713610130554</t>
  </si>
  <si>
    <t>B0BHXGZTBS</t>
  </si>
  <si>
    <t>75436234</t>
  </si>
  <si>
    <t>GRAND SLAM Women's Essential Solid Sleeveless Tennis Tank with Mesh Front Panel, Caviar, Large</t>
  </si>
  <si>
    <t>713610115902</t>
  </si>
  <si>
    <t>B0BHXFGLZS</t>
  </si>
  <si>
    <t>75436224</t>
  </si>
  <si>
    <t>GRAND SLAM Women's Essential Solid Sleeveless Tennis Tank with Mesh Front Panel, Brilliant White, Large</t>
  </si>
  <si>
    <t>713610130561</t>
  </si>
  <si>
    <t>B0BHXG4RCX</t>
  </si>
  <si>
    <t>75436235</t>
  </si>
  <si>
    <t>GRAND SLAM Women's Essential Solid Sleeveless Tennis Tank with Mesh Front Panel, Caviar, X-Large</t>
  </si>
  <si>
    <t>713610115919</t>
  </si>
  <si>
    <t>B0BHXHK3XP</t>
  </si>
  <si>
    <t>75436225</t>
  </si>
  <si>
    <t>GRAND SLAM Women's Essential Solid Sleeveless Tennis Tank with Mesh Front Panel, Brilliant White, X-Large</t>
  </si>
  <si>
    <t>196883994878</t>
  </si>
  <si>
    <t>B0BGVCSDHX</t>
  </si>
  <si>
    <t>73028251</t>
  </si>
  <si>
    <t>5567877</t>
  </si>
  <si>
    <t>Under Armour mens Specialist Quarter Zip, (504) Grove Green/Colorado Sage/Colorado Sage, Small</t>
  </si>
  <si>
    <t>1380271</t>
  </si>
  <si>
    <t>(504) Grove Green / Colorado Sage / Colorado Sage</t>
  </si>
  <si>
    <t>196883993352</t>
  </si>
  <si>
    <t>B0BGVRMFTG</t>
  </si>
  <si>
    <t>73028279</t>
  </si>
  <si>
    <t>Under Armour mens Specialist Quarter Zip, (182) Colorado Sage/Baroque Green/Baroque Green, Small</t>
  </si>
  <si>
    <t>(182) Colorado Sage / Baroque Green / Baroque Green</t>
  </si>
  <si>
    <t>196883988266</t>
  </si>
  <si>
    <t>B0BGVZFXW6</t>
  </si>
  <si>
    <t>73028229</t>
  </si>
  <si>
    <t>Under Armour mens Specialist Quarter Zip, (001) Black/Black/Jet Gray, Small</t>
  </si>
  <si>
    <t>(001) Black / Black / Jet Gray</t>
  </si>
  <si>
    <t>196883984121</t>
  </si>
  <si>
    <t>B0BGVY89RC</t>
  </si>
  <si>
    <t>73028212</t>
  </si>
  <si>
    <t>Under Armour mens Specialist Quarter Zip, (012) Pitch Gray/Black/Black, Small</t>
  </si>
  <si>
    <t>(012) Pitch Gray / Black / Black</t>
  </si>
  <si>
    <t>196562267088</t>
  </si>
  <si>
    <t>B0C9LMFHJJ</t>
  </si>
  <si>
    <t>68934358</t>
  </si>
  <si>
    <t>6215268</t>
  </si>
  <si>
    <t>OshKosh Kids Julia Loafer, Black, 4 US Unisex Toddler</t>
  </si>
  <si>
    <t>OF23K01HM040H</t>
  </si>
  <si>
    <t>196562270545</t>
  </si>
  <si>
    <t>B0C9LNCHR3</t>
  </si>
  <si>
    <t>68934368</t>
  </si>
  <si>
    <t>OshKosh Kids Julia Loafer, Black, 5 US Unisex Toddler</t>
  </si>
  <si>
    <t>OF23K01HM050H</t>
  </si>
  <si>
    <t>196562269334</t>
  </si>
  <si>
    <t>B0C9LF8CKV</t>
  </si>
  <si>
    <t>68934378</t>
  </si>
  <si>
    <t>OshKosh Kids Julia Loafer, Black, 6 US Unisex Toddler</t>
  </si>
  <si>
    <t>OF23K01HM060H</t>
  </si>
  <si>
    <t>196562267095</t>
  </si>
  <si>
    <t>B0C9L2516T</t>
  </si>
  <si>
    <t>68934388</t>
  </si>
  <si>
    <t>OshKosh Kids Julia Loafer, Black, 7 US Unisex Toddler</t>
  </si>
  <si>
    <t>OF23K01HM070H</t>
  </si>
  <si>
    <t>196562267866</t>
  </si>
  <si>
    <t>B0C9L9Y8SF</t>
  </si>
  <si>
    <t>68934398</t>
  </si>
  <si>
    <t>OshKosh Kids Julia Loafer, Black, 8 US Unisex Toddler</t>
  </si>
  <si>
    <t>OF23K01HM080H</t>
  </si>
  <si>
    <t>196562267101</t>
  </si>
  <si>
    <t>B0C9L9HWY5</t>
  </si>
  <si>
    <t>68934408</t>
  </si>
  <si>
    <t>OshKosh Kids Julia Loafer, Black, 9 US Unisex Toddler</t>
  </si>
  <si>
    <t>OF23K01HM090H</t>
  </si>
  <si>
    <t>196562269655</t>
  </si>
  <si>
    <t>B0C9LFJLPV</t>
  </si>
  <si>
    <t>68934418</t>
  </si>
  <si>
    <t>OshKosh Kids Julia Loafer, Black, 10 US Unisex Toddler</t>
  </si>
  <si>
    <t>OF23K01HM100H</t>
  </si>
  <si>
    <t>196562267118</t>
  </si>
  <si>
    <t>B0C9LN2QFP</t>
  </si>
  <si>
    <t>68934428</t>
  </si>
  <si>
    <t>OshKosh Kids Julia Loafer, Black, 11 US Unisex Toddler</t>
  </si>
  <si>
    <t>OF23K01HM110H</t>
  </si>
  <si>
    <t>196524365463</t>
  </si>
  <si>
    <t>B0B1KHDSKD</t>
  </si>
  <si>
    <t>63081479</t>
  </si>
  <si>
    <t>6890364</t>
  </si>
  <si>
    <t>Levi's Men's 511 Slim Fit Jeans (Also Available in Big &amp; Tall), Armored Snail, 28W x 30L</t>
  </si>
  <si>
    <t>04511-5529</t>
  </si>
  <si>
    <t>Armored Snail</t>
  </si>
  <si>
    <t>196524365470</t>
  </si>
  <si>
    <t>B0B1K62G19</t>
  </si>
  <si>
    <t>63081480</t>
  </si>
  <si>
    <t>Levi's Men's 511 Slim Fit Jeans (Also Available in Big &amp; Tall), Armored Snail, 28W x 32L</t>
  </si>
  <si>
    <t>196524365531</t>
  </si>
  <si>
    <t>B0B1KHH9PB</t>
  </si>
  <si>
    <t>63081482</t>
  </si>
  <si>
    <t>Levi's Men's 511 Slim Fit Jeans (Also Available in Big &amp; Tall), Armored Snail, 29W x 32L</t>
  </si>
  <si>
    <t>196524365982</t>
  </si>
  <si>
    <t>B0B1K9QWWX</t>
  </si>
  <si>
    <t>63081519</t>
  </si>
  <si>
    <t>Levi's Men's 511 Slim Fit Jeans (Also Available in Big &amp; Tall), Armored Snail, 36W x 34L</t>
  </si>
  <si>
    <t>196524365999</t>
  </si>
  <si>
    <t>B0B1KJ2YNH</t>
  </si>
  <si>
    <t>63081520</t>
  </si>
  <si>
    <t>Levi's Men's 511 Slim Fit Jeans (Also Available in Big &amp; Tall), Armored Snail, 36W x 36L</t>
  </si>
  <si>
    <t>196524362073</t>
  </si>
  <si>
    <t>B0B1KDF7ND</t>
  </si>
  <si>
    <t>76861811</t>
  </si>
  <si>
    <t>Levi's Men's 511 Slim Fit Jeans (Also Available in Big &amp; Tall), (New) Sea Angel, 36W x 36L</t>
  </si>
  <si>
    <t>04511-5526</t>
  </si>
  <si>
    <t>(New) Sea Angel</t>
  </si>
  <si>
    <t>196524366057</t>
  </si>
  <si>
    <t>B0B1K97RDR</t>
  </si>
  <si>
    <t>63081523</t>
  </si>
  <si>
    <t>Levi's Men's 511 Slim Fit Jeans (Also Available in Big &amp; Tall), Armored Snail, 38W x 34L</t>
  </si>
  <si>
    <t>052175196156</t>
  </si>
  <si>
    <t>B07D1CF6T1</t>
  </si>
  <si>
    <t>66875120</t>
  </si>
  <si>
    <t>Levi's Men's 511 Slim Fit Jeans (Also Available in Big &amp; Tall), The Banks-Advanced Stretch, 42W x 32L</t>
  </si>
  <si>
    <t>04511-3621</t>
  </si>
  <si>
    <t>The Banks - Advanced Stretch</t>
  </si>
  <si>
    <t>196099240141</t>
  </si>
  <si>
    <t>B09N6HSTG6</t>
  </si>
  <si>
    <t>18774444</t>
  </si>
  <si>
    <t>Levi's Men's 511 Slim Fit Jeans (Also Available in Big &amp; Tall), Indigo Seeped-Dark Indigo Worn in, 42W x 32L</t>
  </si>
  <si>
    <t>04511-5435</t>
  </si>
  <si>
    <t>Indigo Seeped - Dark Indigo Worn in</t>
  </si>
  <si>
    <t>196524362240</t>
  </si>
  <si>
    <t>B0B1KBW44R</t>
  </si>
  <si>
    <t>76861819</t>
  </si>
  <si>
    <t>Levi's Men's 511 Slim Fit Jeans (Also Available in Big &amp; Tall), (New) Sea Angel, 42W x 32L</t>
  </si>
  <si>
    <t>191057844751</t>
  </si>
  <si>
    <t>B07SZ3RS7M</t>
  </si>
  <si>
    <t>44208948</t>
  </si>
  <si>
    <t>4796605</t>
  </si>
  <si>
    <t>ATG by Wrangler Men's Reinforced Utility Pant, kelp, 38W x 32L</t>
  </si>
  <si>
    <t>NS857KL</t>
  </si>
  <si>
    <t>Kelp</t>
  </si>
  <si>
    <t>191057844775</t>
  </si>
  <si>
    <t>B07T27K4MG</t>
  </si>
  <si>
    <t>44208950</t>
  </si>
  <si>
    <t>ATG by Wrangler Men's Reinforced Utility Pant, kelp, 40W x 30L</t>
  </si>
  <si>
    <t>191057847578</t>
  </si>
  <si>
    <t>B07T39L1N4</t>
  </si>
  <si>
    <t>61996460</t>
  </si>
  <si>
    <t>ATG by Wrangler Men's Reinforced Utility Pant, morel, 42W x 30L</t>
  </si>
  <si>
    <t>NS857MR</t>
  </si>
  <si>
    <t>Light Brown</t>
  </si>
  <si>
    <t>191057844805</t>
  </si>
  <si>
    <t>B07T27KKV9</t>
  </si>
  <si>
    <t>44208953</t>
  </si>
  <si>
    <t>ATG by Wrangler mens Reinforced Utility Pants, Kelp, 42W x 30L US</t>
  </si>
  <si>
    <t>191057873225</t>
  </si>
  <si>
    <t>B07T5GYQF3</t>
  </si>
  <si>
    <t>70001886</t>
  </si>
  <si>
    <t>ATG by Wrangler Men's Reinforced Utility Pant, sea turtle, 42W x 30L</t>
  </si>
  <si>
    <t>NS857SR</t>
  </si>
  <si>
    <t>Sea Turtle</t>
  </si>
  <si>
    <t>191057844812</t>
  </si>
  <si>
    <t>B07T5GMYFY</t>
  </si>
  <si>
    <t>44208954</t>
  </si>
  <si>
    <t>ATG by Wrangler Men's Reinforced Utility Pant, kelp, 42W x 32L</t>
  </si>
  <si>
    <t>194004341310</t>
  </si>
  <si>
    <t>B09KMJ9KTX</t>
  </si>
  <si>
    <t>62596899</t>
  </si>
  <si>
    <t>6933560</t>
  </si>
  <si>
    <t>Columbia Women's Benton Springs Full Zip, Sun Glow, 2X Plus</t>
  </si>
  <si>
    <t>137211</t>
  </si>
  <si>
    <t>Sun Glow</t>
  </si>
  <si>
    <t>196470199211</t>
  </si>
  <si>
    <t>B0BNSWN3SJ</t>
  </si>
  <si>
    <t>54880248</t>
  </si>
  <si>
    <t>6068925</t>
  </si>
  <si>
    <t>adidas Womens Printed Polo Shirt, Wonder Blue, X-Small</t>
  </si>
  <si>
    <t>IEH66</t>
  </si>
  <si>
    <t>196470199174</t>
  </si>
  <si>
    <t>B0BNS9ZRZB</t>
  </si>
  <si>
    <t>63562505</t>
  </si>
  <si>
    <t>adidas Womens Printed Polo Shirt, Black, X-Small</t>
  </si>
  <si>
    <t>196470199136</t>
  </si>
  <si>
    <t>B0BNSP3G9T</t>
  </si>
  <si>
    <t>63562506</t>
  </si>
  <si>
    <t>adidas Womens Printed Polo Shirt, Black, Small</t>
  </si>
  <si>
    <t>196470201907</t>
  </si>
  <si>
    <t>B0BNSP3S6P</t>
  </si>
  <si>
    <t>54880249</t>
  </si>
  <si>
    <t>adidas Womens Printed Polo Shirt, Wonder Blue, Small</t>
  </si>
  <si>
    <t>196470199198</t>
  </si>
  <si>
    <t>B0BNSS2BMG</t>
  </si>
  <si>
    <t>54880250</t>
  </si>
  <si>
    <t>adidas Womens Printed Polo Shirt, Wonder Blue, Medium</t>
  </si>
  <si>
    <t>196470199167</t>
  </si>
  <si>
    <t>B0BNSN9WH6</t>
  </si>
  <si>
    <t>63562507</t>
  </si>
  <si>
    <t>adidas Womens Printed Polo Shirt, Black, Medium</t>
  </si>
  <si>
    <t>196470199228</t>
  </si>
  <si>
    <t>B0BNSYTS5J</t>
  </si>
  <si>
    <t>54880251</t>
  </si>
  <si>
    <t>adidas Womens Printed Polo Shirt, Wonder Blue, Large</t>
  </si>
  <si>
    <t>196470199150</t>
  </si>
  <si>
    <t>B0BNR5KNHP</t>
  </si>
  <si>
    <t>63562508</t>
  </si>
  <si>
    <t>adidas Womens Printed Polo Shirt, Black, Large</t>
  </si>
  <si>
    <t>196470199181</t>
  </si>
  <si>
    <t>B0BNSXGQ3S</t>
  </si>
  <si>
    <t>54880252</t>
  </si>
  <si>
    <t>adidas Womens Printed Polo Shirt, Wonder Blue, X-Large</t>
  </si>
  <si>
    <t>196470199143</t>
  </si>
  <si>
    <t>B0BNR559L4</t>
  </si>
  <si>
    <t>63562509</t>
  </si>
  <si>
    <t>adidas Womens Printed Polo Shirt, Black, X-Large</t>
  </si>
  <si>
    <t>191900561439</t>
  </si>
  <si>
    <t>B0BFVN1Q41</t>
  </si>
  <si>
    <t>59123815</t>
  </si>
  <si>
    <t>6690279</t>
  </si>
  <si>
    <t>Marc New York by Andrew Marc Women's Long Puffer Down Luxurious DTM Faux Fur Trimmed Hood, Black, Small</t>
  </si>
  <si>
    <t>MW2AD035</t>
  </si>
  <si>
    <t>191900561392</t>
  </si>
  <si>
    <t>B0BFTMWDB4</t>
  </si>
  <si>
    <t>77474810</t>
  </si>
  <si>
    <t>Marc New York by Andrew Marc Women's Long Puffer Down Luxurious DTM Faux Fur Trimmed Hood, Sepia, Small</t>
  </si>
  <si>
    <t>Sepia</t>
  </si>
  <si>
    <t>191900558668</t>
  </si>
  <si>
    <t>B0BFT5BQ57</t>
  </si>
  <si>
    <t>77474816</t>
  </si>
  <si>
    <t>Marc New York by Andrew Marc Women's Long Puffer Down Luxurious DTM Faux Fur Trimmed Hood, Ink, Small</t>
  </si>
  <si>
    <t>191900565055</t>
  </si>
  <si>
    <t>B0BFTDC8X3</t>
  </si>
  <si>
    <t>59123816</t>
  </si>
  <si>
    <t>Marc New York by Andrew Marc Women's Long Puffer Down Luxurious DTM Faux Fur Trimmed Hood, Black, Medium</t>
  </si>
  <si>
    <t>191900565048</t>
  </si>
  <si>
    <t>B0BFTGHLLX</t>
  </si>
  <si>
    <t>77474811</t>
  </si>
  <si>
    <t>Marc New York by Andrew Marc Women's Long Puffer Down Luxurious DTM Faux Fur Trimmed Hood, Sepia, Medium</t>
  </si>
  <si>
    <t>191900558651</t>
  </si>
  <si>
    <t>B0BFTX7FRL</t>
  </si>
  <si>
    <t>77474817</t>
  </si>
  <si>
    <t>Marc New York by Andrew Marc Women's Long Puffer Down Luxurious DTM Faux Fur Trimmed Hood, Ink, Medium</t>
  </si>
  <si>
    <t>191900561422</t>
  </si>
  <si>
    <t>B0BFTM8QV2</t>
  </si>
  <si>
    <t>59123817</t>
  </si>
  <si>
    <t>Marc New York by Andrew Marc Women's Long Puffer Down Luxurious DTM Faux Fur Trimmed Hood, Black, Large</t>
  </si>
  <si>
    <t>191900561385</t>
  </si>
  <si>
    <t>B0BFV739QT</t>
  </si>
  <si>
    <t>77474812</t>
  </si>
  <si>
    <t>Marc New York by Andrew Marc Women's Long Puffer Down Luxurious DTM Faux Fur Trimmed Hood, Sepia, Large</t>
  </si>
  <si>
    <t>196989272313</t>
  </si>
  <si>
    <t>B0C9M5XPYJ</t>
  </si>
  <si>
    <t>62355267</t>
  </si>
  <si>
    <t>6056668</t>
  </si>
  <si>
    <t>Skechers Goknit Ultra Tapered Pants Grey Stripe XS</t>
  </si>
  <si>
    <t>Grey Stripe</t>
  </si>
  <si>
    <t>196989272344</t>
  </si>
  <si>
    <t>B0C9M21NDH</t>
  </si>
  <si>
    <t>62355274</t>
  </si>
  <si>
    <t>Skechers Goknit Ultra Tapered Pants Grey Stripe LG</t>
  </si>
  <si>
    <t>196989272351</t>
  </si>
  <si>
    <t>B0C9M3WR92</t>
  </si>
  <si>
    <t>62355275</t>
  </si>
  <si>
    <t>Skechers Goknit Ultra Tapered Pants Grey Stripe XL</t>
  </si>
  <si>
    <t>191170785429</t>
  </si>
  <si>
    <t>B08B4WPXX5</t>
  </si>
  <si>
    <t>47570283</t>
  </si>
  <si>
    <t>6153690</t>
  </si>
  <si>
    <t>10 Sets Large Covered Hook &amp; Eye Sewing Closure for Fur Coat Jacket Cape Stole Bracelet Jewelry Books Crafts，Black (38mm)</t>
  </si>
  <si>
    <t>193671456877</t>
  </si>
  <si>
    <t>B0B5B6MP5V</t>
  </si>
  <si>
    <t>18758014</t>
  </si>
  <si>
    <t>7082919</t>
  </si>
  <si>
    <t>Dickies Men's Casual Fabric Web Belt, Black, Small (30-32)</t>
  </si>
  <si>
    <t>11DI030054-001-SM</t>
  </si>
  <si>
    <t>193671456884</t>
  </si>
  <si>
    <t>B0B5B9241W</t>
  </si>
  <si>
    <t>18758015</t>
  </si>
  <si>
    <t>Dickies Men's Casual Fabric Web Belt, Black, Medium (34-36)</t>
  </si>
  <si>
    <t>11DI030054-001-MD</t>
  </si>
  <si>
    <t>193671456891</t>
  </si>
  <si>
    <t>B0B5B93C7F</t>
  </si>
  <si>
    <t>18758016</t>
  </si>
  <si>
    <t>Dickies Men's Casual Fabric Web Belt, Black, Large (38-40)</t>
  </si>
  <si>
    <t>11DI030054-001-LG</t>
  </si>
  <si>
    <t>193671456907</t>
  </si>
  <si>
    <t>B0B5B6YKYK</t>
  </si>
  <si>
    <t>18758017</t>
  </si>
  <si>
    <t>Dickies Men's Casual Fabric Web Belt, Black, X-Large (42-44)</t>
  </si>
  <si>
    <t>11DI030054-001-XL</t>
  </si>
  <si>
    <t>195862009190</t>
  </si>
  <si>
    <t>B0CNS88VKN</t>
  </si>
  <si>
    <t>55681959</t>
  </si>
  <si>
    <t>6047852</t>
  </si>
  <si>
    <t>Carter's Baby 4 Pack Long Sleeve Bodysuit Set, Multi/Floral/Leopard, Newborn</t>
  </si>
  <si>
    <t>Multi/Floral/Leopard</t>
  </si>
  <si>
    <t>195862009152</t>
  </si>
  <si>
    <t>B0CNS747VJ</t>
  </si>
  <si>
    <t>55681960</t>
  </si>
  <si>
    <t>Carter's Baby 4 Pack Long Sleeve Bodysuit Set, Multi/Floral/Leopard, 3 Months</t>
  </si>
  <si>
    <t>887791751782</t>
  </si>
  <si>
    <t>B0CLS9W5K8</t>
  </si>
  <si>
    <t>65832975</t>
  </si>
  <si>
    <t>6126030</t>
  </si>
  <si>
    <t>Nike Men's Club Fleece Gloves 2.0 (Baroque Brown/Black/Black) Size XL</t>
  </si>
  <si>
    <t>N.100.7163.202.XL</t>
  </si>
  <si>
    <t>Baroque Brown/Black/Black</t>
  </si>
  <si>
    <t>887791337467</t>
  </si>
  <si>
    <t>B07QKJW9RG</t>
  </si>
  <si>
    <t>81030720</t>
  </si>
  <si>
    <t>3830349</t>
  </si>
  <si>
    <t>NIKE Bandana Head TIE Black</t>
  </si>
  <si>
    <t>546</t>
  </si>
  <si>
    <t>N.000.2562.010.OS</t>
  </si>
  <si>
    <t>717312796995</t>
  </si>
  <si>
    <t>B087TNLL8S</t>
  </si>
  <si>
    <t>81152136</t>
  </si>
  <si>
    <t>3443278</t>
  </si>
  <si>
    <t>Grand Slam Performance Golf Shorts (54)</t>
  </si>
  <si>
    <t>193642148732</t>
  </si>
  <si>
    <t>B07MG91CDV</t>
  </si>
  <si>
    <t>84847358</t>
  </si>
  <si>
    <t>7081057</t>
  </si>
  <si>
    <t>Skechers Women's Go Walk Pant, Winetasting, X-Small</t>
  </si>
  <si>
    <t>W03PT20B</t>
  </si>
  <si>
    <t>Winetasting</t>
  </si>
  <si>
    <t>195745462876</t>
  </si>
  <si>
    <t>B09Z3T54VG</t>
  </si>
  <si>
    <t>49650310</t>
  </si>
  <si>
    <t>5218384</t>
  </si>
  <si>
    <t>adidas Women's Standard Ultimate365 Solid Sleeveless Polo Shirt, Collegiate Navy, X-Small</t>
  </si>
  <si>
    <t>195745466119</t>
  </si>
  <si>
    <t>B09Z38R2DC</t>
  </si>
  <si>
    <t>49650311</t>
  </si>
  <si>
    <t>adidas Women's Standard Ultimate365 Solid Sleeveless Polo Shirt, Collegiate Navy, Small</t>
  </si>
  <si>
    <t>196884844851</t>
  </si>
  <si>
    <t>B0BJ7QNS7G</t>
  </si>
  <si>
    <t>81851918</t>
  </si>
  <si>
    <t>7081066</t>
  </si>
  <si>
    <t>Under Armour Womens Motion Short Sleeve T Shirt, (490) Blizzard / /, 2X</t>
  </si>
  <si>
    <t>1379178/1380167</t>
  </si>
  <si>
    <t>(490) Blizzard / /</t>
  </si>
  <si>
    <t>196884844875</t>
  </si>
  <si>
    <t>B0BJ7TMVB3</t>
  </si>
  <si>
    <t>81851919</t>
  </si>
  <si>
    <t>Under Armour Womens Motion Short Sleeve T Shirt, (490) Blizzard / /, 3X</t>
  </si>
  <si>
    <t>000772307314</t>
  </si>
  <si>
    <t>B09RZV4M2D</t>
  </si>
  <si>
    <t>79253972</t>
  </si>
  <si>
    <t>5761149</t>
  </si>
  <si>
    <t>Melissa &amp; Doug Wooden Surprise Gift Box Infant Toy (5 Pieces) Baby Toy Gift Set, Tactile Sensory Toy for Babies and Toddlers - FSC-Certified Materials</t>
  </si>
  <si>
    <t>367</t>
  </si>
  <si>
    <t>30731</t>
  </si>
  <si>
    <t>690222320972</t>
  </si>
  <si>
    <t>B09HC6MN8X</t>
  </si>
  <si>
    <t>49813154</t>
  </si>
  <si>
    <t>5478664</t>
  </si>
  <si>
    <t>Louis Garneau, Mens, Lemmon 4 Jersey, Dark Royal, Small</t>
  </si>
  <si>
    <t>1042177-823</t>
  </si>
  <si>
    <t>Dark Royal</t>
  </si>
  <si>
    <t>690222321023</t>
  </si>
  <si>
    <t>B09HC4VWG7</t>
  </si>
  <si>
    <t>49813144</t>
  </si>
  <si>
    <t>Louis Garneau Lemmon 4 Cycling Jersey - Men's Barbados Cherry Small</t>
  </si>
  <si>
    <t>1042177-110</t>
  </si>
  <si>
    <t>Barbados Cherry</t>
  </si>
  <si>
    <t>690222320927</t>
  </si>
  <si>
    <t>B09HC3SWDK</t>
  </si>
  <si>
    <t>49813149</t>
  </si>
  <si>
    <t>Louis Garneau, Mens, Lemmon 4 Jersey, Bright Yellow, Small</t>
  </si>
  <si>
    <t>1042177-023</t>
  </si>
  <si>
    <t>Bright Yellow</t>
  </si>
  <si>
    <t>690222320934</t>
  </si>
  <si>
    <t>B09HC3LPK8</t>
  </si>
  <si>
    <t>49813150</t>
  </si>
  <si>
    <t>Louis Garneau Lemmon 4 Cycling Jersey - Men's Bright Yellow Medium</t>
  </si>
  <si>
    <t>690222320941</t>
  </si>
  <si>
    <t>B09HC4JLHD</t>
  </si>
  <si>
    <t>49813151</t>
  </si>
  <si>
    <t>Louis Garneau, Mens, Lemmon 4 Jersey, Bright Yellow, Large</t>
  </si>
  <si>
    <t>194870516287</t>
  </si>
  <si>
    <t>B096YJNQ6S</t>
  </si>
  <si>
    <t>17741220</t>
  </si>
  <si>
    <t>4864660</t>
  </si>
  <si>
    <t>adidas Girls Size AEROREADY Performance Long Tights, Black, Small (7/8 Plus)</t>
  </si>
  <si>
    <t>466</t>
  </si>
  <si>
    <t>AK4458</t>
  </si>
  <si>
    <t>194870516294</t>
  </si>
  <si>
    <t>B096YHVHN9</t>
  </si>
  <si>
    <t>17741221</t>
  </si>
  <si>
    <t>adidas Girls Size AEROREADY Performance Long Tights, Black, Medium (10/12 Plus)</t>
  </si>
  <si>
    <t>962</t>
  </si>
  <si>
    <t>194870516300</t>
  </si>
  <si>
    <t>B096YHT16Z</t>
  </si>
  <si>
    <t>17741222</t>
  </si>
  <si>
    <t>adidas Girls Size AEROREADY Performance Long Tights, Black, Large (14 Plus)</t>
  </si>
  <si>
    <t>888</t>
  </si>
  <si>
    <t>194870516317</t>
  </si>
  <si>
    <t>B096YHJJSV</t>
  </si>
  <si>
    <t>17741228</t>
  </si>
  <si>
    <t>adidas Girls Size AEROREADY Performance Long Tights, Black, X-Large (16 Plus)</t>
  </si>
  <si>
    <t>332</t>
  </si>
  <si>
    <t>195979503635</t>
  </si>
  <si>
    <t>B0BKR54KZ5</t>
  </si>
  <si>
    <t>81836398</t>
  </si>
  <si>
    <t>6933218</t>
  </si>
  <si>
    <t>Columbia Women's Anytime Patterned Long Sleeve Shirt, Sunset Peach CSC Tartan, Small</t>
  </si>
  <si>
    <t>2052571</t>
  </si>
  <si>
    <t>Sunset Peach Csc Tartan</t>
  </si>
  <si>
    <t>195979502836</t>
  </si>
  <si>
    <t>B0BKR38ZX3</t>
  </si>
  <si>
    <t>81836388</t>
  </si>
  <si>
    <t>Columbia Women's Anytime Patterned Long Sleeve Shirt, Dusty Pink CSC Tartan, Small</t>
  </si>
  <si>
    <t>Dusty Pink Csc Tartan</t>
  </si>
  <si>
    <t>195979502843</t>
  </si>
  <si>
    <t>B0BKR8NJHD</t>
  </si>
  <si>
    <t>81836389</t>
  </si>
  <si>
    <t>Columbia Women's Anytime Patterned Long Sleeve Shirt, Dusty Pink CSC Tartan, Medium</t>
  </si>
  <si>
    <t>195979503659</t>
  </si>
  <si>
    <t>B0BKR4YTXG</t>
  </si>
  <si>
    <t>81836399</t>
  </si>
  <si>
    <t>Columbia Women's Anytime Patterned Long Sleeve Shirt, Sunset Peach CSC Tartan, Medium</t>
  </si>
  <si>
    <t>195979502812</t>
  </si>
  <si>
    <t>B0BKR6ST57</t>
  </si>
  <si>
    <t>81836390</t>
  </si>
  <si>
    <t>Columbia Women's Anytime Patterned Long Sleeve Shirt, Dusty Pink CSC Tartan, Large</t>
  </si>
  <si>
    <t>195979503680</t>
  </si>
  <si>
    <t>B0BKR65ZYQ</t>
  </si>
  <si>
    <t>81836400</t>
  </si>
  <si>
    <t>Columbia Women's Anytime Patterned Long Sleeve Shirt, Sunset Peach CSC Tartan, Large</t>
  </si>
  <si>
    <t>840140217278</t>
  </si>
  <si>
    <t>B096B64DLT</t>
  </si>
  <si>
    <t>80326855</t>
  </si>
  <si>
    <t>6193691</t>
  </si>
  <si>
    <t>BILLY Footwear Kids Street for Toddlers - Zip Around Closure, Cushioned &amp; Removable Insole Sleek Style Sneakers - Olive Camo 5 Toddler M</t>
  </si>
  <si>
    <t>BT21310-340-5</t>
  </si>
  <si>
    <t>Olive Camo</t>
  </si>
  <si>
    <t>196040913339</t>
  </si>
  <si>
    <t>B09X6F7RC9</t>
  </si>
  <si>
    <t>33236226</t>
  </si>
  <si>
    <t>5806154</t>
  </si>
  <si>
    <t>Under Armour Women's Rival Terry Oversized Crew, (465) Harbor Blue / / White, 1X</t>
  </si>
  <si>
    <t>1378979</t>
  </si>
  <si>
    <t>(465) Harbor Blue / / White</t>
  </si>
  <si>
    <t>196040916774</t>
  </si>
  <si>
    <t>B09X6HKJK8</t>
  </si>
  <si>
    <t>33236216</t>
  </si>
  <si>
    <t>Under Armour Women's Rival Terry Oversized Crew, (001) Black / / White, 1X</t>
  </si>
  <si>
    <t>196040913346</t>
  </si>
  <si>
    <t>B09X6GQXN8</t>
  </si>
  <si>
    <t>33236227</t>
  </si>
  <si>
    <t>Under Armour Women's Rival Terry Oversized Crew, (465) Harbor Blue / / White, 2X</t>
  </si>
  <si>
    <t>196040916781</t>
  </si>
  <si>
    <t>B09X6HPN9B</t>
  </si>
  <si>
    <t>33236217</t>
  </si>
  <si>
    <t>Under Armour Women's Rival Terry Oversized Crew, (001) Black / / White, 2X</t>
  </si>
  <si>
    <t>196040916798</t>
  </si>
  <si>
    <t>B09X6GT2Z4</t>
  </si>
  <si>
    <t>33236218</t>
  </si>
  <si>
    <t>Under Armour Women's Rival Terry Oversized Crew, (001) Black / / White, 3X</t>
  </si>
  <si>
    <t>196040913353</t>
  </si>
  <si>
    <t>B09X6J7H5H</t>
  </si>
  <si>
    <t>33236228</t>
  </si>
  <si>
    <t>Under Armour Women's Rival Terry Oversized Crew, (465) Harbor Blue / / White, 3X</t>
  </si>
  <si>
    <t>195861935773</t>
  </si>
  <si>
    <t>B0CQD2K7K5</t>
  </si>
  <si>
    <t>73172868</t>
  </si>
  <si>
    <t>5988490</t>
  </si>
  <si>
    <t>little planet by carter's unisex-baby Organic Cotton Ribbed Sweater Knit Dress, Brown Solid, NB</t>
  </si>
  <si>
    <t>1P701710</t>
  </si>
  <si>
    <t>Brown Solid</t>
  </si>
  <si>
    <t>195861935742</t>
  </si>
  <si>
    <t>B0CQD2ZVKH</t>
  </si>
  <si>
    <t>73172870</t>
  </si>
  <si>
    <t>little planet by carter's unisex-baby Organic Cotton Ribbed Sweater Knit Dress, Brown Solid, 6M</t>
  </si>
  <si>
    <t>195861935735</t>
  </si>
  <si>
    <t>B0CQD2V597</t>
  </si>
  <si>
    <t>73172869</t>
  </si>
  <si>
    <t>little planet by carter's unisex-baby Organic Cotton Ribbed Sweater Knit Dress, Brown Solid, 3M</t>
  </si>
  <si>
    <t>195861935759</t>
  </si>
  <si>
    <t>B0CQD1F459</t>
  </si>
  <si>
    <t>73172871</t>
  </si>
  <si>
    <t>little planet by carter's unisex-baby Organic Cotton Ribbed Sweater Knit Dress, Brown Solid, 9M</t>
  </si>
  <si>
    <t>195861935704</t>
  </si>
  <si>
    <t>B0CQD5MBNL</t>
  </si>
  <si>
    <t>73172872</t>
  </si>
  <si>
    <t>little planet by carter's unisex-baby Organic Cotton Ribbed Sweater Knit Dress, Brown Solid, 12M</t>
  </si>
  <si>
    <t>195861935711</t>
  </si>
  <si>
    <t>B0CQD5W47N</t>
  </si>
  <si>
    <t>73172873</t>
  </si>
  <si>
    <t>little planet by carter's unisex-baby Organic Cotton Ribbed Sweater Knit Dress, Brown Solid, 18M</t>
  </si>
  <si>
    <t>195861935728</t>
  </si>
  <si>
    <t>B0CQD5N23B</t>
  </si>
  <si>
    <t>73172874</t>
  </si>
  <si>
    <t>little planet by carter's unisex-baby Organic Cotton Ribbed Sweater Knit Dress, Brown Solid, 24M</t>
  </si>
  <si>
    <t>690222321719</t>
  </si>
  <si>
    <t>B09HC4BGVZ</t>
  </si>
  <si>
    <t>29464897</t>
  </si>
  <si>
    <t>5466339</t>
  </si>
  <si>
    <t>Louis Garneau, Mens, Connection 4 Jersey, Barbados Cherry, Small</t>
  </si>
  <si>
    <t>1042179-110</t>
  </si>
  <si>
    <t>690222321658</t>
  </si>
  <si>
    <t>B09HC71L97</t>
  </si>
  <si>
    <t>17920443</t>
  </si>
  <si>
    <t>Louis Garneau, Mens, Connection 4 Jersey, Dark Royal, Small</t>
  </si>
  <si>
    <t>690222321535</t>
  </si>
  <si>
    <t>B09HC4SY41</t>
  </si>
  <si>
    <t>37646428</t>
  </si>
  <si>
    <t>Louis Garneau, Mens, Connection 4 Jersey, Black, Small</t>
  </si>
  <si>
    <t>1042179-020</t>
  </si>
  <si>
    <t>690222321665</t>
  </si>
  <si>
    <t>B09HC3NCC6</t>
  </si>
  <si>
    <t>17920439</t>
  </si>
  <si>
    <t>Louis Garneau, Mens, Connection 4 Jersey, Dark Royal, Medium</t>
  </si>
  <si>
    <t>1042179-823</t>
  </si>
  <si>
    <t>690222321726</t>
  </si>
  <si>
    <t>B09HC7HHM3</t>
  </si>
  <si>
    <t>29464898</t>
  </si>
  <si>
    <t>Louis Garneau, Mens, Connection 4 Jersey, Barbados Cherry, Medium</t>
  </si>
  <si>
    <t>690222321603</t>
  </si>
  <si>
    <t>B09HC6H3X2</t>
  </si>
  <si>
    <t>61799350</t>
  </si>
  <si>
    <t>Louis Garneau, Mens, Connection 4 Jersey, Bright Yellow, Medium</t>
  </si>
  <si>
    <t>1042179-023</t>
  </si>
  <si>
    <t>690222321542</t>
  </si>
  <si>
    <t>B09HC25DNL</t>
  </si>
  <si>
    <t>37646429</t>
  </si>
  <si>
    <t>Louis Garneau, Mens, Connection 4 Jersey, Black, Medium</t>
  </si>
  <si>
    <t>690222321634</t>
  </si>
  <si>
    <t>B09HC5Z9RQ</t>
  </si>
  <si>
    <t>61799341</t>
  </si>
  <si>
    <t>Louis Garneau, Mens, Connection 4 Jersey, Bright Yellow, XXLarge</t>
  </si>
  <si>
    <t>195861471998</t>
  </si>
  <si>
    <t>B0CH1QDFQT</t>
  </si>
  <si>
    <t>75601111</t>
  </si>
  <si>
    <t>5663473</t>
  </si>
  <si>
    <t>Carter's Baby Boys' 3 Piece Vest Set (Navy/Orange/Green Stripes, 3 Months)</t>
  </si>
  <si>
    <t>Navy/Orange/Green Stripes</t>
  </si>
  <si>
    <t>195861472018</t>
  </si>
  <si>
    <t>B0CH1QZ6FQ</t>
  </si>
  <si>
    <t>75601113</t>
  </si>
  <si>
    <t>Carter's Baby Boys' 3 Piece Vest Set (Navy/Orange/Green Stripes, 9 Months)</t>
  </si>
  <si>
    <t>195861471967</t>
  </si>
  <si>
    <t>B0CH1QS9V5</t>
  </si>
  <si>
    <t>75601119</t>
  </si>
  <si>
    <t>Carter's Baby Boys' 3 Piece Vest Set (Navy/Orange/Green Stripes, 12 Months)</t>
  </si>
  <si>
    <t>196739241392</t>
  </si>
  <si>
    <t>B0CJJNW8FJ</t>
  </si>
  <si>
    <t>82000866</t>
  </si>
  <si>
    <t>6145056</t>
  </si>
  <si>
    <t>Champion Powerblend Relaxed Crew Oxford Gray XS</t>
  </si>
  <si>
    <t>GF535586KQB-021</t>
  </si>
  <si>
    <t>Oxford Gray</t>
  </si>
  <si>
    <t>000772307383</t>
  </si>
  <si>
    <t>B09RZLY3YJ</t>
  </si>
  <si>
    <t>81885712</t>
  </si>
  <si>
    <t>5761189</t>
  </si>
  <si>
    <t>Melissa &amp; Doug GO Tots Wooden Roll &amp; Ride Bus with 3 Disks - FSC Certified</t>
  </si>
  <si>
    <t>30738</t>
  </si>
  <si>
    <t>Wood</t>
  </si>
  <si>
    <t>195253822711</t>
  </si>
  <si>
    <t>B09JKYLZBR</t>
  </si>
  <si>
    <t>29517595</t>
  </si>
  <si>
    <t>5552457</t>
  </si>
  <si>
    <t>Under Armour Mens ArmourFleece Straight Leg Pant, (001) Black / / Black, Small</t>
  </si>
  <si>
    <t>146</t>
  </si>
  <si>
    <t>1373360</t>
  </si>
  <si>
    <t>196219875109</t>
  </si>
  <si>
    <t>B0C86TD2TJ</t>
  </si>
  <si>
    <t>70986826</t>
  </si>
  <si>
    <t>6063138</t>
  </si>
  <si>
    <t>adidas Girls' Long Sleeve Hooded Graphic Tee, Black with Multicolor 2</t>
  </si>
  <si>
    <t>AA3136</t>
  </si>
  <si>
    <t>Black With Multicolor 2</t>
  </si>
  <si>
    <t>196219875116</t>
  </si>
  <si>
    <t>B0C878Z28W</t>
  </si>
  <si>
    <t>70986827</t>
  </si>
  <si>
    <t>196219875123</t>
  </si>
  <si>
    <t>B0C87938BB</t>
  </si>
  <si>
    <t>70986833</t>
  </si>
  <si>
    <t>196524414611</t>
  </si>
  <si>
    <t>B0B194PTNZ</t>
  </si>
  <si>
    <t>55966221</t>
  </si>
  <si>
    <t>5202016</t>
  </si>
  <si>
    <t>Levi's Women's Plus-Size Wedgie Straight Jeans, (New) White Stonewash, 35</t>
  </si>
  <si>
    <t>A0977-0019</t>
  </si>
  <si>
    <t>White Stonewash</t>
  </si>
  <si>
    <t>196524264100</t>
  </si>
  <si>
    <t>B0B1941LKH</t>
  </si>
  <si>
    <t>55966231</t>
  </si>
  <si>
    <t>Levi's Women's Plus-Size Wedgie Straight Jeans, (New) White Stonewash, 36</t>
  </si>
  <si>
    <t>196524414628</t>
  </si>
  <si>
    <t>B0B198S3HC</t>
  </si>
  <si>
    <t>55966241</t>
  </si>
  <si>
    <t>Levi's Women's Plus-Size Wedgie Straight Jeans, (New) White Stonewash, 37</t>
  </si>
  <si>
    <t>196524414635</t>
  </si>
  <si>
    <t>B0B195GBFZ</t>
  </si>
  <si>
    <t>55966251</t>
  </si>
  <si>
    <t>Levi's Women's Plus-Size Wedgie Straight Jeans, (New) White Stonewash, 38</t>
  </si>
  <si>
    <t>196524414642</t>
  </si>
  <si>
    <t>B0B193TJKM</t>
  </si>
  <si>
    <t>55966261</t>
  </si>
  <si>
    <t>Levi's Women's Plus-Size Wedgie Straight Jeans, (New) White Stonewash, 39</t>
  </si>
  <si>
    <t>843479153293</t>
  </si>
  <si>
    <t>B09HFT2DLW</t>
  </si>
  <si>
    <t>46602277</t>
  </si>
  <si>
    <t>5539411</t>
  </si>
  <si>
    <t>Sharper Image RC Space Tank Wars, Remote Control Battle Tracks with Flip Ramps</t>
  </si>
  <si>
    <t>2401</t>
  </si>
  <si>
    <t>886144985065</t>
  </si>
  <si>
    <t>B09NMK7KQL</t>
  </si>
  <si>
    <t>58018402</t>
  </si>
  <si>
    <t>5705718</t>
  </si>
  <si>
    <t>Just Play Disney Junior Alice’s Wonderland Bakery Chat &amp; Glow Cheshire Ca tPlushie Stuffed Animal, Officially Licensed Kids Toys for Ages 3 Up</t>
  </si>
  <si>
    <t>688</t>
  </si>
  <si>
    <t>98506</t>
  </si>
  <si>
    <t>810022878958</t>
  </si>
  <si>
    <t>B0CBQKDRPF</t>
  </si>
  <si>
    <t>57675864</t>
  </si>
  <si>
    <t>6524722</t>
  </si>
  <si>
    <t>Packed Party Belt Bag, Fashionable Designer Fanny Pack For Women, Nylon Bum Bag With Adjustable Strap and Small Pouch, Great For Workouts, Traveling, Running, Hiking or Shopping (Celebrate Every Day)</t>
  </si>
  <si>
    <t>BGEBB99903</t>
  </si>
  <si>
    <t>195979314934</t>
  </si>
  <si>
    <t>B0BKQVY72H</t>
  </si>
  <si>
    <t>46955682</t>
  </si>
  <si>
    <t>6101613</t>
  </si>
  <si>
    <t>Columbia Men's Steens Mountain Printed Shirt Jacket, Shark Surfcrest Stripe Print, Small</t>
  </si>
  <si>
    <t>2054671</t>
  </si>
  <si>
    <t>Shark Surfcrest Stripe Print</t>
  </si>
  <si>
    <t>195979314705</t>
  </si>
  <si>
    <t>B0BKQT6THV</t>
  </si>
  <si>
    <t>46955672</t>
  </si>
  <si>
    <t>Columbia Men's Steens Mountain Printed Shirt Jacket, Mountain Red Check Print, Small</t>
  </si>
  <si>
    <t>195979314682</t>
  </si>
  <si>
    <t>B0BKQXC1F4</t>
  </si>
  <si>
    <t>46955673</t>
  </si>
  <si>
    <t>Columbia Men's Steens Mountain Printed Shirt Jacket, Mountain Red Check Print, Medium</t>
  </si>
  <si>
    <t>195979314712</t>
  </si>
  <si>
    <t>B0BKQY4FTH</t>
  </si>
  <si>
    <t>46955674</t>
  </si>
  <si>
    <t>Columbia Men's Steens Mountain Printed Shirt Jacket, Mountain Red Check Print, Large</t>
  </si>
  <si>
    <t>195979314842</t>
  </si>
  <si>
    <t>B0BKQXSPNV</t>
  </si>
  <si>
    <t>46955689</t>
  </si>
  <si>
    <t>Columbia Men's Steens Mountain Printed Shirt Jacket, Shasta Super Mega Print, Large</t>
  </si>
  <si>
    <t>Shasta Super Mega Print</t>
  </si>
  <si>
    <t>196327310219</t>
  </si>
  <si>
    <t>B0C93X5Y18</t>
  </si>
  <si>
    <t>28158019</t>
  </si>
  <si>
    <t>6130279</t>
  </si>
  <si>
    <t>Hurley Boy's Long Sleeve Wave-Tallica Graphic T-Shirt (Big Kids) Black LG (14/16 Big Kid)</t>
  </si>
  <si>
    <t>196062173049</t>
  </si>
  <si>
    <t>B09R2GRZWV</t>
  </si>
  <si>
    <t>75270172</t>
  </si>
  <si>
    <t>5790157</t>
  </si>
  <si>
    <t>Hanes Women's EcoSmart Control Top Sheer-Toe Diamond Detail Tights, Black Diamond Dot, Small</t>
  </si>
  <si>
    <t>Q00810</t>
  </si>
  <si>
    <t>Black Diamond Dot</t>
  </si>
  <si>
    <t>196062173056</t>
  </si>
  <si>
    <t>B09R3481YR</t>
  </si>
  <si>
    <t>75270173</t>
  </si>
  <si>
    <t>Hanes EcoSmart Control Top Sheer-Toe Diamond Detail Tights, Black, Medium</t>
  </si>
  <si>
    <t>HG0013</t>
  </si>
  <si>
    <t>193769465194</t>
  </si>
  <si>
    <t>B08Z9WY4QC</t>
  </si>
  <si>
    <t>49703736</t>
  </si>
  <si>
    <t>5588848</t>
  </si>
  <si>
    <t>WallFlower Women's Size Juniors InstaSoft High-Rise Sassy Skinny Jeans (Standard, Noir, 20 Plus</t>
  </si>
  <si>
    <t>WFSASSYFIT</t>
  </si>
  <si>
    <t>Noir</t>
  </si>
  <si>
    <t>193769465200</t>
  </si>
  <si>
    <t>B08Z9TTYFC</t>
  </si>
  <si>
    <t>49703737</t>
  </si>
  <si>
    <t>WallFlower Women's Size Sassy Skinny High-Rise Insta Soft Juniors Jeans (Standard, Noir, 22 Plus</t>
  </si>
  <si>
    <t>193769466849</t>
  </si>
  <si>
    <t>B08ZB2KGHL</t>
  </si>
  <si>
    <t>49703745</t>
  </si>
  <si>
    <t>WallFlower Women's Juniors InstaSoft High-Rise Sassy Skinny Jeans (Standard, Kelly, 22 Plus</t>
  </si>
  <si>
    <t>Kelly</t>
  </si>
  <si>
    <t>193769465217</t>
  </si>
  <si>
    <t>B08Z9L3Q6V</t>
  </si>
  <si>
    <t>49703738</t>
  </si>
  <si>
    <t>WallFlower Women's Size Juniors InstaSoft High-Rise Sassy Skinny Jeans (Standard, Noir, 24 Plus</t>
  </si>
  <si>
    <t>193769466856</t>
  </si>
  <si>
    <t>B08Z9QY793</t>
  </si>
  <si>
    <t>49703746</t>
  </si>
  <si>
    <t>Wallflower Women's Juniors InstaSoft High-Rise Sassy Skinny Jeans (Standard, Kelly, 24 Plus</t>
  </si>
  <si>
    <t>193769466795</t>
  </si>
  <si>
    <t>B08ZB5FSDQ</t>
  </si>
  <si>
    <t>49703742</t>
  </si>
  <si>
    <t>WallFlower Women's Sassy Skinny High-Rise Insta Soft Juniors Jeans (Standard and Plus), Riverton, 24 Plus</t>
  </si>
  <si>
    <t>Riverton</t>
  </si>
  <si>
    <t>197648180000</t>
  </si>
  <si>
    <t>B0CCWLXCFC</t>
  </si>
  <si>
    <t>62385619</t>
  </si>
  <si>
    <t>6301748</t>
  </si>
  <si>
    <t>Nine West Women's NANS Over-The-Knee Boot, Black 001, 5</t>
  </si>
  <si>
    <t>wnNANS2</t>
  </si>
  <si>
    <t>Black 001</t>
  </si>
  <si>
    <t>197648180017</t>
  </si>
  <si>
    <t>B0CCWLX8GB</t>
  </si>
  <si>
    <t>62385624</t>
  </si>
  <si>
    <t>Nine West Women's NANS Over-The-Knee Boot, Black 001, 5.5</t>
  </si>
  <si>
    <t>197648180024</t>
  </si>
  <si>
    <t>B0CCWXYGV6</t>
  </si>
  <si>
    <t>62385625</t>
  </si>
  <si>
    <t>Nine West Women's NANS Over-The-Knee Boot, Black 001, 6</t>
  </si>
  <si>
    <t>197648180031</t>
  </si>
  <si>
    <t>B0CCX3ZVZ9</t>
  </si>
  <si>
    <t>62385626</t>
  </si>
  <si>
    <t>Nine West Women's NANS Over-The-Knee Boot, Black 001, 6.5</t>
  </si>
  <si>
    <t>197648180048</t>
  </si>
  <si>
    <t>B0CCWRZXWL</t>
  </si>
  <si>
    <t>62385627</t>
  </si>
  <si>
    <t>Nine West Women's NANS Over-The-Knee Boot, Black 001, 7</t>
  </si>
  <si>
    <t>197648180055</t>
  </si>
  <si>
    <t>B0CCWXYPBV</t>
  </si>
  <si>
    <t>62385628</t>
  </si>
  <si>
    <t>Nine West Women's NANS Over-The-Knee Boot, Black 001, 7.5</t>
  </si>
  <si>
    <t>195861970446</t>
  </si>
  <si>
    <t>B0CGXWM5NC</t>
  </si>
  <si>
    <t>76879712</t>
  </si>
  <si>
    <t>6057980</t>
  </si>
  <si>
    <t>Carter's Girls' 4-Piece Snug Fit Cotton Pajamas PJs (Pink/Gold/Pets, 12 Months)</t>
  </si>
  <si>
    <t>Pink/Gold/Pets</t>
  </si>
  <si>
    <t>721357408836</t>
  </si>
  <si>
    <t>B08NPV15RX</t>
  </si>
  <si>
    <t>71949755</t>
  </si>
  <si>
    <t>5068935</t>
  </si>
  <si>
    <t>Eddie Bauer Men's Thermal Midweight Long Sleeve Compression Crew Baselayer Black</t>
  </si>
  <si>
    <t>XEB5020M</t>
  </si>
  <si>
    <t>721357408829</t>
  </si>
  <si>
    <t>B08NQ1STRP</t>
  </si>
  <si>
    <t>71949756</t>
  </si>
  <si>
    <t>XEB5020L</t>
  </si>
  <si>
    <t>195862017911</t>
  </si>
  <si>
    <t>B0CP2V5WBW</t>
  </si>
  <si>
    <t>29846866</t>
  </si>
  <si>
    <t>6075751</t>
  </si>
  <si>
    <t>Carter's Unisex Baby Boys and Baby Girls Button Front Hooded Sherpa-Lined Cardigan Jacket (Red, Newborn)</t>
  </si>
  <si>
    <t>195862017874</t>
  </si>
  <si>
    <t>B0CP2VT64Q</t>
  </si>
  <si>
    <t>29846836</t>
  </si>
  <si>
    <t>Carter's Unisex Baby Boys and Baby Girls Button Front Hooded Sherpa-Lined Cardigan Jacket (Red, 3 Months)</t>
  </si>
  <si>
    <t>195861320166</t>
  </si>
  <si>
    <t>B0CNB3MWSF</t>
  </si>
  <si>
    <t>81948958</t>
  </si>
  <si>
    <t>5573549</t>
  </si>
  <si>
    <t>Carter's Big Boys Footed Microfleece PJ's Sleeper Pajamas (14 Years, Dirt Bike)</t>
  </si>
  <si>
    <t>Dirt Bike</t>
  </si>
  <si>
    <t>195862000593</t>
  </si>
  <si>
    <t>B0CWDZDP6Q</t>
  </si>
  <si>
    <t>70038985</t>
  </si>
  <si>
    <t>6055723</t>
  </si>
  <si>
    <t>Carter's Baby Boys' 1-Piece Zip-Front Romper (Navy Colorblock, 6 Months)</t>
  </si>
  <si>
    <t>1P814510</t>
  </si>
  <si>
    <t>Navy Colorblock</t>
  </si>
  <si>
    <t>195862000555</t>
  </si>
  <si>
    <t>B0CWDZ7NSL</t>
  </si>
  <si>
    <t>70038976</t>
  </si>
  <si>
    <t>Carter's Baby Boys' 1-Piece Zip-Front Romper (Navy Colorblock, 12 Months)</t>
  </si>
  <si>
    <t>627574676525</t>
  </si>
  <si>
    <t>B0B74H9XVV</t>
  </si>
  <si>
    <t>82001260</t>
  </si>
  <si>
    <t>5587706</t>
  </si>
  <si>
    <t>Kamik Boy's Snowbug 5 Snow Shoe, Navy, 5 Toddler</t>
  </si>
  <si>
    <t>NF9412</t>
  </si>
  <si>
    <t>627574676341</t>
  </si>
  <si>
    <t>B0B7RJHX2K</t>
  </si>
  <si>
    <t>61824563</t>
  </si>
  <si>
    <t>Kamik Snowbug 5 (Toddler/Little Kid) Charcoal 5 Toddler M</t>
  </si>
  <si>
    <t>627574676075</t>
  </si>
  <si>
    <t>B0B74CG4JF</t>
  </si>
  <si>
    <t>29580929</t>
  </si>
  <si>
    <t>Kamik Kids Snowbug 5 Snow Shoe, Black, 5 US Unisex Toddler</t>
  </si>
  <si>
    <t>627574676082</t>
  </si>
  <si>
    <t>B0B8HJFSNG</t>
  </si>
  <si>
    <t>29580932</t>
  </si>
  <si>
    <t>Kamik Kids Snowbug 5 Snow Shoe, Black, 6 US Unisex Toddler</t>
  </si>
  <si>
    <t>627574676532</t>
  </si>
  <si>
    <t>B0B8HJCBHB</t>
  </si>
  <si>
    <t>82001261</t>
  </si>
  <si>
    <t>Kamik Boy's Snowbug 5 Snow Shoe, Navy, 6 Toddler</t>
  </si>
  <si>
    <t>627574676358</t>
  </si>
  <si>
    <t>B0B97174KV</t>
  </si>
  <si>
    <t>61824570</t>
  </si>
  <si>
    <t>Kamik Snowbug 5 (Toddler/Little Kid) Charcoal 6 Toddler M</t>
  </si>
  <si>
    <t>627574676365</t>
  </si>
  <si>
    <t>B0B96YKJJZ</t>
  </si>
  <si>
    <t>61824571</t>
  </si>
  <si>
    <t>Kamik Snowbug 5 (Toddler/Little Kid) Charcoal 7 Toddler M</t>
  </si>
  <si>
    <t>627574676372</t>
  </si>
  <si>
    <t>B0B96ZDB7Z</t>
  </si>
  <si>
    <t>61824572</t>
  </si>
  <si>
    <t>Kamik Snowbug 5 (Toddler/Little Kid) Charcoal 8 Toddler M</t>
  </si>
  <si>
    <t>194916897196</t>
  </si>
  <si>
    <t>B0CXDW2K6F</t>
  </si>
  <si>
    <t>70990246</t>
  </si>
  <si>
    <t>6858692</t>
  </si>
  <si>
    <t>Van Heusen Men's Dress Shirt Slim Fit Ultra Wrinkle Free Flex Collar Stretch, Concord, 13"-13.5" Neck 32"-33" Sleeve</t>
  </si>
  <si>
    <t>194916897257</t>
  </si>
  <si>
    <t>B0CTQ44YJF</t>
  </si>
  <si>
    <t>70990253</t>
  </si>
  <si>
    <t>Van Heusen Men's Dress Shirt Slim Fit Ultra Wrinkle Free Flex Collar Stretch, Concord, 14"-14.5" Neck 34"-35" Sleeve</t>
  </si>
  <si>
    <t>Concord</t>
  </si>
  <si>
    <t>086131814594</t>
  </si>
  <si>
    <t>B0C59T3FXR</t>
  </si>
  <si>
    <t>19318572</t>
  </si>
  <si>
    <t>6423700</t>
  </si>
  <si>
    <t>Bluey Kurt Adler 19 Inch Family Party Christmas Stocking, Red</t>
  </si>
  <si>
    <t>802</t>
  </si>
  <si>
    <t>BL7231</t>
  </si>
  <si>
    <t>197117345206</t>
  </si>
  <si>
    <t>B0CQGDR3XM</t>
  </si>
  <si>
    <t>30133699</t>
  </si>
  <si>
    <t>6191986</t>
  </si>
  <si>
    <t>Cuddl Duds Softwear with Stretch Long Sleeve V-Neck Tonal Buffalo, Medium</t>
  </si>
  <si>
    <t>Tonal Buffalo</t>
  </si>
  <si>
    <t>195861968467</t>
  </si>
  <si>
    <t>B0CNB2D5Y2</t>
  </si>
  <si>
    <t>81835631</t>
  </si>
  <si>
    <t>6062065</t>
  </si>
  <si>
    <t>Carter's Big-Boys' 1 Pc Micro Fleece Footed Blanket Sleeper (Ivory Dino, 14)</t>
  </si>
  <si>
    <t>575</t>
  </si>
  <si>
    <t>Ivory Dino</t>
  </si>
  <si>
    <t>196469870312</t>
  </si>
  <si>
    <t>B0BNWHSHDQ</t>
  </si>
  <si>
    <t>37212099</t>
  </si>
  <si>
    <t>6068798</t>
  </si>
  <si>
    <t>adidas Women's Essentials Jacquard Skort, White, X-Small</t>
  </si>
  <si>
    <t>196469870268</t>
  </si>
  <si>
    <t>B0BNWH31QS</t>
  </si>
  <si>
    <t>37212100</t>
  </si>
  <si>
    <t>adidas Women's Essentials Jacquard Skort, White, Small</t>
  </si>
  <si>
    <t>196469870237</t>
  </si>
  <si>
    <t>B0BNWHFXFJ</t>
  </si>
  <si>
    <t>37212101</t>
  </si>
  <si>
    <t>adidas Women's Essentials Jacquard Skort, White, Medium</t>
  </si>
  <si>
    <t>196469870329</t>
  </si>
  <si>
    <t>B0BNWGW4G8</t>
  </si>
  <si>
    <t>37212102</t>
  </si>
  <si>
    <t>adidas Women's Essentials Jacquard Skort, White, Large</t>
  </si>
  <si>
    <t>196469870367</t>
  </si>
  <si>
    <t>B0BNWGVB7C</t>
  </si>
  <si>
    <t>37212103</t>
  </si>
  <si>
    <t>adidas Women's Essentials Jacquard Skort, White, X-Large</t>
  </si>
  <si>
    <t>195979421038</t>
  </si>
  <si>
    <t>B0BKR1FS23</t>
  </si>
  <si>
    <t>78982342</t>
  </si>
  <si>
    <t>6933219</t>
  </si>
  <si>
    <t>Columbia Women's Holly Hideaway Waffle Shirt Jacket, Camel Brown, 1X Plus</t>
  </si>
  <si>
    <t>2052522</t>
  </si>
  <si>
    <t>195979420840</t>
  </si>
  <si>
    <t>B0BKR1QSZL</t>
  </si>
  <si>
    <t>78982336</t>
  </si>
  <si>
    <t>Columbia Women's Holly Hideaway Waffle Shirt Jacket, Dark Stone, 1X Plus</t>
  </si>
  <si>
    <t>195861997993</t>
  </si>
  <si>
    <t>B0CL5S6SQS</t>
  </si>
  <si>
    <t>56074301</t>
  </si>
  <si>
    <t>6045635</t>
  </si>
  <si>
    <t>Carter's Baby Boys 3 Piece Little Jacket Set (Brown/Red/Multi, Newborn)</t>
  </si>
  <si>
    <t>Brown/Red/Multi</t>
  </si>
  <si>
    <t>196739155941</t>
  </si>
  <si>
    <t>B0CH6FCQHN</t>
  </si>
  <si>
    <t>49598800</t>
  </si>
  <si>
    <t>6125525</t>
  </si>
  <si>
    <t>Champion Cozy Shearling Vest Black SM</t>
  </si>
  <si>
    <t>V90227586C8B003</t>
  </si>
  <si>
    <t>196739155958</t>
  </si>
  <si>
    <t>B0CH6GWFV9</t>
  </si>
  <si>
    <t>49598801</t>
  </si>
  <si>
    <t>Champion Cozy Shearling Vest Black MD</t>
  </si>
  <si>
    <t>196739155965</t>
  </si>
  <si>
    <t>B0CH6F2VK9</t>
  </si>
  <si>
    <t>49598802</t>
  </si>
  <si>
    <t>Champion Cozy Shearling Vest Black LG</t>
  </si>
  <si>
    <t>196739155972</t>
  </si>
  <si>
    <t>B0CH6J1BRM</t>
  </si>
  <si>
    <t>49598803</t>
  </si>
  <si>
    <t>Champion Cozy Shearling Vest Black XL</t>
  </si>
  <si>
    <t>196524432042</t>
  </si>
  <si>
    <t>B0B1KF7KP7</t>
  </si>
  <si>
    <t>45944206</t>
  </si>
  <si>
    <t>5841813</t>
  </si>
  <si>
    <t>Levi's Men's Classic 1 Pocket Long Sleeve Button Up Shirt, (New) Emil Stripe Mauveglow Stripe, Small</t>
  </si>
  <si>
    <t>85748-0180</t>
  </si>
  <si>
    <t>(New) Emil Stripe Mauveglow Stripe</t>
  </si>
  <si>
    <t>196524437788</t>
  </si>
  <si>
    <t>B0B1KGXHJ5</t>
  </si>
  <si>
    <t>83402101</t>
  </si>
  <si>
    <t>Levi's Men's Classic 1 Pocket Long Sleeve Button Up Shirt, (New) Rooibos Tea, Small</t>
  </si>
  <si>
    <t>85748-0175</t>
  </si>
  <si>
    <t>(New) Rooibos Tea</t>
  </si>
  <si>
    <t>196524263820</t>
  </si>
  <si>
    <t>B0B1JSNBTK</t>
  </si>
  <si>
    <t>83402102</t>
  </si>
  <si>
    <t>Levi's Men's Classic 1 Pocket Long Sleeve Button Up Shirt, (New) Rooibos Tea, Medium</t>
  </si>
  <si>
    <t>196524437795</t>
  </si>
  <si>
    <t>B0B1K95YK8</t>
  </si>
  <si>
    <t>83402103</t>
  </si>
  <si>
    <t>Levi's Men's Classic 1 Pocket Long Sleeve Button Up Shirt, (New) Rooibos Tea, Large</t>
  </si>
  <si>
    <t>825663858931</t>
  </si>
  <si>
    <t>B0B293P4FK</t>
  </si>
  <si>
    <t>30100068</t>
  </si>
  <si>
    <t>5725696</t>
  </si>
  <si>
    <t>Hurley Boy's Long Sleeve Graphic T-Shirt (Big Kids) Charcoal Heather MD (10/12 Big Kid)</t>
  </si>
  <si>
    <t>985038</t>
  </si>
  <si>
    <t>Charcoal Heather</t>
  </si>
  <si>
    <t>825663858948</t>
  </si>
  <si>
    <t>B0B293KSRX</t>
  </si>
  <si>
    <t>30100069</t>
  </si>
  <si>
    <t>Hurley Boy's Long Sleeve Graphic T-Shirt (Big Kids) Charcoal Heather LG (14/16 Big Kid)</t>
  </si>
  <si>
    <t>843401046020</t>
  </si>
  <si>
    <t>B0CWPQ3DLZ</t>
  </si>
  <si>
    <t>29246659</t>
  </si>
  <si>
    <t>6226076</t>
  </si>
  <si>
    <t>Alder Creek Gift Baskets Easter Sweets N' Treats Pail</t>
  </si>
  <si>
    <t>694414360005</t>
  </si>
  <si>
    <t>B00VFLPERC</t>
  </si>
  <si>
    <t>85211751</t>
  </si>
  <si>
    <t>6689900</t>
  </si>
  <si>
    <t>Levi's Women's Cotton Four Pocket Hooded Field Jacket, black, S</t>
  </si>
  <si>
    <t>LW5RC337</t>
  </si>
  <si>
    <t>886144755460</t>
  </si>
  <si>
    <t>B09NMK2JXX</t>
  </si>
  <si>
    <t>83490079</t>
  </si>
  <si>
    <t>5704049</t>
  </si>
  <si>
    <t>Seriously Super Sized 24-inch Stuffed Sushi Food Plushie, Supersize Food Plush, Sushi Pillow, Kids Toys for Ages 3 Up by Just Play</t>
  </si>
  <si>
    <t>75546</t>
  </si>
  <si>
    <t>195862115723</t>
  </si>
  <si>
    <t>B0CL5CWFCT</t>
  </si>
  <si>
    <t>65222706</t>
  </si>
  <si>
    <t>6185465</t>
  </si>
  <si>
    <t>Carter's Baby Girls' 3 Piece Vest Little Jacket Set (Heart/Multi, Newborn)</t>
  </si>
  <si>
    <t>195862115686</t>
  </si>
  <si>
    <t>B0CL5DGHGZ</t>
  </si>
  <si>
    <t>65222707</t>
  </si>
  <si>
    <t>Carter's Baby Girls' 3 Piece Vest Little Jacket Set (Heart/Multi, 3 Months)</t>
  </si>
  <si>
    <t>Heart/Multi</t>
  </si>
  <si>
    <t>195862115709</t>
  </si>
  <si>
    <t>B0CL5DL141</t>
  </si>
  <si>
    <t>65222709</t>
  </si>
  <si>
    <t>Carter's Baby Girls' 3 Piece Vest Little Jacket Set (Heart/Multi, 9 Months)</t>
  </si>
  <si>
    <t>887863176574</t>
  </si>
  <si>
    <t>B07J57VWRY</t>
  </si>
  <si>
    <t>29276897</t>
  </si>
  <si>
    <t>5747977</t>
  </si>
  <si>
    <t>Collocation-Online Vibrators 7 Speed Powerful Silicone Vibrator for Women Sex Toys Waterproof G Spot Massager USB Rechargeable Clitoris Stimulator Purple,Purple</t>
  </si>
  <si>
    <t>887863176598</t>
  </si>
  <si>
    <t>B07J4VDRW3</t>
  </si>
  <si>
    <t>29276899</t>
  </si>
  <si>
    <t>Sound Vibrators Women 2 Types G-spot Waterproof 30 Mode Vibrating &amp; Dual Vibe Sex Vibrator Erotic Sex Toys Adult Product for Women ZD0110/ZD0108 Spy,Spy,Rechargeable Rabbit G-spot</t>
  </si>
  <si>
    <t>195979455828</t>
  </si>
  <si>
    <t>B0BKQYSG91</t>
  </si>
  <si>
    <t>55628816</t>
  </si>
  <si>
    <t>6076486</t>
  </si>
  <si>
    <t>Columbia Women's West Bend 1/4 Zip Pullover, Stone Green Serendipity Stripe, 1X Plus</t>
  </si>
  <si>
    <t>2051824</t>
  </si>
  <si>
    <t>195979451288</t>
  </si>
  <si>
    <t>B0BKR25PNW</t>
  </si>
  <si>
    <t>55628806</t>
  </si>
  <si>
    <t>Columbia Women's West Bend 1/4 Zip Pullover, Black/Black, 1X Plus</t>
  </si>
  <si>
    <t>Black/Black</t>
  </si>
  <si>
    <t>195979452681</t>
  </si>
  <si>
    <t>B0BKR1Y184</t>
  </si>
  <si>
    <t>55628809</t>
  </si>
  <si>
    <t>Columbia Women's West Bend 1/4 Zip Pullover, Chalk Checkered Peaks/Chalk, 1X Plus</t>
  </si>
  <si>
    <t>195979455774</t>
  </si>
  <si>
    <t>B0BKR112RQ</t>
  </si>
  <si>
    <t>55628819</t>
  </si>
  <si>
    <t>Columbia Women's West Bend 1/4 Zip Pullover, Sea Salt Skyscape/Sea Salt, 1X Plus</t>
  </si>
  <si>
    <t>195979451448</t>
  </si>
  <si>
    <t>B0BKR1V4DP</t>
  </si>
  <si>
    <t>55628813</t>
  </si>
  <si>
    <t>Columbia Women's West Bend 1/4 Zip Pullover, Red Lily Checkered Peaks/Chalk, 1X Plus</t>
  </si>
  <si>
    <t>195979451295</t>
  </si>
  <si>
    <t>B0BKR4D3Q9</t>
  </si>
  <si>
    <t>55628807</t>
  </si>
  <si>
    <t>Columbia Women's West Bend 1/4 Zip Pullover, Black/Black, 2X Plus</t>
  </si>
  <si>
    <t>195979455804</t>
  </si>
  <si>
    <t>B0BKQYW737</t>
  </si>
  <si>
    <t>55628817</t>
  </si>
  <si>
    <t>Columbia Women's West Bend 1/4 Zip Pullover, Stone Green Serendipity Stripe, 2X Plus</t>
  </si>
  <si>
    <t>195979452667</t>
  </si>
  <si>
    <t>B0BKQY719Z</t>
  </si>
  <si>
    <t>55628810</t>
  </si>
  <si>
    <t>Columbia Women's West Bend 1/4 Zip Pullover, Chalk Checkered Peaks/Chalk, 2X Plus</t>
  </si>
  <si>
    <t>195979455781</t>
  </si>
  <si>
    <t>B0BKQYJKSY</t>
  </si>
  <si>
    <t>55628820</t>
  </si>
  <si>
    <t>Columbia Women's West Bend 1/4 Zip Pullover, Sea Salt Skyscape/Sea Salt, 2X Plus</t>
  </si>
  <si>
    <t>195979451431</t>
  </si>
  <si>
    <t>B0BKR26JHH</t>
  </si>
  <si>
    <t>55628814</t>
  </si>
  <si>
    <t>Columbia Women's West Bend 1/4 Zip Pullover, Red Lily Checkered Peaks/Chalk, 2X Plus</t>
  </si>
  <si>
    <t>195979451455</t>
  </si>
  <si>
    <t>B0BKR1HS6X</t>
  </si>
  <si>
    <t>55628815</t>
  </si>
  <si>
    <t>Columbia Women's West Bend 1/4 Zip Pullover, Red Lily Checkered Peaks/Chalk, 3X Plus</t>
  </si>
  <si>
    <t>195979455811</t>
  </si>
  <si>
    <t>B0BKQXZWGK</t>
  </si>
  <si>
    <t>55628818</t>
  </si>
  <si>
    <t>Columbia Women's West Bend 1/4 Zip Pullover, Stone Green Serendipity Stripe, 3X Plus</t>
  </si>
  <si>
    <t>195979451271</t>
  </si>
  <si>
    <t>B0BKR3RSGM</t>
  </si>
  <si>
    <t>55628808</t>
  </si>
  <si>
    <t>Columbia Women's West Bend 1/4 Zip Pullover, Black/Black, 3X Plus</t>
  </si>
  <si>
    <t>195979452674</t>
  </si>
  <si>
    <t>B0BKR1VD8C</t>
  </si>
  <si>
    <t>55628812</t>
  </si>
  <si>
    <t>Columbia Women's West Bend 1/4 Zip Pullover, Chalk Checkered Peaks/Chalk, 3X Plus</t>
  </si>
  <si>
    <t>195979455798</t>
  </si>
  <si>
    <t>B0BKR29HVQ</t>
  </si>
  <si>
    <t>55628822</t>
  </si>
  <si>
    <t>Columbia Women's West Bend 1/4 Zip Pullover, Sea Salt Skyscape/Sea Salt, 3X Plus</t>
  </si>
  <si>
    <t>196524462964</t>
  </si>
  <si>
    <t>B0B1JN35HD</t>
  </si>
  <si>
    <t>44109411</t>
  </si>
  <si>
    <t>5841812</t>
  </si>
  <si>
    <t>Levi's Men's Classic 1 Pocket Short Sleeve Button Up Shirt (Also Available in Big), (New) Mini Geo Dark Shadow Print, Small</t>
  </si>
  <si>
    <t>86627-0137</t>
  </si>
  <si>
    <t>(New) Mini Geo Dark Shadow Print</t>
  </si>
  <si>
    <t>196524462551</t>
  </si>
  <si>
    <t>B0B1JSPGP9</t>
  </si>
  <si>
    <t>76767011</t>
  </si>
  <si>
    <t>Levi's Men's Classic 1 Pocket Short Sleeve Button Up Shirt (Also Available in Big), (New) Francis Floral Bright White Print, Small</t>
  </si>
  <si>
    <t>86627-0131</t>
  </si>
  <si>
    <t>(New) Francis Floral Bright White Print</t>
  </si>
  <si>
    <t>196524581092</t>
  </si>
  <si>
    <t>B0B1JQYYSP</t>
  </si>
  <si>
    <t>83465657</t>
  </si>
  <si>
    <t>Levi's Men's Classic 1 Pocket Short Sleeve Button Up Shirt (Also Available in Big), (New) Deja Vu Blue, Small</t>
  </si>
  <si>
    <t>86627-0145</t>
  </si>
  <si>
    <t>(New) Deja Vu Blue</t>
  </si>
  <si>
    <t>196524462353</t>
  </si>
  <si>
    <t>B0BTBVZ76Q</t>
  </si>
  <si>
    <t>78685635</t>
  </si>
  <si>
    <t>Levi's® Short Sleeve Classic One-Pocket Standard Xavier Gingham Lichen Blue SM</t>
  </si>
  <si>
    <t>866270141-400</t>
  </si>
  <si>
    <t>Xavier Gingham Lichen Blue</t>
  </si>
  <si>
    <t>196524462407</t>
  </si>
  <si>
    <t>B0BTBSL2YS</t>
  </si>
  <si>
    <t>29295408</t>
  </si>
  <si>
    <t>Levi's® Short Sleeve Classic One-Pocket Standard Ditzy Loden Green SM</t>
  </si>
  <si>
    <t>866270138-300</t>
  </si>
  <si>
    <t>Ditzy Loden Green</t>
  </si>
  <si>
    <t>825663528742</t>
  </si>
  <si>
    <t>B0B15LN4BZ</t>
  </si>
  <si>
    <t>80721404</t>
  </si>
  <si>
    <t>5661720</t>
  </si>
  <si>
    <t>Hurley Boys' One and Only Pullover Hoodie, Multi Tie Dye, 4</t>
  </si>
  <si>
    <t>885992-E69</t>
  </si>
  <si>
    <t>Multi Tie Dye</t>
  </si>
  <si>
    <t>825663528827</t>
  </si>
  <si>
    <t>B0B15KG32R</t>
  </si>
  <si>
    <t>59201087</t>
  </si>
  <si>
    <t>Hurley Boy's Tie-Dye Pullover Hoodie (Little Kids) Black 4 Little Kid</t>
  </si>
  <si>
    <t>885992-023</t>
  </si>
  <si>
    <t>Black Tie Dye</t>
  </si>
  <si>
    <t>825663528759</t>
  </si>
  <si>
    <t>B0B15NMYXV</t>
  </si>
  <si>
    <t>80721405</t>
  </si>
  <si>
    <t>Hurley Boys' One and Only Pullover Hoodie, Multi Tie Dye, 5</t>
  </si>
  <si>
    <t>825663528766</t>
  </si>
  <si>
    <t>B0B15NC2P8</t>
  </si>
  <si>
    <t>80721406</t>
  </si>
  <si>
    <t>Hurley Boys' One and Only Pullover Hoodie, Multi Tie Dye, 6</t>
  </si>
  <si>
    <t>196570469078</t>
  </si>
  <si>
    <t>B0CFB9JRKJ</t>
  </si>
  <si>
    <t>54587537</t>
  </si>
  <si>
    <t>5734792</t>
  </si>
  <si>
    <t>Vans Men's Ward Sneaker, Red Side Print, 11</t>
  </si>
  <si>
    <t>098087807568</t>
  </si>
  <si>
    <t>B06ZZ689KJ</t>
  </si>
  <si>
    <t>72568298</t>
  </si>
  <si>
    <t>6861705</t>
  </si>
  <si>
    <t>Ribbed Cross Pendant Necklace in 10K Gold on Gold-Filled Chain</t>
  </si>
  <si>
    <t>TRK014219Y18</t>
  </si>
  <si>
    <t>Gold</t>
  </si>
  <si>
    <t>196739116065</t>
  </si>
  <si>
    <t>B0CZ56R328</t>
  </si>
  <si>
    <t>81937618</t>
  </si>
  <si>
    <t>6007053</t>
  </si>
  <si>
    <t>Champion Big Boys Short-Sleeves Crewneck T-Shirt (Hyperwash Camo) (US, Numeric, 18, 20, Regular, Green Hyperwash Camo)</t>
  </si>
  <si>
    <t>196524312276</t>
  </si>
  <si>
    <t>B0B1KNJLLM</t>
  </si>
  <si>
    <t>74403482</t>
  </si>
  <si>
    <t>6721293</t>
  </si>
  <si>
    <t>Levi's Men's Xx Standard Tapered Chino Pants (Also Available in Big &amp; Tall), (New) Orin Gingham Pewter Plaid, 29W x 32L</t>
  </si>
  <si>
    <t>85226-0158</t>
  </si>
  <si>
    <t>(New) Orin Gingham Pewter Plaid</t>
  </si>
  <si>
    <t>196524312337</t>
  </si>
  <si>
    <t>B0B1KWN74T</t>
  </si>
  <si>
    <t>74403490</t>
  </si>
  <si>
    <t>Levi's Men's Xx Standard Tapered Chino Pants (Also Available in Big &amp; Tall), (New) Orin Gingham Pewter Plaid, 30W x 32L</t>
  </si>
  <si>
    <t>196524312399</t>
  </si>
  <si>
    <t>B0B1KH7N4N</t>
  </si>
  <si>
    <t>74403492</t>
  </si>
  <si>
    <t>Levi's Men's Xx Standard Tapered Chino Pants (Also Available in Big &amp; Tall), (New) Orin Gingham Pewter Plaid, 31W x 32L</t>
  </si>
  <si>
    <t>196524998609</t>
  </si>
  <si>
    <t>B0B1KLXZ2Z</t>
  </si>
  <si>
    <t>74403501</t>
  </si>
  <si>
    <t>Levi's Men's Xx Standard Tapered Chino Pants (Also Available in Big &amp; Tall), (New) Orin Gingham Pewter Plaid, 32W x 32L</t>
  </si>
  <si>
    <t>196524312474</t>
  </si>
  <si>
    <t>B0B1K9S5R6</t>
  </si>
  <si>
    <t>74403502</t>
  </si>
  <si>
    <t>Levi's Men's Xx Standard Tapered Chino Pants (Also Available in Big &amp; Tall), (New) Orin Gingham Pewter Plaid, 32W x 34L</t>
  </si>
  <si>
    <t>196524312542</t>
  </si>
  <si>
    <t>B0B1KCX42T</t>
  </si>
  <si>
    <t>74403511</t>
  </si>
  <si>
    <t>Levi's Men's Xx Standard Tapered Chino Pants (Also Available in Big &amp; Tall), (New) Orin Gingham Pewter Plaid, 33W x 34L</t>
  </si>
  <si>
    <t>196524312597</t>
  </si>
  <si>
    <t>B0B1KY9BWB</t>
  </si>
  <si>
    <t>74403520</t>
  </si>
  <si>
    <t>Levi's Men's Xx Standard Tapered Chino Pants (Also Available in Big &amp; Tall), (New) Orin Gingham Pewter Plaid, 34W x 32L</t>
  </si>
  <si>
    <t>196524312610</t>
  </si>
  <si>
    <t>B0B1KSGSZ3</t>
  </si>
  <si>
    <t>74403521</t>
  </si>
  <si>
    <t>Levi's Men's Xx Standard Tapered Chino Pants (Also Available in Big &amp; Tall), (New) Orin Gingham Pewter Plaid, 34W x 34L</t>
  </si>
  <si>
    <t>196524312689</t>
  </si>
  <si>
    <t>B0B1KT4BPL</t>
  </si>
  <si>
    <t>74403530</t>
  </si>
  <si>
    <t>Levi's Men's Xx Standard Tapered Chino Pants (Also Available in Big &amp; Tall), (New) Orin Gingham Pewter Plaid, 36W x 32L</t>
  </si>
  <si>
    <t>196524312726</t>
  </si>
  <si>
    <t>B0B1KCTKYZ</t>
  </si>
  <si>
    <t>74403532</t>
  </si>
  <si>
    <t>Levi's Men's Xx Standard Tapered Chino Pants (Also Available in Big &amp; Tall), (New) Orin Gingham Pewter Plaid, 38W x 30L</t>
  </si>
  <si>
    <t>742797978192</t>
  </si>
  <si>
    <t>B0CF2JMM9Y</t>
  </si>
  <si>
    <t>65512385</t>
  </si>
  <si>
    <t>6337551</t>
  </si>
  <si>
    <t>Fisher-Price for Pets Attack-A-Stack Chase &amp; Toss Toy | Ring Stack Toy for Dogs, Multifunctional Toys, Developmental Toys for Dogs and Puppies | Mental Stimulation Toys for Dogs</t>
  </si>
  <si>
    <t>FF23289</t>
  </si>
  <si>
    <t>Attack-A-Stack Toy</t>
  </si>
  <si>
    <t>195932277702</t>
  </si>
  <si>
    <t>B0CZ4HZRK2</t>
  </si>
  <si>
    <t>69075458</t>
  </si>
  <si>
    <t>6319720</t>
  </si>
  <si>
    <t>Disney Nightmare Before Christmas Pullover Sweatshirt - Big Girl Sizes 7-16 Black</t>
  </si>
  <si>
    <t>810104240987</t>
  </si>
  <si>
    <t>B09SB3RH1D</t>
  </si>
  <si>
    <t>82048864</t>
  </si>
  <si>
    <t>6890836</t>
  </si>
  <si>
    <t>Blueberry Pet Essentials Matching Small Dog Harness | Adjustable Classic Solid Nylon No Pull Harness for Dogs | Easy Walk Dog Harness for Small Dogs &amp; Step in Dog Harness|Orange Vermilion Dog Harness</t>
  </si>
  <si>
    <t>EBPDHRNS00007OR0S</t>
  </si>
  <si>
    <t>810104241168</t>
  </si>
  <si>
    <t>B09SBLFX7J</t>
  </si>
  <si>
    <t>65495306</t>
  </si>
  <si>
    <t>Blueberry Pet Essentials Matching Small Dog Harness | Adjustable Classic Solid Nylon No Pull Harness for Dogs | Easy Walk Dog Harness for Small Dogs &amp; Step in Dog Harness | Verdant Green Dog Harness</t>
  </si>
  <si>
    <t>EBPDHRNS00007GR0S</t>
  </si>
  <si>
    <t>810104240994</t>
  </si>
  <si>
    <t>B09S9YHC13</t>
  </si>
  <si>
    <t>74881501</t>
  </si>
  <si>
    <t>Blueberry Pet Essentials Matching Medium Dog Harness | Adjustable Classic Solid Nylon No Pull Harness for Dogs |Easy Walk Dog Harness for Medium Dogs &amp; Step In Dog Harness|Orange Vermilion Dog Harness</t>
  </si>
  <si>
    <t>EBPDHRNS00007OR0M</t>
  </si>
  <si>
    <t>810104241175</t>
  </si>
  <si>
    <t>B09S9YJ6X5</t>
  </si>
  <si>
    <t>80107248</t>
  </si>
  <si>
    <t>Blueberry Pet Essentials Matching Medium Dog Harness | Adjustable Classic Solid Nylon No Pull Harness for Dogs | Easy Walk Dog Harness for Medium Dogs &amp; Step in Dog Harness |Verdant Green Dog Harness</t>
  </si>
  <si>
    <t>EBPDHRNS00007GR0M</t>
  </si>
  <si>
    <t>810104241182</t>
  </si>
  <si>
    <t>B09SB6M2WX</t>
  </si>
  <si>
    <t>83360132</t>
  </si>
  <si>
    <t>Blueberry Pet Essentials Matching Large Dog Harness | Adjustable Classic Solid Nylon No Pull Harness for Dogs | Easy Walk Dog Harness for Large Dogs &amp; Step in Dog Harness | Verdant Green Dog Harness</t>
  </si>
  <si>
    <t>EBPDHRNS00007GR0L</t>
  </si>
  <si>
    <t>810104241007</t>
  </si>
  <si>
    <t>B09S9LKB4R</t>
  </si>
  <si>
    <t>83046390</t>
  </si>
  <si>
    <t>Blueberry Pet Essentials Matching Large Dog Harness | Adjustable Classic Solid Nylon No Pull Harness for Dogs | Easy Walk Dog Harness for Large Dogs &amp; Step in Dog Harness|Orange Vermilion Dog Harness</t>
  </si>
  <si>
    <t>EBPDHRNS00007OR0L</t>
  </si>
  <si>
    <t>lowestApplicablePrice</t>
  </si>
  <si>
    <t>Sku</t>
  </si>
  <si>
    <t>Quantity</t>
  </si>
  <si>
    <t>webID</t>
  </si>
  <si>
    <t>Brand</t>
  </si>
  <si>
    <t>Size</t>
  </si>
  <si>
    <t>400703693873</t>
  </si>
  <si>
    <t>70369387</t>
  </si>
  <si>
    <t>277</t>
  </si>
  <si>
    <t>6824213</t>
  </si>
  <si>
    <t>"In Stock"</t>
  </si>
  <si>
    <t>Men's Sonoma Goods For Life® Thermal Crewneck Tee</t>
  </si>
  <si>
    <t>Sonoma Goods For Life</t>
  </si>
  <si>
    <t>S</t>
  </si>
  <si>
    <t>400629237939</t>
  </si>
  <si>
    <t>62923793</t>
  </si>
  <si>
    <t>Navy Per Sample</t>
  </si>
  <si>
    <t>400629237601</t>
  </si>
  <si>
    <t>62923760</t>
  </si>
  <si>
    <t>Swiss Brown</t>
  </si>
  <si>
    <t>400629237724</t>
  </si>
  <si>
    <t>62923772</t>
  </si>
  <si>
    <t>1326</t>
  </si>
  <si>
    <t>Silver Spirit</t>
  </si>
  <si>
    <t>M</t>
  </si>
  <si>
    <t>400629237830</t>
  </si>
  <si>
    <t>62923783</t>
  </si>
  <si>
    <t>1028</t>
  </si>
  <si>
    <t>Midnight Black</t>
  </si>
  <si>
    <t>400703693880</t>
  </si>
  <si>
    <t>70369388</t>
  </si>
  <si>
    <t>1272</t>
  </si>
  <si>
    <t>400629237618</t>
  </si>
  <si>
    <t>62923761</t>
  </si>
  <si>
    <t>1128</t>
  </si>
  <si>
    <t>400629238004</t>
  </si>
  <si>
    <t>62923800</t>
  </si>
  <si>
    <t>341</t>
  </si>
  <si>
    <t>400629237731</t>
  </si>
  <si>
    <t>62923773</t>
  </si>
  <si>
    <t>2237</t>
  </si>
  <si>
    <t>L</t>
  </si>
  <si>
    <t>400703693897</t>
  </si>
  <si>
    <t>70369389</t>
  </si>
  <si>
    <t>1595</t>
  </si>
  <si>
    <t>400629237625</t>
  </si>
  <si>
    <t>62923762</t>
  </si>
  <si>
    <t>923</t>
  </si>
  <si>
    <t>400703693903</t>
  </si>
  <si>
    <t>70369390</t>
  </si>
  <si>
    <t>522</t>
  </si>
  <si>
    <t>XL</t>
  </si>
  <si>
    <t>400629237809</t>
  </si>
  <si>
    <t>62923780</t>
  </si>
  <si>
    <t>1685</t>
  </si>
  <si>
    <t>400703693910</t>
  </si>
  <si>
    <t>70369391</t>
  </si>
  <si>
    <t>XXL</t>
  </si>
  <si>
    <t>400629237816</t>
  </si>
  <si>
    <t>62923781</t>
  </si>
  <si>
    <t>727</t>
  </si>
  <si>
    <t>400764488470</t>
  </si>
  <si>
    <t>76448847</t>
  </si>
  <si>
    <t>810</t>
  </si>
  <si>
    <t>6824218</t>
  </si>
  <si>
    <t>Men's Sonoma Goods For Life® Flannel Button-Down Shirt</t>
  </si>
  <si>
    <t>Blue Pink Plaid</t>
  </si>
  <si>
    <t>400764488524</t>
  </si>
  <si>
    <t>76448852</t>
  </si>
  <si>
    <t>410</t>
  </si>
  <si>
    <t>Navy Olive Pink Plaid</t>
  </si>
  <si>
    <t>400768544875</t>
  </si>
  <si>
    <t>76854487</t>
  </si>
  <si>
    <t>231</t>
  </si>
  <si>
    <t>Oat Heather</t>
  </si>
  <si>
    <t>400764488364</t>
  </si>
  <si>
    <t>76448836</t>
  </si>
  <si>
    <t>Muted Purple</t>
  </si>
  <si>
    <t>400764488418</t>
  </si>
  <si>
    <t>76448841</t>
  </si>
  <si>
    <t>634</t>
  </si>
  <si>
    <t>Pink Pop Olive Plaid</t>
  </si>
  <si>
    <t>400193418536</t>
  </si>
  <si>
    <t>19341853</t>
  </si>
  <si>
    <t>968</t>
  </si>
  <si>
    <t>Navy Heather Plaid</t>
  </si>
  <si>
    <t>400714626242</t>
  </si>
  <si>
    <t>71462624</t>
  </si>
  <si>
    <t>1019</t>
  </si>
  <si>
    <t>Navy Escape</t>
  </si>
  <si>
    <t>400764488586</t>
  </si>
  <si>
    <t>76448858</t>
  </si>
  <si>
    <t>512</t>
  </si>
  <si>
    <t>Red Navy Plaid</t>
  </si>
  <si>
    <t>400714626198</t>
  </si>
  <si>
    <t>71462619</t>
  </si>
  <si>
    <t>Olive Solid</t>
  </si>
  <si>
    <t>400714626143</t>
  </si>
  <si>
    <t>71462614</t>
  </si>
  <si>
    <t>955</t>
  </si>
  <si>
    <t>Carbon Copy</t>
  </si>
  <si>
    <t>400764488081</t>
  </si>
  <si>
    <t>76448808</t>
  </si>
  <si>
    <t>Oversized Olive Plaid</t>
  </si>
  <si>
    <t>400764488258</t>
  </si>
  <si>
    <t>76448825</t>
  </si>
  <si>
    <t>Blue Ivory Plaid</t>
  </si>
  <si>
    <t>400292642993</t>
  </si>
  <si>
    <t>29264299</t>
  </si>
  <si>
    <t>537</t>
  </si>
  <si>
    <t>Teal Yellow Plaid</t>
  </si>
  <si>
    <t>400764488302</t>
  </si>
  <si>
    <t>76448830</t>
  </si>
  <si>
    <t>728</t>
  </si>
  <si>
    <t>Buffalo Black Red</t>
  </si>
  <si>
    <t>400764488197</t>
  </si>
  <si>
    <t>76448819</t>
  </si>
  <si>
    <t>617</t>
  </si>
  <si>
    <t>Buffalo Beige Red</t>
  </si>
  <si>
    <t>400764488142</t>
  </si>
  <si>
    <t>76448814</t>
  </si>
  <si>
    <t>624</t>
  </si>
  <si>
    <t>Orange Pop Plaid</t>
  </si>
  <si>
    <t>400203076299</t>
  </si>
  <si>
    <t>20307629</t>
  </si>
  <si>
    <t>758</t>
  </si>
  <si>
    <t>Black Jaspe Buffalo</t>
  </si>
  <si>
    <t>400292642894</t>
  </si>
  <si>
    <t>29264289</t>
  </si>
  <si>
    <t>Ivory Black Plaid</t>
  </si>
  <si>
    <t>400787929509</t>
  </si>
  <si>
    <t>78792950</t>
  </si>
  <si>
    <t>683</t>
  </si>
  <si>
    <t>Heather Buffalo Blue</t>
  </si>
  <si>
    <t>400787929554</t>
  </si>
  <si>
    <t>78792955</t>
  </si>
  <si>
    <t>622</t>
  </si>
  <si>
    <t>Oat Navy Heather</t>
  </si>
  <si>
    <t>400764488487</t>
  </si>
  <si>
    <t>76448848</t>
  </si>
  <si>
    <t>1436</t>
  </si>
  <si>
    <t>400764488548</t>
  </si>
  <si>
    <t>76448854</t>
  </si>
  <si>
    <t>723</t>
  </si>
  <si>
    <t>400768544882</t>
  </si>
  <si>
    <t>76854488</t>
  </si>
  <si>
    <t>489</t>
  </si>
  <si>
    <t>400764488371</t>
  </si>
  <si>
    <t>76448837</t>
  </si>
  <si>
    <t>400764488425</t>
  </si>
  <si>
    <t>76448842</t>
  </si>
  <si>
    <t>1290</t>
  </si>
  <si>
    <t>400193418543</t>
  </si>
  <si>
    <t>19341854</t>
  </si>
  <si>
    <t>1748</t>
  </si>
  <si>
    <t>400714626259</t>
  </si>
  <si>
    <t>71462625</t>
  </si>
  <si>
    <t>2118</t>
  </si>
  <si>
    <t>400764488593</t>
  </si>
  <si>
    <t>76448859</t>
  </si>
  <si>
    <t>400714626150</t>
  </si>
  <si>
    <t>71462615</t>
  </si>
  <si>
    <t>1879</t>
  </si>
  <si>
    <t>400292643006</t>
  </si>
  <si>
    <t>29264300</t>
  </si>
  <si>
    <t>400764488319</t>
  </si>
  <si>
    <t>76448831</t>
  </si>
  <si>
    <t>2125</t>
  </si>
  <si>
    <t>400764488159</t>
  </si>
  <si>
    <t>76448815</t>
  </si>
  <si>
    <t>999</t>
  </si>
  <si>
    <t>400787929516</t>
  </si>
  <si>
    <t>78792951</t>
  </si>
  <si>
    <t>1087</t>
  </si>
  <si>
    <t>400764488203</t>
  </si>
  <si>
    <t>76448820</t>
  </si>
  <si>
    <t>1634</t>
  </si>
  <si>
    <t>400787929561</t>
  </si>
  <si>
    <t>78792956</t>
  </si>
  <si>
    <t>501</t>
  </si>
  <si>
    <t>400203076305</t>
  </si>
  <si>
    <t>20307630</t>
  </si>
  <si>
    <t>1124</t>
  </si>
  <si>
    <t>400764488494</t>
  </si>
  <si>
    <t>76448849</t>
  </si>
  <si>
    <t>1494</t>
  </si>
  <si>
    <t>400764488555</t>
  </si>
  <si>
    <t>76448855</t>
  </si>
  <si>
    <t>192</t>
  </si>
  <si>
    <t>400768544899</t>
  </si>
  <si>
    <t>76854489</t>
  </si>
  <si>
    <t>400764488388</t>
  </si>
  <si>
    <t>76448838</t>
  </si>
  <si>
    <t>400764488449</t>
  </si>
  <si>
    <t>76448844</t>
  </si>
  <si>
    <t>987</t>
  </si>
  <si>
    <t>400193418550</t>
  </si>
  <si>
    <t>19341855</t>
  </si>
  <si>
    <t>1068</t>
  </si>
  <si>
    <t>400714626266</t>
  </si>
  <si>
    <t>71462626</t>
  </si>
  <si>
    <t>1677</t>
  </si>
  <si>
    <t>400714626167</t>
  </si>
  <si>
    <t>71462616</t>
  </si>
  <si>
    <t>1347</t>
  </si>
  <si>
    <t>400764488609</t>
  </si>
  <si>
    <t>76448860</t>
  </si>
  <si>
    <t>994</t>
  </si>
  <si>
    <t>400764488326</t>
  </si>
  <si>
    <t>76448832</t>
  </si>
  <si>
    <t>2127</t>
  </si>
  <si>
    <t>400764488166</t>
  </si>
  <si>
    <t>76448816</t>
  </si>
  <si>
    <t>400787929523</t>
  </si>
  <si>
    <t>78792952</t>
  </si>
  <si>
    <t>400764488210</t>
  </si>
  <si>
    <t>76448821</t>
  </si>
  <si>
    <t>1830</t>
  </si>
  <si>
    <t>400764488456</t>
  </si>
  <si>
    <t>76448845</t>
  </si>
  <si>
    <t>465</t>
  </si>
  <si>
    <t>400764488500</t>
  </si>
  <si>
    <t>76448850</t>
  </si>
  <si>
    <t>757</t>
  </si>
  <si>
    <t>400764488340</t>
  </si>
  <si>
    <t>76448834</t>
  </si>
  <si>
    <t>1601</t>
  </si>
  <si>
    <t>400768544905</t>
  </si>
  <si>
    <t>76854490</t>
  </si>
  <si>
    <t>400193418567</t>
  </si>
  <si>
    <t>19341856</t>
  </si>
  <si>
    <t>400714626273</t>
  </si>
  <si>
    <t>71462627</t>
  </si>
  <si>
    <t>1230</t>
  </si>
  <si>
    <t>400714626174</t>
  </si>
  <si>
    <t>71462617</t>
  </si>
  <si>
    <t>834</t>
  </si>
  <si>
    <t>400764488616</t>
  </si>
  <si>
    <t>76448861</t>
  </si>
  <si>
    <t>498</t>
  </si>
  <si>
    <t>400764488227</t>
  </si>
  <si>
    <t>76448822</t>
  </si>
  <si>
    <t>1449</t>
  </si>
  <si>
    <t>400764488463</t>
  </si>
  <si>
    <t>76448846</t>
  </si>
  <si>
    <t>400764488517</t>
  </si>
  <si>
    <t>76448851</t>
  </si>
  <si>
    <t>717</t>
  </si>
  <si>
    <t>400764488357</t>
  </si>
  <si>
    <t>76448835</t>
  </si>
  <si>
    <t>873</t>
  </si>
  <si>
    <t>400768544912</t>
  </si>
  <si>
    <t>76854491</t>
  </si>
  <si>
    <t>400193418574</t>
  </si>
  <si>
    <t>19341857</t>
  </si>
  <si>
    <t>703</t>
  </si>
  <si>
    <t>400714626280</t>
  </si>
  <si>
    <t>71462628</t>
  </si>
  <si>
    <t>881</t>
  </si>
  <si>
    <t>400714626181</t>
  </si>
  <si>
    <t>71462618</t>
  </si>
  <si>
    <t>998</t>
  </si>
  <si>
    <t>400764488623</t>
  </si>
  <si>
    <t>76448862</t>
  </si>
  <si>
    <t>397</t>
  </si>
  <si>
    <t>400787929608</t>
  </si>
  <si>
    <t>78792960</t>
  </si>
  <si>
    <t>400764488241</t>
  </si>
  <si>
    <t>76448824</t>
  </si>
  <si>
    <t>947</t>
  </si>
  <si>
    <t>400764488180</t>
  </si>
  <si>
    <t>76448818</t>
  </si>
  <si>
    <t>198</t>
  </si>
  <si>
    <t>400787929547</t>
  </si>
  <si>
    <t>78792954</t>
  </si>
  <si>
    <t>556</t>
  </si>
  <si>
    <t>400371899850</t>
  </si>
  <si>
    <t>37189985</t>
  </si>
  <si>
    <t>5923729</t>
  </si>
  <si>
    <t>Women's Sonoma Goods For Life® Denim Jacket</t>
  </si>
  <si>
    <t>X SMALL</t>
  </si>
  <si>
    <t>400767702122</t>
  </si>
  <si>
    <t>76770212</t>
  </si>
  <si>
    <t>Light Wash</t>
  </si>
  <si>
    <t>Men's Nike Club Cargo Shorts</t>
  </si>
  <si>
    <t>Nike</t>
  </si>
  <si>
    <t>Dark Gray Heather</t>
  </si>
  <si>
    <t>194953017762</t>
  </si>
  <si>
    <t>75742815</t>
  </si>
  <si>
    <t>486</t>
  </si>
  <si>
    <t>Midnight Navy</t>
  </si>
  <si>
    <t>Men's adidas Essentials 3-Stripes Open Hem Fleece Pants</t>
  </si>
  <si>
    <t>adidas</t>
  </si>
  <si>
    <t>Medium Gray Heather</t>
  </si>
  <si>
    <t>190103588083</t>
  </si>
  <si>
    <t>46378494</t>
  </si>
  <si>
    <t>7081332</t>
  </si>
  <si>
    <t>Sonoma Goods For Life® Freer Men's Dress Shoes</t>
  </si>
  <si>
    <t>190103588113</t>
  </si>
  <si>
    <t>46378524</t>
  </si>
  <si>
    <t>196570651329</t>
  </si>
  <si>
    <t>82004511</t>
  </si>
  <si>
    <t>Vans® Filmore Hi Tapered Platform ST Women's High-Top Sneakers</t>
  </si>
  <si>
    <t>Vans</t>
  </si>
  <si>
    <t>6.5</t>
  </si>
  <si>
    <t>7.5</t>
  </si>
  <si>
    <t>8.5</t>
  </si>
  <si>
    <t>9.5</t>
  </si>
  <si>
    <t>400661328640</t>
  </si>
  <si>
    <t>66132864</t>
  </si>
  <si>
    <t>7081182</t>
  </si>
  <si>
    <t>Women's Croft &amp; Barrow® Boatneck Top</t>
  </si>
  <si>
    <t>Croft &amp; Barrow</t>
  </si>
  <si>
    <t>Black Medallion Print</t>
  </si>
  <si>
    <t>400661328862</t>
  </si>
  <si>
    <t>66132886</t>
  </si>
  <si>
    <t>Pink Medallion Print</t>
  </si>
  <si>
    <t>400661328657</t>
  </si>
  <si>
    <t>66132865</t>
  </si>
  <si>
    <t>SMALL</t>
  </si>
  <si>
    <t>400661328664</t>
  </si>
  <si>
    <t>66132866</t>
  </si>
  <si>
    <t>MEDIUM</t>
  </si>
  <si>
    <t>400661328947</t>
  </si>
  <si>
    <t>66132894</t>
  </si>
  <si>
    <t>LARGE</t>
  </si>
  <si>
    <t>400725251136</t>
  </si>
  <si>
    <t>72525113</t>
  </si>
  <si>
    <t>Venice Peri</t>
  </si>
  <si>
    <t>400661328565</t>
  </si>
  <si>
    <t>66132856</t>
  </si>
  <si>
    <t>318</t>
  </si>
  <si>
    <t>Peri White Stripe</t>
  </si>
  <si>
    <t>400661328671</t>
  </si>
  <si>
    <t>66132867</t>
  </si>
  <si>
    <t>558</t>
  </si>
  <si>
    <t>400725251143</t>
  </si>
  <si>
    <t>72525114</t>
  </si>
  <si>
    <t>383</t>
  </si>
  <si>
    <t>X LARGE</t>
  </si>
  <si>
    <t>400661328732</t>
  </si>
  <si>
    <t>66132873</t>
  </si>
  <si>
    <t>659</t>
  </si>
  <si>
    <t>400661328954</t>
  </si>
  <si>
    <t>66132895</t>
  </si>
  <si>
    <t>485</t>
  </si>
  <si>
    <t>400661328572</t>
  </si>
  <si>
    <t>66132857</t>
  </si>
  <si>
    <t>770</t>
  </si>
  <si>
    <t>400661328749</t>
  </si>
  <si>
    <t>66132874</t>
  </si>
  <si>
    <t>XX LARGE</t>
  </si>
  <si>
    <t>400661328961</t>
  </si>
  <si>
    <t>66132896</t>
  </si>
  <si>
    <t>348</t>
  </si>
  <si>
    <t>400725251150</t>
  </si>
  <si>
    <t>72525115</t>
  </si>
  <si>
    <t>400661328633</t>
  </si>
  <si>
    <t>66132863</t>
  </si>
  <si>
    <t>642</t>
  </si>
  <si>
    <t>400536948300</t>
  </si>
  <si>
    <t>53694830</t>
  </si>
  <si>
    <t>406</t>
  </si>
  <si>
    <t>7082746</t>
  </si>
  <si>
    <t>Women's Tek Gear® Core Raglan Tee</t>
  </si>
  <si>
    <t>Tek Gear</t>
  </si>
  <si>
    <t>Lime Burnout</t>
  </si>
  <si>
    <t>400820091491</t>
  </si>
  <si>
    <t>82009149</t>
  </si>
  <si>
    <t>Luminous Pink</t>
  </si>
  <si>
    <t>400536948201</t>
  </si>
  <si>
    <t>53694820</t>
  </si>
  <si>
    <t>Pink Burnout</t>
  </si>
  <si>
    <t>400536948317</t>
  </si>
  <si>
    <t>53694831</t>
  </si>
  <si>
    <t>1172</t>
  </si>
  <si>
    <t>400820091507</t>
  </si>
  <si>
    <t>82009150</t>
  </si>
  <si>
    <t>431</t>
  </si>
  <si>
    <t>400536948218</t>
  </si>
  <si>
    <t>53694821</t>
  </si>
  <si>
    <t>1132</t>
  </si>
  <si>
    <t>400820091781</t>
  </si>
  <si>
    <t>82009178</t>
  </si>
  <si>
    <t>Cora Pink</t>
  </si>
  <si>
    <t>400536948324</t>
  </si>
  <si>
    <t>53694832</t>
  </si>
  <si>
    <t>1433</t>
  </si>
  <si>
    <t>400820091514</t>
  </si>
  <si>
    <t>82009151</t>
  </si>
  <si>
    <t>400536948225</t>
  </si>
  <si>
    <t>53694822</t>
  </si>
  <si>
    <t>1616</t>
  </si>
  <si>
    <t>400820091798</t>
  </si>
  <si>
    <t>82009179</t>
  </si>
  <si>
    <t>420</t>
  </si>
  <si>
    <t>400536948331</t>
  </si>
  <si>
    <t>53694833</t>
  </si>
  <si>
    <t>1190</t>
  </si>
  <si>
    <t>400820091521</t>
  </si>
  <si>
    <t>82009152</t>
  </si>
  <si>
    <t>524</t>
  </si>
  <si>
    <t>400536948232</t>
  </si>
  <si>
    <t>53694823</t>
  </si>
  <si>
    <t>1466</t>
  </si>
  <si>
    <t>400536948386</t>
  </si>
  <si>
    <t>53694838</t>
  </si>
  <si>
    <t>400820091583</t>
  </si>
  <si>
    <t>82009158</t>
  </si>
  <si>
    <t>400820091804</t>
  </si>
  <si>
    <t>82009180</t>
  </si>
  <si>
    <t>309</t>
  </si>
  <si>
    <t>400536948287</t>
  </si>
  <si>
    <t>53694828</t>
  </si>
  <si>
    <t>308</t>
  </si>
  <si>
    <t>Men's Under Armour Rival Fleece Joggers</t>
  </si>
  <si>
    <t>Under Armour</t>
  </si>
  <si>
    <t>Castlerock Heather</t>
  </si>
  <si>
    <t>Men's Champion® Powerblend Fleece Pants</t>
  </si>
  <si>
    <t>Champion</t>
  </si>
  <si>
    <t>Granite Heather</t>
  </si>
  <si>
    <t>713610359061</t>
  </si>
  <si>
    <t>82024248</t>
  </si>
  <si>
    <t>5953629</t>
  </si>
  <si>
    <t>Men's Grand Slam Solid Golf Shorts</t>
  </si>
  <si>
    <t>Grand Slam</t>
  </si>
  <si>
    <t>Silver Lining</t>
  </si>
  <si>
    <t>713610358934</t>
  </si>
  <si>
    <t>82024179</t>
  </si>
  <si>
    <t>Classic Navy</t>
  </si>
  <si>
    <t>713610359078</t>
  </si>
  <si>
    <t>82024249</t>
  </si>
  <si>
    <t>713610358811</t>
  </si>
  <si>
    <t>82024149</t>
  </si>
  <si>
    <t>Chinchilla</t>
  </si>
  <si>
    <t>713610358941</t>
  </si>
  <si>
    <t>82024180</t>
  </si>
  <si>
    <t>713610358682</t>
  </si>
  <si>
    <t>82024218</t>
  </si>
  <si>
    <t>713610358484</t>
  </si>
  <si>
    <t>71350223</t>
  </si>
  <si>
    <t>5953649</t>
  </si>
  <si>
    <t>Men's Grand Slam Solid Golf Polo</t>
  </si>
  <si>
    <t>713610358545</t>
  </si>
  <si>
    <t>71350214</t>
  </si>
  <si>
    <t>713610360715</t>
  </si>
  <si>
    <t>71350246</t>
  </si>
  <si>
    <t>713610358385</t>
  </si>
  <si>
    <t>71350228</t>
  </si>
  <si>
    <t>245</t>
  </si>
  <si>
    <t>Asphalt Grey</t>
  </si>
  <si>
    <t>713610358323</t>
  </si>
  <si>
    <t>71350205</t>
  </si>
  <si>
    <t>713610358552</t>
  </si>
  <si>
    <t>71350215</t>
  </si>
  <si>
    <t>502</t>
  </si>
  <si>
    <t>713610358392</t>
  </si>
  <si>
    <t>71350233</t>
  </si>
  <si>
    <t>429</t>
  </si>
  <si>
    <t>713610358491</t>
  </si>
  <si>
    <t>71350224</t>
  </si>
  <si>
    <t>311</t>
  </si>
  <si>
    <t>713610360722</t>
  </si>
  <si>
    <t>71350247</t>
  </si>
  <si>
    <t>713610358569</t>
  </si>
  <si>
    <t>71350216</t>
  </si>
  <si>
    <t>671</t>
  </si>
  <si>
    <t>713610358408</t>
  </si>
  <si>
    <t>71350234</t>
  </si>
  <si>
    <t>428</t>
  </si>
  <si>
    <t>713610360739</t>
  </si>
  <si>
    <t>71350248</t>
  </si>
  <si>
    <t>713610358507</t>
  </si>
  <si>
    <t>71350225</t>
  </si>
  <si>
    <t>791</t>
  </si>
  <si>
    <t>713610358576</t>
  </si>
  <si>
    <t>71350217</t>
  </si>
  <si>
    <t>713610358514</t>
  </si>
  <si>
    <t>71350226</t>
  </si>
  <si>
    <t>1089</t>
  </si>
  <si>
    <t>713610358521</t>
  </si>
  <si>
    <t>71350227</t>
  </si>
  <si>
    <t>645</t>
  </si>
  <si>
    <t>Men's Under Armour Solid Rival Fleece Hoodie</t>
  </si>
  <si>
    <t>400500952128</t>
  </si>
  <si>
    <t>50095212</t>
  </si>
  <si>
    <t>5011252</t>
  </si>
  <si>
    <t>Women's Tek Gear® Ultrasoft Fleece Sweatshirt</t>
  </si>
  <si>
    <t>White Black</t>
  </si>
  <si>
    <t>400539519569</t>
  </si>
  <si>
    <t>53951956</t>
  </si>
  <si>
    <t>1291</t>
  </si>
  <si>
    <t>Navy Romance</t>
  </si>
  <si>
    <t>400782011032</t>
  </si>
  <si>
    <t>78201103</t>
  </si>
  <si>
    <t>1108</t>
  </si>
  <si>
    <t>Mineral Black</t>
  </si>
  <si>
    <t>400782011742</t>
  </si>
  <si>
    <t>78201174</t>
  </si>
  <si>
    <t>Chicago Red</t>
  </si>
  <si>
    <t>400492161331</t>
  </si>
  <si>
    <t>49216133</t>
  </si>
  <si>
    <t>218</t>
  </si>
  <si>
    <t>White Camo</t>
  </si>
  <si>
    <t>400861366961</t>
  </si>
  <si>
    <t>86136696</t>
  </si>
  <si>
    <t>Wildflower Blue</t>
  </si>
  <si>
    <t>400861365964</t>
  </si>
  <si>
    <t>86136596</t>
  </si>
  <si>
    <t>Shy Green</t>
  </si>
  <si>
    <t>400500952135</t>
  </si>
  <si>
    <t>50095213</t>
  </si>
  <si>
    <t>972</t>
  </si>
  <si>
    <t>400539519583</t>
  </si>
  <si>
    <t>53951958</t>
  </si>
  <si>
    <t>3937</t>
  </si>
  <si>
    <t>400782011049</t>
  </si>
  <si>
    <t>78201104</t>
  </si>
  <si>
    <t>4627</t>
  </si>
  <si>
    <t>400819309101</t>
  </si>
  <si>
    <t>81930910</t>
  </si>
  <si>
    <t>204</t>
  </si>
  <si>
    <t>Strawberry Malt</t>
  </si>
  <si>
    <t>400642099156</t>
  </si>
  <si>
    <t>64209915</t>
  </si>
  <si>
    <t>Ravishing Orchid</t>
  </si>
  <si>
    <t>400492161355</t>
  </si>
  <si>
    <t>49216135</t>
  </si>
  <si>
    <t>499</t>
  </si>
  <si>
    <t>400616296505</t>
  </si>
  <si>
    <t>61629650</t>
  </si>
  <si>
    <t>151</t>
  </si>
  <si>
    <t>Metro Heather</t>
  </si>
  <si>
    <t>400861365766</t>
  </si>
  <si>
    <t>86136576</t>
  </si>
  <si>
    <t>874</t>
  </si>
  <si>
    <t>400861364769</t>
  </si>
  <si>
    <t>86136476</t>
  </si>
  <si>
    <t>526</t>
  </si>
  <si>
    <t>Natural Scallop</t>
  </si>
  <si>
    <t>400861367067</t>
  </si>
  <si>
    <t>86136706</t>
  </si>
  <si>
    <t>635</t>
  </si>
  <si>
    <t>400861368767</t>
  </si>
  <si>
    <t>86136876</t>
  </si>
  <si>
    <t>495</t>
  </si>
  <si>
    <t>Fanatic Pink</t>
  </si>
  <si>
    <t>400510073981</t>
  </si>
  <si>
    <t>51007398</t>
  </si>
  <si>
    <t>Presence</t>
  </si>
  <si>
    <t>400861367364</t>
  </si>
  <si>
    <t>86136736</t>
  </si>
  <si>
    <t>Real Lemon</t>
  </si>
  <si>
    <t>400500952142</t>
  </si>
  <si>
    <t>50095214</t>
  </si>
  <si>
    <t>445</t>
  </si>
  <si>
    <t>400539519590</t>
  </si>
  <si>
    <t>53951959</t>
  </si>
  <si>
    <t>5846</t>
  </si>
  <si>
    <t>400782011056</t>
  </si>
  <si>
    <t>78201105</t>
  </si>
  <si>
    <t>9590</t>
  </si>
  <si>
    <t>400492161317</t>
  </si>
  <si>
    <t>49216131</t>
  </si>
  <si>
    <t>1002</t>
  </si>
  <si>
    <t>400861365667</t>
  </si>
  <si>
    <t>86136566</t>
  </si>
  <si>
    <t>1091</t>
  </si>
  <si>
    <t>400861366664</t>
  </si>
  <si>
    <t>86136666</t>
  </si>
  <si>
    <t>400</t>
  </si>
  <si>
    <t>400539519606</t>
  </si>
  <si>
    <t>53951960</t>
  </si>
  <si>
    <t>248</t>
  </si>
  <si>
    <t>400782011063</t>
  </si>
  <si>
    <t>78201106</t>
  </si>
  <si>
    <t>5682</t>
  </si>
  <si>
    <t>400492161324</t>
  </si>
  <si>
    <t>49216132</t>
  </si>
  <si>
    <t>400782011087</t>
  </si>
  <si>
    <t>78201108</t>
  </si>
  <si>
    <t>1501</t>
  </si>
  <si>
    <t>400782011131</t>
  </si>
  <si>
    <t>78201113</t>
  </si>
  <si>
    <t>372</t>
  </si>
  <si>
    <t>400782013333</t>
  </si>
  <si>
    <t>78201333</t>
  </si>
  <si>
    <t>XS TALL</t>
  </si>
  <si>
    <t>400618021808</t>
  </si>
  <si>
    <t>61802180</t>
  </si>
  <si>
    <t>Brisk Mint</t>
  </si>
  <si>
    <t>400466120685</t>
  </si>
  <si>
    <t>46612068</t>
  </si>
  <si>
    <t>400617135339</t>
  </si>
  <si>
    <t>61713533</t>
  </si>
  <si>
    <t>Blue Crayon</t>
  </si>
  <si>
    <t>400618021907</t>
  </si>
  <si>
    <t>61802190</t>
  </si>
  <si>
    <t>400465700444</t>
  </si>
  <si>
    <t>46570044</t>
  </si>
  <si>
    <t>153</t>
  </si>
  <si>
    <t>400334759252</t>
  </si>
  <si>
    <t>33475925</t>
  </si>
  <si>
    <t>400334759108</t>
  </si>
  <si>
    <t>33475910</t>
  </si>
  <si>
    <t>Rose Leopard</t>
  </si>
  <si>
    <t>400334759153</t>
  </si>
  <si>
    <t>33475915</t>
  </si>
  <si>
    <t>400749059107</t>
  </si>
  <si>
    <t>74905910</t>
  </si>
  <si>
    <t>Cyprus Blue</t>
  </si>
  <si>
    <t>400749059435</t>
  </si>
  <si>
    <t>74905943</t>
  </si>
  <si>
    <t>Magenta Blossom</t>
  </si>
  <si>
    <t>400749059527</t>
  </si>
  <si>
    <t>74905952</t>
  </si>
  <si>
    <t>400782013340</t>
  </si>
  <si>
    <t>78201334</t>
  </si>
  <si>
    <t>S TALL</t>
  </si>
  <si>
    <t>400618021815</t>
  </si>
  <si>
    <t>61802181</t>
  </si>
  <si>
    <t>400466120678</t>
  </si>
  <si>
    <t>46612067</t>
  </si>
  <si>
    <t>400334759221</t>
  </si>
  <si>
    <t>33475922</t>
  </si>
  <si>
    <t>400334759184</t>
  </si>
  <si>
    <t>33475918</t>
  </si>
  <si>
    <t>400749059534</t>
  </si>
  <si>
    <t>74905953</t>
  </si>
  <si>
    <t>400782013357</t>
  </si>
  <si>
    <t>78201335</t>
  </si>
  <si>
    <t>M TALL</t>
  </si>
  <si>
    <t>400466120654</t>
  </si>
  <si>
    <t>46612065</t>
  </si>
  <si>
    <t>400334759269</t>
  </si>
  <si>
    <t>33475926</t>
  </si>
  <si>
    <t>826422972578</t>
  </si>
  <si>
    <t>30527195</t>
  </si>
  <si>
    <t>Women's Nine West Relaxed Pintuck Joggers</t>
  </si>
  <si>
    <t>Nine West</t>
  </si>
  <si>
    <t>Melange</t>
  </si>
  <si>
    <t>826422972943</t>
  </si>
  <si>
    <t>76771228</t>
  </si>
  <si>
    <t>Olive Landis</t>
  </si>
  <si>
    <t>826422972967</t>
  </si>
  <si>
    <t>76771230</t>
  </si>
  <si>
    <t>826422972615</t>
  </si>
  <si>
    <t>30527204</t>
  </si>
  <si>
    <t>658</t>
  </si>
  <si>
    <t>826422972677</t>
  </si>
  <si>
    <t>75307863</t>
  </si>
  <si>
    <t>176</t>
  </si>
  <si>
    <t>Brown Navy Plaid</t>
  </si>
  <si>
    <t>826422972912</t>
  </si>
  <si>
    <t>76771225</t>
  </si>
  <si>
    <t>Daisy Dew</t>
  </si>
  <si>
    <t>826422972974</t>
  </si>
  <si>
    <t>76771231</t>
  </si>
  <si>
    <t>826422972622</t>
  </si>
  <si>
    <t>30527205</t>
  </si>
  <si>
    <t>826422972684</t>
  </si>
  <si>
    <t>75307864</t>
  </si>
  <si>
    <t>Men's Big &amp; Tall adidas Stretch Cotton 3-Pack Boxer Briefs</t>
  </si>
  <si>
    <t>Bold Blue</t>
  </si>
  <si>
    <t>3XL</t>
  </si>
  <si>
    <t>4XL</t>
  </si>
  <si>
    <t>196565706959</t>
  </si>
  <si>
    <t>71766566</t>
  </si>
  <si>
    <t>Koolaburra by UGG Nalie Women's Suede Winter Boots</t>
  </si>
  <si>
    <t>Koolaburra by UGG</t>
  </si>
  <si>
    <t>196565706911</t>
  </si>
  <si>
    <t>71766567</t>
  </si>
  <si>
    <t>196565706850</t>
  </si>
  <si>
    <t>71766574</t>
  </si>
  <si>
    <t>418</t>
  </si>
  <si>
    <t>196565706867</t>
  </si>
  <si>
    <t>71766575</t>
  </si>
  <si>
    <t>196565706881</t>
  </si>
  <si>
    <t>71766577</t>
  </si>
  <si>
    <t>400210776755</t>
  </si>
  <si>
    <t>21077675</t>
  </si>
  <si>
    <t>2776</t>
  </si>
  <si>
    <t>5798410</t>
  </si>
  <si>
    <t>Men's Sonoma Goods For Life® 7&amp;#34; Everyday Pull-On Shorts</t>
  </si>
  <si>
    <t>Alloy</t>
  </si>
  <si>
    <t>XS 7 IN</t>
  </si>
  <si>
    <t>400210776878</t>
  </si>
  <si>
    <t>21077687</t>
  </si>
  <si>
    <t>2709</t>
  </si>
  <si>
    <t>400210776687</t>
  </si>
  <si>
    <t>21077668</t>
  </si>
  <si>
    <t>3083</t>
  </si>
  <si>
    <t>400210776632</t>
  </si>
  <si>
    <t>21077663</t>
  </si>
  <si>
    <t>2022</t>
  </si>
  <si>
    <t>Olive</t>
  </si>
  <si>
    <t>400763966511</t>
  </si>
  <si>
    <t>76396651</t>
  </si>
  <si>
    <t>1930</t>
  </si>
  <si>
    <t>400210776762</t>
  </si>
  <si>
    <t>21077676</t>
  </si>
  <si>
    <t>1667</t>
  </si>
  <si>
    <t>S 7 INCH</t>
  </si>
  <si>
    <t>400210776885</t>
  </si>
  <si>
    <t>21077688</t>
  </si>
  <si>
    <t>1969</t>
  </si>
  <si>
    <t>400210776649</t>
  </si>
  <si>
    <t>21077664</t>
  </si>
  <si>
    <t>1191</t>
  </si>
  <si>
    <t>400210776694</t>
  </si>
  <si>
    <t>21077669</t>
  </si>
  <si>
    <t>1249</t>
  </si>
  <si>
    <t>400763966528</t>
  </si>
  <si>
    <t>76396652</t>
  </si>
  <si>
    <t>1673</t>
  </si>
  <si>
    <t>400210776892</t>
  </si>
  <si>
    <t>21077689</t>
  </si>
  <si>
    <t>M 7 INCH</t>
  </si>
  <si>
    <t>400763966597</t>
  </si>
  <si>
    <t>76396659</t>
  </si>
  <si>
    <t>1069</t>
  </si>
  <si>
    <t>400294099375</t>
  </si>
  <si>
    <t>29409937</t>
  </si>
  <si>
    <t>1246</t>
  </si>
  <si>
    <t>5593806</t>
  </si>
  <si>
    <t>Boys 8-20 Sonoma Goods For Life® Everyday Raglan Tee in Regular &amp; Husky</t>
  </si>
  <si>
    <t>400293106593</t>
  </si>
  <si>
    <t>29310659</t>
  </si>
  <si>
    <t>Glang Blue</t>
  </si>
  <si>
    <t>400294099382</t>
  </si>
  <si>
    <t>29409938</t>
  </si>
  <si>
    <t>3340</t>
  </si>
  <si>
    <t>400293106371</t>
  </si>
  <si>
    <t>29310637</t>
  </si>
  <si>
    <t>Delicious Apple</t>
  </si>
  <si>
    <t>400293106517</t>
  </si>
  <si>
    <t>29310651</t>
  </si>
  <si>
    <t>Ramses River</t>
  </si>
  <si>
    <t>400293106692</t>
  </si>
  <si>
    <t>29310669</t>
  </si>
  <si>
    <t>Torch Gold</t>
  </si>
  <si>
    <t>400293106609</t>
  </si>
  <si>
    <t>29310660</t>
  </si>
  <si>
    <t>400294099399</t>
  </si>
  <si>
    <t>29409939</t>
  </si>
  <si>
    <t>4396</t>
  </si>
  <si>
    <t>400293106388</t>
  </si>
  <si>
    <t>29310638</t>
  </si>
  <si>
    <t>959</t>
  </si>
  <si>
    <t>400294099429</t>
  </si>
  <si>
    <t>29409942</t>
  </si>
  <si>
    <t>2076</t>
  </si>
  <si>
    <t>400293106616</t>
  </si>
  <si>
    <t>29310661</t>
  </si>
  <si>
    <t>400640904513</t>
  </si>
  <si>
    <t>64090451</t>
  </si>
  <si>
    <t>S HUSKY</t>
  </si>
  <si>
    <t>400640904520</t>
  </si>
  <si>
    <t>64090452</t>
  </si>
  <si>
    <t>199</t>
  </si>
  <si>
    <t>M HUSKY</t>
  </si>
  <si>
    <t>400392608417</t>
  </si>
  <si>
    <t>39260841</t>
  </si>
  <si>
    <t>5527170</t>
  </si>
  <si>
    <t>Plus Size Tek Gear® Ultrasoft Fleece Hoodie</t>
  </si>
  <si>
    <t>1X</t>
  </si>
  <si>
    <t>400334481412</t>
  </si>
  <si>
    <t>33448141</t>
  </si>
  <si>
    <t>400478571277</t>
  </si>
  <si>
    <t>47857127</t>
  </si>
  <si>
    <t>255</t>
  </si>
  <si>
    <t>400478570973</t>
  </si>
  <si>
    <t>47857097</t>
  </si>
  <si>
    <t>643</t>
  </si>
  <si>
    <t>Clear Peri</t>
  </si>
  <si>
    <t>400392608486</t>
  </si>
  <si>
    <t>39260848</t>
  </si>
  <si>
    <t>2X</t>
  </si>
  <si>
    <t>400334481405</t>
  </si>
  <si>
    <t>33448140</t>
  </si>
  <si>
    <t>400478571048</t>
  </si>
  <si>
    <t>47857104</t>
  </si>
  <si>
    <t>1037</t>
  </si>
  <si>
    <t>400478571345</t>
  </si>
  <si>
    <t>47857134</t>
  </si>
  <si>
    <t>657</t>
  </si>
  <si>
    <t>400392608424</t>
  </si>
  <si>
    <t>39260842</t>
  </si>
  <si>
    <t>212</t>
  </si>
  <si>
    <t>3X</t>
  </si>
  <si>
    <t>400334481429</t>
  </si>
  <si>
    <t>33448142</t>
  </si>
  <si>
    <t>786</t>
  </si>
  <si>
    <t>400478571055</t>
  </si>
  <si>
    <t>47857105</t>
  </si>
  <si>
    <t>698</t>
  </si>
  <si>
    <t>400478571352</t>
  </si>
  <si>
    <t>47857135</t>
  </si>
  <si>
    <t>400392608325</t>
  </si>
  <si>
    <t>39260832</t>
  </si>
  <si>
    <t>4X</t>
  </si>
  <si>
    <t>400764931198</t>
  </si>
  <si>
    <t>76493119</t>
  </si>
  <si>
    <t>6509977</t>
  </si>
  <si>
    <t>Women's Sonoma Goods For Life® Oversized Popover Shirt</t>
  </si>
  <si>
    <t>Vital White</t>
  </si>
  <si>
    <t>400379775101</t>
  </si>
  <si>
    <t>37977510</t>
  </si>
  <si>
    <t>Bright Blue Stripe</t>
  </si>
  <si>
    <t>400379775200</t>
  </si>
  <si>
    <t>37977520</t>
  </si>
  <si>
    <t>Polar Blue Stripe</t>
  </si>
  <si>
    <t>400764931129</t>
  </si>
  <si>
    <t>76493112</t>
  </si>
  <si>
    <t>Cool Daisy</t>
  </si>
  <si>
    <t>400379775217</t>
  </si>
  <si>
    <t>37977521</t>
  </si>
  <si>
    <t>400764931204</t>
  </si>
  <si>
    <t>76493120</t>
  </si>
  <si>
    <t>400764931136</t>
  </si>
  <si>
    <t>76493113</t>
  </si>
  <si>
    <t>400764931211</t>
  </si>
  <si>
    <t>76493121</t>
  </si>
  <si>
    <t>400764931143</t>
  </si>
  <si>
    <t>76493114</t>
  </si>
  <si>
    <t>400379775224</t>
  </si>
  <si>
    <t>37977522</t>
  </si>
  <si>
    <t>400764931228</t>
  </si>
  <si>
    <t>76493122</t>
  </si>
  <si>
    <t>400764931150</t>
  </si>
  <si>
    <t>76493115</t>
  </si>
  <si>
    <t>400379775231</t>
  </si>
  <si>
    <t>37977523</t>
  </si>
  <si>
    <t>400764931235</t>
  </si>
  <si>
    <t>76493123</t>
  </si>
  <si>
    <t>400764931167</t>
  </si>
  <si>
    <t>76493116</t>
  </si>
  <si>
    <t>400379775187</t>
  </si>
  <si>
    <t>37977518</t>
  </si>
  <si>
    <t>400379775286</t>
  </si>
  <si>
    <t>37977528</t>
  </si>
  <si>
    <t>400764931174</t>
  </si>
  <si>
    <t>76493117</t>
  </si>
  <si>
    <t>400764931242</t>
  </si>
  <si>
    <t>76493124</t>
  </si>
  <si>
    <t>400379775293</t>
  </si>
  <si>
    <t>37977529</t>
  </si>
  <si>
    <t>400379775194</t>
  </si>
  <si>
    <t>37977519</t>
  </si>
  <si>
    <t>400769794699</t>
  </si>
  <si>
    <t>76979469</t>
  </si>
  <si>
    <t>7081218</t>
  </si>
  <si>
    <t>Girls 4-12 Jumping Beans Adventure Jeggings</t>
  </si>
  <si>
    <t>Jumping Beans</t>
  </si>
  <si>
    <t>400740042528</t>
  </si>
  <si>
    <t>74004252</t>
  </si>
  <si>
    <t>400769794705</t>
  </si>
  <si>
    <t>76979470</t>
  </si>
  <si>
    <t>694</t>
  </si>
  <si>
    <t>400740042597</t>
  </si>
  <si>
    <t>74004259</t>
  </si>
  <si>
    <t>400740042603</t>
  </si>
  <si>
    <t>74004260</t>
  </si>
  <si>
    <t>400769794712</t>
  </si>
  <si>
    <t>76979471</t>
  </si>
  <si>
    <t>963</t>
  </si>
  <si>
    <t>400740042610</t>
  </si>
  <si>
    <t>74004261</t>
  </si>
  <si>
    <t>232</t>
  </si>
  <si>
    <t>6X</t>
  </si>
  <si>
    <t>400769794729</t>
  </si>
  <si>
    <t>76979472</t>
  </si>
  <si>
    <t>855</t>
  </si>
  <si>
    <t>400792971296</t>
  </si>
  <si>
    <t>79297129</t>
  </si>
  <si>
    <t>400740042627</t>
  </si>
  <si>
    <t>74004262</t>
  </si>
  <si>
    <t>400769794743</t>
  </si>
  <si>
    <t>76979474</t>
  </si>
  <si>
    <t>1496</t>
  </si>
  <si>
    <t>400740042696</t>
  </si>
  <si>
    <t>74004269</t>
  </si>
  <si>
    <t>407</t>
  </si>
  <si>
    <t>400769794750</t>
  </si>
  <si>
    <t>76979475</t>
  </si>
  <si>
    <t>2040</t>
  </si>
  <si>
    <t>400792971517</t>
  </si>
  <si>
    <t>79297151</t>
  </si>
  <si>
    <t>400792971326</t>
  </si>
  <si>
    <t>79297132</t>
  </si>
  <si>
    <t>400792971524</t>
  </si>
  <si>
    <t>79297152</t>
  </si>
  <si>
    <t>400769794767</t>
  </si>
  <si>
    <t>76979476</t>
  </si>
  <si>
    <t>3063</t>
  </si>
  <si>
    <t>400740042702</t>
  </si>
  <si>
    <t>74004270</t>
  </si>
  <si>
    <t>801</t>
  </si>
  <si>
    <t>400792971548</t>
  </si>
  <si>
    <t>79297154</t>
  </si>
  <si>
    <t>626</t>
  </si>
  <si>
    <t>400792971340</t>
  </si>
  <si>
    <t>79297134</t>
  </si>
  <si>
    <t>400769794774</t>
  </si>
  <si>
    <t>76979477</t>
  </si>
  <si>
    <t>3002</t>
  </si>
  <si>
    <t>400792971449</t>
  </si>
  <si>
    <t>79297144</t>
  </si>
  <si>
    <t>400740042719</t>
  </si>
  <si>
    <t>74004271</t>
  </si>
  <si>
    <t>850</t>
  </si>
  <si>
    <t>400500110917</t>
  </si>
  <si>
    <t>50011091</t>
  </si>
  <si>
    <t>6288104</t>
  </si>
  <si>
    <t>Women's Sonoma Goods For Life® Everyday Crewneck Long Sleeve Tee</t>
  </si>
  <si>
    <t>Pitch Black</t>
  </si>
  <si>
    <t>400500110924</t>
  </si>
  <si>
    <t>50011092</t>
  </si>
  <si>
    <t>1013</t>
  </si>
  <si>
    <t>400441549524</t>
  </si>
  <si>
    <t>44154952</t>
  </si>
  <si>
    <t>2462</t>
  </si>
  <si>
    <t>400500110931</t>
  </si>
  <si>
    <t>50011093</t>
  </si>
  <si>
    <t>1942</t>
  </si>
  <si>
    <t>400441549531</t>
  </si>
  <si>
    <t>44154953</t>
  </si>
  <si>
    <t>2839</t>
  </si>
  <si>
    <t>400500110948</t>
  </si>
  <si>
    <t>50011094</t>
  </si>
  <si>
    <t>1988</t>
  </si>
  <si>
    <t>400187980469</t>
  </si>
  <si>
    <t>18798046</t>
  </si>
  <si>
    <t>Black Rina Stripe</t>
  </si>
  <si>
    <t>400820268886</t>
  </si>
  <si>
    <t>82026888</t>
  </si>
  <si>
    <t>5546499</t>
  </si>
  <si>
    <t>Women's Croft &amp; Barrow® Classic Pull-On Jeans</t>
  </si>
  <si>
    <t>Rinse Wash</t>
  </si>
  <si>
    <t>400830547025</t>
  </si>
  <si>
    <t>83054702</t>
  </si>
  <si>
    <t>XS LONG</t>
  </si>
  <si>
    <t>400545852988</t>
  </si>
  <si>
    <t>54585298</t>
  </si>
  <si>
    <t>Black Sateen</t>
  </si>
  <si>
    <t>400558782111</t>
  </si>
  <si>
    <t>55878211</t>
  </si>
  <si>
    <t>400657670418</t>
  </si>
  <si>
    <t>65767041</t>
  </si>
  <si>
    <t>400770186094</t>
  </si>
  <si>
    <t>77018609</t>
  </si>
  <si>
    <t>400830547032</t>
  </si>
  <si>
    <t>83054703</t>
  </si>
  <si>
    <t>S LONG</t>
  </si>
  <si>
    <t>400545852995</t>
  </si>
  <si>
    <t>54585299</t>
  </si>
  <si>
    <t>105</t>
  </si>
  <si>
    <t>400657670425</t>
  </si>
  <si>
    <t>65767042</t>
  </si>
  <si>
    <t>400770186100</t>
  </si>
  <si>
    <t>77018610</t>
  </si>
  <si>
    <t>400830547049</t>
  </si>
  <si>
    <t>83054704</t>
  </si>
  <si>
    <t>M LONG</t>
  </si>
  <si>
    <t>400545853008</t>
  </si>
  <si>
    <t>54585300</t>
  </si>
  <si>
    <t>253</t>
  </si>
  <si>
    <t>400657670494</t>
  </si>
  <si>
    <t>65767049</t>
  </si>
  <si>
    <t>287</t>
  </si>
  <si>
    <t>400770186117</t>
  </si>
  <si>
    <t>77018611</t>
  </si>
  <si>
    <t>400545853015</t>
  </si>
  <si>
    <t>54585301</t>
  </si>
  <si>
    <t>L LONG</t>
  </si>
  <si>
    <t>400657670500</t>
  </si>
  <si>
    <t>65767050</t>
  </si>
  <si>
    <t>400770186124</t>
  </si>
  <si>
    <t>77018612</t>
  </si>
  <si>
    <t>400657670517</t>
  </si>
  <si>
    <t>65767051</t>
  </si>
  <si>
    <t>XL LONG</t>
  </si>
  <si>
    <t>887863686080</t>
  </si>
  <si>
    <t>65878091</t>
  </si>
  <si>
    <t>6206243</t>
  </si>
  <si>
    <t>Women's Nine West Duster Cardigan</t>
  </si>
  <si>
    <t>Bicolor Stripe White</t>
  </si>
  <si>
    <t>887863686158</t>
  </si>
  <si>
    <t>69920713</t>
  </si>
  <si>
    <t>887863686028</t>
  </si>
  <si>
    <t>65878085</t>
  </si>
  <si>
    <t>Bicolor Stripe Black</t>
  </si>
  <si>
    <t>887863685410</t>
  </si>
  <si>
    <t>58634109</t>
  </si>
  <si>
    <t>Gray Fox Heather</t>
  </si>
  <si>
    <t>Men's adidas Primegreen Tapered Golf Pants</t>
  </si>
  <si>
    <t>38X30</t>
  </si>
  <si>
    <t>40X30</t>
  </si>
  <si>
    <t>400714221003</t>
  </si>
  <si>
    <t>71422100</t>
  </si>
  <si>
    <t>5003821</t>
  </si>
  <si>
    <t>Men's Sonoma Goods For Life® Core Cargo Jogger Pants</t>
  </si>
  <si>
    <t>Kagan Khaki</t>
  </si>
  <si>
    <t>400714221300</t>
  </si>
  <si>
    <t>71422130</t>
  </si>
  <si>
    <t>687</t>
  </si>
  <si>
    <t>Woodgrain</t>
  </si>
  <si>
    <t>191315792022</t>
  </si>
  <si>
    <t>46624133</t>
  </si>
  <si>
    <t>7081065</t>
  </si>
  <si>
    <t>Men's Apt. 9® Premier Flex Slim-Fit Wrinkle Resistant Dress Shirt</t>
  </si>
  <si>
    <t>Apt. 9</t>
  </si>
  <si>
    <t>White Black Dot</t>
  </si>
  <si>
    <t>S 32-33</t>
  </si>
  <si>
    <t>191315792626</t>
  </si>
  <si>
    <t>47580615</t>
  </si>
  <si>
    <t>Blue Faded Floral</t>
  </si>
  <si>
    <t>191315795351</t>
  </si>
  <si>
    <t>58791010</t>
  </si>
  <si>
    <t>Light Gray Check</t>
  </si>
  <si>
    <t>191315795368</t>
  </si>
  <si>
    <t>58791020</t>
  </si>
  <si>
    <t>M-32/33</t>
  </si>
  <si>
    <t>191315795382</t>
  </si>
  <si>
    <t>58791040</t>
  </si>
  <si>
    <t>L-32/33</t>
  </si>
  <si>
    <t>191315792657</t>
  </si>
  <si>
    <t>47580624</t>
  </si>
  <si>
    <t>191315792060</t>
  </si>
  <si>
    <t>46624135</t>
  </si>
  <si>
    <t>L-34/35</t>
  </si>
  <si>
    <t>191315795399</t>
  </si>
  <si>
    <t>58791050</t>
  </si>
  <si>
    <t>191315792664</t>
  </si>
  <si>
    <t>47580625</t>
  </si>
  <si>
    <t>191315792084</t>
  </si>
  <si>
    <t>46624132</t>
  </si>
  <si>
    <t>XL-32/33</t>
  </si>
  <si>
    <t>191315795412</t>
  </si>
  <si>
    <t>58791070</t>
  </si>
  <si>
    <t>191315795443</t>
  </si>
  <si>
    <t>58874350</t>
  </si>
  <si>
    <t>2X-34/35</t>
  </si>
  <si>
    <t>191315792114</t>
  </si>
  <si>
    <t>46624138</t>
  </si>
  <si>
    <t>191315792916</t>
  </si>
  <si>
    <t>47580586</t>
  </si>
  <si>
    <t>Blue Hexagon Print</t>
  </si>
  <si>
    <t>191315795429</t>
  </si>
  <si>
    <t>58791080</t>
  </si>
  <si>
    <t>XL-34/35</t>
  </si>
  <si>
    <t>191315792091</t>
  </si>
  <si>
    <t>46624136</t>
  </si>
  <si>
    <t>419</t>
  </si>
  <si>
    <t>191315792695</t>
  </si>
  <si>
    <t>47580634</t>
  </si>
  <si>
    <t>191315792992</t>
  </si>
  <si>
    <t>46624154</t>
  </si>
  <si>
    <t>Purple Geo Print</t>
  </si>
  <si>
    <t>191315792893</t>
  </si>
  <si>
    <t>47580584</t>
  </si>
  <si>
    <t>191315792077</t>
  </si>
  <si>
    <t>46624139</t>
  </si>
  <si>
    <t>L-36/37</t>
  </si>
  <si>
    <t>191315795405</t>
  </si>
  <si>
    <t>58791060</t>
  </si>
  <si>
    <t>191315792978</t>
  </si>
  <si>
    <t>46624153</t>
  </si>
  <si>
    <t>399</t>
  </si>
  <si>
    <t>191315792879</t>
  </si>
  <si>
    <t>47580576</t>
  </si>
  <si>
    <t>191315792671</t>
  </si>
  <si>
    <t>47580626</t>
  </si>
  <si>
    <t>191315792107</t>
  </si>
  <si>
    <t>46624137</t>
  </si>
  <si>
    <t>XL-36/37</t>
  </si>
  <si>
    <t>191315792701</t>
  </si>
  <si>
    <t>47580635</t>
  </si>
  <si>
    <t>191315795436</t>
  </si>
  <si>
    <t>58791090</t>
  </si>
  <si>
    <t>400300899388</t>
  </si>
  <si>
    <t>30089938</t>
  </si>
  <si>
    <t>209</t>
  </si>
  <si>
    <t>6360370</t>
  </si>
  <si>
    <t>Women's Croft &amp; Barrow® Pointelle Stitch Cardigan</t>
  </si>
  <si>
    <t>Light Pink</t>
  </si>
  <si>
    <t>400300899265</t>
  </si>
  <si>
    <t>30089926</t>
  </si>
  <si>
    <t>400300899326</t>
  </si>
  <si>
    <t>30089932</t>
  </si>
  <si>
    <t>Sage Green</t>
  </si>
  <si>
    <t>400300899395</t>
  </si>
  <si>
    <t>30089939</t>
  </si>
  <si>
    <t>400300899272</t>
  </si>
  <si>
    <t>30089927</t>
  </si>
  <si>
    <t>400300899333</t>
  </si>
  <si>
    <t>30089933</t>
  </si>
  <si>
    <t>163</t>
  </si>
  <si>
    <t>400300899289</t>
  </si>
  <si>
    <t>30089928</t>
  </si>
  <si>
    <t>306</t>
  </si>
  <si>
    <t>400300899340</t>
  </si>
  <si>
    <t>30089934</t>
  </si>
  <si>
    <t>400300899401</t>
  </si>
  <si>
    <t>30089940</t>
  </si>
  <si>
    <t>294</t>
  </si>
  <si>
    <t>400300899296</t>
  </si>
  <si>
    <t>30089929</t>
  </si>
  <si>
    <t>195</t>
  </si>
  <si>
    <t>400300899357</t>
  </si>
  <si>
    <t>30089935</t>
  </si>
  <si>
    <t>400300899418</t>
  </si>
  <si>
    <t>30089941</t>
  </si>
  <si>
    <t>195365497388</t>
  </si>
  <si>
    <t>63445545</t>
  </si>
  <si>
    <t>6103873</t>
  </si>
  <si>
    <t>Girls 4-16 ZeroXposur 3-in-1 System Jacket</t>
  </si>
  <si>
    <t>ZeroXposur</t>
  </si>
  <si>
    <t>4-5</t>
  </si>
  <si>
    <t>195365497449</t>
  </si>
  <si>
    <t>63445555</t>
  </si>
  <si>
    <t>Cyan</t>
  </si>
  <si>
    <t>195365518267</t>
  </si>
  <si>
    <t>63445575</t>
  </si>
  <si>
    <t>140</t>
  </si>
  <si>
    <t>195365497395</t>
  </si>
  <si>
    <t>63445546</t>
  </si>
  <si>
    <t>6-6X</t>
  </si>
  <si>
    <t>195365497456</t>
  </si>
  <si>
    <t>63445556</t>
  </si>
  <si>
    <t>195365518274</t>
  </si>
  <si>
    <t>63445576</t>
  </si>
  <si>
    <t>195365497401</t>
  </si>
  <si>
    <t>63445547</t>
  </si>
  <si>
    <t>7-8</t>
  </si>
  <si>
    <t>195365497463</t>
  </si>
  <si>
    <t>63445557</t>
  </si>
  <si>
    <t>195365518281</t>
  </si>
  <si>
    <t>63445577</t>
  </si>
  <si>
    <t>195365497470</t>
  </si>
  <si>
    <t>63445558</t>
  </si>
  <si>
    <t>197</t>
  </si>
  <si>
    <t>10-12</t>
  </si>
  <si>
    <t>195365497418</t>
  </si>
  <si>
    <t>63445548</t>
  </si>
  <si>
    <t>195365518298</t>
  </si>
  <si>
    <t>63445578</t>
  </si>
  <si>
    <t>195365497487</t>
  </si>
  <si>
    <t>63445559</t>
  </si>
  <si>
    <t>14-16</t>
  </si>
  <si>
    <t>195365497661</t>
  </si>
  <si>
    <t>63445589</t>
  </si>
  <si>
    <t>195365497425</t>
  </si>
  <si>
    <t>63445549</t>
  </si>
  <si>
    <t>187</t>
  </si>
  <si>
    <t>195365497548</t>
  </si>
  <si>
    <t>63445569</t>
  </si>
  <si>
    <t>195365518304</t>
  </si>
  <si>
    <t>63445579</t>
  </si>
  <si>
    <t>196327323530</t>
  </si>
  <si>
    <t>71453470</t>
  </si>
  <si>
    <t>381</t>
  </si>
  <si>
    <t>6175299</t>
  </si>
  <si>
    <t>Boys 4-7 Nike Play Cut Dri-FIT Therma Hoodie</t>
  </si>
  <si>
    <t>196327323554</t>
  </si>
  <si>
    <t>71453472</t>
  </si>
  <si>
    <t>400188300655</t>
  </si>
  <si>
    <t>18830065</t>
  </si>
  <si>
    <t>6824207</t>
  </si>
  <si>
    <t>Men's Sonoma Goods For Life® Double Knit Crewneck Tee</t>
  </si>
  <si>
    <t>400743889342</t>
  </si>
  <si>
    <t>74388934</t>
  </si>
  <si>
    <t>Medium Mineral Heather</t>
  </si>
  <si>
    <t>400642248349</t>
  </si>
  <si>
    <t>64224834</t>
  </si>
  <si>
    <t>490</t>
  </si>
  <si>
    <t>400441280274</t>
  </si>
  <si>
    <t>44128027</t>
  </si>
  <si>
    <t>Phyllis Brown</t>
  </si>
  <si>
    <t>400188300662</t>
  </si>
  <si>
    <t>18830066</t>
  </si>
  <si>
    <t>623</t>
  </si>
  <si>
    <t>400743889359</t>
  </si>
  <si>
    <t>74388935</t>
  </si>
  <si>
    <t>400642248356</t>
  </si>
  <si>
    <t>64224835</t>
  </si>
  <si>
    <t>1503</t>
  </si>
  <si>
    <t>400612226506</t>
  </si>
  <si>
    <t>61222650</t>
  </si>
  <si>
    <t>400441280281</t>
  </si>
  <si>
    <t>44128028</t>
  </si>
  <si>
    <t>396</t>
  </si>
  <si>
    <t>400188300730</t>
  </si>
  <si>
    <t>18830073</t>
  </si>
  <si>
    <t>1231</t>
  </si>
  <si>
    <t>400743889366</t>
  </si>
  <si>
    <t>74388936</t>
  </si>
  <si>
    <t>1474</t>
  </si>
  <si>
    <t>400642248363</t>
  </si>
  <si>
    <t>64224836</t>
  </si>
  <si>
    <t>1581</t>
  </si>
  <si>
    <t>400441280298</t>
  </si>
  <si>
    <t>44128029</t>
  </si>
  <si>
    <t>350</t>
  </si>
  <si>
    <t>400188300747</t>
  </si>
  <si>
    <t>18830074</t>
  </si>
  <si>
    <t>775</t>
  </si>
  <si>
    <t>400743889373</t>
  </si>
  <si>
    <t>74388937</t>
  </si>
  <si>
    <t>1445</t>
  </si>
  <si>
    <t>400642248370</t>
  </si>
  <si>
    <t>64224837</t>
  </si>
  <si>
    <t>841</t>
  </si>
  <si>
    <t>400441280304</t>
  </si>
  <si>
    <t>44128030</t>
  </si>
  <si>
    <t>400743889434</t>
  </si>
  <si>
    <t>74388943</t>
  </si>
  <si>
    <t>400188300754</t>
  </si>
  <si>
    <t>18830075</t>
  </si>
  <si>
    <t>325</t>
  </si>
  <si>
    <t>Big &amp; Tall Under Armour Brawler Pants</t>
  </si>
  <si>
    <t>XL TALL</t>
  </si>
  <si>
    <t>Pitch Gray</t>
  </si>
  <si>
    <t>XXL TALL</t>
  </si>
  <si>
    <t>400392778721</t>
  </si>
  <si>
    <t>39277872</t>
  </si>
  <si>
    <t>259</t>
  </si>
  <si>
    <t>5534110</t>
  </si>
  <si>
    <t>Kids 7-20 Tek Gear® Ultrasoft Fleece Full Zip Hoodie in Regular &amp; Husky</t>
  </si>
  <si>
    <t>S(8)</t>
  </si>
  <si>
    <t>400546849574</t>
  </si>
  <si>
    <t>54684957</t>
  </si>
  <si>
    <t>400392778783</t>
  </si>
  <si>
    <t>39277878</t>
  </si>
  <si>
    <t>M(10-12)</t>
  </si>
  <si>
    <t>196575241662</t>
  </si>
  <si>
    <t>80577169</t>
  </si>
  <si>
    <t>5848851</t>
  </si>
  <si>
    <t>Vans® Asher DX Women's Slip-On Shoes</t>
  </si>
  <si>
    <t>196575241709</t>
  </si>
  <si>
    <t>80577170</t>
  </si>
  <si>
    <t>196575241747</t>
  </si>
  <si>
    <t>80577171</t>
  </si>
  <si>
    <t>196575241785</t>
  </si>
  <si>
    <t>80577172</t>
  </si>
  <si>
    <t>400699709367</t>
  </si>
  <si>
    <t>69970936</t>
  </si>
  <si>
    <t>6231298</t>
  </si>
  <si>
    <t>Men's Apt. 9® Fleece Shirt Jacket</t>
  </si>
  <si>
    <t>Refreshing Pine</t>
  </si>
  <si>
    <t>400699709268</t>
  </si>
  <si>
    <t>69970926</t>
  </si>
  <si>
    <t>Blue Beauty</t>
  </si>
  <si>
    <t>400699709374</t>
  </si>
  <si>
    <t>69970937</t>
  </si>
  <si>
    <t>400699709275</t>
  </si>
  <si>
    <t>69970927</t>
  </si>
  <si>
    <t>400699709077</t>
  </si>
  <si>
    <t>69970907</t>
  </si>
  <si>
    <t>Thunder Gray</t>
  </si>
  <si>
    <t>400699709138</t>
  </si>
  <si>
    <t>69970913</t>
  </si>
  <si>
    <t>400699709336</t>
  </si>
  <si>
    <t>69970933</t>
  </si>
  <si>
    <t>196885903007</t>
  </si>
  <si>
    <t>37516471</t>
  </si>
  <si>
    <t>6459088</t>
  </si>
  <si>
    <t>Men's Under Armour Rival Fleece Colorblock Hoodie</t>
  </si>
  <si>
    <t>Silt</t>
  </si>
  <si>
    <t>196885903601</t>
  </si>
  <si>
    <t>37516481</t>
  </si>
  <si>
    <t>196885428326</t>
  </si>
  <si>
    <t>37516491</t>
  </si>
  <si>
    <t>Mod Gray Light Heather</t>
  </si>
  <si>
    <t>196885903021</t>
  </si>
  <si>
    <t>37516472</t>
  </si>
  <si>
    <t>196885903625</t>
  </si>
  <si>
    <t>37516482</t>
  </si>
  <si>
    <t>196885428302</t>
  </si>
  <si>
    <t>37516492</t>
  </si>
  <si>
    <t>196885903236</t>
  </si>
  <si>
    <t>37516478</t>
  </si>
  <si>
    <t>196885903731</t>
  </si>
  <si>
    <t>37516488</t>
  </si>
  <si>
    <t>196885428180</t>
  </si>
  <si>
    <t>37516498</t>
  </si>
  <si>
    <t>196885903069</t>
  </si>
  <si>
    <t>37516479</t>
  </si>
  <si>
    <t>196885903663</t>
  </si>
  <si>
    <t>37516489</t>
  </si>
  <si>
    <t>196885428340</t>
  </si>
  <si>
    <t>37516499</t>
  </si>
  <si>
    <t>196885428371</t>
  </si>
  <si>
    <t>37516500</t>
  </si>
  <si>
    <t>196885903052</t>
  </si>
  <si>
    <t>37516480</t>
  </si>
  <si>
    <t>196885903656</t>
  </si>
  <si>
    <t>37516490</t>
  </si>
  <si>
    <t>196219877875</t>
  </si>
  <si>
    <t>29068247</t>
  </si>
  <si>
    <t>6058265</t>
  </si>
  <si>
    <t>Boys 8-20 adidas All Day Hooded Tee</t>
  </si>
  <si>
    <t>196219879619</t>
  </si>
  <si>
    <t>73146082</t>
  </si>
  <si>
    <t>Med Gray Heather</t>
  </si>
  <si>
    <t>196219877882</t>
  </si>
  <si>
    <t>29068248</t>
  </si>
  <si>
    <t>196219879626</t>
  </si>
  <si>
    <t>73146087</t>
  </si>
  <si>
    <t>334</t>
  </si>
  <si>
    <t>196219877899</t>
  </si>
  <si>
    <t>29068249</t>
  </si>
  <si>
    <t>196219879633</t>
  </si>
  <si>
    <t>73146088</t>
  </si>
  <si>
    <t>196219877905</t>
  </si>
  <si>
    <t>29068250</t>
  </si>
  <si>
    <t>Juniors' WallFlower Insta Stretch® Luscious Curvy Bootcut Jeans</t>
  </si>
  <si>
    <t>WallFlower</t>
  </si>
  <si>
    <t>0</t>
  </si>
  <si>
    <t>Men's Under Armour Rival Fleece Cargo Joggers</t>
  </si>
  <si>
    <t>Marine Od Green</t>
  </si>
  <si>
    <t>400546336180</t>
  </si>
  <si>
    <t>54633618</t>
  </si>
  <si>
    <t>7081063</t>
  </si>
  <si>
    <t>Big &amp; Tall Sonoma Goods For Life® Perfect-Length Button-Down Shirt</t>
  </si>
  <si>
    <t>Reverse Yellow Floral</t>
  </si>
  <si>
    <t>400491170358</t>
  </si>
  <si>
    <t>49117035</t>
  </si>
  <si>
    <t>Teal White Mini Stripe</t>
  </si>
  <si>
    <t>400791777011</t>
  </si>
  <si>
    <t>79177701</t>
  </si>
  <si>
    <t>Purple Oxford</t>
  </si>
  <si>
    <t>400770833493</t>
  </si>
  <si>
    <t>77083349</t>
  </si>
  <si>
    <t>Pink Tropical Leaves</t>
  </si>
  <si>
    <t>400818175424</t>
  </si>
  <si>
    <t>81817542</t>
  </si>
  <si>
    <t>Blue Oxford</t>
  </si>
  <si>
    <t>400714090937</t>
  </si>
  <si>
    <t>71409093</t>
  </si>
  <si>
    <t>White Beige Geo</t>
  </si>
  <si>
    <t>400770833837</t>
  </si>
  <si>
    <t>77083383</t>
  </si>
  <si>
    <t>Blue Batik Design</t>
  </si>
  <si>
    <t>400791776878</t>
  </si>
  <si>
    <t>79177687</t>
  </si>
  <si>
    <t>Beige Oxford</t>
  </si>
  <si>
    <t>400491170143</t>
  </si>
  <si>
    <t>49117014</t>
  </si>
  <si>
    <t>Blue Wide Stripe</t>
  </si>
  <si>
    <t>400768407286</t>
  </si>
  <si>
    <t>76840728</t>
  </si>
  <si>
    <t>Pink Oxford</t>
  </si>
  <si>
    <t>400770833646</t>
  </si>
  <si>
    <t>77083364</t>
  </si>
  <si>
    <t>Green Sketchy Geo</t>
  </si>
  <si>
    <t>400790328795</t>
  </si>
  <si>
    <t>79032879</t>
  </si>
  <si>
    <t>Medium Wash Chambray</t>
  </si>
  <si>
    <t>400491170365</t>
  </si>
  <si>
    <t>49117036</t>
  </si>
  <si>
    <t>L TALL</t>
  </si>
  <si>
    <t>400546336197</t>
  </si>
  <si>
    <t>54633619</t>
  </si>
  <si>
    <t>400770833509</t>
  </si>
  <si>
    <t>77083350</t>
  </si>
  <si>
    <t>400714090944</t>
  </si>
  <si>
    <t>71409094</t>
  </si>
  <si>
    <t>400770833844</t>
  </si>
  <si>
    <t>77083384</t>
  </si>
  <si>
    <t>400818175486</t>
  </si>
  <si>
    <t>81817548</t>
  </si>
  <si>
    <t>400791776892</t>
  </si>
  <si>
    <t>79177689</t>
  </si>
  <si>
    <t>400491170150</t>
  </si>
  <si>
    <t>49117015</t>
  </si>
  <si>
    <t>400768407293</t>
  </si>
  <si>
    <t>76840729</t>
  </si>
  <si>
    <t>400770833691</t>
  </si>
  <si>
    <t>77083369</t>
  </si>
  <si>
    <t>400546336203</t>
  </si>
  <si>
    <t>54633620</t>
  </si>
  <si>
    <t>400714090951</t>
  </si>
  <si>
    <t>71409095</t>
  </si>
  <si>
    <t>400491170167</t>
  </si>
  <si>
    <t>49117016</t>
  </si>
  <si>
    <t>400546336210</t>
  </si>
  <si>
    <t>54633621</t>
  </si>
  <si>
    <t>400714090968</t>
  </si>
  <si>
    <t>71409096</t>
  </si>
  <si>
    <t>400714090982</t>
  </si>
  <si>
    <t>71409098</t>
  </si>
  <si>
    <t>4XL TALL</t>
  </si>
  <si>
    <t>400491170242</t>
  </si>
  <si>
    <t>49117024</t>
  </si>
  <si>
    <t>400546336272</t>
  </si>
  <si>
    <t>54633627</t>
  </si>
  <si>
    <t>400714091057</t>
  </si>
  <si>
    <t>71409105</t>
  </si>
  <si>
    <t>4XB</t>
  </si>
  <si>
    <t>400714091064</t>
  </si>
  <si>
    <t>71409106</t>
  </si>
  <si>
    <t>5XB</t>
  </si>
  <si>
    <t>400791776991</t>
  </si>
  <si>
    <t>79177699</t>
  </si>
  <si>
    <t>400491170327</t>
  </si>
  <si>
    <t>49117032</t>
  </si>
  <si>
    <t>400768407385</t>
  </si>
  <si>
    <t>76840738</t>
  </si>
  <si>
    <t>400818175615</t>
  </si>
  <si>
    <t>81817561</t>
  </si>
  <si>
    <t>400546336319</t>
  </si>
  <si>
    <t>54633631</t>
  </si>
  <si>
    <t>400491170549</t>
  </si>
  <si>
    <t>49117054</t>
  </si>
  <si>
    <t>400791777004</t>
  </si>
  <si>
    <t>79177700</t>
  </si>
  <si>
    <t>6XB</t>
  </si>
  <si>
    <t>400768407514</t>
  </si>
  <si>
    <t>76840751</t>
  </si>
  <si>
    <t>Gray Oxford</t>
  </si>
  <si>
    <t>400714091071</t>
  </si>
  <si>
    <t>71409107</t>
  </si>
  <si>
    <t>400770833820</t>
  </si>
  <si>
    <t>77083382</t>
  </si>
  <si>
    <t>400491170341</t>
  </si>
  <si>
    <t>49117034</t>
  </si>
  <si>
    <t>400790328993</t>
  </si>
  <si>
    <t>79032899</t>
  </si>
  <si>
    <t>400768407392</t>
  </si>
  <si>
    <t>76840739</t>
  </si>
  <si>
    <t>400818175622</t>
  </si>
  <si>
    <t>81817562</t>
  </si>
  <si>
    <t>400770833639</t>
  </si>
  <si>
    <t>77083363</t>
  </si>
  <si>
    <t>400791777141</t>
  </si>
  <si>
    <t>79177714</t>
  </si>
  <si>
    <t>400546336326</t>
  </si>
  <si>
    <t>54633632</t>
  </si>
  <si>
    <t>400491170556</t>
  </si>
  <si>
    <t>49117055</t>
  </si>
  <si>
    <t>400440928085</t>
  </si>
  <si>
    <t>44092808</t>
  </si>
  <si>
    <t>5923731</t>
  </si>
  <si>
    <t>Petite Sonoma Goods For Life® Jean Jacket</t>
  </si>
  <si>
    <t>XS PETITE</t>
  </si>
  <si>
    <t>400440928092</t>
  </si>
  <si>
    <t>44092809</t>
  </si>
  <si>
    <t>S PETITE</t>
  </si>
  <si>
    <t>400557279094</t>
  </si>
  <si>
    <t>55727909</t>
  </si>
  <si>
    <t>Ecru</t>
  </si>
  <si>
    <t>XXL PETITE</t>
  </si>
  <si>
    <t>Men's adidas Heather Performance Polo</t>
  </si>
  <si>
    <t>Gray Heather</t>
  </si>
  <si>
    <t>Burgundy Heather</t>
  </si>
  <si>
    <t>195738337235</t>
  </si>
  <si>
    <t>46874894</t>
  </si>
  <si>
    <t>Green Heather</t>
  </si>
  <si>
    <t>Indigo Heather</t>
  </si>
  <si>
    <t>400769894429</t>
  </si>
  <si>
    <t>76989442</t>
  </si>
  <si>
    <t>228</t>
  </si>
  <si>
    <t>5798602</t>
  </si>
  <si>
    <t>Women's LC Lauren Conrad Shawl Collar Blazer</t>
  </si>
  <si>
    <t>LC Lauren Conrad</t>
  </si>
  <si>
    <t>Dull Black</t>
  </si>
  <si>
    <t>400769894443</t>
  </si>
  <si>
    <t>76989444</t>
  </si>
  <si>
    <t>472</t>
  </si>
  <si>
    <t>400769894450</t>
  </si>
  <si>
    <t>76989445</t>
  </si>
  <si>
    <t>305</t>
  </si>
  <si>
    <t>400769894467</t>
  </si>
  <si>
    <t>76989446</t>
  </si>
  <si>
    <t>400769894474</t>
  </si>
  <si>
    <t>76989447</t>
  </si>
  <si>
    <t>400769894498</t>
  </si>
  <si>
    <t>76989449</t>
  </si>
  <si>
    <t>400643102862</t>
  </si>
  <si>
    <t>64310286</t>
  </si>
  <si>
    <t>5640748</t>
  </si>
  <si>
    <t>Boys 7-20 Sonoma Goods For Life® Flexwear Comfort Waist Pants</t>
  </si>
  <si>
    <t>Elgin Beige</t>
  </si>
  <si>
    <t>400643102787</t>
  </si>
  <si>
    <t>64310278</t>
  </si>
  <si>
    <t>1017</t>
  </si>
  <si>
    <t>Texas Beige</t>
  </si>
  <si>
    <t>400643103029</t>
  </si>
  <si>
    <t>64310302</t>
  </si>
  <si>
    <t>400643102879</t>
  </si>
  <si>
    <t>64310287</t>
  </si>
  <si>
    <t>400643102794</t>
  </si>
  <si>
    <t>64310279</t>
  </si>
  <si>
    <t>1145</t>
  </si>
  <si>
    <t>400643103036</t>
  </si>
  <si>
    <t>64310303</t>
  </si>
  <si>
    <t>400643102800</t>
  </si>
  <si>
    <t>64310280</t>
  </si>
  <si>
    <t>900</t>
  </si>
  <si>
    <t>400643102817</t>
  </si>
  <si>
    <t>64310281</t>
  </si>
  <si>
    <t>568</t>
  </si>
  <si>
    <t>400643102824</t>
  </si>
  <si>
    <t>64310282</t>
  </si>
  <si>
    <t>408</t>
  </si>
  <si>
    <t>400643102831</t>
  </si>
  <si>
    <t>64310283</t>
  </si>
  <si>
    <t>368</t>
  </si>
  <si>
    <t>400643102848</t>
  </si>
  <si>
    <t>64310284</t>
  </si>
  <si>
    <t>364</t>
  </si>
  <si>
    <t>400643102855</t>
  </si>
  <si>
    <t>64310285</t>
  </si>
  <si>
    <t>400643102930</t>
  </si>
  <si>
    <t>64310293</t>
  </si>
  <si>
    <t>400643103098</t>
  </si>
  <si>
    <t>64310309</t>
  </si>
  <si>
    <t>400308308721</t>
  </si>
  <si>
    <t>30830872</t>
  </si>
  <si>
    <t>Luxe Blue</t>
  </si>
  <si>
    <t>8 HUSKY</t>
  </si>
  <si>
    <t>400308309520</t>
  </si>
  <si>
    <t>30830952</t>
  </si>
  <si>
    <t>400308311127</t>
  </si>
  <si>
    <t>30831112</t>
  </si>
  <si>
    <t>400308310328</t>
  </si>
  <si>
    <t>30831032</t>
  </si>
  <si>
    <t>400308311929</t>
  </si>
  <si>
    <t>30831192</t>
  </si>
  <si>
    <t>400308311226</t>
  </si>
  <si>
    <t>30831122</t>
  </si>
  <si>
    <t>10 HUSKY</t>
  </si>
  <si>
    <t>400308310427</t>
  </si>
  <si>
    <t>30831042</t>
  </si>
  <si>
    <t>400308308820</t>
  </si>
  <si>
    <t>30830882</t>
  </si>
  <si>
    <t>400308309629</t>
  </si>
  <si>
    <t>30830962</t>
  </si>
  <si>
    <t>400308309728</t>
  </si>
  <si>
    <t>30830972</t>
  </si>
  <si>
    <t>12 HUSKY</t>
  </si>
  <si>
    <t>400308310526</t>
  </si>
  <si>
    <t>30831052</t>
  </si>
  <si>
    <t>400308311325</t>
  </si>
  <si>
    <t>30831132</t>
  </si>
  <si>
    <t>400308309025</t>
  </si>
  <si>
    <t>30830902</t>
  </si>
  <si>
    <t>14 HUSKY</t>
  </si>
  <si>
    <t>400308311424</t>
  </si>
  <si>
    <t>30831142</t>
  </si>
  <si>
    <t>400308310625</t>
  </si>
  <si>
    <t>30831062</t>
  </si>
  <si>
    <t>400308311523</t>
  </si>
  <si>
    <t>30831152</t>
  </si>
  <si>
    <t>16 HUSKY</t>
  </si>
  <si>
    <t>400308310724</t>
  </si>
  <si>
    <t>30831072</t>
  </si>
  <si>
    <t>400308311622</t>
  </si>
  <si>
    <t>30831162</t>
  </si>
  <si>
    <t>18 HUSKY</t>
  </si>
  <si>
    <t>400308310823</t>
  </si>
  <si>
    <t>30831082</t>
  </si>
  <si>
    <t>400308309223</t>
  </si>
  <si>
    <t>30830922</t>
  </si>
  <si>
    <t>400308311721</t>
  </si>
  <si>
    <t>30831172</t>
  </si>
  <si>
    <t>20 HUSKY</t>
  </si>
  <si>
    <t>Men's Under Armour Tech 2.0 Short Sleeve Tee</t>
  </si>
  <si>
    <t>Men's Columbia Leif Trail™ Parka</t>
  </si>
  <si>
    <t>Columbia</t>
  </si>
  <si>
    <t>400613409380</t>
  </si>
  <si>
    <t>61340938</t>
  </si>
  <si>
    <t>6847068</t>
  </si>
  <si>
    <t>Plus Size Croft &amp; Barrow® Elastic Waist Pull-On Jeans</t>
  </si>
  <si>
    <t>0X</t>
  </si>
  <si>
    <t>400540204256</t>
  </si>
  <si>
    <t>54020425</t>
  </si>
  <si>
    <t>370</t>
  </si>
  <si>
    <t>0X SHORT</t>
  </si>
  <si>
    <t>400617125231</t>
  </si>
  <si>
    <t>61712523</t>
  </si>
  <si>
    <t>1100</t>
  </si>
  <si>
    <t>Medium Wash</t>
  </si>
  <si>
    <t>400617125309</t>
  </si>
  <si>
    <t>61712530</t>
  </si>
  <si>
    <t>1X SHORT</t>
  </si>
  <si>
    <t>400617125330</t>
  </si>
  <si>
    <t>61712533</t>
  </si>
  <si>
    <t>4X SHORT</t>
  </si>
  <si>
    <t>400617125408</t>
  </si>
  <si>
    <t>61712540</t>
  </si>
  <si>
    <t>226</t>
  </si>
  <si>
    <t>5X SHORT</t>
  </si>
  <si>
    <t>400585788155</t>
  </si>
  <si>
    <t>58578815</t>
  </si>
  <si>
    <t>0X LONG</t>
  </si>
  <si>
    <t>400511988987</t>
  </si>
  <si>
    <t>51198898</t>
  </si>
  <si>
    <t>400677845742</t>
  </si>
  <si>
    <t>67784574</t>
  </si>
  <si>
    <t>400585788230</t>
  </si>
  <si>
    <t>58578823</t>
  </si>
  <si>
    <t>4X LONG</t>
  </si>
  <si>
    <t>400511989083</t>
  </si>
  <si>
    <t>51198908</t>
  </si>
  <si>
    <t>5X LONG</t>
  </si>
  <si>
    <t>400585788247</t>
  </si>
  <si>
    <t>58578824</t>
  </si>
  <si>
    <t>400677845841</t>
  </si>
  <si>
    <t>67784584</t>
  </si>
  <si>
    <t>400188061006</t>
  </si>
  <si>
    <t>18806100</t>
  </si>
  <si>
    <t>521</t>
  </si>
  <si>
    <t>6231872</t>
  </si>
  <si>
    <t>Men's Apt. 9® Ottoman Pullover Hoodie</t>
  </si>
  <si>
    <t>400188061105</t>
  </si>
  <si>
    <t>18806110</t>
  </si>
  <si>
    <t>400188061051</t>
  </si>
  <si>
    <t>18806105</t>
  </si>
  <si>
    <t>Chic Burgundy</t>
  </si>
  <si>
    <t>400188061068</t>
  </si>
  <si>
    <t>18806106</t>
  </si>
  <si>
    <t>386</t>
  </si>
  <si>
    <t>400188061013</t>
  </si>
  <si>
    <t>18806101</t>
  </si>
  <si>
    <t>1273</t>
  </si>
  <si>
    <t>400188061112</t>
  </si>
  <si>
    <t>18806111</t>
  </si>
  <si>
    <t>773</t>
  </si>
  <si>
    <t>400188061075</t>
  </si>
  <si>
    <t>18806107</t>
  </si>
  <si>
    <t>352</t>
  </si>
  <si>
    <t>400188061129</t>
  </si>
  <si>
    <t>18806112</t>
  </si>
  <si>
    <t>836</t>
  </si>
  <si>
    <t>400188061020</t>
  </si>
  <si>
    <t>18806102</t>
  </si>
  <si>
    <t>1455</t>
  </si>
  <si>
    <t>400188061082</t>
  </si>
  <si>
    <t>18806108</t>
  </si>
  <si>
    <t>400188061037</t>
  </si>
  <si>
    <t>18806103</t>
  </si>
  <si>
    <t>611</t>
  </si>
  <si>
    <t>400188061136</t>
  </si>
  <si>
    <t>18806113</t>
  </si>
  <si>
    <t>400188061099</t>
  </si>
  <si>
    <t>18806109</t>
  </si>
  <si>
    <t>400188061044</t>
  </si>
  <si>
    <t>18806104</t>
  </si>
  <si>
    <t>223</t>
  </si>
  <si>
    <t>400188061143</t>
  </si>
  <si>
    <t>18806114</t>
  </si>
  <si>
    <t>400820073107</t>
  </si>
  <si>
    <t>82007310</t>
  </si>
  <si>
    <t>6471414</t>
  </si>
  <si>
    <t>LC Lauren Conrad Women's Faux Fur Slippers</t>
  </si>
  <si>
    <t>400820072612</t>
  </si>
  <si>
    <t>82007261</t>
  </si>
  <si>
    <t>400820072704</t>
  </si>
  <si>
    <t>82007270</t>
  </si>
  <si>
    <t>400820072988</t>
  </si>
  <si>
    <t>82007298</t>
  </si>
  <si>
    <t>262</t>
  </si>
  <si>
    <t>Blush</t>
  </si>
  <si>
    <t>400820073206</t>
  </si>
  <si>
    <t>82007320</t>
  </si>
  <si>
    <t>400820072711</t>
  </si>
  <si>
    <t>82007271</t>
  </si>
  <si>
    <t>400740278019</t>
  </si>
  <si>
    <t>74027801</t>
  </si>
  <si>
    <t>6261458</t>
  </si>
  <si>
    <t>Women's Sonoma Goods For Life® Everyday Flannel Shirt</t>
  </si>
  <si>
    <t>Grey Brown Plaid</t>
  </si>
  <si>
    <t>400740277890</t>
  </si>
  <si>
    <t>74027789</t>
  </si>
  <si>
    <t>Black Ivory Plaid</t>
  </si>
  <si>
    <t>400831818858</t>
  </si>
  <si>
    <t>83181885</t>
  </si>
  <si>
    <t>Black Cherries Plaid</t>
  </si>
  <si>
    <t>400740278026</t>
  </si>
  <si>
    <t>74027802</t>
  </si>
  <si>
    <t>400740277906</t>
  </si>
  <si>
    <t>74027790</t>
  </si>
  <si>
    <t>551</t>
  </si>
  <si>
    <t>400831818957</t>
  </si>
  <si>
    <t>83181895</t>
  </si>
  <si>
    <t>1121</t>
  </si>
  <si>
    <t>400740278095</t>
  </si>
  <si>
    <t>74027809</t>
  </si>
  <si>
    <t>400740277913</t>
  </si>
  <si>
    <t>74027791</t>
  </si>
  <si>
    <t>646</t>
  </si>
  <si>
    <t>400831819053</t>
  </si>
  <si>
    <t>83181905</t>
  </si>
  <si>
    <t>2353</t>
  </si>
  <si>
    <t>400740278101</t>
  </si>
  <si>
    <t>74027810</t>
  </si>
  <si>
    <t>400740277920</t>
  </si>
  <si>
    <t>74027792</t>
  </si>
  <si>
    <t>510</t>
  </si>
  <si>
    <t>400831819152</t>
  </si>
  <si>
    <t>83181915</t>
  </si>
  <si>
    <t>3142</t>
  </si>
  <si>
    <t>400740278118</t>
  </si>
  <si>
    <t>74027811</t>
  </si>
  <si>
    <t>572</t>
  </si>
  <si>
    <t>400740277999</t>
  </si>
  <si>
    <t>74027799</t>
  </si>
  <si>
    <t>400831819251</t>
  </si>
  <si>
    <t>83181925</t>
  </si>
  <si>
    <t>2794</t>
  </si>
  <si>
    <t>400740278125</t>
  </si>
  <si>
    <t>74027812</t>
  </si>
  <si>
    <t>503</t>
  </si>
  <si>
    <t>400740278002</t>
  </si>
  <si>
    <t>74027800</t>
  </si>
  <si>
    <t>554</t>
  </si>
  <si>
    <t>400831819350</t>
  </si>
  <si>
    <t>83181935</t>
  </si>
  <si>
    <t>1892</t>
  </si>
  <si>
    <t>400769880910</t>
  </si>
  <si>
    <t>76988091</t>
  </si>
  <si>
    <t>1071</t>
  </si>
  <si>
    <t>6149056</t>
  </si>
  <si>
    <t>Boys 8-20 Tek Gear® Ultrasoft Fleece Pullover Hoodie in Regular &amp; Husky</t>
  </si>
  <si>
    <t>400659039015</t>
  </si>
  <si>
    <t>65903901</t>
  </si>
  <si>
    <t>904</t>
  </si>
  <si>
    <t>Light Gray Heather</t>
  </si>
  <si>
    <t>400769880927</t>
  </si>
  <si>
    <t>76988092</t>
  </si>
  <si>
    <t>1276</t>
  </si>
  <si>
    <t>400659039022</t>
  </si>
  <si>
    <t>65903902</t>
  </si>
  <si>
    <t>400659039039</t>
  </si>
  <si>
    <t>65903903</t>
  </si>
  <si>
    <t>208</t>
  </si>
  <si>
    <t>L(14/16)</t>
  </si>
  <si>
    <t>400769880941</t>
  </si>
  <si>
    <t>76988094</t>
  </si>
  <si>
    <t>400769880958</t>
  </si>
  <si>
    <t>76988095</t>
  </si>
  <si>
    <t>XL(18/20)</t>
  </si>
  <si>
    <t>400746486401</t>
  </si>
  <si>
    <t>74648640</t>
  </si>
  <si>
    <t>6824257</t>
  </si>
  <si>
    <t>Men's Sonoma Goods For Life® Fleece Popover Hoodie</t>
  </si>
  <si>
    <t>400746486418</t>
  </si>
  <si>
    <t>74648641</t>
  </si>
  <si>
    <t>400746486425</t>
  </si>
  <si>
    <t>74648642</t>
  </si>
  <si>
    <t>400746486432</t>
  </si>
  <si>
    <t>74648643</t>
  </si>
  <si>
    <t>400746486456</t>
  </si>
  <si>
    <t>74648645</t>
  </si>
  <si>
    <t>742728952420</t>
  </si>
  <si>
    <t>71491964</t>
  </si>
  <si>
    <t>5044424</t>
  </si>
  <si>
    <t>Baby Nike &amp;#34;Just Do It.&amp;#34; 3-Pack Bodysuits</t>
  </si>
  <si>
    <t>Black Grey</t>
  </si>
  <si>
    <t>NEWBORN</t>
  </si>
  <si>
    <t>742728952437</t>
  </si>
  <si>
    <t>71491965</t>
  </si>
  <si>
    <t>3 MONTHS</t>
  </si>
  <si>
    <t>400501623386</t>
  </si>
  <si>
    <t>50162338</t>
  </si>
  <si>
    <t>6498134</t>
  </si>
  <si>
    <t>Women's Nine West Long-Sleeve Swing Dress</t>
  </si>
  <si>
    <t>400780465431</t>
  </si>
  <si>
    <t>78046543</t>
  </si>
  <si>
    <t>Brown Dotted Zebra</t>
  </si>
  <si>
    <t>400501623393</t>
  </si>
  <si>
    <t>50162339</t>
  </si>
  <si>
    <t>400780465448</t>
  </si>
  <si>
    <t>78046544</t>
  </si>
  <si>
    <t>400501623409</t>
  </si>
  <si>
    <t>50162340</t>
  </si>
  <si>
    <t>400780465455</t>
  </si>
  <si>
    <t>78046545</t>
  </si>
  <si>
    <t>400501623416</t>
  </si>
  <si>
    <t>50162341</t>
  </si>
  <si>
    <t>400780465462</t>
  </si>
  <si>
    <t>78046546</t>
  </si>
  <si>
    <t>400480432580</t>
  </si>
  <si>
    <t>48043258</t>
  </si>
  <si>
    <t>7081814</t>
  </si>
  <si>
    <t>Women's LC Lauren Conrad High-Rise Wide-Leg Pleated Pants</t>
  </si>
  <si>
    <t>Ashley Rose</t>
  </si>
  <si>
    <t>8 T/L</t>
  </si>
  <si>
    <t>400480432382</t>
  </si>
  <si>
    <t>48043238</t>
  </si>
  <si>
    <t>Parker Beige</t>
  </si>
  <si>
    <t>400480432597</t>
  </si>
  <si>
    <t>48043259</t>
  </si>
  <si>
    <t>10 T/L</t>
  </si>
  <si>
    <t>400480432399</t>
  </si>
  <si>
    <t>48043239</t>
  </si>
  <si>
    <t>400581565187</t>
  </si>
  <si>
    <t>58156518</t>
  </si>
  <si>
    <t>400581565385</t>
  </si>
  <si>
    <t>58156538</t>
  </si>
  <si>
    <t>400480432603</t>
  </si>
  <si>
    <t>48043260</t>
  </si>
  <si>
    <t>12 T/L</t>
  </si>
  <si>
    <t>400480432405</t>
  </si>
  <si>
    <t>48043240</t>
  </si>
  <si>
    <t>400581565194</t>
  </si>
  <si>
    <t>58156519</t>
  </si>
  <si>
    <t>400480432610</t>
  </si>
  <si>
    <t>48043261</t>
  </si>
  <si>
    <t>14 T/L</t>
  </si>
  <si>
    <t>400480432412</t>
  </si>
  <si>
    <t>48043241</t>
  </si>
  <si>
    <t>400581565200</t>
  </si>
  <si>
    <t>58156520</t>
  </si>
  <si>
    <t>400480432627</t>
  </si>
  <si>
    <t>48043262</t>
  </si>
  <si>
    <t>16 T/L</t>
  </si>
  <si>
    <t>400480432429</t>
  </si>
  <si>
    <t>48043242</t>
  </si>
  <si>
    <t>400581565415</t>
  </si>
  <si>
    <t>58156541</t>
  </si>
  <si>
    <t>400581565217</t>
  </si>
  <si>
    <t>58156521</t>
  </si>
  <si>
    <t>400480432634</t>
  </si>
  <si>
    <t>48043263</t>
  </si>
  <si>
    <t>18 T/L</t>
  </si>
  <si>
    <t>400480432436</t>
  </si>
  <si>
    <t>48043243</t>
  </si>
  <si>
    <t>400687021136</t>
  </si>
  <si>
    <t>68702113</t>
  </si>
  <si>
    <t>5651199</t>
  </si>
  <si>
    <t>Boys 4-8 Jumping Beans® Tapered Fit Denim in Regular, Slim &amp; Husky</t>
  </si>
  <si>
    <t>400687021235</t>
  </si>
  <si>
    <t>68702123</t>
  </si>
  <si>
    <t>Solid Dark Wash</t>
  </si>
  <si>
    <t>400469257302</t>
  </si>
  <si>
    <t>46925730</t>
  </si>
  <si>
    <t>400687021143</t>
  </si>
  <si>
    <t>68702114</t>
  </si>
  <si>
    <t>282</t>
  </si>
  <si>
    <t>400687021242</t>
  </si>
  <si>
    <t>68702124</t>
  </si>
  <si>
    <t>297</t>
  </si>
  <si>
    <t>400469257319</t>
  </si>
  <si>
    <t>46925731</t>
  </si>
  <si>
    <t>333</t>
  </si>
  <si>
    <t>400687021150</t>
  </si>
  <si>
    <t>68702115</t>
  </si>
  <si>
    <t>400687021259</t>
  </si>
  <si>
    <t>68702125</t>
  </si>
  <si>
    <t>400469257326</t>
  </si>
  <si>
    <t>46925732</t>
  </si>
  <si>
    <t>400687021167</t>
  </si>
  <si>
    <t>68702116</t>
  </si>
  <si>
    <t>400687021266</t>
  </si>
  <si>
    <t>68702126</t>
  </si>
  <si>
    <t>400469257333</t>
  </si>
  <si>
    <t>46925733</t>
  </si>
  <si>
    <t>400687021273</t>
  </si>
  <si>
    <t>68702127</t>
  </si>
  <si>
    <t>400687021174</t>
  </si>
  <si>
    <t>68702117</t>
  </si>
  <si>
    <t>400550590585</t>
  </si>
  <si>
    <t>55059058</t>
  </si>
  <si>
    <t>5620570</t>
  </si>
  <si>
    <t>Boys 4-12 Jumping Beans® Performance Jogger Pants</t>
  </si>
  <si>
    <t>Navy White</t>
  </si>
  <si>
    <t>400550590592</t>
  </si>
  <si>
    <t>55059059</t>
  </si>
  <si>
    <t>Men's Under Armour Rival Fleece Pants</t>
  </si>
  <si>
    <t>Men's Van Heusen Slim-Fit Stain Shield Spread-Collar Dress Shirt</t>
  </si>
  <si>
    <t>Van Heusen</t>
  </si>
  <si>
    <t>M-34/35</t>
  </si>
  <si>
    <t>Mercury</t>
  </si>
  <si>
    <t>194916059464</t>
  </si>
  <si>
    <t>33323872</t>
  </si>
  <si>
    <t>XS 32/33</t>
  </si>
  <si>
    <t>194916059310</t>
  </si>
  <si>
    <t>76190307</t>
  </si>
  <si>
    <t>016722991793</t>
  </si>
  <si>
    <t>58151586</t>
  </si>
  <si>
    <t>194916059525</t>
  </si>
  <si>
    <t>33323874</t>
  </si>
  <si>
    <t>S 34/35</t>
  </si>
  <si>
    <t>194916059372</t>
  </si>
  <si>
    <t>76190314</t>
  </si>
  <si>
    <t>016722991854</t>
  </si>
  <si>
    <t>58151588</t>
  </si>
  <si>
    <t>765803972656</t>
  </si>
  <si>
    <t>71103426</t>
  </si>
  <si>
    <t>4992668</t>
  </si>
  <si>
    <t>Boys 7-20 Sonoma Goods For Life® Everyday Straight Jeans in Regular, Slim &amp; Husky</t>
  </si>
  <si>
    <t>8 SLIM</t>
  </si>
  <si>
    <t>765803897843</t>
  </si>
  <si>
    <t>50863034</t>
  </si>
  <si>
    <t>447</t>
  </si>
  <si>
    <t>Dark Rinse</t>
  </si>
  <si>
    <t>765803972571</t>
  </si>
  <si>
    <t>18432153</t>
  </si>
  <si>
    <t>1178</t>
  </si>
  <si>
    <t>765803910573</t>
  </si>
  <si>
    <t>72583717</t>
  </si>
  <si>
    <t>289</t>
  </si>
  <si>
    <t>765803972588</t>
  </si>
  <si>
    <t>18432154</t>
  </si>
  <si>
    <t>765803972595</t>
  </si>
  <si>
    <t>18432155</t>
  </si>
  <si>
    <t>437</t>
  </si>
  <si>
    <t>765803972601</t>
  </si>
  <si>
    <t>18432156</t>
  </si>
  <si>
    <t>291</t>
  </si>
  <si>
    <t>765803972625</t>
  </si>
  <si>
    <t>18432158</t>
  </si>
  <si>
    <t>765803972632</t>
  </si>
  <si>
    <t>18432159</t>
  </si>
  <si>
    <t>765803911877</t>
  </si>
  <si>
    <t>50032219</t>
  </si>
  <si>
    <t>765803972731</t>
  </si>
  <si>
    <t>71780965</t>
  </si>
  <si>
    <t>356</t>
  </si>
  <si>
    <t>765803979266</t>
  </si>
  <si>
    <t>28147798</t>
  </si>
  <si>
    <t>Indigo</t>
  </si>
  <si>
    <t>765803972779</t>
  </si>
  <si>
    <t>71780974</t>
  </si>
  <si>
    <t>576</t>
  </si>
  <si>
    <t>765803972786</t>
  </si>
  <si>
    <t>71780975</t>
  </si>
  <si>
    <t>469</t>
  </si>
  <si>
    <t>765803972793</t>
  </si>
  <si>
    <t>71780976</t>
  </si>
  <si>
    <t>433</t>
  </si>
  <si>
    <t>195365521311</t>
  </si>
  <si>
    <t>59167462</t>
  </si>
  <si>
    <t>6109105</t>
  </si>
  <si>
    <t>Men's ZeroXposur Emeric Puffer Jacket</t>
  </si>
  <si>
    <t>Prussia</t>
  </si>
  <si>
    <t>195365520918</t>
  </si>
  <si>
    <t>59167453</t>
  </si>
  <si>
    <t>Gravel</t>
  </si>
  <si>
    <t>195365521557</t>
  </si>
  <si>
    <t>59167448</t>
  </si>
  <si>
    <t>Slate</t>
  </si>
  <si>
    <t>195365520598</t>
  </si>
  <si>
    <t>59167439</t>
  </si>
  <si>
    <t>1469</t>
  </si>
  <si>
    <t>195365521397</t>
  </si>
  <si>
    <t>28147534</t>
  </si>
  <si>
    <t>Rust</t>
  </si>
  <si>
    <t>195365521236</t>
  </si>
  <si>
    <t>28147539</t>
  </si>
  <si>
    <t>374</t>
  </si>
  <si>
    <t>195365523223</t>
  </si>
  <si>
    <t>18957147</t>
  </si>
  <si>
    <t>Cranberry</t>
  </si>
  <si>
    <t>195365521328</t>
  </si>
  <si>
    <t>59167463</t>
  </si>
  <si>
    <t>195365520604</t>
  </si>
  <si>
    <t>59167440</t>
  </si>
  <si>
    <t>2976</t>
  </si>
  <si>
    <t>195365520925</t>
  </si>
  <si>
    <t>59167458</t>
  </si>
  <si>
    <t>195365521564</t>
  </si>
  <si>
    <t>59167449</t>
  </si>
  <si>
    <t>1157</t>
  </si>
  <si>
    <t>195365521403</t>
  </si>
  <si>
    <t>28147535</t>
  </si>
  <si>
    <t>195365521243</t>
  </si>
  <si>
    <t>28147541</t>
  </si>
  <si>
    <t>585</t>
  </si>
  <si>
    <t>195365523230</t>
  </si>
  <si>
    <t>18957148</t>
  </si>
  <si>
    <t>195365521571</t>
  </si>
  <si>
    <t>59167450</t>
  </si>
  <si>
    <t>1345</t>
  </si>
  <si>
    <t>195365520611</t>
  </si>
  <si>
    <t>59167441</t>
  </si>
  <si>
    <t>3579</t>
  </si>
  <si>
    <t>195365521335</t>
  </si>
  <si>
    <t>59167468</t>
  </si>
  <si>
    <t>195365520932</t>
  </si>
  <si>
    <t>59167459</t>
  </si>
  <si>
    <t>195365521410</t>
  </si>
  <si>
    <t>28147536</t>
  </si>
  <si>
    <t>271</t>
  </si>
  <si>
    <t>195365521250</t>
  </si>
  <si>
    <t>28147542</t>
  </si>
  <si>
    <t>195365523247</t>
  </si>
  <si>
    <t>18957149</t>
  </si>
  <si>
    <t>242</t>
  </si>
  <si>
    <t>195365520949</t>
  </si>
  <si>
    <t>59167460</t>
  </si>
  <si>
    <t>195365521588</t>
  </si>
  <si>
    <t>59167451</t>
  </si>
  <si>
    <t>1023</t>
  </si>
  <si>
    <t>195365520628</t>
  </si>
  <si>
    <t>59167442</t>
  </si>
  <si>
    <t>2759</t>
  </si>
  <si>
    <t>195365521342</t>
  </si>
  <si>
    <t>59167469</t>
  </si>
  <si>
    <t>195365521427</t>
  </si>
  <si>
    <t>28147537</t>
  </si>
  <si>
    <t>195365521267</t>
  </si>
  <si>
    <t>28147543</t>
  </si>
  <si>
    <t>536</t>
  </si>
  <si>
    <t>195365523254</t>
  </si>
  <si>
    <t>18957150</t>
  </si>
  <si>
    <t>211</t>
  </si>
  <si>
    <t>195365521359</t>
  </si>
  <si>
    <t>59167470</t>
  </si>
  <si>
    <t>195365520956</t>
  </si>
  <si>
    <t>59167461</t>
  </si>
  <si>
    <t>195365521595</t>
  </si>
  <si>
    <t>59167452</t>
  </si>
  <si>
    <t>578</t>
  </si>
  <si>
    <t>195365520635</t>
  </si>
  <si>
    <t>59167443</t>
  </si>
  <si>
    <t>1548</t>
  </si>
  <si>
    <t>195365521434</t>
  </si>
  <si>
    <t>28147538</t>
  </si>
  <si>
    <t>195365521274</t>
  </si>
  <si>
    <t>28147544</t>
  </si>
  <si>
    <t>195365523261</t>
  </si>
  <si>
    <t>18957151</t>
  </si>
  <si>
    <t>709996914741</t>
  </si>
  <si>
    <t>73030259</t>
  </si>
  <si>
    <t>592</t>
  </si>
  <si>
    <t>6149593</t>
  </si>
  <si>
    <t>Fashion Shiny Kitty Backpack 2-Piece Set</t>
  </si>
  <si>
    <t>Unbranded</t>
  </si>
  <si>
    <t>N/A</t>
  </si>
  <si>
    <t>196575210538</t>
  </si>
  <si>
    <t>33242519</t>
  </si>
  <si>
    <t>6347835</t>
  </si>
  <si>
    <t>Men's Vans Filmore High-Top Shoes</t>
  </si>
  <si>
    <t>196575211016</t>
  </si>
  <si>
    <t>33242526</t>
  </si>
  <si>
    <t>196575211405</t>
  </si>
  <si>
    <t>33242527</t>
  </si>
  <si>
    <t>196575212754</t>
  </si>
  <si>
    <t>33242546</t>
  </si>
  <si>
    <t>11.5</t>
  </si>
  <si>
    <t>400696560879</t>
  </si>
  <si>
    <t>69656087</t>
  </si>
  <si>
    <t>5355190</t>
  </si>
  <si>
    <t>Boys 4-8 Jumping Beans® Relaxed Fit Jeans in Regular, Slim &amp; Husky</t>
  </si>
  <si>
    <t>Dark Wash Kh</t>
  </si>
  <si>
    <t>400696560749</t>
  </si>
  <si>
    <t>69656074</t>
  </si>
  <si>
    <t>400630651427</t>
  </si>
  <si>
    <t>63065142</t>
  </si>
  <si>
    <t>7081353</t>
  </si>
  <si>
    <t>Women's Sonoma Goods For Life® Pleated Wide Leg Pants</t>
  </si>
  <si>
    <t>400630651434</t>
  </si>
  <si>
    <t>63065143</t>
  </si>
  <si>
    <t>400630651502</t>
  </si>
  <si>
    <t>63065150</t>
  </si>
  <si>
    <t>661</t>
  </si>
  <si>
    <t>400630651519</t>
  </si>
  <si>
    <t>63065151</t>
  </si>
  <si>
    <t>400630651526</t>
  </si>
  <si>
    <t>63065152</t>
  </si>
  <si>
    <t>400372526984</t>
  </si>
  <si>
    <t>37252698</t>
  </si>
  <si>
    <t>5576082</t>
  </si>
  <si>
    <t>Plus Size Nine West High Rise Sculpting Straight Jeans</t>
  </si>
  <si>
    <t>18 W</t>
  </si>
  <si>
    <t>400769241674</t>
  </si>
  <si>
    <t>76924167</t>
  </si>
  <si>
    <t>Washed Black</t>
  </si>
  <si>
    <t>400477993063</t>
  </si>
  <si>
    <t>47799306</t>
  </si>
  <si>
    <t>Light</t>
  </si>
  <si>
    <t>400372526991</t>
  </si>
  <si>
    <t>37252699</t>
  </si>
  <si>
    <t>20 W</t>
  </si>
  <si>
    <t>400769241698</t>
  </si>
  <si>
    <t>76924169</t>
  </si>
  <si>
    <t>400477993070</t>
  </si>
  <si>
    <t>47799307</t>
  </si>
  <si>
    <t>400769241704</t>
  </si>
  <si>
    <t>76924170</t>
  </si>
  <si>
    <t>22 W</t>
  </si>
  <si>
    <t>400372527004</t>
  </si>
  <si>
    <t>37252700</t>
  </si>
  <si>
    <t>400477993148</t>
  </si>
  <si>
    <t>47799314</t>
  </si>
  <si>
    <t>400769241728</t>
  </si>
  <si>
    <t>76924172</t>
  </si>
  <si>
    <t>26 W</t>
  </si>
  <si>
    <t>400372527028</t>
  </si>
  <si>
    <t>37252702</t>
  </si>
  <si>
    <t>400477993162</t>
  </si>
  <si>
    <t>47799316</t>
  </si>
  <si>
    <t>400769241742</t>
  </si>
  <si>
    <t>76924174</t>
  </si>
  <si>
    <t>28 W</t>
  </si>
  <si>
    <t>400187727378</t>
  </si>
  <si>
    <t>18772737</t>
  </si>
  <si>
    <t>Medium Dark</t>
  </si>
  <si>
    <t>400372527035</t>
  </si>
  <si>
    <t>37252703</t>
  </si>
  <si>
    <t>400477993179</t>
  </si>
  <si>
    <t>47799317</t>
  </si>
  <si>
    <t>400477993247</t>
  </si>
  <si>
    <t>47799324</t>
  </si>
  <si>
    <t>30 W</t>
  </si>
  <si>
    <t>400372527080</t>
  </si>
  <si>
    <t>37252708</t>
  </si>
  <si>
    <t>400546941551</t>
  </si>
  <si>
    <t>54694155</t>
  </si>
  <si>
    <t>18W T/L</t>
  </si>
  <si>
    <t>400492338498</t>
  </si>
  <si>
    <t>49233849</t>
  </si>
  <si>
    <t>20W T/L</t>
  </si>
  <si>
    <t>400469427088</t>
  </si>
  <si>
    <t>46942708</t>
  </si>
  <si>
    <t>28W T/L</t>
  </si>
  <si>
    <t>400492338535</t>
  </si>
  <si>
    <t>49233853</t>
  </si>
  <si>
    <t>400642689555</t>
  </si>
  <si>
    <t>64268955</t>
  </si>
  <si>
    <t>30W T/L</t>
  </si>
  <si>
    <t>400492338542</t>
  </si>
  <si>
    <t>49233854</t>
  </si>
  <si>
    <t>400469379516</t>
  </si>
  <si>
    <t>46937951</t>
  </si>
  <si>
    <t>6093057</t>
  </si>
  <si>
    <t>Women's Sonoma Goods For Life® Shrunken Jacket</t>
  </si>
  <si>
    <t>Black Wash Denim</t>
  </si>
  <si>
    <t>400469379523</t>
  </si>
  <si>
    <t>46937952</t>
  </si>
  <si>
    <t>400469379530</t>
  </si>
  <si>
    <t>46937953</t>
  </si>
  <si>
    <t>400469379547</t>
  </si>
  <si>
    <t>46937954</t>
  </si>
  <si>
    <t>464</t>
  </si>
  <si>
    <t>400469379615</t>
  </si>
  <si>
    <t>46937961</t>
  </si>
  <si>
    <t>400582262641</t>
  </si>
  <si>
    <t>58226264</t>
  </si>
  <si>
    <t>400582262757</t>
  </si>
  <si>
    <t>58226275</t>
  </si>
  <si>
    <t>Tan</t>
  </si>
  <si>
    <t>400469379622</t>
  </si>
  <si>
    <t>46937962</t>
  </si>
  <si>
    <t>481</t>
  </si>
  <si>
    <t>400582262658</t>
  </si>
  <si>
    <t>58226265</t>
  </si>
  <si>
    <t>400582262818</t>
  </si>
  <si>
    <t>58226281</t>
  </si>
  <si>
    <t>196607360903</t>
  </si>
  <si>
    <t>19867787</t>
  </si>
  <si>
    <t>3603356</t>
  </si>
  <si>
    <t>Big &amp; Tall Nike Sportswear Club Logo Pullover Hoodie</t>
  </si>
  <si>
    <t>Light Bone White</t>
  </si>
  <si>
    <t>195365520017</t>
  </si>
  <si>
    <t>38002786</t>
  </si>
  <si>
    <t>344</t>
  </si>
  <si>
    <t>6107859</t>
  </si>
  <si>
    <t>Men's ZeroXposur Cruise Midweight Hooded Puffer Jacket</t>
  </si>
  <si>
    <t>195365519295</t>
  </si>
  <si>
    <t>38002771</t>
  </si>
  <si>
    <t>195365520024</t>
  </si>
  <si>
    <t>38002787</t>
  </si>
  <si>
    <t>195365519387</t>
  </si>
  <si>
    <t>38002777</t>
  </si>
  <si>
    <t>195365519301</t>
  </si>
  <si>
    <t>38002772</t>
  </si>
  <si>
    <t>195365519868</t>
  </si>
  <si>
    <t>64275023</t>
  </si>
  <si>
    <t>195365519547</t>
  </si>
  <si>
    <t>64275018</t>
  </si>
  <si>
    <t>195365519462</t>
  </si>
  <si>
    <t>64275028</t>
  </si>
  <si>
    <t>Copper</t>
  </si>
  <si>
    <t>195365519394</t>
  </si>
  <si>
    <t>38002778</t>
  </si>
  <si>
    <t>515</t>
  </si>
  <si>
    <t>195365520031</t>
  </si>
  <si>
    <t>38002788</t>
  </si>
  <si>
    <t>195365519318</t>
  </si>
  <si>
    <t>38002773</t>
  </si>
  <si>
    <t>195365519479</t>
  </si>
  <si>
    <t>64275029</t>
  </si>
  <si>
    <t>195365519554</t>
  </si>
  <si>
    <t>64275019</t>
  </si>
  <si>
    <t>195365519875</t>
  </si>
  <si>
    <t>64275024</t>
  </si>
  <si>
    <t>195365519400</t>
  </si>
  <si>
    <t>38002779</t>
  </si>
  <si>
    <t>195365520048</t>
  </si>
  <si>
    <t>38002789</t>
  </si>
  <si>
    <t>422</t>
  </si>
  <si>
    <t>195365519325</t>
  </si>
  <si>
    <t>38002774</t>
  </si>
  <si>
    <t>195365519486</t>
  </si>
  <si>
    <t>64275030</t>
  </si>
  <si>
    <t>195365519882</t>
  </si>
  <si>
    <t>64275025</t>
  </si>
  <si>
    <t>400332681685</t>
  </si>
  <si>
    <t>33268168</t>
  </si>
  <si>
    <t>4470907</t>
  </si>
  <si>
    <t>Plus Size Croft &amp; Barrow® Essential Crewneck Long Sleeve Tee</t>
  </si>
  <si>
    <t>400332681623</t>
  </si>
  <si>
    <t>33268162</t>
  </si>
  <si>
    <t>400818532999</t>
  </si>
  <si>
    <t>81853299</t>
  </si>
  <si>
    <t>400459862547</t>
  </si>
  <si>
    <t>45986254</t>
  </si>
  <si>
    <t>Cream Navy Stripe</t>
  </si>
  <si>
    <t>400595248687</t>
  </si>
  <si>
    <t>59524868</t>
  </si>
  <si>
    <t>River Navy</t>
  </si>
  <si>
    <t>400648407818</t>
  </si>
  <si>
    <t>64840781</t>
  </si>
  <si>
    <t>Black Medallion</t>
  </si>
  <si>
    <t>400441556348</t>
  </si>
  <si>
    <t>44155634</t>
  </si>
  <si>
    <t>Winter Cardinal</t>
  </si>
  <si>
    <t>400441556287</t>
  </si>
  <si>
    <t>44155628</t>
  </si>
  <si>
    <t>Black Tapestry</t>
  </si>
  <si>
    <t>400515776139</t>
  </si>
  <si>
    <t>51577613</t>
  </si>
  <si>
    <t>Beige Paisley Leaf</t>
  </si>
  <si>
    <t>400515776122</t>
  </si>
  <si>
    <t>51577612</t>
  </si>
  <si>
    <t>Black Carved Leaf</t>
  </si>
  <si>
    <t>400688416054</t>
  </si>
  <si>
    <t>68841605</t>
  </si>
  <si>
    <t>400332681630</t>
  </si>
  <si>
    <t>33268163</t>
  </si>
  <si>
    <t>804</t>
  </si>
  <si>
    <t>400459862554</t>
  </si>
  <si>
    <t>45986255</t>
  </si>
  <si>
    <t>400818533002</t>
  </si>
  <si>
    <t>81853300</t>
  </si>
  <si>
    <t>1166</t>
  </si>
  <si>
    <t>400332681692</t>
  </si>
  <si>
    <t>33268169</t>
  </si>
  <si>
    <t>506</t>
  </si>
  <si>
    <t>400595248694</t>
  </si>
  <si>
    <t>59524869</t>
  </si>
  <si>
    <t>945</t>
  </si>
  <si>
    <t>400648407825</t>
  </si>
  <si>
    <t>64840782</t>
  </si>
  <si>
    <t>400375360738</t>
  </si>
  <si>
    <t>37536073</t>
  </si>
  <si>
    <t>1573</t>
  </si>
  <si>
    <t>400375361230</t>
  </si>
  <si>
    <t>37536123</t>
  </si>
  <si>
    <t>1338</t>
  </si>
  <si>
    <t>400688416061</t>
  </si>
  <si>
    <t>68841606</t>
  </si>
  <si>
    <t>649</t>
  </si>
  <si>
    <t>400332681647</t>
  </si>
  <si>
    <t>33268164</t>
  </si>
  <si>
    <t>1777</t>
  </si>
  <si>
    <t>400459862561</t>
  </si>
  <si>
    <t>45986256</t>
  </si>
  <si>
    <t>400332681708</t>
  </si>
  <si>
    <t>33268170</t>
  </si>
  <si>
    <t>1083</t>
  </si>
  <si>
    <t>400818533019</t>
  </si>
  <si>
    <t>81853301</t>
  </si>
  <si>
    <t>2491</t>
  </si>
  <si>
    <t>400595248748</t>
  </si>
  <si>
    <t>59524874</t>
  </si>
  <si>
    <t>1359</t>
  </si>
  <si>
    <t>400648407887</t>
  </si>
  <si>
    <t>64840788</t>
  </si>
  <si>
    <t>535</t>
  </si>
  <si>
    <t>400688416078</t>
  </si>
  <si>
    <t>68841607</t>
  </si>
  <si>
    <t>857</t>
  </si>
  <si>
    <t>400375361339</t>
  </si>
  <si>
    <t>37536133</t>
  </si>
  <si>
    <t>1846</t>
  </si>
  <si>
    <t>400375360837</t>
  </si>
  <si>
    <t>37536083</t>
  </si>
  <si>
    <t>2495</t>
  </si>
  <si>
    <t>400332681654</t>
  </si>
  <si>
    <t>33268165</t>
  </si>
  <si>
    <t>1117</t>
  </si>
  <si>
    <t>400459862578</t>
  </si>
  <si>
    <t>45986257</t>
  </si>
  <si>
    <t>302</t>
  </si>
  <si>
    <t>400332681715</t>
  </si>
  <si>
    <t>33268171</t>
  </si>
  <si>
    <t>400818533026</t>
  </si>
  <si>
    <t>81853302</t>
  </si>
  <si>
    <t>1935</t>
  </si>
  <si>
    <t>400595248755</t>
  </si>
  <si>
    <t>59524875</t>
  </si>
  <si>
    <t>927</t>
  </si>
  <si>
    <t>400648407894</t>
  </si>
  <si>
    <t>64840789</t>
  </si>
  <si>
    <t>400688416139</t>
  </si>
  <si>
    <t>68841613</t>
  </si>
  <si>
    <t>714</t>
  </si>
  <si>
    <t>400441556379</t>
  </si>
  <si>
    <t>44155637</t>
  </si>
  <si>
    <t>400375361438</t>
  </si>
  <si>
    <t>37536143</t>
  </si>
  <si>
    <t>1310</t>
  </si>
  <si>
    <t>400375360936</t>
  </si>
  <si>
    <t>37536093</t>
  </si>
  <si>
    <t>1686</t>
  </si>
  <si>
    <t>400807878619</t>
  </si>
  <si>
    <t>80787861</t>
  </si>
  <si>
    <t>400332681661</t>
  </si>
  <si>
    <t>33268166</t>
  </si>
  <si>
    <t>400459862585</t>
  </si>
  <si>
    <t>45986258</t>
  </si>
  <si>
    <t>400332681722</t>
  </si>
  <si>
    <t>33268172</t>
  </si>
  <si>
    <t>400818533088</t>
  </si>
  <si>
    <t>81853308</t>
  </si>
  <si>
    <t>1003</t>
  </si>
  <si>
    <t>400595248762</t>
  </si>
  <si>
    <t>59524876</t>
  </si>
  <si>
    <t>400648407900</t>
  </si>
  <si>
    <t>64840790</t>
  </si>
  <si>
    <t>400441556386</t>
  </si>
  <si>
    <t>44155638</t>
  </si>
  <si>
    <t>400375360639</t>
  </si>
  <si>
    <t>37536063</t>
  </si>
  <si>
    <t>400375361131</t>
  </si>
  <si>
    <t>37536113</t>
  </si>
  <si>
    <t>400688416146</t>
  </si>
  <si>
    <t>68841614</t>
  </si>
  <si>
    <t>400807878626</t>
  </si>
  <si>
    <t>80787862</t>
  </si>
  <si>
    <t>5X</t>
  </si>
  <si>
    <t>400717779082</t>
  </si>
  <si>
    <t>71777908</t>
  </si>
  <si>
    <t>400717779181</t>
  </si>
  <si>
    <t>71777918</t>
  </si>
  <si>
    <t>269</t>
  </si>
  <si>
    <t>400717779280</t>
  </si>
  <si>
    <t>71777928</t>
  </si>
  <si>
    <t>353</t>
  </si>
  <si>
    <t>400332681678</t>
  </si>
  <si>
    <t>33268167</t>
  </si>
  <si>
    <t>400459862592</t>
  </si>
  <si>
    <t>45986259</t>
  </si>
  <si>
    <t>400332681739</t>
  </si>
  <si>
    <t>33268173</t>
  </si>
  <si>
    <t>400818533095</t>
  </si>
  <si>
    <t>81853309</t>
  </si>
  <si>
    <t>475</t>
  </si>
  <si>
    <t>400595248779</t>
  </si>
  <si>
    <t>59524877</t>
  </si>
  <si>
    <t>400648407917</t>
  </si>
  <si>
    <t>64840791</t>
  </si>
  <si>
    <t>400648407801</t>
  </si>
  <si>
    <t>64840780</t>
  </si>
  <si>
    <t>Navy Antique Floral</t>
  </si>
  <si>
    <t>400688416153</t>
  </si>
  <si>
    <t>68841615</t>
  </si>
  <si>
    <t>400441556331</t>
  </si>
  <si>
    <t>44155633</t>
  </si>
  <si>
    <t>400441556393</t>
  </si>
  <si>
    <t>44155639</t>
  </si>
  <si>
    <t>400375361032</t>
  </si>
  <si>
    <t>37536103</t>
  </si>
  <si>
    <t>400375361537</t>
  </si>
  <si>
    <t>37536153</t>
  </si>
  <si>
    <t>Boys 8-20 adidas Tiro 23 League Pants</t>
  </si>
  <si>
    <t>400592716752</t>
  </si>
  <si>
    <t>59271675</t>
  </si>
  <si>
    <t>511</t>
  </si>
  <si>
    <t>5576174</t>
  </si>
  <si>
    <t>Women's Tek Gear® Weekend French Terry Ankle Pants</t>
  </si>
  <si>
    <t>400592716769</t>
  </si>
  <si>
    <t>59271676</t>
  </si>
  <si>
    <t>1645</t>
  </si>
  <si>
    <t>400592716776</t>
  </si>
  <si>
    <t>59271677</t>
  </si>
  <si>
    <t>3690</t>
  </si>
  <si>
    <t>400592716783</t>
  </si>
  <si>
    <t>59271678</t>
  </si>
  <si>
    <t>4003</t>
  </si>
  <si>
    <t>400592716790</t>
  </si>
  <si>
    <t>59271679</t>
  </si>
  <si>
    <t>2541</t>
  </si>
  <si>
    <t>400592716806</t>
  </si>
  <si>
    <t>59271680</t>
  </si>
  <si>
    <t>1021</t>
  </si>
  <si>
    <t>400770973717</t>
  </si>
  <si>
    <t>77097371</t>
  </si>
  <si>
    <t>5687037</t>
  </si>
  <si>
    <t>Boys 8-20 Sonoma Goods For Life® Shawl Neck Sweater in Regular &amp; Husky</t>
  </si>
  <si>
    <t>400770974035</t>
  </si>
  <si>
    <t>77097403</t>
  </si>
  <si>
    <t>400691337476</t>
  </si>
  <si>
    <t>69133747</t>
  </si>
  <si>
    <t>883</t>
  </si>
  <si>
    <t>400770974042</t>
  </si>
  <si>
    <t>77097404</t>
  </si>
  <si>
    <t>400691337483</t>
  </si>
  <si>
    <t>69133748</t>
  </si>
  <si>
    <t>1779</t>
  </si>
  <si>
    <t>400770973731</t>
  </si>
  <si>
    <t>77097373</t>
  </si>
  <si>
    <t>391</t>
  </si>
  <si>
    <t>400770974097</t>
  </si>
  <si>
    <t>77097409</t>
  </si>
  <si>
    <t>400770974011</t>
  </si>
  <si>
    <t>77097401</t>
  </si>
  <si>
    <t>400691337568</t>
  </si>
  <si>
    <t>69133756</t>
  </si>
  <si>
    <t>2026</t>
  </si>
  <si>
    <t>400770973748</t>
  </si>
  <si>
    <t>77097374</t>
  </si>
  <si>
    <t>400770974028</t>
  </si>
  <si>
    <t>77097402</t>
  </si>
  <si>
    <t>400691337575</t>
  </si>
  <si>
    <t>69133757</t>
  </si>
  <si>
    <t>896</t>
  </si>
  <si>
    <t>400738571115</t>
  </si>
  <si>
    <t>73857111</t>
  </si>
  <si>
    <t>400738570712</t>
  </si>
  <si>
    <t>73857071</t>
  </si>
  <si>
    <t>400738571016</t>
  </si>
  <si>
    <t>73857101</t>
  </si>
  <si>
    <t>400738570811</t>
  </si>
  <si>
    <t>73857081</t>
  </si>
  <si>
    <t>400805936878</t>
  </si>
  <si>
    <t>80593687</t>
  </si>
  <si>
    <t>400805936885</t>
  </si>
  <si>
    <t>80593688</t>
  </si>
  <si>
    <t>400735921081</t>
  </si>
  <si>
    <t>73592108</t>
  </si>
  <si>
    <t>7081564</t>
  </si>
  <si>
    <t>Women's Tek Gear® Ultrastretch High-Waisted Side Pocket 7/8 Leggings</t>
  </si>
  <si>
    <t>Aruba Bay</t>
  </si>
  <si>
    <t>400735921135</t>
  </si>
  <si>
    <t>73592113</t>
  </si>
  <si>
    <t>400735921142</t>
  </si>
  <si>
    <t>73592114</t>
  </si>
  <si>
    <t>400735921159</t>
  </si>
  <si>
    <t>73592115</t>
  </si>
  <si>
    <t>400735921166</t>
  </si>
  <si>
    <t>73592116</t>
  </si>
  <si>
    <t>400629262337</t>
  </si>
  <si>
    <t>62926233</t>
  </si>
  <si>
    <t>6798976</t>
  </si>
  <si>
    <t>Women's LC Lauren Conrad Button Front Ruffle Top</t>
  </si>
  <si>
    <t>Khaki Georgia Stripe</t>
  </si>
  <si>
    <t>400629262214</t>
  </si>
  <si>
    <t>62926221</t>
  </si>
  <si>
    <t>White Georgia Stripe</t>
  </si>
  <si>
    <t>400629262221</t>
  </si>
  <si>
    <t>62926222</t>
  </si>
  <si>
    <t>400629262405</t>
  </si>
  <si>
    <t>62926240</t>
  </si>
  <si>
    <t>400629262238</t>
  </si>
  <si>
    <t>62926223</t>
  </si>
  <si>
    <t>400629262412</t>
  </si>
  <si>
    <t>62926241</t>
  </si>
  <si>
    <t>Men's adidas Essentials Tapered Fleece Cargo Pants</t>
  </si>
  <si>
    <t>195365504659</t>
  </si>
  <si>
    <t>65832870</t>
  </si>
  <si>
    <t>6119593</t>
  </si>
  <si>
    <t>Boys 4-20 ZeroXposur Heavyweight Puffer Jacket</t>
  </si>
  <si>
    <t>XS(4/5)</t>
  </si>
  <si>
    <t>195365504413</t>
  </si>
  <si>
    <t>65832862</t>
  </si>
  <si>
    <t>195365504666</t>
  </si>
  <si>
    <t>65832871</t>
  </si>
  <si>
    <t>741</t>
  </si>
  <si>
    <t>S(6/7)</t>
  </si>
  <si>
    <t>195365504604</t>
  </si>
  <si>
    <t>65832869</t>
  </si>
  <si>
    <t>Navy Camo</t>
  </si>
  <si>
    <t>195365504482</t>
  </si>
  <si>
    <t>65832865</t>
  </si>
  <si>
    <t>195365504420</t>
  </si>
  <si>
    <t>65832863</t>
  </si>
  <si>
    <t>542</t>
  </si>
  <si>
    <t>195365504598</t>
  </si>
  <si>
    <t>65832868</t>
  </si>
  <si>
    <t>195365504154</t>
  </si>
  <si>
    <t>69117946</t>
  </si>
  <si>
    <t>XL (14/16)</t>
  </si>
  <si>
    <t>195365504277</t>
  </si>
  <si>
    <t>69117958</t>
  </si>
  <si>
    <t>Mid Heather Gray</t>
  </si>
  <si>
    <t>195365504338</t>
  </si>
  <si>
    <t>69117966</t>
  </si>
  <si>
    <t>400293809500</t>
  </si>
  <si>
    <t>29380950</t>
  </si>
  <si>
    <t>5654091</t>
  </si>
  <si>
    <t>400557270558</t>
  </si>
  <si>
    <t>55727055</t>
  </si>
  <si>
    <t>Solid Dark</t>
  </si>
  <si>
    <t>400293809517</t>
  </si>
  <si>
    <t>29380951</t>
  </si>
  <si>
    <t>400557270541</t>
  </si>
  <si>
    <t>55727054</t>
  </si>
  <si>
    <t>400547658045</t>
  </si>
  <si>
    <t>54765804</t>
  </si>
  <si>
    <t>196457871376</t>
  </si>
  <si>
    <t>74372187</t>
  </si>
  <si>
    <t>6422972</t>
  </si>
  <si>
    <t>Men's Wrangler ATG Chino Pants</t>
  </si>
  <si>
    <t>Wrangler</t>
  </si>
  <si>
    <t>Dark Shadow</t>
  </si>
  <si>
    <t>30X30</t>
  </si>
  <si>
    <t>196457871352</t>
  </si>
  <si>
    <t>45996525</t>
  </si>
  <si>
    <t>Deep Depths</t>
  </si>
  <si>
    <t>196457871932</t>
  </si>
  <si>
    <t>77011896</t>
  </si>
  <si>
    <t>Kangaroo</t>
  </si>
  <si>
    <t>196457871420</t>
  </si>
  <si>
    <t>46806650</t>
  </si>
  <si>
    <t>196457871390</t>
  </si>
  <si>
    <t>45996526</t>
  </si>
  <si>
    <t>30X32</t>
  </si>
  <si>
    <t>196457871512</t>
  </si>
  <si>
    <t>74372193</t>
  </si>
  <si>
    <t>196457871994</t>
  </si>
  <si>
    <t>77011897</t>
  </si>
  <si>
    <t>196457871437</t>
  </si>
  <si>
    <t>46806651</t>
  </si>
  <si>
    <t>196457871796</t>
  </si>
  <si>
    <t>29814890</t>
  </si>
  <si>
    <t>Jet Black</t>
  </si>
  <si>
    <t>32X30</t>
  </si>
  <si>
    <t>196457872007</t>
  </si>
  <si>
    <t>45996527</t>
  </si>
  <si>
    <t>196457872014</t>
  </si>
  <si>
    <t>74372194</t>
  </si>
  <si>
    <t>196457872595</t>
  </si>
  <si>
    <t>77011899</t>
  </si>
  <si>
    <t>196457871482</t>
  </si>
  <si>
    <t>46806652</t>
  </si>
  <si>
    <t>196457872731</t>
  </si>
  <si>
    <t>77011900</t>
  </si>
  <si>
    <t>32X32</t>
  </si>
  <si>
    <t>196457872045</t>
  </si>
  <si>
    <t>45996528</t>
  </si>
  <si>
    <t>196457873080</t>
  </si>
  <si>
    <t>77011901</t>
  </si>
  <si>
    <t>34X30</t>
  </si>
  <si>
    <t>196457872632</t>
  </si>
  <si>
    <t>29814892</t>
  </si>
  <si>
    <t>196457872649</t>
  </si>
  <si>
    <t>45996529</t>
  </si>
  <si>
    <t>196457872656</t>
  </si>
  <si>
    <t>74372196</t>
  </si>
  <si>
    <t>196457872267</t>
  </si>
  <si>
    <t>46806654</t>
  </si>
  <si>
    <t>196457873318</t>
  </si>
  <si>
    <t>77011902</t>
  </si>
  <si>
    <t>34X32</t>
  </si>
  <si>
    <t>196457872663</t>
  </si>
  <si>
    <t>29814893</t>
  </si>
  <si>
    <t>196457872687</t>
  </si>
  <si>
    <t>74372197</t>
  </si>
  <si>
    <t>196457872670</t>
  </si>
  <si>
    <t>45996530</t>
  </si>
  <si>
    <t>196457872281</t>
  </si>
  <si>
    <t>46806655</t>
  </si>
  <si>
    <t>196457873325</t>
  </si>
  <si>
    <t>77011904</t>
  </si>
  <si>
    <t>34X34</t>
  </si>
  <si>
    <t>196457872915</t>
  </si>
  <si>
    <t>74372203</t>
  </si>
  <si>
    <t>196457872694</t>
  </si>
  <si>
    <t>45996531</t>
  </si>
  <si>
    <t>196457873332</t>
  </si>
  <si>
    <t>77011905</t>
  </si>
  <si>
    <t>36X30</t>
  </si>
  <si>
    <t>196457872946</t>
  </si>
  <si>
    <t>74372204</t>
  </si>
  <si>
    <t>196457872939</t>
  </si>
  <si>
    <t>29814897</t>
  </si>
  <si>
    <t>196457872922</t>
  </si>
  <si>
    <t>45996532</t>
  </si>
  <si>
    <t>196457872830</t>
  </si>
  <si>
    <t>46806657</t>
  </si>
  <si>
    <t>196457873349</t>
  </si>
  <si>
    <t>77011906</t>
  </si>
  <si>
    <t>36X32</t>
  </si>
  <si>
    <t>196457872977</t>
  </si>
  <si>
    <t>74372205</t>
  </si>
  <si>
    <t>196457872960</t>
  </si>
  <si>
    <t>45996533</t>
  </si>
  <si>
    <t>196457872953</t>
  </si>
  <si>
    <t>29814898</t>
  </si>
  <si>
    <t>196457872854</t>
  </si>
  <si>
    <t>46806658</t>
  </si>
  <si>
    <t>196457872991</t>
  </si>
  <si>
    <t>74372206</t>
  </si>
  <si>
    <t>36X34</t>
  </si>
  <si>
    <t>196457873356</t>
  </si>
  <si>
    <t>77011907</t>
  </si>
  <si>
    <t>196457873103</t>
  </si>
  <si>
    <t>45996534</t>
  </si>
  <si>
    <t>196457872984</t>
  </si>
  <si>
    <t>29814899</t>
  </si>
  <si>
    <t>196457872878</t>
  </si>
  <si>
    <t>46806659</t>
  </si>
  <si>
    <t>196457873127</t>
  </si>
  <si>
    <t>74372207</t>
  </si>
  <si>
    <t>196457873363</t>
  </si>
  <si>
    <t>77011909</t>
  </si>
  <si>
    <t>196457873134</t>
  </si>
  <si>
    <t>45996535</t>
  </si>
  <si>
    <t>196457873110</t>
  </si>
  <si>
    <t>29814900</t>
  </si>
  <si>
    <t>196457872892</t>
  </si>
  <si>
    <t>46806660</t>
  </si>
  <si>
    <t>196457873370</t>
  </si>
  <si>
    <t>77011910</t>
  </si>
  <si>
    <t>38X32</t>
  </si>
  <si>
    <t>196457873158</t>
  </si>
  <si>
    <t>74372213</t>
  </si>
  <si>
    <t>196457873165</t>
  </si>
  <si>
    <t>45996536</t>
  </si>
  <si>
    <t>196457873219</t>
  </si>
  <si>
    <t>46806661</t>
  </si>
  <si>
    <t>196457873837</t>
  </si>
  <si>
    <t>77011912</t>
  </si>
  <si>
    <t>42X32</t>
  </si>
  <si>
    <t>400556745262</t>
  </si>
  <si>
    <t>55674526</t>
  </si>
  <si>
    <t>404</t>
  </si>
  <si>
    <t>6103026</t>
  </si>
  <si>
    <t>Juniors' SO Ribbed 7/8 Leggings</t>
  </si>
  <si>
    <t>SO</t>
  </si>
  <si>
    <t>Black Rib</t>
  </si>
  <si>
    <t>400556745279</t>
  </si>
  <si>
    <t>55674527</t>
  </si>
  <si>
    <t>980</t>
  </si>
  <si>
    <t>400556745286</t>
  </si>
  <si>
    <t>55674528</t>
  </si>
  <si>
    <t>868</t>
  </si>
  <si>
    <t>400556745293</t>
  </si>
  <si>
    <t>55674529</t>
  </si>
  <si>
    <t>400556745309</t>
  </si>
  <si>
    <t>55674530</t>
  </si>
  <si>
    <t>086569493569</t>
  </si>
  <si>
    <t>62433863</t>
  </si>
  <si>
    <t>4816722</t>
  </si>
  <si>
    <t>Madison Park Lance Counter Stool</t>
  </si>
  <si>
    <t>Madison Park</t>
  </si>
  <si>
    <t>Reclaimed Gray</t>
  </si>
  <si>
    <t>Fisher-Price B.B. Hoopster Kids Basketball Toy</t>
  </si>
  <si>
    <t>Fisher-Price</t>
  </si>
  <si>
    <t>197567005279</t>
  </si>
  <si>
    <t>56093084</t>
  </si>
  <si>
    <t>Women's Miss Elaine Essentials Silky Knit Short Gown</t>
  </si>
  <si>
    <t>Miss Elaine Essentials</t>
  </si>
  <si>
    <t>Blue Print</t>
  </si>
  <si>
    <t>197567005194</t>
  </si>
  <si>
    <t>30008116</t>
  </si>
  <si>
    <t>197567005316</t>
  </si>
  <si>
    <t>56093088</t>
  </si>
  <si>
    <t>Pink Print</t>
  </si>
  <si>
    <t>197567005231</t>
  </si>
  <si>
    <t>30008133</t>
  </si>
  <si>
    <t>Peach</t>
  </si>
  <si>
    <t>028266900575</t>
  </si>
  <si>
    <t>76789948</t>
  </si>
  <si>
    <t>197567012871</t>
  </si>
  <si>
    <t>37640917</t>
  </si>
  <si>
    <t>Pink Print 2</t>
  </si>
  <si>
    <t>197567012888</t>
  </si>
  <si>
    <t>37640924</t>
  </si>
  <si>
    <t>Floral Bouquets</t>
  </si>
  <si>
    <t>197567005286</t>
  </si>
  <si>
    <t>56093085</t>
  </si>
  <si>
    <t>197567005248</t>
  </si>
  <si>
    <t>30008134</t>
  </si>
  <si>
    <t>197567005323</t>
  </si>
  <si>
    <t>56093089</t>
  </si>
  <si>
    <t>028266900544</t>
  </si>
  <si>
    <t>76789945</t>
  </si>
  <si>
    <t>028266913964</t>
  </si>
  <si>
    <t>75436268</t>
  </si>
  <si>
    <t>Blue Floral</t>
  </si>
  <si>
    <t>197567005200</t>
  </si>
  <si>
    <t>30008123</t>
  </si>
  <si>
    <t>028266900698</t>
  </si>
  <si>
    <t>37922584</t>
  </si>
  <si>
    <t>197567005255</t>
  </si>
  <si>
    <t>30008136</t>
  </si>
  <si>
    <t>197567005217</t>
  </si>
  <si>
    <t>30008124</t>
  </si>
  <si>
    <t>028266900704</t>
  </si>
  <si>
    <t>37922585</t>
  </si>
  <si>
    <t>197567005224</t>
  </si>
  <si>
    <t>30008126</t>
  </si>
  <si>
    <t>197567005262</t>
  </si>
  <si>
    <t>30008143</t>
  </si>
  <si>
    <t>197571058865</t>
  </si>
  <si>
    <t>80551142</t>
  </si>
  <si>
    <t>6431038</t>
  </si>
  <si>
    <t>Toddler Girl Blueberi Boulevard Fit and Flare Lace Dress</t>
  </si>
  <si>
    <t>Blueberi Boulevard</t>
  </si>
  <si>
    <t>2T</t>
  </si>
  <si>
    <t>191315805807</t>
  </si>
  <si>
    <t>63625545</t>
  </si>
  <si>
    <t>5061893</t>
  </si>
  <si>
    <t>Big &amp; Tall Apt. 9® Premier Flex Spread-Collar Dress Shirt</t>
  </si>
  <si>
    <t>White Black Dot Print</t>
  </si>
  <si>
    <t>LT 36/37</t>
  </si>
  <si>
    <t>191315805883</t>
  </si>
  <si>
    <t>63625529</t>
  </si>
  <si>
    <t>400294044993</t>
  </si>
  <si>
    <t>29404499</t>
  </si>
  <si>
    <t>Sky Modern</t>
  </si>
  <si>
    <t>LT 38/39</t>
  </si>
  <si>
    <t>191315805739</t>
  </si>
  <si>
    <t>65088502</t>
  </si>
  <si>
    <t>Grape Slub</t>
  </si>
  <si>
    <t>191315809119</t>
  </si>
  <si>
    <t>62689060</t>
  </si>
  <si>
    <t>Light Blue</t>
  </si>
  <si>
    <t>191315805890</t>
  </si>
  <si>
    <t>63625534</t>
  </si>
  <si>
    <t>191315805814</t>
  </si>
  <si>
    <t>63625546</t>
  </si>
  <si>
    <t>191315809195</t>
  </si>
  <si>
    <t>37515442</t>
  </si>
  <si>
    <t>Black Luxe</t>
  </si>
  <si>
    <t>191315805746</t>
  </si>
  <si>
    <t>65088507</t>
  </si>
  <si>
    <t>XLT 36/37</t>
  </si>
  <si>
    <t>191315809126</t>
  </si>
  <si>
    <t>62689070</t>
  </si>
  <si>
    <t>191315805821</t>
  </si>
  <si>
    <t>63625547</t>
  </si>
  <si>
    <t>191315805906</t>
  </si>
  <si>
    <t>63625535</t>
  </si>
  <si>
    <t>191315809201</t>
  </si>
  <si>
    <t>37515448</t>
  </si>
  <si>
    <t>191315809133</t>
  </si>
  <si>
    <t>62689080</t>
  </si>
  <si>
    <t>XLT 38/39</t>
  </si>
  <si>
    <t>191315805753</t>
  </si>
  <si>
    <t>65088508</t>
  </si>
  <si>
    <t>191315809294</t>
  </si>
  <si>
    <t>37515462</t>
  </si>
  <si>
    <t>191315809065</t>
  </si>
  <si>
    <t>62688990</t>
  </si>
  <si>
    <t>Steel</t>
  </si>
  <si>
    <t>191315805913</t>
  </si>
  <si>
    <t>63625536</t>
  </si>
  <si>
    <t>191315805838</t>
  </si>
  <si>
    <t>63625548</t>
  </si>
  <si>
    <t>191315809218</t>
  </si>
  <si>
    <t>37515449</t>
  </si>
  <si>
    <t>191315805920</t>
  </si>
  <si>
    <t>63625537</t>
  </si>
  <si>
    <t>2XLT 36/37</t>
  </si>
  <si>
    <t>191315805845</t>
  </si>
  <si>
    <t>63625549</t>
  </si>
  <si>
    <t>191315804985</t>
  </si>
  <si>
    <t>71628676</t>
  </si>
  <si>
    <t>2XB 34/35</t>
  </si>
  <si>
    <t>191315809348</t>
  </si>
  <si>
    <t>50112120</t>
  </si>
  <si>
    <t>217</t>
  </si>
  <si>
    <t>Wine</t>
  </si>
  <si>
    <t>191315805104</t>
  </si>
  <si>
    <t>69105886</t>
  </si>
  <si>
    <t>366</t>
  </si>
  <si>
    <t>191315805043</t>
  </si>
  <si>
    <t>69105896</t>
  </si>
  <si>
    <t>360</t>
  </si>
  <si>
    <t>191315809454</t>
  </si>
  <si>
    <t>30045653</t>
  </si>
  <si>
    <t>347</t>
  </si>
  <si>
    <t>191315808976</t>
  </si>
  <si>
    <t>80654806</t>
  </si>
  <si>
    <t>191315809393</t>
  </si>
  <si>
    <t>30045647</t>
  </si>
  <si>
    <t>191315804923</t>
  </si>
  <si>
    <t>71628687</t>
  </si>
  <si>
    <t>324</t>
  </si>
  <si>
    <t>191315804992</t>
  </si>
  <si>
    <t>71628677</t>
  </si>
  <si>
    <t>2XB 36/37</t>
  </si>
  <si>
    <t>191315809355</t>
  </si>
  <si>
    <t>50112121</t>
  </si>
  <si>
    <t>191315805111</t>
  </si>
  <si>
    <t>69105887</t>
  </si>
  <si>
    <t>425</t>
  </si>
  <si>
    <t>191315805050</t>
  </si>
  <si>
    <t>69105897</t>
  </si>
  <si>
    <t>191315809461</t>
  </si>
  <si>
    <t>30045654</t>
  </si>
  <si>
    <t>191315808983</t>
  </si>
  <si>
    <t>80654807</t>
  </si>
  <si>
    <t>359</t>
  </si>
  <si>
    <t>191315804930</t>
  </si>
  <si>
    <t>71628693</t>
  </si>
  <si>
    <t>385</t>
  </si>
  <si>
    <t>191315809409</t>
  </si>
  <si>
    <t>30045648</t>
  </si>
  <si>
    <t>191315809478</t>
  </si>
  <si>
    <t>30045655</t>
  </si>
  <si>
    <t>3XB 34/35</t>
  </si>
  <si>
    <t>191315809416</t>
  </si>
  <si>
    <t>30045649</t>
  </si>
  <si>
    <t>191315805135</t>
  </si>
  <si>
    <t>69105893</t>
  </si>
  <si>
    <t>3XB 36/37</t>
  </si>
  <si>
    <t>191315804954</t>
  </si>
  <si>
    <t>71628695</t>
  </si>
  <si>
    <t>191315809485</t>
  </si>
  <si>
    <t>30045656</t>
  </si>
  <si>
    <t>191315809003</t>
  </si>
  <si>
    <t>80654809</t>
  </si>
  <si>
    <t>191315805074</t>
  </si>
  <si>
    <t>69105903</t>
  </si>
  <si>
    <t>191315809423</t>
  </si>
  <si>
    <t>30045650</t>
  </si>
  <si>
    <t>191315805142</t>
  </si>
  <si>
    <t>69105894</t>
  </si>
  <si>
    <t>4XB 34/35</t>
  </si>
  <si>
    <t>191315809492</t>
  </si>
  <si>
    <t>30045657</t>
  </si>
  <si>
    <t>191315809010</t>
  </si>
  <si>
    <t>80654810</t>
  </si>
  <si>
    <t>191315805081</t>
  </si>
  <si>
    <t>69105904</t>
  </si>
  <si>
    <t>191315809430</t>
  </si>
  <si>
    <t>30045651</t>
  </si>
  <si>
    <t>191315805159</t>
  </si>
  <si>
    <t>69105895</t>
  </si>
  <si>
    <t>4XB 36/37</t>
  </si>
  <si>
    <t>191315809508</t>
  </si>
  <si>
    <t>30045658</t>
  </si>
  <si>
    <t>191315809027</t>
  </si>
  <si>
    <t>80654811</t>
  </si>
  <si>
    <t>191315809447</t>
  </si>
  <si>
    <t>30045652</t>
  </si>
  <si>
    <t>400831489089</t>
  </si>
  <si>
    <t>83148908</t>
  </si>
  <si>
    <t>6477805</t>
  </si>
  <si>
    <t>Women's Sonoma Goods For Life® Boatneck Crochet Sweater</t>
  </si>
  <si>
    <t>Cream And Tan Stripe</t>
  </si>
  <si>
    <t>400725412872</t>
  </si>
  <si>
    <t>72541287</t>
  </si>
  <si>
    <t>Valen River</t>
  </si>
  <si>
    <t>400831489218</t>
  </si>
  <si>
    <t>83148921</t>
  </si>
  <si>
    <t>Gray And Cream Stripe</t>
  </si>
  <si>
    <t>400831489140</t>
  </si>
  <si>
    <t>83148914</t>
  </si>
  <si>
    <t>Cream And Navy Stripe</t>
  </si>
  <si>
    <t>400831489096</t>
  </si>
  <si>
    <t>83148909</t>
  </si>
  <si>
    <t>400725412889</t>
  </si>
  <si>
    <t>72541288</t>
  </si>
  <si>
    <t>400831489225</t>
  </si>
  <si>
    <t>83148922</t>
  </si>
  <si>
    <t>400831489164</t>
  </si>
  <si>
    <t>83148916</t>
  </si>
  <si>
    <t>196575206296</t>
  </si>
  <si>
    <t>37548539</t>
  </si>
  <si>
    <t>6347843</t>
  </si>
  <si>
    <t>Vans® Ward Men's Sneakers</t>
  </si>
  <si>
    <t>Port Blue</t>
  </si>
  <si>
    <t>196575206432</t>
  </si>
  <si>
    <t>37548540</t>
  </si>
  <si>
    <t>196575206470</t>
  </si>
  <si>
    <t>37548541</t>
  </si>
  <si>
    <t>196575206609</t>
  </si>
  <si>
    <t>37548542</t>
  </si>
  <si>
    <t>196575206654</t>
  </si>
  <si>
    <t>37548548</t>
  </si>
  <si>
    <t>196575206692</t>
  </si>
  <si>
    <t>37548549</t>
  </si>
  <si>
    <t>196575206739</t>
  </si>
  <si>
    <t>37548550</t>
  </si>
  <si>
    <t>196575206777</t>
  </si>
  <si>
    <t>37548551</t>
  </si>
  <si>
    <t>10.5</t>
  </si>
  <si>
    <t>196575206913</t>
  </si>
  <si>
    <t>37548552</t>
  </si>
  <si>
    <t>196575206937</t>
  </si>
  <si>
    <t>37548558</t>
  </si>
  <si>
    <t>196064348377</t>
  </si>
  <si>
    <t>28239671</t>
  </si>
  <si>
    <t>5810674</t>
  </si>
  <si>
    <t>SO® Evalyn Girls' Slip-On Shoes</t>
  </si>
  <si>
    <t>Yellow Plaid</t>
  </si>
  <si>
    <t>196064348384</t>
  </si>
  <si>
    <t>28239672</t>
  </si>
  <si>
    <t>196064348391</t>
  </si>
  <si>
    <t>28239673</t>
  </si>
  <si>
    <t>196064348476</t>
  </si>
  <si>
    <t>63490838</t>
  </si>
  <si>
    <t>Pink Cord</t>
  </si>
  <si>
    <t>196064348407</t>
  </si>
  <si>
    <t>28239674</t>
  </si>
  <si>
    <t>196064348322</t>
  </si>
  <si>
    <t>80567737</t>
  </si>
  <si>
    <t>Purple Cord</t>
  </si>
  <si>
    <t>196064348414</t>
  </si>
  <si>
    <t>28239675</t>
  </si>
  <si>
    <t>196064348421</t>
  </si>
  <si>
    <t>28239676</t>
  </si>
  <si>
    <t>196064348506</t>
  </si>
  <si>
    <t>63490845</t>
  </si>
  <si>
    <t>400188484492</t>
  </si>
  <si>
    <t>18848449</t>
  </si>
  <si>
    <t>6255949</t>
  </si>
  <si>
    <t>Women's Nine West Bow Neck Button Down Top</t>
  </si>
  <si>
    <t>400188484508</t>
  </si>
  <si>
    <t>18848450</t>
  </si>
  <si>
    <t>400188484515</t>
  </si>
  <si>
    <t>18848451</t>
  </si>
  <si>
    <t>400188484454</t>
  </si>
  <si>
    <t>18848445</t>
  </si>
  <si>
    <t>White Knight</t>
  </si>
  <si>
    <t>400188484539</t>
  </si>
  <si>
    <t>18848453</t>
  </si>
  <si>
    <t>400188484461</t>
  </si>
  <si>
    <t>18848446</t>
  </si>
  <si>
    <t>400188484478</t>
  </si>
  <si>
    <t>18848447</t>
  </si>
  <si>
    <t>400282205719</t>
  </si>
  <si>
    <t>28220571</t>
  </si>
  <si>
    <t>3836996</t>
  </si>
  <si>
    <t>Women's Croft &amp; Barrow® Essential Long Sleeve V-Neck Tee</t>
  </si>
  <si>
    <t>Black Cream Stripe</t>
  </si>
  <si>
    <t>400282205573</t>
  </si>
  <si>
    <t>28220557</t>
  </si>
  <si>
    <t>400282206112</t>
  </si>
  <si>
    <t>28220611</t>
  </si>
  <si>
    <t>Red Whimsy Floral</t>
  </si>
  <si>
    <t>400282205726</t>
  </si>
  <si>
    <t>28220572</t>
  </si>
  <si>
    <t>400282206129</t>
  </si>
  <si>
    <t>28220612</t>
  </si>
  <si>
    <t>335</t>
  </si>
  <si>
    <t>400282205580</t>
  </si>
  <si>
    <t>28220558</t>
  </si>
  <si>
    <t>400749193436</t>
  </si>
  <si>
    <t>74919343</t>
  </si>
  <si>
    <t>True Green</t>
  </si>
  <si>
    <t>400282206136</t>
  </si>
  <si>
    <t>28220613</t>
  </si>
  <si>
    <t>436</t>
  </si>
  <si>
    <t>400282205733</t>
  </si>
  <si>
    <t>28220573</t>
  </si>
  <si>
    <t>400282205597</t>
  </si>
  <si>
    <t>28220559</t>
  </si>
  <si>
    <t>400282205740</t>
  </si>
  <si>
    <t>28220574</t>
  </si>
  <si>
    <t>480</t>
  </si>
  <si>
    <t>400282205610</t>
  </si>
  <si>
    <t>28220561</t>
  </si>
  <si>
    <t>400549463708</t>
  </si>
  <si>
    <t>54946370</t>
  </si>
  <si>
    <t>400282206143</t>
  </si>
  <si>
    <t>28220614</t>
  </si>
  <si>
    <t>470</t>
  </si>
  <si>
    <t>400282205757</t>
  </si>
  <si>
    <t>28220575</t>
  </si>
  <si>
    <t>500</t>
  </si>
  <si>
    <t>400282205627</t>
  </si>
  <si>
    <t>28220562</t>
  </si>
  <si>
    <t>400549463715</t>
  </si>
  <si>
    <t>54946371</t>
  </si>
  <si>
    <t>400282206150</t>
  </si>
  <si>
    <t>28220615</t>
  </si>
  <si>
    <t>400282205634</t>
  </si>
  <si>
    <t>28220563</t>
  </si>
  <si>
    <t>400282205764</t>
  </si>
  <si>
    <t>28220576</t>
  </si>
  <si>
    <t>400749193504</t>
  </si>
  <si>
    <t>74919350</t>
  </si>
  <si>
    <t>400549463722</t>
  </si>
  <si>
    <t>54946372</t>
  </si>
  <si>
    <t>400282206167</t>
  </si>
  <si>
    <t>28220616</t>
  </si>
  <si>
    <t>400179776872</t>
  </si>
  <si>
    <t>17977687</t>
  </si>
  <si>
    <t>716</t>
  </si>
  <si>
    <t>5008406</t>
  </si>
  <si>
    <t>Men's Tek Gear® Mixed Media Pullover</t>
  </si>
  <si>
    <t>Smokey Slate</t>
  </si>
  <si>
    <t>400179776889</t>
  </si>
  <si>
    <t>17977688</t>
  </si>
  <si>
    <t>400179776919</t>
  </si>
  <si>
    <t>17977691</t>
  </si>
  <si>
    <t>400378414438</t>
  </si>
  <si>
    <t>37841443</t>
  </si>
  <si>
    <t>6192233</t>
  </si>
  <si>
    <t>Girls 4-12 Jumping Beans Skinny Jeans</t>
  </si>
  <si>
    <t>Light Medium Wash</t>
  </si>
  <si>
    <t>400301339449</t>
  </si>
  <si>
    <t>30133944</t>
  </si>
  <si>
    <t>400308759257</t>
  </si>
  <si>
    <t>30875925</t>
  </si>
  <si>
    <t>400652353767</t>
  </si>
  <si>
    <t>65235376</t>
  </si>
  <si>
    <t>400188460878</t>
  </si>
  <si>
    <t>18846087</t>
  </si>
  <si>
    <t>Botanical Rose</t>
  </si>
  <si>
    <t>400301339333</t>
  </si>
  <si>
    <t>30133933</t>
  </si>
  <si>
    <t>400725437448</t>
  </si>
  <si>
    <t>72543744</t>
  </si>
  <si>
    <t>400654091247</t>
  </si>
  <si>
    <t>65409124</t>
  </si>
  <si>
    <t>400725437288</t>
  </si>
  <si>
    <t>72543728</t>
  </si>
  <si>
    <t>400301339340</t>
  </si>
  <si>
    <t>30133934</t>
  </si>
  <si>
    <t>400378414483</t>
  </si>
  <si>
    <t>37841448</t>
  </si>
  <si>
    <t>400725437455</t>
  </si>
  <si>
    <t>72543745</t>
  </si>
  <si>
    <t>400308759264</t>
  </si>
  <si>
    <t>30875926</t>
  </si>
  <si>
    <t>400725437332</t>
  </si>
  <si>
    <t>72543733</t>
  </si>
  <si>
    <t>400654091254</t>
  </si>
  <si>
    <t>65409125</t>
  </si>
  <si>
    <t>400652353774</t>
  </si>
  <si>
    <t>65235377</t>
  </si>
  <si>
    <t>400188460885</t>
  </si>
  <si>
    <t>18846088</t>
  </si>
  <si>
    <t>400301339357</t>
  </si>
  <si>
    <t>30133935</t>
  </si>
  <si>
    <t>400378414490</t>
  </si>
  <si>
    <t>37841449</t>
  </si>
  <si>
    <t>400725437349</t>
  </si>
  <si>
    <t>72543734</t>
  </si>
  <si>
    <t>400301339364</t>
  </si>
  <si>
    <t>30133936</t>
  </si>
  <si>
    <t>400378414506</t>
  </si>
  <si>
    <t>37841450</t>
  </si>
  <si>
    <t>400308759349</t>
  </si>
  <si>
    <t>30875934</t>
  </si>
  <si>
    <t>400725437479</t>
  </si>
  <si>
    <t>72543747</t>
  </si>
  <si>
    <t>400652353798</t>
  </si>
  <si>
    <t>65235379</t>
  </si>
  <si>
    <t>400654091278</t>
  </si>
  <si>
    <t>65409127</t>
  </si>
  <si>
    <t>400725437356</t>
  </si>
  <si>
    <t>72543735</t>
  </si>
  <si>
    <t>400188460908</t>
  </si>
  <si>
    <t>18846090</t>
  </si>
  <si>
    <t>400301339371</t>
  </si>
  <si>
    <t>30133937</t>
  </si>
  <si>
    <t>400308759356</t>
  </si>
  <si>
    <t>30875935</t>
  </si>
  <si>
    <t>400188460915</t>
  </si>
  <si>
    <t>18846091</t>
  </si>
  <si>
    <t>400654091339</t>
  </si>
  <si>
    <t>65409133</t>
  </si>
  <si>
    <t>400378414513</t>
  </si>
  <si>
    <t>37841451</t>
  </si>
  <si>
    <t>400725437530</t>
  </si>
  <si>
    <t>72543753</t>
  </si>
  <si>
    <t>400308759363</t>
  </si>
  <si>
    <t>30875936</t>
  </si>
  <si>
    <t>400301339494</t>
  </si>
  <si>
    <t>30133949</t>
  </si>
  <si>
    <t>400652353811</t>
  </si>
  <si>
    <t>65235381</t>
  </si>
  <si>
    <t>400378414520</t>
  </si>
  <si>
    <t>37841452</t>
  </si>
  <si>
    <t>400725437370</t>
  </si>
  <si>
    <t>72543737</t>
  </si>
  <si>
    <t>400654091346</t>
  </si>
  <si>
    <t>65409134</t>
  </si>
  <si>
    <t>400301339388</t>
  </si>
  <si>
    <t>30133938</t>
  </si>
  <si>
    <t>400725437547</t>
  </si>
  <si>
    <t>72543754</t>
  </si>
  <si>
    <t>400308759431</t>
  </si>
  <si>
    <t>30875943</t>
  </si>
  <si>
    <t>400188461035</t>
  </si>
  <si>
    <t>18846103</t>
  </si>
  <si>
    <t>400378414537</t>
  </si>
  <si>
    <t>37841453</t>
  </si>
  <si>
    <t>400652353828</t>
  </si>
  <si>
    <t>65235382</t>
  </si>
  <si>
    <t>400188460946</t>
  </si>
  <si>
    <t>18846094</t>
  </si>
  <si>
    <t>400301339395</t>
  </si>
  <si>
    <t>30133939</t>
  </si>
  <si>
    <t>400301339500</t>
  </si>
  <si>
    <t>30133950</t>
  </si>
  <si>
    <t>400654091353</t>
  </si>
  <si>
    <t>65409135</t>
  </si>
  <si>
    <t>167</t>
  </si>
  <si>
    <t>400725437387</t>
  </si>
  <si>
    <t>72543738</t>
  </si>
  <si>
    <t>400819358673</t>
  </si>
  <si>
    <t>81935867</t>
  </si>
  <si>
    <t>400301339401</t>
  </si>
  <si>
    <t>30133940</t>
  </si>
  <si>
    <t>260</t>
  </si>
  <si>
    <t>400378414582</t>
  </si>
  <si>
    <t>37841458</t>
  </si>
  <si>
    <t>181</t>
  </si>
  <si>
    <t>400503887243</t>
  </si>
  <si>
    <t>50388724</t>
  </si>
  <si>
    <t>400652353866</t>
  </si>
  <si>
    <t>65235386</t>
  </si>
  <si>
    <t>400188460953</t>
  </si>
  <si>
    <t>18846095</t>
  </si>
  <si>
    <t>400301339517</t>
  </si>
  <si>
    <t>30133951</t>
  </si>
  <si>
    <t>400308759448</t>
  </si>
  <si>
    <t>30875944</t>
  </si>
  <si>
    <t>275</t>
  </si>
  <si>
    <t>400725437431</t>
  </si>
  <si>
    <t>72543743</t>
  </si>
  <si>
    <t>400725437554</t>
  </si>
  <si>
    <t>72543755</t>
  </si>
  <si>
    <t>400654091360</t>
  </si>
  <si>
    <t>65409136</t>
  </si>
  <si>
    <t>400188461042</t>
  </si>
  <si>
    <t>18846104</t>
  </si>
  <si>
    <t>400500402142</t>
  </si>
  <si>
    <t>50040214</t>
  </si>
  <si>
    <t>6471560</t>
  </si>
  <si>
    <t>Women's LC Lauren Conrad Knitted Sweater Cardigan</t>
  </si>
  <si>
    <t>400500402326</t>
  </si>
  <si>
    <t>50040232</t>
  </si>
  <si>
    <t>400500402234</t>
  </si>
  <si>
    <t>50040223</t>
  </si>
  <si>
    <t>Ivory</t>
  </si>
  <si>
    <t>400500402333</t>
  </si>
  <si>
    <t>50040233</t>
  </si>
  <si>
    <t>400500402241</t>
  </si>
  <si>
    <t>50040224</t>
  </si>
  <si>
    <t>400500402180</t>
  </si>
  <si>
    <t>50040218</t>
  </si>
  <si>
    <t>400500402289</t>
  </si>
  <si>
    <t>50040228</t>
  </si>
  <si>
    <t>400500402340</t>
  </si>
  <si>
    <t>50040234</t>
  </si>
  <si>
    <t>400500402296</t>
  </si>
  <si>
    <t>50040229</t>
  </si>
  <si>
    <t>400500402302</t>
  </si>
  <si>
    <t>50040230</t>
  </si>
  <si>
    <t>400500402319</t>
  </si>
  <si>
    <t>50040231</t>
  </si>
  <si>
    <t>Men's Hanes® 4-pack Ultimate Comfort Flex Fit Total Support Pouch™ Boxer Briefs</t>
  </si>
  <si>
    <t>Hanes</t>
  </si>
  <si>
    <t>Blue Black Gray</t>
  </si>
  <si>
    <t>Black Gray</t>
  </si>
  <si>
    <t>196062153867</t>
  </si>
  <si>
    <t>37194908</t>
  </si>
  <si>
    <t>Black Gray Olive</t>
  </si>
  <si>
    <t>196062153874</t>
  </si>
  <si>
    <t>37194909</t>
  </si>
  <si>
    <t>196062153881</t>
  </si>
  <si>
    <t>37194910</t>
  </si>
  <si>
    <t>196062075367</t>
  </si>
  <si>
    <t>86454618</t>
  </si>
  <si>
    <t>196062075374</t>
  </si>
  <si>
    <t>54625922</t>
  </si>
  <si>
    <t>196062153898</t>
  </si>
  <si>
    <t>37194911</t>
  </si>
  <si>
    <t>400838187667</t>
  </si>
  <si>
    <t>83818766</t>
  </si>
  <si>
    <t>6491288</t>
  </si>
  <si>
    <t>Women's Sonoma Goods For Life® Super Soft Ribbed Cardigan</t>
  </si>
  <si>
    <t>Filigree</t>
  </si>
  <si>
    <t>400838187308</t>
  </si>
  <si>
    <t>83818730</t>
  </si>
  <si>
    <t>Nile Lily</t>
  </si>
  <si>
    <t>400838187674</t>
  </si>
  <si>
    <t>83818767</t>
  </si>
  <si>
    <t>400838187407</t>
  </si>
  <si>
    <t>83818740</t>
  </si>
  <si>
    <t>Beda Tan</t>
  </si>
  <si>
    <t>400838187315</t>
  </si>
  <si>
    <t>83818731</t>
  </si>
  <si>
    <t>400838187414</t>
  </si>
  <si>
    <t>83818741</t>
  </si>
  <si>
    <t>400838187681</t>
  </si>
  <si>
    <t>83818768</t>
  </si>
  <si>
    <t>400838187322</t>
  </si>
  <si>
    <t>83818732</t>
  </si>
  <si>
    <t>825663979964</t>
  </si>
  <si>
    <t>80787755</t>
  </si>
  <si>
    <t>Baby Boy Nike Long Sleeve Bodysuits 3-Pack Set</t>
  </si>
  <si>
    <t>825663979988</t>
  </si>
  <si>
    <t>80787759</t>
  </si>
  <si>
    <t>6 MONTHS</t>
  </si>
  <si>
    <t>400441638402</t>
  </si>
  <si>
    <t>44163840</t>
  </si>
  <si>
    <t>5646806</t>
  </si>
  <si>
    <t>Big &amp; Tall Sonoma Goods For Life® Double Knit Hoodie</t>
  </si>
  <si>
    <t>400441638297</t>
  </si>
  <si>
    <t>44163829</t>
  </si>
  <si>
    <t>Teal Navy</t>
  </si>
  <si>
    <t>400441638303</t>
  </si>
  <si>
    <t>44163830</t>
  </si>
  <si>
    <t>1133</t>
  </si>
  <si>
    <t>400744091928</t>
  </si>
  <si>
    <t>74409192</t>
  </si>
  <si>
    <t>745</t>
  </si>
  <si>
    <t>400441638419</t>
  </si>
  <si>
    <t>44163841</t>
  </si>
  <si>
    <t>920</t>
  </si>
  <si>
    <t>400744091690</t>
  </si>
  <si>
    <t>74409169</t>
  </si>
  <si>
    <t>593</t>
  </si>
  <si>
    <t>Proteus Plum</t>
  </si>
  <si>
    <t>400441638310</t>
  </si>
  <si>
    <t>44163831</t>
  </si>
  <si>
    <t>400744091997</t>
  </si>
  <si>
    <t>74409199</t>
  </si>
  <si>
    <t>400744091706</t>
  </si>
  <si>
    <t>74409170</t>
  </si>
  <si>
    <t>942</t>
  </si>
  <si>
    <t>400441638426</t>
  </si>
  <si>
    <t>44163842</t>
  </si>
  <si>
    <t>1308</t>
  </si>
  <si>
    <t>400441638327</t>
  </si>
  <si>
    <t>44163832</t>
  </si>
  <si>
    <t>1396</t>
  </si>
  <si>
    <t>400744091713</t>
  </si>
  <si>
    <t>74409171</t>
  </si>
  <si>
    <t>739</t>
  </si>
  <si>
    <t>400441638433</t>
  </si>
  <si>
    <t>44163843</t>
  </si>
  <si>
    <t>1257</t>
  </si>
  <si>
    <t>400744092000</t>
  </si>
  <si>
    <t>74409200</t>
  </si>
  <si>
    <t>604</t>
  </si>
  <si>
    <t>400441638358</t>
  </si>
  <si>
    <t>44163835</t>
  </si>
  <si>
    <t>529</t>
  </si>
  <si>
    <t>2XB</t>
  </si>
  <si>
    <t>400441638464</t>
  </si>
  <si>
    <t>44163846</t>
  </si>
  <si>
    <t>400744092093</t>
  </si>
  <si>
    <t>74409209</t>
  </si>
  <si>
    <t>400744091805</t>
  </si>
  <si>
    <t>74409180</t>
  </si>
  <si>
    <t>400441638334</t>
  </si>
  <si>
    <t>44163833</t>
  </si>
  <si>
    <t>1103</t>
  </si>
  <si>
    <t>3XL TALL</t>
  </si>
  <si>
    <t>400744091799</t>
  </si>
  <si>
    <t>74409179</t>
  </si>
  <si>
    <t>400441638440</t>
  </si>
  <si>
    <t>44163844</t>
  </si>
  <si>
    <t>969</t>
  </si>
  <si>
    <t>400441638365</t>
  </si>
  <si>
    <t>44163836</t>
  </si>
  <si>
    <t>3XB</t>
  </si>
  <si>
    <t>400441638471</t>
  </si>
  <si>
    <t>44163847</t>
  </si>
  <si>
    <t>400744091720</t>
  </si>
  <si>
    <t>74409172</t>
  </si>
  <si>
    <t>400441638372</t>
  </si>
  <si>
    <t>44163837</t>
  </si>
  <si>
    <t>251</t>
  </si>
  <si>
    <t>400441638488</t>
  </si>
  <si>
    <t>44163848</t>
  </si>
  <si>
    <t>400744091829</t>
  </si>
  <si>
    <t>74409182</t>
  </si>
  <si>
    <t>400441638389</t>
  </si>
  <si>
    <t>44163838</t>
  </si>
  <si>
    <t>400197111167</t>
  </si>
  <si>
    <t>19711116</t>
  </si>
  <si>
    <t>6124628</t>
  </si>
  <si>
    <t>Boys 8-20 Sonoma Goods For Life® Super Soft Full-Zip Colorblock Hoodie in Regular &amp; Husky</t>
  </si>
  <si>
    <t>400197111174</t>
  </si>
  <si>
    <t>19711117</t>
  </si>
  <si>
    <t>400189571818</t>
  </si>
  <si>
    <t>18957181</t>
  </si>
  <si>
    <t>400771751437</t>
  </si>
  <si>
    <t>77175143</t>
  </si>
  <si>
    <t>6512458</t>
  </si>
  <si>
    <t>Girls 4-12 Jumping Beans® Colorful Pull-On Jeggings</t>
  </si>
  <si>
    <t>Burgandy</t>
  </si>
  <si>
    <t>400509885380</t>
  </si>
  <si>
    <t>50988538</t>
  </si>
  <si>
    <t>400771751048</t>
  </si>
  <si>
    <t>77175104</t>
  </si>
  <si>
    <t>444</t>
  </si>
  <si>
    <t>Bright Purple</t>
  </si>
  <si>
    <t>400771751444</t>
  </si>
  <si>
    <t>77175144</t>
  </si>
  <si>
    <t>400771751215</t>
  </si>
  <si>
    <t>77175121</t>
  </si>
  <si>
    <t>697</t>
  </si>
  <si>
    <t>400771751222</t>
  </si>
  <si>
    <t>77175122</t>
  </si>
  <si>
    <t>191900467458</t>
  </si>
  <si>
    <t>65895236</t>
  </si>
  <si>
    <t>6145844</t>
  </si>
  <si>
    <t>Men's Levi's® Soft Shell Hooded Bomber Jacket</t>
  </si>
  <si>
    <t>Levi's</t>
  </si>
  <si>
    <t>191900467441</t>
  </si>
  <si>
    <t>65895237</t>
  </si>
  <si>
    <t>191900467434</t>
  </si>
  <si>
    <t>65895238</t>
  </si>
  <si>
    <t>191900467427</t>
  </si>
  <si>
    <t>65895239</t>
  </si>
  <si>
    <t>191900467410</t>
  </si>
  <si>
    <t>65895240</t>
  </si>
  <si>
    <t>194829523946</t>
  </si>
  <si>
    <t>61702197</t>
  </si>
  <si>
    <t>4912685</t>
  </si>
  <si>
    <t>Men's adidas Primegreen Golf Shorts</t>
  </si>
  <si>
    <t>Crew Navy</t>
  </si>
  <si>
    <t>400819571393</t>
  </si>
  <si>
    <t>81957139</t>
  </si>
  <si>
    <t>6174694</t>
  </si>
  <si>
    <t>Boys 8-20 Sonoma Goods For Life® Woven Poplin Shirt in Regular &amp; Husky</t>
  </si>
  <si>
    <t>Multi Plaid</t>
  </si>
  <si>
    <t>400819571522</t>
  </si>
  <si>
    <t>81957152</t>
  </si>
  <si>
    <t>400819571218</t>
  </si>
  <si>
    <t>81957121</t>
  </si>
  <si>
    <t>400740711523</t>
  </si>
  <si>
    <t>74071152</t>
  </si>
  <si>
    <t>400740711622</t>
  </si>
  <si>
    <t>74071162</t>
  </si>
  <si>
    <t>400819571584</t>
  </si>
  <si>
    <t>81957158</t>
  </si>
  <si>
    <t>400819571409</t>
  </si>
  <si>
    <t>81957140</t>
  </si>
  <si>
    <t>400740711592</t>
  </si>
  <si>
    <t>74071159</t>
  </si>
  <si>
    <t>400740711691</t>
  </si>
  <si>
    <t>74071169</t>
  </si>
  <si>
    <t>400819571591</t>
  </si>
  <si>
    <t>81957159</t>
  </si>
  <si>
    <t>400819571416</t>
  </si>
  <si>
    <t>81957141</t>
  </si>
  <si>
    <t>400740711707</t>
  </si>
  <si>
    <t>74071170</t>
  </si>
  <si>
    <t>400819571607</t>
  </si>
  <si>
    <t>81957160</t>
  </si>
  <si>
    <t>400657923415</t>
  </si>
  <si>
    <t>65792341</t>
  </si>
  <si>
    <t>400651976998</t>
  </si>
  <si>
    <t>65197699</t>
  </si>
  <si>
    <t>400651976967</t>
  </si>
  <si>
    <t>65197696</t>
  </si>
  <si>
    <t>400657923323</t>
  </si>
  <si>
    <t>65792332</t>
  </si>
  <si>
    <t>400651977001</t>
  </si>
  <si>
    <t>65197700</t>
  </si>
  <si>
    <t>L HUSKY</t>
  </si>
  <si>
    <t>400651976974</t>
  </si>
  <si>
    <t>65197697</t>
  </si>
  <si>
    <t>400657923392</t>
  </si>
  <si>
    <t>65792339</t>
  </si>
  <si>
    <t>400651976981</t>
  </si>
  <si>
    <t>65197698</t>
  </si>
  <si>
    <t>XL HUSKY</t>
  </si>
  <si>
    <t>400657923408</t>
  </si>
  <si>
    <t>65792340</t>
  </si>
  <si>
    <t>197505018187</t>
  </si>
  <si>
    <t>64491041</t>
  </si>
  <si>
    <t>6482797</t>
  </si>
  <si>
    <t>Women's Lilac+London Lace Hem Satin Camisole &amp; Pajama Shorts Sleep Set</t>
  </si>
  <si>
    <t>Lilac+London</t>
  </si>
  <si>
    <t>197505018194</t>
  </si>
  <si>
    <t>64491042</t>
  </si>
  <si>
    <t>197505018200</t>
  </si>
  <si>
    <t>64491047</t>
  </si>
  <si>
    <t>197505018217</t>
  </si>
  <si>
    <t>64491048</t>
  </si>
  <si>
    <t>197505018224</t>
  </si>
  <si>
    <t>64491050</t>
  </si>
  <si>
    <t>197505018231</t>
  </si>
  <si>
    <t>64491051</t>
  </si>
  <si>
    <t>400649247871</t>
  </si>
  <si>
    <t>64924787</t>
  </si>
  <si>
    <t>6301350</t>
  </si>
  <si>
    <t>Women's Sonoma Goods For Life® Everyday V-Neck Long Sleeve Tee</t>
  </si>
  <si>
    <t>Nautical Mist Floral</t>
  </si>
  <si>
    <t>400649247970</t>
  </si>
  <si>
    <t>64924797</t>
  </si>
  <si>
    <t>400301023348</t>
  </si>
  <si>
    <t>30102334</t>
  </si>
  <si>
    <t>400301023355</t>
  </si>
  <si>
    <t>30102335</t>
  </si>
  <si>
    <t>1666</t>
  </si>
  <si>
    <t>400301023362</t>
  </si>
  <si>
    <t>30102336</t>
  </si>
  <si>
    <t>1488</t>
  </si>
  <si>
    <t>400188387687</t>
  </si>
  <si>
    <t>18838768</t>
  </si>
  <si>
    <t>6824285</t>
  </si>
  <si>
    <t>Men's Apt. 9® Premier Flex Standard-Fit Flannel Button-Down Shirt</t>
  </si>
  <si>
    <t>Bellamy Navy</t>
  </si>
  <si>
    <t>400188387748</t>
  </si>
  <si>
    <t>18838774</t>
  </si>
  <si>
    <t>Varsity Maroon</t>
  </si>
  <si>
    <t>400743892977</t>
  </si>
  <si>
    <t>74389297</t>
  </si>
  <si>
    <t>Graceful Beige</t>
  </si>
  <si>
    <t>400743892571</t>
  </si>
  <si>
    <t>74389257</t>
  </si>
  <si>
    <t>Cherry Merlot</t>
  </si>
  <si>
    <t>400743893271</t>
  </si>
  <si>
    <t>74389327</t>
  </si>
  <si>
    <t>Black Jet</t>
  </si>
  <si>
    <t>400743892670</t>
  </si>
  <si>
    <t>74389267</t>
  </si>
  <si>
    <t>Maple Brown</t>
  </si>
  <si>
    <t>400743893370</t>
  </si>
  <si>
    <t>74389337</t>
  </si>
  <si>
    <t>Potting Soil</t>
  </si>
  <si>
    <t>400743893578</t>
  </si>
  <si>
    <t>74389357</t>
  </si>
  <si>
    <t>Wine Tasting</t>
  </si>
  <si>
    <t>400188387793</t>
  </si>
  <si>
    <t>18838779</t>
  </si>
  <si>
    <t>Farley Olive</t>
  </si>
  <si>
    <t>400188387854</t>
  </si>
  <si>
    <t>18838785</t>
  </si>
  <si>
    <t>Forged Iron</t>
  </si>
  <si>
    <t>400743893073</t>
  </si>
  <si>
    <t>74389307</t>
  </si>
  <si>
    <t>400743893639</t>
  </si>
  <si>
    <t>74389363</t>
  </si>
  <si>
    <t>400188387694</t>
  </si>
  <si>
    <t>18838769</t>
  </si>
  <si>
    <t>400188387755</t>
  </si>
  <si>
    <t>18838775</t>
  </si>
  <si>
    <t>400743893332</t>
  </si>
  <si>
    <t>74389333</t>
  </si>
  <si>
    <t>400743893431</t>
  </si>
  <si>
    <t>74389343</t>
  </si>
  <si>
    <t>400743892632</t>
  </si>
  <si>
    <t>74389263</t>
  </si>
  <si>
    <t>400743893035</t>
  </si>
  <si>
    <t>74389303</t>
  </si>
  <si>
    <t>400743893134</t>
  </si>
  <si>
    <t>74389313</t>
  </si>
  <si>
    <t>553</t>
  </si>
  <si>
    <t>400743892731</t>
  </si>
  <si>
    <t>74389273</t>
  </si>
  <si>
    <t>400188387809</t>
  </si>
  <si>
    <t>18838780</t>
  </si>
  <si>
    <t>400743893646</t>
  </si>
  <si>
    <t>74389364</t>
  </si>
  <si>
    <t>400188387700</t>
  </si>
  <si>
    <t>18838770</t>
  </si>
  <si>
    <t>482</t>
  </si>
  <si>
    <t>400743893349</t>
  </si>
  <si>
    <t>74389334</t>
  </si>
  <si>
    <t>400743892649</t>
  </si>
  <si>
    <t>74389264</t>
  </si>
  <si>
    <t>400743893448</t>
  </si>
  <si>
    <t>74389344</t>
  </si>
  <si>
    <t>400743892748</t>
  </si>
  <si>
    <t>74389274</t>
  </si>
  <si>
    <t>400743893141</t>
  </si>
  <si>
    <t>74389314</t>
  </si>
  <si>
    <t>662</t>
  </si>
  <si>
    <t>400188387762</t>
  </si>
  <si>
    <t>18838776</t>
  </si>
  <si>
    <t>400188387816</t>
  </si>
  <si>
    <t>18838781</t>
  </si>
  <si>
    <t>400188387717</t>
  </si>
  <si>
    <t>18838771</t>
  </si>
  <si>
    <t>321</t>
  </si>
  <si>
    <t>400743893158</t>
  </si>
  <si>
    <t>74389315</t>
  </si>
  <si>
    <t>286</t>
  </si>
  <si>
    <t>400743893356</t>
  </si>
  <si>
    <t>74389335</t>
  </si>
  <si>
    <t>240</t>
  </si>
  <si>
    <t>400743892656</t>
  </si>
  <si>
    <t>74389265</t>
  </si>
  <si>
    <t>400743892755</t>
  </si>
  <si>
    <t>74389275</t>
  </si>
  <si>
    <t>400188387779</t>
  </si>
  <si>
    <t>18838777</t>
  </si>
  <si>
    <t>400188387830</t>
  </si>
  <si>
    <t>18838783</t>
  </si>
  <si>
    <t>400743893660</t>
  </si>
  <si>
    <t>74389366</t>
  </si>
  <si>
    <t>400188387731</t>
  </si>
  <si>
    <t>18838773</t>
  </si>
  <si>
    <t>400743893165</t>
  </si>
  <si>
    <t>74389316</t>
  </si>
  <si>
    <t>400743893363</t>
  </si>
  <si>
    <t>74389336</t>
  </si>
  <si>
    <t>400743892663</t>
  </si>
  <si>
    <t>74389266</t>
  </si>
  <si>
    <t>400743892762</t>
  </si>
  <si>
    <t>74389276</t>
  </si>
  <si>
    <t>400188387786</t>
  </si>
  <si>
    <t>18838778</t>
  </si>
  <si>
    <t>400188387847</t>
  </si>
  <si>
    <t>18838784</t>
  </si>
  <si>
    <t>400743893066</t>
  </si>
  <si>
    <t>74389306</t>
  </si>
  <si>
    <t>Body Glove Two Person Hammock</t>
  </si>
  <si>
    <t>Body Glove</t>
  </si>
  <si>
    <t>Ocean Blue</t>
  </si>
  <si>
    <t>400429544589</t>
  </si>
  <si>
    <t>42954458</t>
  </si>
  <si>
    <t>6109354</t>
  </si>
  <si>
    <t>Women's LC Lauren Conrad Button Front Ruffle Blouse</t>
  </si>
  <si>
    <t>Anita Wash</t>
  </si>
  <si>
    <t>400429544602</t>
  </si>
  <si>
    <t>42954460</t>
  </si>
  <si>
    <t>400429544619</t>
  </si>
  <si>
    <t>42954461</t>
  </si>
  <si>
    <t>400429544626</t>
  </si>
  <si>
    <t>42954462</t>
  </si>
  <si>
    <t>400375831481</t>
  </si>
  <si>
    <t>37583148</t>
  </si>
  <si>
    <t>Blue Phoebe Stripe</t>
  </si>
  <si>
    <t>400307133614</t>
  </si>
  <si>
    <t>30713361</t>
  </si>
  <si>
    <t>Stone White</t>
  </si>
  <si>
    <t>400429544633</t>
  </si>
  <si>
    <t>42954463</t>
  </si>
  <si>
    <t>400375831603</t>
  </si>
  <si>
    <t>37583160</t>
  </si>
  <si>
    <t>Orchid Cherry Stripe</t>
  </si>
  <si>
    <t>400375831498</t>
  </si>
  <si>
    <t>37583149</t>
  </si>
  <si>
    <t>400307133621</t>
  </si>
  <si>
    <t>30713362</t>
  </si>
  <si>
    <t>400671259699</t>
  </si>
  <si>
    <t>67125969</t>
  </si>
  <si>
    <t>6261596</t>
  </si>
  <si>
    <t>Women's Tek Gear® Micro Fleece Popover Sweatshirt</t>
  </si>
  <si>
    <t>Modern White</t>
  </si>
  <si>
    <t>400671259514</t>
  </si>
  <si>
    <t>67125951</t>
  </si>
  <si>
    <t>Night Sangria</t>
  </si>
  <si>
    <t>400805783182</t>
  </si>
  <si>
    <t>80578318</t>
  </si>
  <si>
    <t>Fantasy Berry</t>
  </si>
  <si>
    <t>400805783120</t>
  </si>
  <si>
    <t>80578312</t>
  </si>
  <si>
    <t>Little Lavender</t>
  </si>
  <si>
    <t>400805782949</t>
  </si>
  <si>
    <t>80578294</t>
  </si>
  <si>
    <t>400805783069</t>
  </si>
  <si>
    <t>80578306</t>
  </si>
  <si>
    <t>Maxwell Purple</t>
  </si>
  <si>
    <t>400805783007</t>
  </si>
  <si>
    <t>80578300</t>
  </si>
  <si>
    <t>Nightlife Teal</t>
  </si>
  <si>
    <t>400671259705</t>
  </si>
  <si>
    <t>67125970</t>
  </si>
  <si>
    <t>796</t>
  </si>
  <si>
    <t>400671259521</t>
  </si>
  <si>
    <t>67125952</t>
  </si>
  <si>
    <t>400805783199</t>
  </si>
  <si>
    <t>80578319</t>
  </si>
  <si>
    <t>400805783137</t>
  </si>
  <si>
    <t>80578313</t>
  </si>
  <si>
    <t>400805782956</t>
  </si>
  <si>
    <t>80578295</t>
  </si>
  <si>
    <t>400805783076</t>
  </si>
  <si>
    <t>80578307</t>
  </si>
  <si>
    <t>400805783014</t>
  </si>
  <si>
    <t>80578301</t>
  </si>
  <si>
    <t>296</t>
  </si>
  <si>
    <t>400671259590</t>
  </si>
  <si>
    <t>67125959</t>
  </si>
  <si>
    <t>400671259712</t>
  </si>
  <si>
    <t>67125971</t>
  </si>
  <si>
    <t>1517</t>
  </si>
  <si>
    <t>400805783144</t>
  </si>
  <si>
    <t>80578314</t>
  </si>
  <si>
    <t>505</t>
  </si>
  <si>
    <t>400805782963</t>
  </si>
  <si>
    <t>80578296</t>
  </si>
  <si>
    <t>400805783083</t>
  </si>
  <si>
    <t>80578308</t>
  </si>
  <si>
    <t>400805783021</t>
  </si>
  <si>
    <t>80578302</t>
  </si>
  <si>
    <t>581</t>
  </si>
  <si>
    <t>400805783205</t>
  </si>
  <si>
    <t>80578320</t>
  </si>
  <si>
    <t>274</t>
  </si>
  <si>
    <t>400671259798</t>
  </si>
  <si>
    <t>67125979</t>
  </si>
  <si>
    <t>1521</t>
  </si>
  <si>
    <t>400671259606</t>
  </si>
  <si>
    <t>67125960</t>
  </si>
  <si>
    <t>400805783151</t>
  </si>
  <si>
    <t>80578315</t>
  </si>
  <si>
    <t>400805782970</t>
  </si>
  <si>
    <t>80578297</t>
  </si>
  <si>
    <t>400805783090</t>
  </si>
  <si>
    <t>80578309</t>
  </si>
  <si>
    <t>392</t>
  </si>
  <si>
    <t>400805783038</t>
  </si>
  <si>
    <t>80578303</t>
  </si>
  <si>
    <t>627</t>
  </si>
  <si>
    <t>400805783212</t>
  </si>
  <si>
    <t>80578321</t>
  </si>
  <si>
    <t>400671259804</t>
  </si>
  <si>
    <t>67125980</t>
  </si>
  <si>
    <t>1277</t>
  </si>
  <si>
    <t>400671259613</t>
  </si>
  <si>
    <t>67125961</t>
  </si>
  <si>
    <t>400805783168</t>
  </si>
  <si>
    <t>80578316</t>
  </si>
  <si>
    <t>400805783106</t>
  </si>
  <si>
    <t>80578310</t>
  </si>
  <si>
    <t>400805782987</t>
  </si>
  <si>
    <t>80578298</t>
  </si>
  <si>
    <t>400805783045</t>
  </si>
  <si>
    <t>80578304</t>
  </si>
  <si>
    <t>400805783229</t>
  </si>
  <si>
    <t>80578322</t>
  </si>
  <si>
    <t>400671259811</t>
  </si>
  <si>
    <t>67125981</t>
  </si>
  <si>
    <t>676</t>
  </si>
  <si>
    <t>400671259620</t>
  </si>
  <si>
    <t>67125962</t>
  </si>
  <si>
    <t>400805783175</t>
  </si>
  <si>
    <t>80578317</t>
  </si>
  <si>
    <t>312</t>
  </si>
  <si>
    <t>400805783113</t>
  </si>
  <si>
    <t>80578311</t>
  </si>
  <si>
    <t>400805782994</t>
  </si>
  <si>
    <t>80578299</t>
  </si>
  <si>
    <t>400805783052</t>
  </si>
  <si>
    <t>80578305</t>
  </si>
  <si>
    <t>400805783236</t>
  </si>
  <si>
    <t>80578323</t>
  </si>
  <si>
    <t>400806205379</t>
  </si>
  <si>
    <t>80620537</t>
  </si>
  <si>
    <t>630</t>
  </si>
  <si>
    <t>6269627</t>
  </si>
  <si>
    <t>Plus Size LC Lauren Conrad Super High-Rise Flare Jeans</t>
  </si>
  <si>
    <t>Medium Indigo</t>
  </si>
  <si>
    <t>14 W</t>
  </si>
  <si>
    <t>400806205386</t>
  </si>
  <si>
    <t>80620538</t>
  </si>
  <si>
    <t>16 W</t>
  </si>
  <si>
    <t>400806205409</t>
  </si>
  <si>
    <t>80620540</t>
  </si>
  <si>
    <t>400298251205</t>
  </si>
  <si>
    <t>29825120</t>
  </si>
  <si>
    <t>400298251212</t>
  </si>
  <si>
    <t>29825121</t>
  </si>
  <si>
    <t>400806205416</t>
  </si>
  <si>
    <t>80620541</t>
  </si>
  <si>
    <t>400806205423</t>
  </si>
  <si>
    <t>80620542</t>
  </si>
  <si>
    <t>24 W</t>
  </si>
  <si>
    <t>400806205430</t>
  </si>
  <si>
    <t>80620543</t>
  </si>
  <si>
    <t>692</t>
  </si>
  <si>
    <t>400298251236</t>
  </si>
  <si>
    <t>29825123</t>
  </si>
  <si>
    <t>400806205393</t>
  </si>
  <si>
    <t>80620539</t>
  </si>
  <si>
    <t>Skechers Relaxed Fit® Breathe Easy Kindred Women's Slip-On Shoes</t>
  </si>
  <si>
    <t>Skechers</t>
  </si>
  <si>
    <t>Desert Tan</t>
  </si>
  <si>
    <t>5 WIDE</t>
  </si>
  <si>
    <t>5.5 WIDE</t>
  </si>
  <si>
    <t>6 WIDE</t>
  </si>
  <si>
    <t>6.5 WIDE</t>
  </si>
  <si>
    <t>400635803791</t>
  </si>
  <si>
    <t>63580379</t>
  </si>
  <si>
    <t>5595317</t>
  </si>
  <si>
    <t>Petite LC Lauren Conrad High-Waisted Super Skinny Ponte Pants</t>
  </si>
  <si>
    <t>PM SHORT</t>
  </si>
  <si>
    <t>400635803692</t>
  </si>
  <si>
    <t>63580369</t>
  </si>
  <si>
    <t>Blue Abundance</t>
  </si>
  <si>
    <t>400635803845</t>
  </si>
  <si>
    <t>63580384</t>
  </si>
  <si>
    <t>PL SHORT</t>
  </si>
  <si>
    <t>400635803746</t>
  </si>
  <si>
    <t>63580374</t>
  </si>
  <si>
    <t>400635803753</t>
  </si>
  <si>
    <t>63580375</t>
  </si>
  <si>
    <t>PXL SHORT</t>
  </si>
  <si>
    <t>400635803852</t>
  </si>
  <si>
    <t>63580385</t>
  </si>
  <si>
    <t>400635803869</t>
  </si>
  <si>
    <t>63580386</t>
  </si>
  <si>
    <t>PXXL SHORT</t>
  </si>
  <si>
    <t>400635803760</t>
  </si>
  <si>
    <t>63580376</t>
  </si>
  <si>
    <t>400293520504</t>
  </si>
  <si>
    <t>29352050</t>
  </si>
  <si>
    <t>400293520511</t>
  </si>
  <si>
    <t>29352051</t>
  </si>
  <si>
    <t>M PETITE</t>
  </si>
  <si>
    <t>400293520672</t>
  </si>
  <si>
    <t>29352067</t>
  </si>
  <si>
    <t>400293520573</t>
  </si>
  <si>
    <t>29352057</t>
  </si>
  <si>
    <t>L PETITE</t>
  </si>
  <si>
    <t>400293520580</t>
  </si>
  <si>
    <t>29352058</t>
  </si>
  <si>
    <t>XL PETITE</t>
  </si>
  <si>
    <t>000716865955</t>
  </si>
  <si>
    <t>65391103</t>
  </si>
  <si>
    <t>6183014</t>
  </si>
  <si>
    <t>Boys 6-12 Cuddl Duds® 2-Piece Pajama Set</t>
  </si>
  <si>
    <t>Cuddl Duds</t>
  </si>
  <si>
    <t>Red Black</t>
  </si>
  <si>
    <t>000716865771</t>
  </si>
  <si>
    <t>50674845</t>
  </si>
  <si>
    <t>Green Black</t>
  </si>
  <si>
    <t>000716865962</t>
  </si>
  <si>
    <t>65391104</t>
  </si>
  <si>
    <t>1464</t>
  </si>
  <si>
    <t>000716865917</t>
  </si>
  <si>
    <t>69902756</t>
  </si>
  <si>
    <t>Blue Black</t>
  </si>
  <si>
    <t>000716865863</t>
  </si>
  <si>
    <t>80387483</t>
  </si>
  <si>
    <t>769</t>
  </si>
  <si>
    <t>Gray Black</t>
  </si>
  <si>
    <t>000716865818</t>
  </si>
  <si>
    <t>76979082</t>
  </si>
  <si>
    <t>586</t>
  </si>
  <si>
    <t>Turquoise Black</t>
  </si>
  <si>
    <t>000716865788</t>
  </si>
  <si>
    <t>50674846</t>
  </si>
  <si>
    <t>1403</t>
  </si>
  <si>
    <t>000716865979</t>
  </si>
  <si>
    <t>65391105</t>
  </si>
  <si>
    <t>000716865924</t>
  </si>
  <si>
    <t>69902757</t>
  </si>
  <si>
    <t>000716865825</t>
  </si>
  <si>
    <t>76979084</t>
  </si>
  <si>
    <t>818</t>
  </si>
  <si>
    <t>000716865870</t>
  </si>
  <si>
    <t>80387492</t>
  </si>
  <si>
    <t>000716865795</t>
  </si>
  <si>
    <t>50674847</t>
  </si>
  <si>
    <t>196014301575</t>
  </si>
  <si>
    <t>72629379</t>
  </si>
  <si>
    <t>6721320</t>
  </si>
  <si>
    <t>Vans® Asher Women's Suede Slip-On Shoes</t>
  </si>
  <si>
    <t>Drizzle White</t>
  </si>
  <si>
    <t>196014301667</t>
  </si>
  <si>
    <t>72629380</t>
  </si>
  <si>
    <t>5.5</t>
  </si>
  <si>
    <t>196014303548</t>
  </si>
  <si>
    <t>72629389</t>
  </si>
  <si>
    <t>196014303654</t>
  </si>
  <si>
    <t>72629390</t>
  </si>
  <si>
    <t>196014303845</t>
  </si>
  <si>
    <t>72629391</t>
  </si>
  <si>
    <t>400302314575</t>
  </si>
  <si>
    <t>30231457</t>
  </si>
  <si>
    <t>322</t>
  </si>
  <si>
    <t>6228763</t>
  </si>
  <si>
    <t>Women's Croft &amp; Barrow® Staple Smocked Blouse</t>
  </si>
  <si>
    <t>Navy Blue Geo</t>
  </si>
  <si>
    <t>400302314513</t>
  </si>
  <si>
    <t>30231451</t>
  </si>
  <si>
    <t>Cream Floral Tile</t>
  </si>
  <si>
    <t>400657281720</t>
  </si>
  <si>
    <t>65728172</t>
  </si>
  <si>
    <t>Maroon</t>
  </si>
  <si>
    <t>400657281904</t>
  </si>
  <si>
    <t>65728190</t>
  </si>
  <si>
    <t>400302314452</t>
  </si>
  <si>
    <t>30231445</t>
  </si>
  <si>
    <t>Navy Red Geo</t>
  </si>
  <si>
    <t>400302314582</t>
  </si>
  <si>
    <t>30231458</t>
  </si>
  <si>
    <t>400302314469</t>
  </si>
  <si>
    <t>30231446</t>
  </si>
  <si>
    <t>400302314599</t>
  </si>
  <si>
    <t>30231459</t>
  </si>
  <si>
    <t>400302314476</t>
  </si>
  <si>
    <t>30231447</t>
  </si>
  <si>
    <t>400302314605</t>
  </si>
  <si>
    <t>30231460</t>
  </si>
  <si>
    <t>400302314483</t>
  </si>
  <si>
    <t>30231448</t>
  </si>
  <si>
    <t>400302314612</t>
  </si>
  <si>
    <t>30231461</t>
  </si>
  <si>
    <t>400302314490</t>
  </si>
  <si>
    <t>30231449</t>
  </si>
  <si>
    <t>400302314629</t>
  </si>
  <si>
    <t>30231462</t>
  </si>
  <si>
    <t>400302314506</t>
  </si>
  <si>
    <t>30231450</t>
  </si>
  <si>
    <t>191985769751</t>
  </si>
  <si>
    <t>77408846</t>
  </si>
  <si>
    <t>4502340</t>
  </si>
  <si>
    <t>Men's adidas Primegreen Performance Golf Polo</t>
  </si>
  <si>
    <t>191985601693</t>
  </si>
  <si>
    <t>67353551</t>
  </si>
  <si>
    <t>Collegiate Burgundy</t>
  </si>
  <si>
    <t>191985559413</t>
  </si>
  <si>
    <t>46199690</t>
  </si>
  <si>
    <t>Collegiate Green</t>
  </si>
  <si>
    <t>191985613399</t>
  </si>
  <si>
    <t>29687985</t>
  </si>
  <si>
    <t>191985555804</t>
  </si>
  <si>
    <t>46199695</t>
  </si>
  <si>
    <t>191985636381</t>
  </si>
  <si>
    <t>18896056</t>
  </si>
  <si>
    <t>191985636312</t>
  </si>
  <si>
    <t>18896057</t>
  </si>
  <si>
    <t>400711103432</t>
  </si>
  <si>
    <t>71110343</t>
  </si>
  <si>
    <t>224</t>
  </si>
  <si>
    <t>5501563</t>
  </si>
  <si>
    <t>Juniors' SO® Crossover Waistband Flare Legging</t>
  </si>
  <si>
    <t>Medium Boulder</t>
  </si>
  <si>
    <t>400711103449</t>
  </si>
  <si>
    <t>71110344</t>
  </si>
  <si>
    <t>805</t>
  </si>
  <si>
    <t>400711103456</t>
  </si>
  <si>
    <t>71110345</t>
  </si>
  <si>
    <t>533</t>
  </si>
  <si>
    <t>Carter's Freddie Toddler Boys' Duck Toe Ankle Boots</t>
  </si>
  <si>
    <t>Carter's</t>
  </si>
  <si>
    <t>4 T</t>
  </si>
  <si>
    <t>5 T</t>
  </si>
  <si>
    <t>6 T</t>
  </si>
  <si>
    <t>7 T</t>
  </si>
  <si>
    <t>8 T</t>
  </si>
  <si>
    <t>9 T</t>
  </si>
  <si>
    <t>10 T</t>
  </si>
  <si>
    <t>196562267279</t>
  </si>
  <si>
    <t>18804029</t>
  </si>
  <si>
    <t>OshKosh B’gosh® Estell Toddler Girls' Ankle Boots</t>
  </si>
  <si>
    <t>OshKosh B'gosh</t>
  </si>
  <si>
    <t>Taupe</t>
  </si>
  <si>
    <t>196562270231</t>
  </si>
  <si>
    <t>18804030</t>
  </si>
  <si>
    <t>196562267286</t>
  </si>
  <si>
    <t>18804031</t>
  </si>
  <si>
    <t>196562269419</t>
  </si>
  <si>
    <t>18804032</t>
  </si>
  <si>
    <t>196562269693</t>
  </si>
  <si>
    <t>18804038</t>
  </si>
  <si>
    <t>Men's adidas Core Colorblock Polo</t>
  </si>
  <si>
    <t>Koolaburra by UGG Koola Tall Girls' Suede Winter Boots</t>
  </si>
  <si>
    <t>196156348865</t>
  </si>
  <si>
    <t>73025622</t>
  </si>
  <si>
    <t>Women's Nike Dri-FIT Indy Sports Bra Tank Top</t>
  </si>
  <si>
    <t>196156348889</t>
  </si>
  <si>
    <t>73025630</t>
  </si>
  <si>
    <t>196156348902</t>
  </si>
  <si>
    <t>73025632</t>
  </si>
  <si>
    <t>196156348919</t>
  </si>
  <si>
    <t>73025639</t>
  </si>
  <si>
    <t>400640867009</t>
  </si>
  <si>
    <t>64086700</t>
  </si>
  <si>
    <t>Women's Sonoma Goods For Life® Effortless Long Sleeve Scoopneck Top</t>
  </si>
  <si>
    <t>400640867139</t>
  </si>
  <si>
    <t>64086713</t>
  </si>
  <si>
    <t>400640866712</t>
  </si>
  <si>
    <t>64086671</t>
  </si>
  <si>
    <t>Soul Yellow</t>
  </si>
  <si>
    <t>400640866835</t>
  </si>
  <si>
    <t>64086683</t>
  </si>
  <si>
    <t>400640866903</t>
  </si>
  <si>
    <t>64086690</t>
  </si>
  <si>
    <t>400640867023</t>
  </si>
  <si>
    <t>64086702</t>
  </si>
  <si>
    <t>400640866729</t>
  </si>
  <si>
    <t>64086672</t>
  </si>
  <si>
    <t>400640867207</t>
  </si>
  <si>
    <t>64086720</t>
  </si>
  <si>
    <t>400640866910</t>
  </si>
  <si>
    <t>64086691</t>
  </si>
  <si>
    <t>400640867030</t>
  </si>
  <si>
    <t>64086703</t>
  </si>
  <si>
    <t>400640866736</t>
  </si>
  <si>
    <t>64086673</t>
  </si>
  <si>
    <t>400640867214</t>
  </si>
  <si>
    <t>64086721</t>
  </si>
  <si>
    <t>400640866804</t>
  </si>
  <si>
    <t>64086680</t>
  </si>
  <si>
    <t>400640866927</t>
  </si>
  <si>
    <t>64086692</t>
  </si>
  <si>
    <t>400640867108</t>
  </si>
  <si>
    <t>64086710</t>
  </si>
  <si>
    <t>400640867221</t>
  </si>
  <si>
    <t>64086722</t>
  </si>
  <si>
    <t>400640866811</t>
  </si>
  <si>
    <t>64086681</t>
  </si>
  <si>
    <t>400640867238</t>
  </si>
  <si>
    <t>64086723</t>
  </si>
  <si>
    <t>246</t>
  </si>
  <si>
    <t>400640866934</t>
  </si>
  <si>
    <t>64086693</t>
  </si>
  <si>
    <t>400640867115</t>
  </si>
  <si>
    <t>64086711</t>
  </si>
  <si>
    <t>197235169494</t>
  </si>
  <si>
    <t>66456360</t>
  </si>
  <si>
    <t>Boys 8-20 adidas Long Sleeve Graphic Tee</t>
  </si>
  <si>
    <t>197235169500</t>
  </si>
  <si>
    <t>66456361</t>
  </si>
  <si>
    <t>197235169517</t>
  </si>
  <si>
    <t>66456362</t>
  </si>
  <si>
    <t>197571058490</t>
  </si>
  <si>
    <t>76807371</t>
  </si>
  <si>
    <t>6431043</t>
  </si>
  <si>
    <t>Toddler Girl Blueberi Boulevard Mesh Overlay Fit and Flare Sleeveless Dress</t>
  </si>
  <si>
    <t>18 MONTHS</t>
  </si>
  <si>
    <t>197571058506</t>
  </si>
  <si>
    <t>76807372</t>
  </si>
  <si>
    <t>24 MONTHS</t>
  </si>
  <si>
    <t>197571058599</t>
  </si>
  <si>
    <t>76807374</t>
  </si>
  <si>
    <t>197571058605</t>
  </si>
  <si>
    <t>76807375</t>
  </si>
  <si>
    <t>3T</t>
  </si>
  <si>
    <t>197571058612</t>
  </si>
  <si>
    <t>76807376</t>
  </si>
  <si>
    <t>4T</t>
  </si>
  <si>
    <t>400636094082</t>
  </si>
  <si>
    <t>63609408</t>
  </si>
  <si>
    <t>7081178</t>
  </si>
  <si>
    <t>Women's Simply Vera Vera Wang Modern Slim Straight Pants</t>
  </si>
  <si>
    <t>Simply Vera Vera Wang</t>
  </si>
  <si>
    <t>Dark Grey Melange</t>
  </si>
  <si>
    <t>XXL SHORT</t>
  </si>
  <si>
    <t>400767767718</t>
  </si>
  <si>
    <t>76776771</t>
  </si>
  <si>
    <t>400767767725</t>
  </si>
  <si>
    <t>76776772</t>
  </si>
  <si>
    <t>400767767749</t>
  </si>
  <si>
    <t>76776774</t>
  </si>
  <si>
    <t>400767767756</t>
  </si>
  <si>
    <t>76776775</t>
  </si>
  <si>
    <t>400767767763</t>
  </si>
  <si>
    <t>76776776</t>
  </si>
  <si>
    <t>400767767770</t>
  </si>
  <si>
    <t>76776777</t>
  </si>
  <si>
    <t>400711601679</t>
  </si>
  <si>
    <t>71160167</t>
  </si>
  <si>
    <t>Gray Texture</t>
  </si>
  <si>
    <t>400493725372</t>
  </si>
  <si>
    <t>49372537</t>
  </si>
  <si>
    <t>840132327701</t>
  </si>
  <si>
    <t>81884320</t>
  </si>
  <si>
    <t>5989900</t>
  </si>
  <si>
    <t>Men's Caliville Stretch 5-Pocket 7&amp;#34; Shorts</t>
  </si>
  <si>
    <t>Caliville</t>
  </si>
  <si>
    <t>840132327756</t>
  </si>
  <si>
    <t>81884310</t>
  </si>
  <si>
    <t>Army Green</t>
  </si>
  <si>
    <t>840132327763</t>
  </si>
  <si>
    <t>81884311</t>
  </si>
  <si>
    <t>840132327817</t>
  </si>
  <si>
    <t>81884301</t>
  </si>
  <si>
    <t>Deeper Stone</t>
  </si>
  <si>
    <t>840132327671</t>
  </si>
  <si>
    <t>81884292</t>
  </si>
  <si>
    <t>840132327770</t>
  </si>
  <si>
    <t>81884312</t>
  </si>
  <si>
    <t>840132327688</t>
  </si>
  <si>
    <t>81884298</t>
  </si>
  <si>
    <t>840132327787</t>
  </si>
  <si>
    <t>81884318</t>
  </si>
  <si>
    <t>840132327749</t>
  </si>
  <si>
    <t>81884329</t>
  </si>
  <si>
    <t>840132327794</t>
  </si>
  <si>
    <t>81884319</t>
  </si>
  <si>
    <t>400746001840</t>
  </si>
  <si>
    <t>74600184</t>
  </si>
  <si>
    <t>6494764</t>
  </si>
  <si>
    <t>Juniors' SO® Peplum Henley Hoodie</t>
  </si>
  <si>
    <t>Fauna</t>
  </si>
  <si>
    <t>400746002441</t>
  </si>
  <si>
    <t>74600244</t>
  </si>
  <si>
    <t>400746000041</t>
  </si>
  <si>
    <t>74600004</t>
  </si>
  <si>
    <t>Heirloom Brown</t>
  </si>
  <si>
    <t>400746001246</t>
  </si>
  <si>
    <t>74600124</t>
  </si>
  <si>
    <t>Cyclone Blue</t>
  </si>
  <si>
    <t>400746001949</t>
  </si>
  <si>
    <t>74600194</t>
  </si>
  <si>
    <t>400746001345</t>
  </si>
  <si>
    <t>74600134</t>
  </si>
  <si>
    <t>400746002540</t>
  </si>
  <si>
    <t>74600254</t>
  </si>
  <si>
    <t>400746000140</t>
  </si>
  <si>
    <t>74600014</t>
  </si>
  <si>
    <t>400746002649</t>
  </si>
  <si>
    <t>74600264</t>
  </si>
  <si>
    <t>196064339191</t>
  </si>
  <si>
    <t>55998167</t>
  </si>
  <si>
    <t>6132542</t>
  </si>
  <si>
    <t>SO® Roxana Girls' Combat Boots</t>
  </si>
  <si>
    <t>196064339207</t>
  </si>
  <si>
    <t>55998168</t>
  </si>
  <si>
    <t>815</t>
  </si>
  <si>
    <t>196064339214</t>
  </si>
  <si>
    <t>55998169</t>
  </si>
  <si>
    <t>1843</t>
  </si>
  <si>
    <t>196064339221</t>
  </si>
  <si>
    <t>55998170</t>
  </si>
  <si>
    <t>2422</t>
  </si>
  <si>
    <t>196064339238</t>
  </si>
  <si>
    <t>55998172</t>
  </si>
  <si>
    <t>3092</t>
  </si>
  <si>
    <t>196064339245</t>
  </si>
  <si>
    <t>55998177</t>
  </si>
  <si>
    <t>1859</t>
  </si>
  <si>
    <t>196064339252</t>
  </si>
  <si>
    <t>55998178</t>
  </si>
  <si>
    <t>973</t>
  </si>
  <si>
    <t>196064339269</t>
  </si>
  <si>
    <t>55998179</t>
  </si>
  <si>
    <t>628</t>
  </si>
  <si>
    <t>400686678355</t>
  </si>
  <si>
    <t>68667835</t>
  </si>
  <si>
    <t>6536565</t>
  </si>
  <si>
    <t>Girls 6-20 SO® Puff-Sleeve Chiffon Dress in Regular &amp; Plus Size</t>
  </si>
  <si>
    <t>Cream Fog Floral</t>
  </si>
  <si>
    <t>XS (6/6X)</t>
  </si>
  <si>
    <t>400686678256</t>
  </si>
  <si>
    <t>68667825</t>
  </si>
  <si>
    <t>Black Daisy</t>
  </si>
  <si>
    <t>400686678362</t>
  </si>
  <si>
    <t>68667836</t>
  </si>
  <si>
    <t>S (7)</t>
  </si>
  <si>
    <t>400686678317</t>
  </si>
  <si>
    <t>68667831</t>
  </si>
  <si>
    <t>Coral Geo</t>
  </si>
  <si>
    <t>400686678263</t>
  </si>
  <si>
    <t>68667826</t>
  </si>
  <si>
    <t>400686678270</t>
  </si>
  <si>
    <t>68667827</t>
  </si>
  <si>
    <t>M (8)</t>
  </si>
  <si>
    <t>084971581348</t>
  </si>
  <si>
    <t>75146531</t>
  </si>
  <si>
    <t>4575511</t>
  </si>
  <si>
    <t>Men's Grand Slam 10&amp;#34; Double-Pleated Active-Waistband Golf Shorts</t>
  </si>
  <si>
    <t>Black Iris</t>
  </si>
  <si>
    <t>084971581522</t>
  </si>
  <si>
    <t>75146553</t>
  </si>
  <si>
    <t>084971581164</t>
  </si>
  <si>
    <t>75146509</t>
  </si>
  <si>
    <t>Quiet Shade</t>
  </si>
  <si>
    <t>084971581256</t>
  </si>
  <si>
    <t>75146520</t>
  </si>
  <si>
    <t>084971581171</t>
  </si>
  <si>
    <t>75146510</t>
  </si>
  <si>
    <t>084971581355</t>
  </si>
  <si>
    <t>75146532</t>
  </si>
  <si>
    <t>084971581539</t>
  </si>
  <si>
    <t>75146554</t>
  </si>
  <si>
    <t>084971581263</t>
  </si>
  <si>
    <t>75146521</t>
  </si>
  <si>
    <t>084971581447</t>
  </si>
  <si>
    <t>75146543</t>
  </si>
  <si>
    <t>084971581287</t>
  </si>
  <si>
    <t>75146523</t>
  </si>
  <si>
    <t>084971581461</t>
  </si>
  <si>
    <t>75146545</t>
  </si>
  <si>
    <t>084971581195</t>
  </si>
  <si>
    <t>75146512</t>
  </si>
  <si>
    <t>084971581379</t>
  </si>
  <si>
    <t>75146534</t>
  </si>
  <si>
    <t>084971581553</t>
  </si>
  <si>
    <t>75146556</t>
  </si>
  <si>
    <t>084971581294</t>
  </si>
  <si>
    <t>75146524</t>
  </si>
  <si>
    <t>084971581560</t>
  </si>
  <si>
    <t>75146559</t>
  </si>
  <si>
    <t>084971581201</t>
  </si>
  <si>
    <t>75146513</t>
  </si>
  <si>
    <t>084971581386</t>
  </si>
  <si>
    <t>75146535</t>
  </si>
  <si>
    <t>084971581300</t>
  </si>
  <si>
    <t>75146525</t>
  </si>
  <si>
    <t>084971581577</t>
  </si>
  <si>
    <t>75146560</t>
  </si>
  <si>
    <t>084971581317</t>
  </si>
  <si>
    <t>75146526</t>
  </si>
  <si>
    <t>084971581584</t>
  </si>
  <si>
    <t>75146561</t>
  </si>
  <si>
    <t>084971581409</t>
  </si>
  <si>
    <t>75146539</t>
  </si>
  <si>
    <t>084971581225</t>
  </si>
  <si>
    <t>75146515</t>
  </si>
  <si>
    <t>400374966498</t>
  </si>
  <si>
    <t>37496649</t>
  </si>
  <si>
    <t>6377822</t>
  </si>
  <si>
    <t>Baby &amp; Toddler Girl Jumping Beans® Skinny Jeans</t>
  </si>
  <si>
    <t>12 MONTHS</t>
  </si>
  <si>
    <t>400743842422</t>
  </si>
  <si>
    <t>74384242</t>
  </si>
  <si>
    <t>400743842491</t>
  </si>
  <si>
    <t>74384249</t>
  </si>
  <si>
    <t>400374966504</t>
  </si>
  <si>
    <t>37496650</t>
  </si>
  <si>
    <t>400743842507</t>
  </si>
  <si>
    <t>74384250</t>
  </si>
  <si>
    <t>660</t>
  </si>
  <si>
    <t>400374966511</t>
  </si>
  <si>
    <t>37496651</t>
  </si>
  <si>
    <t>400743842514</t>
  </si>
  <si>
    <t>74384251</t>
  </si>
  <si>
    <t>400743842590</t>
  </si>
  <si>
    <t>74384259</t>
  </si>
  <si>
    <t>5T</t>
  </si>
  <si>
    <t>196155076295</t>
  </si>
  <si>
    <t>83440005</t>
  </si>
  <si>
    <t>Women's Nike UV Advantage Dri-FIT Full-Zip Golf Top</t>
  </si>
  <si>
    <t>196974989110</t>
  </si>
  <si>
    <t>83440015</t>
  </si>
  <si>
    <t>Violet</t>
  </si>
  <si>
    <t>194434534924</t>
  </si>
  <si>
    <t>80476403</t>
  </si>
  <si>
    <t>6302588</t>
  </si>
  <si>
    <t>Converse Chuck Taylor All Star Berkshire Women's Sneaker Boots</t>
  </si>
  <si>
    <t>Converse</t>
  </si>
  <si>
    <t>Heirloom Silver</t>
  </si>
  <si>
    <t>M4W6</t>
  </si>
  <si>
    <t>194434534948</t>
  </si>
  <si>
    <t>80476413</t>
  </si>
  <si>
    <t>M5W7</t>
  </si>
  <si>
    <t>Women's Columbia Suttle Mountain Faux-Fur Trimmed Jacket</t>
  </si>
  <si>
    <t>765803911075</t>
  </si>
  <si>
    <t>67312839</t>
  </si>
  <si>
    <t>4982026</t>
  </si>
  <si>
    <t>Boys 7-20 Sonoma Goods For Life® Flexwear Slim Jeans</t>
  </si>
  <si>
    <t>Green Tint</t>
  </si>
  <si>
    <t>765803898574</t>
  </si>
  <si>
    <t>69342058</t>
  </si>
  <si>
    <t>Rinse Wash Whiskers</t>
  </si>
  <si>
    <t>765803902400</t>
  </si>
  <si>
    <t>81842800</t>
  </si>
  <si>
    <t>765803911099</t>
  </si>
  <si>
    <t>67312841</t>
  </si>
  <si>
    <t>765803902417</t>
  </si>
  <si>
    <t>81842801</t>
  </si>
  <si>
    <t>765803911006</t>
  </si>
  <si>
    <t>17905767</t>
  </si>
  <si>
    <t>765803902493</t>
  </si>
  <si>
    <t>48700440</t>
  </si>
  <si>
    <t>765803902424</t>
  </si>
  <si>
    <t>81842802</t>
  </si>
  <si>
    <t>765803911013</t>
  </si>
  <si>
    <t>17905768</t>
  </si>
  <si>
    <t>765803902431</t>
  </si>
  <si>
    <t>81842808</t>
  </si>
  <si>
    <t>765803902448</t>
  </si>
  <si>
    <t>81842809</t>
  </si>
  <si>
    <t>765803902462</t>
  </si>
  <si>
    <t>81842811</t>
  </si>
  <si>
    <t>765803898642</t>
  </si>
  <si>
    <t>69342128</t>
  </si>
  <si>
    <t>195612272829</t>
  </si>
  <si>
    <t>46896672</t>
  </si>
  <si>
    <t>Big &amp; Tall Haggar Premium Comfort Wrinkle Resistant Dress Shirt</t>
  </si>
  <si>
    <t>Haggar</t>
  </si>
  <si>
    <t>White Blue Stripe</t>
  </si>
  <si>
    <t>18 35/6T</t>
  </si>
  <si>
    <t>195612457424</t>
  </si>
  <si>
    <t>60962148</t>
  </si>
  <si>
    <t>Yellow Blue Check</t>
  </si>
  <si>
    <t>195612555854</t>
  </si>
  <si>
    <t>66131163</t>
  </si>
  <si>
    <t>Merlot</t>
  </si>
  <si>
    <t>195612267429</t>
  </si>
  <si>
    <t>81947202</t>
  </si>
  <si>
    <t>Gray Solid</t>
  </si>
  <si>
    <t>18 37/8T</t>
  </si>
  <si>
    <t>195612335388</t>
  </si>
  <si>
    <t>46951406</t>
  </si>
  <si>
    <t>Wine Solid</t>
  </si>
  <si>
    <t>18.5 34/5B</t>
  </si>
  <si>
    <t>195612516541</t>
  </si>
  <si>
    <t>80584603</t>
  </si>
  <si>
    <t>Navy Check</t>
  </si>
  <si>
    <t>195612261007</t>
  </si>
  <si>
    <t>48807944</t>
  </si>
  <si>
    <t>195612517104</t>
  </si>
  <si>
    <t>81904651</t>
  </si>
  <si>
    <t>195612260369</t>
  </si>
  <si>
    <t>58105531</t>
  </si>
  <si>
    <t>Mini Blue Dobby</t>
  </si>
  <si>
    <t>195612442482</t>
  </si>
  <si>
    <t>54809376</t>
  </si>
  <si>
    <t>Silver Black Plaid</t>
  </si>
  <si>
    <t>195612334749</t>
  </si>
  <si>
    <t>55218690</t>
  </si>
  <si>
    <t>Khaki Solid</t>
  </si>
  <si>
    <t>195612516824</t>
  </si>
  <si>
    <t>64878181</t>
  </si>
  <si>
    <t>Merlot Check</t>
  </si>
  <si>
    <t>195612261649</t>
  </si>
  <si>
    <t>59151646</t>
  </si>
  <si>
    <t>Double Blue Check</t>
  </si>
  <si>
    <t>195612337948</t>
  </si>
  <si>
    <t>54765036</t>
  </si>
  <si>
    <t>Mid Blue Windowpane</t>
  </si>
  <si>
    <t>195612337306</t>
  </si>
  <si>
    <t>54032703</t>
  </si>
  <si>
    <t>Black Plaid</t>
  </si>
  <si>
    <t>195612256522</t>
  </si>
  <si>
    <t>39294789</t>
  </si>
  <si>
    <t>Tonal Blue Check</t>
  </si>
  <si>
    <t>195612257161</t>
  </si>
  <si>
    <t>54670191</t>
  </si>
  <si>
    <t>195612360908</t>
  </si>
  <si>
    <t>38857435</t>
  </si>
  <si>
    <t>Burgundy Plaid</t>
  </si>
  <si>
    <t>195612442192</t>
  </si>
  <si>
    <t>80733909</t>
  </si>
  <si>
    <t>195612336668</t>
  </si>
  <si>
    <t>80754275</t>
  </si>
  <si>
    <t>Sage Blue Gingham</t>
  </si>
  <si>
    <t>195612457431</t>
  </si>
  <si>
    <t>60962150</t>
  </si>
  <si>
    <t>18.5 35/6T</t>
  </si>
  <si>
    <t>195612272836</t>
  </si>
  <si>
    <t>46896674</t>
  </si>
  <si>
    <t>195612555861</t>
  </si>
  <si>
    <t>66131165</t>
  </si>
  <si>
    <t>195612267436</t>
  </si>
  <si>
    <t>81947209</t>
  </si>
  <si>
    <t>195612555786</t>
  </si>
  <si>
    <t>49907170</t>
  </si>
  <si>
    <t>195612555915</t>
  </si>
  <si>
    <t>66131166</t>
  </si>
  <si>
    <t>18.5 37/8T</t>
  </si>
  <si>
    <t>195612267719</t>
  </si>
  <si>
    <t>81947210</t>
  </si>
  <si>
    <t>195612256539</t>
  </si>
  <si>
    <t>39294790</t>
  </si>
  <si>
    <t>19 34/5B</t>
  </si>
  <si>
    <t>195612555601</t>
  </si>
  <si>
    <t>80584604</t>
  </si>
  <si>
    <t>195612261014</t>
  </si>
  <si>
    <t>48807945</t>
  </si>
  <si>
    <t>195612555663</t>
  </si>
  <si>
    <t>81904652</t>
  </si>
  <si>
    <t>195612456915</t>
  </si>
  <si>
    <t>54809377</t>
  </si>
  <si>
    <t>195612456854</t>
  </si>
  <si>
    <t>54809373</t>
  </si>
  <si>
    <t>Blue Red Check</t>
  </si>
  <si>
    <t>195612555632</t>
  </si>
  <si>
    <t>64878182</t>
  </si>
  <si>
    <t>195612261656</t>
  </si>
  <si>
    <t>59151647</t>
  </si>
  <si>
    <t>195612257178</t>
  </si>
  <si>
    <t>54670192</t>
  </si>
  <si>
    <t>195612360915</t>
  </si>
  <si>
    <t>38857436</t>
  </si>
  <si>
    <t>195612456885</t>
  </si>
  <si>
    <t>80733910</t>
  </si>
  <si>
    <t>195612457448</t>
  </si>
  <si>
    <t>60962152</t>
  </si>
  <si>
    <t>19 35/6T</t>
  </si>
  <si>
    <t>195612272843</t>
  </si>
  <si>
    <t>46896676</t>
  </si>
  <si>
    <t>195612555878</t>
  </si>
  <si>
    <t>66131167</t>
  </si>
  <si>
    <t>195612267443</t>
  </si>
  <si>
    <t>81947211</t>
  </si>
  <si>
    <t>195612457615</t>
  </si>
  <si>
    <t>49226336</t>
  </si>
  <si>
    <t>195612555793</t>
  </si>
  <si>
    <t>49907190</t>
  </si>
  <si>
    <t>195612457547</t>
  </si>
  <si>
    <t>60962153</t>
  </si>
  <si>
    <t>19 37/8T</t>
  </si>
  <si>
    <t>195612267726</t>
  </si>
  <si>
    <t>81947212</t>
  </si>
  <si>
    <t>195612261045</t>
  </si>
  <si>
    <t>48807946</t>
  </si>
  <si>
    <t>20 34/5B</t>
  </si>
  <si>
    <t>195612555670</t>
  </si>
  <si>
    <t>81904658</t>
  </si>
  <si>
    <t>195612256560</t>
  </si>
  <si>
    <t>39294791</t>
  </si>
  <si>
    <t>195612555618</t>
  </si>
  <si>
    <t>80584605</t>
  </si>
  <si>
    <t>195612456922</t>
  </si>
  <si>
    <t>54809378</t>
  </si>
  <si>
    <t>195612456861</t>
  </si>
  <si>
    <t>54809374</t>
  </si>
  <si>
    <t>195612555649</t>
  </si>
  <si>
    <t>64878188</t>
  </si>
  <si>
    <t>195612261687</t>
  </si>
  <si>
    <t>59151654</t>
  </si>
  <si>
    <t>195612257208</t>
  </si>
  <si>
    <t>54670197</t>
  </si>
  <si>
    <t>195612360946</t>
  </si>
  <si>
    <t>38857437</t>
  </si>
  <si>
    <t>195612456892</t>
  </si>
  <si>
    <t>80733911</t>
  </si>
  <si>
    <t>195612457462</t>
  </si>
  <si>
    <t>60962154</t>
  </si>
  <si>
    <t>20 35/6T</t>
  </si>
  <si>
    <t>195612266576</t>
  </si>
  <si>
    <t>17936739</t>
  </si>
  <si>
    <t>195612272874</t>
  </si>
  <si>
    <t>46896678</t>
  </si>
  <si>
    <t>195612555885</t>
  </si>
  <si>
    <t>66131174</t>
  </si>
  <si>
    <t>195612555809</t>
  </si>
  <si>
    <t>49907210</t>
  </si>
  <si>
    <t>195612267474</t>
  </si>
  <si>
    <t>81947218</t>
  </si>
  <si>
    <t>195612555724</t>
  </si>
  <si>
    <t>81888967</t>
  </si>
  <si>
    <t>195612457639</t>
  </si>
  <si>
    <t>49226338</t>
  </si>
  <si>
    <t>195612348357</t>
  </si>
  <si>
    <t>18412328</t>
  </si>
  <si>
    <t>195612261052</t>
  </si>
  <si>
    <t>48807947</t>
  </si>
  <si>
    <t>22 34/5B</t>
  </si>
  <si>
    <t>195612555687</t>
  </si>
  <si>
    <t>81904659</t>
  </si>
  <si>
    <t>195612256577</t>
  </si>
  <si>
    <t>39294792</t>
  </si>
  <si>
    <t>195612257215</t>
  </si>
  <si>
    <t>54670198</t>
  </si>
  <si>
    <t>195612555625</t>
  </si>
  <si>
    <t>80584606</t>
  </si>
  <si>
    <t>195612456939</t>
  </si>
  <si>
    <t>54809379</t>
  </si>
  <si>
    <t>195612456878</t>
  </si>
  <si>
    <t>54809375</t>
  </si>
  <si>
    <t>195612555656</t>
  </si>
  <si>
    <t>64878189</t>
  </si>
  <si>
    <t>195612337993</t>
  </si>
  <si>
    <t>54765039</t>
  </si>
  <si>
    <t>195612261694</t>
  </si>
  <si>
    <t>59151655</t>
  </si>
  <si>
    <t>195612360953</t>
  </si>
  <si>
    <t>38857444</t>
  </si>
  <si>
    <t>195612456908</t>
  </si>
  <si>
    <t>80733912</t>
  </si>
  <si>
    <t>195612457479</t>
  </si>
  <si>
    <t>60962155</t>
  </si>
  <si>
    <t>22 35/6T</t>
  </si>
  <si>
    <t>195612271983</t>
  </si>
  <si>
    <t>17927198</t>
  </si>
  <si>
    <t>195612347848</t>
  </si>
  <si>
    <t>64286936</t>
  </si>
  <si>
    <t>195612272881</t>
  </si>
  <si>
    <t>46896679</t>
  </si>
  <si>
    <t>195612555892</t>
  </si>
  <si>
    <t>66131175</t>
  </si>
  <si>
    <t>195612266583</t>
  </si>
  <si>
    <t>17936743</t>
  </si>
  <si>
    <t>195612267481</t>
  </si>
  <si>
    <t>81947219</t>
  </si>
  <si>
    <t>195612555816</t>
  </si>
  <si>
    <t>49907220</t>
  </si>
  <si>
    <t>195612457646</t>
  </si>
  <si>
    <t>49226339</t>
  </si>
  <si>
    <t>195612555731</t>
  </si>
  <si>
    <t>81888974</t>
  </si>
  <si>
    <t>195612348364</t>
  </si>
  <si>
    <t>18412329</t>
  </si>
  <si>
    <t>197117201823</t>
  </si>
  <si>
    <t>55610383</t>
  </si>
  <si>
    <t>6077228</t>
  </si>
  <si>
    <t>Women's Beauty Sleep Social Billie 3/4-Sleeve Notch Collar Top &amp; Pajama Pants Sleep Set</t>
  </si>
  <si>
    <t>Beauty Sleep Social</t>
  </si>
  <si>
    <t>High Tea</t>
  </si>
  <si>
    <t>197117202004</t>
  </si>
  <si>
    <t>55610403</t>
  </si>
  <si>
    <t>Belle Paris</t>
  </si>
  <si>
    <t>196064235257</t>
  </si>
  <si>
    <t>76739261</t>
  </si>
  <si>
    <t>7081161</t>
  </si>
  <si>
    <t>Tretorn Rawlins Men's Shoes</t>
  </si>
  <si>
    <t>Tretorn</t>
  </si>
  <si>
    <t>196064235264</t>
  </si>
  <si>
    <t>76739262</t>
  </si>
  <si>
    <t>196064235271</t>
  </si>
  <si>
    <t>76739264</t>
  </si>
  <si>
    <t>196064235288</t>
  </si>
  <si>
    <t>76739265</t>
  </si>
  <si>
    <t>196064235295</t>
  </si>
  <si>
    <t>76739266</t>
  </si>
  <si>
    <t>196064235301</t>
  </si>
  <si>
    <t>76739267</t>
  </si>
  <si>
    <t>196064235318</t>
  </si>
  <si>
    <t>76739268</t>
  </si>
  <si>
    <t>196064235325</t>
  </si>
  <si>
    <t>76739269</t>
  </si>
  <si>
    <t>196064235332</t>
  </si>
  <si>
    <t>76739270</t>
  </si>
  <si>
    <t>197235058347</t>
  </si>
  <si>
    <t>76411701</t>
  </si>
  <si>
    <t>6425461</t>
  </si>
  <si>
    <t>Boys 8-20 adidas Smiley Graphic Long Sleeve Tee</t>
  </si>
  <si>
    <t>197235058354</t>
  </si>
  <si>
    <t>76411702</t>
  </si>
  <si>
    <t>197235058309</t>
  </si>
  <si>
    <t>76411692</t>
  </si>
  <si>
    <t>Royal Blue Heather</t>
  </si>
  <si>
    <t>197235058316</t>
  </si>
  <si>
    <t>76411699</t>
  </si>
  <si>
    <t>736</t>
  </si>
  <si>
    <t>197235058361</t>
  </si>
  <si>
    <t>76411709</t>
  </si>
  <si>
    <t>580</t>
  </si>
  <si>
    <t>197235058323</t>
  </si>
  <si>
    <t>76411700</t>
  </si>
  <si>
    <t>197235058378</t>
  </si>
  <si>
    <t>76411710</t>
  </si>
  <si>
    <t>195861327189</t>
  </si>
  <si>
    <t>29479757</t>
  </si>
  <si>
    <t>5577644</t>
  </si>
  <si>
    <t>Girls 4-14 Carter's Fleece Nightgown</t>
  </si>
  <si>
    <t>Pink Hearts</t>
  </si>
  <si>
    <t>195861327196</t>
  </si>
  <si>
    <t>29479758</t>
  </si>
  <si>
    <t>6-7</t>
  </si>
  <si>
    <t>195861327202</t>
  </si>
  <si>
    <t>29479759</t>
  </si>
  <si>
    <t>8-10</t>
  </si>
  <si>
    <t>195861327165</t>
  </si>
  <si>
    <t>29479762</t>
  </si>
  <si>
    <t>606</t>
  </si>
  <si>
    <t>12-14</t>
  </si>
  <si>
    <t>887863849744</t>
  </si>
  <si>
    <t>72068261</t>
  </si>
  <si>
    <t>6431101</t>
  </si>
  <si>
    <t>Women's Petite Nine West Duster Cardigan</t>
  </si>
  <si>
    <t>887863850276</t>
  </si>
  <si>
    <t>86741262</t>
  </si>
  <si>
    <t>887863850337</t>
  </si>
  <si>
    <t>86741279</t>
  </si>
  <si>
    <t>Deep Cognac</t>
  </si>
  <si>
    <t>887863849751</t>
  </si>
  <si>
    <t>72068262</t>
  </si>
  <si>
    <t>887863850344</t>
  </si>
  <si>
    <t>86741280</t>
  </si>
  <si>
    <t>887863850283</t>
  </si>
  <si>
    <t>86741263</t>
  </si>
  <si>
    <t>887863850351</t>
  </si>
  <si>
    <t>86741281</t>
  </si>
  <si>
    <t>887863850290</t>
  </si>
  <si>
    <t>86741264</t>
  </si>
  <si>
    <t>887863850368</t>
  </si>
  <si>
    <t>86741282</t>
  </si>
  <si>
    <t>887863850306</t>
  </si>
  <si>
    <t>86741265</t>
  </si>
  <si>
    <t>887863850375</t>
  </si>
  <si>
    <t>86741283</t>
  </si>
  <si>
    <t>887863850313</t>
  </si>
  <si>
    <t>86741268</t>
  </si>
  <si>
    <t>887863850382</t>
  </si>
  <si>
    <t>86741284</t>
  </si>
  <si>
    <t>196064335445</t>
  </si>
  <si>
    <t>55623550</t>
  </si>
  <si>
    <t>6131536</t>
  </si>
  <si>
    <t>totes Ariana Women's Waterproof Snow Boots</t>
  </si>
  <si>
    <t>totes</t>
  </si>
  <si>
    <t>196064335452</t>
  </si>
  <si>
    <t>55623552</t>
  </si>
  <si>
    <t>196064335483</t>
  </si>
  <si>
    <t>55623555</t>
  </si>
  <si>
    <t>196064335490</t>
  </si>
  <si>
    <t>55623556</t>
  </si>
  <si>
    <t>196064335506</t>
  </si>
  <si>
    <t>55623557</t>
  </si>
  <si>
    <t>889602777035</t>
  </si>
  <si>
    <t>76816437</t>
  </si>
  <si>
    <t>6360567</t>
  </si>
  <si>
    <t>Women's Croft &amp; Barrow® Crew Neck Twofer Sweater</t>
  </si>
  <si>
    <t>Teal White</t>
  </si>
  <si>
    <t>889602777158</t>
  </si>
  <si>
    <t>76816430</t>
  </si>
  <si>
    <t>Maroon Blue Stripe</t>
  </si>
  <si>
    <t>889602777042</t>
  </si>
  <si>
    <t>76816438</t>
  </si>
  <si>
    <t>889602777165</t>
  </si>
  <si>
    <t>76816431</t>
  </si>
  <si>
    <t>889602777226</t>
  </si>
  <si>
    <t>76816445</t>
  </si>
  <si>
    <t>Navy Light Blue</t>
  </si>
  <si>
    <t>889602777233</t>
  </si>
  <si>
    <t>76816446</t>
  </si>
  <si>
    <t>889602777172</t>
  </si>
  <si>
    <t>76816432</t>
  </si>
  <si>
    <t>889602777240</t>
  </si>
  <si>
    <t>76816447</t>
  </si>
  <si>
    <t>889602777189</t>
  </si>
  <si>
    <t>76816434</t>
  </si>
  <si>
    <t>889602777066</t>
  </si>
  <si>
    <t>76816440</t>
  </si>
  <si>
    <t>889602777196</t>
  </si>
  <si>
    <t>76816435</t>
  </si>
  <si>
    <t>889602777257</t>
  </si>
  <si>
    <t>76816448</t>
  </si>
  <si>
    <t>889602777073</t>
  </si>
  <si>
    <t>76816441</t>
  </si>
  <si>
    <t>195365505281</t>
  </si>
  <si>
    <t>65832914</t>
  </si>
  <si>
    <t>6119595</t>
  </si>
  <si>
    <t>Boys 8-20 ZeroXposur Alpha Snowboard Jacket</t>
  </si>
  <si>
    <t>Black Print</t>
  </si>
  <si>
    <t>L (10/12)</t>
  </si>
  <si>
    <t>195365505229</t>
  </si>
  <si>
    <t>65832910</t>
  </si>
  <si>
    <t>195365505236</t>
  </si>
  <si>
    <t>65832911</t>
  </si>
  <si>
    <t>Plus Size Under Armour Motion Ankle Leggings</t>
  </si>
  <si>
    <t>Misty Purple</t>
  </si>
  <si>
    <t>Mystic Magenta</t>
  </si>
  <si>
    <t>400375296440</t>
  </si>
  <si>
    <t>37529644</t>
  </si>
  <si>
    <t>6638807</t>
  </si>
  <si>
    <t>Women's Simply Vera Vera Wang Double-V Maxi Dress</t>
  </si>
  <si>
    <t>Tan White Floral</t>
  </si>
  <si>
    <t>400375296266</t>
  </si>
  <si>
    <t>37529626</t>
  </si>
  <si>
    <t>Black White Dots</t>
  </si>
  <si>
    <t>400792147790</t>
  </si>
  <si>
    <t>79214779</t>
  </si>
  <si>
    <t>400375296556</t>
  </si>
  <si>
    <t>37529655</t>
  </si>
  <si>
    <t>Men’s Columbia Loma Vista II Jacket</t>
  </si>
  <si>
    <t>400498199406</t>
  </si>
  <si>
    <t>49819940</t>
  </si>
  <si>
    <t>7081222</t>
  </si>
  <si>
    <t>Women's Simply Vera Vera Wang V-Neck Top</t>
  </si>
  <si>
    <t>Pete Rose</t>
  </si>
  <si>
    <t>400720152582</t>
  </si>
  <si>
    <t>72015258</t>
  </si>
  <si>
    <t>Black Vertical Texture</t>
  </si>
  <si>
    <t>400310539663</t>
  </si>
  <si>
    <t>31053966</t>
  </si>
  <si>
    <t>Ocean Kiss</t>
  </si>
  <si>
    <t>400310539847</t>
  </si>
  <si>
    <t>31053984</t>
  </si>
  <si>
    <t>Devan Blue</t>
  </si>
  <si>
    <t>400498199505</t>
  </si>
  <si>
    <t>49819950</t>
  </si>
  <si>
    <t>400720152599</t>
  </si>
  <si>
    <t>72015259</t>
  </si>
  <si>
    <t>400720152605</t>
  </si>
  <si>
    <t>72015260</t>
  </si>
  <si>
    <t>250</t>
  </si>
  <si>
    <t>400720152612</t>
  </si>
  <si>
    <t>72015261</t>
  </si>
  <si>
    <t>400720152629</t>
  </si>
  <si>
    <t>72015262</t>
  </si>
  <si>
    <t>197178352441</t>
  </si>
  <si>
    <t>82134390</t>
  </si>
  <si>
    <t>6508565</t>
  </si>
  <si>
    <t>Women's Draper James Textured V-Neck Button Front Cardigan</t>
  </si>
  <si>
    <t>Draper James</t>
  </si>
  <si>
    <t>197178352465</t>
  </si>
  <si>
    <t>82134398</t>
  </si>
  <si>
    <t>197178352472</t>
  </si>
  <si>
    <t>82134399</t>
  </si>
  <si>
    <t>400587265258</t>
  </si>
  <si>
    <t>58726525</t>
  </si>
  <si>
    <t>5654167</t>
  </si>
  <si>
    <t>Boys 4-8 Jumping Beans® Skinny Fit Denim Jeans in Regular, Slim &amp; Husky</t>
  </si>
  <si>
    <t>889602788765</t>
  </si>
  <si>
    <t>37710303</t>
  </si>
  <si>
    <t>6547636</t>
  </si>
  <si>
    <t>Women's Simply Vera Vera Wang Open Front Cardigan</t>
  </si>
  <si>
    <t>889602788772</t>
  </si>
  <si>
    <t>37710313</t>
  </si>
  <si>
    <t>889602788840</t>
  </si>
  <si>
    <t>37710373</t>
  </si>
  <si>
    <t>Moon Rock</t>
  </si>
  <si>
    <t>889602788789</t>
  </si>
  <si>
    <t>37710323</t>
  </si>
  <si>
    <t>889602788796</t>
  </si>
  <si>
    <t>37710333</t>
  </si>
  <si>
    <t>889602788864</t>
  </si>
  <si>
    <t>37710393</t>
  </si>
  <si>
    <t>889602788871</t>
  </si>
  <si>
    <t>37710403</t>
  </si>
  <si>
    <t>889602788802</t>
  </si>
  <si>
    <t>37710343</t>
  </si>
  <si>
    <t>889602788888</t>
  </si>
  <si>
    <t>37710413</t>
  </si>
  <si>
    <t>400500622441</t>
  </si>
  <si>
    <t>50062244</t>
  </si>
  <si>
    <t>6312212</t>
  </si>
  <si>
    <t>Boys 8-20 Sonoma Goods For Life® Colorblock Quarter Zip Pullover Sweater</t>
  </si>
  <si>
    <t>Maroon Rose</t>
  </si>
  <si>
    <t>400830957459</t>
  </si>
  <si>
    <t>83095745</t>
  </si>
  <si>
    <t>Light Drizzle Heather</t>
  </si>
  <si>
    <t>400500622588</t>
  </si>
  <si>
    <t>50062258</t>
  </si>
  <si>
    <t>400500622519</t>
  </si>
  <si>
    <t>50062251</t>
  </si>
  <si>
    <t>Favian Olive</t>
  </si>
  <si>
    <t>400830957558</t>
  </si>
  <si>
    <t>83095755</t>
  </si>
  <si>
    <t>543</t>
  </si>
  <si>
    <t>400500622489</t>
  </si>
  <si>
    <t>50062248</t>
  </si>
  <si>
    <t>400500622595</t>
  </si>
  <si>
    <t>50062259</t>
  </si>
  <si>
    <t>400500622526</t>
  </si>
  <si>
    <t>50062252</t>
  </si>
  <si>
    <t>400830957657</t>
  </si>
  <si>
    <t>83095765</t>
  </si>
  <si>
    <t>525</t>
  </si>
  <si>
    <t>400500622496</t>
  </si>
  <si>
    <t>50062249</t>
  </si>
  <si>
    <t>400500622601</t>
  </si>
  <si>
    <t>50062260</t>
  </si>
  <si>
    <t>527</t>
  </si>
  <si>
    <t>400500622533</t>
  </si>
  <si>
    <t>50062253</t>
  </si>
  <si>
    <t>400830957756</t>
  </si>
  <si>
    <t>83095775</t>
  </si>
  <si>
    <t>400500622540</t>
  </si>
  <si>
    <t>50062254</t>
  </si>
  <si>
    <t>400500622502</t>
  </si>
  <si>
    <t>50062250</t>
  </si>
  <si>
    <t>400500622618</t>
  </si>
  <si>
    <t>50062261</t>
  </si>
  <si>
    <t>Men's Columbia Loma Vista™ Interchange Jacket</t>
  </si>
  <si>
    <t>Stone Green Camp</t>
  </si>
  <si>
    <t>Dark Stone Check</t>
  </si>
  <si>
    <t>Shark Green Camo</t>
  </si>
  <si>
    <t>400614118328</t>
  </si>
  <si>
    <t>61411832</t>
  </si>
  <si>
    <t>5971615</t>
  </si>
  <si>
    <t>Men's Sonoma Goods For Life® 7&amp;#34; Outdoor Cargo Shorts</t>
  </si>
  <si>
    <t>Washed Orange</t>
  </si>
  <si>
    <t>400614118007</t>
  </si>
  <si>
    <t>61411800</t>
  </si>
  <si>
    <t>Light Khaki</t>
  </si>
  <si>
    <t>400614118335</t>
  </si>
  <si>
    <t>61411833</t>
  </si>
  <si>
    <t>400614118014</t>
  </si>
  <si>
    <t>61411801</t>
  </si>
  <si>
    <t>400614118205</t>
  </si>
  <si>
    <t>61411820</t>
  </si>
  <si>
    <t>Dark Khaki</t>
  </si>
  <si>
    <t>400614118380</t>
  </si>
  <si>
    <t>61411838</t>
  </si>
  <si>
    <t>400614118526</t>
  </si>
  <si>
    <t>61411852</t>
  </si>
  <si>
    <t>Dark Gray</t>
  </si>
  <si>
    <t>400614118021</t>
  </si>
  <si>
    <t>61411802</t>
  </si>
  <si>
    <t>400614118397</t>
  </si>
  <si>
    <t>61411839</t>
  </si>
  <si>
    <t>400614118038</t>
  </si>
  <si>
    <t>61411803</t>
  </si>
  <si>
    <t>400614118403</t>
  </si>
  <si>
    <t>61411840</t>
  </si>
  <si>
    <t>400614118083</t>
  </si>
  <si>
    <t>61411808</t>
  </si>
  <si>
    <t>400614118410</t>
  </si>
  <si>
    <t>61411841</t>
  </si>
  <si>
    <t>273</t>
  </si>
  <si>
    <t>400614118090</t>
  </si>
  <si>
    <t>61411809</t>
  </si>
  <si>
    <t>400614118427</t>
  </si>
  <si>
    <t>61411842</t>
  </si>
  <si>
    <t>400614118106</t>
  </si>
  <si>
    <t>61411810</t>
  </si>
  <si>
    <t>400614118434</t>
  </si>
  <si>
    <t>61411843</t>
  </si>
  <si>
    <t>400614118113</t>
  </si>
  <si>
    <t>61411811</t>
  </si>
  <si>
    <t>238</t>
  </si>
  <si>
    <t>400614118120</t>
  </si>
  <si>
    <t>61411812</t>
  </si>
  <si>
    <t>400614118489</t>
  </si>
  <si>
    <t>61411848</t>
  </si>
  <si>
    <t>400614118632</t>
  </si>
  <si>
    <t>61411863</t>
  </si>
  <si>
    <t>400614118137</t>
  </si>
  <si>
    <t>61411813</t>
  </si>
  <si>
    <t>380</t>
  </si>
  <si>
    <t>400614118311</t>
  </si>
  <si>
    <t>61411831</t>
  </si>
  <si>
    <t>400614118496</t>
  </si>
  <si>
    <t>61411849</t>
  </si>
  <si>
    <t>196885901591</t>
  </si>
  <si>
    <t>72411403</t>
  </si>
  <si>
    <t>6458878</t>
  </si>
  <si>
    <t>Men's Under Armour Rival Fleece Puddle Pants</t>
  </si>
  <si>
    <t>Khaki Base</t>
  </si>
  <si>
    <t>196885399930</t>
  </si>
  <si>
    <t>72411394</t>
  </si>
  <si>
    <t>Castlerocck</t>
  </si>
  <si>
    <t>196885389641</t>
  </si>
  <si>
    <t>72411408</t>
  </si>
  <si>
    <t>196885389610</t>
  </si>
  <si>
    <t>72411413</t>
  </si>
  <si>
    <t>196885902314</t>
  </si>
  <si>
    <t>72411404</t>
  </si>
  <si>
    <t>196885399916</t>
  </si>
  <si>
    <t>72411395</t>
  </si>
  <si>
    <t>196885389573</t>
  </si>
  <si>
    <t>72411414</t>
  </si>
  <si>
    <t>196885399794</t>
  </si>
  <si>
    <t>72411396</t>
  </si>
  <si>
    <t>196885902826</t>
  </si>
  <si>
    <t>72411405</t>
  </si>
  <si>
    <t>196885389672</t>
  </si>
  <si>
    <t>72411415</t>
  </si>
  <si>
    <t>196885399954</t>
  </si>
  <si>
    <t>72411397</t>
  </si>
  <si>
    <t>196885902352</t>
  </si>
  <si>
    <t>72411406</t>
  </si>
  <si>
    <t>196885399985</t>
  </si>
  <si>
    <t>72411398</t>
  </si>
  <si>
    <t>196885389702</t>
  </si>
  <si>
    <t>72411416</t>
  </si>
  <si>
    <t>196885902345</t>
  </si>
  <si>
    <t>72411407</t>
  </si>
  <si>
    <t>400298964266</t>
  </si>
  <si>
    <t>29896426</t>
  </si>
  <si>
    <t>6569512</t>
  </si>
  <si>
    <t>Women's Simply Vera Vera Wang Short Utility Shirt Dress</t>
  </si>
  <si>
    <t>Leander Olive</t>
  </si>
  <si>
    <t>400298964440</t>
  </si>
  <si>
    <t>29896444</t>
  </si>
  <si>
    <t>191684706392</t>
  </si>
  <si>
    <t>86509538</t>
  </si>
  <si>
    <t>4796611</t>
  </si>
  <si>
    <t>Men's Wrangler ATG Synthetic Utility Pants</t>
  </si>
  <si>
    <t>191684706811</t>
  </si>
  <si>
    <t>86326626</t>
  </si>
  <si>
    <t>191684707498</t>
  </si>
  <si>
    <t>56092406</t>
  </si>
  <si>
    <t>Morel</t>
  </si>
  <si>
    <t>191684708563</t>
  </si>
  <si>
    <t>38592926</t>
  </si>
  <si>
    <t>191684707948</t>
  </si>
  <si>
    <t>56092409</t>
  </si>
  <si>
    <t>191684707986</t>
  </si>
  <si>
    <t>56092413</t>
  </si>
  <si>
    <t>197232121563</t>
  </si>
  <si>
    <t>74005949</t>
  </si>
  <si>
    <t>6258061</t>
  </si>
  <si>
    <t>Big &amp; Tall Tommy Hilfiger Plaid Button Down Shirt</t>
  </si>
  <si>
    <t>Tommy Hilfiger</t>
  </si>
  <si>
    <t>Rouge</t>
  </si>
  <si>
    <t>197232121808</t>
  </si>
  <si>
    <t>56110406</t>
  </si>
  <si>
    <t>Red Rouge</t>
  </si>
  <si>
    <t>197232122300</t>
  </si>
  <si>
    <t>74005962</t>
  </si>
  <si>
    <t>Crest Gold</t>
  </si>
  <si>
    <t>197232121587</t>
  </si>
  <si>
    <t>74005950</t>
  </si>
  <si>
    <t>197232121921</t>
  </si>
  <si>
    <t>56110407</t>
  </si>
  <si>
    <t>197232122461</t>
  </si>
  <si>
    <t>56110414</t>
  </si>
  <si>
    <t>Army Green Blue</t>
  </si>
  <si>
    <t>197232122720</t>
  </si>
  <si>
    <t>74005969</t>
  </si>
  <si>
    <t>197232122584</t>
  </si>
  <si>
    <t>78512129</t>
  </si>
  <si>
    <t>Mudstone</t>
  </si>
  <si>
    <t>197232122744</t>
  </si>
  <si>
    <t>74005989</t>
  </si>
  <si>
    <t>197232120566</t>
  </si>
  <si>
    <t>74005951</t>
  </si>
  <si>
    <t>197232121327</t>
  </si>
  <si>
    <t>56110408</t>
  </si>
  <si>
    <t>197232121945</t>
  </si>
  <si>
    <t>56110415</t>
  </si>
  <si>
    <t>197232121600</t>
  </si>
  <si>
    <t>74005970</t>
  </si>
  <si>
    <t>197232122041</t>
  </si>
  <si>
    <t>78512130</t>
  </si>
  <si>
    <t>197232120559</t>
  </si>
  <si>
    <t>74005959</t>
  </si>
  <si>
    <t>197232121204</t>
  </si>
  <si>
    <t>56110410</t>
  </si>
  <si>
    <t>197232121938</t>
  </si>
  <si>
    <t>56110417</t>
  </si>
  <si>
    <t>197232121594</t>
  </si>
  <si>
    <t>74005972</t>
  </si>
  <si>
    <t>197232122027</t>
  </si>
  <si>
    <t>78512132</t>
  </si>
  <si>
    <t>197232122768</t>
  </si>
  <si>
    <t>74005990</t>
  </si>
  <si>
    <t>197232120580</t>
  </si>
  <si>
    <t>74005952</t>
  </si>
  <si>
    <t>197232121365</t>
  </si>
  <si>
    <t>56110409</t>
  </si>
  <si>
    <t>197232121969</t>
  </si>
  <si>
    <t>56110416</t>
  </si>
  <si>
    <t>197232122225</t>
  </si>
  <si>
    <t>74005971</t>
  </si>
  <si>
    <t>197232122089</t>
  </si>
  <si>
    <t>78512131</t>
  </si>
  <si>
    <t>197232122751</t>
  </si>
  <si>
    <t>74005992</t>
  </si>
  <si>
    <t>197232121341</t>
  </si>
  <si>
    <t>56110411</t>
  </si>
  <si>
    <t>197232120573</t>
  </si>
  <si>
    <t>74005960</t>
  </si>
  <si>
    <t>197232121952</t>
  </si>
  <si>
    <t>56110418</t>
  </si>
  <si>
    <t>197232122065</t>
  </si>
  <si>
    <t>78512133</t>
  </si>
  <si>
    <t>197232122218</t>
  </si>
  <si>
    <t>74005979</t>
  </si>
  <si>
    <t>197232122775</t>
  </si>
  <si>
    <t>74006001</t>
  </si>
  <si>
    <t>197232121389</t>
  </si>
  <si>
    <t>56110412</t>
  </si>
  <si>
    <t>197232120597</t>
  </si>
  <si>
    <t>74005961</t>
  </si>
  <si>
    <t>197232121976</t>
  </si>
  <si>
    <t>56110419</t>
  </si>
  <si>
    <t>197232122102</t>
  </si>
  <si>
    <t>78512134</t>
  </si>
  <si>
    <t>197232122232</t>
  </si>
  <si>
    <t>74005980</t>
  </si>
  <si>
    <t>197232121419</t>
  </si>
  <si>
    <t>78512126</t>
  </si>
  <si>
    <t>Cool Dip Blue</t>
  </si>
  <si>
    <t>810009204114</t>
  </si>
  <si>
    <t>17675120</t>
  </si>
  <si>
    <t>5190142</t>
  </si>
  <si>
    <t>CoComelon Musical Yellow School Bus Pop Up Tent</t>
  </si>
  <si>
    <t>Cocomelon</t>
  </si>
  <si>
    <t>400300108824</t>
  </si>
  <si>
    <t>30010882</t>
  </si>
  <si>
    <t>6614710</t>
  </si>
  <si>
    <t>Women's Simply Vera Vera Wang High-Rise Flare Jeans</t>
  </si>
  <si>
    <t>Lyza</t>
  </si>
  <si>
    <t>0 LONG</t>
  </si>
  <si>
    <t>197057107209</t>
  </si>
  <si>
    <t>80575986</t>
  </si>
  <si>
    <t>6123269</t>
  </si>
  <si>
    <t>Hurley Men's Plaid Hooded Flannel Shirt</t>
  </si>
  <si>
    <t>Hurley</t>
  </si>
  <si>
    <t>Diffused Blue</t>
  </si>
  <si>
    <t>197057107001</t>
  </si>
  <si>
    <t>81904469</t>
  </si>
  <si>
    <t>Deep Mojito</t>
  </si>
  <si>
    <t>197057107193</t>
  </si>
  <si>
    <t>80575987</t>
  </si>
  <si>
    <t>197057106998</t>
  </si>
  <si>
    <t>81904470</t>
  </si>
  <si>
    <t>197057107186</t>
  </si>
  <si>
    <t>80575988</t>
  </si>
  <si>
    <t>197057106981</t>
  </si>
  <si>
    <t>81904471</t>
  </si>
  <si>
    <t>197057107216</t>
  </si>
  <si>
    <t>80575989</t>
  </si>
  <si>
    <t>197057107018</t>
  </si>
  <si>
    <t>81904472</t>
  </si>
  <si>
    <t>197057107025</t>
  </si>
  <si>
    <t>81904478</t>
  </si>
  <si>
    <t>197057107223</t>
  </si>
  <si>
    <t>80575990</t>
  </si>
  <si>
    <t>400769445140</t>
  </si>
  <si>
    <t>76944514</t>
  </si>
  <si>
    <t>5979457</t>
  </si>
  <si>
    <t>Women's Nine West Cowlneck Satin Cami</t>
  </si>
  <si>
    <t>Bronze Zig Zag</t>
  </si>
  <si>
    <t>400769445157</t>
  </si>
  <si>
    <t>76944515</t>
  </si>
  <si>
    <t>400769445164</t>
  </si>
  <si>
    <t>76944516</t>
  </si>
  <si>
    <t>400769445171</t>
  </si>
  <si>
    <t>76944517</t>
  </si>
  <si>
    <t>400769445195</t>
  </si>
  <si>
    <t>76944519</t>
  </si>
  <si>
    <t>351</t>
  </si>
  <si>
    <t>400535795721</t>
  </si>
  <si>
    <t>53579572</t>
  </si>
  <si>
    <t>400769445201</t>
  </si>
  <si>
    <t>76944520</t>
  </si>
  <si>
    <t>400535795738</t>
  </si>
  <si>
    <t>53579573</t>
  </si>
  <si>
    <t>Juniors' WallFlower Legendary Belted Slim Bootcut Jeans</t>
  </si>
  <si>
    <t>400291121857</t>
  </si>
  <si>
    <t>29112185</t>
  </si>
  <si>
    <t>6471347</t>
  </si>
  <si>
    <t>Women's LC Lauren Conrad Shirttail-Hem Trench Coat</t>
  </si>
  <si>
    <t>Indigo Check</t>
  </si>
  <si>
    <t>400500512797</t>
  </si>
  <si>
    <t>50051279</t>
  </si>
  <si>
    <t>Mint Crackle</t>
  </si>
  <si>
    <t>400500512889</t>
  </si>
  <si>
    <t>50051288</t>
  </si>
  <si>
    <t>Seaborne</t>
  </si>
  <si>
    <t>400291121864</t>
  </si>
  <si>
    <t>29112186</t>
  </si>
  <si>
    <t>400500512803</t>
  </si>
  <si>
    <t>50051280</t>
  </si>
  <si>
    <t>400500512896</t>
  </si>
  <si>
    <t>50051289</t>
  </si>
  <si>
    <t>400291121871</t>
  </si>
  <si>
    <t>29112187</t>
  </si>
  <si>
    <t>400500512810</t>
  </si>
  <si>
    <t>50051281</t>
  </si>
  <si>
    <t>400500512902</t>
  </si>
  <si>
    <t>50051290</t>
  </si>
  <si>
    <t>400291121888</t>
  </si>
  <si>
    <t>29112188</t>
  </si>
  <si>
    <t>400500512827</t>
  </si>
  <si>
    <t>50051282</t>
  </si>
  <si>
    <t>400500512919</t>
  </si>
  <si>
    <t>50051291</t>
  </si>
  <si>
    <t>400291121895</t>
  </si>
  <si>
    <t>29112189</t>
  </si>
  <si>
    <t>400500512926</t>
  </si>
  <si>
    <t>50051292</t>
  </si>
  <si>
    <t>400500512834</t>
  </si>
  <si>
    <t>50051283</t>
  </si>
  <si>
    <t>400500512933</t>
  </si>
  <si>
    <t>50051293</t>
  </si>
  <si>
    <t>400500512841</t>
  </si>
  <si>
    <t>50051284</t>
  </si>
  <si>
    <t>400291121901</t>
  </si>
  <si>
    <t>29112190</t>
  </si>
  <si>
    <t>195861981756</t>
  </si>
  <si>
    <t>73182303</t>
  </si>
  <si>
    <t>6074457</t>
  </si>
  <si>
    <t>Toddler Carter's 2-Piece Buffalo Check Fleece &amp; Jogger Set</t>
  </si>
  <si>
    <t>Red Buffalo</t>
  </si>
  <si>
    <t>195861981763</t>
  </si>
  <si>
    <t>73182304</t>
  </si>
  <si>
    <t>195861981770</t>
  </si>
  <si>
    <t>73182305</t>
  </si>
  <si>
    <t>Men's Nick Graham Modern-Fit Stretch Dress Shirt &amp; Tie Set</t>
  </si>
  <si>
    <t>Nick Graham</t>
  </si>
  <si>
    <t>Red Gingham</t>
  </si>
  <si>
    <t>192576863490</t>
  </si>
  <si>
    <t>71966924</t>
  </si>
  <si>
    <t>192576863506</t>
  </si>
  <si>
    <t>71966925</t>
  </si>
  <si>
    <t>192576863513</t>
  </si>
  <si>
    <t>71966926</t>
  </si>
  <si>
    <t>192576863520</t>
  </si>
  <si>
    <t>71966927</t>
  </si>
  <si>
    <t>192576863537</t>
  </si>
  <si>
    <t>71966928</t>
  </si>
  <si>
    <t>192576863544</t>
  </si>
  <si>
    <t>71966933</t>
  </si>
  <si>
    <t>Men's Skechers® Slip-Ins Hybrid Classic Pant</t>
  </si>
  <si>
    <t>400281597662</t>
  </si>
  <si>
    <t>28159766</t>
  </si>
  <si>
    <t>6284138</t>
  </si>
  <si>
    <t>Plus Size Tek Gear® Micro Fleece Popover Tee</t>
  </si>
  <si>
    <t>400743646020</t>
  </si>
  <si>
    <t>74364602</t>
  </si>
  <si>
    <t>400743646327</t>
  </si>
  <si>
    <t>74364632</t>
  </si>
  <si>
    <t>400743646228</t>
  </si>
  <si>
    <t>74364622</t>
  </si>
  <si>
    <t>400743646396</t>
  </si>
  <si>
    <t>74364639</t>
  </si>
  <si>
    <t>134</t>
  </si>
  <si>
    <t>400743646099</t>
  </si>
  <si>
    <t>74364609</t>
  </si>
  <si>
    <t>400743646303</t>
  </si>
  <si>
    <t>74364630</t>
  </si>
  <si>
    <t>400743646402</t>
  </si>
  <si>
    <t>74364640</t>
  </si>
  <si>
    <t>400743646105</t>
  </si>
  <si>
    <t>74364610</t>
  </si>
  <si>
    <t>400743646419</t>
  </si>
  <si>
    <t>74364641</t>
  </si>
  <si>
    <t>400743646112</t>
  </si>
  <si>
    <t>74364611</t>
  </si>
  <si>
    <t>400500707582</t>
  </si>
  <si>
    <t>50070758</t>
  </si>
  <si>
    <t>1767</t>
  </si>
  <si>
    <t>5005460</t>
  </si>
  <si>
    <t>Big &amp; Tall Sonoma Goods For Life® Straight-Leg Flexwear Jeans</t>
  </si>
  <si>
    <t>32X38</t>
  </si>
  <si>
    <t>400179509555</t>
  </si>
  <si>
    <t>17950955</t>
  </si>
  <si>
    <t>400498014877</t>
  </si>
  <si>
    <t>49801487</t>
  </si>
  <si>
    <t>400696559934</t>
  </si>
  <si>
    <t>69655993</t>
  </si>
  <si>
    <t>400714577513</t>
  </si>
  <si>
    <t>71457751</t>
  </si>
  <si>
    <t>400694326781</t>
  </si>
  <si>
    <t>69432678</t>
  </si>
  <si>
    <t>4733</t>
  </si>
  <si>
    <t>40X36</t>
  </si>
  <si>
    <t>400715350252</t>
  </si>
  <si>
    <t>71535025</t>
  </si>
  <si>
    <t>4443</t>
  </si>
  <si>
    <t>400719781649</t>
  </si>
  <si>
    <t>71978164</t>
  </si>
  <si>
    <t>Vintage Light</t>
  </si>
  <si>
    <t>40X38</t>
  </si>
  <si>
    <t>400719781373</t>
  </si>
  <si>
    <t>71978137</t>
  </si>
  <si>
    <t>400694326880</t>
  </si>
  <si>
    <t>69432688</t>
  </si>
  <si>
    <t>400546869237</t>
  </si>
  <si>
    <t>54686923</t>
  </si>
  <si>
    <t>400715350269</t>
  </si>
  <si>
    <t>71535026</t>
  </si>
  <si>
    <t>1043</t>
  </si>
  <si>
    <t>400694326989</t>
  </si>
  <si>
    <t>69432698</t>
  </si>
  <si>
    <t>42X34</t>
  </si>
  <si>
    <t>400715350276</t>
  </si>
  <si>
    <t>71535027</t>
  </si>
  <si>
    <t>2604</t>
  </si>
  <si>
    <t>400179509821</t>
  </si>
  <si>
    <t>17950982</t>
  </si>
  <si>
    <t>4833</t>
  </si>
  <si>
    <t>42X36</t>
  </si>
  <si>
    <t>400500707940</t>
  </si>
  <si>
    <t>50070794</t>
  </si>
  <si>
    <t>4180</t>
  </si>
  <si>
    <t>400694327085</t>
  </si>
  <si>
    <t>69432708</t>
  </si>
  <si>
    <t>42X38</t>
  </si>
  <si>
    <t>400694327283</t>
  </si>
  <si>
    <t>69432728</t>
  </si>
  <si>
    <t>44X30</t>
  </si>
  <si>
    <t>400694327481</t>
  </si>
  <si>
    <t>69432748</t>
  </si>
  <si>
    <t>417</t>
  </si>
  <si>
    <t>44X34</t>
  </si>
  <si>
    <t>400715350320</t>
  </si>
  <si>
    <t>71535032</t>
  </si>
  <si>
    <t>355</t>
  </si>
  <si>
    <t>400500707629</t>
  </si>
  <si>
    <t>50070762</t>
  </si>
  <si>
    <t>46X29</t>
  </si>
  <si>
    <t>400500707636</t>
  </si>
  <si>
    <t>50070763</t>
  </si>
  <si>
    <t>46X30</t>
  </si>
  <si>
    <t>400179509609</t>
  </si>
  <si>
    <t>17950960</t>
  </si>
  <si>
    <t>400179509623</t>
  </si>
  <si>
    <t>17950962</t>
  </si>
  <si>
    <t>46X34</t>
  </si>
  <si>
    <t>400179509647</t>
  </si>
  <si>
    <t>17950964</t>
  </si>
  <si>
    <t>48X29</t>
  </si>
  <si>
    <t>400500707704</t>
  </si>
  <si>
    <t>50070770</t>
  </si>
  <si>
    <t>400179509654</t>
  </si>
  <si>
    <t>17950965</t>
  </si>
  <si>
    <t>48X30</t>
  </si>
  <si>
    <t>400179509661</t>
  </si>
  <si>
    <t>17950966</t>
  </si>
  <si>
    <t>2996</t>
  </si>
  <si>
    <t>48X32</t>
  </si>
  <si>
    <t>400500707728</t>
  </si>
  <si>
    <t>50070772</t>
  </si>
  <si>
    <t>2018</t>
  </si>
  <si>
    <t>400179509692</t>
  </si>
  <si>
    <t>17950969</t>
  </si>
  <si>
    <t>50X29</t>
  </si>
  <si>
    <t>400500707780</t>
  </si>
  <si>
    <t>50070778</t>
  </si>
  <si>
    <t>400179509708</t>
  </si>
  <si>
    <t>17950970</t>
  </si>
  <si>
    <t>1115</t>
  </si>
  <si>
    <t>50X30</t>
  </si>
  <si>
    <t>400500707797</t>
  </si>
  <si>
    <t>50070779</t>
  </si>
  <si>
    <t>636</t>
  </si>
  <si>
    <t>400179509715</t>
  </si>
  <si>
    <t>17950971</t>
  </si>
  <si>
    <t>50X32</t>
  </si>
  <si>
    <t>400500707803</t>
  </si>
  <si>
    <t>50070780</t>
  </si>
  <si>
    <t>400694327580</t>
  </si>
  <si>
    <t>69432758</t>
  </si>
  <si>
    <t>5804</t>
  </si>
  <si>
    <t>52X29</t>
  </si>
  <si>
    <t>400546869930</t>
  </si>
  <si>
    <t>54686993</t>
  </si>
  <si>
    <t>400715350474</t>
  </si>
  <si>
    <t>71535047</t>
  </si>
  <si>
    <t>400715350337</t>
  </si>
  <si>
    <t>71535033</t>
  </si>
  <si>
    <t>4585</t>
  </si>
  <si>
    <t>400694327689</t>
  </si>
  <si>
    <t>69432768</t>
  </si>
  <si>
    <t>52X32</t>
  </si>
  <si>
    <t>400715350344</t>
  </si>
  <si>
    <t>71535034</t>
  </si>
  <si>
    <t>400719781571</t>
  </si>
  <si>
    <t>71978157</t>
  </si>
  <si>
    <t>56X30</t>
  </si>
  <si>
    <t>400694328082</t>
  </si>
  <si>
    <t>69432808</t>
  </si>
  <si>
    <t>1369</t>
  </si>
  <si>
    <t>400546870431</t>
  </si>
  <si>
    <t>54687043</t>
  </si>
  <si>
    <t>400715350382</t>
  </si>
  <si>
    <t>71535038</t>
  </si>
  <si>
    <t>1876</t>
  </si>
  <si>
    <t>196562269709</t>
  </si>
  <si>
    <t>30006884</t>
  </si>
  <si>
    <t>304</t>
  </si>
  <si>
    <t>6137395</t>
  </si>
  <si>
    <t>OshKosh B’gosh® Lumi Toddler Girl Fashion Boots</t>
  </si>
  <si>
    <t>Chocolate</t>
  </si>
  <si>
    <t>196562269440</t>
  </si>
  <si>
    <t>30006886</t>
  </si>
  <si>
    <t>196562270255</t>
  </si>
  <si>
    <t>30006893</t>
  </si>
  <si>
    <t>779</t>
  </si>
  <si>
    <t>196562269457</t>
  </si>
  <si>
    <t>30006894</t>
  </si>
  <si>
    <t>340</t>
  </si>
  <si>
    <t>196562269716</t>
  </si>
  <si>
    <t>30006896</t>
  </si>
  <si>
    <t>750</t>
  </si>
  <si>
    <t>196562267873</t>
  </si>
  <si>
    <t>30036263</t>
  </si>
  <si>
    <t>843</t>
  </si>
  <si>
    <t>196562267309</t>
  </si>
  <si>
    <t>30036264</t>
  </si>
  <si>
    <t>196562270576</t>
  </si>
  <si>
    <t>30036273</t>
  </si>
  <si>
    <t>400725103541</t>
  </si>
  <si>
    <t>72510354</t>
  </si>
  <si>
    <t>6495006</t>
  </si>
  <si>
    <t>Men's Tek Gear® Soft Tek Quarter-Zip Pullover</t>
  </si>
  <si>
    <t>Hawk Black</t>
  </si>
  <si>
    <t>400725103558</t>
  </si>
  <si>
    <t>72510355</t>
  </si>
  <si>
    <t>400725103565</t>
  </si>
  <si>
    <t>72510356</t>
  </si>
  <si>
    <t>400725103572</t>
  </si>
  <si>
    <t>72510357</t>
  </si>
  <si>
    <t>400181794253</t>
  </si>
  <si>
    <t>18179425</t>
  </si>
  <si>
    <t>7081060</t>
  </si>
  <si>
    <t>Women's Simply Vera Vera Wang Tie Front Pintuck Top</t>
  </si>
  <si>
    <t>Vincent River</t>
  </si>
  <si>
    <t>400649144996</t>
  </si>
  <si>
    <t>64914499</t>
  </si>
  <si>
    <t>Black White Texture</t>
  </si>
  <si>
    <t>400649145108</t>
  </si>
  <si>
    <t>64914510</t>
  </si>
  <si>
    <t>Pink Paintstrokes</t>
  </si>
  <si>
    <t>400649145009</t>
  </si>
  <si>
    <t>64914500</t>
  </si>
  <si>
    <t>400378916666</t>
  </si>
  <si>
    <t>37891666</t>
  </si>
  <si>
    <t>Wine Cellar</t>
  </si>
  <si>
    <t>400649145115</t>
  </si>
  <si>
    <t>64914511</t>
  </si>
  <si>
    <t>400612690734</t>
  </si>
  <si>
    <t>61269073</t>
  </si>
  <si>
    <t>5920754</t>
  </si>
  <si>
    <t>Plus Size Sonoma Goods For Life® Premium Denim Jacket</t>
  </si>
  <si>
    <t>Black Wash</t>
  </si>
  <si>
    <t>400670517226</t>
  </si>
  <si>
    <t>67051722</t>
  </si>
  <si>
    <t>5232496</t>
  </si>
  <si>
    <t>Women's Tek Gear® High Slit Tunic Tee</t>
  </si>
  <si>
    <t>400670517400</t>
  </si>
  <si>
    <t>67051740</t>
  </si>
  <si>
    <t>400670517707</t>
  </si>
  <si>
    <t>67051770</t>
  </si>
  <si>
    <t>400670517295</t>
  </si>
  <si>
    <t>67051729</t>
  </si>
  <si>
    <t>400670517417</t>
  </si>
  <si>
    <t>67051741</t>
  </si>
  <si>
    <t>1169</t>
  </si>
  <si>
    <t>400670517714</t>
  </si>
  <si>
    <t>67051771</t>
  </si>
  <si>
    <t>747</t>
  </si>
  <si>
    <t>400670517424</t>
  </si>
  <si>
    <t>67051742</t>
  </si>
  <si>
    <t>400755240988</t>
  </si>
  <si>
    <t>75524098</t>
  </si>
  <si>
    <t>6824301</t>
  </si>
  <si>
    <t>Men's Apt. 9® Merino Blend Sweater</t>
  </si>
  <si>
    <t>Navy Purple</t>
  </si>
  <si>
    <t>400744048618</t>
  </si>
  <si>
    <t>74404861</t>
  </si>
  <si>
    <t>400495720368</t>
  </si>
  <si>
    <t>49572036</t>
  </si>
  <si>
    <t>Cloud Morning</t>
  </si>
  <si>
    <t>400495720412</t>
  </si>
  <si>
    <t>49572041</t>
  </si>
  <si>
    <t>Blue Heather</t>
  </si>
  <si>
    <t>400744048625</t>
  </si>
  <si>
    <t>74404862</t>
  </si>
  <si>
    <t>484</t>
  </si>
  <si>
    <t>400495720375</t>
  </si>
  <si>
    <t>49572037</t>
  </si>
  <si>
    <t>400495720429</t>
  </si>
  <si>
    <t>49572042</t>
  </si>
  <si>
    <t>400755241039</t>
  </si>
  <si>
    <t>75524103</t>
  </si>
  <si>
    <t>400495720382</t>
  </si>
  <si>
    <t>49572038</t>
  </si>
  <si>
    <t>400755241046</t>
  </si>
  <si>
    <t>75524104</t>
  </si>
  <si>
    <t>400495720436</t>
  </si>
  <si>
    <t>49572043</t>
  </si>
  <si>
    <t>400744048694</t>
  </si>
  <si>
    <t>74404869</t>
  </si>
  <si>
    <t>400495720399</t>
  </si>
  <si>
    <t>49572039</t>
  </si>
  <si>
    <t>400755241053</t>
  </si>
  <si>
    <t>75524105</t>
  </si>
  <si>
    <t>400495720443</t>
  </si>
  <si>
    <t>49572044</t>
  </si>
  <si>
    <t>400744048700</t>
  </si>
  <si>
    <t>74404870</t>
  </si>
  <si>
    <t>426</t>
  </si>
  <si>
    <t>400495720450</t>
  </si>
  <si>
    <t>49572045</t>
  </si>
  <si>
    <t>400744048717</t>
  </si>
  <si>
    <t>74404871</t>
  </si>
  <si>
    <t>390</t>
  </si>
  <si>
    <t>400755241060</t>
  </si>
  <si>
    <t>75524106</t>
  </si>
  <si>
    <t>400495720405</t>
  </si>
  <si>
    <t>49572040</t>
  </si>
  <si>
    <t>196969110208</t>
  </si>
  <si>
    <t>79200869</t>
  </si>
  <si>
    <t>7081153</t>
  </si>
  <si>
    <t>Nike Giannis Immortality 3 Men's Basketball Shoes</t>
  </si>
  <si>
    <t>Green Purple Ink</t>
  </si>
  <si>
    <t>195744603836</t>
  </si>
  <si>
    <t>70368784</t>
  </si>
  <si>
    <t>5774996</t>
  </si>
  <si>
    <t>Men's adidas Chest Graphic Polo Golf Shirt</t>
  </si>
  <si>
    <t>196470040629</t>
  </si>
  <si>
    <t>76803496</t>
  </si>
  <si>
    <t>196470036936</t>
  </si>
  <si>
    <t>76803497</t>
  </si>
  <si>
    <t>196470040667</t>
  </si>
  <si>
    <t>76803498</t>
  </si>
  <si>
    <t>196470036967</t>
  </si>
  <si>
    <t>76803499</t>
  </si>
  <si>
    <t>196470040636</t>
  </si>
  <si>
    <t>76803500</t>
  </si>
  <si>
    <t>400676553839</t>
  </si>
  <si>
    <t>67655383</t>
  </si>
  <si>
    <t>6649106</t>
  </si>
  <si>
    <t>Women's Simply Vera Vera Wang High Rise Cargo Ankle Pants</t>
  </si>
  <si>
    <t>400676553846</t>
  </si>
  <si>
    <t>67655384</t>
  </si>
  <si>
    <t>400676553952</t>
  </si>
  <si>
    <t>67655395</t>
  </si>
  <si>
    <t>Vera Desert Khaki</t>
  </si>
  <si>
    <t>400676553853</t>
  </si>
  <si>
    <t>67655385</t>
  </si>
  <si>
    <t>400676553969</t>
  </si>
  <si>
    <t>67655396</t>
  </si>
  <si>
    <t>400676553976</t>
  </si>
  <si>
    <t>67655397</t>
  </si>
  <si>
    <t>400676554034</t>
  </si>
  <si>
    <t>67655403</t>
  </si>
  <si>
    <t>400676554041</t>
  </si>
  <si>
    <t>67655404</t>
  </si>
  <si>
    <t>400581839349</t>
  </si>
  <si>
    <t>58183934</t>
  </si>
  <si>
    <t>5534034</t>
  </si>
  <si>
    <t>Kids 7-20 Tek Gear® Ultrasoft Fleece Pants in Regular &amp; Husky</t>
  </si>
  <si>
    <t>400592453657</t>
  </si>
  <si>
    <t>59245365</t>
  </si>
  <si>
    <t>400581839370</t>
  </si>
  <si>
    <t>58183937</t>
  </si>
  <si>
    <t>859</t>
  </si>
  <si>
    <t>400592453688</t>
  </si>
  <si>
    <t>59245368</t>
  </si>
  <si>
    <t>776</t>
  </si>
  <si>
    <t>029038036348</t>
  </si>
  <si>
    <t>68574380</t>
  </si>
  <si>
    <t>6124908</t>
  </si>
  <si>
    <t>Women's Gloria Vanderbilt Pull On Straight Trouser</t>
  </si>
  <si>
    <t>Gloria Vanderbilt</t>
  </si>
  <si>
    <t>6 AVG/REG</t>
  </si>
  <si>
    <t>029038036355</t>
  </si>
  <si>
    <t>68574381</t>
  </si>
  <si>
    <t>531</t>
  </si>
  <si>
    <t>8 AVG/REG</t>
  </si>
  <si>
    <t>029038180584</t>
  </si>
  <si>
    <t>73562327</t>
  </si>
  <si>
    <t>10 AVG/REG</t>
  </si>
  <si>
    <t>029038036362</t>
  </si>
  <si>
    <t>68574382</t>
  </si>
  <si>
    <t>029038036386</t>
  </si>
  <si>
    <t>68574390</t>
  </si>
  <si>
    <t>14 AVG/REG</t>
  </si>
  <si>
    <t>400793825383</t>
  </si>
  <si>
    <t>79382538</t>
  </si>
  <si>
    <t>7082543</t>
  </si>
  <si>
    <t>Women's Simply Vera Vera Wang High-Rise Flare Pants</t>
  </si>
  <si>
    <t>Mini Check</t>
  </si>
  <si>
    <t>8 SHORT</t>
  </si>
  <si>
    <t>400793825468</t>
  </si>
  <si>
    <t>79382546</t>
  </si>
  <si>
    <t>10 SHORT</t>
  </si>
  <si>
    <t>400793825475</t>
  </si>
  <si>
    <t>79382547</t>
  </si>
  <si>
    <t>12 SHORT</t>
  </si>
  <si>
    <t>400793825482</t>
  </si>
  <si>
    <t>79382548</t>
  </si>
  <si>
    <t>14 SHORT</t>
  </si>
  <si>
    <t>400793825567</t>
  </si>
  <si>
    <t>79382556</t>
  </si>
  <si>
    <t>16 SHORT</t>
  </si>
  <si>
    <t>400793825574</t>
  </si>
  <si>
    <t>79382557</t>
  </si>
  <si>
    <t>18 SHORT</t>
  </si>
  <si>
    <t>400658197204</t>
  </si>
  <si>
    <t>65819720</t>
  </si>
  <si>
    <t>400658197211</t>
  </si>
  <si>
    <t>65819721</t>
  </si>
  <si>
    <t>2 LONG</t>
  </si>
  <si>
    <t>400658197303</t>
  </si>
  <si>
    <t>65819730</t>
  </si>
  <si>
    <t>8 LONG</t>
  </si>
  <si>
    <t>400658197310</t>
  </si>
  <si>
    <t>65819731</t>
  </si>
  <si>
    <t>10 LONG</t>
  </si>
  <si>
    <t>400658197327</t>
  </si>
  <si>
    <t>65819732</t>
  </si>
  <si>
    <t>12 LONG</t>
  </si>
  <si>
    <t>400658197396</t>
  </si>
  <si>
    <t>65819739</t>
  </si>
  <si>
    <t>14 LONG</t>
  </si>
  <si>
    <t>400658197402</t>
  </si>
  <si>
    <t>65819740</t>
  </si>
  <si>
    <t>16 LONG</t>
  </si>
  <si>
    <t>400839440945</t>
  </si>
  <si>
    <t>83944094</t>
  </si>
  <si>
    <t>400839440952</t>
  </si>
  <si>
    <t>83944095</t>
  </si>
  <si>
    <t>400839441034</t>
  </si>
  <si>
    <t>83944103</t>
  </si>
  <si>
    <t>400839441041</t>
  </si>
  <si>
    <t>83944104</t>
  </si>
  <si>
    <t>400839441058</t>
  </si>
  <si>
    <t>83944105</t>
  </si>
  <si>
    <t>400735472965</t>
  </si>
  <si>
    <t>73547296</t>
  </si>
  <si>
    <t>Basha Brown</t>
  </si>
  <si>
    <t>400839441133</t>
  </si>
  <si>
    <t>83944113</t>
  </si>
  <si>
    <t>400735472972</t>
  </si>
  <si>
    <t>73547297</t>
  </si>
  <si>
    <t>400839441140</t>
  </si>
  <si>
    <t>83944114</t>
  </si>
  <si>
    <t>400735472989</t>
  </si>
  <si>
    <t>73547298</t>
  </si>
  <si>
    <t>400839441157</t>
  </si>
  <si>
    <t>83944115</t>
  </si>
  <si>
    <t>400839441232</t>
  </si>
  <si>
    <t>83944123</t>
  </si>
  <si>
    <t>400735473061</t>
  </si>
  <si>
    <t>73547306</t>
  </si>
  <si>
    <t>400839441249</t>
  </si>
  <si>
    <t>83944124</t>
  </si>
  <si>
    <t>400735473078</t>
  </si>
  <si>
    <t>73547307</t>
  </si>
  <si>
    <t>400630689482</t>
  </si>
  <si>
    <t>63068948</t>
  </si>
  <si>
    <t>5561929</t>
  </si>
  <si>
    <t>Women's Simply Vera Vera Wang Roll-Tab Sleeve Popover Blouse</t>
  </si>
  <si>
    <t>400630689642</t>
  </si>
  <si>
    <t>63068964</t>
  </si>
  <si>
    <t>Vera Black</t>
  </si>
  <si>
    <t>400630689659</t>
  </si>
  <si>
    <t>63068965</t>
  </si>
  <si>
    <t>400630689543</t>
  </si>
  <si>
    <t>63068954</t>
  </si>
  <si>
    <t>400630689550</t>
  </si>
  <si>
    <t>63068955</t>
  </si>
  <si>
    <t>400630689567</t>
  </si>
  <si>
    <t>63068956</t>
  </si>
  <si>
    <t>400630689574</t>
  </si>
  <si>
    <t>63068957</t>
  </si>
  <si>
    <t>456</t>
  </si>
  <si>
    <t>400630689581</t>
  </si>
  <si>
    <t>63068958</t>
  </si>
  <si>
    <t>196572987723</t>
  </si>
  <si>
    <t>37633219</t>
  </si>
  <si>
    <t>6081403</t>
  </si>
  <si>
    <t>Boys 8-20 Vans Pullover Graphic Fleece Hoodie</t>
  </si>
  <si>
    <t>196572987648</t>
  </si>
  <si>
    <t>37633220</t>
  </si>
  <si>
    <t>196572987457</t>
  </si>
  <si>
    <t>37633221</t>
  </si>
  <si>
    <t>825663779786</t>
  </si>
  <si>
    <t>72008799</t>
  </si>
  <si>
    <t>5698498</t>
  </si>
  <si>
    <t>Baby Nike 3-Pack Jersey Bodysuits</t>
  </si>
  <si>
    <t>825663779793</t>
  </si>
  <si>
    <t>72008800</t>
  </si>
  <si>
    <t>825663779809</t>
  </si>
  <si>
    <t>72008801</t>
  </si>
  <si>
    <t>825663779816</t>
  </si>
  <si>
    <t>72008802</t>
  </si>
  <si>
    <t>9 MONTHS</t>
  </si>
  <si>
    <t>086569493590</t>
  </si>
  <si>
    <t>72098047</t>
  </si>
  <si>
    <t>1329</t>
  </si>
  <si>
    <t>4816730</t>
  </si>
  <si>
    <t>Madison Park Henley End Table</t>
  </si>
  <si>
    <t>615363593979</t>
  </si>
  <si>
    <t>70354709</t>
  </si>
  <si>
    <t>7081334</t>
  </si>
  <si>
    <t>Sonoma Goods For Life® Women's Slip-On Mules</t>
  </si>
  <si>
    <t>615363593986</t>
  </si>
  <si>
    <t>70354710</t>
  </si>
  <si>
    <t>615363593993</t>
  </si>
  <si>
    <t>70354711</t>
  </si>
  <si>
    <t>615363594006</t>
  </si>
  <si>
    <t>70354712</t>
  </si>
  <si>
    <t>615363594013</t>
  </si>
  <si>
    <t>70354713</t>
  </si>
  <si>
    <t>615363594020</t>
  </si>
  <si>
    <t>70354714</t>
  </si>
  <si>
    <t>615363594037</t>
  </si>
  <si>
    <t>70354715</t>
  </si>
  <si>
    <t>615363594044</t>
  </si>
  <si>
    <t>70354716</t>
  </si>
  <si>
    <t>615363594051</t>
  </si>
  <si>
    <t>70354717</t>
  </si>
  <si>
    <t>615363594068</t>
  </si>
  <si>
    <t>70354718</t>
  </si>
  <si>
    <t>615363594075</t>
  </si>
  <si>
    <t>70354719</t>
  </si>
  <si>
    <t>615363594082</t>
  </si>
  <si>
    <t>70354720</t>
  </si>
  <si>
    <t>615363458964</t>
  </si>
  <si>
    <t>18429540</t>
  </si>
  <si>
    <t>5317690</t>
  </si>
  <si>
    <t>SO® Pensacola Girls' Ballet Flats</t>
  </si>
  <si>
    <t>615363458971</t>
  </si>
  <si>
    <t>18429541</t>
  </si>
  <si>
    <t>354</t>
  </si>
  <si>
    <t>615363426031</t>
  </si>
  <si>
    <t>61296903</t>
  </si>
  <si>
    <t>Rose Gold</t>
  </si>
  <si>
    <t>Baby Carter's Plaid Sherpa Pram</t>
  </si>
  <si>
    <t>Ivory Taupe</t>
  </si>
  <si>
    <t>196883196517</t>
  </si>
  <si>
    <t>49642690</t>
  </si>
  <si>
    <t>5556516</t>
  </si>
  <si>
    <t>Women's Under Armour Down 2.0 Jacket</t>
  </si>
  <si>
    <t>Pink Elixir Misty Purp</t>
  </si>
  <si>
    <t>400721859688</t>
  </si>
  <si>
    <t>72185968</t>
  </si>
  <si>
    <t>5036908</t>
  </si>
  <si>
    <t>Plus Size Croft &amp; Barrow® Essential V-Neck Top</t>
  </si>
  <si>
    <t>400721859084</t>
  </si>
  <si>
    <t>72185908</t>
  </si>
  <si>
    <t>Red Geo Floral</t>
  </si>
  <si>
    <t>400655302960</t>
  </si>
  <si>
    <t>65530296</t>
  </si>
  <si>
    <t>400551242063</t>
  </si>
  <si>
    <t>55124206</t>
  </si>
  <si>
    <t>400189675776</t>
  </si>
  <si>
    <t>18967577</t>
  </si>
  <si>
    <t>400805768882</t>
  </si>
  <si>
    <t>80576888</t>
  </si>
  <si>
    <t>400551242223</t>
  </si>
  <si>
    <t>55124222</t>
  </si>
  <si>
    <t>400721859787</t>
  </si>
  <si>
    <t>72185978</t>
  </si>
  <si>
    <t>400805768899</t>
  </si>
  <si>
    <t>80576889</t>
  </si>
  <si>
    <t>400189675783</t>
  </si>
  <si>
    <t>18967578</t>
  </si>
  <si>
    <t>400551242124</t>
  </si>
  <si>
    <t>55124212</t>
  </si>
  <si>
    <t>400551242230</t>
  </si>
  <si>
    <t>55124223</t>
  </si>
  <si>
    <t>400655302977</t>
  </si>
  <si>
    <t>65530297</t>
  </si>
  <si>
    <t>415</t>
  </si>
  <si>
    <t>400721859886</t>
  </si>
  <si>
    <t>72185988</t>
  </si>
  <si>
    <t>400721859282</t>
  </si>
  <si>
    <t>72185928</t>
  </si>
  <si>
    <t>400655303035</t>
  </si>
  <si>
    <t>65530303</t>
  </si>
  <si>
    <t>400805768905</t>
  </si>
  <si>
    <t>80576890</t>
  </si>
  <si>
    <t>400551242247</t>
  </si>
  <si>
    <t>55124224</t>
  </si>
  <si>
    <t>400551242131</t>
  </si>
  <si>
    <t>55124213</t>
  </si>
  <si>
    <t>400189675790</t>
  </si>
  <si>
    <t>18967579</t>
  </si>
  <si>
    <t>400721859985</t>
  </si>
  <si>
    <t>72185998</t>
  </si>
  <si>
    <t>400721859381</t>
  </si>
  <si>
    <t>72185938</t>
  </si>
  <si>
    <t>400655303042</t>
  </si>
  <si>
    <t>65530304</t>
  </si>
  <si>
    <t>400805768912</t>
  </si>
  <si>
    <t>80576891</t>
  </si>
  <si>
    <t>514</t>
  </si>
  <si>
    <t>400189675806</t>
  </si>
  <si>
    <t>18967580</t>
  </si>
  <si>
    <t>400551242254</t>
  </si>
  <si>
    <t>55124225</t>
  </si>
  <si>
    <t>400551242148</t>
  </si>
  <si>
    <t>55124214</t>
  </si>
  <si>
    <t>400721860080</t>
  </si>
  <si>
    <t>72186008</t>
  </si>
  <si>
    <t>400721859480</t>
  </si>
  <si>
    <t>72185948</t>
  </si>
  <si>
    <t>400189675813</t>
  </si>
  <si>
    <t>18967581</t>
  </si>
  <si>
    <t>183</t>
  </si>
  <si>
    <t>400805768929</t>
  </si>
  <si>
    <t>80576892</t>
  </si>
  <si>
    <t>400551242261</t>
  </si>
  <si>
    <t>55124226</t>
  </si>
  <si>
    <t>400551242155</t>
  </si>
  <si>
    <t>55124215</t>
  </si>
  <si>
    <t>400655303059</t>
  </si>
  <si>
    <t>65530305</t>
  </si>
  <si>
    <t>400725306225</t>
  </si>
  <si>
    <t>72530622</t>
  </si>
  <si>
    <t>400721858988</t>
  </si>
  <si>
    <t>72185898</t>
  </si>
  <si>
    <t>Black Whimsy Floral</t>
  </si>
  <si>
    <t>400721860189</t>
  </si>
  <si>
    <t>72186018</t>
  </si>
  <si>
    <t>400721859589</t>
  </si>
  <si>
    <t>72185958</t>
  </si>
  <si>
    <t>400551242322</t>
  </si>
  <si>
    <t>55124232</t>
  </si>
  <si>
    <t>400805768936</t>
  </si>
  <si>
    <t>80576893</t>
  </si>
  <si>
    <t>400189675837</t>
  </si>
  <si>
    <t>18967583</t>
  </si>
  <si>
    <t>400551242162</t>
  </si>
  <si>
    <t>55124216</t>
  </si>
  <si>
    <t>400655303066</t>
  </si>
  <si>
    <t>65530306</t>
  </si>
  <si>
    <t>400442164962</t>
  </si>
  <si>
    <t>44216496</t>
  </si>
  <si>
    <t>6195948</t>
  </si>
  <si>
    <t>Girls 4-12 Jumping Beans Straight Leg Jeans</t>
  </si>
  <si>
    <t>Light Blue Wash</t>
  </si>
  <si>
    <t>400560839384</t>
  </si>
  <si>
    <t>56083938</t>
  </si>
  <si>
    <t>400442164979</t>
  </si>
  <si>
    <t>44216497</t>
  </si>
  <si>
    <t>400560839391</t>
  </si>
  <si>
    <t>56083939</t>
  </si>
  <si>
    <t>400442164986</t>
  </si>
  <si>
    <t>44216498</t>
  </si>
  <si>
    <t>362</t>
  </si>
  <si>
    <t>400560839407</t>
  </si>
  <si>
    <t>56083940</t>
  </si>
  <si>
    <t>400560839452</t>
  </si>
  <si>
    <t>56083945</t>
  </si>
  <si>
    <t>400442165037</t>
  </si>
  <si>
    <t>44216503</t>
  </si>
  <si>
    <t>400442164993</t>
  </si>
  <si>
    <t>44216499</t>
  </si>
  <si>
    <t>400560839414</t>
  </si>
  <si>
    <t>56083941</t>
  </si>
  <si>
    <t>400560839421</t>
  </si>
  <si>
    <t>56083942</t>
  </si>
  <si>
    <t>365</t>
  </si>
  <si>
    <t>400442165006</t>
  </si>
  <si>
    <t>44216500</t>
  </si>
  <si>
    <t>400442165013</t>
  </si>
  <si>
    <t>44216501</t>
  </si>
  <si>
    <t>539</t>
  </si>
  <si>
    <t>400560839438</t>
  </si>
  <si>
    <t>56083943</t>
  </si>
  <si>
    <t>534</t>
  </si>
  <si>
    <t>400560839445</t>
  </si>
  <si>
    <t>56083944</t>
  </si>
  <si>
    <t>461</t>
  </si>
  <si>
    <t>400442165020</t>
  </si>
  <si>
    <t>44216502</t>
  </si>
  <si>
    <t>400658166729</t>
  </si>
  <si>
    <t>65816672</t>
  </si>
  <si>
    <t>7081884</t>
  </si>
  <si>
    <t>Men's Sonoma Goods For Life® Seriously Soft Banded Bottom Pajama Pants</t>
  </si>
  <si>
    <t>Mineral Navy Camo</t>
  </si>
  <si>
    <t>400613367635</t>
  </si>
  <si>
    <t>61336763</t>
  </si>
  <si>
    <t>Crew Blue</t>
  </si>
  <si>
    <t>400658166620</t>
  </si>
  <si>
    <t>65816662</t>
  </si>
  <si>
    <t>Grey Wine College Pld</t>
  </si>
  <si>
    <t>400613367703</t>
  </si>
  <si>
    <t>61336770</t>
  </si>
  <si>
    <t>400658166798</t>
  </si>
  <si>
    <t>65816679</t>
  </si>
  <si>
    <t>400658166804</t>
  </si>
  <si>
    <t>65816680</t>
  </si>
  <si>
    <t>400613367710</t>
  </si>
  <si>
    <t>61336771</t>
  </si>
  <si>
    <t>400658166699</t>
  </si>
  <si>
    <t>65816669</t>
  </si>
  <si>
    <t>400658166705</t>
  </si>
  <si>
    <t>65816670</t>
  </si>
  <si>
    <t>400658166811</t>
  </si>
  <si>
    <t>65816681</t>
  </si>
  <si>
    <t>400613367727</t>
  </si>
  <si>
    <t>61336772</t>
  </si>
  <si>
    <t>400658166590</t>
  </si>
  <si>
    <t>65816659</t>
  </si>
  <si>
    <t>Black Luxe Camo</t>
  </si>
  <si>
    <t>400282599467</t>
  </si>
  <si>
    <t>28259946</t>
  </si>
  <si>
    <t>3880563</t>
  </si>
  <si>
    <t>Women's Croft &amp; Barrow® Essential Long-Sleeve Mockneck Top</t>
  </si>
  <si>
    <t>Black Floral</t>
  </si>
  <si>
    <t>400282599733</t>
  </si>
  <si>
    <t>28259973</t>
  </si>
  <si>
    <t>Holiday Cardinal</t>
  </si>
  <si>
    <t>400768261802</t>
  </si>
  <si>
    <t>76826180</t>
  </si>
  <si>
    <t>Delicious Cherry</t>
  </si>
  <si>
    <t>400768261888</t>
  </si>
  <si>
    <t>76826188</t>
  </si>
  <si>
    <t>400768261819</t>
  </si>
  <si>
    <t>76826181</t>
  </si>
  <si>
    <t>400282599757</t>
  </si>
  <si>
    <t>28259975</t>
  </si>
  <si>
    <t>400768261826</t>
  </si>
  <si>
    <t>76826182</t>
  </si>
  <si>
    <t>755</t>
  </si>
  <si>
    <t>400282599566</t>
  </si>
  <si>
    <t>28259956</t>
  </si>
  <si>
    <t>Black Mini Stripe</t>
  </si>
  <si>
    <t>400768261840</t>
  </si>
  <si>
    <t>76826184</t>
  </si>
  <si>
    <t>726</t>
  </si>
  <si>
    <t>400768261918</t>
  </si>
  <si>
    <t>76826191</t>
  </si>
  <si>
    <t>400842263951</t>
  </si>
  <si>
    <t>84226395</t>
  </si>
  <si>
    <t>Olive Ditsy Leaves</t>
  </si>
  <si>
    <t>400282599573</t>
  </si>
  <si>
    <t>28259957</t>
  </si>
  <si>
    <t>400282599771</t>
  </si>
  <si>
    <t>28259977</t>
  </si>
  <si>
    <t>400768261857</t>
  </si>
  <si>
    <t>76826185</t>
  </si>
  <si>
    <t>711</t>
  </si>
  <si>
    <t>400768261925</t>
  </si>
  <si>
    <t>76826192</t>
  </si>
  <si>
    <t>400282599580</t>
  </si>
  <si>
    <t>28259958</t>
  </si>
  <si>
    <t>400282599788</t>
  </si>
  <si>
    <t>28259978</t>
  </si>
  <si>
    <t>400768261864</t>
  </si>
  <si>
    <t>76826186</t>
  </si>
  <si>
    <t>400282599528</t>
  </si>
  <si>
    <t>28259952</t>
  </si>
  <si>
    <t>400635520766</t>
  </si>
  <si>
    <t>63552076</t>
  </si>
  <si>
    <t>292</t>
  </si>
  <si>
    <t>6285649</t>
  </si>
  <si>
    <t>Women's Sonoma Goods For Life® Ribbed Long Sleeve Tee</t>
  </si>
  <si>
    <t>Black Oak Stripe</t>
  </si>
  <si>
    <t>400499986845</t>
  </si>
  <si>
    <t>49998684</t>
  </si>
  <si>
    <t>400635520773</t>
  </si>
  <si>
    <t>63552077</t>
  </si>
  <si>
    <t>895</t>
  </si>
  <si>
    <t>400649988606</t>
  </si>
  <si>
    <t>64998860</t>
  </si>
  <si>
    <t>400499986883</t>
  </si>
  <si>
    <t>49998688</t>
  </si>
  <si>
    <t>1062</t>
  </si>
  <si>
    <t>400635520889</t>
  </si>
  <si>
    <t>63552088</t>
  </si>
  <si>
    <t>357</t>
  </si>
  <si>
    <t>Peanut White Stripe</t>
  </si>
  <si>
    <t>400635520780</t>
  </si>
  <si>
    <t>63552078</t>
  </si>
  <si>
    <t>400649988613</t>
  </si>
  <si>
    <t>64998861</t>
  </si>
  <si>
    <t>400540734234</t>
  </si>
  <si>
    <t>54073423</t>
  </si>
  <si>
    <t>3665</t>
  </si>
  <si>
    <t>5881334</t>
  </si>
  <si>
    <t>Women's Tek Gear® Ultrasoft Fleece Pants</t>
  </si>
  <si>
    <t>Men's Tommy Hilfiger Flex Tech Snorkel Bomber with Removable Faux Fur Trim</t>
  </si>
  <si>
    <t>197571059442</t>
  </si>
  <si>
    <t>33260351</t>
  </si>
  <si>
    <t>6431041</t>
  </si>
  <si>
    <t>Toddler Girl Blueberi Boulevard Ruffle Trim Ribbed Fit and Flare Dress</t>
  </si>
  <si>
    <t>Lillac</t>
  </si>
  <si>
    <t>197571059459</t>
  </si>
  <si>
    <t>33260352</t>
  </si>
  <si>
    <t>197571059466</t>
  </si>
  <si>
    <t>33260353</t>
  </si>
  <si>
    <t>197571059589</t>
  </si>
  <si>
    <t>33260354</t>
  </si>
  <si>
    <t>197571059596</t>
  </si>
  <si>
    <t>33260355</t>
  </si>
  <si>
    <t>197571059602</t>
  </si>
  <si>
    <t>33260356</t>
  </si>
  <si>
    <t>196327507664</t>
  </si>
  <si>
    <t>76976981</t>
  </si>
  <si>
    <t>6139083</t>
  </si>
  <si>
    <t>Baby Boy Nike Baseball Long Sleeve Bodysuit &amp; Pants Set</t>
  </si>
  <si>
    <t>191315808648</t>
  </si>
  <si>
    <t>34028184</t>
  </si>
  <si>
    <t>3597701</t>
  </si>
  <si>
    <t>Men's Apt. 9® Premier Flex Extra-Slim Fit Wrinkle Resistant Dress Shirt</t>
  </si>
  <si>
    <t>191315806781</t>
  </si>
  <si>
    <t>37319791</t>
  </si>
  <si>
    <t>Grape Hyacinth Fresh</t>
  </si>
  <si>
    <t>191315808440</t>
  </si>
  <si>
    <t>34180219</t>
  </si>
  <si>
    <t>191315808549</t>
  </si>
  <si>
    <t>34180243</t>
  </si>
  <si>
    <t>191315818876</t>
  </si>
  <si>
    <t>86519429</t>
  </si>
  <si>
    <t>Multi Floral</t>
  </si>
  <si>
    <t>191315819071</t>
  </si>
  <si>
    <t>86519441</t>
  </si>
  <si>
    <t>Tropical Stripes Beige</t>
  </si>
  <si>
    <t>191315818975</t>
  </si>
  <si>
    <t>86519419</t>
  </si>
  <si>
    <t>Decorative Geo White</t>
  </si>
  <si>
    <t>191315821203</t>
  </si>
  <si>
    <t>51636362</t>
  </si>
  <si>
    <t>Textured Grid</t>
  </si>
  <si>
    <t>191315819170</t>
  </si>
  <si>
    <t>63932167</t>
  </si>
  <si>
    <t>191315794521</t>
  </si>
  <si>
    <t>79042948</t>
  </si>
  <si>
    <t>Green Blue Texture</t>
  </si>
  <si>
    <t>191315806156</t>
  </si>
  <si>
    <t>18159779</t>
  </si>
  <si>
    <t>Multi Daisy</t>
  </si>
  <si>
    <t>191315806590</t>
  </si>
  <si>
    <t>18159809</t>
  </si>
  <si>
    <t>Blue Geo Camo</t>
  </si>
  <si>
    <t>191315808655</t>
  </si>
  <si>
    <t>34028185</t>
  </si>
  <si>
    <t>191315808754</t>
  </si>
  <si>
    <t>34028205</t>
  </si>
  <si>
    <t>Studio White</t>
  </si>
  <si>
    <t>191315806798</t>
  </si>
  <si>
    <t>37319792</t>
  </si>
  <si>
    <t>191315808457</t>
  </si>
  <si>
    <t>34180220</t>
  </si>
  <si>
    <t>191315808556</t>
  </si>
  <si>
    <t>34180244</t>
  </si>
  <si>
    <t>191315818982</t>
  </si>
  <si>
    <t>86519420</t>
  </si>
  <si>
    <t>191315818883</t>
  </si>
  <si>
    <t>86519431</t>
  </si>
  <si>
    <t>191315819088</t>
  </si>
  <si>
    <t>86519442</t>
  </si>
  <si>
    <t>191315821210</t>
  </si>
  <si>
    <t>51636363</t>
  </si>
  <si>
    <t>191315819187</t>
  </si>
  <si>
    <t>63932168</t>
  </si>
  <si>
    <t>191315794538</t>
  </si>
  <si>
    <t>79042949</t>
  </si>
  <si>
    <t>191315806279</t>
  </si>
  <si>
    <t>18159790</t>
  </si>
  <si>
    <t>Peacock Black</t>
  </si>
  <si>
    <t>191315806163</t>
  </si>
  <si>
    <t>18159780</t>
  </si>
  <si>
    <t>191315808662</t>
  </si>
  <si>
    <t>34028186</t>
  </si>
  <si>
    <t>191315806804</t>
  </si>
  <si>
    <t>37319793</t>
  </si>
  <si>
    <t>191315808464</t>
  </si>
  <si>
    <t>34180221</t>
  </si>
  <si>
    <t>191315808563</t>
  </si>
  <si>
    <t>34180246</t>
  </si>
  <si>
    <t>191315818999</t>
  </si>
  <si>
    <t>86519421</t>
  </si>
  <si>
    <t>191315818890</t>
  </si>
  <si>
    <t>86519432</t>
  </si>
  <si>
    <t>191315819095</t>
  </si>
  <si>
    <t>86519443</t>
  </si>
  <si>
    <t>191315821227</t>
  </si>
  <si>
    <t>51636364</t>
  </si>
  <si>
    <t>191315819194</t>
  </si>
  <si>
    <t>63932169</t>
  </si>
  <si>
    <t>191315806613</t>
  </si>
  <si>
    <t>18159811</t>
  </si>
  <si>
    <t>191315806507</t>
  </si>
  <si>
    <t>18159801</t>
  </si>
  <si>
    <t>Mushrooms Beige</t>
  </si>
  <si>
    <t>191315808679</t>
  </si>
  <si>
    <t>34028187</t>
  </si>
  <si>
    <t>191315806811</t>
  </si>
  <si>
    <t>37319798</t>
  </si>
  <si>
    <t>191315806736</t>
  </si>
  <si>
    <t>34180236</t>
  </si>
  <si>
    <t>191315808471</t>
  </si>
  <si>
    <t>34180222</t>
  </si>
  <si>
    <t>191315808570</t>
  </si>
  <si>
    <t>34180247</t>
  </si>
  <si>
    <t>191315819002</t>
  </si>
  <si>
    <t>86519422</t>
  </si>
  <si>
    <t>191315818906</t>
  </si>
  <si>
    <t>86519433</t>
  </si>
  <si>
    <t>191315819101</t>
  </si>
  <si>
    <t>86519444</t>
  </si>
  <si>
    <t>191315821234</t>
  </si>
  <si>
    <t>51636365</t>
  </si>
  <si>
    <t>191315819200</t>
  </si>
  <si>
    <t>63932171</t>
  </si>
  <si>
    <t>191315794552</t>
  </si>
  <si>
    <t>79042951</t>
  </si>
  <si>
    <t>191315806620</t>
  </si>
  <si>
    <t>18159812</t>
  </si>
  <si>
    <t>191315806293</t>
  </si>
  <si>
    <t>18159792</t>
  </si>
  <si>
    <t>191315806514</t>
  </si>
  <si>
    <t>18159802</t>
  </si>
  <si>
    <t>191315806187</t>
  </si>
  <si>
    <t>18159782</t>
  </si>
  <si>
    <t>191315808686</t>
  </si>
  <si>
    <t>34028188</t>
  </si>
  <si>
    <t>191315808785</t>
  </si>
  <si>
    <t>34028208</t>
  </si>
  <si>
    <t>191315806828</t>
  </si>
  <si>
    <t>37319799</t>
  </si>
  <si>
    <t>191315806743</t>
  </si>
  <si>
    <t>34180237</t>
  </si>
  <si>
    <t>191315808488</t>
  </si>
  <si>
    <t>34180223</t>
  </si>
  <si>
    <t>191315808587</t>
  </si>
  <si>
    <t>34180248</t>
  </si>
  <si>
    <t>191315794569</t>
  </si>
  <si>
    <t>79042952</t>
  </si>
  <si>
    <t>191315819118</t>
  </si>
  <si>
    <t>86519445</t>
  </si>
  <si>
    <t>191315819019</t>
  </si>
  <si>
    <t>86519423</t>
  </si>
  <si>
    <t>191315818913</t>
  </si>
  <si>
    <t>86519434</t>
  </si>
  <si>
    <t>191315821241</t>
  </si>
  <si>
    <t>51636366</t>
  </si>
  <si>
    <t>191315819217</t>
  </si>
  <si>
    <t>63932172</t>
  </si>
  <si>
    <t>191315806637</t>
  </si>
  <si>
    <t>18159813</t>
  </si>
  <si>
    <t>191315806521</t>
  </si>
  <si>
    <t>18159803</t>
  </si>
  <si>
    <t>191315806194</t>
  </si>
  <si>
    <t>18159783</t>
  </si>
  <si>
    <t>191315808709</t>
  </si>
  <si>
    <t>34028190</t>
  </si>
  <si>
    <t>191315808808</t>
  </si>
  <si>
    <t>34028210</t>
  </si>
  <si>
    <t>191315808426</t>
  </si>
  <si>
    <t>37319801</t>
  </si>
  <si>
    <t>191315808402</t>
  </si>
  <si>
    <t>34180238</t>
  </si>
  <si>
    <t>191315808501</t>
  </si>
  <si>
    <t>34180224</t>
  </si>
  <si>
    <t>191315808600</t>
  </si>
  <si>
    <t>34180249</t>
  </si>
  <si>
    <t>191315794583</t>
  </si>
  <si>
    <t>79042955</t>
  </si>
  <si>
    <t>191315819132</t>
  </si>
  <si>
    <t>86519447</t>
  </si>
  <si>
    <t>191315819033</t>
  </si>
  <si>
    <t>86519425</t>
  </si>
  <si>
    <t>191315818937</t>
  </si>
  <si>
    <t>86519436</t>
  </si>
  <si>
    <t>191315821265</t>
  </si>
  <si>
    <t>51636368</t>
  </si>
  <si>
    <t>191315819231</t>
  </si>
  <si>
    <t>63932174</t>
  </si>
  <si>
    <t>191315806439</t>
  </si>
  <si>
    <t>29789308</t>
  </si>
  <si>
    <t>191315806323</t>
  </si>
  <si>
    <t>18159795</t>
  </si>
  <si>
    <t>191315806217</t>
  </si>
  <si>
    <t>18159785</t>
  </si>
  <si>
    <t>191315808716</t>
  </si>
  <si>
    <t>34028191</t>
  </si>
  <si>
    <t>191315808815</t>
  </si>
  <si>
    <t>34028211</t>
  </si>
  <si>
    <t>191315806842</t>
  </si>
  <si>
    <t>37319802</t>
  </si>
  <si>
    <t>191315808617</t>
  </si>
  <si>
    <t>34180250</t>
  </si>
  <si>
    <t>191315806767</t>
  </si>
  <si>
    <t>34180239</t>
  </si>
  <si>
    <t>191315808518</t>
  </si>
  <si>
    <t>34180228</t>
  </si>
  <si>
    <t>191315818944</t>
  </si>
  <si>
    <t>86519437</t>
  </si>
  <si>
    <t>191315821272</t>
  </si>
  <si>
    <t>51636369</t>
  </si>
  <si>
    <t>191315819149</t>
  </si>
  <si>
    <t>86519448</t>
  </si>
  <si>
    <t>191315819040</t>
  </si>
  <si>
    <t>86519426</t>
  </si>
  <si>
    <t>191315819248</t>
  </si>
  <si>
    <t>63932175</t>
  </si>
  <si>
    <t>191315794590</t>
  </si>
  <si>
    <t>79042956</t>
  </si>
  <si>
    <t>191315806668</t>
  </si>
  <si>
    <t>18159816</t>
  </si>
  <si>
    <t>191315806224</t>
  </si>
  <si>
    <t>18159786</t>
  </si>
  <si>
    <t>191315808693</t>
  </si>
  <si>
    <t>34028189</t>
  </si>
  <si>
    <t>191315806835</t>
  </si>
  <si>
    <t>37319800</t>
  </si>
  <si>
    <t>191315808594</t>
  </si>
  <si>
    <t>34180251</t>
  </si>
  <si>
    <t>191315806750</t>
  </si>
  <si>
    <t>34180240</t>
  </si>
  <si>
    <t>191315808495</t>
  </si>
  <si>
    <t>34180229</t>
  </si>
  <si>
    <t>191315819026</t>
  </si>
  <si>
    <t>86519424</t>
  </si>
  <si>
    <t>191315818920</t>
  </si>
  <si>
    <t>86519435</t>
  </si>
  <si>
    <t>191315819125</t>
  </si>
  <si>
    <t>86519446</t>
  </si>
  <si>
    <t>191315821258</t>
  </si>
  <si>
    <t>51636367</t>
  </si>
  <si>
    <t>191315819224</t>
  </si>
  <si>
    <t>63932173</t>
  </si>
  <si>
    <t>191315794576</t>
  </si>
  <si>
    <t>79042954</t>
  </si>
  <si>
    <t>191315806422</t>
  </si>
  <si>
    <t>29789307</t>
  </si>
  <si>
    <t>191315806644</t>
  </si>
  <si>
    <t>18159814</t>
  </si>
  <si>
    <t>191315806316</t>
  </si>
  <si>
    <t>18159794</t>
  </si>
  <si>
    <t>191315806538</t>
  </si>
  <si>
    <t>18159804</t>
  </si>
  <si>
    <t>191315806200</t>
  </si>
  <si>
    <t>18159784</t>
  </si>
  <si>
    <t>191315808723</t>
  </si>
  <si>
    <t>34028192</t>
  </si>
  <si>
    <t>191315808822</t>
  </si>
  <si>
    <t>34028212</t>
  </si>
  <si>
    <t>191315806859</t>
  </si>
  <si>
    <t>37319803</t>
  </si>
  <si>
    <t>191315808624</t>
  </si>
  <si>
    <t>34180252</t>
  </si>
  <si>
    <t>191315808525</t>
  </si>
  <si>
    <t>34180230</t>
  </si>
  <si>
    <t>191315821289</t>
  </si>
  <si>
    <t>51636371</t>
  </si>
  <si>
    <t>191315794606</t>
  </si>
  <si>
    <t>79042957</t>
  </si>
  <si>
    <t>191315819057</t>
  </si>
  <si>
    <t>86519427</t>
  </si>
  <si>
    <t>191315818951</t>
  </si>
  <si>
    <t>86519438</t>
  </si>
  <si>
    <t>191315819156</t>
  </si>
  <si>
    <t>86519449</t>
  </si>
  <si>
    <t>191315819255</t>
  </si>
  <si>
    <t>63932176</t>
  </si>
  <si>
    <t>191315806675</t>
  </si>
  <si>
    <t>18159817</t>
  </si>
  <si>
    <t>191315806569</t>
  </si>
  <si>
    <t>18159807</t>
  </si>
  <si>
    <t>191315808730</t>
  </si>
  <si>
    <t>34028183</t>
  </si>
  <si>
    <t>191315808839</t>
  </si>
  <si>
    <t>34028203</t>
  </si>
  <si>
    <t>191315808433</t>
  </si>
  <si>
    <t>37319790</t>
  </si>
  <si>
    <t>191315808419</t>
  </si>
  <si>
    <t>34180231</t>
  </si>
  <si>
    <t>191315808532</t>
  </si>
  <si>
    <t>34180214</t>
  </si>
  <si>
    <t>191315808631</t>
  </si>
  <si>
    <t>34180242</t>
  </si>
  <si>
    <t>191315818968</t>
  </si>
  <si>
    <t>86519428</t>
  </si>
  <si>
    <t>191315819064</t>
  </si>
  <si>
    <t>86519418</t>
  </si>
  <si>
    <t>191315819163</t>
  </si>
  <si>
    <t>86519440</t>
  </si>
  <si>
    <t>191315821296</t>
  </si>
  <si>
    <t>51636361</t>
  </si>
  <si>
    <t>191315819262</t>
  </si>
  <si>
    <t>63932166</t>
  </si>
  <si>
    <t>191315794613</t>
  </si>
  <si>
    <t>79042947</t>
  </si>
  <si>
    <t>191315806248</t>
  </si>
  <si>
    <t>18159778</t>
  </si>
  <si>
    <t>191315806460</t>
  </si>
  <si>
    <t>29789299</t>
  </si>
  <si>
    <t>191315806682</t>
  </si>
  <si>
    <t>18159808</t>
  </si>
  <si>
    <t>191315806354</t>
  </si>
  <si>
    <t>18159788</t>
  </si>
  <si>
    <t>Toddler Boy Carter's Shawl Sweater &amp; Pants Set</t>
  </si>
  <si>
    <t>Navy Red</t>
  </si>
  <si>
    <t>Baby Boy Carter's Doubleknit Cardigan, Bodysuit &amp; Pants Set</t>
  </si>
  <si>
    <t>400341156761</t>
  </si>
  <si>
    <t>34115676</t>
  </si>
  <si>
    <t>5717111</t>
  </si>
  <si>
    <t>Girls 4-12 Jumping Beans® Paperbag Waist Woven Printed Skirt</t>
  </si>
  <si>
    <t>Red Floral</t>
  </si>
  <si>
    <t>400341156846</t>
  </si>
  <si>
    <t>34115684</t>
  </si>
  <si>
    <t>Green Floral</t>
  </si>
  <si>
    <t>400341156778</t>
  </si>
  <si>
    <t>34115677</t>
  </si>
  <si>
    <t>400341156860</t>
  </si>
  <si>
    <t>34115686</t>
  </si>
  <si>
    <t>400394948610</t>
  </si>
  <si>
    <t>39494861</t>
  </si>
  <si>
    <t>Black White</t>
  </si>
  <si>
    <t>400341156785</t>
  </si>
  <si>
    <t>34115678</t>
  </si>
  <si>
    <t>400341156877</t>
  </si>
  <si>
    <t>34115687</t>
  </si>
  <si>
    <t>400394948627</t>
  </si>
  <si>
    <t>39494862</t>
  </si>
  <si>
    <t>252</t>
  </si>
  <si>
    <t>400341156792</t>
  </si>
  <si>
    <t>34115679</t>
  </si>
  <si>
    <t>400341156884</t>
  </si>
  <si>
    <t>34115688</t>
  </si>
  <si>
    <t>400394948634</t>
  </si>
  <si>
    <t>39494863</t>
  </si>
  <si>
    <t>400341156808</t>
  </si>
  <si>
    <t>34115680</t>
  </si>
  <si>
    <t>400394948689</t>
  </si>
  <si>
    <t>39494868</t>
  </si>
  <si>
    <t>400341156891</t>
  </si>
  <si>
    <t>34115689</t>
  </si>
  <si>
    <t>400341156815</t>
  </si>
  <si>
    <t>34115681</t>
  </si>
  <si>
    <t>400394948696</t>
  </si>
  <si>
    <t>39494869</t>
  </si>
  <si>
    <t>400341156907</t>
  </si>
  <si>
    <t>34115690</t>
  </si>
  <si>
    <t>400341156822</t>
  </si>
  <si>
    <t>34115682</t>
  </si>
  <si>
    <t>400394948702</t>
  </si>
  <si>
    <t>39494870</t>
  </si>
  <si>
    <t>400341156914</t>
  </si>
  <si>
    <t>34115691</t>
  </si>
  <si>
    <t>400341156839</t>
  </si>
  <si>
    <t>34115683</t>
  </si>
  <si>
    <t>400341156921</t>
  </si>
  <si>
    <t>34115692</t>
  </si>
  <si>
    <t>196155630688</t>
  </si>
  <si>
    <t>79279276</t>
  </si>
  <si>
    <t>6487465</t>
  </si>
  <si>
    <t>Plus Size Nike Dri-FIT UV Club Half-Zip Golf Top</t>
  </si>
  <si>
    <t>196155630732</t>
  </si>
  <si>
    <t>79279280</t>
  </si>
  <si>
    <t>196155630695</t>
  </si>
  <si>
    <t>79279277</t>
  </si>
  <si>
    <t>196155630749</t>
  </si>
  <si>
    <t>79279281</t>
  </si>
  <si>
    <t>196155630756</t>
  </si>
  <si>
    <t>79279282</t>
  </si>
  <si>
    <t>400754603159</t>
  </si>
  <si>
    <t>75460315</t>
  </si>
  <si>
    <t>5675467</t>
  </si>
  <si>
    <t>Boys 8-20 Sonoma Goods For Life® Sweaterfleece Full-Zip Jacket</t>
  </si>
  <si>
    <t>400754603241</t>
  </si>
  <si>
    <t>75460324</t>
  </si>
  <si>
    <t>400754603067</t>
  </si>
  <si>
    <t>75460306</t>
  </si>
  <si>
    <t>400754603258</t>
  </si>
  <si>
    <t>75460325</t>
  </si>
  <si>
    <t>400754603081</t>
  </si>
  <si>
    <t>75460308</t>
  </si>
  <si>
    <t>400754603166</t>
  </si>
  <si>
    <t>75460316</t>
  </si>
  <si>
    <t>400754603265</t>
  </si>
  <si>
    <t>75460326</t>
  </si>
  <si>
    <t>400754603135</t>
  </si>
  <si>
    <t>75460313</t>
  </si>
  <si>
    <t>400754603180</t>
  </si>
  <si>
    <t>75460318</t>
  </si>
  <si>
    <t>400754603142</t>
  </si>
  <si>
    <t>75460314</t>
  </si>
  <si>
    <t>400754603234</t>
  </si>
  <si>
    <t>75460323</t>
  </si>
  <si>
    <t>400754603289</t>
  </si>
  <si>
    <t>75460328</t>
  </si>
  <si>
    <t>400469500651</t>
  </si>
  <si>
    <t>46950065</t>
  </si>
  <si>
    <t>6544570</t>
  </si>
  <si>
    <t>Women's LC Lauren Conrad Empire Waist Square Neck Midi Dress</t>
  </si>
  <si>
    <t>Riviera</t>
  </si>
  <si>
    <t>400469500668</t>
  </si>
  <si>
    <t>46950066</t>
  </si>
  <si>
    <t>400469500675</t>
  </si>
  <si>
    <t>46950067</t>
  </si>
  <si>
    <t>195862192304</t>
  </si>
  <si>
    <t>33260494</t>
  </si>
  <si>
    <t>6433358</t>
  </si>
  <si>
    <t>Toddler Girl Carter's Flutter Bunny Graphic Top &amp; Skort Set</t>
  </si>
  <si>
    <t>195862192311</t>
  </si>
  <si>
    <t>33260495</t>
  </si>
  <si>
    <t>196974760610</t>
  </si>
  <si>
    <t>64805931</t>
  </si>
  <si>
    <t>6480211</t>
  </si>
  <si>
    <t>Women's Nike Victory Dri-FIT 5-in. Golf Shorts</t>
  </si>
  <si>
    <t>196974753049</t>
  </si>
  <si>
    <t>64805932</t>
  </si>
  <si>
    <t>196974776284</t>
  </si>
  <si>
    <t>64805938</t>
  </si>
  <si>
    <t>Men's Columbia Steens Mountain™ Printed Full-Zip Fleece Jacket</t>
  </si>
  <si>
    <t>Red Buffalo Check</t>
  </si>
  <si>
    <t>Chalk Check</t>
  </si>
  <si>
    <t>195980344876</t>
  </si>
  <si>
    <t>70042703</t>
  </si>
  <si>
    <t>6486618</t>
  </si>
  <si>
    <t>Men's Columbia Hike Hooded Fleece Pullover</t>
  </si>
  <si>
    <t>195980344883</t>
  </si>
  <si>
    <t>72314044</t>
  </si>
  <si>
    <t>Sage Leaf</t>
  </si>
  <si>
    <t>195980344821</t>
  </si>
  <si>
    <t>70042704</t>
  </si>
  <si>
    <t>195980344944</t>
  </si>
  <si>
    <t>70042684</t>
  </si>
  <si>
    <t>195980344920</t>
  </si>
  <si>
    <t>72314045</t>
  </si>
  <si>
    <t>195980344852</t>
  </si>
  <si>
    <t>70042705</t>
  </si>
  <si>
    <t>195980344975</t>
  </si>
  <si>
    <t>70042685</t>
  </si>
  <si>
    <t>195980344890</t>
  </si>
  <si>
    <t>72314046</t>
  </si>
  <si>
    <t>195980344838</t>
  </si>
  <si>
    <t>70042706</t>
  </si>
  <si>
    <t>195980344968</t>
  </si>
  <si>
    <t>70042686</t>
  </si>
  <si>
    <t>195980344937</t>
  </si>
  <si>
    <t>72314047</t>
  </si>
  <si>
    <t>195980344845</t>
  </si>
  <si>
    <t>70042707</t>
  </si>
  <si>
    <t>195980344982</t>
  </si>
  <si>
    <t>70042687</t>
  </si>
  <si>
    <t>195980344913</t>
  </si>
  <si>
    <t>72314053</t>
  </si>
  <si>
    <t>Women's adidas Loungewear Essentials Logo Tee</t>
  </si>
  <si>
    <t>400491227120</t>
  </si>
  <si>
    <t>49122712</t>
  </si>
  <si>
    <t>7081257</t>
  </si>
  <si>
    <t>Women's LC Lauren Conrad Double Breasted Notch Collar Blazer</t>
  </si>
  <si>
    <t>400491227144</t>
  </si>
  <si>
    <t>49122714</t>
  </si>
  <si>
    <t>400491227151</t>
  </si>
  <si>
    <t>49122715</t>
  </si>
  <si>
    <t>400491227168</t>
  </si>
  <si>
    <t>49122716</t>
  </si>
  <si>
    <t>400491227212</t>
  </si>
  <si>
    <t>49122721</t>
  </si>
  <si>
    <t>400491227229</t>
  </si>
  <si>
    <t>49122722</t>
  </si>
  <si>
    <t>197178086452</t>
  </si>
  <si>
    <t>58795510</t>
  </si>
  <si>
    <t>6094331</t>
  </si>
  <si>
    <t>Juniors' SO® Self Belted Pull-On Flare Pants</t>
  </si>
  <si>
    <t>197178086421</t>
  </si>
  <si>
    <t>58795520</t>
  </si>
  <si>
    <t>197178086438</t>
  </si>
  <si>
    <t>58795530</t>
  </si>
  <si>
    <t>197178086469</t>
  </si>
  <si>
    <t>58795540</t>
  </si>
  <si>
    <t>227</t>
  </si>
  <si>
    <t>197178086445</t>
  </si>
  <si>
    <t>58795550</t>
  </si>
  <si>
    <t>197178089903</t>
  </si>
  <si>
    <t>83412935</t>
  </si>
  <si>
    <t>195862262977</t>
  </si>
  <si>
    <t>80342847</t>
  </si>
  <si>
    <t>6432715</t>
  </si>
  <si>
    <t>Girls 4-12 Carter's Watercolor Sleeveless Dress</t>
  </si>
  <si>
    <t>195862262984</t>
  </si>
  <si>
    <t>80342848</t>
  </si>
  <si>
    <t>195862262960</t>
  </si>
  <si>
    <t>80342846</t>
  </si>
  <si>
    <t>195862262915</t>
  </si>
  <si>
    <t>80342835</t>
  </si>
  <si>
    <t>195862262922</t>
  </si>
  <si>
    <t>80342836</t>
  </si>
  <si>
    <t>195862262939</t>
  </si>
  <si>
    <t>80342837</t>
  </si>
  <si>
    <t>400584503827</t>
  </si>
  <si>
    <t>58450382</t>
  </si>
  <si>
    <t>6075538</t>
  </si>
  <si>
    <t>Women's Nine West High Rise Straight Leg Trousers</t>
  </si>
  <si>
    <t>Mayfair Brown</t>
  </si>
  <si>
    <t>400784634390</t>
  </si>
  <si>
    <t>78463439</t>
  </si>
  <si>
    <t>Navy Windowpane</t>
  </si>
  <si>
    <t>400584503834</t>
  </si>
  <si>
    <t>58450383</t>
  </si>
  <si>
    <t>400784634406</t>
  </si>
  <si>
    <t>78463440</t>
  </si>
  <si>
    <t>REEF Ahi Toddler / Little Kid Boys' Flip Flop Sandals</t>
  </si>
  <si>
    <t>REEF</t>
  </si>
  <si>
    <t>80s Tread</t>
  </si>
  <si>
    <t>195861935193</t>
  </si>
  <si>
    <t>63400555</t>
  </si>
  <si>
    <t>5988466</t>
  </si>
  <si>
    <t>Baby Little Planet by Carter's Mauve 3-Piece Bodysuit, Hoodie, &amp; Pants Playwear Set</t>
  </si>
  <si>
    <t>Little Planet by Carter's</t>
  </si>
  <si>
    <t>Mauve Polka Dot</t>
  </si>
  <si>
    <t>195861935155</t>
  </si>
  <si>
    <t>63400556</t>
  </si>
  <si>
    <t>400806297879</t>
  </si>
  <si>
    <t>80629787</t>
  </si>
  <si>
    <t>3836990</t>
  </si>
  <si>
    <t>Women's Croft &amp; Barrow® Essential Long-Sleeve Crewneck Tee</t>
  </si>
  <si>
    <t>400586941306</t>
  </si>
  <si>
    <t>58694130</t>
  </si>
  <si>
    <t>Blue Tossed Floral</t>
  </si>
  <si>
    <t>400586941313</t>
  </si>
  <si>
    <t>58694131</t>
  </si>
  <si>
    <t>400586941320</t>
  </si>
  <si>
    <t>58694132</t>
  </si>
  <si>
    <t>400635514147</t>
  </si>
  <si>
    <t>63551414</t>
  </si>
  <si>
    <t>400586941337</t>
  </si>
  <si>
    <t>58694133</t>
  </si>
  <si>
    <t>400635514154</t>
  </si>
  <si>
    <t>63551415</t>
  </si>
  <si>
    <t>400459861816</t>
  </si>
  <si>
    <t>45986181</t>
  </si>
  <si>
    <t>1932</t>
  </si>
  <si>
    <t>400639734985</t>
  </si>
  <si>
    <t>63973498</t>
  </si>
  <si>
    <t>400586941344</t>
  </si>
  <si>
    <t>58694134</t>
  </si>
  <si>
    <t>195862270187</t>
  </si>
  <si>
    <t>80343237</t>
  </si>
  <si>
    <t>6432995</t>
  </si>
  <si>
    <t>Baby Girl Carter's Smocked Dress &amp; Cardigan Set</t>
  </si>
  <si>
    <t>195862270170</t>
  </si>
  <si>
    <t>80343236</t>
  </si>
  <si>
    <t>195862270194</t>
  </si>
  <si>
    <t>80343238</t>
  </si>
  <si>
    <t>195862270149</t>
  </si>
  <si>
    <t>80343245</t>
  </si>
  <si>
    <t>195862270156</t>
  </si>
  <si>
    <t>80343246</t>
  </si>
  <si>
    <t>400488556257</t>
  </si>
  <si>
    <t>48855625</t>
  </si>
  <si>
    <t>7081073</t>
  </si>
  <si>
    <t>Women's Simply Vera Vera Wang Roll-Tab Relaxed Blazer</t>
  </si>
  <si>
    <t>400488556172</t>
  </si>
  <si>
    <t>48855617</t>
  </si>
  <si>
    <t>400488556240</t>
  </si>
  <si>
    <t>48855624</t>
  </si>
  <si>
    <t>400488556165</t>
  </si>
  <si>
    <t>48855616</t>
  </si>
  <si>
    <t>195142177533</t>
  </si>
  <si>
    <t>37462676</t>
  </si>
  <si>
    <t>6206324</t>
  </si>
  <si>
    <t>Dragon Ball Z Boys' Low Top Sneakers</t>
  </si>
  <si>
    <t>Licensed Character</t>
  </si>
  <si>
    <t>Orange Blue</t>
  </si>
  <si>
    <t>195142177540</t>
  </si>
  <si>
    <t>37462677</t>
  </si>
  <si>
    <t>195142177557</t>
  </si>
  <si>
    <t>37462684</t>
  </si>
  <si>
    <t>195142177564</t>
  </si>
  <si>
    <t>37462685</t>
  </si>
  <si>
    <t>195142177571</t>
  </si>
  <si>
    <t>37462686</t>
  </si>
  <si>
    <t>400712271338</t>
  </si>
  <si>
    <t>71227133</t>
  </si>
  <si>
    <t>6824273</t>
  </si>
  <si>
    <t>Men's Sonoma Goods For Life® Fleece Sweater Jacket</t>
  </si>
  <si>
    <t>Light Gray</t>
  </si>
  <si>
    <t>400712270935</t>
  </si>
  <si>
    <t>71227093</t>
  </si>
  <si>
    <t>400712271031</t>
  </si>
  <si>
    <t>71227103</t>
  </si>
  <si>
    <t>400712271239</t>
  </si>
  <si>
    <t>71227123</t>
  </si>
  <si>
    <t>400712271437</t>
  </si>
  <si>
    <t>71227143</t>
  </si>
  <si>
    <t>400712271345</t>
  </si>
  <si>
    <t>71227134</t>
  </si>
  <si>
    <t>400712271048</t>
  </si>
  <si>
    <t>71227104</t>
  </si>
  <si>
    <t>400712271246</t>
  </si>
  <si>
    <t>71227124</t>
  </si>
  <si>
    <t>195861332022</t>
  </si>
  <si>
    <t>86473447</t>
  </si>
  <si>
    <t>5577643</t>
  </si>
  <si>
    <t>Unicorns</t>
  </si>
  <si>
    <t>195861332039</t>
  </si>
  <si>
    <t>86473448</t>
  </si>
  <si>
    <t>1834</t>
  </si>
  <si>
    <t>195861332046</t>
  </si>
  <si>
    <t>86473449</t>
  </si>
  <si>
    <t>195861332008</t>
  </si>
  <si>
    <t>86473450</t>
  </si>
  <si>
    <t>1452</t>
  </si>
  <si>
    <t>400623896880</t>
  </si>
  <si>
    <t>62389688</t>
  </si>
  <si>
    <t>7081307</t>
  </si>
  <si>
    <t>Tek Gear® Seamless Low-Impact Sports Bra</t>
  </si>
  <si>
    <t>Spacedye Gray Black</t>
  </si>
  <si>
    <t>400623896897</t>
  </si>
  <si>
    <t>62389689</t>
  </si>
  <si>
    <t>822</t>
  </si>
  <si>
    <t>400623896941</t>
  </si>
  <si>
    <t>62389694</t>
  </si>
  <si>
    <t>2285</t>
  </si>
  <si>
    <t>400623896958</t>
  </si>
  <si>
    <t>62389695</t>
  </si>
  <si>
    <t>2344</t>
  </si>
  <si>
    <t>400623896965</t>
  </si>
  <si>
    <t>62389696</t>
  </si>
  <si>
    <t>1339</t>
  </si>
  <si>
    <t>400623896972</t>
  </si>
  <si>
    <t>62389697</t>
  </si>
  <si>
    <t>520</t>
  </si>
  <si>
    <t>195861891048</t>
  </si>
  <si>
    <t>76731864</t>
  </si>
  <si>
    <t>5973881</t>
  </si>
  <si>
    <t>Toddler Boy Carter's 2-Piece Button-Down Paper Plane Print Shirt &amp; Pants Set</t>
  </si>
  <si>
    <t>Blue Khaki</t>
  </si>
  <si>
    <t>195861891055</t>
  </si>
  <si>
    <t>76731865</t>
  </si>
  <si>
    <t>195861891062</t>
  </si>
  <si>
    <t>76731866</t>
  </si>
  <si>
    <t>195861891079</t>
  </si>
  <si>
    <t>76731867</t>
  </si>
  <si>
    <t>195862219261</t>
  </si>
  <si>
    <t>86770663</t>
  </si>
  <si>
    <t>6432760</t>
  </si>
  <si>
    <t>Girls 4-12 Carter's Rainbow Tutu Dress</t>
  </si>
  <si>
    <t>Rainbow</t>
  </si>
  <si>
    <t>400500234026</t>
  </si>
  <si>
    <t>50023402</t>
  </si>
  <si>
    <t>6290976</t>
  </si>
  <si>
    <t>Juniors' SO® Sporty Twisted Seam Flare Pants</t>
  </si>
  <si>
    <t>Black Twisted Seam</t>
  </si>
  <si>
    <t>400500234033</t>
  </si>
  <si>
    <t>50023403</t>
  </si>
  <si>
    <t>400500234040</t>
  </si>
  <si>
    <t>50023404</t>
  </si>
  <si>
    <t>400500234088</t>
  </si>
  <si>
    <t>50023408</t>
  </si>
  <si>
    <t>463</t>
  </si>
  <si>
    <t>400500234095</t>
  </si>
  <si>
    <t>50023409</t>
  </si>
  <si>
    <t>Women's Under Armour Tech High-Waisted Ankle Leggings</t>
  </si>
  <si>
    <t>840132327251</t>
  </si>
  <si>
    <t>80687493</t>
  </si>
  <si>
    <t>5989752</t>
  </si>
  <si>
    <t>Men's Caliville Cotton Stretch One Pocket Polo Shirt</t>
  </si>
  <si>
    <t>840132327350</t>
  </si>
  <si>
    <t>80687476</t>
  </si>
  <si>
    <t>840132327206</t>
  </si>
  <si>
    <t>80687504</t>
  </si>
  <si>
    <t>Sage</t>
  </si>
  <si>
    <t>840132327305</t>
  </si>
  <si>
    <t>80687515</t>
  </si>
  <si>
    <t>840132327268</t>
  </si>
  <si>
    <t>80687494</t>
  </si>
  <si>
    <t>840132327275</t>
  </si>
  <si>
    <t>80687495</t>
  </si>
  <si>
    <t>197178146538</t>
  </si>
  <si>
    <t>65749439</t>
  </si>
  <si>
    <t>6229446</t>
  </si>
  <si>
    <t>Women's Croft &amp; Barrow® Effortless Core Blazer</t>
  </si>
  <si>
    <t>197178146569</t>
  </si>
  <si>
    <t>65749441</t>
  </si>
  <si>
    <t>197178146644</t>
  </si>
  <si>
    <t>65749442</t>
  </si>
  <si>
    <t>400295438654</t>
  </si>
  <si>
    <t>29543865</t>
  </si>
  <si>
    <t>393</t>
  </si>
  <si>
    <t>5905731</t>
  </si>
  <si>
    <t>Juniors' Plus Size SO® Casual Cropped Jean Jacket</t>
  </si>
  <si>
    <t>400834307663</t>
  </si>
  <si>
    <t>83430766</t>
  </si>
  <si>
    <t>400295438661</t>
  </si>
  <si>
    <t>29543866</t>
  </si>
  <si>
    <t>400834307670</t>
  </si>
  <si>
    <t>83430767</t>
  </si>
  <si>
    <t>400295438678</t>
  </si>
  <si>
    <t>29543867</t>
  </si>
  <si>
    <t>400834307687</t>
  </si>
  <si>
    <t>83430768</t>
  </si>
  <si>
    <t>400731705388</t>
  </si>
  <si>
    <t>73170538</t>
  </si>
  <si>
    <t>6521932</t>
  </si>
  <si>
    <t>Plus Size Croft &amp; Barrow® Button-Shoulder Sweatshirt</t>
  </si>
  <si>
    <t>Hawaii Rose</t>
  </si>
  <si>
    <t>400731705500</t>
  </si>
  <si>
    <t>73170550</t>
  </si>
  <si>
    <t>400731705449</t>
  </si>
  <si>
    <t>73170544</t>
  </si>
  <si>
    <t>Peri Opal</t>
  </si>
  <si>
    <t>400731705456</t>
  </si>
  <si>
    <t>73170545</t>
  </si>
  <si>
    <t>400731705517</t>
  </si>
  <si>
    <t>73170551</t>
  </si>
  <si>
    <t>400731705395</t>
  </si>
  <si>
    <t>73170539</t>
  </si>
  <si>
    <t>400731705463</t>
  </si>
  <si>
    <t>73170546</t>
  </si>
  <si>
    <t>400731705401</t>
  </si>
  <si>
    <t>73170540</t>
  </si>
  <si>
    <t>400731705524</t>
  </si>
  <si>
    <t>73170552</t>
  </si>
  <si>
    <t>400731705470</t>
  </si>
  <si>
    <t>73170547</t>
  </si>
  <si>
    <t>331</t>
  </si>
  <si>
    <t>400731705531</t>
  </si>
  <si>
    <t>73170553</t>
  </si>
  <si>
    <t>400731705418</t>
  </si>
  <si>
    <t>73170541</t>
  </si>
  <si>
    <t>279</t>
  </si>
  <si>
    <t>400718887014</t>
  </si>
  <si>
    <t>71888701</t>
  </si>
  <si>
    <t>Crm Big Heart</t>
  </si>
  <si>
    <t>400731705487</t>
  </si>
  <si>
    <t>73170548</t>
  </si>
  <si>
    <t>400731705425</t>
  </si>
  <si>
    <t>73170542</t>
  </si>
  <si>
    <t>400731705548</t>
  </si>
  <si>
    <t>73170554</t>
  </si>
  <si>
    <t>400718887021</t>
  </si>
  <si>
    <t>71888702</t>
  </si>
  <si>
    <t>400731705494</t>
  </si>
  <si>
    <t>73170549</t>
  </si>
  <si>
    <t>400731705555</t>
  </si>
  <si>
    <t>73170555</t>
  </si>
  <si>
    <t>400731705432</t>
  </si>
  <si>
    <t>73170543</t>
  </si>
  <si>
    <t>000716866211</t>
  </si>
  <si>
    <t>63535255</t>
  </si>
  <si>
    <t>820</t>
  </si>
  <si>
    <t>6183065</t>
  </si>
  <si>
    <t>Boys 4-14 Cuddl Duds® Hooded Robe</t>
  </si>
  <si>
    <t>Multi Print</t>
  </si>
  <si>
    <t>4-6</t>
  </si>
  <si>
    <t>000716866297</t>
  </si>
  <si>
    <t>76979076</t>
  </si>
  <si>
    <t>Black Check</t>
  </si>
  <si>
    <t>000716866259</t>
  </si>
  <si>
    <t>64930398</t>
  </si>
  <si>
    <t>Blue Plaid</t>
  </si>
  <si>
    <t>000716866228</t>
  </si>
  <si>
    <t>63535256</t>
  </si>
  <si>
    <t>960</t>
  </si>
  <si>
    <t>000716866303</t>
  </si>
  <si>
    <t>76979077</t>
  </si>
  <si>
    <t>1136</t>
  </si>
  <si>
    <t>000716866266</t>
  </si>
  <si>
    <t>64930399</t>
  </si>
  <si>
    <t>000716866235</t>
  </si>
  <si>
    <t>63535257</t>
  </si>
  <si>
    <t>2062</t>
  </si>
  <si>
    <t>000716866273</t>
  </si>
  <si>
    <t>64930400</t>
  </si>
  <si>
    <t>1742</t>
  </si>
  <si>
    <t>000716866310</t>
  </si>
  <si>
    <t>76979079</t>
  </si>
  <si>
    <t>2066</t>
  </si>
  <si>
    <t>196573495555</t>
  </si>
  <si>
    <t>46060740</t>
  </si>
  <si>
    <t>6065960</t>
  </si>
  <si>
    <t>Vans® Filmore Hi VansGuard Women's High Top Shoes</t>
  </si>
  <si>
    <t>Suede Nylon Root Beer</t>
  </si>
  <si>
    <t>400583154099</t>
  </si>
  <si>
    <t>58315409</t>
  </si>
  <si>
    <t>5644149</t>
  </si>
  <si>
    <t>Big &amp; Tall Apt. 9® Premier Flex Henley</t>
  </si>
  <si>
    <t>400583152477</t>
  </si>
  <si>
    <t>58315247</t>
  </si>
  <si>
    <t>Charcoal Jaspe</t>
  </si>
  <si>
    <t>400583152187</t>
  </si>
  <si>
    <t>58315218</t>
  </si>
  <si>
    <t>Grey Jaspe</t>
  </si>
  <si>
    <t>400583151890</t>
  </si>
  <si>
    <t>58315189</t>
  </si>
  <si>
    <t>Wine Jaspe</t>
  </si>
  <si>
    <t>400583151609</t>
  </si>
  <si>
    <t>58315160</t>
  </si>
  <si>
    <t>Blue Jaspe</t>
  </si>
  <si>
    <t>400583152484</t>
  </si>
  <si>
    <t>58315248</t>
  </si>
  <si>
    <t>400583152194</t>
  </si>
  <si>
    <t>58315219</t>
  </si>
  <si>
    <t>400583151678</t>
  </si>
  <si>
    <t>58315167</t>
  </si>
  <si>
    <t>400583152286</t>
  </si>
  <si>
    <t>58315228</t>
  </si>
  <si>
    <t>400583152378</t>
  </si>
  <si>
    <t>58315237</t>
  </si>
  <si>
    <t>400583152583</t>
  </si>
  <si>
    <t>58315258</t>
  </si>
  <si>
    <t>4XLT</t>
  </si>
  <si>
    <t>400583154204</t>
  </si>
  <si>
    <t>58315420</t>
  </si>
  <si>
    <t>400583152293</t>
  </si>
  <si>
    <t>58315229</t>
  </si>
  <si>
    <t>400583152873</t>
  </si>
  <si>
    <t>58315287</t>
  </si>
  <si>
    <t>Tan Jaspe</t>
  </si>
  <si>
    <t>400583151777</t>
  </si>
  <si>
    <t>58315177</t>
  </si>
  <si>
    <t>400583152675</t>
  </si>
  <si>
    <t>58315267</t>
  </si>
  <si>
    <t>400583154297</t>
  </si>
  <si>
    <t>58315429</t>
  </si>
  <si>
    <t>400583152385</t>
  </si>
  <si>
    <t>58315238</t>
  </si>
  <si>
    <t>496</t>
  </si>
  <si>
    <t>400583151807</t>
  </si>
  <si>
    <t>58315180</t>
  </si>
  <si>
    <t>400583152095</t>
  </si>
  <si>
    <t>58315209</t>
  </si>
  <si>
    <t>400583152903</t>
  </si>
  <si>
    <t>58315290</t>
  </si>
  <si>
    <t>Men's Columbia Puffect™ II Puffer Jacket</t>
  </si>
  <si>
    <t>840132327558</t>
  </si>
  <si>
    <t>54779567</t>
  </si>
  <si>
    <t>5989897</t>
  </si>
  <si>
    <t>Men's Caliville Cotton Stretch Stripe Ringer Tank Top</t>
  </si>
  <si>
    <t>Blues Bold Stripe</t>
  </si>
  <si>
    <t>840132327602</t>
  </si>
  <si>
    <t>54779562</t>
  </si>
  <si>
    <t>Sage Bold Stripe</t>
  </si>
  <si>
    <t>840132327459</t>
  </si>
  <si>
    <t>48936243</t>
  </si>
  <si>
    <t>Heather Gray Black</t>
  </si>
  <si>
    <t>840132327503</t>
  </si>
  <si>
    <t>54779572</t>
  </si>
  <si>
    <t>Grapefruit Blues Bold</t>
  </si>
  <si>
    <t>840132327565</t>
  </si>
  <si>
    <t>54779568</t>
  </si>
  <si>
    <t>840132327619</t>
  </si>
  <si>
    <t>54779563</t>
  </si>
  <si>
    <t>840132327510</t>
  </si>
  <si>
    <t>54779577</t>
  </si>
  <si>
    <t>840132327466</t>
  </si>
  <si>
    <t>48936253</t>
  </si>
  <si>
    <t>840132327572</t>
  </si>
  <si>
    <t>54779569</t>
  </si>
  <si>
    <t>840132327626</t>
  </si>
  <si>
    <t>54779564</t>
  </si>
  <si>
    <t>840132327527</t>
  </si>
  <si>
    <t>54779578</t>
  </si>
  <si>
    <t>840132327633</t>
  </si>
  <si>
    <t>54779565</t>
  </si>
  <si>
    <t>840132327534</t>
  </si>
  <si>
    <t>54779579</t>
  </si>
  <si>
    <t>840132327589</t>
  </si>
  <si>
    <t>54779570</t>
  </si>
  <si>
    <t>840132327640</t>
  </si>
  <si>
    <t>54779566</t>
  </si>
  <si>
    <t>840132327541</t>
  </si>
  <si>
    <t>54779580</t>
  </si>
  <si>
    <t>022164227932</t>
  </si>
  <si>
    <t>71436918</t>
  </si>
  <si>
    <t>5882997</t>
  </si>
  <si>
    <t>Madison Park Johnson Nesting End Tables 2-piece Set</t>
  </si>
  <si>
    <t>400830954458</t>
  </si>
  <si>
    <t>83095445</t>
  </si>
  <si>
    <t>6824234</t>
  </si>
  <si>
    <t>Men's Sonoma Goods For Life® Arctic Fleece Quarter Zip</t>
  </si>
  <si>
    <t>Green Blue</t>
  </si>
  <si>
    <t>400830953451</t>
  </si>
  <si>
    <t>83095345</t>
  </si>
  <si>
    <t>Copper Blue</t>
  </si>
  <si>
    <t>400830953956</t>
  </si>
  <si>
    <t>83095395</t>
  </si>
  <si>
    <t>Beige Tan</t>
  </si>
  <si>
    <t>400830954953</t>
  </si>
  <si>
    <t>83095495</t>
  </si>
  <si>
    <t>342</t>
  </si>
  <si>
    <t>Blue Burgundy</t>
  </si>
  <si>
    <t>400830953550</t>
  </si>
  <si>
    <t>83095355</t>
  </si>
  <si>
    <t>400830954557</t>
  </si>
  <si>
    <t>83095455</t>
  </si>
  <si>
    <t>644</t>
  </si>
  <si>
    <t>400830954052</t>
  </si>
  <si>
    <t>83095405</t>
  </si>
  <si>
    <t>400830955059</t>
  </si>
  <si>
    <t>83095505</t>
  </si>
  <si>
    <t>400830954151</t>
  </si>
  <si>
    <t>83095415</t>
  </si>
  <si>
    <t>400830953659</t>
  </si>
  <si>
    <t>83095365</t>
  </si>
  <si>
    <t>953</t>
  </si>
  <si>
    <t>400830954656</t>
  </si>
  <si>
    <t>83095465</t>
  </si>
  <si>
    <t>400830955158</t>
  </si>
  <si>
    <t>83095515</t>
  </si>
  <si>
    <t>946</t>
  </si>
  <si>
    <t>400830954250</t>
  </si>
  <si>
    <t>83095425</t>
  </si>
  <si>
    <t>400830955257</t>
  </si>
  <si>
    <t>83095525</t>
  </si>
  <si>
    <t>690</t>
  </si>
  <si>
    <t>400830953758</t>
  </si>
  <si>
    <t>83095375</t>
  </si>
  <si>
    <t>715</t>
  </si>
  <si>
    <t>400830954755</t>
  </si>
  <si>
    <t>83095475</t>
  </si>
  <si>
    <t>400830954359</t>
  </si>
  <si>
    <t>83095435</t>
  </si>
  <si>
    <t>400830955356</t>
  </si>
  <si>
    <t>83095535</t>
  </si>
  <si>
    <t>400830954854</t>
  </si>
  <si>
    <t>83095485</t>
  </si>
  <si>
    <t>400830953857</t>
  </si>
  <si>
    <t>83095385</t>
  </si>
  <si>
    <t>400683633142</t>
  </si>
  <si>
    <t>68363314</t>
  </si>
  <si>
    <t>6478354</t>
  </si>
  <si>
    <t>Women's Simply Vera Vera Wang Pleated Short Dress</t>
  </si>
  <si>
    <t>400683633159</t>
  </si>
  <si>
    <t>68363315</t>
  </si>
  <si>
    <t>400683633241</t>
  </si>
  <si>
    <t>68363324</t>
  </si>
  <si>
    <t>400503258302</t>
  </si>
  <si>
    <t>50325830</t>
  </si>
  <si>
    <t>Riveting Rose</t>
  </si>
  <si>
    <t>400642622217</t>
  </si>
  <si>
    <t>64262221</t>
  </si>
  <si>
    <t>5705780</t>
  </si>
  <si>
    <t>Disney's Minnie Mouse Girls 4-12 Hi-Low Tee by Jumping Beans®</t>
  </si>
  <si>
    <t>Disney/Jumping Beans</t>
  </si>
  <si>
    <t>Blue Minnie</t>
  </si>
  <si>
    <t>400642622224</t>
  </si>
  <si>
    <t>64262222</t>
  </si>
  <si>
    <t>400642622231</t>
  </si>
  <si>
    <t>64262223</t>
  </si>
  <si>
    <t>400642622248</t>
  </si>
  <si>
    <t>64262224</t>
  </si>
  <si>
    <t>647</t>
  </si>
  <si>
    <t>400642622255</t>
  </si>
  <si>
    <t>64262225</t>
  </si>
  <si>
    <t>400642622316</t>
  </si>
  <si>
    <t>64262231</t>
  </si>
  <si>
    <t>938</t>
  </si>
  <si>
    <t>400642622323</t>
  </si>
  <si>
    <t>64262232</t>
  </si>
  <si>
    <t>400505886879</t>
  </si>
  <si>
    <t>50588687</t>
  </si>
  <si>
    <t>6265345</t>
  </si>
  <si>
    <t>Boys 8-20 Sonoma Goods For Life® Double Knit Crewneck Sweater</t>
  </si>
  <si>
    <t>Carbonopy</t>
  </si>
  <si>
    <t>400834747148</t>
  </si>
  <si>
    <t>83474714</t>
  </si>
  <si>
    <t>Moonbeam Heather</t>
  </si>
  <si>
    <t>400505886947</t>
  </si>
  <si>
    <t>50588694</t>
  </si>
  <si>
    <t>400834747155</t>
  </si>
  <si>
    <t>83474715</t>
  </si>
  <si>
    <t>400505886954</t>
  </si>
  <si>
    <t>50588695</t>
  </si>
  <si>
    <t>400834747230</t>
  </si>
  <si>
    <t>83474723</t>
  </si>
  <si>
    <t>400834747247</t>
  </si>
  <si>
    <t>83474724</t>
  </si>
  <si>
    <t>400740317206</t>
  </si>
  <si>
    <t>74031720</t>
  </si>
  <si>
    <t>6684322</t>
  </si>
  <si>
    <t>LC Lauren Conrad Honey 2 Women's Flip Flop Sandals</t>
  </si>
  <si>
    <t>400291340623</t>
  </si>
  <si>
    <t>29134062</t>
  </si>
  <si>
    <t>400291340722</t>
  </si>
  <si>
    <t>29134072</t>
  </si>
  <si>
    <t>400740317329</t>
  </si>
  <si>
    <t>74031732</t>
  </si>
  <si>
    <t>400291340821</t>
  </si>
  <si>
    <t>29134082</t>
  </si>
  <si>
    <t>400630761737</t>
  </si>
  <si>
    <t>63076173</t>
  </si>
  <si>
    <t>6304183</t>
  </si>
  <si>
    <t>Women's Croft &amp; Barrow® The Extra Soft Classic Jackie Cardigan</t>
  </si>
  <si>
    <t>Red Cable</t>
  </si>
  <si>
    <t>400718014892</t>
  </si>
  <si>
    <t>71801489</t>
  </si>
  <si>
    <t>Navy Cable</t>
  </si>
  <si>
    <t>400630761782</t>
  </si>
  <si>
    <t>63076178</t>
  </si>
  <si>
    <t>400630761881</t>
  </si>
  <si>
    <t>63076188</t>
  </si>
  <si>
    <t>Cream Cable</t>
  </si>
  <si>
    <t>196128506361</t>
  </si>
  <si>
    <t>53987709</t>
  </si>
  <si>
    <t>5576809</t>
  </si>
  <si>
    <t>Juniors' SO® Keyhole Flutter Sleeve Top</t>
  </si>
  <si>
    <t>196128915118</t>
  </si>
  <si>
    <t>58431621</t>
  </si>
  <si>
    <t>Coconut White</t>
  </si>
  <si>
    <t>196128506378</t>
  </si>
  <si>
    <t>53987710</t>
  </si>
  <si>
    <t>196128915125</t>
  </si>
  <si>
    <t>58431622</t>
  </si>
  <si>
    <t>196128506354</t>
  </si>
  <si>
    <t>53987711</t>
  </si>
  <si>
    <t>196128915132</t>
  </si>
  <si>
    <t>58431623</t>
  </si>
  <si>
    <t>196128506392</t>
  </si>
  <si>
    <t>53987713</t>
  </si>
  <si>
    <t>196128915149</t>
  </si>
  <si>
    <t>58431624</t>
  </si>
  <si>
    <t>196128506385</t>
  </si>
  <si>
    <t>53987714</t>
  </si>
  <si>
    <t>196128915156</t>
  </si>
  <si>
    <t>58431625</t>
  </si>
  <si>
    <t>400377505366</t>
  </si>
  <si>
    <t>37750536</t>
  </si>
  <si>
    <t>6524958</t>
  </si>
  <si>
    <t>Women's Simply Vera Vera Wang Button Front Shirt</t>
  </si>
  <si>
    <t>Rose Smoke</t>
  </si>
  <si>
    <t>400733914030</t>
  </si>
  <si>
    <t>73391403</t>
  </si>
  <si>
    <t>Beige Paintstrokes</t>
  </si>
  <si>
    <t>400720420643</t>
  </si>
  <si>
    <t>72042064</t>
  </si>
  <si>
    <t>400377505076</t>
  </si>
  <si>
    <t>37750507</t>
  </si>
  <si>
    <t>400377505373</t>
  </si>
  <si>
    <t>37750537</t>
  </si>
  <si>
    <t>400733914047</t>
  </si>
  <si>
    <t>73391404</t>
  </si>
  <si>
    <t>400720420650</t>
  </si>
  <si>
    <t>72042065</t>
  </si>
  <si>
    <t>400377505144</t>
  </si>
  <si>
    <t>37750514</t>
  </si>
  <si>
    <t>400377505441</t>
  </si>
  <si>
    <t>37750544</t>
  </si>
  <si>
    <t>400733914054</t>
  </si>
  <si>
    <t>73391405</t>
  </si>
  <si>
    <t>400720420667</t>
  </si>
  <si>
    <t>72042066</t>
  </si>
  <si>
    <t>400377505151</t>
  </si>
  <si>
    <t>37750515</t>
  </si>
  <si>
    <t>400377505458</t>
  </si>
  <si>
    <t>37750545</t>
  </si>
  <si>
    <t>400733914061</t>
  </si>
  <si>
    <t>73391406</t>
  </si>
  <si>
    <t>400720420674</t>
  </si>
  <si>
    <t>72042067</t>
  </si>
  <si>
    <t>400377505168</t>
  </si>
  <si>
    <t>37750516</t>
  </si>
  <si>
    <t>400377505465</t>
  </si>
  <si>
    <t>37750546</t>
  </si>
  <si>
    <t>400733914078</t>
  </si>
  <si>
    <t>73391407</t>
  </si>
  <si>
    <t>400720420681</t>
  </si>
  <si>
    <t>72042068</t>
  </si>
  <si>
    <t>400377505175</t>
  </si>
  <si>
    <t>37750517</t>
  </si>
  <si>
    <t>400377505472</t>
  </si>
  <si>
    <t>37750547</t>
  </si>
  <si>
    <t>400733914139</t>
  </si>
  <si>
    <t>73391413</t>
  </si>
  <si>
    <t>400720420698</t>
  </si>
  <si>
    <t>72042069</t>
  </si>
  <si>
    <t>196064335544</t>
  </si>
  <si>
    <t>46974143</t>
  </si>
  <si>
    <t>6131537</t>
  </si>
  <si>
    <t>totes Rory Women's Winter Boots</t>
  </si>
  <si>
    <t>Coffee Bean</t>
  </si>
  <si>
    <t>196064335551</t>
  </si>
  <si>
    <t>46974144</t>
  </si>
  <si>
    <t>196064335575</t>
  </si>
  <si>
    <t>46974146</t>
  </si>
  <si>
    <t>196064335582</t>
  </si>
  <si>
    <t>46974147</t>
  </si>
  <si>
    <t>196064335599</t>
  </si>
  <si>
    <t>46974148</t>
  </si>
  <si>
    <t>196064335605</t>
  </si>
  <si>
    <t>46974149</t>
  </si>
  <si>
    <t>196064335612</t>
  </si>
  <si>
    <t>46974150</t>
  </si>
  <si>
    <t>400718012751</t>
  </si>
  <si>
    <t>71801275</t>
  </si>
  <si>
    <t>6169448</t>
  </si>
  <si>
    <t>Boys 8-20 Sonoma Goods For Life® Long Sleeve Rugby Polo in Regular &amp; Husky</t>
  </si>
  <si>
    <t>400718012843</t>
  </si>
  <si>
    <t>71801284</t>
  </si>
  <si>
    <t>400718012850</t>
  </si>
  <si>
    <t>71801285</t>
  </si>
  <si>
    <t>400718012768</t>
  </si>
  <si>
    <t>71801276</t>
  </si>
  <si>
    <t>400718012867</t>
  </si>
  <si>
    <t>71801286</t>
  </si>
  <si>
    <t>400718012775</t>
  </si>
  <si>
    <t>71801277</t>
  </si>
  <si>
    <t>409</t>
  </si>
  <si>
    <t>400718012874</t>
  </si>
  <si>
    <t>71801287</t>
  </si>
  <si>
    <t>400718012836</t>
  </si>
  <si>
    <t>71801283</t>
  </si>
  <si>
    <t>400290772265</t>
  </si>
  <si>
    <t>29077226</t>
  </si>
  <si>
    <t>400290772296</t>
  </si>
  <si>
    <t>29077229</t>
  </si>
  <si>
    <t>400290772302</t>
  </si>
  <si>
    <t>29077230</t>
  </si>
  <si>
    <t>400290772272</t>
  </si>
  <si>
    <t>29077227</t>
  </si>
  <si>
    <t>400290772289</t>
  </si>
  <si>
    <t>29077228</t>
  </si>
  <si>
    <t>400731161818</t>
  </si>
  <si>
    <t>73116181</t>
  </si>
  <si>
    <t>6824294</t>
  </si>
  <si>
    <t>Men's Apt. 9® Merino Wool Crewneck Sweater</t>
  </si>
  <si>
    <t>Inky Heather</t>
  </si>
  <si>
    <t>400731161924</t>
  </si>
  <si>
    <t>73116192</t>
  </si>
  <si>
    <t>Merlot Heather</t>
  </si>
  <si>
    <t>400731161825</t>
  </si>
  <si>
    <t>73116182</t>
  </si>
  <si>
    <t>400731161993</t>
  </si>
  <si>
    <t>73116199</t>
  </si>
  <si>
    <t>400731161894</t>
  </si>
  <si>
    <t>73116189</t>
  </si>
  <si>
    <t>400731162006</t>
  </si>
  <si>
    <t>73116200</t>
  </si>
  <si>
    <t>400731162013</t>
  </si>
  <si>
    <t>73116201</t>
  </si>
  <si>
    <t>400731161900</t>
  </si>
  <si>
    <t>73116190</t>
  </si>
  <si>
    <t>400731161801</t>
  </si>
  <si>
    <t>73116180</t>
  </si>
  <si>
    <t>400731162020</t>
  </si>
  <si>
    <t>73116202</t>
  </si>
  <si>
    <t>400731161917</t>
  </si>
  <si>
    <t>73116191</t>
  </si>
  <si>
    <t>196739107643</t>
  </si>
  <si>
    <t>79023600</t>
  </si>
  <si>
    <t>6006575</t>
  </si>
  <si>
    <t>Boys 8-20 Champion® Long Sleeve Tee</t>
  </si>
  <si>
    <t>Oxford Gray Heather</t>
  </si>
  <si>
    <t>196739107537</t>
  </si>
  <si>
    <t>79023597</t>
  </si>
  <si>
    <t>196739107575</t>
  </si>
  <si>
    <t>79023606</t>
  </si>
  <si>
    <t>345</t>
  </si>
  <si>
    <t>Eclipse Red</t>
  </si>
  <si>
    <t>196739107650</t>
  </si>
  <si>
    <t>79023601</t>
  </si>
  <si>
    <t>196739107544</t>
  </si>
  <si>
    <t>79023598</t>
  </si>
  <si>
    <t>196739107582</t>
  </si>
  <si>
    <t>79023607</t>
  </si>
  <si>
    <t>196739107667</t>
  </si>
  <si>
    <t>79023602</t>
  </si>
  <si>
    <t>840132327152</t>
  </si>
  <si>
    <t>20534104</t>
  </si>
  <si>
    <t>5989949</t>
  </si>
  <si>
    <t>Men's Caliville Curved Hem Performance Tee</t>
  </si>
  <si>
    <t>Sage Heather</t>
  </si>
  <si>
    <t>840132327053</t>
  </si>
  <si>
    <t>20534089</t>
  </si>
  <si>
    <t>840132327107</t>
  </si>
  <si>
    <t>20534099</t>
  </si>
  <si>
    <t>840132326957</t>
  </si>
  <si>
    <t>20534084</t>
  </si>
  <si>
    <t>Black Heather</t>
  </si>
  <si>
    <t>840132327008</t>
  </si>
  <si>
    <t>20534094</t>
  </si>
  <si>
    <t>Platinum Heather</t>
  </si>
  <si>
    <t>840132327114</t>
  </si>
  <si>
    <t>20534100</t>
  </si>
  <si>
    <t>840132327015</t>
  </si>
  <si>
    <t>20534095</t>
  </si>
  <si>
    <t>840132327060</t>
  </si>
  <si>
    <t>20534090</t>
  </si>
  <si>
    <t>840132327121</t>
  </si>
  <si>
    <t>20534101</t>
  </si>
  <si>
    <t>840132327022</t>
  </si>
  <si>
    <t>20534096</t>
  </si>
  <si>
    <t>840132327077</t>
  </si>
  <si>
    <t>20534091</t>
  </si>
  <si>
    <t>840132327138</t>
  </si>
  <si>
    <t>20534102</t>
  </si>
  <si>
    <t>adidas Lite Racer Adapt 5.0 Kids' Lifestyle Running Shoes</t>
  </si>
  <si>
    <t>Ink Navy White</t>
  </si>
  <si>
    <t>615363594211</t>
  </si>
  <si>
    <t>72558247</t>
  </si>
  <si>
    <t>6225175</t>
  </si>
  <si>
    <t>Sonoma Goods For Life® Enigma Women's Ankle Boots</t>
  </si>
  <si>
    <t>615363594099</t>
  </si>
  <si>
    <t>70354392</t>
  </si>
  <si>
    <t>Cognac</t>
  </si>
  <si>
    <t>615363594105</t>
  </si>
  <si>
    <t>70354393</t>
  </si>
  <si>
    <t>615363594358</t>
  </si>
  <si>
    <t>50675367</t>
  </si>
  <si>
    <t>615363594235</t>
  </si>
  <si>
    <t>72558253</t>
  </si>
  <si>
    <t>615363594112</t>
  </si>
  <si>
    <t>70354394</t>
  </si>
  <si>
    <t>615363594129</t>
  </si>
  <si>
    <t>70354395</t>
  </si>
  <si>
    <t>615363594372</t>
  </si>
  <si>
    <t>50675375</t>
  </si>
  <si>
    <t>615363594259</t>
  </si>
  <si>
    <t>72558255</t>
  </si>
  <si>
    <t>615363594136</t>
  </si>
  <si>
    <t>70354396</t>
  </si>
  <si>
    <t>615363594389</t>
  </si>
  <si>
    <t>50675376</t>
  </si>
  <si>
    <t>615363594143</t>
  </si>
  <si>
    <t>70354397</t>
  </si>
  <si>
    <t>615363594396</t>
  </si>
  <si>
    <t>50675377</t>
  </si>
  <si>
    <t>615363594273</t>
  </si>
  <si>
    <t>72558257</t>
  </si>
  <si>
    <t>615363594150</t>
  </si>
  <si>
    <t>70354398</t>
  </si>
  <si>
    <t>615363594280</t>
  </si>
  <si>
    <t>72558258</t>
  </si>
  <si>
    <t>615363594167</t>
  </si>
  <si>
    <t>70354399</t>
  </si>
  <si>
    <t>615363594419</t>
  </si>
  <si>
    <t>50675385</t>
  </si>
  <si>
    <t>615363594297</t>
  </si>
  <si>
    <t>72558263</t>
  </si>
  <si>
    <t>615363594174</t>
  </si>
  <si>
    <t>70354400</t>
  </si>
  <si>
    <t>615363594426</t>
  </si>
  <si>
    <t>50675386</t>
  </si>
  <si>
    <t>615363594303</t>
  </si>
  <si>
    <t>72558264</t>
  </si>
  <si>
    <t>615363594181</t>
  </si>
  <si>
    <t>70354401</t>
  </si>
  <si>
    <t>615363594433</t>
  </si>
  <si>
    <t>50675387</t>
  </si>
  <si>
    <t>615363594310</t>
  </si>
  <si>
    <t>72558265</t>
  </si>
  <si>
    <t>615363594198</t>
  </si>
  <si>
    <t>70354402</t>
  </si>
  <si>
    <t>615363594204</t>
  </si>
  <si>
    <t>70354403</t>
  </si>
  <si>
    <t>197383203453</t>
  </si>
  <si>
    <t>61283687</t>
  </si>
  <si>
    <t>6800910</t>
  </si>
  <si>
    <t>Women's Harper Rose Polo Maxi Dress</t>
  </si>
  <si>
    <t>Harper Rose</t>
  </si>
  <si>
    <t>197383203446</t>
  </si>
  <si>
    <t>61283699</t>
  </si>
  <si>
    <t>Baby Boys Carter's 3-Piece Airplane Little Vest Set</t>
  </si>
  <si>
    <t>196067393329</t>
  </si>
  <si>
    <t>75524053</t>
  </si>
  <si>
    <t>5876639</t>
  </si>
  <si>
    <t>Girls 7-16 Gaiam Hudson Zip-Front Hoodie</t>
  </si>
  <si>
    <t>Gaiam</t>
  </si>
  <si>
    <t>Hawaiian Blue</t>
  </si>
  <si>
    <t>196067393244</t>
  </si>
  <si>
    <t>75524044</t>
  </si>
  <si>
    <t>Flint Gray Heather</t>
  </si>
  <si>
    <t>196067393282</t>
  </si>
  <si>
    <t>75524058</t>
  </si>
  <si>
    <t>Cordovan</t>
  </si>
  <si>
    <t>196067336241</t>
  </si>
  <si>
    <t>71422375</t>
  </si>
  <si>
    <t>196067393299</t>
  </si>
  <si>
    <t>75524063</t>
  </si>
  <si>
    <t>196067393336</t>
  </si>
  <si>
    <t>75524054</t>
  </si>
  <si>
    <t>196067393251</t>
  </si>
  <si>
    <t>75524045</t>
  </si>
  <si>
    <t>196067336258</t>
  </si>
  <si>
    <t>71422376</t>
  </si>
  <si>
    <t>196067393305</t>
  </si>
  <si>
    <t>75524064</t>
  </si>
  <si>
    <t>196067393343</t>
  </si>
  <si>
    <t>75524055</t>
  </si>
  <si>
    <t>196067336265</t>
  </si>
  <si>
    <t>71422377</t>
  </si>
  <si>
    <t>196067393398</t>
  </si>
  <si>
    <t>75524043</t>
  </si>
  <si>
    <t>196067393312</t>
  </si>
  <si>
    <t>75524065</t>
  </si>
  <si>
    <t>196067393350</t>
  </si>
  <si>
    <t>75524056</t>
  </si>
  <si>
    <t>Juniors' Plus Size WallFlower Insta Stretch Luscious Curvy Bling Bootcut Jeans</t>
  </si>
  <si>
    <t>193769730605</t>
  </si>
  <si>
    <t>54579655</t>
  </si>
  <si>
    <t>Bexley</t>
  </si>
  <si>
    <t>193769730612</t>
  </si>
  <si>
    <t>54579656</t>
  </si>
  <si>
    <t>193769730629</t>
  </si>
  <si>
    <t>54579664</t>
  </si>
  <si>
    <t>196139537408</t>
  </si>
  <si>
    <t>37461221</t>
  </si>
  <si>
    <t>6141467</t>
  </si>
  <si>
    <t>Women's Koolaburra by UGG Corduroy Midweight Puffer Jacket</t>
  </si>
  <si>
    <t>196139537361</t>
  </si>
  <si>
    <t>37461230</t>
  </si>
  <si>
    <t>196139551664</t>
  </si>
  <si>
    <t>63622379</t>
  </si>
  <si>
    <t>196139551633</t>
  </si>
  <si>
    <t>63622384</t>
  </si>
  <si>
    <t>400469025222</t>
  </si>
  <si>
    <t>46902522</t>
  </si>
  <si>
    <t>5576107</t>
  </si>
  <si>
    <t>Plus Size Nine West High Rise Sculpting Bootcut Jeans</t>
  </si>
  <si>
    <t>400592716387</t>
  </si>
  <si>
    <t>59271638</t>
  </si>
  <si>
    <t>Medium</t>
  </si>
  <si>
    <t>400469025239</t>
  </si>
  <si>
    <t>46902523</t>
  </si>
  <si>
    <t>400642688404</t>
  </si>
  <si>
    <t>64268840</t>
  </si>
  <si>
    <t>Rinse</t>
  </si>
  <si>
    <t>400592716394</t>
  </si>
  <si>
    <t>59271639</t>
  </si>
  <si>
    <t>400469025246</t>
  </si>
  <si>
    <t>46902524</t>
  </si>
  <si>
    <t>400592716400</t>
  </si>
  <si>
    <t>59271640</t>
  </si>
  <si>
    <t>400642688480</t>
  </si>
  <si>
    <t>64268848</t>
  </si>
  <si>
    <t>400469025253</t>
  </si>
  <si>
    <t>46902525</t>
  </si>
  <si>
    <t>400592716417</t>
  </si>
  <si>
    <t>59271641</t>
  </si>
  <si>
    <t>400642688497</t>
  </si>
  <si>
    <t>64268849</t>
  </si>
  <si>
    <t>400469025260</t>
  </si>
  <si>
    <t>46902526</t>
  </si>
  <si>
    <t>400592716424</t>
  </si>
  <si>
    <t>59271642</t>
  </si>
  <si>
    <t>400642688503</t>
  </si>
  <si>
    <t>64268850</t>
  </si>
  <si>
    <t>400469025277</t>
  </si>
  <si>
    <t>46902527</t>
  </si>
  <si>
    <t>400642688589</t>
  </si>
  <si>
    <t>64268858</t>
  </si>
  <si>
    <t>400592716431</t>
  </si>
  <si>
    <t>59271643</t>
  </si>
  <si>
    <t>400642688596</t>
  </si>
  <si>
    <t>64268859</t>
  </si>
  <si>
    <t>400655674968</t>
  </si>
  <si>
    <t>65567496</t>
  </si>
  <si>
    <t>6570750</t>
  </si>
  <si>
    <t>Women's Simply Vera Vera Wang Utility Skirt</t>
  </si>
  <si>
    <t>400655675071</t>
  </si>
  <si>
    <t>65567507</t>
  </si>
  <si>
    <t>400655674975</t>
  </si>
  <si>
    <t>65567497</t>
  </si>
  <si>
    <t>400655675132</t>
  </si>
  <si>
    <t>65567513</t>
  </si>
  <si>
    <t>400655675033</t>
  </si>
  <si>
    <t>65567503</t>
  </si>
  <si>
    <t>400655675149</t>
  </si>
  <si>
    <t>65567514</t>
  </si>
  <si>
    <t>400655675156</t>
  </si>
  <si>
    <t>65567515</t>
  </si>
  <si>
    <t>400655675064</t>
  </si>
  <si>
    <t>65567506</t>
  </si>
  <si>
    <t>400655675170</t>
  </si>
  <si>
    <t>65567517</t>
  </si>
  <si>
    <t>Men's Spalding Logo Joggers</t>
  </si>
  <si>
    <t>Spalding</t>
  </si>
  <si>
    <t>Heather Gray</t>
  </si>
  <si>
    <t>Women's Columbia West Bend 1/4 Zip Pullover</t>
  </si>
  <si>
    <t>Sea Salt Skyscape</t>
  </si>
  <si>
    <t>Red Lily Checkered Pea</t>
  </si>
  <si>
    <t>Stone Green Stripe</t>
  </si>
  <si>
    <t>Chalk Checkered Peaks</t>
  </si>
  <si>
    <t>400498737172</t>
  </si>
  <si>
    <t>49873717</t>
  </si>
  <si>
    <t>6512813</t>
  </si>
  <si>
    <t>Women's LC Lauren Conrad Notch-Collar Blazer</t>
  </si>
  <si>
    <t>400498737189</t>
  </si>
  <si>
    <t>49873718</t>
  </si>
  <si>
    <t>400498737196</t>
  </si>
  <si>
    <t>49873719</t>
  </si>
  <si>
    <t>400498737219</t>
  </si>
  <si>
    <t>49873721</t>
  </si>
  <si>
    <t>400498737226</t>
  </si>
  <si>
    <t>49873722</t>
  </si>
  <si>
    <t>400498737233</t>
  </si>
  <si>
    <t>49873723</t>
  </si>
  <si>
    <t>400833693217</t>
  </si>
  <si>
    <t>83369321</t>
  </si>
  <si>
    <t>6824507</t>
  </si>
  <si>
    <t>Men's Sonoma Goods For Life® Crewneck Fleece Sweatshirt</t>
  </si>
  <si>
    <t>Midnght Black</t>
  </si>
  <si>
    <t>400867303281</t>
  </si>
  <si>
    <t>86730328</t>
  </si>
  <si>
    <t>400833693224</t>
  </si>
  <si>
    <t>83369322</t>
  </si>
  <si>
    <t>400867303298</t>
  </si>
  <si>
    <t>86730329</t>
  </si>
  <si>
    <t>400833693231</t>
  </si>
  <si>
    <t>83369323</t>
  </si>
  <si>
    <t>477</t>
  </si>
  <si>
    <t>400867303304</t>
  </si>
  <si>
    <t>86730330</t>
  </si>
  <si>
    <t>400833693248</t>
  </si>
  <si>
    <t>83369324</t>
  </si>
  <si>
    <t>400867303311</t>
  </si>
  <si>
    <t>86730331</t>
  </si>
  <si>
    <t>400833693255</t>
  </si>
  <si>
    <t>83369325</t>
  </si>
  <si>
    <t>400867303328</t>
  </si>
  <si>
    <t>86730332</t>
  </si>
  <si>
    <t>400581804545</t>
  </si>
  <si>
    <t>58180454</t>
  </si>
  <si>
    <t>7082548</t>
  </si>
  <si>
    <t>Women's Simply Vera Vera Wang High-Rise Slim Straight Pants</t>
  </si>
  <si>
    <t>Tan Cocoa</t>
  </si>
  <si>
    <t>400792856869</t>
  </si>
  <si>
    <t>79285686</t>
  </si>
  <si>
    <t>400184433692</t>
  </si>
  <si>
    <t>18443369</t>
  </si>
  <si>
    <t>Grey Herringbone</t>
  </si>
  <si>
    <t>400300060863</t>
  </si>
  <si>
    <t>30006086</t>
  </si>
  <si>
    <t>400623706264</t>
  </si>
  <si>
    <t>62370626</t>
  </si>
  <si>
    <t>400300061037</t>
  </si>
  <si>
    <t>30006103</t>
  </si>
  <si>
    <t>400300061044</t>
  </si>
  <si>
    <t>30006104</t>
  </si>
  <si>
    <t>400300061068</t>
  </si>
  <si>
    <t>30006106</t>
  </si>
  <si>
    <t>400300061136</t>
  </si>
  <si>
    <t>30006113</t>
  </si>
  <si>
    <t>400623706370</t>
  </si>
  <si>
    <t>62370637</t>
  </si>
  <si>
    <t>400300061143</t>
  </si>
  <si>
    <t>30006114</t>
  </si>
  <si>
    <t>400300061167</t>
  </si>
  <si>
    <t>30006116</t>
  </si>
  <si>
    <t>400623706387</t>
  </si>
  <si>
    <t>62370638</t>
  </si>
  <si>
    <t>400628435411</t>
  </si>
  <si>
    <t>62843541</t>
  </si>
  <si>
    <t>5568305</t>
  </si>
  <si>
    <t>Juniors' Plus Size SO® High-Rise Flare Jeans</t>
  </si>
  <si>
    <t>Dark Seamed</t>
  </si>
  <si>
    <t>609475933488</t>
  </si>
  <si>
    <t>76796501</t>
  </si>
  <si>
    <t>400804441533</t>
  </si>
  <si>
    <t>80444153</t>
  </si>
  <si>
    <t>609475901692</t>
  </si>
  <si>
    <t>55701615</t>
  </si>
  <si>
    <t>Dark</t>
  </si>
  <si>
    <t>609475901746</t>
  </si>
  <si>
    <t>46957544</t>
  </si>
  <si>
    <t>Med Wash</t>
  </si>
  <si>
    <t>400466085434</t>
  </si>
  <si>
    <t>46608543</t>
  </si>
  <si>
    <t>400628435428</t>
  </si>
  <si>
    <t>62843542</t>
  </si>
  <si>
    <t>400642750385</t>
  </si>
  <si>
    <t>64275038</t>
  </si>
  <si>
    <t>Medium Pocket</t>
  </si>
  <si>
    <t>609475933495</t>
  </si>
  <si>
    <t>76796502</t>
  </si>
  <si>
    <t>400804441625</t>
  </si>
  <si>
    <t>80444162</t>
  </si>
  <si>
    <t>609475901708</t>
  </si>
  <si>
    <t>55701616</t>
  </si>
  <si>
    <t>609475901753</t>
  </si>
  <si>
    <t>46957545</t>
  </si>
  <si>
    <t>400466085441</t>
  </si>
  <si>
    <t>46608544</t>
  </si>
  <si>
    <t>400628435435</t>
  </si>
  <si>
    <t>62843543</t>
  </si>
  <si>
    <t>400642750392</t>
  </si>
  <si>
    <t>64275039</t>
  </si>
  <si>
    <t>609475933501</t>
  </si>
  <si>
    <t>76796504</t>
  </si>
  <si>
    <t>400804441632</t>
  </si>
  <si>
    <t>80444163</t>
  </si>
  <si>
    <t>400466085458</t>
  </si>
  <si>
    <t>46608545</t>
  </si>
  <si>
    <t>400628435503</t>
  </si>
  <si>
    <t>62843550</t>
  </si>
  <si>
    <t>400642750408</t>
  </si>
  <si>
    <t>64275040</t>
  </si>
  <si>
    <t>609475933518</t>
  </si>
  <si>
    <t>76796505</t>
  </si>
  <si>
    <t>400466085465</t>
  </si>
  <si>
    <t>46608546</t>
  </si>
  <si>
    <t>400628435510</t>
  </si>
  <si>
    <t>62843551</t>
  </si>
  <si>
    <t>400642750415</t>
  </si>
  <si>
    <t>64275041</t>
  </si>
  <si>
    <t>609475933525</t>
  </si>
  <si>
    <t>76796506</t>
  </si>
  <si>
    <t>400664237659</t>
  </si>
  <si>
    <t>66423765</t>
  </si>
  <si>
    <t>6560838</t>
  </si>
  <si>
    <t>Juniors' SO® Seamless Henley Bodysuit</t>
  </si>
  <si>
    <t>400664237703</t>
  </si>
  <si>
    <t>66423770</t>
  </si>
  <si>
    <t>400664237758</t>
  </si>
  <si>
    <t>66423775</t>
  </si>
  <si>
    <t>400664237604</t>
  </si>
  <si>
    <t>66423760</t>
  </si>
  <si>
    <t>Neda Lavender</t>
  </si>
  <si>
    <t>400664237710</t>
  </si>
  <si>
    <t>66423771</t>
  </si>
  <si>
    <t>400664237765</t>
  </si>
  <si>
    <t>66423776</t>
  </si>
  <si>
    <t>400664237611</t>
  </si>
  <si>
    <t>66423761</t>
  </si>
  <si>
    <t>400819226927</t>
  </si>
  <si>
    <t>81922692</t>
  </si>
  <si>
    <t>6824262</t>
  </si>
  <si>
    <t>Men's Sonoma Goods For Life® Soft Knit Button-Down Shirt</t>
  </si>
  <si>
    <t>400819226620</t>
  </si>
  <si>
    <t>81922662</t>
  </si>
  <si>
    <t>Burnt Cherry</t>
  </si>
  <si>
    <t>400819226729</t>
  </si>
  <si>
    <t>81922672</t>
  </si>
  <si>
    <t>400819226828</t>
  </si>
  <si>
    <t>81922682</t>
  </si>
  <si>
    <t>400819226682</t>
  </si>
  <si>
    <t>81922668</t>
  </si>
  <si>
    <t>400819226781</t>
  </si>
  <si>
    <t>81922678</t>
  </si>
  <si>
    <t>400819226880</t>
  </si>
  <si>
    <t>81922688</t>
  </si>
  <si>
    <t>400819226989</t>
  </si>
  <si>
    <t>81922698</t>
  </si>
  <si>
    <t>400819226699</t>
  </si>
  <si>
    <t>81922669</t>
  </si>
  <si>
    <t>782</t>
  </si>
  <si>
    <t>400819226798</t>
  </si>
  <si>
    <t>81922679</t>
  </si>
  <si>
    <t>400819226897</t>
  </si>
  <si>
    <t>81922689</t>
  </si>
  <si>
    <t>733</t>
  </si>
  <si>
    <t>400819226996</t>
  </si>
  <si>
    <t>81922699</t>
  </si>
  <si>
    <t>875</t>
  </si>
  <si>
    <t>400819226705</t>
  </si>
  <si>
    <t>81922670</t>
  </si>
  <si>
    <t>400819226804</t>
  </si>
  <si>
    <t>81922680</t>
  </si>
  <si>
    <t>400819226903</t>
  </si>
  <si>
    <t>81922690</t>
  </si>
  <si>
    <t>538</t>
  </si>
  <si>
    <t>400819227009</t>
  </si>
  <si>
    <t>81922700</t>
  </si>
  <si>
    <t>605</t>
  </si>
  <si>
    <t>400819226811</t>
  </si>
  <si>
    <t>81922681</t>
  </si>
  <si>
    <t>400819226910</t>
  </si>
  <si>
    <t>81922691</t>
  </si>
  <si>
    <t>400819227016</t>
  </si>
  <si>
    <t>81922701</t>
  </si>
  <si>
    <t>400819226712</t>
  </si>
  <si>
    <t>81922671</t>
  </si>
  <si>
    <t>615363416384</t>
  </si>
  <si>
    <t>29692998</t>
  </si>
  <si>
    <t>4248364</t>
  </si>
  <si>
    <t>SO® Grayce Kids' Sandals</t>
  </si>
  <si>
    <t>615363416391</t>
  </si>
  <si>
    <t>29693001</t>
  </si>
  <si>
    <t>Juniors' Unionbay Uniform Karma Skinny Pants</t>
  </si>
  <si>
    <t>Unionbay</t>
  </si>
  <si>
    <t>Galaxy Gray</t>
  </si>
  <si>
    <t>400608809805</t>
  </si>
  <si>
    <t>60880980</t>
  </si>
  <si>
    <t>1267</t>
  </si>
  <si>
    <t>5234821</t>
  </si>
  <si>
    <t>Women's Tek Gear® Core High-Waisted Capri Leggings</t>
  </si>
  <si>
    <t>Black Spacedye</t>
  </si>
  <si>
    <t>196050441280</t>
  </si>
  <si>
    <t>20316055</t>
  </si>
  <si>
    <t>5639650</t>
  </si>
  <si>
    <t>SO® Dill Women's Knee-High Boots</t>
  </si>
  <si>
    <t>196050441167</t>
  </si>
  <si>
    <t>20139637</t>
  </si>
  <si>
    <t>5.5 WC</t>
  </si>
  <si>
    <t>196050441174</t>
  </si>
  <si>
    <t>20139642</t>
  </si>
  <si>
    <t>6 WC</t>
  </si>
  <si>
    <t>196050441181</t>
  </si>
  <si>
    <t>20139643</t>
  </si>
  <si>
    <t>6.5 WC</t>
  </si>
  <si>
    <t>196050441198</t>
  </si>
  <si>
    <t>20139644</t>
  </si>
  <si>
    <t>7 WC</t>
  </si>
  <si>
    <t>196050441204</t>
  </si>
  <si>
    <t>20139645</t>
  </si>
  <si>
    <t>7.5 WC</t>
  </si>
  <si>
    <t>196050441211</t>
  </si>
  <si>
    <t>20139646</t>
  </si>
  <si>
    <t>8 WC</t>
  </si>
  <si>
    <t>196050441228</t>
  </si>
  <si>
    <t>20139647</t>
  </si>
  <si>
    <t>8.5 WC</t>
  </si>
  <si>
    <t>196050441235</t>
  </si>
  <si>
    <t>20139652</t>
  </si>
  <si>
    <t>9 WC</t>
  </si>
  <si>
    <t>196050441242</t>
  </si>
  <si>
    <t>20139653</t>
  </si>
  <si>
    <t>9.5 WC</t>
  </si>
  <si>
    <t>196050441259</t>
  </si>
  <si>
    <t>20139654</t>
  </si>
  <si>
    <t>10 WC</t>
  </si>
  <si>
    <t>Boys 8-20 Under Armour Outdoor 1/4-Zip Fleece Camo Pullover Sweater</t>
  </si>
  <si>
    <t>Gray Camo</t>
  </si>
  <si>
    <t>400475065663</t>
  </si>
  <si>
    <t>47506566</t>
  </si>
  <si>
    <t>6586179</t>
  </si>
  <si>
    <t>Juniors' Plus Size SO® Short Sleeve Slim Fit Lettuce Edge Tee</t>
  </si>
  <si>
    <t>400501497444</t>
  </si>
  <si>
    <t>50149744</t>
  </si>
  <si>
    <t>400501497536</t>
  </si>
  <si>
    <t>50149753</t>
  </si>
  <si>
    <t>400501497291</t>
  </si>
  <si>
    <t>50149729</t>
  </si>
  <si>
    <t>Soft Sky</t>
  </si>
  <si>
    <t>400501497383</t>
  </si>
  <si>
    <t>50149738</t>
  </si>
  <si>
    <t>Maiden Lilac</t>
  </si>
  <si>
    <t>400475065717</t>
  </si>
  <si>
    <t>47506571</t>
  </si>
  <si>
    <t>400501497543</t>
  </si>
  <si>
    <t>50149754</t>
  </si>
  <si>
    <t>400501497307</t>
  </si>
  <si>
    <t>50149730</t>
  </si>
  <si>
    <t>400501497390</t>
  </si>
  <si>
    <t>50149739</t>
  </si>
  <si>
    <t>400501497482</t>
  </si>
  <si>
    <t>50149748</t>
  </si>
  <si>
    <t>400475065724</t>
  </si>
  <si>
    <t>47506572</t>
  </si>
  <si>
    <t>400501497581</t>
  </si>
  <si>
    <t>50149758</t>
  </si>
  <si>
    <t>400501497314</t>
  </si>
  <si>
    <t>50149731</t>
  </si>
  <si>
    <t>400501497406</t>
  </si>
  <si>
    <t>50149740</t>
  </si>
  <si>
    <t>400501497499</t>
  </si>
  <si>
    <t>50149749</t>
  </si>
  <si>
    <t>400459397988</t>
  </si>
  <si>
    <t>45939798</t>
  </si>
  <si>
    <t>6137795</t>
  </si>
  <si>
    <t>Girls 6-20 SO® High Rise 90s Loose Destructed Jeans in Regular &amp; Plus Size</t>
  </si>
  <si>
    <t>Black Destructed</t>
  </si>
  <si>
    <t>400751533138</t>
  </si>
  <si>
    <t>75153313</t>
  </si>
  <si>
    <t>Light Wash Destructed</t>
  </si>
  <si>
    <t>400560840090</t>
  </si>
  <si>
    <t>56084009</t>
  </si>
  <si>
    <t>Medium Wash Destructed</t>
  </si>
  <si>
    <t>400751533046</t>
  </si>
  <si>
    <t>75153304</t>
  </si>
  <si>
    <t>400751533091</t>
  </si>
  <si>
    <t>75153309</t>
  </si>
  <si>
    <t>400560840052</t>
  </si>
  <si>
    <t>56084005</t>
  </si>
  <si>
    <t>400751533107</t>
  </si>
  <si>
    <t>75153310</t>
  </si>
  <si>
    <t>400751533114</t>
  </si>
  <si>
    <t>75153311</t>
  </si>
  <si>
    <t>400560840076</t>
  </si>
  <si>
    <t>56084007</t>
  </si>
  <si>
    <t>400751533121</t>
  </si>
  <si>
    <t>75153312</t>
  </si>
  <si>
    <t>400560840083</t>
  </si>
  <si>
    <t>56084008</t>
  </si>
  <si>
    <t>400751533145</t>
  </si>
  <si>
    <t>75153314</t>
  </si>
  <si>
    <t>400560840113</t>
  </si>
  <si>
    <t>56084011</t>
  </si>
  <si>
    <t>400281645943</t>
  </si>
  <si>
    <t>28164594</t>
  </si>
  <si>
    <t>14 PLUS</t>
  </si>
  <si>
    <t>400281645950</t>
  </si>
  <si>
    <t>28164595</t>
  </si>
  <si>
    <t>16 PLUS</t>
  </si>
  <si>
    <t>400281645967</t>
  </si>
  <si>
    <t>28164596</t>
  </si>
  <si>
    <t>18 PLUS</t>
  </si>
  <si>
    <t>400281645974</t>
  </si>
  <si>
    <t>28164597</t>
  </si>
  <si>
    <t>20 PLUS</t>
  </si>
  <si>
    <t>194546150401</t>
  </si>
  <si>
    <t>72530120</t>
  </si>
  <si>
    <t>4868631</t>
  </si>
  <si>
    <t>Juniors' SO® Boybrief Panty SO72-003</t>
  </si>
  <si>
    <t>194546058738</t>
  </si>
  <si>
    <t>61965715</t>
  </si>
  <si>
    <t>Pink Ditsy Whisper</t>
  </si>
  <si>
    <t>194546058783</t>
  </si>
  <si>
    <t>61965696</t>
  </si>
  <si>
    <t>Raven Unicorn</t>
  </si>
  <si>
    <t>194546150418</t>
  </si>
  <si>
    <t>72530121</t>
  </si>
  <si>
    <t>194546058745</t>
  </si>
  <si>
    <t>61965716</t>
  </si>
  <si>
    <t>194546058752</t>
  </si>
  <si>
    <t>61965717</t>
  </si>
  <si>
    <t>194546058769</t>
  </si>
  <si>
    <t>61965724</t>
  </si>
  <si>
    <t>195365497081</t>
  </si>
  <si>
    <t>29780141</t>
  </si>
  <si>
    <t>6103980</t>
  </si>
  <si>
    <t>Women's ZeroXposur Serena Quilted Heavyweight Walker Jacket</t>
  </si>
  <si>
    <t>Ruby Wine</t>
  </si>
  <si>
    <t>195365496206</t>
  </si>
  <si>
    <t>29780134</t>
  </si>
  <si>
    <t>195365497098</t>
  </si>
  <si>
    <t>29780142</t>
  </si>
  <si>
    <t>195365496213</t>
  </si>
  <si>
    <t>29780137</t>
  </si>
  <si>
    <t>195365497104</t>
  </si>
  <si>
    <t>29780143</t>
  </si>
  <si>
    <t>195365497111</t>
  </si>
  <si>
    <t>29780144</t>
  </si>
  <si>
    <t>195365496244</t>
  </si>
  <si>
    <t>29780140</t>
  </si>
  <si>
    <t>195365497128</t>
  </si>
  <si>
    <t>29780147</t>
  </si>
  <si>
    <t>Boys 8-20 Hurley H2O-Dri Twill Joggers</t>
  </si>
  <si>
    <t>196900152212</t>
  </si>
  <si>
    <t>68963373</t>
  </si>
  <si>
    <t>6394307</t>
  </si>
  <si>
    <t>Baby &amp; Toddler Girl Bonnie Jean Mesh Dots Flutter Dress</t>
  </si>
  <si>
    <t>Bonnie Jean</t>
  </si>
  <si>
    <t>196900152229</t>
  </si>
  <si>
    <t>68963374</t>
  </si>
  <si>
    <t>196900152243</t>
  </si>
  <si>
    <t>68963375</t>
  </si>
  <si>
    <t>765803901694</t>
  </si>
  <si>
    <t>78201886</t>
  </si>
  <si>
    <t>4986116</t>
  </si>
  <si>
    <t>Boys 7-20 Sonoma Goods For Life® Flexwear Straight Jeans in Regular, Slim &amp; Husky</t>
  </si>
  <si>
    <t>Med Bleach Whisering</t>
  </si>
  <si>
    <t>765803901342</t>
  </si>
  <si>
    <t>69428348</t>
  </si>
  <si>
    <t>765803902189</t>
  </si>
  <si>
    <t>49703682</t>
  </si>
  <si>
    <t>Jade Indigo</t>
  </si>
  <si>
    <t>765803901410</t>
  </si>
  <si>
    <t>69428358</t>
  </si>
  <si>
    <t>765803902196</t>
  </si>
  <si>
    <t>49703683</t>
  </si>
  <si>
    <t>765803902257</t>
  </si>
  <si>
    <t>49703689</t>
  </si>
  <si>
    <t>765803901502</t>
  </si>
  <si>
    <t>69428418</t>
  </si>
  <si>
    <t>765803902325</t>
  </si>
  <si>
    <t>78201963</t>
  </si>
  <si>
    <t>765803901557</t>
  </si>
  <si>
    <t>67313551</t>
  </si>
  <si>
    <t>765803973592</t>
  </si>
  <si>
    <t>29543947</t>
  </si>
  <si>
    <t>Light Medium</t>
  </si>
  <si>
    <t>765803901670</t>
  </si>
  <si>
    <t>67313569</t>
  </si>
  <si>
    <t>196064336596</t>
  </si>
  <si>
    <t>71783814</t>
  </si>
  <si>
    <t>6142571</t>
  </si>
  <si>
    <t>totes Double Slalom Girls' Winter Boots</t>
  </si>
  <si>
    <t>Sand</t>
  </si>
  <si>
    <t>12 MED</t>
  </si>
  <si>
    <t>196064336602</t>
  </si>
  <si>
    <t>71783815</t>
  </si>
  <si>
    <t>13 MED</t>
  </si>
  <si>
    <t>196064336619</t>
  </si>
  <si>
    <t>71783816</t>
  </si>
  <si>
    <t>1 MED</t>
  </si>
  <si>
    <t>196064336626</t>
  </si>
  <si>
    <t>71783817</t>
  </si>
  <si>
    <t>2 MED</t>
  </si>
  <si>
    <t>196064336640</t>
  </si>
  <si>
    <t>71783824</t>
  </si>
  <si>
    <t>4 MED</t>
  </si>
  <si>
    <t>196064336657</t>
  </si>
  <si>
    <t>71783825</t>
  </si>
  <si>
    <t>5 MED</t>
  </si>
  <si>
    <t>196064336664</t>
  </si>
  <si>
    <t>71783826</t>
  </si>
  <si>
    <t>6 MED</t>
  </si>
  <si>
    <t>196219889212</t>
  </si>
  <si>
    <t>78608773</t>
  </si>
  <si>
    <t>6055160</t>
  </si>
  <si>
    <t>Boys 8-20 adidas Lifestyle Jacket</t>
  </si>
  <si>
    <t>Gray Five</t>
  </si>
  <si>
    <t>196219889267</t>
  </si>
  <si>
    <t>78608779</t>
  </si>
  <si>
    <t>196219889274</t>
  </si>
  <si>
    <t>78608780</t>
  </si>
  <si>
    <t>196219889229</t>
  </si>
  <si>
    <t>78608774</t>
  </si>
  <si>
    <t>196219889281</t>
  </si>
  <si>
    <t>78608781</t>
  </si>
  <si>
    <t>196219889236</t>
  </si>
  <si>
    <t>78608775</t>
  </si>
  <si>
    <t>196219889298</t>
  </si>
  <si>
    <t>78608782</t>
  </si>
  <si>
    <t>196219889243</t>
  </si>
  <si>
    <t>78608776</t>
  </si>
  <si>
    <t>400587197917</t>
  </si>
  <si>
    <t>58719791</t>
  </si>
  <si>
    <t>6515350</t>
  </si>
  <si>
    <t>Girls 7-16 SO® Cargo Denim Skirt</t>
  </si>
  <si>
    <t>Desert Canopy</t>
  </si>
  <si>
    <t>400478137251</t>
  </si>
  <si>
    <t>47813725</t>
  </si>
  <si>
    <t>400478137367</t>
  </si>
  <si>
    <t>47813736</t>
  </si>
  <si>
    <t>400587197962</t>
  </si>
  <si>
    <t>58719796</t>
  </si>
  <si>
    <t>400477930679</t>
  </si>
  <si>
    <t>47793067</t>
  </si>
  <si>
    <t>400587197894</t>
  </si>
  <si>
    <t>58719789</t>
  </si>
  <si>
    <t>400587197900</t>
  </si>
  <si>
    <t>58719790</t>
  </si>
  <si>
    <t>400477930747</t>
  </si>
  <si>
    <t>47793074</t>
  </si>
  <si>
    <t>400587197924</t>
  </si>
  <si>
    <t>58719792</t>
  </si>
  <si>
    <t>400478137268</t>
  </si>
  <si>
    <t>47813726</t>
  </si>
  <si>
    <t>400587197931</t>
  </si>
  <si>
    <t>58719793</t>
  </si>
  <si>
    <t>400478137275</t>
  </si>
  <si>
    <t>47813727</t>
  </si>
  <si>
    <t>400478137343</t>
  </si>
  <si>
    <t>47813734</t>
  </si>
  <si>
    <t>400587197948</t>
  </si>
  <si>
    <t>58719794</t>
  </si>
  <si>
    <t>400478137350</t>
  </si>
  <si>
    <t>47813735</t>
  </si>
  <si>
    <t>400587197955</t>
  </si>
  <si>
    <t>58719795</t>
  </si>
  <si>
    <t>400478137374</t>
  </si>
  <si>
    <t>47813737</t>
  </si>
  <si>
    <t>400587197979</t>
  </si>
  <si>
    <t>58719797</t>
  </si>
  <si>
    <t>400465469129</t>
  </si>
  <si>
    <t>46546912</t>
  </si>
  <si>
    <t>12 PLUS</t>
  </si>
  <si>
    <t>400724413450</t>
  </si>
  <si>
    <t>72441345</t>
  </si>
  <si>
    <t>400465469136</t>
  </si>
  <si>
    <t>46546913</t>
  </si>
  <si>
    <t>400724413467</t>
  </si>
  <si>
    <t>72441346</t>
  </si>
  <si>
    <t>400724413474</t>
  </si>
  <si>
    <t>72441347</t>
  </si>
  <si>
    <t>400465469143</t>
  </si>
  <si>
    <t>46546914</t>
  </si>
  <si>
    <t>400724413481</t>
  </si>
  <si>
    <t>72441348</t>
  </si>
  <si>
    <t>400465469150</t>
  </si>
  <si>
    <t>46546915</t>
  </si>
  <si>
    <t>400724413535</t>
  </si>
  <si>
    <t>72441353</t>
  </si>
  <si>
    <t>400465469167</t>
  </si>
  <si>
    <t>46546916</t>
  </si>
  <si>
    <t>400202630379</t>
  </si>
  <si>
    <t>20263037</t>
  </si>
  <si>
    <t>5587646</t>
  </si>
  <si>
    <t>Baby &amp; Toddler Girl Jumping Beans® Pull-On Jeggings</t>
  </si>
  <si>
    <t>Strawberry Pretzel</t>
  </si>
  <si>
    <t>084971694253</t>
  </si>
  <si>
    <t>62390121</t>
  </si>
  <si>
    <t>4913208</t>
  </si>
  <si>
    <t>Men's Grand Slam Classic-Fit DriFlow Double-Pleated Expandable Waistband Performance Golf Pants</t>
  </si>
  <si>
    <t>084971685626</t>
  </si>
  <si>
    <t>62390073</t>
  </si>
  <si>
    <t>084971685411</t>
  </si>
  <si>
    <t>62390022</t>
  </si>
  <si>
    <t>084971694260</t>
  </si>
  <si>
    <t>62390130</t>
  </si>
  <si>
    <t>084971685701</t>
  </si>
  <si>
    <t>62390080</t>
  </si>
  <si>
    <t>084971685497</t>
  </si>
  <si>
    <t>62390023</t>
  </si>
  <si>
    <t>084971694345</t>
  </si>
  <si>
    <t>62390131</t>
  </si>
  <si>
    <t>084971685640</t>
  </si>
  <si>
    <t>62390091</t>
  </si>
  <si>
    <t>084971685435</t>
  </si>
  <si>
    <t>62390033</t>
  </si>
  <si>
    <t>084971694284</t>
  </si>
  <si>
    <t>62390141</t>
  </si>
  <si>
    <t>084971685725</t>
  </si>
  <si>
    <t>62390092</t>
  </si>
  <si>
    <t>084971685510</t>
  </si>
  <si>
    <t>62390040</t>
  </si>
  <si>
    <t>084971694369</t>
  </si>
  <si>
    <t>62390142</t>
  </si>
  <si>
    <t>084971685589</t>
  </si>
  <si>
    <t>62390041</t>
  </si>
  <si>
    <t>084971694437</t>
  </si>
  <si>
    <t>62390143</t>
  </si>
  <si>
    <t>084971685527</t>
  </si>
  <si>
    <t>62390043</t>
  </si>
  <si>
    <t>084971694376</t>
  </si>
  <si>
    <t>62390151</t>
  </si>
  <si>
    <t>084971685732</t>
  </si>
  <si>
    <t>62390100</t>
  </si>
  <si>
    <t>084971685596</t>
  </si>
  <si>
    <t>62390050</t>
  </si>
  <si>
    <t>084971694444</t>
  </si>
  <si>
    <t>62390152</t>
  </si>
  <si>
    <t>084971685800</t>
  </si>
  <si>
    <t>62390101</t>
  </si>
  <si>
    <t>084971694307</t>
  </si>
  <si>
    <t>62390153</t>
  </si>
  <si>
    <t>084971694383</t>
  </si>
  <si>
    <t>62390160</t>
  </si>
  <si>
    <t>084971694451</t>
  </si>
  <si>
    <t>62390161</t>
  </si>
  <si>
    <t>38X34</t>
  </si>
  <si>
    <t>195365506097</t>
  </si>
  <si>
    <t>55593308</t>
  </si>
  <si>
    <t>6119594</t>
  </si>
  <si>
    <t>Boys 4-20 ZeroXposur Avenger 3-in-1 Systems Heavyweight Jacket</t>
  </si>
  <si>
    <t>195365530276</t>
  </si>
  <si>
    <t>55593306</t>
  </si>
  <si>
    <t>Freeze</t>
  </si>
  <si>
    <t>195365506103</t>
  </si>
  <si>
    <t>55593309</t>
  </si>
  <si>
    <t>869</t>
  </si>
  <si>
    <t>195365530283</t>
  </si>
  <si>
    <t>55593307</t>
  </si>
  <si>
    <t>790</t>
  </si>
  <si>
    <t>195365503638</t>
  </si>
  <si>
    <t>55593304</t>
  </si>
  <si>
    <t>195365503645</t>
  </si>
  <si>
    <t>55593305</t>
  </si>
  <si>
    <t>Women's Tommy Hilfiger Diamond Quilt Puffer Coat</t>
  </si>
  <si>
    <t>196095544076</t>
  </si>
  <si>
    <t>80167646</t>
  </si>
  <si>
    <t>6536337</t>
  </si>
  <si>
    <t>Girls 6-20 SO® Open Front Cardigan in Regular &amp; Plus Size</t>
  </si>
  <si>
    <t>Denim Flare</t>
  </si>
  <si>
    <t>196095544083</t>
  </si>
  <si>
    <t>80167647</t>
  </si>
  <si>
    <t>196095544090</t>
  </si>
  <si>
    <t>80167648</t>
  </si>
  <si>
    <t>196095544113</t>
  </si>
  <si>
    <t>80167656</t>
  </si>
  <si>
    <t>196095544229</t>
  </si>
  <si>
    <t>29826862</t>
  </si>
  <si>
    <t>196095544236</t>
  </si>
  <si>
    <t>29826863</t>
  </si>
  <si>
    <t>196095544243</t>
  </si>
  <si>
    <t>29826864</t>
  </si>
  <si>
    <t>196095544250</t>
  </si>
  <si>
    <t>29826867</t>
  </si>
  <si>
    <t>196095544205</t>
  </si>
  <si>
    <t>29826860</t>
  </si>
  <si>
    <t>Egret</t>
  </si>
  <si>
    <t>196095544267</t>
  </si>
  <si>
    <t>29826868</t>
  </si>
  <si>
    <t>196095544212</t>
  </si>
  <si>
    <t>29826861</t>
  </si>
  <si>
    <t>825664321342</t>
  </si>
  <si>
    <t>81916879</t>
  </si>
  <si>
    <t>5677033</t>
  </si>
  <si>
    <t>Toddler Girl Nike Snowtime Hoodie &amp; Leggings Set</t>
  </si>
  <si>
    <t>Light Bone</t>
  </si>
  <si>
    <t>400281817081</t>
  </si>
  <si>
    <t>28181708</t>
  </si>
  <si>
    <t>1672</t>
  </si>
  <si>
    <t>6290247</t>
  </si>
  <si>
    <t>Women's Sonoma Goods For Life® Ribbed Long Sleeve Henley</t>
  </si>
  <si>
    <t>400281817166</t>
  </si>
  <si>
    <t>28181716</t>
  </si>
  <si>
    <t>Peanut Shell</t>
  </si>
  <si>
    <t>400281817098</t>
  </si>
  <si>
    <t>28181709</t>
  </si>
  <si>
    <t>028266914084</t>
  </si>
  <si>
    <t>55919221</t>
  </si>
  <si>
    <t>Plus Size Miss Elaine Essentials Silky Knit Short Gown</t>
  </si>
  <si>
    <t>197567005460</t>
  </si>
  <si>
    <t>30008154</t>
  </si>
  <si>
    <t>197567012918</t>
  </si>
  <si>
    <t>37640927</t>
  </si>
  <si>
    <t>197567005491</t>
  </si>
  <si>
    <t>78822376</t>
  </si>
  <si>
    <t>028266914053</t>
  </si>
  <si>
    <t>55919191</t>
  </si>
  <si>
    <t>Peri Floral</t>
  </si>
  <si>
    <t>197567005521</t>
  </si>
  <si>
    <t>78822380</t>
  </si>
  <si>
    <t>197567005439</t>
  </si>
  <si>
    <t>30008144</t>
  </si>
  <si>
    <t>028266914060</t>
  </si>
  <si>
    <t>55919201</t>
  </si>
  <si>
    <t>197567005507</t>
  </si>
  <si>
    <t>78822378</t>
  </si>
  <si>
    <t>197567005477</t>
  </si>
  <si>
    <t>30008156</t>
  </si>
  <si>
    <t>197567012925</t>
  </si>
  <si>
    <t>37640934</t>
  </si>
  <si>
    <t>197567005538</t>
  </si>
  <si>
    <t>78822381</t>
  </si>
  <si>
    <t>197567005446</t>
  </si>
  <si>
    <t>30008146</t>
  </si>
  <si>
    <t>028266914091</t>
  </si>
  <si>
    <t>55919231</t>
  </si>
  <si>
    <t>028266914107</t>
  </si>
  <si>
    <t>55919241</t>
  </si>
  <si>
    <t>197567005453</t>
  </si>
  <si>
    <t>30008153</t>
  </si>
  <si>
    <t>197567005514</t>
  </si>
  <si>
    <t>78822379</t>
  </si>
  <si>
    <t>028266900636</t>
  </si>
  <si>
    <t>76792731</t>
  </si>
  <si>
    <t>197567012932</t>
  </si>
  <si>
    <t>37640935</t>
  </si>
  <si>
    <t>028266914077</t>
  </si>
  <si>
    <t>55919211</t>
  </si>
  <si>
    <t>028266900667</t>
  </si>
  <si>
    <t>76792735</t>
  </si>
  <si>
    <t>197567005545</t>
  </si>
  <si>
    <t>78822382</t>
  </si>
  <si>
    <t>197567005484</t>
  </si>
  <si>
    <t>30008163</t>
  </si>
  <si>
    <t>400702940855</t>
  </si>
  <si>
    <t>70294085</t>
  </si>
  <si>
    <t>6493948</t>
  </si>
  <si>
    <t>Petite Sonoma Goods For Life® Utility Bomber Jacket</t>
  </si>
  <si>
    <t>Manolo Olive</t>
  </si>
  <si>
    <t>400702940756</t>
  </si>
  <si>
    <t>70294075</t>
  </si>
  <si>
    <t>Hard Maple</t>
  </si>
  <si>
    <t>400182162365</t>
  </si>
  <si>
    <t>18216236</t>
  </si>
  <si>
    <t>Black Ore</t>
  </si>
  <si>
    <t>400702940763</t>
  </si>
  <si>
    <t>70294076</t>
  </si>
  <si>
    <t>400702940862</t>
  </si>
  <si>
    <t>70294086</t>
  </si>
  <si>
    <t>400182162372</t>
  </si>
  <si>
    <t>18216237</t>
  </si>
  <si>
    <t>400702940879</t>
  </si>
  <si>
    <t>70294087</t>
  </si>
  <si>
    <t>400702940770</t>
  </si>
  <si>
    <t>70294077</t>
  </si>
  <si>
    <t>400182162389</t>
  </si>
  <si>
    <t>18216238</t>
  </si>
  <si>
    <t>400702940787</t>
  </si>
  <si>
    <t>70294078</t>
  </si>
  <si>
    <t>400702940886</t>
  </si>
  <si>
    <t>70294088</t>
  </si>
  <si>
    <t>400182162396</t>
  </si>
  <si>
    <t>18216239</t>
  </si>
  <si>
    <t>400182162402</t>
  </si>
  <si>
    <t>18216240</t>
  </si>
  <si>
    <t>400702940831</t>
  </si>
  <si>
    <t>70294083</t>
  </si>
  <si>
    <t>400702940930</t>
  </si>
  <si>
    <t>70294093</t>
  </si>
  <si>
    <t>196219889410</t>
  </si>
  <si>
    <t>46911380</t>
  </si>
  <si>
    <t>6062124</t>
  </si>
  <si>
    <t>Boys 8-20 adidas Essential Heather Fleece Hooded Jacket</t>
  </si>
  <si>
    <t>Charcoal Gray Heather</t>
  </si>
  <si>
    <t>196219889427</t>
  </si>
  <si>
    <t>46911381</t>
  </si>
  <si>
    <t>195365505670</t>
  </si>
  <si>
    <t>51144570</t>
  </si>
  <si>
    <t>1824</t>
  </si>
  <si>
    <t>6119600</t>
  </si>
  <si>
    <t>Boys 4-20 ZeroXposur Roger Snow Bib</t>
  </si>
  <si>
    <t>195365505687</t>
  </si>
  <si>
    <t>51144571</t>
  </si>
  <si>
    <t>1380</t>
  </si>
  <si>
    <t>043849017211</t>
  </si>
  <si>
    <t>71737997</t>
  </si>
  <si>
    <t>6659935</t>
  </si>
  <si>
    <t>Girls 7-20 Knit Works Short Ruffle Sleeve Square Neck Walk Thru High-Low Maxi Dress in Regular &amp; Plus Size</t>
  </si>
  <si>
    <t>Knit Works</t>
  </si>
  <si>
    <t>Yellow</t>
  </si>
  <si>
    <t>043849017228</t>
  </si>
  <si>
    <t>71738003</t>
  </si>
  <si>
    <t>043849017242</t>
  </si>
  <si>
    <t>71738005</t>
  </si>
  <si>
    <t>043849017259</t>
  </si>
  <si>
    <t>72544784</t>
  </si>
  <si>
    <t>M PLUS</t>
  </si>
  <si>
    <t>043849017266</t>
  </si>
  <si>
    <t>72544785</t>
  </si>
  <si>
    <t>L PLUS</t>
  </si>
  <si>
    <t>043849017280</t>
  </si>
  <si>
    <t>72544787</t>
  </si>
  <si>
    <t>XXL PLUS</t>
  </si>
  <si>
    <t>TOMS Slubby Woven Boys' Alpargata Shoes</t>
  </si>
  <si>
    <t>TOMS</t>
  </si>
  <si>
    <t>Drizzle Gray</t>
  </si>
  <si>
    <t>400181629272</t>
  </si>
  <si>
    <t>18162927</t>
  </si>
  <si>
    <t>7081835</t>
  </si>
  <si>
    <t>LC Lauren Conrad Cintaly Women's Espadrille Flatform Sandals</t>
  </si>
  <si>
    <t>400818923940</t>
  </si>
  <si>
    <t>81892394</t>
  </si>
  <si>
    <t>6241007</t>
  </si>
  <si>
    <t>Boys 8-20 Sonoma Goods For Life® Twill Utility Overshirt in Regular &amp; Husky</t>
  </si>
  <si>
    <t>400818924046</t>
  </si>
  <si>
    <t>81892404</t>
  </si>
  <si>
    <t>400818923957</t>
  </si>
  <si>
    <t>81892395</t>
  </si>
  <si>
    <t>400818924053</t>
  </si>
  <si>
    <t>81892405</t>
  </si>
  <si>
    <t>400818923964</t>
  </si>
  <si>
    <t>81892396</t>
  </si>
  <si>
    <t>400818924060</t>
  </si>
  <si>
    <t>81892406</t>
  </si>
  <si>
    <t>400818923971</t>
  </si>
  <si>
    <t>81892397</t>
  </si>
  <si>
    <t>400818924077</t>
  </si>
  <si>
    <t>81892407</t>
  </si>
  <si>
    <t>400703547299</t>
  </si>
  <si>
    <t>70354729</t>
  </si>
  <si>
    <t>400703547251</t>
  </si>
  <si>
    <t>70354725</t>
  </si>
  <si>
    <t>400703547305</t>
  </si>
  <si>
    <t>70354730</t>
  </si>
  <si>
    <t>400703547268</t>
  </si>
  <si>
    <t>70354726</t>
  </si>
  <si>
    <t>400703547312</t>
  </si>
  <si>
    <t>70354731</t>
  </si>
  <si>
    <t>400703547275</t>
  </si>
  <si>
    <t>70354727</t>
  </si>
  <si>
    <t>400501715739</t>
  </si>
  <si>
    <t>50171573</t>
  </si>
  <si>
    <t>6517852</t>
  </si>
  <si>
    <t>Petite Croft &amp; Barrow® Scallop Neck Midi Shift Dress</t>
  </si>
  <si>
    <t>400725793728</t>
  </si>
  <si>
    <t>72579372</t>
  </si>
  <si>
    <t>Navy White Stripe</t>
  </si>
  <si>
    <t>400725793735</t>
  </si>
  <si>
    <t>72579373</t>
  </si>
  <si>
    <t>400725793742</t>
  </si>
  <si>
    <t>72579374</t>
  </si>
  <si>
    <t>400725793759</t>
  </si>
  <si>
    <t>72579375</t>
  </si>
  <si>
    <t>400725793766</t>
  </si>
  <si>
    <t>72579376</t>
  </si>
  <si>
    <t>400725793773</t>
  </si>
  <si>
    <t>72579377</t>
  </si>
  <si>
    <t>400487360183</t>
  </si>
  <si>
    <t>48736018</t>
  </si>
  <si>
    <t>5005232</t>
  </si>
  <si>
    <t>Boys 4-8 Jumping Beans® Straight Fit Denim Jeans in Regular, Slim &amp; Husky</t>
  </si>
  <si>
    <t>400487360282</t>
  </si>
  <si>
    <t>48736028</t>
  </si>
  <si>
    <t>400487360299</t>
  </si>
  <si>
    <t>48736029</t>
  </si>
  <si>
    <t>400487360329</t>
  </si>
  <si>
    <t>48736032</t>
  </si>
  <si>
    <t>400487360428</t>
  </si>
  <si>
    <t>48736042</t>
  </si>
  <si>
    <t>400188267002</t>
  </si>
  <si>
    <t>18826700</t>
  </si>
  <si>
    <t>4 HUSKY</t>
  </si>
  <si>
    <t>400188267118</t>
  </si>
  <si>
    <t>18826711</t>
  </si>
  <si>
    <t>Boys 8-20 Nike Sportswear Club Fleece Shorts</t>
  </si>
  <si>
    <t>Baltic Blue</t>
  </si>
  <si>
    <t>400806180706</t>
  </si>
  <si>
    <t>80618070</t>
  </si>
  <si>
    <t>6494663</t>
  </si>
  <si>
    <t>Girls 6-16 SO® Adaptive Fleece Jogger Pants</t>
  </si>
  <si>
    <t>400806180669</t>
  </si>
  <si>
    <t>80618066</t>
  </si>
  <si>
    <t>Lilac</t>
  </si>
  <si>
    <t>400806180713</t>
  </si>
  <si>
    <t>80618071</t>
  </si>
  <si>
    <t>400806180676</t>
  </si>
  <si>
    <t>80618067</t>
  </si>
  <si>
    <t>400806180720</t>
  </si>
  <si>
    <t>80618072</t>
  </si>
  <si>
    <t>400806180683</t>
  </si>
  <si>
    <t>80618068</t>
  </si>
  <si>
    <t>400806180737</t>
  </si>
  <si>
    <t>80618073</t>
  </si>
  <si>
    <t>Koolaburra by UGG Girls' Mini Suede Winter Boots</t>
  </si>
  <si>
    <t>195979194086</t>
  </si>
  <si>
    <t>37802354</t>
  </si>
  <si>
    <t>Men's Columbia Lake 22™ Down Jacket</t>
  </si>
  <si>
    <t>Shasta Blue</t>
  </si>
  <si>
    <t>195979194062</t>
  </si>
  <si>
    <t>37802355</t>
  </si>
  <si>
    <t>195979194079</t>
  </si>
  <si>
    <t>37802356</t>
  </si>
  <si>
    <t>195979194109</t>
  </si>
  <si>
    <t>37802357</t>
  </si>
  <si>
    <t>195979194093</t>
  </si>
  <si>
    <t>37802364</t>
  </si>
  <si>
    <t>197505018002</t>
  </si>
  <si>
    <t>83440107</t>
  </si>
  <si>
    <t>6482800</t>
  </si>
  <si>
    <t>Women's Lilac+London Solid Jacquard Chemise</t>
  </si>
  <si>
    <t>197505018019</t>
  </si>
  <si>
    <t>83440108</t>
  </si>
  <si>
    <t>197505018057</t>
  </si>
  <si>
    <t>83440112</t>
  </si>
  <si>
    <t>400735934937</t>
  </si>
  <si>
    <t>73593493</t>
  </si>
  <si>
    <t>6526885</t>
  </si>
  <si>
    <t>Women's LC Lauren Conrad Knit Button Down Layering Cardigan</t>
  </si>
  <si>
    <t>Navy Jumper Stripe</t>
  </si>
  <si>
    <t>400659953564</t>
  </si>
  <si>
    <t>65995356</t>
  </si>
  <si>
    <t>400659953571</t>
  </si>
  <si>
    <t>65995357</t>
  </si>
  <si>
    <t>400659953632</t>
  </si>
  <si>
    <t>65995363</t>
  </si>
  <si>
    <t>400735934975</t>
  </si>
  <si>
    <t>73593497</t>
  </si>
  <si>
    <t>400659953656</t>
  </si>
  <si>
    <t>65995365</t>
  </si>
  <si>
    <t>400659953663</t>
  </si>
  <si>
    <t>65995366</t>
  </si>
  <si>
    <t>400735934982</t>
  </si>
  <si>
    <t>73593498</t>
  </si>
  <si>
    <t>400332151676</t>
  </si>
  <si>
    <t>33215167</t>
  </si>
  <si>
    <t>5241547</t>
  </si>
  <si>
    <t>Big &amp; Tall Sonoma Goods For Life® Seriously Soft Relaxed-Fit Sleep Pants</t>
  </si>
  <si>
    <t>400545634959</t>
  </si>
  <si>
    <t>54563495</t>
  </si>
  <si>
    <t>400294641864</t>
  </si>
  <si>
    <t>29464186</t>
  </si>
  <si>
    <t>400332151683</t>
  </si>
  <si>
    <t>33215168</t>
  </si>
  <si>
    <t>400545634966</t>
  </si>
  <si>
    <t>54563496</t>
  </si>
  <si>
    <t>400294641871</t>
  </si>
  <si>
    <t>29464187</t>
  </si>
  <si>
    <t>400332151775</t>
  </si>
  <si>
    <t>33215177</t>
  </si>
  <si>
    <t>400294641925</t>
  </si>
  <si>
    <t>29464192</t>
  </si>
  <si>
    <t>400545635062</t>
  </si>
  <si>
    <t>54563506</t>
  </si>
  <si>
    <t>400545635048</t>
  </si>
  <si>
    <t>54563504</t>
  </si>
  <si>
    <t>400332151690</t>
  </si>
  <si>
    <t>33215169</t>
  </si>
  <si>
    <t>400294641888</t>
  </si>
  <si>
    <t>29464188</t>
  </si>
  <si>
    <t>400332151768</t>
  </si>
  <si>
    <t>33215176</t>
  </si>
  <si>
    <t>400545635055</t>
  </si>
  <si>
    <t>54563505</t>
  </si>
  <si>
    <t>443</t>
  </si>
  <si>
    <t>400294641895</t>
  </si>
  <si>
    <t>29464189</t>
  </si>
  <si>
    <t>889602811180</t>
  </si>
  <si>
    <t>61526494</t>
  </si>
  <si>
    <t>6638684</t>
  </si>
  <si>
    <t>Women's Simply Vera Vera Wang Sweater Tank Top</t>
  </si>
  <si>
    <t>889602811333</t>
  </si>
  <si>
    <t>58947050</t>
  </si>
  <si>
    <t>White Black Stripe</t>
  </si>
  <si>
    <t>889602811289</t>
  </si>
  <si>
    <t>59079207</t>
  </si>
  <si>
    <t>889602811340</t>
  </si>
  <si>
    <t>58947051</t>
  </si>
  <si>
    <t>889602811227</t>
  </si>
  <si>
    <t>61526498</t>
  </si>
  <si>
    <t>400751637829</t>
  </si>
  <si>
    <t>75163782</t>
  </si>
  <si>
    <t>6482353</t>
  </si>
  <si>
    <t>Boys 8-20 Sonoma Goods For Life® Full Zip Hoodie in Regular &amp; Husky</t>
  </si>
  <si>
    <t>400751637836</t>
  </si>
  <si>
    <t>75163783</t>
  </si>
  <si>
    <t>Barracuda</t>
  </si>
  <si>
    <t>400736579014</t>
  </si>
  <si>
    <t>73657901</t>
  </si>
  <si>
    <t>400736578925</t>
  </si>
  <si>
    <t>73657892</t>
  </si>
  <si>
    <t>400736578994</t>
  </si>
  <si>
    <t>73657899</t>
  </si>
  <si>
    <t>400736579021</t>
  </si>
  <si>
    <t>73657902</t>
  </si>
  <si>
    <t>400736579090</t>
  </si>
  <si>
    <t>73657909</t>
  </si>
  <si>
    <t>400202370107</t>
  </si>
  <si>
    <t>20237010</t>
  </si>
  <si>
    <t>400202370138</t>
  </si>
  <si>
    <t>20237013</t>
  </si>
  <si>
    <t>400202370114</t>
  </si>
  <si>
    <t>20237011</t>
  </si>
  <si>
    <t>400202370145</t>
  </si>
  <si>
    <t>20237014</t>
  </si>
  <si>
    <t>400202370152</t>
  </si>
  <si>
    <t>20237015</t>
  </si>
  <si>
    <t>195142178073</t>
  </si>
  <si>
    <t>81980976</t>
  </si>
  <si>
    <t>6206343</t>
  </si>
  <si>
    <t>LOL Surprise! Girls' High Top Sneakers</t>
  </si>
  <si>
    <t>Pink Purple</t>
  </si>
  <si>
    <t>195142178103</t>
  </si>
  <si>
    <t>81980985</t>
  </si>
  <si>
    <t>400179262665</t>
  </si>
  <si>
    <t>17926266</t>
  </si>
  <si>
    <t>5263671</t>
  </si>
  <si>
    <t>Big &amp; Tall Sonoma Goods For Life® Flexwear Ripstop Cargo Shorts</t>
  </si>
  <si>
    <t>400551941195</t>
  </si>
  <si>
    <t>55194119</t>
  </si>
  <si>
    <t>400551940891</t>
  </si>
  <si>
    <t>55194089</t>
  </si>
  <si>
    <t>Underwater</t>
  </si>
  <si>
    <t>400551941072</t>
  </si>
  <si>
    <t>55194107</t>
  </si>
  <si>
    <t>400179262672</t>
  </si>
  <si>
    <t>17926267</t>
  </si>
  <si>
    <t>029116532496</t>
  </si>
  <si>
    <t>68942708</t>
  </si>
  <si>
    <t>5815</t>
  </si>
  <si>
    <t>6380976</t>
  </si>
  <si>
    <t>Color Cloud 1000-piece Premium Craft Case</t>
  </si>
  <si>
    <t>Color Cloud</t>
  </si>
  <si>
    <t>400771751024</t>
  </si>
  <si>
    <t>77175102</t>
  </si>
  <si>
    <t>5616417</t>
  </si>
  <si>
    <t>400771751420</t>
  </si>
  <si>
    <t>77175142</t>
  </si>
  <si>
    <t>400771751147</t>
  </si>
  <si>
    <t>77175114</t>
  </si>
  <si>
    <t>400771750348</t>
  </si>
  <si>
    <t>77175034</t>
  </si>
  <si>
    <t>Aqua</t>
  </si>
  <si>
    <t>400771751031</t>
  </si>
  <si>
    <t>77175103</t>
  </si>
  <si>
    <t>400771750393</t>
  </si>
  <si>
    <t>77175039</t>
  </si>
  <si>
    <t>400771751192</t>
  </si>
  <si>
    <t>77175119</t>
  </si>
  <si>
    <t>400557547780</t>
  </si>
  <si>
    <t>55754778</t>
  </si>
  <si>
    <t>Herbal Mist</t>
  </si>
  <si>
    <t>400771750409</t>
  </si>
  <si>
    <t>77175040</t>
  </si>
  <si>
    <t>400771751208</t>
  </si>
  <si>
    <t>77175120</t>
  </si>
  <si>
    <t>654</t>
  </si>
  <si>
    <t>400771751499</t>
  </si>
  <si>
    <t>77175149</t>
  </si>
  <si>
    <t>400771751093</t>
  </si>
  <si>
    <t>77175109</t>
  </si>
  <si>
    <t>400771750416</t>
  </si>
  <si>
    <t>77175041</t>
  </si>
  <si>
    <t>400750062769</t>
  </si>
  <si>
    <t>75006276</t>
  </si>
  <si>
    <t>6616467</t>
  </si>
  <si>
    <t>Juniors' SO® Oversized Button Down Shirt</t>
  </si>
  <si>
    <t>Maria Pink</t>
  </si>
  <si>
    <t>400521492856</t>
  </si>
  <si>
    <t>52149285</t>
  </si>
  <si>
    <t>Blue White Stripe</t>
  </si>
  <si>
    <t>400750062776</t>
  </si>
  <si>
    <t>75006277</t>
  </si>
  <si>
    <t>400521492863</t>
  </si>
  <si>
    <t>52149286</t>
  </si>
  <si>
    <t>400521492870</t>
  </si>
  <si>
    <t>52149287</t>
  </si>
  <si>
    <t>400750062783</t>
  </si>
  <si>
    <t>75006278</t>
  </si>
  <si>
    <t>400750062790</t>
  </si>
  <si>
    <t>75006279</t>
  </si>
  <si>
    <t>400521492948</t>
  </si>
  <si>
    <t>52149294</t>
  </si>
  <si>
    <t>400750062806</t>
  </si>
  <si>
    <t>75006280</t>
  </si>
  <si>
    <t>400521492955</t>
  </si>
  <si>
    <t>52149295</t>
  </si>
  <si>
    <t>196572987853</t>
  </si>
  <si>
    <t>47690844</t>
  </si>
  <si>
    <t>732</t>
  </si>
  <si>
    <t>6081402</t>
  </si>
  <si>
    <t>196572987846</t>
  </si>
  <si>
    <t>47690845</t>
  </si>
  <si>
    <t>1416</t>
  </si>
  <si>
    <t>196572987839</t>
  </si>
  <si>
    <t>47690846</t>
  </si>
  <si>
    <t>1185</t>
  </si>
  <si>
    <t>196572987860</t>
  </si>
  <si>
    <t>47690847</t>
  </si>
  <si>
    <t>400664562133</t>
  </si>
  <si>
    <t>66456213</t>
  </si>
  <si>
    <t>7081206</t>
  </si>
  <si>
    <t>Women's Nine West High Rise Tapered Pants</t>
  </si>
  <si>
    <t>Black White Blue</t>
  </si>
  <si>
    <t>400703696287</t>
  </si>
  <si>
    <t>70369628</t>
  </si>
  <si>
    <t>400703696294</t>
  </si>
  <si>
    <t>70369629</t>
  </si>
  <si>
    <t>400300672059</t>
  </si>
  <si>
    <t>30067205</t>
  </si>
  <si>
    <t>0 T/L</t>
  </si>
  <si>
    <t>400300672066</t>
  </si>
  <si>
    <t>30067206</t>
  </si>
  <si>
    <t>2 T/L</t>
  </si>
  <si>
    <t>400300672080</t>
  </si>
  <si>
    <t>30067208</t>
  </si>
  <si>
    <t>6 T/L</t>
  </si>
  <si>
    <t>400300672103</t>
  </si>
  <si>
    <t>30067210</t>
  </si>
  <si>
    <t>400300672110</t>
  </si>
  <si>
    <t>30067211</t>
  </si>
  <si>
    <t>400300672127</t>
  </si>
  <si>
    <t>30067212</t>
  </si>
  <si>
    <t>Women's MUK LUKS® Melinda Slippers</t>
  </si>
  <si>
    <t>MUK LUKS</t>
  </si>
  <si>
    <t>196805442210</t>
  </si>
  <si>
    <t>70342459</t>
  </si>
  <si>
    <t>Men's Tommy Hilfiger Essential Crewneck Sweater</t>
  </si>
  <si>
    <t>Dark Sable</t>
  </si>
  <si>
    <t>197232094379</t>
  </si>
  <si>
    <t>47901257</t>
  </si>
  <si>
    <t>Beige Heather</t>
  </si>
  <si>
    <t>197232094362</t>
  </si>
  <si>
    <t>47901264</t>
  </si>
  <si>
    <t>197232094355</t>
  </si>
  <si>
    <t>47901265</t>
  </si>
  <si>
    <t>196805442227</t>
  </si>
  <si>
    <t>70342462</t>
  </si>
  <si>
    <t>197232094386</t>
  </si>
  <si>
    <t>47901266</t>
  </si>
  <si>
    <t>196805442241</t>
  </si>
  <si>
    <t>70342463</t>
  </si>
  <si>
    <t>197232094409</t>
  </si>
  <si>
    <t>47901267</t>
  </si>
  <si>
    <t>Baby Boy Carter's Dinosaur Fleece Hooded Jumpsuit</t>
  </si>
  <si>
    <t>Gray Dino</t>
  </si>
  <si>
    <t>195862000838</t>
  </si>
  <si>
    <t>54672443</t>
  </si>
  <si>
    <t>195862000845</t>
  </si>
  <si>
    <t>54672453</t>
  </si>
  <si>
    <t>400699705857</t>
  </si>
  <si>
    <t>69970585</t>
  </si>
  <si>
    <t>6229706</t>
  </si>
  <si>
    <t>Juniors' SO® Cozy Mock-Neck Sweater</t>
  </si>
  <si>
    <t>400699551140</t>
  </si>
  <si>
    <t>69955114</t>
  </si>
  <si>
    <t>400509042370</t>
  </si>
  <si>
    <t>50904237</t>
  </si>
  <si>
    <t>Light Heather Gray</t>
  </si>
  <si>
    <t>400699705864</t>
  </si>
  <si>
    <t>69970586</t>
  </si>
  <si>
    <t>400699551157</t>
  </si>
  <si>
    <t>69955115</t>
  </si>
  <si>
    <t>400509042387</t>
  </si>
  <si>
    <t>50904238</t>
  </si>
  <si>
    <t>400699551263</t>
  </si>
  <si>
    <t>69955126</t>
  </si>
  <si>
    <t>400699705871</t>
  </si>
  <si>
    <t>69970587</t>
  </si>
  <si>
    <t>400699551270</t>
  </si>
  <si>
    <t>69955127</t>
  </si>
  <si>
    <t>400509042394</t>
  </si>
  <si>
    <t>50904239</t>
  </si>
  <si>
    <t>400699551331</t>
  </si>
  <si>
    <t>69955133</t>
  </si>
  <si>
    <t>400699705932</t>
  </si>
  <si>
    <t>69970593</t>
  </si>
  <si>
    <t>400509042400</t>
  </si>
  <si>
    <t>50904240</t>
  </si>
  <si>
    <t>400699705833</t>
  </si>
  <si>
    <t>69970583</t>
  </si>
  <si>
    <t>400699551348</t>
  </si>
  <si>
    <t>69955134</t>
  </si>
  <si>
    <t>400699705949</t>
  </si>
  <si>
    <t>69970594</t>
  </si>
  <si>
    <t>400509042417</t>
  </si>
  <si>
    <t>50904241</t>
  </si>
  <si>
    <t>400699551232</t>
  </si>
  <si>
    <t>69955123</t>
  </si>
  <si>
    <t>400699551454</t>
  </si>
  <si>
    <t>69955145</t>
  </si>
  <si>
    <t>Florida Pink</t>
  </si>
  <si>
    <t>400509042424</t>
  </si>
  <si>
    <t>50904242</t>
  </si>
  <si>
    <t>028266915692</t>
  </si>
  <si>
    <t>65885792</t>
  </si>
  <si>
    <t>6085406</t>
  </si>
  <si>
    <t>Women's Miss Elaine Essentials Honeycomb Long Gown</t>
  </si>
  <si>
    <t>028266915661</t>
  </si>
  <si>
    <t>65885789</t>
  </si>
  <si>
    <t>028266915708</t>
  </si>
  <si>
    <t>65885793</t>
  </si>
  <si>
    <t>028266915715</t>
  </si>
  <si>
    <t>65885794</t>
  </si>
  <si>
    <t>400334534071</t>
  </si>
  <si>
    <t>33453407</t>
  </si>
  <si>
    <t>5577522</t>
  </si>
  <si>
    <t>Women's Simply Vera Vera Wang High-Rise Ponte Skinny Pants</t>
  </si>
  <si>
    <t>Gray Plaid</t>
  </si>
  <si>
    <t>XS SHORT</t>
  </si>
  <si>
    <t>400807430442</t>
  </si>
  <si>
    <t>80743044</t>
  </si>
  <si>
    <t>Broken Herringbone</t>
  </si>
  <si>
    <t>400731885912</t>
  </si>
  <si>
    <t>73188591</t>
  </si>
  <si>
    <t>Black Pythons</t>
  </si>
  <si>
    <t>400332592288</t>
  </si>
  <si>
    <t>33259228</t>
  </si>
  <si>
    <t>400807430459</t>
  </si>
  <si>
    <t>80743045</t>
  </si>
  <si>
    <t>400731885929</t>
  </si>
  <si>
    <t>73188592</t>
  </si>
  <si>
    <t>283</t>
  </si>
  <si>
    <t>400807430466</t>
  </si>
  <si>
    <t>80743046</t>
  </si>
  <si>
    <t>400731885936</t>
  </si>
  <si>
    <t>73188593</t>
  </si>
  <si>
    <t>400807430497</t>
  </si>
  <si>
    <t>80743049</t>
  </si>
  <si>
    <t>400731885943</t>
  </si>
  <si>
    <t>73188594</t>
  </si>
  <si>
    <t>400807430503</t>
  </si>
  <si>
    <t>80743050</t>
  </si>
  <si>
    <t>400731885950</t>
  </si>
  <si>
    <t>73188595</t>
  </si>
  <si>
    <t>400731885967</t>
  </si>
  <si>
    <t>73188596</t>
  </si>
  <si>
    <t>400334534248</t>
  </si>
  <si>
    <t>33453424</t>
  </si>
  <si>
    <t>195861981336</t>
  </si>
  <si>
    <t>65850356</t>
  </si>
  <si>
    <t>6074460</t>
  </si>
  <si>
    <t>Toddler Boy Carter's 2-Piece Plaid Button-Front Shirt &amp; Pants Set</t>
  </si>
  <si>
    <t>Red Green Plaid</t>
  </si>
  <si>
    <t>195861981343</t>
  </si>
  <si>
    <t>65850357</t>
  </si>
  <si>
    <t>197571060325</t>
  </si>
  <si>
    <t>80342575</t>
  </si>
  <si>
    <t>6431039</t>
  </si>
  <si>
    <t>Toddler Girl Blueberi Boulevard Satin &amp; Glitter Fit and Flare Dress</t>
  </si>
  <si>
    <t>Champagne</t>
  </si>
  <si>
    <t>197571060332</t>
  </si>
  <si>
    <t>80342576</t>
  </si>
  <si>
    <t>197571060349</t>
  </si>
  <si>
    <t>80342577</t>
  </si>
  <si>
    <t>244</t>
  </si>
  <si>
    <t>197571060462</t>
  </si>
  <si>
    <t>80342578</t>
  </si>
  <si>
    <t>548</t>
  </si>
  <si>
    <t>197571060479</t>
  </si>
  <si>
    <t>80342585</t>
  </si>
  <si>
    <t>197571060486</t>
  </si>
  <si>
    <t>80342586</t>
  </si>
  <si>
    <t>195157062060</t>
  </si>
  <si>
    <t>18827963</t>
  </si>
  <si>
    <t>6203220</t>
  </si>
  <si>
    <t>Boys 8-20 Sonoma Goods For Life® Cable Knit Crewneck Sweater</t>
  </si>
  <si>
    <t>195157062107</t>
  </si>
  <si>
    <t>18827967</t>
  </si>
  <si>
    <t>195157062077</t>
  </si>
  <si>
    <t>18827964</t>
  </si>
  <si>
    <t>195157062114</t>
  </si>
  <si>
    <t>18827968</t>
  </si>
  <si>
    <t>195157062084</t>
  </si>
  <si>
    <t>18827965</t>
  </si>
  <si>
    <t>195157062121</t>
  </si>
  <si>
    <t>18827969</t>
  </si>
  <si>
    <t>195157062091</t>
  </si>
  <si>
    <t>18827966</t>
  </si>
  <si>
    <t>195157062138</t>
  </si>
  <si>
    <t>18827970</t>
  </si>
  <si>
    <t>Women's Under Armour Motion Longline Long Sleeve Tee</t>
  </si>
  <si>
    <t>White Halo Gray</t>
  </si>
  <si>
    <t>Boys 8-20 Under Armour Outdoor Mix Logo Long Sleeve Tee</t>
  </si>
  <si>
    <t>196572987686</t>
  </si>
  <si>
    <t>65876877</t>
  </si>
  <si>
    <t>6081405</t>
  </si>
  <si>
    <t>196572987495</t>
  </si>
  <si>
    <t>65876878</t>
  </si>
  <si>
    <t>588</t>
  </si>
  <si>
    <t>196572987297</t>
  </si>
  <si>
    <t>65876879</t>
  </si>
  <si>
    <t>193671455894</t>
  </si>
  <si>
    <t>33265900</t>
  </si>
  <si>
    <t>Big &amp; Tall Dickies Fully Adjustable Double Prong Roller Buckle Belt</t>
  </si>
  <si>
    <t>Dickies</t>
  </si>
  <si>
    <t>XS</t>
  </si>
  <si>
    <t>193671455948</t>
  </si>
  <si>
    <t>33265895</t>
  </si>
  <si>
    <t>195862045624</t>
  </si>
  <si>
    <t>20552896</t>
  </si>
  <si>
    <t>6074436</t>
  </si>
  <si>
    <t>Baby Carter's 2-Piece Grey Dino Hooded Pullover &amp; Pants Set</t>
  </si>
  <si>
    <t>195862045587</t>
  </si>
  <si>
    <t>20552893</t>
  </si>
  <si>
    <t>Women's Under Armour Motion High-Waisted Ankle Leggings</t>
  </si>
  <si>
    <t>400660162191</t>
  </si>
  <si>
    <t>66016219</t>
  </si>
  <si>
    <t>6530635</t>
  </si>
  <si>
    <t>Plus Size Croft &amp; Barrow® Woven Popover Tunic</t>
  </si>
  <si>
    <t>Pink Furnish Stripe</t>
  </si>
  <si>
    <t>400660161897</t>
  </si>
  <si>
    <t>66016189</t>
  </si>
  <si>
    <t>Lt Lilac Basic Stripe</t>
  </si>
  <si>
    <t>400660162016</t>
  </si>
  <si>
    <t>66016201</t>
  </si>
  <si>
    <t>Lt Tan Furnish Stripe</t>
  </si>
  <si>
    <t>400660161903</t>
  </si>
  <si>
    <t>66016190</t>
  </si>
  <si>
    <t>400660162023</t>
  </si>
  <si>
    <t>66016202</t>
  </si>
  <si>
    <t>400660162207</t>
  </si>
  <si>
    <t>66016220</t>
  </si>
  <si>
    <t>400660162092</t>
  </si>
  <si>
    <t>66016209</t>
  </si>
  <si>
    <t>400660161910</t>
  </si>
  <si>
    <t>66016191</t>
  </si>
  <si>
    <t>346</t>
  </si>
  <si>
    <t>400660162214</t>
  </si>
  <si>
    <t>66016221</t>
  </si>
  <si>
    <t>738</t>
  </si>
  <si>
    <t>400660161927</t>
  </si>
  <si>
    <t>66016192</t>
  </si>
  <si>
    <t>400660162108</t>
  </si>
  <si>
    <t>66016210</t>
  </si>
  <si>
    <t>400660162221</t>
  </si>
  <si>
    <t>66016222</t>
  </si>
  <si>
    <t>314</t>
  </si>
  <si>
    <t>400660162290</t>
  </si>
  <si>
    <t>66016229</t>
  </si>
  <si>
    <t>400660161996</t>
  </si>
  <si>
    <t>66016199</t>
  </si>
  <si>
    <t>400660162115</t>
  </si>
  <si>
    <t>66016211</t>
  </si>
  <si>
    <t>400660162009</t>
  </si>
  <si>
    <t>66016200</t>
  </si>
  <si>
    <t>400660162122</t>
  </si>
  <si>
    <t>66016212</t>
  </si>
  <si>
    <t>400660162306</t>
  </si>
  <si>
    <t>66016230</t>
  </si>
  <si>
    <t>400179589908</t>
  </si>
  <si>
    <t>17958990</t>
  </si>
  <si>
    <t>4980526</t>
  </si>
  <si>
    <t>Maternity Sonoma Goods For Life® Essential V-Neck Tee</t>
  </si>
  <si>
    <t>XS-MAT</t>
  </si>
  <si>
    <t>400720054206</t>
  </si>
  <si>
    <t>72005420</t>
  </si>
  <si>
    <t>400720054503</t>
  </si>
  <si>
    <t>72005450</t>
  </si>
  <si>
    <t>530</t>
  </si>
  <si>
    <t>400806382087</t>
  </si>
  <si>
    <t>80638208</t>
  </si>
  <si>
    <t>Dark Blue White Stripe</t>
  </si>
  <si>
    <t>400806359270</t>
  </si>
  <si>
    <t>80635927</t>
  </si>
  <si>
    <t>400806359096</t>
  </si>
  <si>
    <t>80635909</t>
  </si>
  <si>
    <t>400806359454</t>
  </si>
  <si>
    <t>80635945</t>
  </si>
  <si>
    <t>400806359157</t>
  </si>
  <si>
    <t>80635915</t>
  </si>
  <si>
    <t>Wicked Blue</t>
  </si>
  <si>
    <t>400586220272</t>
  </si>
  <si>
    <t>58622027</t>
  </si>
  <si>
    <t>400806359218</t>
  </si>
  <si>
    <t>80635921</t>
  </si>
  <si>
    <t>Pink Theme</t>
  </si>
  <si>
    <t>400179589915</t>
  </si>
  <si>
    <t>17958991</t>
  </si>
  <si>
    <t>S-MAT</t>
  </si>
  <si>
    <t>400720054213</t>
  </si>
  <si>
    <t>72005421</t>
  </si>
  <si>
    <t>763</t>
  </si>
  <si>
    <t>400720054510</t>
  </si>
  <si>
    <t>72005451</t>
  </si>
  <si>
    <t>400806382094</t>
  </si>
  <si>
    <t>80638209</t>
  </si>
  <si>
    <t>327</t>
  </si>
  <si>
    <t>400188327478</t>
  </si>
  <si>
    <t>18832747</t>
  </si>
  <si>
    <t>400806359164</t>
  </si>
  <si>
    <t>80635916</t>
  </si>
  <si>
    <t>400664052733</t>
  </si>
  <si>
    <t>66405273</t>
  </si>
  <si>
    <t>400806359461</t>
  </si>
  <si>
    <t>80635946</t>
  </si>
  <si>
    <t>400806359102</t>
  </si>
  <si>
    <t>80635910</t>
  </si>
  <si>
    <t>400586220289</t>
  </si>
  <si>
    <t>58622028</t>
  </si>
  <si>
    <t>400806359225</t>
  </si>
  <si>
    <t>80635922</t>
  </si>
  <si>
    <t>400720054220</t>
  </si>
  <si>
    <t>72005422</t>
  </si>
  <si>
    <t>M-MAT</t>
  </si>
  <si>
    <t>400179589922</t>
  </si>
  <si>
    <t>17958992</t>
  </si>
  <si>
    <t>400806382100</t>
  </si>
  <si>
    <t>80638210</t>
  </si>
  <si>
    <t>400806359232</t>
  </si>
  <si>
    <t>80635923</t>
  </si>
  <si>
    <t>400806359119</t>
  </si>
  <si>
    <t>80635911</t>
  </si>
  <si>
    <t>400806359171</t>
  </si>
  <si>
    <t>80635917</t>
  </si>
  <si>
    <t>400806359478</t>
  </si>
  <si>
    <t>80635947</t>
  </si>
  <si>
    <t>400720054299</t>
  </si>
  <si>
    <t>72005429</t>
  </si>
  <si>
    <t>L-MAT</t>
  </si>
  <si>
    <t>400179589939</t>
  </si>
  <si>
    <t>17958993</t>
  </si>
  <si>
    <t>1054</t>
  </si>
  <si>
    <t>400806382117</t>
  </si>
  <si>
    <t>80638211</t>
  </si>
  <si>
    <t>400806359188</t>
  </si>
  <si>
    <t>80635918</t>
  </si>
  <si>
    <t>400664052757</t>
  </si>
  <si>
    <t>66405275</t>
  </si>
  <si>
    <t>400806359249</t>
  </si>
  <si>
    <t>80635924</t>
  </si>
  <si>
    <t>400806359126</t>
  </si>
  <si>
    <t>80635912</t>
  </si>
  <si>
    <t>652</t>
  </si>
  <si>
    <t>400806359485</t>
  </si>
  <si>
    <t>80635948</t>
  </si>
  <si>
    <t>400586220302</t>
  </si>
  <si>
    <t>58622030</t>
  </si>
  <si>
    <t>400720054305</t>
  </si>
  <si>
    <t>72005430</t>
  </si>
  <si>
    <t>XL-MAT</t>
  </si>
  <si>
    <t>400179589946</t>
  </si>
  <si>
    <t>17958994</t>
  </si>
  <si>
    <t>1107</t>
  </si>
  <si>
    <t>400806382124</t>
  </si>
  <si>
    <t>80638212</t>
  </si>
  <si>
    <t>400806359195</t>
  </si>
  <si>
    <t>80635919</t>
  </si>
  <si>
    <t>400664052764</t>
  </si>
  <si>
    <t>66405276</t>
  </si>
  <si>
    <t>400806359133</t>
  </si>
  <si>
    <t>80635913</t>
  </si>
  <si>
    <t>453</t>
  </si>
  <si>
    <t>400806359492</t>
  </si>
  <si>
    <t>80635949</t>
  </si>
  <si>
    <t>400179589953</t>
  </si>
  <si>
    <t>17958995</t>
  </si>
  <si>
    <t>637</t>
  </si>
  <si>
    <t>XXL-MAT</t>
  </si>
  <si>
    <t>400806382131</t>
  </si>
  <si>
    <t>80638213</t>
  </si>
  <si>
    <t>400188327515</t>
  </si>
  <si>
    <t>18832751</t>
  </si>
  <si>
    <t>400806359140</t>
  </si>
  <si>
    <t>80635914</t>
  </si>
  <si>
    <t>513</t>
  </si>
  <si>
    <t>400806359201</t>
  </si>
  <si>
    <t>80635920</t>
  </si>
  <si>
    <t>400806359508</t>
  </si>
  <si>
    <t>80635950</t>
  </si>
  <si>
    <t>400664052771</t>
  </si>
  <si>
    <t>66405277</t>
  </si>
  <si>
    <t>400806359263</t>
  </si>
  <si>
    <t>80635926</t>
  </si>
  <si>
    <t>400586220388</t>
  </si>
  <si>
    <t>58622038</t>
  </si>
  <si>
    <t>196953308406</t>
  </si>
  <si>
    <t>44163989</t>
  </si>
  <si>
    <t>Men's Eddie Bauer Voyager Long Sleeve Button-Down Shirt</t>
  </si>
  <si>
    <t>Eddie Bauer</t>
  </si>
  <si>
    <t>Peakblue</t>
  </si>
  <si>
    <t>196953710315</t>
  </si>
  <si>
    <t>44163990</t>
  </si>
  <si>
    <t>196953643118</t>
  </si>
  <si>
    <t>44163992</t>
  </si>
  <si>
    <t>197571058995</t>
  </si>
  <si>
    <t>80342587</t>
  </si>
  <si>
    <t>6431042</t>
  </si>
  <si>
    <t>Toddler Girl Blueberi Boulevard Lace Fit and Flare Wrap Dress</t>
  </si>
  <si>
    <t>197571059008</t>
  </si>
  <si>
    <t>80342588</t>
  </si>
  <si>
    <t>197571059015</t>
  </si>
  <si>
    <t>80342595</t>
  </si>
  <si>
    <t>197571059121</t>
  </si>
  <si>
    <t>80342596</t>
  </si>
  <si>
    <t>371</t>
  </si>
  <si>
    <t>197571059138</t>
  </si>
  <si>
    <t>80342597</t>
  </si>
  <si>
    <t>197571059145</t>
  </si>
  <si>
    <t>80342598</t>
  </si>
  <si>
    <t>400701017084</t>
  </si>
  <si>
    <t>70101708</t>
  </si>
  <si>
    <t>6615310</t>
  </si>
  <si>
    <t>Women's LC Lauren Conrad Ruched Front Bodysuit</t>
  </si>
  <si>
    <t>Mineral Navy</t>
  </si>
  <si>
    <t>400701016483</t>
  </si>
  <si>
    <t>70101648</t>
  </si>
  <si>
    <t>Ivory Tusk</t>
  </si>
  <si>
    <t>400748460898</t>
  </si>
  <si>
    <t>74846089</t>
  </si>
  <si>
    <t>Navy Disco Dots</t>
  </si>
  <si>
    <t>400748460904</t>
  </si>
  <si>
    <t>74846090</t>
  </si>
  <si>
    <t>400701017183</t>
  </si>
  <si>
    <t>70101718</t>
  </si>
  <si>
    <t>400701016582</t>
  </si>
  <si>
    <t>70101658</t>
  </si>
  <si>
    <t>400701015981</t>
  </si>
  <si>
    <t>70101598</t>
  </si>
  <si>
    <t>Kaia Pink</t>
  </si>
  <si>
    <t>400701017282</t>
  </si>
  <si>
    <t>70101728</t>
  </si>
  <si>
    <t>400701016087</t>
  </si>
  <si>
    <t>70101608</t>
  </si>
  <si>
    <t>400748460911</t>
  </si>
  <si>
    <t>74846091</t>
  </si>
  <si>
    <t>400701016681</t>
  </si>
  <si>
    <t>70101668</t>
  </si>
  <si>
    <t>400701016186</t>
  </si>
  <si>
    <t>70101618</t>
  </si>
  <si>
    <t>400748460928</t>
  </si>
  <si>
    <t>74846092</t>
  </si>
  <si>
    <t>400701017381</t>
  </si>
  <si>
    <t>70101738</t>
  </si>
  <si>
    <t>400701016780</t>
  </si>
  <si>
    <t>70101678</t>
  </si>
  <si>
    <t>400701017480</t>
  </si>
  <si>
    <t>70101748</t>
  </si>
  <si>
    <t>400701016285</t>
  </si>
  <si>
    <t>70101628</t>
  </si>
  <si>
    <t>400748460935</t>
  </si>
  <si>
    <t>74846093</t>
  </si>
  <si>
    <t>400701016889</t>
  </si>
  <si>
    <t>70101688</t>
  </si>
  <si>
    <t>400748460942</t>
  </si>
  <si>
    <t>74846094</t>
  </si>
  <si>
    <t>400701017589</t>
  </si>
  <si>
    <t>70101758</t>
  </si>
  <si>
    <t>400701016384</t>
  </si>
  <si>
    <t>70101638</t>
  </si>
  <si>
    <t>400701016988</t>
  </si>
  <si>
    <t>70101698</t>
  </si>
  <si>
    <t>400503261371</t>
  </si>
  <si>
    <t>50326137</t>
  </si>
  <si>
    <t>6530439</t>
  </si>
  <si>
    <t>Girls 6-12 SO® Adaptive Cargo Jogger Pants</t>
  </si>
  <si>
    <t>400503261463</t>
  </si>
  <si>
    <t>50326146</t>
  </si>
  <si>
    <t>Vibrant Lilac</t>
  </si>
  <si>
    <t>400503261319</t>
  </si>
  <si>
    <t>50326131</t>
  </si>
  <si>
    <t>400503261401</t>
  </si>
  <si>
    <t>50326140</t>
  </si>
  <si>
    <t>400503261425</t>
  </si>
  <si>
    <t>50326142</t>
  </si>
  <si>
    <t>400503261333</t>
  </si>
  <si>
    <t>50326133</t>
  </si>
  <si>
    <t>400503261340</t>
  </si>
  <si>
    <t>50326134</t>
  </si>
  <si>
    <t>400503261432</t>
  </si>
  <si>
    <t>50326143</t>
  </si>
  <si>
    <t>400503261449</t>
  </si>
  <si>
    <t>50326144</t>
  </si>
  <si>
    <t>400503261364</t>
  </si>
  <si>
    <t>50326136</t>
  </si>
  <si>
    <t>400503261456</t>
  </si>
  <si>
    <t>50326145</t>
  </si>
  <si>
    <t>400503261388</t>
  </si>
  <si>
    <t>50326138</t>
  </si>
  <si>
    <t>400503261470</t>
  </si>
  <si>
    <t>50326147</t>
  </si>
  <si>
    <t>400581846422</t>
  </si>
  <si>
    <t>58184642</t>
  </si>
  <si>
    <t>5703027</t>
  </si>
  <si>
    <t>Men's Sonoma Goods For Life® 10&amp;#34; Everyday Cargo Shorts</t>
  </si>
  <si>
    <t>Wood Grain</t>
  </si>
  <si>
    <t>28 10 IN</t>
  </si>
  <si>
    <t>400726122534</t>
  </si>
  <si>
    <t>72612253</t>
  </si>
  <si>
    <t>400581846439</t>
  </si>
  <si>
    <t>58184643</t>
  </si>
  <si>
    <t>29 10 IN</t>
  </si>
  <si>
    <t>400726122541</t>
  </si>
  <si>
    <t>72612254</t>
  </si>
  <si>
    <t>Juniors' Plus Size WallFlower Insta Stretch Legendary Slim Belted Bootcut Jeans</t>
  </si>
  <si>
    <t>193769730759</t>
  </si>
  <si>
    <t>68675592</t>
  </si>
  <si>
    <t>Ashlyn</t>
  </si>
  <si>
    <t>193769730766</t>
  </si>
  <si>
    <t>68675593</t>
  </si>
  <si>
    <t>193769730773</t>
  </si>
  <si>
    <t>68675594</t>
  </si>
  <si>
    <t>193769730780</t>
  </si>
  <si>
    <t>68675595</t>
  </si>
  <si>
    <t>043475124918</t>
  </si>
  <si>
    <t>71677884</t>
  </si>
  <si>
    <t>5971438</t>
  </si>
  <si>
    <t>Girls 4-12 Jacques Moret Dance Rhinestone Tank Top Skirtall</t>
  </si>
  <si>
    <t>Jacques Moret</t>
  </si>
  <si>
    <t>043475124949</t>
  </si>
  <si>
    <t>65100819</t>
  </si>
  <si>
    <t>043475125786</t>
  </si>
  <si>
    <t>65100822</t>
  </si>
  <si>
    <t>Powder Pink</t>
  </si>
  <si>
    <t>Girls 7-16 adidas Cozy Sherpa Hoodie</t>
  </si>
  <si>
    <t>400716803146</t>
  </si>
  <si>
    <t>71680314</t>
  </si>
  <si>
    <t>6870229</t>
  </si>
  <si>
    <t>Juniors' SO® Cropped Pleated Front Shirt</t>
  </si>
  <si>
    <t>400716803153</t>
  </si>
  <si>
    <t>71680315</t>
  </si>
  <si>
    <t>400716803160</t>
  </si>
  <si>
    <t>71680316</t>
  </si>
  <si>
    <t>400716803177</t>
  </si>
  <si>
    <t>71680317</t>
  </si>
  <si>
    <t>400513200063</t>
  </si>
  <si>
    <t>51320006</t>
  </si>
  <si>
    <t>400716803238</t>
  </si>
  <si>
    <t>71680323</t>
  </si>
  <si>
    <t>400513200070</t>
  </si>
  <si>
    <t>51320007</t>
  </si>
  <si>
    <t>400513200131</t>
  </si>
  <si>
    <t>51320013</t>
  </si>
  <si>
    <t>400716803245</t>
  </si>
  <si>
    <t>71680324</t>
  </si>
  <si>
    <t>400798646426</t>
  </si>
  <si>
    <t>79864642</t>
  </si>
  <si>
    <t>6518418</t>
  </si>
  <si>
    <t>Plus Size LC Lauren Conrad Button Front Ruffle Blouse</t>
  </si>
  <si>
    <t>400832821949</t>
  </si>
  <si>
    <t>83282194</t>
  </si>
  <si>
    <t>400798646525</t>
  </si>
  <si>
    <t>79864652</t>
  </si>
  <si>
    <t>400191972771</t>
  </si>
  <si>
    <t>19197277</t>
  </si>
  <si>
    <t>400832821956</t>
  </si>
  <si>
    <t>83282195</t>
  </si>
  <si>
    <t>400798646532</t>
  </si>
  <si>
    <t>79864653</t>
  </si>
  <si>
    <t>400798646433</t>
  </si>
  <si>
    <t>79864643</t>
  </si>
  <si>
    <t>400191972788</t>
  </si>
  <si>
    <t>19197278</t>
  </si>
  <si>
    <t>400832821963</t>
  </si>
  <si>
    <t>83282196</t>
  </si>
  <si>
    <t>400798646549</t>
  </si>
  <si>
    <t>79864654</t>
  </si>
  <si>
    <t>400798646440</t>
  </si>
  <si>
    <t>79864644</t>
  </si>
  <si>
    <t>400191972795</t>
  </si>
  <si>
    <t>19197279</t>
  </si>
  <si>
    <t>400832821970</t>
  </si>
  <si>
    <t>83282197</t>
  </si>
  <si>
    <t>400798646594</t>
  </si>
  <si>
    <t>79864659</t>
  </si>
  <si>
    <t>400798646495</t>
  </si>
  <si>
    <t>79864649</t>
  </si>
  <si>
    <t>400191972801</t>
  </si>
  <si>
    <t>19197280</t>
  </si>
  <si>
    <t>400832821987</t>
  </si>
  <si>
    <t>83282198</t>
  </si>
  <si>
    <t>400191972818</t>
  </si>
  <si>
    <t>19197281</t>
  </si>
  <si>
    <t>400798646600</t>
  </si>
  <si>
    <t>79864660</t>
  </si>
  <si>
    <t>400798646501</t>
  </si>
  <si>
    <t>79864650</t>
  </si>
  <si>
    <t>Cra-Z-Art Encanto Enchanted Sparkling Jewelry</t>
  </si>
  <si>
    <t>Cra-Z-Art</t>
  </si>
  <si>
    <t>196050686773</t>
  </si>
  <si>
    <t>45976511</t>
  </si>
  <si>
    <t>6243612</t>
  </si>
  <si>
    <t>SO® Yazminn Women's Knee-High Boots</t>
  </si>
  <si>
    <t>196050686780</t>
  </si>
  <si>
    <t>45976512</t>
  </si>
  <si>
    <t>196050686797</t>
  </si>
  <si>
    <t>45976513</t>
  </si>
  <si>
    <t>196050686803</t>
  </si>
  <si>
    <t>45976515</t>
  </si>
  <si>
    <t>196050686810</t>
  </si>
  <si>
    <t>45976516</t>
  </si>
  <si>
    <t>196050686827</t>
  </si>
  <si>
    <t>45976517</t>
  </si>
  <si>
    <t>196050686834</t>
  </si>
  <si>
    <t>45976518</t>
  </si>
  <si>
    <t>196050686841</t>
  </si>
  <si>
    <t>45976519</t>
  </si>
  <si>
    <t>196050686858</t>
  </si>
  <si>
    <t>45976520</t>
  </si>
  <si>
    <t>504</t>
  </si>
  <si>
    <t>196050686865</t>
  </si>
  <si>
    <t>45976521</t>
  </si>
  <si>
    <t>11 WC</t>
  </si>
  <si>
    <t>400704171776</t>
  </si>
  <si>
    <t>70417177</t>
  </si>
  <si>
    <t>6581720</t>
  </si>
  <si>
    <t>Women's Simply Vera Vera Wang High-Rise Utility Wide Leg Pants</t>
  </si>
  <si>
    <t>Army Bottle</t>
  </si>
  <si>
    <t>400704171837</t>
  </si>
  <si>
    <t>70417183</t>
  </si>
  <si>
    <t>400704171783</t>
  </si>
  <si>
    <t>70417178</t>
  </si>
  <si>
    <t>400704171844</t>
  </si>
  <si>
    <t>70417184</t>
  </si>
  <si>
    <t>400704171790</t>
  </si>
  <si>
    <t>70417179</t>
  </si>
  <si>
    <t>400704171851</t>
  </si>
  <si>
    <t>70417185</t>
  </si>
  <si>
    <t>400704171806</t>
  </si>
  <si>
    <t>70417180</t>
  </si>
  <si>
    <t>400704171868</t>
  </si>
  <si>
    <t>70417186</t>
  </si>
  <si>
    <t>400704171813</t>
  </si>
  <si>
    <t>70417181</t>
  </si>
  <si>
    <t>400704171875</t>
  </si>
  <si>
    <t>70417187</t>
  </si>
  <si>
    <t>400704171882</t>
  </si>
  <si>
    <t>70417188</t>
  </si>
  <si>
    <t>400704171820</t>
  </si>
  <si>
    <t>70417182</t>
  </si>
  <si>
    <t>400579006418</t>
  </si>
  <si>
    <t>57900641</t>
  </si>
  <si>
    <t>400579006319</t>
  </si>
  <si>
    <t>57900631</t>
  </si>
  <si>
    <t>887791728036</t>
  </si>
  <si>
    <t>54755137</t>
  </si>
  <si>
    <t>5583853</t>
  </si>
  <si>
    <t>Men's Nike Sherpa Gloves</t>
  </si>
  <si>
    <t>887791728050</t>
  </si>
  <si>
    <t>61737230</t>
  </si>
  <si>
    <t>400690110162</t>
  </si>
  <si>
    <t>69011016</t>
  </si>
  <si>
    <t>6222371</t>
  </si>
  <si>
    <t>Juniors SO® High Rise Utility Jogger</t>
  </si>
  <si>
    <t>Lawley Olive</t>
  </si>
  <si>
    <t>400738727819</t>
  </si>
  <si>
    <t>73872781</t>
  </si>
  <si>
    <t>400690110179</t>
  </si>
  <si>
    <t>69011017</t>
  </si>
  <si>
    <t>400690110230</t>
  </si>
  <si>
    <t>69011023</t>
  </si>
  <si>
    <t>400690110247</t>
  </si>
  <si>
    <t>69011024</t>
  </si>
  <si>
    <t>Big &amp; Tall adidas Spaceship Boost Graphic Tee</t>
  </si>
  <si>
    <t>Almost Blue</t>
  </si>
  <si>
    <t>195862121342</t>
  </si>
  <si>
    <t>50696235</t>
  </si>
  <si>
    <t>6185344</t>
  </si>
  <si>
    <t>Baby Boy Carter's 3-Piece Outdoor Print Bodysuits &amp; Pant Set</t>
  </si>
  <si>
    <t>PREEMIE</t>
  </si>
  <si>
    <t>195862121335</t>
  </si>
  <si>
    <t>50696236</t>
  </si>
  <si>
    <t>195862121304</t>
  </si>
  <si>
    <t>50696244</t>
  </si>
  <si>
    <t>195862121298</t>
  </si>
  <si>
    <t>50696237</t>
  </si>
  <si>
    <t>195862121311</t>
  </si>
  <si>
    <t>50696245</t>
  </si>
  <si>
    <t>195862121267</t>
  </si>
  <si>
    <t>50696246</t>
  </si>
  <si>
    <t>195862121274</t>
  </si>
  <si>
    <t>50696247</t>
  </si>
  <si>
    <t>195862121281</t>
  </si>
  <si>
    <t>50696254</t>
  </si>
  <si>
    <t>197206097788</t>
  </si>
  <si>
    <t>64274963</t>
  </si>
  <si>
    <t>4921478</t>
  </si>
  <si>
    <t>Big &amp; Tall Men's IZOD Flannel Button Down Shirt</t>
  </si>
  <si>
    <t>IZOD</t>
  </si>
  <si>
    <t>Velvet Maroon</t>
  </si>
  <si>
    <t>197206081381</t>
  </si>
  <si>
    <t>73533065</t>
  </si>
  <si>
    <t>Dull Gold</t>
  </si>
  <si>
    <t>197206082050</t>
  </si>
  <si>
    <t>28138059</t>
  </si>
  <si>
    <t>Ginger Bread</t>
  </si>
  <si>
    <t>197206097344</t>
  </si>
  <si>
    <t>64274956</t>
  </si>
  <si>
    <t>197206082609</t>
  </si>
  <si>
    <t>28138075</t>
  </si>
  <si>
    <t>Bordeaux Wine</t>
  </si>
  <si>
    <t>197206081275</t>
  </si>
  <si>
    <t>78728098</t>
  </si>
  <si>
    <t>197206082272</t>
  </si>
  <si>
    <t>28138067</t>
  </si>
  <si>
    <t>Bright Cobalt</t>
  </si>
  <si>
    <t>197206081831</t>
  </si>
  <si>
    <t>62854890</t>
  </si>
  <si>
    <t>Medieval Blue</t>
  </si>
  <si>
    <t>197206081602</t>
  </si>
  <si>
    <t>62854970</t>
  </si>
  <si>
    <t>Ginger Bread Plaid</t>
  </si>
  <si>
    <t>197206082838</t>
  </si>
  <si>
    <t>83412849</t>
  </si>
  <si>
    <t>Poseidon</t>
  </si>
  <si>
    <t>197206097795</t>
  </si>
  <si>
    <t>64274964</t>
  </si>
  <si>
    <t>197206082067</t>
  </si>
  <si>
    <t>28138061</t>
  </si>
  <si>
    <t>197206081282</t>
  </si>
  <si>
    <t>78728108</t>
  </si>
  <si>
    <t>197206082500</t>
  </si>
  <si>
    <t>83412842</t>
  </si>
  <si>
    <t>Deep Forest</t>
  </si>
  <si>
    <t>197206097351</t>
  </si>
  <si>
    <t>64274957</t>
  </si>
  <si>
    <t>197206082616</t>
  </si>
  <si>
    <t>28138076</t>
  </si>
  <si>
    <t>197206082289</t>
  </si>
  <si>
    <t>28138068</t>
  </si>
  <si>
    <t>197206081619</t>
  </si>
  <si>
    <t>62854971</t>
  </si>
  <si>
    <t>197206081848</t>
  </si>
  <si>
    <t>62854900</t>
  </si>
  <si>
    <t>197206082524</t>
  </si>
  <si>
    <t>28138077</t>
  </si>
  <si>
    <t>197206081190</t>
  </si>
  <si>
    <t>78728118</t>
  </si>
  <si>
    <t>197206097702</t>
  </si>
  <si>
    <t>64274965</t>
  </si>
  <si>
    <t>197206081978</t>
  </si>
  <si>
    <t>28138062</t>
  </si>
  <si>
    <t>197206081305</t>
  </si>
  <si>
    <t>73533067</t>
  </si>
  <si>
    <t>197206082418</t>
  </si>
  <si>
    <t>83412843</t>
  </si>
  <si>
    <t>197206092769</t>
  </si>
  <si>
    <t>64274958</t>
  </si>
  <si>
    <t>197206082197</t>
  </si>
  <si>
    <t>28138069</t>
  </si>
  <si>
    <t>197206081527</t>
  </si>
  <si>
    <t>62854972</t>
  </si>
  <si>
    <t>197206080759</t>
  </si>
  <si>
    <t>62854910</t>
  </si>
  <si>
    <t>197206081084</t>
  </si>
  <si>
    <t>62854953</t>
  </si>
  <si>
    <t>Deep Forest Navy</t>
  </si>
  <si>
    <t>197206081633</t>
  </si>
  <si>
    <t>62854840</t>
  </si>
  <si>
    <t>Dark Black</t>
  </si>
  <si>
    <t>197206082517</t>
  </si>
  <si>
    <t>28138079</t>
  </si>
  <si>
    <t>197206092752</t>
  </si>
  <si>
    <t>64274960</t>
  </si>
  <si>
    <t>197206097696</t>
  </si>
  <si>
    <t>64274967</t>
  </si>
  <si>
    <t>197206082739</t>
  </si>
  <si>
    <t>83412852</t>
  </si>
  <si>
    <t>197206081961</t>
  </si>
  <si>
    <t>28138064</t>
  </si>
  <si>
    <t>197206082401</t>
  </si>
  <si>
    <t>83412845</t>
  </si>
  <si>
    <t>197206082180</t>
  </si>
  <si>
    <t>28138072</t>
  </si>
  <si>
    <t>197206081299</t>
  </si>
  <si>
    <t>73533073</t>
  </si>
  <si>
    <t>197206081183</t>
  </si>
  <si>
    <t>78728138</t>
  </si>
  <si>
    <t>197206080742</t>
  </si>
  <si>
    <t>62854930</t>
  </si>
  <si>
    <t>197206081077</t>
  </si>
  <si>
    <t>62854961</t>
  </si>
  <si>
    <t>197206081626</t>
  </si>
  <si>
    <t>62854860</t>
  </si>
  <si>
    <t>197206081510</t>
  </si>
  <si>
    <t>62854980</t>
  </si>
  <si>
    <t>197206081213</t>
  </si>
  <si>
    <t>78728128</t>
  </si>
  <si>
    <t>197206082548</t>
  </si>
  <si>
    <t>28138078</t>
  </si>
  <si>
    <t>197206097726</t>
  </si>
  <si>
    <t>64274966</t>
  </si>
  <si>
    <t>197206082760</t>
  </si>
  <si>
    <t>83412851</t>
  </si>
  <si>
    <t>197206081992</t>
  </si>
  <si>
    <t>28138063</t>
  </si>
  <si>
    <t>197206081329</t>
  </si>
  <si>
    <t>73533068</t>
  </si>
  <si>
    <t>197206092783</t>
  </si>
  <si>
    <t>64274959</t>
  </si>
  <si>
    <t>197206082432</t>
  </si>
  <si>
    <t>83412844</t>
  </si>
  <si>
    <t>197206082210</t>
  </si>
  <si>
    <t>28138071</t>
  </si>
  <si>
    <t>197206081657</t>
  </si>
  <si>
    <t>62854850</t>
  </si>
  <si>
    <t>197206081541</t>
  </si>
  <si>
    <t>62854973</t>
  </si>
  <si>
    <t>197206081107</t>
  </si>
  <si>
    <t>62854960</t>
  </si>
  <si>
    <t>197206080773</t>
  </si>
  <si>
    <t>62854920</t>
  </si>
  <si>
    <t>197206082531</t>
  </si>
  <si>
    <t>28138081</t>
  </si>
  <si>
    <t>197206082425</t>
  </si>
  <si>
    <t>83412846</t>
  </si>
  <si>
    <t>197206092776</t>
  </si>
  <si>
    <t>64274961</t>
  </si>
  <si>
    <t>197206082753</t>
  </si>
  <si>
    <t>83412853</t>
  </si>
  <si>
    <t>197206097719</t>
  </si>
  <si>
    <t>64274968</t>
  </si>
  <si>
    <t>197206081985</t>
  </si>
  <si>
    <t>28138065</t>
  </si>
  <si>
    <t>197206081206</t>
  </si>
  <si>
    <t>78728148</t>
  </si>
  <si>
    <t>197206081312</t>
  </si>
  <si>
    <t>73533074</t>
  </si>
  <si>
    <t>197206082203</t>
  </si>
  <si>
    <t>28138073</t>
  </si>
  <si>
    <t>339</t>
  </si>
  <si>
    <t>197206081640</t>
  </si>
  <si>
    <t>62854870</t>
  </si>
  <si>
    <t>197206080766</t>
  </si>
  <si>
    <t>62854940</t>
  </si>
  <si>
    <t>197206081091</t>
  </si>
  <si>
    <t>62854962</t>
  </si>
  <si>
    <t>197206081534</t>
  </si>
  <si>
    <t>62854981</t>
  </si>
  <si>
    <t>197206082555</t>
  </si>
  <si>
    <t>28138082</t>
  </si>
  <si>
    <t>197206082449</t>
  </si>
  <si>
    <t>83412847</t>
  </si>
  <si>
    <t>197206081220</t>
  </si>
  <si>
    <t>78728158</t>
  </si>
  <si>
    <t>197206092790</t>
  </si>
  <si>
    <t>64274962</t>
  </si>
  <si>
    <t>197206082777</t>
  </si>
  <si>
    <t>83412854</t>
  </si>
  <si>
    <t>197206097733</t>
  </si>
  <si>
    <t>64274969</t>
  </si>
  <si>
    <t>197206081336</t>
  </si>
  <si>
    <t>73533075</t>
  </si>
  <si>
    <t>197206082227</t>
  </si>
  <si>
    <t>28138074</t>
  </si>
  <si>
    <t>197206082005</t>
  </si>
  <si>
    <t>28138066</t>
  </si>
  <si>
    <t>197206080780</t>
  </si>
  <si>
    <t>62854950</t>
  </si>
  <si>
    <t>197206081558</t>
  </si>
  <si>
    <t>62854982</t>
  </si>
  <si>
    <t>197206081114</t>
  </si>
  <si>
    <t>62854963</t>
  </si>
  <si>
    <t>197206081664</t>
  </si>
  <si>
    <t>62854880</t>
  </si>
  <si>
    <t>191684709430</t>
  </si>
  <si>
    <t>61193219</t>
  </si>
  <si>
    <t>Men's Wrangler ATG Convertible Trail Jogger Pants</t>
  </si>
  <si>
    <t>191684704015</t>
  </si>
  <si>
    <t>64283303</t>
  </si>
  <si>
    <t>Peat</t>
  </si>
  <si>
    <t>191684709508</t>
  </si>
  <si>
    <t>61193224</t>
  </si>
  <si>
    <t>191684709553</t>
  </si>
  <si>
    <t>61193225</t>
  </si>
  <si>
    <t>191684709706</t>
  </si>
  <si>
    <t>61193226</t>
  </si>
  <si>
    <t>191684703865</t>
  </si>
  <si>
    <t>29160232</t>
  </si>
  <si>
    <t>Turbulence</t>
  </si>
  <si>
    <t>191684704060</t>
  </si>
  <si>
    <t>64283306</t>
  </si>
  <si>
    <t>191684699342</t>
  </si>
  <si>
    <t>64283328</t>
  </si>
  <si>
    <t>191684709751</t>
  </si>
  <si>
    <t>61193227</t>
  </si>
  <si>
    <t>191684709904</t>
  </si>
  <si>
    <t>61193228</t>
  </si>
  <si>
    <t>191684699373</t>
  </si>
  <si>
    <t>64283329</t>
  </si>
  <si>
    <t>191684704107</t>
  </si>
  <si>
    <t>64283308</t>
  </si>
  <si>
    <t>191684699397</t>
  </si>
  <si>
    <t>64283330</t>
  </si>
  <si>
    <t>191684709959</t>
  </si>
  <si>
    <t>61193229</t>
  </si>
  <si>
    <t>191684704039</t>
  </si>
  <si>
    <t>29160262</t>
  </si>
  <si>
    <t>191684704121</t>
  </si>
  <si>
    <t>64283309</t>
  </si>
  <si>
    <t>191684699717</t>
  </si>
  <si>
    <t>64283331</t>
  </si>
  <si>
    <t>191684710108</t>
  </si>
  <si>
    <t>61193234</t>
  </si>
  <si>
    <t>40X32</t>
  </si>
  <si>
    <t>40X34</t>
  </si>
  <si>
    <t>191684704220</t>
  </si>
  <si>
    <t>64283314</t>
  </si>
  <si>
    <t>42X30</t>
  </si>
  <si>
    <t>400613593522</t>
  </si>
  <si>
    <t>61359352</t>
  </si>
  <si>
    <t>363</t>
  </si>
  <si>
    <t>4009848</t>
  </si>
  <si>
    <t>Men's Apt. 9® Performance Polo</t>
  </si>
  <si>
    <t>400613593638</t>
  </si>
  <si>
    <t>61359363</t>
  </si>
  <si>
    <t>Berry</t>
  </si>
  <si>
    <t>400613593607</t>
  </si>
  <si>
    <t>61359360</t>
  </si>
  <si>
    <t>400702351187</t>
  </si>
  <si>
    <t>70235118</t>
  </si>
  <si>
    <t>400702350982</t>
  </si>
  <si>
    <t>70235098</t>
  </si>
  <si>
    <t>400702351088</t>
  </si>
  <si>
    <t>70235108</t>
  </si>
  <si>
    <t>400613593539</t>
  </si>
  <si>
    <t>61359353</t>
  </si>
  <si>
    <t>411</t>
  </si>
  <si>
    <t>400613593515</t>
  </si>
  <si>
    <t>61359351</t>
  </si>
  <si>
    <t>400705013556</t>
  </si>
  <si>
    <t>70501355</t>
  </si>
  <si>
    <t>400806497187</t>
  </si>
  <si>
    <t>80649718</t>
  </si>
  <si>
    <t>6458267</t>
  </si>
  <si>
    <t>Women's Simply Vera Vera Wang Tie Front Rolltab Shirt</t>
  </si>
  <si>
    <t>400806497194</t>
  </si>
  <si>
    <t>80649719</t>
  </si>
  <si>
    <t>400715160011</t>
  </si>
  <si>
    <t>71516001</t>
  </si>
  <si>
    <t>400715160134</t>
  </si>
  <si>
    <t>71516013</t>
  </si>
  <si>
    <t>400806497200</t>
  </si>
  <si>
    <t>80649720</t>
  </si>
  <si>
    <t>400715160028</t>
  </si>
  <si>
    <t>71516002</t>
  </si>
  <si>
    <t>400715160141</t>
  </si>
  <si>
    <t>71516014</t>
  </si>
  <si>
    <t>195157062183</t>
  </si>
  <si>
    <t>29889874</t>
  </si>
  <si>
    <t>6203221</t>
  </si>
  <si>
    <t>Boys 8-20 Sonoma Goods For Life® Mockneck Quarter Button Sweater</t>
  </si>
  <si>
    <t>195157062145</t>
  </si>
  <si>
    <t>69920785</t>
  </si>
  <si>
    <t>195157062190</t>
  </si>
  <si>
    <t>29889876</t>
  </si>
  <si>
    <t>195157062152</t>
  </si>
  <si>
    <t>69920786</t>
  </si>
  <si>
    <t>195157062206</t>
  </si>
  <si>
    <t>29889883</t>
  </si>
  <si>
    <t>195157062169</t>
  </si>
  <si>
    <t>69920787</t>
  </si>
  <si>
    <t>195157062176</t>
  </si>
  <si>
    <t>69920793</t>
  </si>
  <si>
    <t>195157062213</t>
  </si>
  <si>
    <t>29889884</t>
  </si>
  <si>
    <t>190917467758</t>
  </si>
  <si>
    <t>66396820</t>
  </si>
  <si>
    <t>6520223</t>
  </si>
  <si>
    <t>Women's INTEMPO™ Classic Satin Bomber Jacket</t>
  </si>
  <si>
    <t>INTEMPO</t>
  </si>
  <si>
    <t>Blue Yonder</t>
  </si>
  <si>
    <t>190917467703</t>
  </si>
  <si>
    <t>73579244</t>
  </si>
  <si>
    <t>190917467765</t>
  </si>
  <si>
    <t>66396821</t>
  </si>
  <si>
    <t>190917467789</t>
  </si>
  <si>
    <t>66396823</t>
  </si>
  <si>
    <t>190917467796</t>
  </si>
  <si>
    <t>66396824</t>
  </si>
  <si>
    <t>190917467741</t>
  </si>
  <si>
    <t>73579248</t>
  </si>
  <si>
    <t>190917467802</t>
  </si>
  <si>
    <t>66396825</t>
  </si>
  <si>
    <t>191315804572</t>
  </si>
  <si>
    <t>63065472</t>
  </si>
  <si>
    <t>7081392</t>
  </si>
  <si>
    <t>Men's Apt. 9® Premier Flex Regular-Fit Wrinkle Resistant Dress Shirt</t>
  </si>
  <si>
    <t>Blue Painterly Floral</t>
  </si>
  <si>
    <t>191315804589</t>
  </si>
  <si>
    <t>63065473</t>
  </si>
  <si>
    <t>191315804602</t>
  </si>
  <si>
    <t>63065481</t>
  </si>
  <si>
    <t>191315804626</t>
  </si>
  <si>
    <t>63065490</t>
  </si>
  <si>
    <t>191315804619</t>
  </si>
  <si>
    <t>63065482</t>
  </si>
  <si>
    <t>191315804596</t>
  </si>
  <si>
    <t>63065480</t>
  </si>
  <si>
    <t>191315793678</t>
  </si>
  <si>
    <t>18753027</t>
  </si>
  <si>
    <t>191315796105</t>
  </si>
  <si>
    <t>47602315</t>
  </si>
  <si>
    <t>Pink Purple Micro</t>
  </si>
  <si>
    <t>191315806040</t>
  </si>
  <si>
    <t>63065483</t>
  </si>
  <si>
    <t>195862190515</t>
  </si>
  <si>
    <t>80343158</t>
  </si>
  <si>
    <t>6432765</t>
  </si>
  <si>
    <t>Girls 4-8 Carter's Bunny Top &amp; Skort Set</t>
  </si>
  <si>
    <t>195862190492</t>
  </si>
  <si>
    <t>80343156</t>
  </si>
  <si>
    <t>Men's Columbia Birchwood™ Jacket</t>
  </si>
  <si>
    <t>887863125800</t>
  </si>
  <si>
    <t>71348094</t>
  </si>
  <si>
    <t>5746769</t>
  </si>
  <si>
    <t>Women's AB Studio Long Puff Sleeve Swing Dress</t>
  </si>
  <si>
    <t>AB Studio</t>
  </si>
  <si>
    <t>Heather Black</t>
  </si>
  <si>
    <t>887863125466</t>
  </si>
  <si>
    <t>71348086</t>
  </si>
  <si>
    <t>887863125541</t>
  </si>
  <si>
    <t>71348106</t>
  </si>
  <si>
    <t>887863125473</t>
  </si>
  <si>
    <t>71348087</t>
  </si>
  <si>
    <t>887863125558</t>
  </si>
  <si>
    <t>71348107</t>
  </si>
  <si>
    <t>887863125480</t>
  </si>
  <si>
    <t>71348088</t>
  </si>
  <si>
    <t>887863125565</t>
  </si>
  <si>
    <t>71348108</t>
  </si>
  <si>
    <t>887863125572</t>
  </si>
  <si>
    <t>71348113</t>
  </si>
  <si>
    <t>887863125855</t>
  </si>
  <si>
    <t>71348115</t>
  </si>
  <si>
    <t>400551950296</t>
  </si>
  <si>
    <t>55195029</t>
  </si>
  <si>
    <t>5267905</t>
  </si>
  <si>
    <t>Big &amp; Tall Sonoma Goods For Life® Seriously Soft Crewneck Tee</t>
  </si>
  <si>
    <t>400551950104</t>
  </si>
  <si>
    <t>55195010</t>
  </si>
  <si>
    <t>400551950302</t>
  </si>
  <si>
    <t>55195030</t>
  </si>
  <si>
    <t>400551950395</t>
  </si>
  <si>
    <t>55195039</t>
  </si>
  <si>
    <t>400591678198</t>
  </si>
  <si>
    <t>59167819</t>
  </si>
  <si>
    <t>4922627</t>
  </si>
  <si>
    <t>Women's Croft &amp; Barrow® Extra Soft Crewneck Sweater</t>
  </si>
  <si>
    <t>400755421462</t>
  </si>
  <si>
    <t>75542146</t>
  </si>
  <si>
    <t>400591677993</t>
  </si>
  <si>
    <t>59167799</t>
  </si>
  <si>
    <t>400591678204</t>
  </si>
  <si>
    <t>59167820</t>
  </si>
  <si>
    <t>400755421486</t>
  </si>
  <si>
    <t>75542148</t>
  </si>
  <si>
    <t>400591678211</t>
  </si>
  <si>
    <t>59167821</t>
  </si>
  <si>
    <t>1039</t>
  </si>
  <si>
    <t>400755421530</t>
  </si>
  <si>
    <t>75542153</t>
  </si>
  <si>
    <t>400304411074</t>
  </si>
  <si>
    <t>30441107</t>
  </si>
  <si>
    <t>400805583102</t>
  </si>
  <si>
    <t>80558310</t>
  </si>
  <si>
    <t>Mushroom Heather</t>
  </si>
  <si>
    <t>400591678228</t>
  </si>
  <si>
    <t>59167822</t>
  </si>
  <si>
    <t>400755421547</t>
  </si>
  <si>
    <t>75542154</t>
  </si>
  <si>
    <t>400805583119</t>
  </si>
  <si>
    <t>80558311</t>
  </si>
  <si>
    <t>724</t>
  </si>
  <si>
    <t>400591678235</t>
  </si>
  <si>
    <t>59167823</t>
  </si>
  <si>
    <t>838</t>
  </si>
  <si>
    <t>400755421554</t>
  </si>
  <si>
    <t>75542155</t>
  </si>
  <si>
    <t>400805583126</t>
  </si>
  <si>
    <t>80558312</t>
  </si>
  <si>
    <t>400805583188</t>
  </si>
  <si>
    <t>80558318</t>
  </si>
  <si>
    <t>Maroon Heather</t>
  </si>
  <si>
    <t>400591678280</t>
  </si>
  <si>
    <t>59167828</t>
  </si>
  <si>
    <t>400755421561</t>
  </si>
  <si>
    <t>75542156</t>
  </si>
  <si>
    <t>Men's Under Armour Armour Fleece® Twist Pants</t>
  </si>
  <si>
    <t>400497505956</t>
  </si>
  <si>
    <t>49750595</t>
  </si>
  <si>
    <t>5702853</t>
  </si>
  <si>
    <t>Men's Sonoma Goods For Life® 10&amp;#34; Flexwear Ripstop Cargo Shorts</t>
  </si>
  <si>
    <t>400497506069</t>
  </si>
  <si>
    <t>49750606</t>
  </si>
  <si>
    <t>400497506830</t>
  </si>
  <si>
    <t>49750683</t>
  </si>
  <si>
    <t>400497506076</t>
  </si>
  <si>
    <t>49750607</t>
  </si>
  <si>
    <t>400298152540</t>
  </si>
  <si>
    <t>29815254</t>
  </si>
  <si>
    <t>6471206</t>
  </si>
  <si>
    <t>Women's LC Lauren Conrad Peplum Waist Faux-Wrap Dress</t>
  </si>
  <si>
    <t>Cream Tashkent Hearts</t>
  </si>
  <si>
    <t>028266882642</t>
  </si>
  <si>
    <t>29094038</t>
  </si>
  <si>
    <t>7081139</t>
  </si>
  <si>
    <t>Plus Size Miss Elaine Essentials Short Tricot Nightgown</t>
  </si>
  <si>
    <t>Peach Blossom</t>
  </si>
  <si>
    <t>028266882659</t>
  </si>
  <si>
    <t>29094039</t>
  </si>
  <si>
    <t>028266882666</t>
  </si>
  <si>
    <t>29094040</t>
  </si>
  <si>
    <t>Boys 8-20 Under Armour Outdoor Linux Wolf Long Sleeve Tee</t>
  </si>
  <si>
    <t>Downpour Gray</t>
  </si>
  <si>
    <t>400767768302</t>
  </si>
  <si>
    <t>76776830</t>
  </si>
  <si>
    <t>6261599</t>
  </si>
  <si>
    <t>Women's Tek Gear® Micro Fleece Jacket</t>
  </si>
  <si>
    <t>400767768319</t>
  </si>
  <si>
    <t>76776831</t>
  </si>
  <si>
    <t>400767768326</t>
  </si>
  <si>
    <t>76776832</t>
  </si>
  <si>
    <t>400767768340</t>
  </si>
  <si>
    <t>76776834</t>
  </si>
  <si>
    <t>400767768357</t>
  </si>
  <si>
    <t>76776835</t>
  </si>
  <si>
    <t>400767768364</t>
  </si>
  <si>
    <t>76776836</t>
  </si>
  <si>
    <t>195862226368</t>
  </si>
  <si>
    <t>19186858</t>
  </si>
  <si>
    <t>6431702</t>
  </si>
  <si>
    <t>Toddler Girl Carter's Watercolor Sleeveless Dress</t>
  </si>
  <si>
    <t>195862226375</t>
  </si>
  <si>
    <t>19186859</t>
  </si>
  <si>
    <t>195862226382</t>
  </si>
  <si>
    <t>19186860</t>
  </si>
  <si>
    <t>195862226399</t>
  </si>
  <si>
    <t>19186861</t>
  </si>
  <si>
    <t>709996897129</t>
  </si>
  <si>
    <t>80828542</t>
  </si>
  <si>
    <t>5653005</t>
  </si>
  <si>
    <t>LOVE@FIRSTSIGHT Transparent Ombré Backpack</t>
  </si>
  <si>
    <t>400819062617</t>
  </si>
  <si>
    <t>81906261</t>
  </si>
  <si>
    <t>6481120</t>
  </si>
  <si>
    <t>Juniors SO® Twist Front Tee</t>
  </si>
  <si>
    <t>400819062013</t>
  </si>
  <si>
    <t>81906201</t>
  </si>
  <si>
    <t>Coral Mission</t>
  </si>
  <si>
    <t>400819062419</t>
  </si>
  <si>
    <t>81906241</t>
  </si>
  <si>
    <t>Fairness Blue</t>
  </si>
  <si>
    <t>400819062211</t>
  </si>
  <si>
    <t>81906221</t>
  </si>
  <si>
    <t>Drew Green</t>
  </si>
  <si>
    <t>400819062716</t>
  </si>
  <si>
    <t>81906271</t>
  </si>
  <si>
    <t>400819062112</t>
  </si>
  <si>
    <t>81906211</t>
  </si>
  <si>
    <t>Peach Glaze</t>
  </si>
  <si>
    <t>400819062518</t>
  </si>
  <si>
    <t>81906251</t>
  </si>
  <si>
    <t>400819062310</t>
  </si>
  <si>
    <t>81906231</t>
  </si>
  <si>
    <t>Brixton Green</t>
  </si>
  <si>
    <t>400819062228</t>
  </si>
  <si>
    <t>81906222</t>
  </si>
  <si>
    <t>400819062020</t>
  </si>
  <si>
    <t>81906202</t>
  </si>
  <si>
    <t>400819062624</t>
  </si>
  <si>
    <t>81906262</t>
  </si>
  <si>
    <t>400819062426</t>
  </si>
  <si>
    <t>81906242</t>
  </si>
  <si>
    <t>400819062723</t>
  </si>
  <si>
    <t>81906272</t>
  </si>
  <si>
    <t>400819062129</t>
  </si>
  <si>
    <t>81906212</t>
  </si>
  <si>
    <t>400819062525</t>
  </si>
  <si>
    <t>81906252</t>
  </si>
  <si>
    <t>400819062327</t>
  </si>
  <si>
    <t>81906232</t>
  </si>
  <si>
    <t>400819062082</t>
  </si>
  <si>
    <t>81906208</t>
  </si>
  <si>
    <t>400819062488</t>
  </si>
  <si>
    <t>81906248</t>
  </si>
  <si>
    <t>400819062280</t>
  </si>
  <si>
    <t>81906228</t>
  </si>
  <si>
    <t>400819062686</t>
  </si>
  <si>
    <t>81906268</t>
  </si>
  <si>
    <t>400819062389</t>
  </si>
  <si>
    <t>81906238</t>
  </si>
  <si>
    <t>400819062181</t>
  </si>
  <si>
    <t>81906218</t>
  </si>
  <si>
    <t>400819062785</t>
  </si>
  <si>
    <t>81906278</t>
  </si>
  <si>
    <t>400819062587</t>
  </si>
  <si>
    <t>81906258</t>
  </si>
  <si>
    <t>197161330043</t>
  </si>
  <si>
    <t>81958588</t>
  </si>
  <si>
    <t>6373613</t>
  </si>
  <si>
    <t>Boys' Green Bay Packers Pullover Fleece Hoodie</t>
  </si>
  <si>
    <t>NFL</t>
  </si>
  <si>
    <t>Pkr Green</t>
  </si>
  <si>
    <t>S 8</t>
  </si>
  <si>
    <t>197161330050</t>
  </si>
  <si>
    <t>81958589</t>
  </si>
  <si>
    <t>M 10-12</t>
  </si>
  <si>
    <t>197161330067</t>
  </si>
  <si>
    <t>81958590</t>
  </si>
  <si>
    <t>L 14-16</t>
  </si>
  <si>
    <t>197161330074</t>
  </si>
  <si>
    <t>81958591</t>
  </si>
  <si>
    <t>XL 18-20</t>
  </si>
  <si>
    <t>400549461957</t>
  </si>
  <si>
    <t>54946195</t>
  </si>
  <si>
    <t>6285642</t>
  </si>
  <si>
    <t>Baby &amp; Toddler Little Co. by Lauren Conrad Snug Fit Pajama Top &amp; Bottoms Set</t>
  </si>
  <si>
    <t>Little Co. by Lauren Conrad</t>
  </si>
  <si>
    <t>Sun And Stars</t>
  </si>
  <si>
    <t>400549461452</t>
  </si>
  <si>
    <t>54946145</t>
  </si>
  <si>
    <t>Kid Plaid Doe</t>
  </si>
  <si>
    <t>400549461568</t>
  </si>
  <si>
    <t>54946156</t>
  </si>
  <si>
    <t>Multi Trees Blue</t>
  </si>
  <si>
    <t>400549461964</t>
  </si>
  <si>
    <t>54946196</t>
  </si>
  <si>
    <t>400549461667</t>
  </si>
  <si>
    <t>54946166</t>
  </si>
  <si>
    <t>Nutcrackers</t>
  </si>
  <si>
    <t>400549461766</t>
  </si>
  <si>
    <t>54946176</t>
  </si>
  <si>
    <t>Red Stripe</t>
  </si>
  <si>
    <t>400549461469</t>
  </si>
  <si>
    <t>54946146</t>
  </si>
  <si>
    <t>400549461575</t>
  </si>
  <si>
    <t>54946157</t>
  </si>
  <si>
    <t>400549461971</t>
  </si>
  <si>
    <t>54946197</t>
  </si>
  <si>
    <t>400549461674</t>
  </si>
  <si>
    <t>54946167</t>
  </si>
  <si>
    <t>400549461773</t>
  </si>
  <si>
    <t>54946177</t>
  </si>
  <si>
    <t>400549461476</t>
  </si>
  <si>
    <t>54946147</t>
  </si>
  <si>
    <t>400549461988</t>
  </si>
  <si>
    <t>54946198</t>
  </si>
  <si>
    <t>400549461681</t>
  </si>
  <si>
    <t>54946168</t>
  </si>
  <si>
    <t>400549461780</t>
  </si>
  <si>
    <t>54946178</t>
  </si>
  <si>
    <t>400549461483</t>
  </si>
  <si>
    <t>54946148</t>
  </si>
  <si>
    <t>400549461698</t>
  </si>
  <si>
    <t>54946169</t>
  </si>
  <si>
    <t>400549461490</t>
  </si>
  <si>
    <t>54946149</t>
  </si>
  <si>
    <t>805099770311</t>
  </si>
  <si>
    <t>55715531</t>
  </si>
  <si>
    <t>6824241</t>
  </si>
  <si>
    <t>Men's Sonoma Goods For Life® Arctic Fleece Shirt Jacket</t>
  </si>
  <si>
    <t>805099770410</t>
  </si>
  <si>
    <t>55715631</t>
  </si>
  <si>
    <t>Gray Buffalo</t>
  </si>
  <si>
    <t>805099770465</t>
  </si>
  <si>
    <t>55715681</t>
  </si>
  <si>
    <t>Brick Buffalo</t>
  </si>
  <si>
    <t>805099770366</t>
  </si>
  <si>
    <t>55715581</t>
  </si>
  <si>
    <t>Green Plaid</t>
  </si>
  <si>
    <t>805099770427</t>
  </si>
  <si>
    <t>55715641</t>
  </si>
  <si>
    <t>805099770328</t>
  </si>
  <si>
    <t>55715541</t>
  </si>
  <si>
    <t>805099770373</t>
  </si>
  <si>
    <t>55715591</t>
  </si>
  <si>
    <t>805099770472</t>
  </si>
  <si>
    <t>55715691</t>
  </si>
  <si>
    <t>805099770380</t>
  </si>
  <si>
    <t>55715601</t>
  </si>
  <si>
    <t>805099770489</t>
  </si>
  <si>
    <t>55715701</t>
  </si>
  <si>
    <t>805099770434</t>
  </si>
  <si>
    <t>55715651</t>
  </si>
  <si>
    <t>886440744342</t>
  </si>
  <si>
    <t>20066146</t>
  </si>
  <si>
    <t>1715</t>
  </si>
  <si>
    <t>6285157</t>
  </si>
  <si>
    <t>Sonoma Goods For Life® Rectangular Pet Toy Storage Bin</t>
  </si>
  <si>
    <t>Vanlla Ice</t>
  </si>
  <si>
    <t>195566961695</t>
  </si>
  <si>
    <t>76186849</t>
  </si>
  <si>
    <t>6360235</t>
  </si>
  <si>
    <t>Men's Chucky Long Sleeve Fleece Hoodie</t>
  </si>
  <si>
    <t>195566961701</t>
  </si>
  <si>
    <t>76186850</t>
  </si>
  <si>
    <t>195566961718</t>
  </si>
  <si>
    <t>76186851</t>
  </si>
  <si>
    <t>195566961725</t>
  </si>
  <si>
    <t>76186852</t>
  </si>
  <si>
    <t>400297824387</t>
  </si>
  <si>
    <t>29782438</t>
  </si>
  <si>
    <t>6516182</t>
  </si>
  <si>
    <t>Plus Size LC Lauren Conrad Faux Suede Moto Jacket</t>
  </si>
  <si>
    <t>Century Pink</t>
  </si>
  <si>
    <t>400297824394</t>
  </si>
  <si>
    <t>29782439</t>
  </si>
  <si>
    <t>400297824325</t>
  </si>
  <si>
    <t>29782432</t>
  </si>
  <si>
    <t>Waukesha Brown</t>
  </si>
  <si>
    <t>400297824400</t>
  </si>
  <si>
    <t>29782440</t>
  </si>
  <si>
    <t>400297824332</t>
  </si>
  <si>
    <t>29782433</t>
  </si>
  <si>
    <t>400297824417</t>
  </si>
  <si>
    <t>29782441</t>
  </si>
  <si>
    <t>400297824349</t>
  </si>
  <si>
    <t>29782434</t>
  </si>
  <si>
    <t>400297824370</t>
  </si>
  <si>
    <t>29782437</t>
  </si>
  <si>
    <t>400297824424</t>
  </si>
  <si>
    <t>29782442</t>
  </si>
  <si>
    <t>400374505659</t>
  </si>
  <si>
    <t>37450565</t>
  </si>
  <si>
    <t>6425005</t>
  </si>
  <si>
    <t>Petite LC Lauren Conrad Suede Moto Jacket</t>
  </si>
  <si>
    <t>Pirate Black</t>
  </si>
  <si>
    <t>400189666064</t>
  </si>
  <si>
    <t>18966606</t>
  </si>
  <si>
    <t>6138936</t>
  </si>
  <si>
    <t>Girls 8-20 SO® Squareneck Dress &amp; Tee Set in Regular &amp; Plus</t>
  </si>
  <si>
    <t>Gold Plaid</t>
  </si>
  <si>
    <t>400189666194</t>
  </si>
  <si>
    <t>18966619</t>
  </si>
  <si>
    <t>400189666200</t>
  </si>
  <si>
    <t>18966620</t>
  </si>
  <si>
    <t>400189666088</t>
  </si>
  <si>
    <t>18966608</t>
  </si>
  <si>
    <t>400189666217</t>
  </si>
  <si>
    <t>18966621</t>
  </si>
  <si>
    <t>400189666095</t>
  </si>
  <si>
    <t>18966609</t>
  </si>
  <si>
    <t>400189666231</t>
  </si>
  <si>
    <t>18966623</t>
  </si>
  <si>
    <t>400189666248</t>
  </si>
  <si>
    <t>18966624</t>
  </si>
  <si>
    <t>400189666101</t>
  </si>
  <si>
    <t>18966610</t>
  </si>
  <si>
    <t>400189666255</t>
  </si>
  <si>
    <t>18966625</t>
  </si>
  <si>
    <t>XXL(18/20)</t>
  </si>
  <si>
    <t>400189666118</t>
  </si>
  <si>
    <t>18966611</t>
  </si>
  <si>
    <t>400732181044</t>
  </si>
  <si>
    <t>73218104</t>
  </si>
  <si>
    <t>197571061797</t>
  </si>
  <si>
    <t>79168305</t>
  </si>
  <si>
    <t>6442704</t>
  </si>
  <si>
    <t>Toddler Girl Blueberi Boulevard Ballerina Dress &amp; Faux-Fur Cardigan Set</t>
  </si>
  <si>
    <t>Cream</t>
  </si>
  <si>
    <t>197571061803</t>
  </si>
  <si>
    <t>79168306</t>
  </si>
  <si>
    <t>197571061810</t>
  </si>
  <si>
    <t>79168307</t>
  </si>
  <si>
    <t>043849015996</t>
  </si>
  <si>
    <t>62324862</t>
  </si>
  <si>
    <t>6654325</t>
  </si>
  <si>
    <t>Girls 7-20 Knit Works Sleeveless Ruffle Lace Top Printed High-Low Wrap Maxi Dress in Regular &amp; Plus Size</t>
  </si>
  <si>
    <t>043849016016</t>
  </si>
  <si>
    <t>62324870</t>
  </si>
  <si>
    <t>043849016023</t>
  </si>
  <si>
    <t>62324871</t>
  </si>
  <si>
    <t>043849015668</t>
  </si>
  <si>
    <t>70586876</t>
  </si>
  <si>
    <t>043849015675</t>
  </si>
  <si>
    <t>70586877</t>
  </si>
  <si>
    <t>400628646725</t>
  </si>
  <si>
    <t>62864672</t>
  </si>
  <si>
    <t>6125326</t>
  </si>
  <si>
    <t>Women's Sonoma Goods For Life® Mockneck Sweater</t>
  </si>
  <si>
    <t>400628646909</t>
  </si>
  <si>
    <t>62864690</t>
  </si>
  <si>
    <t>400628647203</t>
  </si>
  <si>
    <t>62864720</t>
  </si>
  <si>
    <t>400628646916</t>
  </si>
  <si>
    <t>62864691</t>
  </si>
  <si>
    <t>400628646732</t>
  </si>
  <si>
    <t>62864673</t>
  </si>
  <si>
    <t>400628647210</t>
  </si>
  <si>
    <t>62864721</t>
  </si>
  <si>
    <t>400628646923</t>
  </si>
  <si>
    <t>62864692</t>
  </si>
  <si>
    <t>400628646800</t>
  </si>
  <si>
    <t>62864680</t>
  </si>
  <si>
    <t>400628647227</t>
  </si>
  <si>
    <t>62864722</t>
  </si>
  <si>
    <t>400628646930</t>
  </si>
  <si>
    <t>62864693</t>
  </si>
  <si>
    <t>934</t>
  </si>
  <si>
    <t>400628646817</t>
  </si>
  <si>
    <t>62864681</t>
  </si>
  <si>
    <t>400628647234</t>
  </si>
  <si>
    <t>62864723</t>
  </si>
  <si>
    <t>936</t>
  </si>
  <si>
    <t>400628647302</t>
  </si>
  <si>
    <t>62864730</t>
  </si>
  <si>
    <t>400628646824</t>
  </si>
  <si>
    <t>62864682</t>
  </si>
  <si>
    <t>400628647005</t>
  </si>
  <si>
    <t>62864700</t>
  </si>
  <si>
    <t>730</t>
  </si>
  <si>
    <t>400628647319</t>
  </si>
  <si>
    <t>62864731</t>
  </si>
  <si>
    <t>423</t>
  </si>
  <si>
    <t>400628646831</t>
  </si>
  <si>
    <t>62864683</t>
  </si>
  <si>
    <t>400628647012</t>
  </si>
  <si>
    <t>62864701</t>
  </si>
  <si>
    <t>197057106806</t>
  </si>
  <si>
    <t>33437995</t>
  </si>
  <si>
    <t>6124086</t>
  </si>
  <si>
    <t>Hurley Men's Plaid Button-Up Flannel Shirt</t>
  </si>
  <si>
    <t>Bone</t>
  </si>
  <si>
    <t>197057106851</t>
  </si>
  <si>
    <t>33438045</t>
  </si>
  <si>
    <t>Matador</t>
  </si>
  <si>
    <t>197057107155</t>
  </si>
  <si>
    <t>78236756</t>
  </si>
  <si>
    <t>197057107100</t>
  </si>
  <si>
    <t>78236766</t>
  </si>
  <si>
    <t>197057106790</t>
  </si>
  <si>
    <t>33438005</t>
  </si>
  <si>
    <t>197057106844</t>
  </si>
  <si>
    <t>33438055</t>
  </si>
  <si>
    <t>197057107148</t>
  </si>
  <si>
    <t>78236758</t>
  </si>
  <si>
    <t>197057107094</t>
  </si>
  <si>
    <t>78236768</t>
  </si>
  <si>
    <t>197057106837</t>
  </si>
  <si>
    <t>33438065</t>
  </si>
  <si>
    <t>197057107087</t>
  </si>
  <si>
    <t>78236773</t>
  </si>
  <si>
    <t>197057107131</t>
  </si>
  <si>
    <t>78236763</t>
  </si>
  <si>
    <t>197057106868</t>
  </si>
  <si>
    <t>33438075</t>
  </si>
  <si>
    <t>400341151421</t>
  </si>
  <si>
    <t>34115142</t>
  </si>
  <si>
    <t>5679254</t>
  </si>
  <si>
    <t>Big &amp; Tall Tek Gear® Performance Fleece Hoodie</t>
  </si>
  <si>
    <t>Cherry Black</t>
  </si>
  <si>
    <t>400341151667</t>
  </si>
  <si>
    <t>34115166</t>
  </si>
  <si>
    <t>Hawk Gray</t>
  </si>
  <si>
    <t>400341151735</t>
  </si>
  <si>
    <t>34115173</t>
  </si>
  <si>
    <t>White Beige</t>
  </si>
  <si>
    <t>400341151742</t>
  </si>
  <si>
    <t>34115174</t>
  </si>
  <si>
    <t>400341151780</t>
  </si>
  <si>
    <t>34115178</t>
  </si>
  <si>
    <t>400341151773</t>
  </si>
  <si>
    <t>34115177</t>
  </si>
  <si>
    <t>400341151797</t>
  </si>
  <si>
    <t>34115179</t>
  </si>
  <si>
    <t>400717782211</t>
  </si>
  <si>
    <t>71778221</t>
  </si>
  <si>
    <t>6479571</t>
  </si>
  <si>
    <t>Petite Sonoma Goods For Life® Pointelle Duster Cardigan</t>
  </si>
  <si>
    <t>400278553398</t>
  </si>
  <si>
    <t>27855339</t>
  </si>
  <si>
    <t>6318202</t>
  </si>
  <si>
    <t>Juniors' SO® Relaxed Long Sleeve Baby Doll Tee</t>
  </si>
  <si>
    <t>400278553336</t>
  </si>
  <si>
    <t>27855333</t>
  </si>
  <si>
    <t>Silver Spring</t>
  </si>
  <si>
    <t>400278553060</t>
  </si>
  <si>
    <t>27855306</t>
  </si>
  <si>
    <t>Plum Prune</t>
  </si>
  <si>
    <t>400278553138</t>
  </si>
  <si>
    <t>27855313</t>
  </si>
  <si>
    <t>400278552995</t>
  </si>
  <si>
    <t>27855299</t>
  </si>
  <si>
    <t>400278552933</t>
  </si>
  <si>
    <t>27855293</t>
  </si>
  <si>
    <t>Night Blue</t>
  </si>
  <si>
    <t>400278553343</t>
  </si>
  <si>
    <t>27855334</t>
  </si>
  <si>
    <t>400278553411</t>
  </si>
  <si>
    <t>27855341</t>
  </si>
  <si>
    <t>400278553015</t>
  </si>
  <si>
    <t>27855301</t>
  </si>
  <si>
    <t>400278553145</t>
  </si>
  <si>
    <t>27855314</t>
  </si>
  <si>
    <t>400278552940</t>
  </si>
  <si>
    <t>27855294</t>
  </si>
  <si>
    <t>400278553022</t>
  </si>
  <si>
    <t>27855302</t>
  </si>
  <si>
    <t>195861982555</t>
  </si>
  <si>
    <t>55590984</t>
  </si>
  <si>
    <t>6067627</t>
  </si>
  <si>
    <t>Toddler Carter's Polar Bear Fleece Top &amp; Bottoms Pajama Set</t>
  </si>
  <si>
    <t>Polar Bear</t>
  </si>
  <si>
    <t>195861982562</t>
  </si>
  <si>
    <t>55590985</t>
  </si>
  <si>
    <t>195861982579</t>
  </si>
  <si>
    <t>55590986</t>
  </si>
  <si>
    <t>432</t>
  </si>
  <si>
    <t>889260813731</t>
  </si>
  <si>
    <t>50170296</t>
  </si>
  <si>
    <t>4563666</t>
  </si>
  <si>
    <t>totes Taelor Toddler Boys' Waterproof Winter Boots</t>
  </si>
  <si>
    <t>Black Red</t>
  </si>
  <si>
    <t>889260813809</t>
  </si>
  <si>
    <t>46119648</t>
  </si>
  <si>
    <t>196064208107</t>
  </si>
  <si>
    <t>37827670</t>
  </si>
  <si>
    <t>Black Silver</t>
  </si>
  <si>
    <t>889260813748</t>
  </si>
  <si>
    <t>50170297</t>
  </si>
  <si>
    <t>196064208114</t>
  </si>
  <si>
    <t>37827671</t>
  </si>
  <si>
    <t>889260813755</t>
  </si>
  <si>
    <t>50170298</t>
  </si>
  <si>
    <t>889260813779</t>
  </si>
  <si>
    <t>50170300</t>
  </si>
  <si>
    <t>889260813793</t>
  </si>
  <si>
    <t>50170302</t>
  </si>
  <si>
    <t>195365505519</t>
  </si>
  <si>
    <t>64275078</t>
  </si>
  <si>
    <t>6119599</t>
  </si>
  <si>
    <t>Boys 8-20 ZeroXposur Platinum Snowpants</t>
  </si>
  <si>
    <t>195365505458</t>
  </si>
  <si>
    <t>64275074</t>
  </si>
  <si>
    <t>195365505526</t>
  </si>
  <si>
    <t>64275079</t>
  </si>
  <si>
    <t>460</t>
  </si>
  <si>
    <t>195365505465</t>
  </si>
  <si>
    <t>64275075</t>
  </si>
  <si>
    <t>195365505533</t>
  </si>
  <si>
    <t>64275080</t>
  </si>
  <si>
    <t>195365505472</t>
  </si>
  <si>
    <t>64275076</t>
  </si>
  <si>
    <t>195365505540</t>
  </si>
  <si>
    <t>64275081</t>
  </si>
  <si>
    <t>Boys 8-20 Hurley Check Icon Long Sleeve Graphic Tee</t>
  </si>
  <si>
    <t>195862085545</t>
  </si>
  <si>
    <t>44083861</t>
  </si>
  <si>
    <t>6200649</t>
  </si>
  <si>
    <t>Girls 4-12 Carter's 2-Piece Floral Jersey Top &amp; Legging Set</t>
  </si>
  <si>
    <t>Ivory Floral</t>
  </si>
  <si>
    <t>195862085552</t>
  </si>
  <si>
    <t>44083862</t>
  </si>
  <si>
    <t>195862085576</t>
  </si>
  <si>
    <t>44083864</t>
  </si>
  <si>
    <t>195862085583</t>
  </si>
  <si>
    <t>44083865</t>
  </si>
  <si>
    <t>195862085569</t>
  </si>
  <si>
    <t>44083863</t>
  </si>
  <si>
    <t>550</t>
  </si>
  <si>
    <t>196095536798</t>
  </si>
  <si>
    <t>18301788</t>
  </si>
  <si>
    <t>6536551</t>
  </si>
  <si>
    <t>Girls 6-20 SO® Openwork Cardigan in Regular &amp; Plus Size</t>
  </si>
  <si>
    <t>Hail Blue</t>
  </si>
  <si>
    <t>196095536743</t>
  </si>
  <si>
    <t>18301783</t>
  </si>
  <si>
    <t>196095536897</t>
  </si>
  <si>
    <t>18301798</t>
  </si>
  <si>
    <t>196095536842</t>
  </si>
  <si>
    <t>18301793</t>
  </si>
  <si>
    <t>Corsage</t>
  </si>
  <si>
    <t>196095536804</t>
  </si>
  <si>
    <t>18301789</t>
  </si>
  <si>
    <t>196095536750</t>
  </si>
  <si>
    <t>18301784</t>
  </si>
  <si>
    <t>196095536903</t>
  </si>
  <si>
    <t>18301799</t>
  </si>
  <si>
    <t>196095536859</t>
  </si>
  <si>
    <t>18301794</t>
  </si>
  <si>
    <t>196095536910</t>
  </si>
  <si>
    <t>18301800</t>
  </si>
  <si>
    <t>196095536767</t>
  </si>
  <si>
    <t>18301785</t>
  </si>
  <si>
    <t>196095536811</t>
  </si>
  <si>
    <t>18301790</t>
  </si>
  <si>
    <t>196095536866</t>
  </si>
  <si>
    <t>18301795</t>
  </si>
  <si>
    <t>196095536774</t>
  </si>
  <si>
    <t>18301786</t>
  </si>
  <si>
    <t>196095536927</t>
  </si>
  <si>
    <t>18301801</t>
  </si>
  <si>
    <t>196095536828</t>
  </si>
  <si>
    <t>18301791</t>
  </si>
  <si>
    <t>196095536873</t>
  </si>
  <si>
    <t>18301796</t>
  </si>
  <si>
    <t>196095536781</t>
  </si>
  <si>
    <t>18301787</t>
  </si>
  <si>
    <t>196095536934</t>
  </si>
  <si>
    <t>18301802</t>
  </si>
  <si>
    <t>196095536880</t>
  </si>
  <si>
    <t>18301797</t>
  </si>
  <si>
    <t>196095536835</t>
  </si>
  <si>
    <t>18301792</t>
  </si>
  <si>
    <t>196095536651</t>
  </si>
  <si>
    <t>33454904</t>
  </si>
  <si>
    <t>196095536491</t>
  </si>
  <si>
    <t>33454909</t>
  </si>
  <si>
    <t>196095536545</t>
  </si>
  <si>
    <t>33454899</t>
  </si>
  <si>
    <t>196095536668</t>
  </si>
  <si>
    <t>33454905</t>
  </si>
  <si>
    <t>196095536552</t>
  </si>
  <si>
    <t>33454900</t>
  </si>
  <si>
    <t>196095536507</t>
  </si>
  <si>
    <t>33454910</t>
  </si>
  <si>
    <t>196095536675</t>
  </si>
  <si>
    <t>33454906</t>
  </si>
  <si>
    <t>196095536569</t>
  </si>
  <si>
    <t>33454901</t>
  </si>
  <si>
    <t>196095536514</t>
  </si>
  <si>
    <t>33454911</t>
  </si>
  <si>
    <t>196095536576</t>
  </si>
  <si>
    <t>33454902</t>
  </si>
  <si>
    <t>196095536682</t>
  </si>
  <si>
    <t>33454907</t>
  </si>
  <si>
    <t>196095536637</t>
  </si>
  <si>
    <t>33454917</t>
  </si>
  <si>
    <t>196095536521</t>
  </si>
  <si>
    <t>33454912</t>
  </si>
  <si>
    <t>196095536583</t>
  </si>
  <si>
    <t>33454903</t>
  </si>
  <si>
    <t>196095536699</t>
  </si>
  <si>
    <t>33454908</t>
  </si>
  <si>
    <t>196095536538</t>
  </si>
  <si>
    <t>33454913</t>
  </si>
  <si>
    <t>196095536644</t>
  </si>
  <si>
    <t>33454918</t>
  </si>
  <si>
    <t>Kamik Harrow Kids' Water Shoes</t>
  </si>
  <si>
    <t>Kamik</t>
  </si>
  <si>
    <t>400188484980</t>
  </si>
  <si>
    <t>18848498</t>
  </si>
  <si>
    <t>6256941</t>
  </si>
  <si>
    <t>Women's Croft &amp; Barrow® Fashion Blazer</t>
  </si>
  <si>
    <t>Berry Multi Plaid</t>
  </si>
  <si>
    <t>400188484997</t>
  </si>
  <si>
    <t>18848499</t>
  </si>
  <si>
    <t>400188484935</t>
  </si>
  <si>
    <t>18848493</t>
  </si>
  <si>
    <t>Brown Plaid</t>
  </si>
  <si>
    <t>400188484942</t>
  </si>
  <si>
    <t>18848494</t>
  </si>
  <si>
    <t>400188485000</t>
  </si>
  <si>
    <t>18848500</t>
  </si>
  <si>
    <t>195365502501</t>
  </si>
  <si>
    <t>28258538</t>
  </si>
  <si>
    <t>6110771</t>
  </si>
  <si>
    <t>Women's ZeroXposur Sun Valley Breezy Full Zip Hoodie</t>
  </si>
  <si>
    <t>Pearl</t>
  </si>
  <si>
    <t>195365510148</t>
  </si>
  <si>
    <t>73578364</t>
  </si>
  <si>
    <t>Smoke</t>
  </si>
  <si>
    <t>195365502518</t>
  </si>
  <si>
    <t>28258539</t>
  </si>
  <si>
    <t>195365510155</t>
  </si>
  <si>
    <t>73578365</t>
  </si>
  <si>
    <t>195365502525</t>
  </si>
  <si>
    <t>28258541</t>
  </si>
  <si>
    <t>195861983101</t>
  </si>
  <si>
    <t>44118960</t>
  </si>
  <si>
    <t>6067629</t>
  </si>
  <si>
    <t>Toddler Carter's Space Cow Top &amp; Bottoms Pajama Set</t>
  </si>
  <si>
    <t>Space</t>
  </si>
  <si>
    <t>195861983118</t>
  </si>
  <si>
    <t>44118961</t>
  </si>
  <si>
    <t>400334544315</t>
  </si>
  <si>
    <t>33454431</t>
  </si>
  <si>
    <t>7081815</t>
  </si>
  <si>
    <t>Women's LC Lauren Conrad Tie Front Ruffled V-Neck Shell</t>
  </si>
  <si>
    <t>400332026271</t>
  </si>
  <si>
    <t>33202627</t>
  </si>
  <si>
    <t>400332026288</t>
  </si>
  <si>
    <t>33202628</t>
  </si>
  <si>
    <t>270</t>
  </si>
  <si>
    <t>400332026295</t>
  </si>
  <si>
    <t>33202629</t>
  </si>
  <si>
    <t>454</t>
  </si>
  <si>
    <t>400332026363</t>
  </si>
  <si>
    <t>33202636</t>
  </si>
  <si>
    <t>400332026370</t>
  </si>
  <si>
    <t>33202637</t>
  </si>
  <si>
    <t>316</t>
  </si>
  <si>
    <t>400332026387</t>
  </si>
  <si>
    <t>33202638</t>
  </si>
  <si>
    <t>Baby Carter's Dino 4-Piece Tops &amp; Bottoms Pajama Set</t>
  </si>
  <si>
    <t>Dino</t>
  </si>
  <si>
    <t>400864666556</t>
  </si>
  <si>
    <t>86466655</t>
  </si>
  <si>
    <t>6750619</t>
  </si>
  <si>
    <t>Juniors' SO® Seamless Short Sleeve Sweetheart Neck Bodysuit</t>
  </si>
  <si>
    <t>Rain Pool</t>
  </si>
  <si>
    <t>400864666662</t>
  </si>
  <si>
    <t>86466666</t>
  </si>
  <si>
    <t>400864666600</t>
  </si>
  <si>
    <t>86466660</t>
  </si>
  <si>
    <t>Muted Plum</t>
  </si>
  <si>
    <t>400864666563</t>
  </si>
  <si>
    <t>86466656</t>
  </si>
  <si>
    <t>400864666679</t>
  </si>
  <si>
    <t>86466667</t>
  </si>
  <si>
    <t>400864666624</t>
  </si>
  <si>
    <t>86466662</t>
  </si>
  <si>
    <t>400864666570</t>
  </si>
  <si>
    <t>86466657</t>
  </si>
  <si>
    <t>400864666686</t>
  </si>
  <si>
    <t>86466668</t>
  </si>
  <si>
    <t>400864666631</t>
  </si>
  <si>
    <t>86466663</t>
  </si>
  <si>
    <t>400864666594</t>
  </si>
  <si>
    <t>86466659</t>
  </si>
  <si>
    <t>400864666655</t>
  </si>
  <si>
    <t>86466665</t>
  </si>
  <si>
    <t>195861894506</t>
  </si>
  <si>
    <t>76352439</t>
  </si>
  <si>
    <t>5979156</t>
  </si>
  <si>
    <t>Boys 4-14 Carter's Long-Sleeve Rugby Polo</t>
  </si>
  <si>
    <t>Navy Yellow Colorblock</t>
  </si>
  <si>
    <t>195861894513</t>
  </si>
  <si>
    <t>76352440</t>
  </si>
  <si>
    <t>195861894520</t>
  </si>
  <si>
    <t>76352441</t>
  </si>
  <si>
    <t>195861894537</t>
  </si>
  <si>
    <t>76352442</t>
  </si>
  <si>
    <t>195861283188</t>
  </si>
  <si>
    <t>73180214</t>
  </si>
  <si>
    <t>5011254</t>
  </si>
  <si>
    <t>Boys 4-14 Carter's Top &amp; Bottoms Pajama Set</t>
  </si>
  <si>
    <t>Green Camo</t>
  </si>
  <si>
    <t>195861282655</t>
  </si>
  <si>
    <t>59271598</t>
  </si>
  <si>
    <t>Green Robot</t>
  </si>
  <si>
    <t>193506103327</t>
  </si>
  <si>
    <t>75192635</t>
  </si>
  <si>
    <t>6860566</t>
  </si>
  <si>
    <t>Sterling Silver Lab-Created Opal Drop Earrings</t>
  </si>
  <si>
    <t>Sterling</t>
  </si>
  <si>
    <t>886440743475</t>
  </si>
  <si>
    <t>37704870</t>
  </si>
  <si>
    <t>6287024</t>
  </si>
  <si>
    <t>Sonoma Goods For Life® Colorblock Pet Collar</t>
  </si>
  <si>
    <t>Loden Green</t>
  </si>
  <si>
    <t>886440743444</t>
  </si>
  <si>
    <t>37704881</t>
  </si>
  <si>
    <t>Festival Fuchsia</t>
  </si>
  <si>
    <t>886440743536</t>
  </si>
  <si>
    <t>37704862</t>
  </si>
  <si>
    <t>886440743505</t>
  </si>
  <si>
    <t>37704878</t>
  </si>
  <si>
    <t>Federal Blue</t>
  </si>
  <si>
    <t>886440743451</t>
  </si>
  <si>
    <t>37704880</t>
  </si>
  <si>
    <t>886440743543</t>
  </si>
  <si>
    <t>37704861</t>
  </si>
  <si>
    <t>886440743512</t>
  </si>
  <si>
    <t>37704872</t>
  </si>
  <si>
    <t>886440743482</t>
  </si>
  <si>
    <t>37704869</t>
  </si>
  <si>
    <t>886440743499</t>
  </si>
  <si>
    <t>37704871</t>
  </si>
  <si>
    <t>886440743550</t>
  </si>
  <si>
    <t>37704868</t>
  </si>
  <si>
    <t>886440743529</t>
  </si>
  <si>
    <t>37704879</t>
  </si>
  <si>
    <t>400801018981</t>
  </si>
  <si>
    <t>80101898</t>
  </si>
  <si>
    <t>6473784</t>
  </si>
  <si>
    <t>Plus Size Sonoma Goods For Life® Boatneck Crochet Sweater</t>
  </si>
  <si>
    <t>Chartreuse Olive</t>
  </si>
  <si>
    <t>400666864631</t>
  </si>
  <si>
    <t>66686463</t>
  </si>
  <si>
    <t>400666864853</t>
  </si>
  <si>
    <t>66686485</t>
  </si>
  <si>
    <t>400801019162</t>
  </si>
  <si>
    <t>80101916</t>
  </si>
  <si>
    <t>400666864747</t>
  </si>
  <si>
    <t>66686474</t>
  </si>
  <si>
    <t>400801019056</t>
  </si>
  <si>
    <t>80101905</t>
  </si>
  <si>
    <t>400666864648</t>
  </si>
  <si>
    <t>66686464</t>
  </si>
  <si>
    <t>400666864860</t>
  </si>
  <si>
    <t>66686486</t>
  </si>
  <si>
    <t>400801019179</t>
  </si>
  <si>
    <t>80101917</t>
  </si>
  <si>
    <t>400666864754</t>
  </si>
  <si>
    <t>66686475</t>
  </si>
  <si>
    <t>400801019063</t>
  </si>
  <si>
    <t>80101906</t>
  </si>
  <si>
    <t>400666864655</t>
  </si>
  <si>
    <t>66686465</t>
  </si>
  <si>
    <t>400666864877</t>
  </si>
  <si>
    <t>66686487</t>
  </si>
  <si>
    <t>400801019186</t>
  </si>
  <si>
    <t>80101918</t>
  </si>
  <si>
    <t>400666864761</t>
  </si>
  <si>
    <t>66686476</t>
  </si>
  <si>
    <t>400801019070</t>
  </si>
  <si>
    <t>80101907</t>
  </si>
  <si>
    <t>400666864778</t>
  </si>
  <si>
    <t>66686477</t>
  </si>
  <si>
    <t>400801019254</t>
  </si>
  <si>
    <t>80101925</t>
  </si>
  <si>
    <t>400666864662</t>
  </si>
  <si>
    <t>66686466</t>
  </si>
  <si>
    <t>400666864938</t>
  </si>
  <si>
    <t>66686493</t>
  </si>
  <si>
    <t>400801019087</t>
  </si>
  <si>
    <t>80101908</t>
  </si>
  <si>
    <t>400801019261</t>
  </si>
  <si>
    <t>80101926</t>
  </si>
  <si>
    <t>400666864839</t>
  </si>
  <si>
    <t>66686483</t>
  </si>
  <si>
    <t>400666864679</t>
  </si>
  <si>
    <t>66686467</t>
  </si>
  <si>
    <t>400666864945</t>
  </si>
  <si>
    <t>66686494</t>
  </si>
  <si>
    <t>400666864846</t>
  </si>
  <si>
    <t>66686484</t>
  </si>
  <si>
    <t>400801019155</t>
  </si>
  <si>
    <t>80101915</t>
  </si>
  <si>
    <t>400666864730</t>
  </si>
  <si>
    <t>66686473</t>
  </si>
  <si>
    <t>400291390758</t>
  </si>
  <si>
    <t>29139075</t>
  </si>
  <si>
    <t>6487023</t>
  </si>
  <si>
    <t>Women's LC Lauren Conrad Button Front Shirt</t>
  </si>
  <si>
    <t>White Cherry Stripe</t>
  </si>
  <si>
    <t>400806094669</t>
  </si>
  <si>
    <t>80609466</t>
  </si>
  <si>
    <t>Delicate Blush</t>
  </si>
  <si>
    <t>400291390765</t>
  </si>
  <si>
    <t>29139076</t>
  </si>
  <si>
    <t>400806094676</t>
  </si>
  <si>
    <t>80609467</t>
  </si>
  <si>
    <t>400291390833</t>
  </si>
  <si>
    <t>29139083</t>
  </si>
  <si>
    <t>400834396438</t>
  </si>
  <si>
    <t>83439643</t>
  </si>
  <si>
    <t>5001697</t>
  </si>
  <si>
    <t>Big &amp; Tall Sonoma Goods For Life® Flannel Pajama Pants</t>
  </si>
  <si>
    <t>Red Buffalo Checks</t>
  </si>
  <si>
    <t>400834396254</t>
  </si>
  <si>
    <t>83439625</t>
  </si>
  <si>
    <t>Blue Everyday Plaid</t>
  </si>
  <si>
    <t>400834396032</t>
  </si>
  <si>
    <t>83439603</t>
  </si>
  <si>
    <t>White Buffalo Check</t>
  </si>
  <si>
    <t>400791456169</t>
  </si>
  <si>
    <t>79145616</t>
  </si>
  <si>
    <t>1112</t>
  </si>
  <si>
    <t>Grey Heather Buffalo</t>
  </si>
  <si>
    <t>400834396476</t>
  </si>
  <si>
    <t>83439647</t>
  </si>
  <si>
    <t>400834396001</t>
  </si>
  <si>
    <t>83439600</t>
  </si>
  <si>
    <t>400834396223</t>
  </si>
  <si>
    <t>83439622</t>
  </si>
  <si>
    <t>400791456121</t>
  </si>
  <si>
    <t>79145612</t>
  </si>
  <si>
    <t>400834396445</t>
  </si>
  <si>
    <t>83439644</t>
  </si>
  <si>
    <t>400834396261</t>
  </si>
  <si>
    <t>83439626</t>
  </si>
  <si>
    <t>400834396049</t>
  </si>
  <si>
    <t>83439604</t>
  </si>
  <si>
    <t>400791456176</t>
  </si>
  <si>
    <t>79145617</t>
  </si>
  <si>
    <t>400834396483</t>
  </si>
  <si>
    <t>83439648</t>
  </si>
  <si>
    <t>400834396230</t>
  </si>
  <si>
    <t>83439623</t>
  </si>
  <si>
    <t>400834396018</t>
  </si>
  <si>
    <t>83439601</t>
  </si>
  <si>
    <t>400791456145</t>
  </si>
  <si>
    <t>79145614</t>
  </si>
  <si>
    <t>1238</t>
  </si>
  <si>
    <t>400834396452</t>
  </si>
  <si>
    <t>83439645</t>
  </si>
  <si>
    <t>1130</t>
  </si>
  <si>
    <t>400834396278</t>
  </si>
  <si>
    <t>83439627</t>
  </si>
  <si>
    <t>400791456190</t>
  </si>
  <si>
    <t>79145619</t>
  </si>
  <si>
    <t>708</t>
  </si>
  <si>
    <t>400834396490</t>
  </si>
  <si>
    <t>83439649</t>
  </si>
  <si>
    <t>400834396056</t>
  </si>
  <si>
    <t>83439605</t>
  </si>
  <si>
    <t>195365518168</t>
  </si>
  <si>
    <t>64916367</t>
  </si>
  <si>
    <t>6109722</t>
  </si>
  <si>
    <t>Girls 4-16 ZeroXposur Heavyweight Puffer Jacket</t>
  </si>
  <si>
    <t>Latte</t>
  </si>
  <si>
    <t>195365518106</t>
  </si>
  <si>
    <t>64916307</t>
  </si>
  <si>
    <t>195365518229</t>
  </si>
  <si>
    <t>64916427</t>
  </si>
  <si>
    <t>Sky Blue</t>
  </si>
  <si>
    <t>195365518175</t>
  </si>
  <si>
    <t>64916377</t>
  </si>
  <si>
    <t>509</t>
  </si>
  <si>
    <t>195365518113</t>
  </si>
  <si>
    <t>64916317</t>
  </si>
  <si>
    <t>195365518236</t>
  </si>
  <si>
    <t>64916437</t>
  </si>
  <si>
    <t>195365518182</t>
  </si>
  <si>
    <t>64916387</t>
  </si>
  <si>
    <t>467</t>
  </si>
  <si>
    <t>195365518243</t>
  </si>
  <si>
    <t>64916447</t>
  </si>
  <si>
    <t>195365518120</t>
  </si>
  <si>
    <t>64916327</t>
  </si>
  <si>
    <t>197571059756</t>
  </si>
  <si>
    <t>47747677</t>
  </si>
  <si>
    <t>6456717</t>
  </si>
  <si>
    <t>Toddler Girl Blueberi Boulevard Lace Sleeveless Dress</t>
  </si>
  <si>
    <t>197571059763</t>
  </si>
  <si>
    <t>47747684</t>
  </si>
  <si>
    <t>197571059770</t>
  </si>
  <si>
    <t>47747685</t>
  </si>
  <si>
    <t>197571059879</t>
  </si>
  <si>
    <t>47747686</t>
  </si>
  <si>
    <t>570</t>
  </si>
  <si>
    <t>197571059886</t>
  </si>
  <si>
    <t>47747687</t>
  </si>
  <si>
    <t>508</t>
  </si>
  <si>
    <t>197571059893</t>
  </si>
  <si>
    <t>47747694</t>
  </si>
  <si>
    <t>400558355230</t>
  </si>
  <si>
    <t>55835523</t>
  </si>
  <si>
    <t>7081258</t>
  </si>
  <si>
    <t>Plus Size Croft &amp; Barrow® Boatneck Top</t>
  </si>
  <si>
    <t>Blue Folk Tile</t>
  </si>
  <si>
    <t>400558355353</t>
  </si>
  <si>
    <t>55835535</t>
  </si>
  <si>
    <t>Coral White Stripe</t>
  </si>
  <si>
    <t>400558355537</t>
  </si>
  <si>
    <t>55835553</t>
  </si>
  <si>
    <t>Yellow Folk Tile</t>
  </si>
  <si>
    <t>400627960990</t>
  </si>
  <si>
    <t>62796099</t>
  </si>
  <si>
    <t>Green Folk Print</t>
  </si>
  <si>
    <t>400558355469</t>
  </si>
  <si>
    <t>55835546</t>
  </si>
  <si>
    <t>400558355643</t>
  </si>
  <si>
    <t>55835564</t>
  </si>
  <si>
    <t>400627961058</t>
  </si>
  <si>
    <t>62796105</t>
  </si>
  <si>
    <t>400558355346</t>
  </si>
  <si>
    <t>55835534</t>
  </si>
  <si>
    <t>400302413346</t>
  </si>
  <si>
    <t>30241334</t>
  </si>
  <si>
    <t>400804338727</t>
  </si>
  <si>
    <t>80433872</t>
  </si>
  <si>
    <t>Navy Retro Geo</t>
  </si>
  <si>
    <t>197571297011</t>
  </si>
  <si>
    <t>37225156</t>
  </si>
  <si>
    <t>6664281</t>
  </si>
  <si>
    <t>Girls 4-16 Blueberi Boulevard 2-pc. Daisy Eyelet Dress with Daisy Purse</t>
  </si>
  <si>
    <t>197571297028</t>
  </si>
  <si>
    <t>37225157</t>
  </si>
  <si>
    <t>197571297035</t>
  </si>
  <si>
    <t>37225164</t>
  </si>
  <si>
    <t>197571297042</t>
  </si>
  <si>
    <t>37225165</t>
  </si>
  <si>
    <t>195862286065</t>
  </si>
  <si>
    <t>72076701</t>
  </si>
  <si>
    <t>6433007</t>
  </si>
  <si>
    <t>Baby Girl Carter's Smocked Floral Print Dress</t>
  </si>
  <si>
    <t>Floral</t>
  </si>
  <si>
    <t>195862286072</t>
  </si>
  <si>
    <t>72076702</t>
  </si>
  <si>
    <t>195862119233</t>
  </si>
  <si>
    <t>51197728</t>
  </si>
  <si>
    <t>6185701</t>
  </si>
  <si>
    <t>Baby Girl Carter's 3-Piece Jumper Set</t>
  </si>
  <si>
    <t>889260944527</t>
  </si>
  <si>
    <t>71961320</t>
  </si>
  <si>
    <t>totes Jennifer Women's Waterproof Snow Boots</t>
  </si>
  <si>
    <t>7 WIDE</t>
  </si>
  <si>
    <t>889260944602</t>
  </si>
  <si>
    <t>30420026</t>
  </si>
  <si>
    <t>8 WIDE</t>
  </si>
  <si>
    <t>889260944619</t>
  </si>
  <si>
    <t>30420032</t>
  </si>
  <si>
    <t>9 WIDE</t>
  </si>
  <si>
    <t>889260944626</t>
  </si>
  <si>
    <t>30420033</t>
  </si>
  <si>
    <t>10 WIDE</t>
  </si>
  <si>
    <t>043849015958</t>
  </si>
  <si>
    <t>50233438</t>
  </si>
  <si>
    <t>6655102</t>
  </si>
  <si>
    <t>Girls 7-20 Knit Works Short Sleeve Eyelet Bodice &amp; Striped Print Pant Jumpsuit With Scrunchie in Regular &amp; Plus Size</t>
  </si>
  <si>
    <t>196739109364</t>
  </si>
  <si>
    <t>81937731</t>
  </si>
  <si>
    <t>6007848</t>
  </si>
  <si>
    <t>Boys 8-20 Champion® Hooded Sweatshirt</t>
  </si>
  <si>
    <t>400664387217</t>
  </si>
  <si>
    <t>66438721</t>
  </si>
  <si>
    <t>7082720</t>
  </si>
  <si>
    <t>Plus Size Tek Gear® Multi-Purpose Shorts</t>
  </si>
  <si>
    <t>400664387224</t>
  </si>
  <si>
    <t>66438722</t>
  </si>
  <si>
    <t>400664387231</t>
  </si>
  <si>
    <t>66438723</t>
  </si>
  <si>
    <t>Women's Columbia Ruby Falls Novelty Puffer Jacket</t>
  </si>
  <si>
    <t>Camel Corduroy</t>
  </si>
  <si>
    <t>Dark Stone Doodle</t>
  </si>
  <si>
    <t>400496162266</t>
  </si>
  <si>
    <t>49616226</t>
  </si>
  <si>
    <t>7081932</t>
  </si>
  <si>
    <t>Tek Gear® Ultrastretch Medium-Impact V-Neck Sports Bra</t>
  </si>
  <si>
    <t>Presley Purple</t>
  </si>
  <si>
    <t>400546998685</t>
  </si>
  <si>
    <t>54699868</t>
  </si>
  <si>
    <t>Chandler Navy</t>
  </si>
  <si>
    <t>400297882745</t>
  </si>
  <si>
    <t>29788274</t>
  </si>
  <si>
    <t>400496162204</t>
  </si>
  <si>
    <t>49616220</t>
  </si>
  <si>
    <t>400546998692</t>
  </si>
  <si>
    <t>54699869</t>
  </si>
  <si>
    <t>197161607503</t>
  </si>
  <si>
    <t>70233132</t>
  </si>
  <si>
    <t>6373667</t>
  </si>
  <si>
    <t>Pkr Gold</t>
  </si>
  <si>
    <t>197161607497</t>
  </si>
  <si>
    <t>70233139</t>
  </si>
  <si>
    <t>197161607480</t>
  </si>
  <si>
    <t>70233140</t>
  </si>
  <si>
    <t>400818260564</t>
  </si>
  <si>
    <t>81826056</t>
  </si>
  <si>
    <t>6231875</t>
  </si>
  <si>
    <t>400818260571</t>
  </si>
  <si>
    <t>81826057</t>
  </si>
  <si>
    <t>1395</t>
  </si>
  <si>
    <t>400818260649</t>
  </si>
  <si>
    <t>81826064</t>
  </si>
  <si>
    <t>1737</t>
  </si>
  <si>
    <t>400818260656</t>
  </si>
  <si>
    <t>81826065</t>
  </si>
  <si>
    <t>1135</t>
  </si>
  <si>
    <t>400818260663</t>
  </si>
  <si>
    <t>81826066</t>
  </si>
  <si>
    <t>195862268399</t>
  </si>
  <si>
    <t>50125959</t>
  </si>
  <si>
    <t>6433004</t>
  </si>
  <si>
    <t>Baby Girl Carter's Eyelet Flutter Dress</t>
  </si>
  <si>
    <t>Lime</t>
  </si>
  <si>
    <t>195862268405</t>
  </si>
  <si>
    <t>50125960</t>
  </si>
  <si>
    <t>400666763729</t>
  </si>
  <si>
    <t>66676372</t>
  </si>
  <si>
    <t>7081331</t>
  </si>
  <si>
    <t>Women's Tek Gear® Front Rushed Tank Top</t>
  </si>
  <si>
    <t>400736803393</t>
  </si>
  <si>
    <t>73680339</t>
  </si>
  <si>
    <t>Peach Trifle</t>
  </si>
  <si>
    <t>400494092527</t>
  </si>
  <si>
    <t>49409252</t>
  </si>
  <si>
    <t>6602908</t>
  </si>
  <si>
    <t>Women's Simply Vera Vera Wang Openwork Sweater</t>
  </si>
  <si>
    <t>400494092534</t>
  </si>
  <si>
    <t>49409253</t>
  </si>
  <si>
    <t>400494092541</t>
  </si>
  <si>
    <t>49409254</t>
  </si>
  <si>
    <t>400494092558</t>
  </si>
  <si>
    <t>49409255</t>
  </si>
  <si>
    <t>400494092565</t>
  </si>
  <si>
    <t>49409256</t>
  </si>
  <si>
    <t>400494092589</t>
  </si>
  <si>
    <t>49409258</t>
  </si>
  <si>
    <t>400592897321</t>
  </si>
  <si>
    <t>59289732</t>
  </si>
  <si>
    <t>6448808</t>
  </si>
  <si>
    <t>Girls 6-18 SO® Ultimate Pull-On Mid-Rise Twill Jeggings in Regular &amp; Plus</t>
  </si>
  <si>
    <t>Maroon Mood</t>
  </si>
  <si>
    <t>400724850316</t>
  </si>
  <si>
    <t>72485031</t>
  </si>
  <si>
    <t>651</t>
  </si>
  <si>
    <t>400724851122</t>
  </si>
  <si>
    <t>72485112</t>
  </si>
  <si>
    <t>400592897147</t>
  </si>
  <si>
    <t>59289714</t>
  </si>
  <si>
    <t>400724850293</t>
  </si>
  <si>
    <t>72485029</t>
  </si>
  <si>
    <t>400592897222</t>
  </si>
  <si>
    <t>59289722</t>
  </si>
  <si>
    <t>400724850309</t>
  </si>
  <si>
    <t>72485030</t>
  </si>
  <si>
    <t>400592897215</t>
  </si>
  <si>
    <t>59289721</t>
  </si>
  <si>
    <t>400592897338</t>
  </si>
  <si>
    <t>59289733</t>
  </si>
  <si>
    <t>400592897345</t>
  </si>
  <si>
    <t>59289734</t>
  </si>
  <si>
    <t>400592897246</t>
  </si>
  <si>
    <t>59289724</t>
  </si>
  <si>
    <t>400592897314</t>
  </si>
  <si>
    <t>59289731</t>
  </si>
  <si>
    <t>400592897239</t>
  </si>
  <si>
    <t>59289723</t>
  </si>
  <si>
    <t>400547371821</t>
  </si>
  <si>
    <t>54737182</t>
  </si>
  <si>
    <t>400547371814</t>
  </si>
  <si>
    <t>54737181</t>
  </si>
  <si>
    <t>400547371807</t>
  </si>
  <si>
    <t>54737180</t>
  </si>
  <si>
    <t>400547371845</t>
  </si>
  <si>
    <t>54737184</t>
  </si>
  <si>
    <t>400547371852</t>
  </si>
  <si>
    <t>54737185</t>
  </si>
  <si>
    <t>Baby Little Planet by Carter's Sweater Knit Overalls</t>
  </si>
  <si>
    <t>Subtle Gray Heather</t>
  </si>
  <si>
    <t>196027312568</t>
  </si>
  <si>
    <t>18787912</t>
  </si>
  <si>
    <t>6176768</t>
  </si>
  <si>
    <t>Disney Princess Toddler Girl &amp;#34;Always Be You&amp;#34; Microfleece Top &amp; Bottoms Pajama Set</t>
  </si>
  <si>
    <t>Princess</t>
  </si>
  <si>
    <t>196027312575</t>
  </si>
  <si>
    <t>18787913</t>
  </si>
  <si>
    <t>1018</t>
  </si>
  <si>
    <t>196027312582</t>
  </si>
  <si>
    <t>18787914</t>
  </si>
  <si>
    <t>753</t>
  </si>
  <si>
    <t>Men's Champion® Graphic Tee</t>
  </si>
  <si>
    <t>194356234810</t>
  </si>
  <si>
    <t>68756155</t>
  </si>
  <si>
    <t>6362445</t>
  </si>
  <si>
    <t>Just My Style All-in-One Jewelry Carry Case</t>
  </si>
  <si>
    <t>Just My Style</t>
  </si>
  <si>
    <t>Men's Levi's® 511™ Slim-Fit Stretch Jeans</t>
  </si>
  <si>
    <t>India Ink Gd</t>
  </si>
  <si>
    <t>28X30</t>
  </si>
  <si>
    <t>Vampire Squid</t>
  </si>
  <si>
    <t>196524363506</t>
  </si>
  <si>
    <t>70259832</t>
  </si>
  <si>
    <t>28X32</t>
  </si>
  <si>
    <t>196524363513</t>
  </si>
  <si>
    <t>70259839</t>
  </si>
  <si>
    <t>29X30</t>
  </si>
  <si>
    <t>29X32</t>
  </si>
  <si>
    <t>31X30</t>
  </si>
  <si>
    <t>31X32</t>
  </si>
  <si>
    <t>32X36</t>
  </si>
  <si>
    <t>Glowing Octupus</t>
  </si>
  <si>
    <t>33X32</t>
  </si>
  <si>
    <t>33X34</t>
  </si>
  <si>
    <t>34X29</t>
  </si>
  <si>
    <t>34X36</t>
  </si>
  <si>
    <t>36X36</t>
  </si>
  <si>
    <t>196524364039</t>
  </si>
  <si>
    <t>70259899</t>
  </si>
  <si>
    <t>Medium Gray Worn In</t>
  </si>
  <si>
    <t>196524364145</t>
  </si>
  <si>
    <t>70259910</t>
  </si>
  <si>
    <t>196524364206</t>
  </si>
  <si>
    <t>70259912</t>
  </si>
  <si>
    <t>043849015767</t>
  </si>
  <si>
    <t>70409009</t>
  </si>
  <si>
    <t>6657328</t>
  </si>
  <si>
    <t>Girls 7-20 Knit Works 2-pc. Bomber Jacket &amp; Sleeveless Striped Jumpsuit Set in Regular &amp; Plus Size</t>
  </si>
  <si>
    <t>043849015781</t>
  </si>
  <si>
    <t>70409011</t>
  </si>
  <si>
    <t>043849015798</t>
  </si>
  <si>
    <t>70409012</t>
  </si>
  <si>
    <t>400717800458</t>
  </si>
  <si>
    <t>71780045</t>
  </si>
  <si>
    <t>5564678</t>
  </si>
  <si>
    <t>Plus Size Simply Vera Vera Wang Roll-Tab Popover Top</t>
  </si>
  <si>
    <t>400717800663</t>
  </si>
  <si>
    <t>71780066</t>
  </si>
  <si>
    <t>400717800465</t>
  </si>
  <si>
    <t>71780046</t>
  </si>
  <si>
    <t>400717800670</t>
  </si>
  <si>
    <t>71780067</t>
  </si>
  <si>
    <t>400717800472</t>
  </si>
  <si>
    <t>71780047</t>
  </si>
  <si>
    <t>400717800533</t>
  </si>
  <si>
    <t>71780053</t>
  </si>
  <si>
    <t>400717800731</t>
  </si>
  <si>
    <t>71780073</t>
  </si>
  <si>
    <t>196900152106</t>
  </si>
  <si>
    <t>47658226</t>
  </si>
  <si>
    <t>6394306</t>
  </si>
  <si>
    <t>Toddler Girl Bonnie Jean 2-pc. Sparkly Knit Dress &amp; Cardigan Set</t>
  </si>
  <si>
    <t>196900152113</t>
  </si>
  <si>
    <t>47658227</t>
  </si>
  <si>
    <t>196900152120</t>
  </si>
  <si>
    <t>47658234</t>
  </si>
  <si>
    <t>196900152137</t>
  </si>
  <si>
    <t>47658235</t>
  </si>
  <si>
    <t>197232443344</t>
  </si>
  <si>
    <t>83237901</t>
  </si>
  <si>
    <t>6603538</t>
  </si>
  <si>
    <t>Men's Tommy Hilfiger Short Sleeve Original Stretch Oxford Shirt</t>
  </si>
  <si>
    <t>Azure Lagoon</t>
  </si>
  <si>
    <t>400630564949</t>
  </si>
  <si>
    <t>63056494</t>
  </si>
  <si>
    <t>1972</t>
  </si>
  <si>
    <t>5543907</t>
  </si>
  <si>
    <t>Women's Tek Gear® Ultrasoft Fleece Jogger Pants</t>
  </si>
  <si>
    <t>400179603925</t>
  </si>
  <si>
    <t>17960392</t>
  </si>
  <si>
    <t>5014726</t>
  </si>
  <si>
    <t>Plus Size FLX Affirmation High-Waisted Flare Leggings</t>
  </si>
  <si>
    <t>FLX</t>
  </si>
  <si>
    <t>400179603932</t>
  </si>
  <si>
    <t>17960393</t>
  </si>
  <si>
    <t>400179603949</t>
  </si>
  <si>
    <t>17960394</t>
  </si>
  <si>
    <t>400179603956</t>
  </si>
  <si>
    <t>17960395</t>
  </si>
  <si>
    <t>197369050521</t>
  </si>
  <si>
    <t>78773473</t>
  </si>
  <si>
    <t>6172043</t>
  </si>
  <si>
    <t>madden girl MSHIMMY Girls' Dress Sandals</t>
  </si>
  <si>
    <t>madden girl</t>
  </si>
  <si>
    <t>400187880127</t>
  </si>
  <si>
    <t>18788012</t>
  </si>
  <si>
    <t>6177932</t>
  </si>
  <si>
    <t>Women's Nine West Cozy Mock Neck Pullover Sweater</t>
  </si>
  <si>
    <t>400187880257</t>
  </si>
  <si>
    <t>18788025</t>
  </si>
  <si>
    <t>400187880134</t>
  </si>
  <si>
    <t>18788013</t>
  </si>
  <si>
    <t>400720675135</t>
  </si>
  <si>
    <t>72067513</t>
  </si>
  <si>
    <t>Black Dew Stripe</t>
  </si>
  <si>
    <t>400187880264</t>
  </si>
  <si>
    <t>18788026</t>
  </si>
  <si>
    <t>400720675142</t>
  </si>
  <si>
    <t>72067514</t>
  </si>
  <si>
    <t>Baby Girls Carter's 3-Piece Little Vest Set</t>
  </si>
  <si>
    <t>Print</t>
  </si>
  <si>
    <t>400505434056</t>
  </si>
  <si>
    <t>50543405</t>
  </si>
  <si>
    <t>4981606</t>
  </si>
  <si>
    <t>Cuddl Duds® Flannel Sheet Set or Pillowcases</t>
  </si>
  <si>
    <t>Santa Stripe</t>
  </si>
  <si>
    <t>FULL SET</t>
  </si>
  <si>
    <t>400839446039</t>
  </si>
  <si>
    <t>83944603</t>
  </si>
  <si>
    <t>6530805</t>
  </si>
  <si>
    <t>Girls 6-20 SO® 2-Piece Slip Dress &amp; Mesh Tee Set in Regular &amp; Plus</t>
  </si>
  <si>
    <t>Teal Daisy Check</t>
  </si>
  <si>
    <t>400839445841</t>
  </si>
  <si>
    <t>83944584</t>
  </si>
  <si>
    <t>Purple Flower Dye</t>
  </si>
  <si>
    <t>400839445650</t>
  </si>
  <si>
    <t>83944565</t>
  </si>
  <si>
    <t>400839445537</t>
  </si>
  <si>
    <t>83944553</t>
  </si>
  <si>
    <t>Blue Floral Dye</t>
  </si>
  <si>
    <t>400839446046</t>
  </si>
  <si>
    <t>83944604</t>
  </si>
  <si>
    <t>400839445858</t>
  </si>
  <si>
    <t>83944585</t>
  </si>
  <si>
    <t>400839445735</t>
  </si>
  <si>
    <t>83944573</t>
  </si>
  <si>
    <t>400839445544</t>
  </si>
  <si>
    <t>83944554</t>
  </si>
  <si>
    <t>400839446053</t>
  </si>
  <si>
    <t>83944605</t>
  </si>
  <si>
    <t>400839445933</t>
  </si>
  <si>
    <t>83944593</t>
  </si>
  <si>
    <t>400839445742</t>
  </si>
  <si>
    <t>83944574</t>
  </si>
  <si>
    <t>400839445551</t>
  </si>
  <si>
    <t>83944555</t>
  </si>
  <si>
    <t>400839445636</t>
  </si>
  <si>
    <t>83944563</t>
  </si>
  <si>
    <t>400839446138</t>
  </si>
  <si>
    <t>83944613</t>
  </si>
  <si>
    <t>400839445940</t>
  </si>
  <si>
    <t>83944594</t>
  </si>
  <si>
    <t>400839445759</t>
  </si>
  <si>
    <t>83944575</t>
  </si>
  <si>
    <t>400839445834</t>
  </si>
  <si>
    <t>83944583</t>
  </si>
  <si>
    <t>400839445643</t>
  </si>
  <si>
    <t>83944564</t>
  </si>
  <si>
    <t>400839446145</t>
  </si>
  <si>
    <t>83944614</t>
  </si>
  <si>
    <t>400839445957</t>
  </si>
  <si>
    <t>83944595</t>
  </si>
  <si>
    <t>400867030415</t>
  </si>
  <si>
    <t>86703041</t>
  </si>
  <si>
    <t>400867030590</t>
  </si>
  <si>
    <t>86703059</t>
  </si>
  <si>
    <t>400867030521</t>
  </si>
  <si>
    <t>86703052</t>
  </si>
  <si>
    <t>400867030538</t>
  </si>
  <si>
    <t>86703053</t>
  </si>
  <si>
    <t>400867030439</t>
  </si>
  <si>
    <t>86703043</t>
  </si>
  <si>
    <t>400867030545</t>
  </si>
  <si>
    <t>86703054</t>
  </si>
  <si>
    <t>400867030637</t>
  </si>
  <si>
    <t>86703063</t>
  </si>
  <si>
    <t>400867030446</t>
  </si>
  <si>
    <t>86703044</t>
  </si>
  <si>
    <t>400867030576</t>
  </si>
  <si>
    <t>86703057</t>
  </si>
  <si>
    <t>400867030644</t>
  </si>
  <si>
    <t>86703064</t>
  </si>
  <si>
    <t>400867030453</t>
  </si>
  <si>
    <t>86703045</t>
  </si>
  <si>
    <t>400867030514</t>
  </si>
  <si>
    <t>86703051</t>
  </si>
  <si>
    <t>400867030583</t>
  </si>
  <si>
    <t>86703058</t>
  </si>
  <si>
    <t>196219874676</t>
  </si>
  <si>
    <t>61694016</t>
  </si>
  <si>
    <t>6062701</t>
  </si>
  <si>
    <t>Girls 7-16 adidas AOP Loose Fit Fleece Hoodie</t>
  </si>
  <si>
    <t>196219874324</t>
  </si>
  <si>
    <t>61694025</t>
  </si>
  <si>
    <t>Wonder Orchid</t>
  </si>
  <si>
    <t>196219874331</t>
  </si>
  <si>
    <t>61694026</t>
  </si>
  <si>
    <t>196219874683</t>
  </si>
  <si>
    <t>61694017</t>
  </si>
  <si>
    <t>196219874348</t>
  </si>
  <si>
    <t>61694027</t>
  </si>
  <si>
    <t>196219874690</t>
  </si>
  <si>
    <t>61694018</t>
  </si>
  <si>
    <t>196219874706</t>
  </si>
  <si>
    <t>61694019</t>
  </si>
  <si>
    <t>196219874355</t>
  </si>
  <si>
    <t>61694028</t>
  </si>
  <si>
    <t>Boys 8-20 Champion® Short Sleeve Tee</t>
  </si>
  <si>
    <t>Blue Meridian</t>
  </si>
  <si>
    <t>196739387106</t>
  </si>
  <si>
    <t>30374022</t>
  </si>
  <si>
    <t>Team Gold</t>
  </si>
  <si>
    <t>Jade Ocean</t>
  </si>
  <si>
    <t>400560555376</t>
  </si>
  <si>
    <t>56055537</t>
  </si>
  <si>
    <t>6143644</t>
  </si>
  <si>
    <t>Baby &amp; Toddler Girls Jumping Beans® Two Tier Skirt</t>
  </si>
  <si>
    <t>Mustard Yellow</t>
  </si>
  <si>
    <t>400651457886</t>
  </si>
  <si>
    <t>65145788</t>
  </si>
  <si>
    <t>Pink Patchwork</t>
  </si>
  <si>
    <t>400560555383</t>
  </si>
  <si>
    <t>56055538</t>
  </si>
  <si>
    <t>400651457893</t>
  </si>
  <si>
    <t>65145789</t>
  </si>
  <si>
    <t>400651457800</t>
  </si>
  <si>
    <t>65145780</t>
  </si>
  <si>
    <t>Navy Floral</t>
  </si>
  <si>
    <t>400806023812</t>
  </si>
  <si>
    <t>80602381</t>
  </si>
  <si>
    <t>Faux Denim</t>
  </si>
  <si>
    <t>400651457909</t>
  </si>
  <si>
    <t>65145790</t>
  </si>
  <si>
    <t>400560555390</t>
  </si>
  <si>
    <t>56055539</t>
  </si>
  <si>
    <t>400651457916</t>
  </si>
  <si>
    <t>65145791</t>
  </si>
  <si>
    <t>400560555413</t>
  </si>
  <si>
    <t>56055541</t>
  </si>
  <si>
    <t>400651457923</t>
  </si>
  <si>
    <t>65145792</t>
  </si>
  <si>
    <t>400560555475</t>
  </si>
  <si>
    <t>56055547</t>
  </si>
  <si>
    <t>400560555482</t>
  </si>
  <si>
    <t>56055548</t>
  </si>
  <si>
    <t>400651457978</t>
  </si>
  <si>
    <t>65145797</t>
  </si>
  <si>
    <t>197383205273</t>
  </si>
  <si>
    <t>69037881</t>
  </si>
  <si>
    <t>7082068</t>
  </si>
  <si>
    <t>Women's Harper Rose Printed Sleeveless Surplice Midi Dress</t>
  </si>
  <si>
    <t>Black Cream</t>
  </si>
  <si>
    <t>196604920889</t>
  </si>
  <si>
    <t>58764552</t>
  </si>
  <si>
    <t>5945710</t>
  </si>
  <si>
    <t>Boys 8-20 Nike Sportswear Graphic Tee</t>
  </si>
  <si>
    <t>196604920896</t>
  </si>
  <si>
    <t>58764553</t>
  </si>
  <si>
    <t>196604920902</t>
  </si>
  <si>
    <t>58764554</t>
  </si>
  <si>
    <t>196604920919</t>
  </si>
  <si>
    <t>58764555</t>
  </si>
  <si>
    <t>400714354817</t>
  </si>
  <si>
    <t>71435481</t>
  </si>
  <si>
    <t>6615760</t>
  </si>
  <si>
    <t>Women's LC Lauren Conrad Long Sleeve Tee</t>
  </si>
  <si>
    <t>400714354992</t>
  </si>
  <si>
    <t>71435499</t>
  </si>
  <si>
    <t>400714354824</t>
  </si>
  <si>
    <t>71435482</t>
  </si>
  <si>
    <t>400714355005</t>
  </si>
  <si>
    <t>71435500</t>
  </si>
  <si>
    <t>400714354893</t>
  </si>
  <si>
    <t>71435489</t>
  </si>
  <si>
    <t>400714355012</t>
  </si>
  <si>
    <t>71435501</t>
  </si>
  <si>
    <t>400805693931</t>
  </si>
  <si>
    <t>80569393</t>
  </si>
  <si>
    <t>Cream Basque Stripe</t>
  </si>
  <si>
    <t>400714355029</t>
  </si>
  <si>
    <t>71435502</t>
  </si>
  <si>
    <t>400714354909</t>
  </si>
  <si>
    <t>71435490</t>
  </si>
  <si>
    <t>400805693948</t>
  </si>
  <si>
    <t>80569394</t>
  </si>
  <si>
    <t>400714354916</t>
  </si>
  <si>
    <t>71435491</t>
  </si>
  <si>
    <t>400714355098</t>
  </si>
  <si>
    <t>71435509</t>
  </si>
  <si>
    <t>400805693955</t>
  </si>
  <si>
    <t>80569395</t>
  </si>
  <si>
    <t>400541672597</t>
  </si>
  <si>
    <t>54167259</t>
  </si>
  <si>
    <t>6870228</t>
  </si>
  <si>
    <t>Juniors' SO® Cropped Button Down Shirt</t>
  </si>
  <si>
    <t>400499215792</t>
  </si>
  <si>
    <t>49921579</t>
  </si>
  <si>
    <t>400499215815</t>
  </si>
  <si>
    <t>49921581</t>
  </si>
  <si>
    <t>400499215822</t>
  </si>
  <si>
    <t>49921582</t>
  </si>
  <si>
    <t>400541672610</t>
  </si>
  <si>
    <t>54167261</t>
  </si>
  <si>
    <t>400499215839</t>
  </si>
  <si>
    <t>49921583</t>
  </si>
  <si>
    <t>400541672627</t>
  </si>
  <si>
    <t>54167262</t>
  </si>
  <si>
    <t>400499215846</t>
  </si>
  <si>
    <t>49921584</t>
  </si>
  <si>
    <t>400547283803</t>
  </si>
  <si>
    <t>54728380</t>
  </si>
  <si>
    <t>5656046</t>
  </si>
  <si>
    <t>Plus Size Tek Gear® Performance Long Sleeve Tee</t>
  </si>
  <si>
    <t>400547283810</t>
  </si>
  <si>
    <t>54728381</t>
  </si>
  <si>
    <t>400547283827</t>
  </si>
  <si>
    <t>54728382</t>
  </si>
  <si>
    <t>400547283841</t>
  </si>
  <si>
    <t>54728384</t>
  </si>
  <si>
    <t>400720737963</t>
  </si>
  <si>
    <t>72073796</t>
  </si>
  <si>
    <t>5625802</t>
  </si>
  <si>
    <t>Dark Purple</t>
  </si>
  <si>
    <t>400642744124</t>
  </si>
  <si>
    <t>64274412</t>
  </si>
  <si>
    <t>2196</t>
  </si>
  <si>
    <t>400720737949</t>
  </si>
  <si>
    <t>72073794</t>
  </si>
  <si>
    <t>3552</t>
  </si>
  <si>
    <t>Women's adidas Essentials Long Sleeve Printed Mock Polo Shirt</t>
  </si>
  <si>
    <t>Disney's Lilo and Stitch Little Kid Girls' High-Top Sneakers</t>
  </si>
  <si>
    <t>Disney</t>
  </si>
  <si>
    <t>400732266307</t>
  </si>
  <si>
    <t>73226630</t>
  </si>
  <si>
    <t>6142529</t>
  </si>
  <si>
    <t>Girls 6-20 SO® Midrise Girlfriend Jeans in Regular &amp; Plus Size</t>
  </si>
  <si>
    <t>400732266215</t>
  </si>
  <si>
    <t>73226621</t>
  </si>
  <si>
    <t>400732266345</t>
  </si>
  <si>
    <t>73226634</t>
  </si>
  <si>
    <t>400732266352</t>
  </si>
  <si>
    <t>73226635</t>
  </si>
  <si>
    <t>400732266369</t>
  </si>
  <si>
    <t>73226636</t>
  </si>
  <si>
    <t>400732266291</t>
  </si>
  <si>
    <t>73226629</t>
  </si>
  <si>
    <t>400732266376</t>
  </si>
  <si>
    <t>73226637</t>
  </si>
  <si>
    <t>400707421243</t>
  </si>
  <si>
    <t>70742124</t>
  </si>
  <si>
    <t>1050</t>
  </si>
  <si>
    <t>5721729</t>
  </si>
  <si>
    <t>SO® Sophia Girls’ Winter Boots</t>
  </si>
  <si>
    <t>400707421250</t>
  </si>
  <si>
    <t>70742125</t>
  </si>
  <si>
    <t>400707421274</t>
  </si>
  <si>
    <t>70742127</t>
  </si>
  <si>
    <t>1513</t>
  </si>
  <si>
    <t>400768569564</t>
  </si>
  <si>
    <t>76856956</t>
  </si>
  <si>
    <t>6512543</t>
  </si>
  <si>
    <t>Juniors' SO® Oversized Boyfriend Mockneck Tee</t>
  </si>
  <si>
    <t>Medium Blue</t>
  </si>
  <si>
    <t>400298659131</t>
  </si>
  <si>
    <t>29865913</t>
  </si>
  <si>
    <t>400298658943</t>
  </si>
  <si>
    <t>29865894</t>
  </si>
  <si>
    <t>400768569618</t>
  </si>
  <si>
    <t>76856961</t>
  </si>
  <si>
    <t>Nina Purple</t>
  </si>
  <si>
    <t>400768569670</t>
  </si>
  <si>
    <t>76856967</t>
  </si>
  <si>
    <t>Unique Green</t>
  </si>
  <si>
    <t>400768569502</t>
  </si>
  <si>
    <t>76856950</t>
  </si>
  <si>
    <t>Mission</t>
  </si>
  <si>
    <t>400768569724</t>
  </si>
  <si>
    <t>76856972</t>
  </si>
  <si>
    <t>Gray Haze</t>
  </si>
  <si>
    <t>400867196500</t>
  </si>
  <si>
    <t>86719650</t>
  </si>
  <si>
    <t>6165797</t>
  </si>
  <si>
    <t>Juniors' SO® Ribbed Baby Tee</t>
  </si>
  <si>
    <t>400649858787</t>
  </si>
  <si>
    <t>64985878</t>
  </si>
  <si>
    <t>400649859005</t>
  </si>
  <si>
    <t>64985900</t>
  </si>
  <si>
    <t>400785709110</t>
  </si>
  <si>
    <t>78570911</t>
  </si>
  <si>
    <t>192598787200</t>
  </si>
  <si>
    <t>61931340</t>
  </si>
  <si>
    <t>5252991</t>
  </si>
  <si>
    <t>Sonoma Goods For Life® Home Throw Pillow</t>
  </si>
  <si>
    <t>400651599753</t>
  </si>
  <si>
    <t>65159975</t>
  </si>
  <si>
    <t>7081212</t>
  </si>
  <si>
    <t>Women's Croft &amp; Barrow® Essential One Pocket Button Down Shirt</t>
  </si>
  <si>
    <t>Khaki Simple Stripe</t>
  </si>
  <si>
    <t>400651599838</t>
  </si>
  <si>
    <t>65159983</t>
  </si>
  <si>
    <t>400651599845</t>
  </si>
  <si>
    <t>65159984</t>
  </si>
  <si>
    <t>400651599852</t>
  </si>
  <si>
    <t>65159985</t>
  </si>
  <si>
    <t>400651599937</t>
  </si>
  <si>
    <t>65159993</t>
  </si>
  <si>
    <t>400651599944</t>
  </si>
  <si>
    <t>65159994</t>
  </si>
  <si>
    <t>193506102467</t>
  </si>
  <si>
    <t>29827119</t>
  </si>
  <si>
    <t>448</t>
  </si>
  <si>
    <t>6615812</t>
  </si>
  <si>
    <t>14k Gold Freshwater Cultured Pearl Stud Earrings</t>
  </si>
  <si>
    <t>14k Gold</t>
  </si>
  <si>
    <t>400806379506</t>
  </si>
  <si>
    <t>80637950</t>
  </si>
  <si>
    <t>7081542</t>
  </si>
  <si>
    <t>Plus Size Tek Gear® Ultrastretch Performance Jacket</t>
  </si>
  <si>
    <t>Purple Embossed Haze</t>
  </si>
  <si>
    <t>400806379513</t>
  </si>
  <si>
    <t>80637951</t>
  </si>
  <si>
    <t>400806379520</t>
  </si>
  <si>
    <t>80637952</t>
  </si>
  <si>
    <t>197505018309</t>
  </si>
  <si>
    <t>78046371</t>
  </si>
  <si>
    <t>6482798</t>
  </si>
  <si>
    <t>Plus Size Lilac+London Lace Hem Satin Camisole &amp; Pajama Shorts Sleep Set</t>
  </si>
  <si>
    <t>197505018330</t>
  </si>
  <si>
    <t>78046368</t>
  </si>
  <si>
    <t>197505018316</t>
  </si>
  <si>
    <t>78046372</t>
  </si>
  <si>
    <t>197505018347</t>
  </si>
  <si>
    <t>78046369</t>
  </si>
  <si>
    <t>197505018323</t>
  </si>
  <si>
    <t>78046373</t>
  </si>
  <si>
    <t>197505018354</t>
  </si>
  <si>
    <t>78046370</t>
  </si>
  <si>
    <t>400309876168</t>
  </si>
  <si>
    <t>30987616</t>
  </si>
  <si>
    <t>6462006</t>
  </si>
  <si>
    <t>Women's LC Lauren Conrad Long Sleeve Ruched Front V-Neck Top</t>
  </si>
  <si>
    <t>400500248788</t>
  </si>
  <si>
    <t>50024878</t>
  </si>
  <si>
    <t>400309876236</t>
  </si>
  <si>
    <t>30987623</t>
  </si>
  <si>
    <t>400500248795</t>
  </si>
  <si>
    <t>50024879</t>
  </si>
  <si>
    <t>400309876366</t>
  </si>
  <si>
    <t>30987636</t>
  </si>
  <si>
    <t>400309876243</t>
  </si>
  <si>
    <t>30987624</t>
  </si>
  <si>
    <t>400474530858</t>
  </si>
  <si>
    <t>47453085</t>
  </si>
  <si>
    <t>400500248801</t>
  </si>
  <si>
    <t>50024880</t>
  </si>
  <si>
    <t>400309876434</t>
  </si>
  <si>
    <t>30987643</t>
  </si>
  <si>
    <t>400309876250</t>
  </si>
  <si>
    <t>30987625</t>
  </si>
  <si>
    <t>400474530865</t>
  </si>
  <si>
    <t>47453086</t>
  </si>
  <si>
    <t>400500248818</t>
  </si>
  <si>
    <t>50024881</t>
  </si>
  <si>
    <t>400189666439</t>
  </si>
  <si>
    <t>18966643</t>
  </si>
  <si>
    <t>6138993</t>
  </si>
  <si>
    <t>Girls 6-20 SO® Double Button Midrise Skinny Jeans in Regular &amp; Plus Size</t>
  </si>
  <si>
    <t>400819791678</t>
  </si>
  <si>
    <t>81979167</t>
  </si>
  <si>
    <t>400189666392</t>
  </si>
  <si>
    <t>18966639</t>
  </si>
  <si>
    <t>400189666408</t>
  </si>
  <si>
    <t>18966640</t>
  </si>
  <si>
    <t>400819791654</t>
  </si>
  <si>
    <t>81979165</t>
  </si>
  <si>
    <t>400189666415</t>
  </si>
  <si>
    <t>18966641</t>
  </si>
  <si>
    <t>400819791661</t>
  </si>
  <si>
    <t>81979166</t>
  </si>
  <si>
    <t>400189666446</t>
  </si>
  <si>
    <t>18966644</t>
  </si>
  <si>
    <t>400819791746</t>
  </si>
  <si>
    <t>81979174</t>
  </si>
  <si>
    <t>196139551572</t>
  </si>
  <si>
    <t>72085172</t>
  </si>
  <si>
    <t>6194227</t>
  </si>
  <si>
    <t>Toddler Boy Carter's Heavyweight Parka</t>
  </si>
  <si>
    <t>196139551541</t>
  </si>
  <si>
    <t>72085169</t>
  </si>
  <si>
    <t>Camel</t>
  </si>
  <si>
    <t>196139551558</t>
  </si>
  <si>
    <t>72085170</t>
  </si>
  <si>
    <t>196139551565</t>
  </si>
  <si>
    <t>72085171</t>
  </si>
  <si>
    <t>826894743034</t>
  </si>
  <si>
    <t>37549759</t>
  </si>
  <si>
    <t>6564007</t>
  </si>
  <si>
    <t>Rosetti Kayla Satchel Bag</t>
  </si>
  <si>
    <t>Rosetti</t>
  </si>
  <si>
    <t>Hunter Plaid</t>
  </si>
  <si>
    <t>Baby Carter's 3-Piece Plaid Little Vest Set</t>
  </si>
  <si>
    <t>889602812774</t>
  </si>
  <si>
    <t>18959276</t>
  </si>
  <si>
    <t>6638706</t>
  </si>
  <si>
    <t>Women's Simply Vera Vera Wang Crochet Midi Skirt</t>
  </si>
  <si>
    <t>889602812835</t>
  </si>
  <si>
    <t>18959269</t>
  </si>
  <si>
    <t>889602812842</t>
  </si>
  <si>
    <t>18959270</t>
  </si>
  <si>
    <t>889602812828</t>
  </si>
  <si>
    <t>18959281</t>
  </si>
  <si>
    <t>889602812880</t>
  </si>
  <si>
    <t>18959275</t>
  </si>
  <si>
    <t>195862280827</t>
  </si>
  <si>
    <t>80217265</t>
  </si>
  <si>
    <t>6431701</t>
  </si>
  <si>
    <t>Toddler Girl Carter's Plaid Flutter Dress</t>
  </si>
  <si>
    <t>Plaid</t>
  </si>
  <si>
    <t>195862280834</t>
  </si>
  <si>
    <t>80217266</t>
  </si>
  <si>
    <t>195862280841</t>
  </si>
  <si>
    <t>80217267</t>
  </si>
  <si>
    <t>195862280858</t>
  </si>
  <si>
    <t>80217268</t>
  </si>
  <si>
    <t>Women's Eddie Bauer Rainfoil Insulated Parka</t>
  </si>
  <si>
    <t>709996897112</t>
  </si>
  <si>
    <t>54709042</t>
  </si>
  <si>
    <t>1241</t>
  </si>
  <si>
    <t>5653002</t>
  </si>
  <si>
    <t>Boys Transparent Backpack</t>
  </si>
  <si>
    <t>197505018095</t>
  </si>
  <si>
    <t>53021302</t>
  </si>
  <si>
    <t>6482799</t>
  </si>
  <si>
    <t>Women's Lilac+London Jacquard Kimono Wrapper</t>
  </si>
  <si>
    <t>197505018101</t>
  </si>
  <si>
    <t>53021303</t>
  </si>
  <si>
    <t>197505018118</t>
  </si>
  <si>
    <t>53021304</t>
  </si>
  <si>
    <t>197505018125</t>
  </si>
  <si>
    <t>53021305</t>
  </si>
  <si>
    <t>197505018132</t>
  </si>
  <si>
    <t>53021306</t>
  </si>
  <si>
    <t>197505018149</t>
  </si>
  <si>
    <t>53021308</t>
  </si>
  <si>
    <t>400720074815</t>
  </si>
  <si>
    <t>72007481</t>
  </si>
  <si>
    <t>5945737</t>
  </si>
  <si>
    <t>Plus Size Croft &amp; Barrow® Classic Pull-On Straight-Leg Jeans</t>
  </si>
  <si>
    <t>Men's adidas Printed Polo</t>
  </si>
  <si>
    <t>400499861395</t>
  </si>
  <si>
    <t>49986139</t>
  </si>
  <si>
    <t>6360157</t>
  </si>
  <si>
    <t>Women's Croft &amp; Barrow® Button Through Blouse</t>
  </si>
  <si>
    <t>400499861401</t>
  </si>
  <si>
    <t>49986140</t>
  </si>
  <si>
    <t>400189860752</t>
  </si>
  <si>
    <t>18986075</t>
  </si>
  <si>
    <t>Cream Vertical Floral</t>
  </si>
  <si>
    <t>400499861418</t>
  </si>
  <si>
    <t>49986141</t>
  </si>
  <si>
    <t>400189860769</t>
  </si>
  <si>
    <t>18986076</t>
  </si>
  <si>
    <t>400499861425</t>
  </si>
  <si>
    <t>49986142</t>
  </si>
  <si>
    <t>400189860776</t>
  </si>
  <si>
    <t>18986077</t>
  </si>
  <si>
    <t>195142178257</t>
  </si>
  <si>
    <t>29890203</t>
  </si>
  <si>
    <t>6206348</t>
  </si>
  <si>
    <t>Star Wars Grogu Girls' Shoes</t>
  </si>
  <si>
    <t>195142178264</t>
  </si>
  <si>
    <t>29890204</t>
  </si>
  <si>
    <t>Baby Little Planet by Carter's Striped Sweater Knit Henley Sweatshirt &amp; Jogger Pants 2-Piece Set</t>
  </si>
  <si>
    <t>Gray Stripe</t>
  </si>
  <si>
    <t>195862026067</t>
  </si>
  <si>
    <t>76794165</t>
  </si>
  <si>
    <t>6074435</t>
  </si>
  <si>
    <t>Baby Carter's 2-Piece Striped Fleece Pullover &amp; Pant Set</t>
  </si>
  <si>
    <t>195862026029</t>
  </si>
  <si>
    <t>76794161</t>
  </si>
  <si>
    <t>195862026036</t>
  </si>
  <si>
    <t>76794162</t>
  </si>
  <si>
    <t>400717658332</t>
  </si>
  <si>
    <t>71765833</t>
  </si>
  <si>
    <t>6108015</t>
  </si>
  <si>
    <t>Women's LC Lauren Conrad High Rise Super Skinny Ponte Pants</t>
  </si>
  <si>
    <t>Chaz Gray</t>
  </si>
  <si>
    <t>400805580644</t>
  </si>
  <si>
    <t>80558064</t>
  </si>
  <si>
    <t>400805580583</t>
  </si>
  <si>
    <t>80558058</t>
  </si>
  <si>
    <t>Brick Pottery</t>
  </si>
  <si>
    <t>400731165090</t>
  </si>
  <si>
    <t>73116509</t>
  </si>
  <si>
    <t>400731164918</t>
  </si>
  <si>
    <t>73116491</t>
  </si>
  <si>
    <t>400731164796</t>
  </si>
  <si>
    <t>73116479</t>
  </si>
  <si>
    <t>400717658349</t>
  </si>
  <si>
    <t>71765834</t>
  </si>
  <si>
    <t>S SHORT</t>
  </si>
  <si>
    <t>400731164802</t>
  </si>
  <si>
    <t>73116480</t>
  </si>
  <si>
    <t>400731164925</t>
  </si>
  <si>
    <t>73116492</t>
  </si>
  <si>
    <t>400717658356</t>
  </si>
  <si>
    <t>71765835</t>
  </si>
  <si>
    <t>M SHORT</t>
  </si>
  <si>
    <t>400717658363</t>
  </si>
  <si>
    <t>71765836</t>
  </si>
  <si>
    <t>L SHORT</t>
  </si>
  <si>
    <t>400731165007</t>
  </si>
  <si>
    <t>73116500</t>
  </si>
  <si>
    <t>400717658370</t>
  </si>
  <si>
    <t>71765837</t>
  </si>
  <si>
    <t>XL SHORT</t>
  </si>
  <si>
    <t>400731164895</t>
  </si>
  <si>
    <t>73116489</t>
  </si>
  <si>
    <t>400731165014</t>
  </si>
  <si>
    <t>73116501</t>
  </si>
  <si>
    <t>400717658165</t>
  </si>
  <si>
    <t>71765816</t>
  </si>
  <si>
    <t>400717658431</t>
  </si>
  <si>
    <t>71765843</t>
  </si>
  <si>
    <t>400805580637</t>
  </si>
  <si>
    <t>80558063</t>
  </si>
  <si>
    <t>400731164901</t>
  </si>
  <si>
    <t>73116490</t>
  </si>
  <si>
    <t>XXL LONG</t>
  </si>
  <si>
    <t>400731165021</t>
  </si>
  <si>
    <t>73116502</t>
  </si>
  <si>
    <t>Nine West Pruce Women's Block Heel Sandals</t>
  </si>
  <si>
    <t>Dark Brown</t>
  </si>
  <si>
    <t>Disney's Encanto Sing Along Microphone Kids Music Toy by KIDdesigns</t>
  </si>
  <si>
    <t>KIDdesigns</t>
  </si>
  <si>
    <t>194735097999</t>
  </si>
  <si>
    <t>61644604</t>
  </si>
  <si>
    <t>2508</t>
  </si>
  <si>
    <t>5770023</t>
  </si>
  <si>
    <t>Fisher-Price Jurassic World Carnivores Combo</t>
  </si>
  <si>
    <t>195862265107</t>
  </si>
  <si>
    <t>64947352</t>
  </si>
  <si>
    <t>6433002</t>
  </si>
  <si>
    <t>Baby Girl Carter's Button-Up Cardigan</t>
  </si>
  <si>
    <t>195862265077</t>
  </si>
  <si>
    <t>64947359</t>
  </si>
  <si>
    <t>195862265060</t>
  </si>
  <si>
    <t>64947358</t>
  </si>
  <si>
    <t>195862265084</t>
  </si>
  <si>
    <t>64947360</t>
  </si>
  <si>
    <t>195862265039</t>
  </si>
  <si>
    <t>64947361</t>
  </si>
  <si>
    <t>195862265046</t>
  </si>
  <si>
    <t>64947362</t>
  </si>
  <si>
    <t>195862265053</t>
  </si>
  <si>
    <t>64947368</t>
  </si>
  <si>
    <t>091217591344</t>
  </si>
  <si>
    <t>58652479</t>
  </si>
  <si>
    <t>6207050</t>
  </si>
  <si>
    <t>Dearfoams Whitney Teddy Women's Ankle Boot Slippers</t>
  </si>
  <si>
    <t>Dearfoams</t>
  </si>
  <si>
    <t>Pavement</t>
  </si>
  <si>
    <t>091217591306</t>
  </si>
  <si>
    <t>58652488</t>
  </si>
  <si>
    <t>Whiskey</t>
  </si>
  <si>
    <t>091217591382</t>
  </si>
  <si>
    <t>58634558</t>
  </si>
  <si>
    <t>Creme Brule</t>
  </si>
  <si>
    <t>091217591375</t>
  </si>
  <si>
    <t>58652476</t>
  </si>
  <si>
    <t>091217591368</t>
  </si>
  <si>
    <t>58652477</t>
  </si>
  <si>
    <t>091217591399</t>
  </si>
  <si>
    <t>58652478</t>
  </si>
  <si>
    <t>Koolaburra by UGG Koola Toddler Girls' Short Winter Boots</t>
  </si>
  <si>
    <t>197178371336</t>
  </si>
  <si>
    <t>74781844</t>
  </si>
  <si>
    <t>6525829</t>
  </si>
  <si>
    <t>Women's INTEMPO™ Camo Print Oversized Twill Shirt Jacket</t>
  </si>
  <si>
    <t>Camo</t>
  </si>
  <si>
    <t>197178371343</t>
  </si>
  <si>
    <t>74781854</t>
  </si>
  <si>
    <t>400500685781</t>
  </si>
  <si>
    <t>50068578</t>
  </si>
  <si>
    <t>6507854</t>
  </si>
  <si>
    <t>Plus Size Tek Gear® Ultra Stretch Sports Tank Top</t>
  </si>
  <si>
    <t>Elliot Purple</t>
  </si>
  <si>
    <t>400500685828</t>
  </si>
  <si>
    <t>50068582</t>
  </si>
  <si>
    <t>Pink Bellflower</t>
  </si>
  <si>
    <t>400806139261</t>
  </si>
  <si>
    <t>80613926</t>
  </si>
  <si>
    <t>400790268312</t>
  </si>
  <si>
    <t>79026831</t>
  </si>
  <si>
    <t>Blue Haze</t>
  </si>
  <si>
    <t>400806139346</t>
  </si>
  <si>
    <t>80613934</t>
  </si>
  <si>
    <t>400806139308</t>
  </si>
  <si>
    <t>80613930</t>
  </si>
  <si>
    <t>400500685798</t>
  </si>
  <si>
    <t>50068579</t>
  </si>
  <si>
    <t>400500685835</t>
  </si>
  <si>
    <t>50068583</t>
  </si>
  <si>
    <t>400500685842</t>
  </si>
  <si>
    <t>50068584</t>
  </si>
  <si>
    <t>400806139360</t>
  </si>
  <si>
    <t>80613936</t>
  </si>
  <si>
    <t>400806139285</t>
  </si>
  <si>
    <t>80613928</t>
  </si>
  <si>
    <t>400806139322</t>
  </si>
  <si>
    <t>80613932</t>
  </si>
  <si>
    <t>400500685811</t>
  </si>
  <si>
    <t>50068581</t>
  </si>
  <si>
    <t>400500685880</t>
  </si>
  <si>
    <t>50068588</t>
  </si>
  <si>
    <t>CoComelon Bath Time Sing Along Play Center - Ball Pit Tent with 20 Bonus Play Balls</t>
  </si>
  <si>
    <t>Big &amp; Tall Tommy Hilfiger BK Travel Pant</t>
  </si>
  <si>
    <t>44X32</t>
  </si>
  <si>
    <t>46X32</t>
  </si>
  <si>
    <t>400691204051</t>
  </si>
  <si>
    <t>69120405</t>
  </si>
  <si>
    <t>6337905</t>
  </si>
  <si>
    <t>Women's Nine West V-Neck Long Sleeve Tee</t>
  </si>
  <si>
    <t>400703898803</t>
  </si>
  <si>
    <t>70389880</t>
  </si>
  <si>
    <t>400691204068</t>
  </si>
  <si>
    <t>69120406</t>
  </si>
  <si>
    <t>400703898810</t>
  </si>
  <si>
    <t>70389881</t>
  </si>
  <si>
    <t>400691204075</t>
  </si>
  <si>
    <t>69120407</t>
  </si>
  <si>
    <t>400691204082</t>
  </si>
  <si>
    <t>69120408</t>
  </si>
  <si>
    <t>400703898827</t>
  </si>
  <si>
    <t>70389882</t>
  </si>
  <si>
    <t>272</t>
  </si>
  <si>
    <t>400703898834</t>
  </si>
  <si>
    <t>70389883</t>
  </si>
  <si>
    <t>400691204136</t>
  </si>
  <si>
    <t>69120413</t>
  </si>
  <si>
    <t>400703898773</t>
  </si>
  <si>
    <t>70389877</t>
  </si>
  <si>
    <t>Maddie Plum</t>
  </si>
  <si>
    <t>400703898841</t>
  </si>
  <si>
    <t>70389884</t>
  </si>
  <si>
    <t>400691204143</t>
  </si>
  <si>
    <t>69120414</t>
  </si>
  <si>
    <t>400703898780</t>
  </si>
  <si>
    <t>70389878</t>
  </si>
  <si>
    <t>195566924621</t>
  </si>
  <si>
    <t>50825676</t>
  </si>
  <si>
    <t>6364876</t>
  </si>
  <si>
    <t>Boys 8-20 Spiderman Graphic Tee</t>
  </si>
  <si>
    <t>400749125260</t>
  </si>
  <si>
    <t>74912526</t>
  </si>
  <si>
    <t>7029953</t>
  </si>
  <si>
    <t>Black Coated</t>
  </si>
  <si>
    <t>400749125284</t>
  </si>
  <si>
    <t>74912528</t>
  </si>
  <si>
    <t>400749125369</t>
  </si>
  <si>
    <t>74912536</t>
  </si>
  <si>
    <t>400749125376</t>
  </si>
  <si>
    <t>74912537</t>
  </si>
  <si>
    <t>400749125383</t>
  </si>
  <si>
    <t>74912538</t>
  </si>
  <si>
    <t>195862083923</t>
  </si>
  <si>
    <t>80521282</t>
  </si>
  <si>
    <t>6200643</t>
  </si>
  <si>
    <t>Toddler Girl Carter's French Terry Dog Pullover &amp; Leggings Set</t>
  </si>
  <si>
    <t>195862083930</t>
  </si>
  <si>
    <t>80521283</t>
  </si>
  <si>
    <t>889602813313</t>
  </si>
  <si>
    <t>70330611</t>
  </si>
  <si>
    <t>6656566</t>
  </si>
  <si>
    <t>Juniors' Freshman Crochet Long Sleeve Striped Top &amp; Maxi Skirt Set</t>
  </si>
  <si>
    <t>Freshman</t>
  </si>
  <si>
    <t>Brown Black Stripe</t>
  </si>
  <si>
    <t>889602813320</t>
  </si>
  <si>
    <t>70330612</t>
  </si>
  <si>
    <t>889602813337</t>
  </si>
  <si>
    <t>70330613</t>
  </si>
  <si>
    <t>889602813344</t>
  </si>
  <si>
    <t>70330614</t>
  </si>
  <si>
    <t>889602813351</t>
  </si>
  <si>
    <t>70330615</t>
  </si>
  <si>
    <t>195861936992</t>
  </si>
  <si>
    <t>46962857</t>
  </si>
  <si>
    <t>5988494</t>
  </si>
  <si>
    <t>Baby Little Planet by Carter's Hooded Pointelle Sweater Knit Jumpsuit</t>
  </si>
  <si>
    <t>195861937005</t>
  </si>
  <si>
    <t>46962858</t>
  </si>
  <si>
    <t>195566961619</t>
  </si>
  <si>
    <t>18224428</t>
  </si>
  <si>
    <t>6360234</t>
  </si>
  <si>
    <t>Men's Star Wars Long Sleeve Fleece Hoodie</t>
  </si>
  <si>
    <t>Forest Green</t>
  </si>
  <si>
    <t>195566961626</t>
  </si>
  <si>
    <t>18224429</t>
  </si>
  <si>
    <t>197178344583</t>
  </si>
  <si>
    <t>47791867</t>
  </si>
  <si>
    <t>6491006</t>
  </si>
  <si>
    <t>Women's INTEMPO Button Front Shirt</t>
  </si>
  <si>
    <t>197178344675</t>
  </si>
  <si>
    <t>47791886</t>
  </si>
  <si>
    <t>Lime Green Glow</t>
  </si>
  <si>
    <t>197178344613</t>
  </si>
  <si>
    <t>47791856</t>
  </si>
  <si>
    <t>197178344729</t>
  </si>
  <si>
    <t>47791875</t>
  </si>
  <si>
    <t>197178344651</t>
  </si>
  <si>
    <t>47791887</t>
  </si>
  <si>
    <t>197178344590</t>
  </si>
  <si>
    <t>47791857</t>
  </si>
  <si>
    <t>197178344682</t>
  </si>
  <si>
    <t>47791894</t>
  </si>
  <si>
    <t>197178344668</t>
  </si>
  <si>
    <t>47791895</t>
  </si>
  <si>
    <t>197178344569</t>
  </si>
  <si>
    <t>47791877</t>
  </si>
  <si>
    <t>195862012176</t>
  </si>
  <si>
    <t>65789351</t>
  </si>
  <si>
    <t>6045957</t>
  </si>
  <si>
    <t>Baby Carter's Plaid Shacket</t>
  </si>
  <si>
    <t>195862012145</t>
  </si>
  <si>
    <t>65789359</t>
  </si>
  <si>
    <t>195862012138</t>
  </si>
  <si>
    <t>65789352</t>
  </si>
  <si>
    <t>195862012152</t>
  </si>
  <si>
    <t>65789360</t>
  </si>
  <si>
    <t>195862012107</t>
  </si>
  <si>
    <t>65789361</t>
  </si>
  <si>
    <t>195862012114</t>
  </si>
  <si>
    <t>65789362</t>
  </si>
  <si>
    <t>Men's Garneau Leeway 2 Shorts</t>
  </si>
  <si>
    <t>Garneau</t>
  </si>
  <si>
    <t>197178370759</t>
  </si>
  <si>
    <t>79148591</t>
  </si>
  <si>
    <t>6525766</t>
  </si>
  <si>
    <t>Juniors' SO® High-Rise Tie Waist Paperbag Pants</t>
  </si>
  <si>
    <t>Gray Camel</t>
  </si>
  <si>
    <t>197178370711</t>
  </si>
  <si>
    <t>79148596</t>
  </si>
  <si>
    <t>195862256549</t>
  </si>
  <si>
    <t>86519053</t>
  </si>
  <si>
    <t>6432706</t>
  </si>
  <si>
    <t>Girls 4-12 Carter's Button-Front Cardigan</t>
  </si>
  <si>
    <t>195862256556</t>
  </si>
  <si>
    <t>86519054</t>
  </si>
  <si>
    <t>195862256532</t>
  </si>
  <si>
    <t>86519052</t>
  </si>
  <si>
    <t>400739846809</t>
  </si>
  <si>
    <t>73984680</t>
  </si>
  <si>
    <t>6254725</t>
  </si>
  <si>
    <t>Boys 8-20 Sonoma Goods For Life® Lined Flannel Shacket in Regular &amp; Husky</t>
  </si>
  <si>
    <t>Skater Plaid Dark Blue</t>
  </si>
  <si>
    <t>400739846915</t>
  </si>
  <si>
    <t>73984691</t>
  </si>
  <si>
    <t>Simple Plaid Gray</t>
  </si>
  <si>
    <t>400739846694</t>
  </si>
  <si>
    <t>73984669</t>
  </si>
  <si>
    <t>Shadowy Plaid Red</t>
  </si>
  <si>
    <t>400739846700</t>
  </si>
  <si>
    <t>73984670</t>
  </si>
  <si>
    <t>400739846816</t>
  </si>
  <si>
    <t>73984681</t>
  </si>
  <si>
    <t>400739846991</t>
  </si>
  <si>
    <t>73984699</t>
  </si>
  <si>
    <t>400739846717</t>
  </si>
  <si>
    <t>73984671</t>
  </si>
  <si>
    <t>400739846892</t>
  </si>
  <si>
    <t>73984689</t>
  </si>
  <si>
    <t>400739847004</t>
  </si>
  <si>
    <t>73984700</t>
  </si>
  <si>
    <t>400739846908</t>
  </si>
  <si>
    <t>73984690</t>
  </si>
  <si>
    <t>400739846793</t>
  </si>
  <si>
    <t>73984679</t>
  </si>
  <si>
    <t>400739847011</t>
  </si>
  <si>
    <t>73984701</t>
  </si>
  <si>
    <t>400667550175</t>
  </si>
  <si>
    <t>66755017</t>
  </si>
  <si>
    <t>400667550267</t>
  </si>
  <si>
    <t>66755026</t>
  </si>
  <si>
    <t>400667550274</t>
  </si>
  <si>
    <t>66755027</t>
  </si>
  <si>
    <t>400667550236</t>
  </si>
  <si>
    <t>66755023</t>
  </si>
  <si>
    <t>400667550243</t>
  </si>
  <si>
    <t>66755024</t>
  </si>
  <si>
    <t>400667550335</t>
  </si>
  <si>
    <t>66755033</t>
  </si>
  <si>
    <t>196027206003</t>
  </si>
  <si>
    <t>34125078</t>
  </si>
  <si>
    <t>1588</t>
  </si>
  <si>
    <t>5690463</t>
  </si>
  <si>
    <t>Girls 6-10 L.O.L Surprise &amp;#34;LOL Queens&amp;#34; Robe</t>
  </si>
  <si>
    <t>196027206010</t>
  </si>
  <si>
    <t>34125079</t>
  </si>
  <si>
    <t>2170</t>
  </si>
  <si>
    <t>196027204191</t>
  </si>
  <si>
    <t>34125080</t>
  </si>
  <si>
    <t>400834404744</t>
  </si>
  <si>
    <t>83440474</t>
  </si>
  <si>
    <t>6486827</t>
  </si>
  <si>
    <t>Plus Size FLX Easy Restore Tank Top</t>
  </si>
  <si>
    <t>Smoky Denim</t>
  </si>
  <si>
    <t>400834404829</t>
  </si>
  <si>
    <t>83440482</t>
  </si>
  <si>
    <t>400834404782</t>
  </si>
  <si>
    <t>83440478</t>
  </si>
  <si>
    <t>400834404751</t>
  </si>
  <si>
    <t>83440475</t>
  </si>
  <si>
    <t>400834404836</t>
  </si>
  <si>
    <t>83440483</t>
  </si>
  <si>
    <t>400834404799</t>
  </si>
  <si>
    <t>83440479</t>
  </si>
  <si>
    <t>400834404768</t>
  </si>
  <si>
    <t>83440476</t>
  </si>
  <si>
    <t>400834404843</t>
  </si>
  <si>
    <t>83440484</t>
  </si>
  <si>
    <t>400834404805</t>
  </si>
  <si>
    <t>83440480</t>
  </si>
  <si>
    <t>400834404775</t>
  </si>
  <si>
    <t>83440477</t>
  </si>
  <si>
    <t>400834404850</t>
  </si>
  <si>
    <t>83440485</t>
  </si>
  <si>
    <t>400834404812</t>
  </si>
  <si>
    <t>83440481</t>
  </si>
  <si>
    <t>400715951671</t>
  </si>
  <si>
    <t>71595167</t>
  </si>
  <si>
    <t>6563484</t>
  </si>
  <si>
    <t>Plus Size Croft &amp; Barrow® Scalloped Boatneck Tee</t>
  </si>
  <si>
    <t>400469240564</t>
  </si>
  <si>
    <t>46924056</t>
  </si>
  <si>
    <t>Blue Dot Print</t>
  </si>
  <si>
    <t>400715952166</t>
  </si>
  <si>
    <t>71595216</t>
  </si>
  <si>
    <t>400469240625</t>
  </si>
  <si>
    <t>46924062</t>
  </si>
  <si>
    <t>White Dot Print</t>
  </si>
  <si>
    <t>196064335209</t>
  </si>
  <si>
    <t>46974136</t>
  </si>
  <si>
    <t>6131443</t>
  </si>
  <si>
    <t>totes Jessie Women's Waterproof Winter Boots</t>
  </si>
  <si>
    <t>Off White</t>
  </si>
  <si>
    <t>9.5 MED</t>
  </si>
  <si>
    <t>195861936015</t>
  </si>
  <si>
    <t>73172845</t>
  </si>
  <si>
    <t>5988465</t>
  </si>
  <si>
    <t>Baby Little Planet by Carter's Gray 3-Piece Bodysuit, Hoodie, &amp; Pants Playwear Set</t>
  </si>
  <si>
    <t>Sage Stripe</t>
  </si>
  <si>
    <t>195861935988</t>
  </si>
  <si>
    <t>73172847</t>
  </si>
  <si>
    <t>195861935971</t>
  </si>
  <si>
    <t>73172846</t>
  </si>
  <si>
    <t>195861935995</t>
  </si>
  <si>
    <t>73172848</t>
  </si>
  <si>
    <t>195861935940</t>
  </si>
  <si>
    <t>73172849</t>
  </si>
  <si>
    <t>195861935957</t>
  </si>
  <si>
    <t>73172850</t>
  </si>
  <si>
    <t>195861935964</t>
  </si>
  <si>
    <t>73172851</t>
  </si>
  <si>
    <t>195862114696</t>
  </si>
  <si>
    <t>62953061</t>
  </si>
  <si>
    <t>6185337</t>
  </si>
  <si>
    <t>Baby Boy Carter's Thermal Cardigan, Bodysuit &amp; Pants Set</t>
  </si>
  <si>
    <t>195862114665</t>
  </si>
  <si>
    <t>62953063</t>
  </si>
  <si>
    <t>195862114658</t>
  </si>
  <si>
    <t>62953062</t>
  </si>
  <si>
    <t>560</t>
  </si>
  <si>
    <t>195862114672</t>
  </si>
  <si>
    <t>62953070</t>
  </si>
  <si>
    <t>195862114641</t>
  </si>
  <si>
    <t>62953071</t>
  </si>
  <si>
    <t>Plus Size Under Armour Motion Joggers</t>
  </si>
  <si>
    <t>Grove Green</t>
  </si>
  <si>
    <t>400293520719</t>
  </si>
  <si>
    <t>29352071</t>
  </si>
  <si>
    <t>7081898</t>
  </si>
  <si>
    <t>Maternity Sonoma Goods For Life® Fitted Crewneck Graphic Tee</t>
  </si>
  <si>
    <t>Mamas Can Do Anything</t>
  </si>
  <si>
    <t>400293520870</t>
  </si>
  <si>
    <t>29352087</t>
  </si>
  <si>
    <t>Burgundy Mama</t>
  </si>
  <si>
    <t>400298047570</t>
  </si>
  <si>
    <t>29804757</t>
  </si>
  <si>
    <t>Thankful Mama</t>
  </si>
  <si>
    <t>400293521099</t>
  </si>
  <si>
    <t>29352109</t>
  </si>
  <si>
    <t>Pink I Love You</t>
  </si>
  <si>
    <t>400293520771</t>
  </si>
  <si>
    <t>29352077</t>
  </si>
  <si>
    <t>298</t>
  </si>
  <si>
    <t>400293521105</t>
  </si>
  <si>
    <t>29352110</t>
  </si>
  <si>
    <t>400842271345</t>
  </si>
  <si>
    <t>84227134</t>
  </si>
  <si>
    <t>Hello Baby</t>
  </si>
  <si>
    <t>400293520887</t>
  </si>
  <si>
    <t>29352088</t>
  </si>
  <si>
    <t>400842271048</t>
  </si>
  <si>
    <t>84227104</t>
  </si>
  <si>
    <t>Mama</t>
  </si>
  <si>
    <t>400298047587</t>
  </si>
  <si>
    <t>29804758</t>
  </si>
  <si>
    <t>400842271352</t>
  </si>
  <si>
    <t>84227135</t>
  </si>
  <si>
    <t>400293520788</t>
  </si>
  <si>
    <t>29352078</t>
  </si>
  <si>
    <t>400293521112</t>
  </si>
  <si>
    <t>29352111</t>
  </si>
  <si>
    <t>400842271055</t>
  </si>
  <si>
    <t>84227105</t>
  </si>
  <si>
    <t>400298047594</t>
  </si>
  <si>
    <t>29804759</t>
  </si>
  <si>
    <t>400293520894</t>
  </si>
  <si>
    <t>29352089</t>
  </si>
  <si>
    <t>400293521174</t>
  </si>
  <si>
    <t>29352117</t>
  </si>
  <si>
    <t>400842271147</t>
  </si>
  <si>
    <t>84227114</t>
  </si>
  <si>
    <t>400293520795</t>
  </si>
  <si>
    <t>29352079</t>
  </si>
  <si>
    <t>400842271444</t>
  </si>
  <si>
    <t>84227144</t>
  </si>
  <si>
    <t>400842272045</t>
  </si>
  <si>
    <t>84227204</t>
  </si>
  <si>
    <t>Oh Boy</t>
  </si>
  <si>
    <t>400298047600</t>
  </si>
  <si>
    <t>29804760</t>
  </si>
  <si>
    <t>400293520900</t>
  </si>
  <si>
    <t>29352090</t>
  </si>
  <si>
    <t>400293521181</t>
  </si>
  <si>
    <t>29352118</t>
  </si>
  <si>
    <t>400842271154</t>
  </si>
  <si>
    <t>84227115</t>
  </si>
  <si>
    <t>400293520801</t>
  </si>
  <si>
    <t>29352080</t>
  </si>
  <si>
    <t>400842271451</t>
  </si>
  <si>
    <t>84227145</t>
  </si>
  <si>
    <t>400842272052</t>
  </si>
  <si>
    <t>84227205</t>
  </si>
  <si>
    <t>400298047617</t>
  </si>
  <si>
    <t>29804761</t>
  </si>
  <si>
    <t>400293520917</t>
  </si>
  <si>
    <t>29352091</t>
  </si>
  <si>
    <t>400293520979</t>
  </si>
  <si>
    <t>29352097</t>
  </si>
  <si>
    <t>400842271543</t>
  </si>
  <si>
    <t>84227154</t>
  </si>
  <si>
    <t>400293521198</t>
  </si>
  <si>
    <t>29352119</t>
  </si>
  <si>
    <t>400293520818</t>
  </si>
  <si>
    <t>29352081</t>
  </si>
  <si>
    <t>400842271246</t>
  </si>
  <si>
    <t>84227124</t>
  </si>
  <si>
    <t>400298047624</t>
  </si>
  <si>
    <t>29804762</t>
  </si>
  <si>
    <t>717312638721</t>
  </si>
  <si>
    <t>63604278</t>
  </si>
  <si>
    <t>3328793</t>
  </si>
  <si>
    <t>Men's Grand Slam On-Course Slim-Fit Active Waistband Stretch Golf Pants</t>
  </si>
  <si>
    <t>085142474711</t>
  </si>
  <si>
    <t>21062375</t>
  </si>
  <si>
    <t>36X29</t>
  </si>
  <si>
    <t>085142474728</t>
  </si>
  <si>
    <t>21062374</t>
  </si>
  <si>
    <t>085142474735</t>
  </si>
  <si>
    <t>21062373</t>
  </si>
  <si>
    <t>717312638844</t>
  </si>
  <si>
    <t>63604286</t>
  </si>
  <si>
    <t>717312640144</t>
  </si>
  <si>
    <t>63618736</t>
  </si>
  <si>
    <t>Navy Heather</t>
  </si>
  <si>
    <t>717312639155</t>
  </si>
  <si>
    <t>63604317</t>
  </si>
  <si>
    <t>717312639513</t>
  </si>
  <si>
    <t>63604348</t>
  </si>
  <si>
    <t>Khaki Heather</t>
  </si>
  <si>
    <t>717312639056</t>
  </si>
  <si>
    <t>63604319</t>
  </si>
  <si>
    <t>717312639193</t>
  </si>
  <si>
    <t>63604324</t>
  </si>
  <si>
    <t>Men's Eddie Bauer Field Flannel Button-Down Shirt</t>
  </si>
  <si>
    <t>196953582851</t>
  </si>
  <si>
    <t>19710923</t>
  </si>
  <si>
    <t>196953826887</t>
  </si>
  <si>
    <t>19710928</t>
  </si>
  <si>
    <t>Winter Green</t>
  </si>
  <si>
    <t>196953238024</t>
  </si>
  <si>
    <t>19710903</t>
  </si>
  <si>
    <t>Antique Gold</t>
  </si>
  <si>
    <t>196953995576</t>
  </si>
  <si>
    <t>19710929</t>
  </si>
  <si>
    <t>196953886058</t>
  </si>
  <si>
    <t>19710926</t>
  </si>
  <si>
    <t>196953840463</t>
  </si>
  <si>
    <t>19710931</t>
  </si>
  <si>
    <t>196953197154</t>
  </si>
  <si>
    <t>19710906</t>
  </si>
  <si>
    <t>400187635444</t>
  </si>
  <si>
    <t>18763544</t>
  </si>
  <si>
    <t>547</t>
  </si>
  <si>
    <t>6891079</t>
  </si>
  <si>
    <t>Petite Croft &amp; Barrow® Pleated Tank</t>
  </si>
  <si>
    <t>400287098651</t>
  </si>
  <si>
    <t>28709865</t>
  </si>
  <si>
    <t>Yellow Ditsy</t>
  </si>
  <si>
    <t>400187635383</t>
  </si>
  <si>
    <t>18763538</t>
  </si>
  <si>
    <t>400287098446</t>
  </si>
  <si>
    <t>28709844</t>
  </si>
  <si>
    <t>Maroon Tonal Floral</t>
  </si>
  <si>
    <t>400287098354</t>
  </si>
  <si>
    <t>28709835</t>
  </si>
  <si>
    <t>Green Tonal Floral</t>
  </si>
  <si>
    <t>400187635451</t>
  </si>
  <si>
    <t>18763545</t>
  </si>
  <si>
    <t>400287098545</t>
  </si>
  <si>
    <t>28709854</t>
  </si>
  <si>
    <t>400287098644</t>
  </si>
  <si>
    <t>28709864</t>
  </si>
  <si>
    <t>400287098248</t>
  </si>
  <si>
    <t>28709824</t>
  </si>
  <si>
    <t>400753154881</t>
  </si>
  <si>
    <t>75315488</t>
  </si>
  <si>
    <t>5568027</t>
  </si>
  <si>
    <t>Plus Size Tek Gear® Weekend French Terry Ankle Pants</t>
  </si>
  <si>
    <t>400753154959</t>
  </si>
  <si>
    <t>75315495</t>
  </si>
  <si>
    <t>764</t>
  </si>
  <si>
    <t>400753154966</t>
  </si>
  <si>
    <t>75315496</t>
  </si>
  <si>
    <t>497</t>
  </si>
  <si>
    <t>400753154980</t>
  </si>
  <si>
    <t>75315498</t>
  </si>
  <si>
    <t>Boys 8-20 Nike Pom Beanie Hat &amp; Gloves Set</t>
  </si>
  <si>
    <t>Neutral Olive Camo</t>
  </si>
  <si>
    <t>400293701019</t>
  </si>
  <si>
    <t>29370101</t>
  </si>
  <si>
    <t>6259352</t>
  </si>
  <si>
    <t>Women's FLX Affirmation Long Sleeve Bodysuit</t>
  </si>
  <si>
    <t>400691926830</t>
  </si>
  <si>
    <t>69192683</t>
  </si>
  <si>
    <t>400691926731</t>
  </si>
  <si>
    <t>69192673</t>
  </si>
  <si>
    <t>Plum Sherry</t>
  </si>
  <si>
    <t>400293701071</t>
  </si>
  <si>
    <t>29370107</t>
  </si>
  <si>
    <t>400691926847</t>
  </si>
  <si>
    <t>69192684</t>
  </si>
  <si>
    <t>400691926748</t>
  </si>
  <si>
    <t>69192674</t>
  </si>
  <si>
    <t>400293701088</t>
  </si>
  <si>
    <t>29370108</t>
  </si>
  <si>
    <t>400691926854</t>
  </si>
  <si>
    <t>69192685</t>
  </si>
  <si>
    <t>400691926755</t>
  </si>
  <si>
    <t>69192675</t>
  </si>
  <si>
    <t>400691926762</t>
  </si>
  <si>
    <t>69192676</t>
  </si>
  <si>
    <t>400293701095</t>
  </si>
  <si>
    <t>29370109</t>
  </si>
  <si>
    <t>400691926861</t>
  </si>
  <si>
    <t>69192686</t>
  </si>
  <si>
    <t>400293701101</t>
  </si>
  <si>
    <t>29370110</t>
  </si>
  <si>
    <t>400691926878</t>
  </si>
  <si>
    <t>69192687</t>
  </si>
  <si>
    <t>400691926779</t>
  </si>
  <si>
    <t>69192677</t>
  </si>
  <si>
    <t>400691926786</t>
  </si>
  <si>
    <t>69192678</t>
  </si>
  <si>
    <t>400293701118</t>
  </si>
  <si>
    <t>29370111</t>
  </si>
  <si>
    <t>400691926885</t>
  </si>
  <si>
    <t>69192688</t>
  </si>
  <si>
    <t>193506102481</t>
  </si>
  <si>
    <t>78733725</t>
  </si>
  <si>
    <t>6615802</t>
  </si>
  <si>
    <t>10k Gold Mirror Pendant Chain Necklace</t>
  </si>
  <si>
    <t>196900194106</t>
  </si>
  <si>
    <t>70242849</t>
  </si>
  <si>
    <t>6597422</t>
  </si>
  <si>
    <t>Girls 4-20 Bonnie Jean Eyelet Dress &amp; Hat in Regular &amp; Plus Size</t>
  </si>
  <si>
    <t>196900194113</t>
  </si>
  <si>
    <t>70242850</t>
  </si>
  <si>
    <t>196900194120</t>
  </si>
  <si>
    <t>70242851</t>
  </si>
  <si>
    <t>196900194137</t>
  </si>
  <si>
    <t>70242852</t>
  </si>
  <si>
    <t>196900194199</t>
  </si>
  <si>
    <t>72877510</t>
  </si>
  <si>
    <t>196900194144</t>
  </si>
  <si>
    <t>72877511</t>
  </si>
  <si>
    <t>196900194151</t>
  </si>
  <si>
    <t>72877512</t>
  </si>
  <si>
    <t>196900194168</t>
  </si>
  <si>
    <t>72877519</t>
  </si>
  <si>
    <t>196900194175</t>
  </si>
  <si>
    <t>72877520</t>
  </si>
  <si>
    <t>196900194281</t>
  </si>
  <si>
    <t>69803577</t>
  </si>
  <si>
    <t>196900194298</t>
  </si>
  <si>
    <t>69803578</t>
  </si>
  <si>
    <t>196900194311</t>
  </si>
  <si>
    <t>69803580</t>
  </si>
  <si>
    <t>196900194328</t>
  </si>
  <si>
    <t>69803581</t>
  </si>
  <si>
    <t>193671456105</t>
  </si>
  <si>
    <t>49615993</t>
  </si>
  <si>
    <t>Big &amp; Tall Dickies American Flag Plaque Buckle Casual Leather Belt</t>
  </si>
  <si>
    <t>Men's Levi's® XX Chino Jogger III Pants</t>
  </si>
  <si>
    <t>Women's adidas Ultimate365 Golf Polo</t>
  </si>
  <si>
    <t>Conavy</t>
  </si>
  <si>
    <t>400726402810</t>
  </si>
  <si>
    <t>72640281</t>
  </si>
  <si>
    <t>5679164</t>
  </si>
  <si>
    <t>Men's Apt. 9® Premier Flex Regular-Fit 8-inch Performance Shorts</t>
  </si>
  <si>
    <t>Dark Blue</t>
  </si>
  <si>
    <t>400556281081</t>
  </si>
  <si>
    <t>55628108</t>
  </si>
  <si>
    <t>Baby Girl Carter's Fair Isle Hoodie, Bodysuit &amp; Pants Set</t>
  </si>
  <si>
    <t>195450341909</t>
  </si>
  <si>
    <t>37564158</t>
  </si>
  <si>
    <t>6208129</t>
  </si>
  <si>
    <t>Men's Russell Athletic Lux Tech Fleece Hoodie</t>
  </si>
  <si>
    <t>Russell Athletic</t>
  </si>
  <si>
    <t>195450341954</t>
  </si>
  <si>
    <t>37564149</t>
  </si>
  <si>
    <t>195450341893</t>
  </si>
  <si>
    <t>37564159</t>
  </si>
  <si>
    <t>196027312605</t>
  </si>
  <si>
    <t>78782973</t>
  </si>
  <si>
    <t>6176767</t>
  </si>
  <si>
    <t>Disney's Frozen 2 Elsa &amp; Anna Toddler Girl &amp;#34;Sisters Together&amp;#34; Microfleece Top &amp; Bottoms Pajama Set</t>
  </si>
  <si>
    <t>Frozen</t>
  </si>
  <si>
    <t>196027312612</t>
  </si>
  <si>
    <t>78782974</t>
  </si>
  <si>
    <t>762</t>
  </si>
  <si>
    <t>196027312629</t>
  </si>
  <si>
    <t>78782975</t>
  </si>
  <si>
    <t>196067336364</t>
  </si>
  <si>
    <t>83446862</t>
  </si>
  <si>
    <t>5877854</t>
  </si>
  <si>
    <t>Girls 7-16 Gaiam Om High-Waisted 7/8 Leggings</t>
  </si>
  <si>
    <t>196067393206</t>
  </si>
  <si>
    <t>30322016</t>
  </si>
  <si>
    <t>196067393084</t>
  </si>
  <si>
    <t>30322043</t>
  </si>
  <si>
    <t>Bright Rose</t>
  </si>
  <si>
    <t>196067393213</t>
  </si>
  <si>
    <t>30322022</t>
  </si>
  <si>
    <t>196067393091</t>
  </si>
  <si>
    <t>30322044</t>
  </si>
  <si>
    <t>196067393220</t>
  </si>
  <si>
    <t>30322023</t>
  </si>
  <si>
    <t>196067393107</t>
  </si>
  <si>
    <t>30322045</t>
  </si>
  <si>
    <t>196067393237</t>
  </si>
  <si>
    <t>30322024</t>
  </si>
  <si>
    <t>196067393114</t>
  </si>
  <si>
    <t>30322046</t>
  </si>
  <si>
    <t>400867711437</t>
  </si>
  <si>
    <t>86771143</t>
  </si>
  <si>
    <t>6434387</t>
  </si>
  <si>
    <t>Juniors' SO® High Rise Parachute Cargo Pant</t>
  </si>
  <si>
    <t>Hearth Green</t>
  </si>
  <si>
    <t>400821939686</t>
  </si>
  <si>
    <t>82193968</t>
  </si>
  <si>
    <t>Retro Moss</t>
  </si>
  <si>
    <t>400867711444</t>
  </si>
  <si>
    <t>86771144</t>
  </si>
  <si>
    <t>400821939693</t>
  </si>
  <si>
    <t>82193969</t>
  </si>
  <si>
    <t>400821939709</t>
  </si>
  <si>
    <t>82193970</t>
  </si>
  <si>
    <t>400821939716</t>
  </si>
  <si>
    <t>82193971</t>
  </si>
  <si>
    <t>400821939723</t>
  </si>
  <si>
    <t>82193972</t>
  </si>
  <si>
    <t>400805526932</t>
  </si>
  <si>
    <t>80552693</t>
  </si>
  <si>
    <t>6432826</t>
  </si>
  <si>
    <t>Plus Size Croft &amp; Barrow® Pleated Ruffle-Neck Dress</t>
  </si>
  <si>
    <t>Black Floral Birds</t>
  </si>
  <si>
    <t>400805527236</t>
  </si>
  <si>
    <t>80552723</t>
  </si>
  <si>
    <t>Teal Tapestry Floral</t>
  </si>
  <si>
    <t>400805527328</t>
  </si>
  <si>
    <t>80552732</t>
  </si>
  <si>
    <t>400805527021</t>
  </si>
  <si>
    <t>80552702</t>
  </si>
  <si>
    <t>400805527038</t>
  </si>
  <si>
    <t>80552703</t>
  </si>
  <si>
    <t>400805527335</t>
  </si>
  <si>
    <t>80552733</t>
  </si>
  <si>
    <t>400805527427</t>
  </si>
  <si>
    <t>80552742</t>
  </si>
  <si>
    <t>400805527120</t>
  </si>
  <si>
    <t>80552712</t>
  </si>
  <si>
    <t>400805527434</t>
  </si>
  <si>
    <t>80552743</t>
  </si>
  <si>
    <t>400805527137</t>
  </si>
  <si>
    <t>80552713</t>
  </si>
  <si>
    <t>400805527526</t>
  </si>
  <si>
    <t>80552752</t>
  </si>
  <si>
    <t>400805527229</t>
  </si>
  <si>
    <t>80552722</t>
  </si>
  <si>
    <t>196139554313</t>
  </si>
  <si>
    <t>20561991</t>
  </si>
  <si>
    <t>6318753</t>
  </si>
  <si>
    <t>Baby Girl Carter's Faux Fur-Trimmed Hooded Printed Snowsuit</t>
  </si>
  <si>
    <t>Pink Floral</t>
  </si>
  <si>
    <t>3-6 MONTHS</t>
  </si>
  <si>
    <t>196139554320</t>
  </si>
  <si>
    <t>20561992</t>
  </si>
  <si>
    <t>6-9 MONTHS</t>
  </si>
  <si>
    <t>196139554337</t>
  </si>
  <si>
    <t>20561993</t>
  </si>
  <si>
    <t>197026304325</t>
  </si>
  <si>
    <t>71824444</t>
  </si>
  <si>
    <t>6192749</t>
  </si>
  <si>
    <t>Disney's Encanto Girls 4-12 Sister Goals Heart Tee by Jumping Beans®</t>
  </si>
  <si>
    <t>Melrose Pink</t>
  </si>
  <si>
    <t>197026304332</t>
  </si>
  <si>
    <t>71824445</t>
  </si>
  <si>
    <t>197026304349</t>
  </si>
  <si>
    <t>71824446</t>
  </si>
  <si>
    <t>197026304356</t>
  </si>
  <si>
    <t>71824447</t>
  </si>
  <si>
    <t>197026304363</t>
  </si>
  <si>
    <t>71824453</t>
  </si>
  <si>
    <t>197026304394</t>
  </si>
  <si>
    <t>71824455</t>
  </si>
  <si>
    <t>197026304400</t>
  </si>
  <si>
    <t>71824456</t>
  </si>
  <si>
    <t>195862112531</t>
  </si>
  <si>
    <t>78559023</t>
  </si>
  <si>
    <t>6184065</t>
  </si>
  <si>
    <t>Baby Girl Carter's 2-Piece Houndstooth Bodysuit and Pant Set</t>
  </si>
  <si>
    <t>195862112500</t>
  </si>
  <si>
    <t>78559025</t>
  </si>
  <si>
    <t>195862112494</t>
  </si>
  <si>
    <t>78559024</t>
  </si>
  <si>
    <t>195862112517</t>
  </si>
  <si>
    <t>78559026</t>
  </si>
  <si>
    <t>195862112463</t>
  </si>
  <si>
    <t>78559027</t>
  </si>
  <si>
    <t>195862112470</t>
  </si>
  <si>
    <t>78559029</t>
  </si>
  <si>
    <t>195862112487</t>
  </si>
  <si>
    <t>78559030</t>
  </si>
  <si>
    <t>195861937135</t>
  </si>
  <si>
    <t>28163626</t>
  </si>
  <si>
    <t>5988489</t>
  </si>
  <si>
    <t>Baby Little Planet by Carter's Ribbed V-Neck Cardigan</t>
  </si>
  <si>
    <t>Marled Ivory</t>
  </si>
  <si>
    <t>195861937104</t>
  </si>
  <si>
    <t>28163628</t>
  </si>
  <si>
    <t>195861937098</t>
  </si>
  <si>
    <t>28163627</t>
  </si>
  <si>
    <t>195861937111</t>
  </si>
  <si>
    <t>28163629</t>
  </si>
  <si>
    <t>195861937067</t>
  </si>
  <si>
    <t>28163631</t>
  </si>
  <si>
    <t>195861937074</t>
  </si>
  <si>
    <t>28163632</t>
  </si>
  <si>
    <t>000716866068</t>
  </si>
  <si>
    <t>28190729</t>
  </si>
  <si>
    <t>6183983</t>
  </si>
  <si>
    <t>Boys 6-16 Cuddl Duds 2-Pack Pajama Pants</t>
  </si>
  <si>
    <t>Green Black Multi</t>
  </si>
  <si>
    <t>000716866167</t>
  </si>
  <si>
    <t>66650054</t>
  </si>
  <si>
    <t>Red Black Multi</t>
  </si>
  <si>
    <t>000716866174</t>
  </si>
  <si>
    <t>66650055</t>
  </si>
  <si>
    <t>000716826307</t>
  </si>
  <si>
    <t>71711095</t>
  </si>
  <si>
    <t>Navy Holidays</t>
  </si>
  <si>
    <t>196064335643</t>
  </si>
  <si>
    <t>69161534</t>
  </si>
  <si>
    <t>6131539</t>
  </si>
  <si>
    <t>totes Mason Women's Winter Riding Boots</t>
  </si>
  <si>
    <t>196064335650</t>
  </si>
  <si>
    <t>69161535</t>
  </si>
  <si>
    <t>196064335674</t>
  </si>
  <si>
    <t>69161537</t>
  </si>
  <si>
    <t>196064335681</t>
  </si>
  <si>
    <t>69161538</t>
  </si>
  <si>
    <t>196064335698</t>
  </si>
  <si>
    <t>69161543</t>
  </si>
  <si>
    <t>196064335704</t>
  </si>
  <si>
    <t>69161544</t>
  </si>
  <si>
    <t>196064335711</t>
  </si>
  <si>
    <t>69161545</t>
  </si>
  <si>
    <t>196064335728</t>
  </si>
  <si>
    <t>69161546</t>
  </si>
  <si>
    <t>400501126283</t>
  </si>
  <si>
    <t>50112628</t>
  </si>
  <si>
    <t>6339309</t>
  </si>
  <si>
    <t>Cuddl Duds® Ivory Tree Farm Decorative Pillow</t>
  </si>
  <si>
    <t>400805758241</t>
  </si>
  <si>
    <t>80575824</t>
  </si>
  <si>
    <t>6121360</t>
  </si>
  <si>
    <t>Boys 8-20 Sonoma Goods For Life® Super Soft Striped Tee</t>
  </si>
  <si>
    <t>Rose Stripe</t>
  </si>
  <si>
    <t>400805758210</t>
  </si>
  <si>
    <t>80575821</t>
  </si>
  <si>
    <t>Beige Stripe</t>
  </si>
  <si>
    <t>400805758258</t>
  </si>
  <si>
    <t>80575825</t>
  </si>
  <si>
    <t>400805758265</t>
  </si>
  <si>
    <t>80575826</t>
  </si>
  <si>
    <t>400807343957</t>
  </si>
  <si>
    <t>80734395</t>
  </si>
  <si>
    <t>5565445</t>
  </si>
  <si>
    <t>Petite Women's Croft &amp; Barrow® Classic Pull-On Jeans</t>
  </si>
  <si>
    <t>400556184689</t>
  </si>
  <si>
    <t>55618468</t>
  </si>
  <si>
    <t>195157056571</t>
  </si>
  <si>
    <t>81886691</t>
  </si>
  <si>
    <t>6824290</t>
  </si>
  <si>
    <t>Men's Apt. 9® Merino Wool Textured Colorblock Sweater</t>
  </si>
  <si>
    <t>195157056625</t>
  </si>
  <si>
    <t>81886671</t>
  </si>
  <si>
    <t>195157056472</t>
  </si>
  <si>
    <t>81886711</t>
  </si>
  <si>
    <t>195157056526</t>
  </si>
  <si>
    <t>81886681</t>
  </si>
  <si>
    <t>195157056670</t>
  </si>
  <si>
    <t>81886701</t>
  </si>
  <si>
    <t>195157056588</t>
  </si>
  <si>
    <t>81886692</t>
  </si>
  <si>
    <t>195157056632</t>
  </si>
  <si>
    <t>81886672</t>
  </si>
  <si>
    <t>195157056489</t>
  </si>
  <si>
    <t>81886712</t>
  </si>
  <si>
    <t>195157056533</t>
  </si>
  <si>
    <t>81886682</t>
  </si>
  <si>
    <t>518</t>
  </si>
  <si>
    <t>195157056687</t>
  </si>
  <si>
    <t>81886702</t>
  </si>
  <si>
    <t>195157056595</t>
  </si>
  <si>
    <t>81886698</t>
  </si>
  <si>
    <t>195157056649</t>
  </si>
  <si>
    <t>81886678</t>
  </si>
  <si>
    <t>195157056694</t>
  </si>
  <si>
    <t>81886708</t>
  </si>
  <si>
    <t>849</t>
  </si>
  <si>
    <t>195157056540</t>
  </si>
  <si>
    <t>81886688</t>
  </si>
  <si>
    <t>921</t>
  </si>
  <si>
    <t>195157056496</t>
  </si>
  <si>
    <t>81886718</t>
  </si>
  <si>
    <t>700</t>
  </si>
  <si>
    <t>195157056601</t>
  </si>
  <si>
    <t>81886699</t>
  </si>
  <si>
    <t>195157056656</t>
  </si>
  <si>
    <t>81886679</t>
  </si>
  <si>
    <t>195157056700</t>
  </si>
  <si>
    <t>81886709</t>
  </si>
  <si>
    <t>666</t>
  </si>
  <si>
    <t>195157056557</t>
  </si>
  <si>
    <t>81886689</t>
  </si>
  <si>
    <t>195157056502</t>
  </si>
  <si>
    <t>81886719</t>
  </si>
  <si>
    <t>195157056564</t>
  </si>
  <si>
    <t>81886690</t>
  </si>
  <si>
    <t>195157056717</t>
  </si>
  <si>
    <t>81886710</t>
  </si>
  <si>
    <t>416</t>
  </si>
  <si>
    <t>195157056663</t>
  </si>
  <si>
    <t>81886680</t>
  </si>
  <si>
    <t>195157056519</t>
  </si>
  <si>
    <t>81886720</t>
  </si>
  <si>
    <t>195157056618</t>
  </si>
  <si>
    <t>81886700</t>
  </si>
  <si>
    <t>400183691147</t>
  </si>
  <si>
    <t>18369114</t>
  </si>
  <si>
    <t>982</t>
  </si>
  <si>
    <t>6150575</t>
  </si>
  <si>
    <t>400183691154</t>
  </si>
  <si>
    <t>18369115</t>
  </si>
  <si>
    <t>2014</t>
  </si>
  <si>
    <t>400183691161</t>
  </si>
  <si>
    <t>18369116</t>
  </si>
  <si>
    <t>1144</t>
  </si>
  <si>
    <t>400183691178</t>
  </si>
  <si>
    <t>18369117</t>
  </si>
  <si>
    <t>028266915388</t>
  </si>
  <si>
    <t>71748604</t>
  </si>
  <si>
    <t>6092741</t>
  </si>
  <si>
    <t>Plus Size Miss Elaine Essentials Quilt Long Zipper Robe</t>
  </si>
  <si>
    <t>Pink Paisley</t>
  </si>
  <si>
    <t>028266915364</t>
  </si>
  <si>
    <t>71748597</t>
  </si>
  <si>
    <t>Aqua Paisley</t>
  </si>
  <si>
    <t>028266915395</t>
  </si>
  <si>
    <t>71748605</t>
  </si>
  <si>
    <t>195862267873</t>
  </si>
  <si>
    <t>46824449</t>
  </si>
  <si>
    <t>6433005</t>
  </si>
  <si>
    <t>Baby Girl Carter's Eyelet Tiered Dress</t>
  </si>
  <si>
    <t>195862267866</t>
  </si>
  <si>
    <t>46824448</t>
  </si>
  <si>
    <t>195862267880</t>
  </si>
  <si>
    <t>46824450</t>
  </si>
  <si>
    <t>195862267835</t>
  </si>
  <si>
    <t>46824455</t>
  </si>
  <si>
    <t>195862267842</t>
  </si>
  <si>
    <t>46824456</t>
  </si>
  <si>
    <t>400803811078</t>
  </si>
  <si>
    <t>80381107</t>
  </si>
  <si>
    <t>6486828</t>
  </si>
  <si>
    <t>Plus Size FLX Easy Restore Short Sleeve Tee</t>
  </si>
  <si>
    <t>400803811085</t>
  </si>
  <si>
    <t>80381108</t>
  </si>
  <si>
    <t>196139527324</t>
  </si>
  <si>
    <t>62922451</t>
  </si>
  <si>
    <t>6141426</t>
  </si>
  <si>
    <t>Women's Koolaburra by UGG Reversible Sherpa Quilted Jacket</t>
  </si>
  <si>
    <t>Light Birch</t>
  </si>
  <si>
    <t>196139527331</t>
  </si>
  <si>
    <t>62922452</t>
  </si>
  <si>
    <t>196139527348</t>
  </si>
  <si>
    <t>62922453</t>
  </si>
  <si>
    <t>194514587062</t>
  </si>
  <si>
    <t>49142390</t>
  </si>
  <si>
    <t>4552671</t>
  </si>
  <si>
    <t>Big &amp; Tall Under Armour Classic-Fit Performance 2.0 Colorblock Polo</t>
  </si>
  <si>
    <t>Academy</t>
  </si>
  <si>
    <t>195862185061</t>
  </si>
  <si>
    <t>33260485</t>
  </si>
  <si>
    <t>6433196</t>
  </si>
  <si>
    <t>Baby Girl Carter's Flutter Bunny Graphic Top &amp; Skort Set</t>
  </si>
  <si>
    <t>195862185085</t>
  </si>
  <si>
    <t>33260487</t>
  </si>
  <si>
    <t>195862185047</t>
  </si>
  <si>
    <t>33260489</t>
  </si>
  <si>
    <t>400698853269</t>
  </si>
  <si>
    <t>69885326</t>
  </si>
  <si>
    <t>6173976</t>
  </si>
  <si>
    <t>Boys 8-20 Sonoma Goods For Life® Flannel Shirt in Regular &amp; Husky</t>
  </si>
  <si>
    <t>400698852774</t>
  </si>
  <si>
    <t>69885277</t>
  </si>
  <si>
    <t>400698852675</t>
  </si>
  <si>
    <t>69885267</t>
  </si>
  <si>
    <t>Maroon Plaid</t>
  </si>
  <si>
    <t>400557138582</t>
  </si>
  <si>
    <t>55713858</t>
  </si>
  <si>
    <t>400557138759</t>
  </si>
  <si>
    <t>55713875</t>
  </si>
  <si>
    <t>400557138766</t>
  </si>
  <si>
    <t>55713876</t>
  </si>
  <si>
    <t>400557138599</t>
  </si>
  <si>
    <t>55713859</t>
  </si>
  <si>
    <t>400557138773</t>
  </si>
  <si>
    <t>55713877</t>
  </si>
  <si>
    <t>195861997177</t>
  </si>
  <si>
    <t>76823202</t>
  </si>
  <si>
    <t>6081641</t>
  </si>
  <si>
    <t>Baby Boy Carter's Fuzzy-Lined Hoodie</t>
  </si>
  <si>
    <t>195861997184</t>
  </si>
  <si>
    <t>76823204</t>
  </si>
  <si>
    <t>400332561093</t>
  </si>
  <si>
    <t>33256109</t>
  </si>
  <si>
    <t>5676944</t>
  </si>
  <si>
    <t>Women's LC Lauren Conrad Suede Moto Jacket</t>
  </si>
  <si>
    <t>400819768281</t>
  </si>
  <si>
    <t>81976828</t>
  </si>
  <si>
    <t>Deep Olive</t>
  </si>
  <si>
    <t>195861480488</t>
  </si>
  <si>
    <t>64261384</t>
  </si>
  <si>
    <t>5666343</t>
  </si>
  <si>
    <t>Baby Boy Carter's Hooded Fleece Coverall Jumpsuit</t>
  </si>
  <si>
    <t>195861480440</t>
  </si>
  <si>
    <t>64261381</t>
  </si>
  <si>
    <t>195861480457</t>
  </si>
  <si>
    <t>64261382</t>
  </si>
  <si>
    <t>195861480464</t>
  </si>
  <si>
    <t>64261383</t>
  </si>
  <si>
    <t>195861480419</t>
  </si>
  <si>
    <t>64261378</t>
  </si>
  <si>
    <t>195861480426</t>
  </si>
  <si>
    <t>64261379</t>
  </si>
  <si>
    <t>195861480433</t>
  </si>
  <si>
    <t>64261380</t>
  </si>
  <si>
    <t>Baby Girl Carter's Leopard Print Pullover, Bodysuit &amp; Pants Set</t>
  </si>
  <si>
    <t>400289505348</t>
  </si>
  <si>
    <t>28950534</t>
  </si>
  <si>
    <t>827304</t>
  </si>
  <si>
    <t>Girls 4-20 &amp; Plus Size SO® Strappy Tank Top</t>
  </si>
  <si>
    <t>400289505416</t>
  </si>
  <si>
    <t>28950541</t>
  </si>
  <si>
    <t>894</t>
  </si>
  <si>
    <t>400289800771</t>
  </si>
  <si>
    <t>28980077</t>
  </si>
  <si>
    <t>400310534248</t>
  </si>
  <si>
    <t>31053424</t>
  </si>
  <si>
    <t>6518058</t>
  </si>
  <si>
    <t>Plus Size Croft &amp; Barrow® Scallop Neck Midi Shift Dress</t>
  </si>
  <si>
    <t>400310534255</t>
  </si>
  <si>
    <t>31053425</t>
  </si>
  <si>
    <t>400310534262</t>
  </si>
  <si>
    <t>31053426</t>
  </si>
  <si>
    <t>196572976932</t>
  </si>
  <si>
    <t>71748175</t>
  </si>
  <si>
    <t>6081396</t>
  </si>
  <si>
    <t>Boys 8-20 Vans Warped Fleece Hoodie</t>
  </si>
  <si>
    <t>196572976994</t>
  </si>
  <si>
    <t>81977555</t>
  </si>
  <si>
    <t>196572976925</t>
  </si>
  <si>
    <t>71748176</t>
  </si>
  <si>
    <t>196572976970</t>
  </si>
  <si>
    <t>81977556</t>
  </si>
  <si>
    <t>196572976901</t>
  </si>
  <si>
    <t>71748177</t>
  </si>
  <si>
    <t>400459439312</t>
  </si>
  <si>
    <t>45943931</t>
  </si>
  <si>
    <t>5825939</t>
  </si>
  <si>
    <t>Men's Sonoma Goods For Life® Everyday Polo</t>
  </si>
  <si>
    <t>Blue Green Rugby</t>
  </si>
  <si>
    <t>400459439329</t>
  </si>
  <si>
    <t>45943932</t>
  </si>
  <si>
    <t>Navy White Rugby</t>
  </si>
  <si>
    <t>400297909596</t>
  </si>
  <si>
    <t>29790959</t>
  </si>
  <si>
    <t>Carbon Copy Stripe</t>
  </si>
  <si>
    <t>400292774601</t>
  </si>
  <si>
    <t>29277460</t>
  </si>
  <si>
    <t>Paradise Sand</t>
  </si>
  <si>
    <t>400292774618</t>
  </si>
  <si>
    <t>29277461</t>
  </si>
  <si>
    <t>Paramount Blue</t>
  </si>
  <si>
    <t>400713344437</t>
  </si>
  <si>
    <t>71334443</t>
  </si>
  <si>
    <t>598</t>
  </si>
  <si>
    <t>White Navy Stripe</t>
  </si>
  <si>
    <t>400292774687</t>
  </si>
  <si>
    <t>29277468</t>
  </si>
  <si>
    <t>Pelican Blue</t>
  </si>
  <si>
    <t>400713344444</t>
  </si>
  <si>
    <t>71334444</t>
  </si>
  <si>
    <t>615</t>
  </si>
  <si>
    <t>400292774670</t>
  </si>
  <si>
    <t>29277467</t>
  </si>
  <si>
    <t>Brisk Aqua</t>
  </si>
  <si>
    <t>400713344451</t>
  </si>
  <si>
    <t>71334445</t>
  </si>
  <si>
    <t>Purple Stripe</t>
  </si>
  <si>
    <t>400292774595</t>
  </si>
  <si>
    <t>29277459</t>
  </si>
  <si>
    <t>400713344468</t>
  </si>
  <si>
    <t>71334446</t>
  </si>
  <si>
    <t>Pink Stripe</t>
  </si>
  <si>
    <t>400292774694</t>
  </si>
  <si>
    <t>29277469</t>
  </si>
  <si>
    <t>Mauve Day</t>
  </si>
  <si>
    <t>400297909602</t>
  </si>
  <si>
    <t>29790960</t>
  </si>
  <si>
    <t>Submarine Navy</t>
  </si>
  <si>
    <t>400297909619</t>
  </si>
  <si>
    <t>29790961</t>
  </si>
  <si>
    <t>Mauve Ruffle</t>
  </si>
  <si>
    <t>400459439305</t>
  </si>
  <si>
    <t>45943930</t>
  </si>
  <si>
    <t>589</t>
  </si>
  <si>
    <t>Gray White Rugby</t>
  </si>
  <si>
    <t>400372686985</t>
  </si>
  <si>
    <t>37268698</t>
  </si>
  <si>
    <t>196050707034</t>
  </si>
  <si>
    <t>44154760</t>
  </si>
  <si>
    <t>6109138</t>
  </si>
  <si>
    <t>SO® Front Zipper Women's Ankle Boots</t>
  </si>
  <si>
    <t>196050707041</t>
  </si>
  <si>
    <t>44154761</t>
  </si>
  <si>
    <t>196050707058</t>
  </si>
  <si>
    <t>44154762</t>
  </si>
  <si>
    <t>196050707065</t>
  </si>
  <si>
    <t>44154763</t>
  </si>
  <si>
    <t>196050707072</t>
  </si>
  <si>
    <t>44154764</t>
  </si>
  <si>
    <t>196050707089</t>
  </si>
  <si>
    <t>44154765</t>
  </si>
  <si>
    <t>196050707096</t>
  </si>
  <si>
    <t>44154766</t>
  </si>
  <si>
    <t>196050707102</t>
  </si>
  <si>
    <t>44154768</t>
  </si>
  <si>
    <t>196050707119</t>
  </si>
  <si>
    <t>44154769</t>
  </si>
  <si>
    <t>196050707126</t>
  </si>
  <si>
    <t>44154770</t>
  </si>
  <si>
    <t>196050707133</t>
  </si>
  <si>
    <t>44154771</t>
  </si>
  <si>
    <t>196050707140</t>
  </si>
  <si>
    <t>44154772</t>
  </si>
  <si>
    <t>195862112883</t>
  </si>
  <si>
    <t>18796713</t>
  </si>
  <si>
    <t>6185348</t>
  </si>
  <si>
    <t>Baby Girl Carter's 2-Piece Floral Dress &amp; Headband Set</t>
  </si>
  <si>
    <t>195862112852</t>
  </si>
  <si>
    <t>18796715</t>
  </si>
  <si>
    <t>195862112845</t>
  </si>
  <si>
    <t>18796714</t>
  </si>
  <si>
    <t>195862112869</t>
  </si>
  <si>
    <t>18796716</t>
  </si>
  <si>
    <t>197026444243</t>
  </si>
  <si>
    <t>74388071</t>
  </si>
  <si>
    <t>6348175</t>
  </si>
  <si>
    <t>Baby &amp; Toddler Girl Jumping Beans® Sanrio Hello Kitty &amp; Friends Rainbow Sparkle Graphic Tee</t>
  </si>
  <si>
    <t>Bodega Bay</t>
  </si>
  <si>
    <t>Men's Levi's® Classic Worker Button-Down Shirt</t>
  </si>
  <si>
    <t>Dessert Sun</t>
  </si>
  <si>
    <t>Chocolate Truffle</t>
  </si>
  <si>
    <t>196978630520</t>
  </si>
  <si>
    <t>65145417</t>
  </si>
  <si>
    <t>Rantipole Raven</t>
  </si>
  <si>
    <t>196978548832</t>
  </si>
  <si>
    <t>81978867</t>
  </si>
  <si>
    <t>196978547842</t>
  </si>
  <si>
    <t>65145408</t>
  </si>
  <si>
    <t>Elkton Stripe</t>
  </si>
  <si>
    <t>196978357212</t>
  </si>
  <si>
    <t>81978874</t>
  </si>
  <si>
    <t>196978357083</t>
  </si>
  <si>
    <t>65145418</t>
  </si>
  <si>
    <t>196978343185</t>
  </si>
  <si>
    <t>65145409</t>
  </si>
  <si>
    <t>196978630537</t>
  </si>
  <si>
    <t>65145419</t>
  </si>
  <si>
    <t>196978547859</t>
  </si>
  <si>
    <t>65145410</t>
  </si>
  <si>
    <t>196978404435</t>
  </si>
  <si>
    <t>65145420</t>
  </si>
  <si>
    <t>196978404695</t>
  </si>
  <si>
    <t>65145411</t>
  </si>
  <si>
    <t>196978547866</t>
  </si>
  <si>
    <t>65145412</t>
  </si>
  <si>
    <t>196978630544</t>
  </si>
  <si>
    <t>65145421</t>
  </si>
  <si>
    <t>400801315950</t>
  </si>
  <si>
    <t>80131595</t>
  </si>
  <si>
    <t>6522124</t>
  </si>
  <si>
    <t>Plus Size Tek Gear® Front Rushed Tank Top</t>
  </si>
  <si>
    <t>400724416338</t>
  </si>
  <si>
    <t>72441633</t>
  </si>
  <si>
    <t>Aqua Oasis</t>
  </si>
  <si>
    <t>400724416444</t>
  </si>
  <si>
    <t>72441644</t>
  </si>
  <si>
    <t>400724416550</t>
  </si>
  <si>
    <t>72441655</t>
  </si>
  <si>
    <t>400724416154</t>
  </si>
  <si>
    <t>72441615</t>
  </si>
  <si>
    <t>400801315967</t>
  </si>
  <si>
    <t>80131596</t>
  </si>
  <si>
    <t>400801316162</t>
  </si>
  <si>
    <t>80131616</t>
  </si>
  <si>
    <t>400801316063</t>
  </si>
  <si>
    <t>80131606</t>
  </si>
  <si>
    <t>400724416239</t>
  </si>
  <si>
    <t>72441623</t>
  </si>
  <si>
    <t>400724416345</t>
  </si>
  <si>
    <t>72441634</t>
  </si>
  <si>
    <t>400724416451</t>
  </si>
  <si>
    <t>72441645</t>
  </si>
  <si>
    <t>400724562875</t>
  </si>
  <si>
    <t>72456287</t>
  </si>
  <si>
    <t>400801315974</t>
  </si>
  <si>
    <t>80131597</t>
  </si>
  <si>
    <t>400801316179</t>
  </si>
  <si>
    <t>80131617</t>
  </si>
  <si>
    <t>400801316070</t>
  </si>
  <si>
    <t>80131607</t>
  </si>
  <si>
    <t>196407522372</t>
  </si>
  <si>
    <t>66079113</t>
  </si>
  <si>
    <t>5204438</t>
  </si>
  <si>
    <t>Big &amp; Tall IZOD Advantage Classic-Fit Performance Button-Down Shirt</t>
  </si>
  <si>
    <t>Rose Shadow</t>
  </si>
  <si>
    <t>196407522136</t>
  </si>
  <si>
    <t>71290387</t>
  </si>
  <si>
    <t>Ice Green</t>
  </si>
  <si>
    <t>196407522198</t>
  </si>
  <si>
    <t>20263320</t>
  </si>
  <si>
    <t>Bay</t>
  </si>
  <si>
    <t>196407524970</t>
  </si>
  <si>
    <t>61248023</t>
  </si>
  <si>
    <t>Rapture Rose</t>
  </si>
  <si>
    <t>196407522303</t>
  </si>
  <si>
    <t>60850107</t>
  </si>
  <si>
    <t>Blue Revival</t>
  </si>
  <si>
    <t>196407525151</t>
  </si>
  <si>
    <t>37299019</t>
  </si>
  <si>
    <t>Bachelor Button</t>
  </si>
  <si>
    <t>196407522662</t>
  </si>
  <si>
    <t>37284993</t>
  </si>
  <si>
    <t>Bel Air Blue</t>
  </si>
  <si>
    <t>196407522389</t>
  </si>
  <si>
    <t>66079114</t>
  </si>
  <si>
    <t>196407522143</t>
  </si>
  <si>
    <t>71290388</t>
  </si>
  <si>
    <t>196407522310</t>
  </si>
  <si>
    <t>60850114</t>
  </si>
  <si>
    <t>196407522204</t>
  </si>
  <si>
    <t>20263321</t>
  </si>
  <si>
    <t>196407475555</t>
  </si>
  <si>
    <t>37284998</t>
  </si>
  <si>
    <t>196407522174</t>
  </si>
  <si>
    <t>20263328</t>
  </si>
  <si>
    <t>196407522358</t>
  </si>
  <si>
    <t>66079124</t>
  </si>
  <si>
    <t>196407524956</t>
  </si>
  <si>
    <t>61248041</t>
  </si>
  <si>
    <t>196407522112</t>
  </si>
  <si>
    <t>71290397</t>
  </si>
  <si>
    <t>043475124123</t>
  </si>
  <si>
    <t>58207462</t>
  </si>
  <si>
    <t>5971442</t>
  </si>
  <si>
    <t>Girls 4-12 Jacques Moret Dance Rhinestone Cami Skirtall</t>
  </si>
  <si>
    <t>043475125915</t>
  </si>
  <si>
    <t>58207465</t>
  </si>
  <si>
    <t>043475124154</t>
  </si>
  <si>
    <t>58207461</t>
  </si>
  <si>
    <t>Women's Under Armour Tech Tank Top</t>
  </si>
  <si>
    <t>Black Metallic Silver</t>
  </si>
  <si>
    <t>195862236251</t>
  </si>
  <si>
    <t>29815144</t>
  </si>
  <si>
    <t>6431699</t>
  </si>
  <si>
    <t>Toddler Girl Carter's Button-Front Cardigan</t>
  </si>
  <si>
    <t>195862236268</t>
  </si>
  <si>
    <t>29815147</t>
  </si>
  <si>
    <t>195862236275</t>
  </si>
  <si>
    <t>29815148</t>
  </si>
  <si>
    <t>195862236282</t>
  </si>
  <si>
    <t>29815149</t>
  </si>
  <si>
    <t>400735484289</t>
  </si>
  <si>
    <t>73548428</t>
  </si>
  <si>
    <t>6491035</t>
  </si>
  <si>
    <t>Maternity Sonoma Goods For Life® Sweetheart Maxi Dress</t>
  </si>
  <si>
    <t>Soft Beige Floral</t>
  </si>
  <si>
    <t>400735484142</t>
  </si>
  <si>
    <t>73548414</t>
  </si>
  <si>
    <t>Black Beige Floral</t>
  </si>
  <si>
    <t>400735484333</t>
  </si>
  <si>
    <t>73548433</t>
  </si>
  <si>
    <t>400735484159</t>
  </si>
  <si>
    <t>73548415</t>
  </si>
  <si>
    <t>400735484166</t>
  </si>
  <si>
    <t>73548416</t>
  </si>
  <si>
    <t>400735484340</t>
  </si>
  <si>
    <t>73548434</t>
  </si>
  <si>
    <t>400735484173</t>
  </si>
  <si>
    <t>73548417</t>
  </si>
  <si>
    <t>400735484357</t>
  </si>
  <si>
    <t>73548435</t>
  </si>
  <si>
    <t>400735484180</t>
  </si>
  <si>
    <t>73548418</t>
  </si>
  <si>
    <t>400735484272</t>
  </si>
  <si>
    <t>73548427</t>
  </si>
  <si>
    <t>Purple Floral</t>
  </si>
  <si>
    <t>400735484364</t>
  </si>
  <si>
    <t>73548436</t>
  </si>
  <si>
    <t>Baby Girl Carter's Ruffle Cardigan, Bodysuit &amp; Pants Set</t>
  </si>
  <si>
    <t>889260931954</t>
  </si>
  <si>
    <t>78219586</t>
  </si>
  <si>
    <t>4936523</t>
  </si>
  <si>
    <t>Jumping Beans® Reagann Toddler Girls' Winter Boots</t>
  </si>
  <si>
    <t>889260931985</t>
  </si>
  <si>
    <t>78219594</t>
  </si>
  <si>
    <t>811</t>
  </si>
  <si>
    <t>889260932005</t>
  </si>
  <si>
    <t>78219596</t>
  </si>
  <si>
    <t>1458</t>
  </si>
  <si>
    <t>889260932012</t>
  </si>
  <si>
    <t>78219598</t>
  </si>
  <si>
    <t>1505</t>
  </si>
  <si>
    <t>adidas Aeroreact Training Light-Support Padded Sports Bra</t>
  </si>
  <si>
    <t>M D-DD</t>
  </si>
  <si>
    <t>L D-DD</t>
  </si>
  <si>
    <t>XL D-DD</t>
  </si>
  <si>
    <t>XS D-DD</t>
  </si>
  <si>
    <t>XXS D-DD</t>
  </si>
  <si>
    <t>S D-DD</t>
  </si>
  <si>
    <t>195861935858</t>
  </si>
  <si>
    <t>80676909</t>
  </si>
  <si>
    <t>5988486</t>
  </si>
  <si>
    <t>Baby Little Planet by Carter's Striped Sweater Knit Henley Tee &amp; Jogger Pants Set</t>
  </si>
  <si>
    <t>Brown Stripe</t>
  </si>
  <si>
    <t>195861935827</t>
  </si>
  <si>
    <t>80676911</t>
  </si>
  <si>
    <t>195861935810</t>
  </si>
  <si>
    <t>80676910</t>
  </si>
  <si>
    <t>195861935834</t>
  </si>
  <si>
    <t>80676912</t>
  </si>
  <si>
    <t>195861935780</t>
  </si>
  <si>
    <t>80676913</t>
  </si>
  <si>
    <t>195861935797</t>
  </si>
  <si>
    <t>80676914</t>
  </si>
  <si>
    <t>195861935803</t>
  </si>
  <si>
    <t>80676915</t>
  </si>
  <si>
    <t>195862008759</t>
  </si>
  <si>
    <t>37580619</t>
  </si>
  <si>
    <t>6047846</t>
  </si>
  <si>
    <t>Baby Boy Carter's 4-Pack Long Sleeve Winter Bodysuits</t>
  </si>
  <si>
    <t>195862008711</t>
  </si>
  <si>
    <t>37580620</t>
  </si>
  <si>
    <t>Women's Tommy Hilfiger Faux-Fur Trimmed Puffer Coat</t>
  </si>
  <si>
    <t>196027314500</t>
  </si>
  <si>
    <t>28249547</t>
  </si>
  <si>
    <t>6239014</t>
  </si>
  <si>
    <t>Disney Characters Girls 4-8 Disney Celebration Puff Sleeve Nightgown</t>
  </si>
  <si>
    <t>196027314517</t>
  </si>
  <si>
    <t>28249548</t>
  </si>
  <si>
    <t>196027314524</t>
  </si>
  <si>
    <t>28249549</t>
  </si>
  <si>
    <t>400281714823</t>
  </si>
  <si>
    <t>28171482</t>
  </si>
  <si>
    <t>6302508</t>
  </si>
  <si>
    <t>Girls 6-20 SO® Cozy Lined Leggings in Regular &amp; Plus Size</t>
  </si>
  <si>
    <t>Red Icons</t>
  </si>
  <si>
    <t>400281714656</t>
  </si>
  <si>
    <t>28171465</t>
  </si>
  <si>
    <t>Black Candy Cane</t>
  </si>
  <si>
    <t>400281714762</t>
  </si>
  <si>
    <t>28171476</t>
  </si>
  <si>
    <t>Navy Snowman</t>
  </si>
  <si>
    <t>400281714830</t>
  </si>
  <si>
    <t>28171483</t>
  </si>
  <si>
    <t>400281714779</t>
  </si>
  <si>
    <t>28171477</t>
  </si>
  <si>
    <t>400281714670</t>
  </si>
  <si>
    <t>28171467</t>
  </si>
  <si>
    <t>618</t>
  </si>
  <si>
    <t>400281714847</t>
  </si>
  <si>
    <t>28171484</t>
  </si>
  <si>
    <t>613</t>
  </si>
  <si>
    <t>400281714786</t>
  </si>
  <si>
    <t>28171478</t>
  </si>
  <si>
    <t>737</t>
  </si>
  <si>
    <t>400281714687</t>
  </si>
  <si>
    <t>28171468</t>
  </si>
  <si>
    <t>449</t>
  </si>
  <si>
    <t>400281714854</t>
  </si>
  <si>
    <t>28171485</t>
  </si>
  <si>
    <t>400281714793</t>
  </si>
  <si>
    <t>28171479</t>
  </si>
  <si>
    <t>702</t>
  </si>
  <si>
    <t>400281714694</t>
  </si>
  <si>
    <t>28171469</t>
  </si>
  <si>
    <t>400281714816</t>
  </si>
  <si>
    <t>28171481</t>
  </si>
  <si>
    <t>400281714861</t>
  </si>
  <si>
    <t>28171486</t>
  </si>
  <si>
    <t>400834835852</t>
  </si>
  <si>
    <t>83483585</t>
  </si>
  <si>
    <t>400834835906</t>
  </si>
  <si>
    <t>83483590</t>
  </si>
  <si>
    <t>400834835753</t>
  </si>
  <si>
    <t>83483575</t>
  </si>
  <si>
    <t>400834835760</t>
  </si>
  <si>
    <t>83483576</t>
  </si>
  <si>
    <t>400834835869</t>
  </si>
  <si>
    <t>83483586</t>
  </si>
  <si>
    <t>400834835913</t>
  </si>
  <si>
    <t>83483591</t>
  </si>
  <si>
    <t>400834835777</t>
  </si>
  <si>
    <t>83483577</t>
  </si>
  <si>
    <t>400834835876</t>
  </si>
  <si>
    <t>83483587</t>
  </si>
  <si>
    <t>400834835920</t>
  </si>
  <si>
    <t>83483592</t>
  </si>
  <si>
    <t>400834835784</t>
  </si>
  <si>
    <t>83483578</t>
  </si>
  <si>
    <t>400834835883</t>
  </si>
  <si>
    <t>83483588</t>
  </si>
  <si>
    <t>400834835937</t>
  </si>
  <si>
    <t>83483593</t>
  </si>
  <si>
    <t>400834835791</t>
  </si>
  <si>
    <t>83483579</t>
  </si>
  <si>
    <t>400834835890</t>
  </si>
  <si>
    <t>83483589</t>
  </si>
  <si>
    <t>400834835944</t>
  </si>
  <si>
    <t>83483594</t>
  </si>
  <si>
    <t>197161323618</t>
  </si>
  <si>
    <t>80210446</t>
  </si>
  <si>
    <t>6372530</t>
  </si>
  <si>
    <t>S 4</t>
  </si>
  <si>
    <t>197161323625</t>
  </si>
  <si>
    <t>80210447</t>
  </si>
  <si>
    <t>M 5-6</t>
  </si>
  <si>
    <t>197161323632</t>
  </si>
  <si>
    <t>80210448</t>
  </si>
  <si>
    <t>L 7</t>
  </si>
  <si>
    <t>716838394340</t>
  </si>
  <si>
    <t>19161373</t>
  </si>
  <si>
    <t>6860652</t>
  </si>
  <si>
    <t>Forever 14K 14k Gold Two Tone Crucifix Pendant Necklace</t>
  </si>
  <si>
    <t>Forever 14K</t>
  </si>
  <si>
    <t>14k Two Tone</t>
  </si>
  <si>
    <t>Baby Nike Full-Zip Hooded Puffer Snowsuit</t>
  </si>
  <si>
    <t>Game Royal</t>
  </si>
  <si>
    <t>197117058496</t>
  </si>
  <si>
    <t>79178062</t>
  </si>
  <si>
    <t>5973416</t>
  </si>
  <si>
    <t>Big &amp; Tall Cuddl Duds® Far-Infrared Enhance Pajama Hoodie</t>
  </si>
  <si>
    <t>197117058410</t>
  </si>
  <si>
    <t>79178045</t>
  </si>
  <si>
    <t>197117058564</t>
  </si>
  <si>
    <t>79178071</t>
  </si>
  <si>
    <t>197117058458</t>
  </si>
  <si>
    <t>79178054</t>
  </si>
  <si>
    <t>197117058465</t>
  </si>
  <si>
    <t>79178055</t>
  </si>
  <si>
    <t>197117058502</t>
  </si>
  <si>
    <t>79178064</t>
  </si>
  <si>
    <t>197117058427</t>
  </si>
  <si>
    <t>79178046</t>
  </si>
  <si>
    <t>197117058571</t>
  </si>
  <si>
    <t>79178072</t>
  </si>
  <si>
    <t>197117058533</t>
  </si>
  <si>
    <t>79178059</t>
  </si>
  <si>
    <t>197117058601</t>
  </si>
  <si>
    <t>79178067</t>
  </si>
  <si>
    <t>197117058380</t>
  </si>
  <si>
    <t>79178050</t>
  </si>
  <si>
    <t>197117058632</t>
  </si>
  <si>
    <t>79178076</t>
  </si>
  <si>
    <t>197117058472</t>
  </si>
  <si>
    <t>79178056</t>
  </si>
  <si>
    <t>197117058519</t>
  </si>
  <si>
    <t>79178065</t>
  </si>
  <si>
    <t>197117058434</t>
  </si>
  <si>
    <t>79178047</t>
  </si>
  <si>
    <t>197117058588</t>
  </si>
  <si>
    <t>79178074</t>
  </si>
  <si>
    <t>197117058649</t>
  </si>
  <si>
    <t>79178077</t>
  </si>
  <si>
    <t>197117058540</t>
  </si>
  <si>
    <t>79178060</t>
  </si>
  <si>
    <t>197117058618</t>
  </si>
  <si>
    <t>79178069</t>
  </si>
  <si>
    <t>197117058397</t>
  </si>
  <si>
    <t>79178051</t>
  </si>
  <si>
    <t>197117058489</t>
  </si>
  <si>
    <t>79178057</t>
  </si>
  <si>
    <t>197117058526</t>
  </si>
  <si>
    <t>79178066</t>
  </si>
  <si>
    <t>197117058441</t>
  </si>
  <si>
    <t>79178049</t>
  </si>
  <si>
    <t>197117058595</t>
  </si>
  <si>
    <t>79178075</t>
  </si>
  <si>
    <t>197117058557</t>
  </si>
  <si>
    <t>79178061</t>
  </si>
  <si>
    <t>197117058625</t>
  </si>
  <si>
    <t>79178070</t>
  </si>
  <si>
    <t>Kamik Stomp Toddler Waterproof Rain Boots</t>
  </si>
  <si>
    <t>Little Live Scruff-A-Luvs Sew Surprise Playset</t>
  </si>
  <si>
    <t>Little Live Pets</t>
  </si>
  <si>
    <t>400731705197</t>
  </si>
  <si>
    <t>73170519</t>
  </si>
  <si>
    <t>6512815</t>
  </si>
  <si>
    <t>Women's LC Lauren Conrad Cropped Blazer</t>
  </si>
  <si>
    <t>400731705203</t>
  </si>
  <si>
    <t>73170520</t>
  </si>
  <si>
    <t>400731705210</t>
  </si>
  <si>
    <t>73170521</t>
  </si>
  <si>
    <t>400731705227</t>
  </si>
  <si>
    <t>73170522</t>
  </si>
  <si>
    <t>400731705234</t>
  </si>
  <si>
    <t>73170523</t>
  </si>
  <si>
    <t>400731705241</t>
  </si>
  <si>
    <t>73170524</t>
  </si>
  <si>
    <t>400281652477</t>
  </si>
  <si>
    <t>28165247</t>
  </si>
  <si>
    <t>6149344</t>
  </si>
  <si>
    <t>Girls 6-20 SO® 90's Loose Denim Jacket in Regular &amp; Plus Size</t>
  </si>
  <si>
    <t>716838394364</t>
  </si>
  <si>
    <t>68772341</t>
  </si>
  <si>
    <t>6860650</t>
  </si>
  <si>
    <t>Forever 14K 14k Gold Ball Pastels Stud Earrings</t>
  </si>
  <si>
    <t>Women's Columbia West Bend Cozy Sherpa Fleece Jacket</t>
  </si>
  <si>
    <t>Red Lily Buffalo Print</t>
  </si>
  <si>
    <t>196327479527</t>
  </si>
  <si>
    <t>58315529</t>
  </si>
  <si>
    <t>6245063</t>
  </si>
  <si>
    <t>Boys 8-20 Hurley Mock-layer Sleeve Tee</t>
  </si>
  <si>
    <t>196327308742</t>
  </si>
  <si>
    <t>73519088</t>
  </si>
  <si>
    <t>196327479534</t>
  </si>
  <si>
    <t>58315530</t>
  </si>
  <si>
    <t>196327479541</t>
  </si>
  <si>
    <t>58315537</t>
  </si>
  <si>
    <t>196327308766</t>
  </si>
  <si>
    <t>73519094</t>
  </si>
  <si>
    <t>195862120475</t>
  </si>
  <si>
    <t>76867308</t>
  </si>
  <si>
    <t>6185345</t>
  </si>
  <si>
    <t>Baby Boy Carter's 4-Pack Long-Sleeve Bodysuits</t>
  </si>
  <si>
    <t>Assorted</t>
  </si>
  <si>
    <t>195862120437</t>
  </si>
  <si>
    <t>76867309</t>
  </si>
  <si>
    <t>637677764067</t>
  </si>
  <si>
    <t>58737843</t>
  </si>
  <si>
    <t>6558002</t>
  </si>
  <si>
    <t>Girls 7-16 Self Esteem Smocked Peasant Top</t>
  </si>
  <si>
    <t>Self Esteem</t>
  </si>
  <si>
    <t>637677749101</t>
  </si>
  <si>
    <t>18180158</t>
  </si>
  <si>
    <t>637677760359</t>
  </si>
  <si>
    <t>29708022</t>
  </si>
  <si>
    <t>637677764029</t>
  </si>
  <si>
    <t>62445025</t>
  </si>
  <si>
    <t>637677749118</t>
  </si>
  <si>
    <t>18180159</t>
  </si>
  <si>
    <t>637677760366</t>
  </si>
  <si>
    <t>29708023</t>
  </si>
  <si>
    <t>637677764036</t>
  </si>
  <si>
    <t>62445026</t>
  </si>
  <si>
    <t>637677630331</t>
  </si>
  <si>
    <t>82846030</t>
  </si>
  <si>
    <t>637677764074</t>
  </si>
  <si>
    <t>58737844</t>
  </si>
  <si>
    <t>637677760373</t>
  </si>
  <si>
    <t>29708024</t>
  </si>
  <si>
    <t>637677764043</t>
  </si>
  <si>
    <t>62445027</t>
  </si>
  <si>
    <t>637677749125</t>
  </si>
  <si>
    <t>18180160</t>
  </si>
  <si>
    <t>637677764081</t>
  </si>
  <si>
    <t>58737845</t>
  </si>
  <si>
    <t>197256296551</t>
  </si>
  <si>
    <t>44155270</t>
  </si>
  <si>
    <t>5589840</t>
  </si>
  <si>
    <t>Boys Eddie Bauer Deer Harbor Reversible Jacket</t>
  </si>
  <si>
    <t>197256296438</t>
  </si>
  <si>
    <t>44155264</t>
  </si>
  <si>
    <t>197256296445</t>
  </si>
  <si>
    <t>44155265</t>
  </si>
  <si>
    <t>5-6</t>
  </si>
  <si>
    <t>197256296568</t>
  </si>
  <si>
    <t>44155271</t>
  </si>
  <si>
    <t>197256296469</t>
  </si>
  <si>
    <t>44155267</t>
  </si>
  <si>
    <t>197256296476</t>
  </si>
  <si>
    <t>44155268</t>
  </si>
  <si>
    <t>197256296599</t>
  </si>
  <si>
    <t>44155274</t>
  </si>
  <si>
    <t>195365509586</t>
  </si>
  <si>
    <t>33258484</t>
  </si>
  <si>
    <t>6110764</t>
  </si>
  <si>
    <t>Women's ZeroXposur Barcelona Ottoman Crewneck Pullover</t>
  </si>
  <si>
    <t>195365502341</t>
  </si>
  <si>
    <t>33258479</t>
  </si>
  <si>
    <t>Moonlight</t>
  </si>
  <si>
    <t>195365509500</t>
  </si>
  <si>
    <t>81921572</t>
  </si>
  <si>
    <t>195365502358</t>
  </si>
  <si>
    <t>33258480</t>
  </si>
  <si>
    <t>195365509593</t>
  </si>
  <si>
    <t>33258485</t>
  </si>
  <si>
    <t>195365509517</t>
  </si>
  <si>
    <t>81921578</t>
  </si>
  <si>
    <t>195365502365</t>
  </si>
  <si>
    <t>33258481</t>
  </si>
  <si>
    <t>195365509609</t>
  </si>
  <si>
    <t>33258486</t>
  </si>
  <si>
    <t>195365509524</t>
  </si>
  <si>
    <t>81921579</t>
  </si>
  <si>
    <t>195365502372</t>
  </si>
  <si>
    <t>33258482</t>
  </si>
  <si>
    <t>195365509616</t>
  </si>
  <si>
    <t>33258487</t>
  </si>
  <si>
    <t>195365509531</t>
  </si>
  <si>
    <t>81921580</t>
  </si>
  <si>
    <t>195365509623</t>
  </si>
  <si>
    <t>33258488</t>
  </si>
  <si>
    <t>195157062022</t>
  </si>
  <si>
    <t>65878112</t>
  </si>
  <si>
    <t>6203194</t>
  </si>
  <si>
    <t>Boys 8-20 Sonoma Goods For Life® Crewneck Sweater</t>
  </si>
  <si>
    <t>195157061988</t>
  </si>
  <si>
    <t>63608927</t>
  </si>
  <si>
    <t>195157062039</t>
  </si>
  <si>
    <t>65878113</t>
  </si>
  <si>
    <t>413</t>
  </si>
  <si>
    <t>195157061995</t>
  </si>
  <si>
    <t>63608928</t>
  </si>
  <si>
    <t>195157062046</t>
  </si>
  <si>
    <t>65878114</t>
  </si>
  <si>
    <t>195157062008</t>
  </si>
  <si>
    <t>63608929</t>
  </si>
  <si>
    <t>405</t>
  </si>
  <si>
    <t>195157062053</t>
  </si>
  <si>
    <t>65878115</t>
  </si>
  <si>
    <t>195157062015</t>
  </si>
  <si>
    <t>63608934</t>
  </si>
  <si>
    <t>Baby / Toddler Nike Swoosh Fleece Cap &amp; Mittens Set</t>
  </si>
  <si>
    <t>Anthracite</t>
  </si>
  <si>
    <t>TODDLER</t>
  </si>
  <si>
    <t>196327459000</t>
  </si>
  <si>
    <t>30286826</t>
  </si>
  <si>
    <t>12-24MONTH</t>
  </si>
  <si>
    <t>677838877199</t>
  </si>
  <si>
    <t>64662658</t>
  </si>
  <si>
    <t>2T-4T</t>
  </si>
  <si>
    <t>195862011377</t>
  </si>
  <si>
    <t>49642950</t>
  </si>
  <si>
    <t>6077186</t>
  </si>
  <si>
    <t>Baby Carter's Holiday Penguins Bodysuits &amp; Pants Set</t>
  </si>
  <si>
    <t>195862011346</t>
  </si>
  <si>
    <t>49642952</t>
  </si>
  <si>
    <t>195862011339</t>
  </si>
  <si>
    <t>49642951</t>
  </si>
  <si>
    <t>427</t>
  </si>
  <si>
    <t>195862011353</t>
  </si>
  <si>
    <t>49642953</t>
  </si>
  <si>
    <t>840132324632</t>
  </si>
  <si>
    <t>76740244</t>
  </si>
  <si>
    <t>5757123</t>
  </si>
  <si>
    <t>Men's Caliville Duo Cotton Stretch Polished 5-Pocket Pants</t>
  </si>
  <si>
    <t>Black Denim</t>
  </si>
  <si>
    <t>840132324694</t>
  </si>
  <si>
    <t>76740249</t>
  </si>
  <si>
    <t>Gray Denim</t>
  </si>
  <si>
    <t>840132324649</t>
  </si>
  <si>
    <t>76740245</t>
  </si>
  <si>
    <t>840132324700</t>
  </si>
  <si>
    <t>76740250</t>
  </si>
  <si>
    <t>840132324717</t>
  </si>
  <si>
    <t>76740251</t>
  </si>
  <si>
    <t>840132324656</t>
  </si>
  <si>
    <t>76740246</t>
  </si>
  <si>
    <t>840132324724</t>
  </si>
  <si>
    <t>76740252</t>
  </si>
  <si>
    <t>840132324663</t>
  </si>
  <si>
    <t>76740247</t>
  </si>
  <si>
    <t>840132324731</t>
  </si>
  <si>
    <t>76740254</t>
  </si>
  <si>
    <t>840132324670</t>
  </si>
  <si>
    <t>76740248</t>
  </si>
  <si>
    <t>196976207496</t>
  </si>
  <si>
    <t>53515863</t>
  </si>
  <si>
    <t>6487462</t>
  </si>
  <si>
    <t>Plus Size Nike Sportswear Club Fleece Graphic Sweatshirt</t>
  </si>
  <si>
    <t>196976218577</t>
  </si>
  <si>
    <t>53515864</t>
  </si>
  <si>
    <t>196976207731</t>
  </si>
  <si>
    <t>53515865</t>
  </si>
  <si>
    <t>196739120611</t>
  </si>
  <si>
    <t>76955241</t>
  </si>
  <si>
    <t>6007313</t>
  </si>
  <si>
    <t>Boys 8-20 Champion® Powerblend Fleece Camo Joggers</t>
  </si>
  <si>
    <t>Hyperwash Swiss Blue</t>
  </si>
  <si>
    <t>196739120536</t>
  </si>
  <si>
    <t>76955231</t>
  </si>
  <si>
    <t>Artic Cold Beige</t>
  </si>
  <si>
    <t>196739120543</t>
  </si>
  <si>
    <t>76955232</t>
  </si>
  <si>
    <t>196739120628</t>
  </si>
  <si>
    <t>76955242</t>
  </si>
  <si>
    <t>762166735492</t>
  </si>
  <si>
    <t>50545147</t>
  </si>
  <si>
    <t>6332827</t>
  </si>
  <si>
    <t>Men's Santa Llama Holiday Sweater</t>
  </si>
  <si>
    <t>Emerald</t>
  </si>
  <si>
    <t>762166735508</t>
  </si>
  <si>
    <t>50545154</t>
  </si>
  <si>
    <t>762166735515</t>
  </si>
  <si>
    <t>50545155</t>
  </si>
  <si>
    <t>762166735522</t>
  </si>
  <si>
    <t>50545156</t>
  </si>
  <si>
    <t>400867710652</t>
  </si>
  <si>
    <t>86771065</t>
  </si>
  <si>
    <t>6432781</t>
  </si>
  <si>
    <t>Women's Croft &amp; Barrow® Pleated Ruffle-Neck Dress</t>
  </si>
  <si>
    <t>400867710676</t>
  </si>
  <si>
    <t>86771067</t>
  </si>
  <si>
    <t>400867710683</t>
  </si>
  <si>
    <t>86771068</t>
  </si>
  <si>
    <t>400867710690</t>
  </si>
  <si>
    <t>86771069</t>
  </si>
  <si>
    <t>400867710706</t>
  </si>
  <si>
    <t>86771070</t>
  </si>
  <si>
    <t>400867710713</t>
  </si>
  <si>
    <t>86771071</t>
  </si>
  <si>
    <t>400832380750</t>
  </si>
  <si>
    <t>83238075</t>
  </si>
  <si>
    <t>6605126</t>
  </si>
  <si>
    <t>Women's LC Lauren Conrad Short Trench Coat</t>
  </si>
  <si>
    <t>Dale Peach</t>
  </si>
  <si>
    <t>400832380767</t>
  </si>
  <si>
    <t>83238076</t>
  </si>
  <si>
    <t>400832380774</t>
  </si>
  <si>
    <t>83238077</t>
  </si>
  <si>
    <t>400832380781</t>
  </si>
  <si>
    <t>83238078</t>
  </si>
  <si>
    <t>400832380798</t>
  </si>
  <si>
    <t>83238079</t>
  </si>
  <si>
    <t>400832380804</t>
  </si>
  <si>
    <t>83238080</t>
  </si>
  <si>
    <t>772204132558</t>
  </si>
  <si>
    <t>76110689</t>
  </si>
  <si>
    <t>3616449</t>
  </si>
  <si>
    <t>Boys 8-20 Vans® Logo Graphic Tee</t>
  </si>
  <si>
    <t>Cardinal</t>
  </si>
  <si>
    <t>400480427968</t>
  </si>
  <si>
    <t>48042796</t>
  </si>
  <si>
    <t>6494526</t>
  </si>
  <si>
    <t>Big &amp; Tall Sonoma Goods For Life® Heavy Weight Flannel Shirt</t>
  </si>
  <si>
    <t>400480427852</t>
  </si>
  <si>
    <t>48042785</t>
  </si>
  <si>
    <t>Practical Beige</t>
  </si>
  <si>
    <t>400480427975</t>
  </si>
  <si>
    <t>48042797</t>
  </si>
  <si>
    <t>400480427869</t>
  </si>
  <si>
    <t>48042786</t>
  </si>
  <si>
    <t>400480427982</t>
  </si>
  <si>
    <t>48042798</t>
  </si>
  <si>
    <t>400480427876</t>
  </si>
  <si>
    <t>48042787</t>
  </si>
  <si>
    <t>400480427906</t>
  </si>
  <si>
    <t>48042790</t>
  </si>
  <si>
    <t>400500657122</t>
  </si>
  <si>
    <t>50065712</t>
  </si>
  <si>
    <t>Wide Stripe Plaid Blue</t>
  </si>
  <si>
    <t>400480428019</t>
  </si>
  <si>
    <t>48042801</t>
  </si>
  <si>
    <t>400480427883</t>
  </si>
  <si>
    <t>48042788</t>
  </si>
  <si>
    <t>400480427913</t>
  </si>
  <si>
    <t>48042791</t>
  </si>
  <si>
    <t>400500657139</t>
  </si>
  <si>
    <t>50065713</t>
  </si>
  <si>
    <t>400480428026</t>
  </si>
  <si>
    <t>48042802</t>
  </si>
  <si>
    <t>400480427920</t>
  </si>
  <si>
    <t>48042792</t>
  </si>
  <si>
    <t>400500657146</t>
  </si>
  <si>
    <t>50065714</t>
  </si>
  <si>
    <t>400480428033</t>
  </si>
  <si>
    <t>48042803</t>
  </si>
  <si>
    <t>Women's Levi's® Faux-Leather Sherpa-Lined Moto Jacket</t>
  </si>
  <si>
    <t>028266915814</t>
  </si>
  <si>
    <t>30853964</t>
  </si>
  <si>
    <t>6093016</t>
  </si>
  <si>
    <t>Plus Size Miss Elaine Essentials Honeycomb Long Gown</t>
  </si>
  <si>
    <t>028266915784</t>
  </si>
  <si>
    <t>30853955</t>
  </si>
  <si>
    <t>028266915821</t>
  </si>
  <si>
    <t>30853965</t>
  </si>
  <si>
    <t>028266915791</t>
  </si>
  <si>
    <t>30853956</t>
  </si>
  <si>
    <t>028266915807</t>
  </si>
  <si>
    <t>30853963</t>
  </si>
  <si>
    <t>028266915838</t>
  </si>
  <si>
    <t>30853966</t>
  </si>
  <si>
    <t>197117355755</t>
  </si>
  <si>
    <t>56110862</t>
  </si>
  <si>
    <t>6301608</t>
  </si>
  <si>
    <t>Boys 6-18 Cuddl Duds® 2-Piece Fleece Base Layer Set</t>
  </si>
  <si>
    <t>197117355700</t>
  </si>
  <si>
    <t>56110858</t>
  </si>
  <si>
    <t>197117355656</t>
  </si>
  <si>
    <t>56110854</t>
  </si>
  <si>
    <t>197117355717</t>
  </si>
  <si>
    <t>56110859</t>
  </si>
  <si>
    <t>197117355663</t>
  </si>
  <si>
    <t>56110855</t>
  </si>
  <si>
    <t>400783656966</t>
  </si>
  <si>
    <t>78365696</t>
  </si>
  <si>
    <t>5234068</t>
  </si>
  <si>
    <t>Juniors' SO® Seamless V-Neck Tank Top Bodysuit</t>
  </si>
  <si>
    <t>400556084224</t>
  </si>
  <si>
    <t>55608422</t>
  </si>
  <si>
    <t>400783656980</t>
  </si>
  <si>
    <t>78365698</t>
  </si>
  <si>
    <t>473</t>
  </si>
  <si>
    <t>400556084231</t>
  </si>
  <si>
    <t>55608423</t>
  </si>
  <si>
    <t>400783657031</t>
  </si>
  <si>
    <t>78365703</t>
  </si>
  <si>
    <t>400556084248</t>
  </si>
  <si>
    <t>55608424</t>
  </si>
  <si>
    <t>400783657048</t>
  </si>
  <si>
    <t>78365704</t>
  </si>
  <si>
    <t>400556084255</t>
  </si>
  <si>
    <t>55608425</t>
  </si>
  <si>
    <t>783</t>
  </si>
  <si>
    <t>400783657055</t>
  </si>
  <si>
    <t>78365705</t>
  </si>
  <si>
    <t>400556084262</t>
  </si>
  <si>
    <t>55608426</t>
  </si>
  <si>
    <t>400783657062</t>
  </si>
  <si>
    <t>78365706</t>
  </si>
  <si>
    <t>400556084279</t>
  </si>
  <si>
    <t>55608427</t>
  </si>
  <si>
    <t>047556292305</t>
  </si>
  <si>
    <t>37901113</t>
  </si>
  <si>
    <t>5647541</t>
  </si>
  <si>
    <t>Girls SO® 6-Pack Cushioned Crew Socks</t>
  </si>
  <si>
    <t>195861978596</t>
  </si>
  <si>
    <t>71926699</t>
  </si>
  <si>
    <t>6074433</t>
  </si>
  <si>
    <t>Baby Carter's 2-Piece Buffalo Check Fleece &amp; Jogger Set</t>
  </si>
  <si>
    <t>195861978558</t>
  </si>
  <si>
    <t>71926690</t>
  </si>
  <si>
    <t>195861978565</t>
  </si>
  <si>
    <t>71926691</t>
  </si>
  <si>
    <t>195861978572</t>
  </si>
  <si>
    <t>71926692</t>
  </si>
  <si>
    <t>195861978527</t>
  </si>
  <si>
    <t>71926681</t>
  </si>
  <si>
    <t>195861978534</t>
  </si>
  <si>
    <t>71926682</t>
  </si>
  <si>
    <t>400510064194</t>
  </si>
  <si>
    <t>51006419</t>
  </si>
  <si>
    <t>5675932</t>
  </si>
  <si>
    <t>Boys 8-20 Tek Gear® Soft Tek 1/4 Zip Pullover in Regular &amp; Husky</t>
  </si>
  <si>
    <t>Mint Confetti</t>
  </si>
  <si>
    <t>400510064101</t>
  </si>
  <si>
    <t>51006410</t>
  </si>
  <si>
    <t>400510064323</t>
  </si>
  <si>
    <t>51006432</t>
  </si>
  <si>
    <t>Blue Dye</t>
  </si>
  <si>
    <t>400510064286</t>
  </si>
  <si>
    <t>51006428</t>
  </si>
  <si>
    <t>Cherry Cocktail</t>
  </si>
  <si>
    <t>400510064200</t>
  </si>
  <si>
    <t>51006420</t>
  </si>
  <si>
    <t>400510064385</t>
  </si>
  <si>
    <t>51006438</t>
  </si>
  <si>
    <t>400510064118</t>
  </si>
  <si>
    <t>51006411</t>
  </si>
  <si>
    <t>400510064293</t>
  </si>
  <si>
    <t>51006429</t>
  </si>
  <si>
    <t>400510064217</t>
  </si>
  <si>
    <t>51006421</t>
  </si>
  <si>
    <t>400510064392</t>
  </si>
  <si>
    <t>51006439</t>
  </si>
  <si>
    <t>400510064309</t>
  </si>
  <si>
    <t>51006430</t>
  </si>
  <si>
    <t>400510064125</t>
  </si>
  <si>
    <t>51006412</t>
  </si>
  <si>
    <t>400510064408</t>
  </si>
  <si>
    <t>51006440</t>
  </si>
  <si>
    <t>400510064224</t>
  </si>
  <si>
    <t>51006422</t>
  </si>
  <si>
    <t>400510064187</t>
  </si>
  <si>
    <t>51006418</t>
  </si>
  <si>
    <t>400510064316</t>
  </si>
  <si>
    <t>51006431</t>
  </si>
  <si>
    <t>717312638592</t>
  </si>
  <si>
    <t>63603679</t>
  </si>
  <si>
    <t>7081233</t>
  </si>
  <si>
    <t>Men's Grand Slam Regular-Fit Active Waistband Performance Golf Pant</t>
  </si>
  <si>
    <t>717312638561</t>
  </si>
  <si>
    <t>63603694</t>
  </si>
  <si>
    <t>Women's Columbia Holly Hideaway™ Waffle Shirt Jacket</t>
  </si>
  <si>
    <t>196739089093</t>
  </si>
  <si>
    <t>78586643</t>
  </si>
  <si>
    <t>Girls 7-16 Champion® Classic Wordmark Logo Long Sleeve Tee</t>
  </si>
  <si>
    <t>Lavender Bouquet</t>
  </si>
  <si>
    <t>Aztec Blue</t>
  </si>
  <si>
    <t>Spirited Pink</t>
  </si>
  <si>
    <t>196739089109</t>
  </si>
  <si>
    <t>78586644</t>
  </si>
  <si>
    <t>196739089185</t>
  </si>
  <si>
    <t>78586654</t>
  </si>
  <si>
    <t>196739089079</t>
  </si>
  <si>
    <t>79042980</t>
  </si>
  <si>
    <t>196739089031</t>
  </si>
  <si>
    <t>79042976</t>
  </si>
  <si>
    <t>196739089192</t>
  </si>
  <si>
    <t>78586655</t>
  </si>
  <si>
    <t>196739089116</t>
  </si>
  <si>
    <t>78586645</t>
  </si>
  <si>
    <t>765803903575</t>
  </si>
  <si>
    <t>30701990</t>
  </si>
  <si>
    <t>4958682</t>
  </si>
  <si>
    <t>Boys 7-20 Sonoma Goods For Life® Flexwear Loose Straight Jeans</t>
  </si>
  <si>
    <t>Brown Tint</t>
  </si>
  <si>
    <t>765803903872</t>
  </si>
  <si>
    <t>71961331</t>
  </si>
  <si>
    <t>765803903421</t>
  </si>
  <si>
    <t>65486573</t>
  </si>
  <si>
    <t>686</t>
  </si>
  <si>
    <t>765803903582</t>
  </si>
  <si>
    <t>30701991</t>
  </si>
  <si>
    <t>765803903889</t>
  </si>
  <si>
    <t>71961332</t>
  </si>
  <si>
    <t>765803903438</t>
  </si>
  <si>
    <t>65486574</t>
  </si>
  <si>
    <t>765803903599</t>
  </si>
  <si>
    <t>30701992</t>
  </si>
  <si>
    <t>765803903896</t>
  </si>
  <si>
    <t>71961339</t>
  </si>
  <si>
    <t>765803903490</t>
  </si>
  <si>
    <t>65503085</t>
  </si>
  <si>
    <t>765803903940</t>
  </si>
  <si>
    <t>71961350</t>
  </si>
  <si>
    <t>765803903643</t>
  </si>
  <si>
    <t>30701997</t>
  </si>
  <si>
    <t>765803903506</t>
  </si>
  <si>
    <t>17896380</t>
  </si>
  <si>
    <t>765803903650</t>
  </si>
  <si>
    <t>73633358</t>
  </si>
  <si>
    <t>765803903957</t>
  </si>
  <si>
    <t>50132670</t>
  </si>
  <si>
    <t>765803903964</t>
  </si>
  <si>
    <t>50132671</t>
  </si>
  <si>
    <t>765803903667</t>
  </si>
  <si>
    <t>73633363</t>
  </si>
  <si>
    <t>765803904008</t>
  </si>
  <si>
    <t>50132678</t>
  </si>
  <si>
    <t>765803903704</t>
  </si>
  <si>
    <t>73633367</t>
  </si>
  <si>
    <t>765803904015</t>
  </si>
  <si>
    <t>50132679</t>
  </si>
  <si>
    <t>765803903711</t>
  </si>
  <si>
    <t>73633368</t>
  </si>
  <si>
    <t>197026444380</t>
  </si>
  <si>
    <t>45995463</t>
  </si>
  <si>
    <t>6348174</t>
  </si>
  <si>
    <t>Baby &amp; Toddler Girl Jumping Beans® Peppa Pig &amp;#34;Girls Rule the Galaxy&amp;#34; Sparkle Graphic Tee</t>
  </si>
  <si>
    <t>Baron River</t>
  </si>
  <si>
    <t>197026444397</t>
  </si>
  <si>
    <t>45995464</t>
  </si>
  <si>
    <t>197026444410</t>
  </si>
  <si>
    <t>45995466</t>
  </si>
  <si>
    <t>196327600907</t>
  </si>
  <si>
    <t>75436683</t>
  </si>
  <si>
    <t>6093259</t>
  </si>
  <si>
    <t>Baby &amp; Toddler Nike Futura Printed Trapper Hat and Mittens Set</t>
  </si>
  <si>
    <t>Polar Floral</t>
  </si>
  <si>
    <t>400695907835</t>
  </si>
  <si>
    <t>69590783</t>
  </si>
  <si>
    <t>7081398</t>
  </si>
  <si>
    <t>400545978831</t>
  </si>
  <si>
    <t>54597883</t>
  </si>
  <si>
    <t>400715350399</t>
  </si>
  <si>
    <t>71535039</t>
  </si>
  <si>
    <t>400719781632</t>
  </si>
  <si>
    <t>71978163</t>
  </si>
  <si>
    <t>400715350405</t>
  </si>
  <si>
    <t>71535040</t>
  </si>
  <si>
    <t>400719781656</t>
  </si>
  <si>
    <t>71978165</t>
  </si>
  <si>
    <t>400715350412</t>
  </si>
  <si>
    <t>71535041</t>
  </si>
  <si>
    <t>400545981534</t>
  </si>
  <si>
    <t>54598153</t>
  </si>
  <si>
    <t>400695908252</t>
  </si>
  <si>
    <t>69590825</t>
  </si>
  <si>
    <t>400545980438</t>
  </si>
  <si>
    <t>54598043</t>
  </si>
  <si>
    <t>400695908078</t>
  </si>
  <si>
    <t>69590807</t>
  </si>
  <si>
    <t>400719781755</t>
  </si>
  <si>
    <t>71978175</t>
  </si>
  <si>
    <t>400719781762</t>
  </si>
  <si>
    <t>71978176</t>
  </si>
  <si>
    <t>400715350528</t>
  </si>
  <si>
    <t>71535052</t>
  </si>
  <si>
    <t>400719781847</t>
  </si>
  <si>
    <t>71978184</t>
  </si>
  <si>
    <t>196575365436</t>
  </si>
  <si>
    <t>58434342</t>
  </si>
  <si>
    <t>6172409</t>
  </si>
  <si>
    <t>Boys 8-20 Vans Long Sleeve Graphic Tee</t>
  </si>
  <si>
    <t>196575365276</t>
  </si>
  <si>
    <t>58434343</t>
  </si>
  <si>
    <t>196575365207</t>
  </si>
  <si>
    <t>58434344</t>
  </si>
  <si>
    <t>196575365504</t>
  </si>
  <si>
    <t>58434345</t>
  </si>
  <si>
    <t>400806421052</t>
  </si>
  <si>
    <t>80642105</t>
  </si>
  <si>
    <t>6425584</t>
  </si>
  <si>
    <t>The Big One® Marvel Black Panther Squishy Plush Throw Pillow</t>
  </si>
  <si>
    <t>The Big One Marvel</t>
  </si>
  <si>
    <t>195862256129</t>
  </si>
  <si>
    <t>77012060</t>
  </si>
  <si>
    <t>6433151</t>
  </si>
  <si>
    <t>Baby Girl Carter's 2-Piece Bunny Print Sweatshirt &amp; Shorts Set</t>
  </si>
  <si>
    <t>195862256082</t>
  </si>
  <si>
    <t>77012061</t>
  </si>
  <si>
    <t>195861981589</t>
  </si>
  <si>
    <t>73190741</t>
  </si>
  <si>
    <t>6076072</t>
  </si>
  <si>
    <t>Baby Boy Carter's 2-Piece Plaid Hooded Button-Front Shirt &amp; Pants Set</t>
  </si>
  <si>
    <t>Blue Brown Plaid</t>
  </si>
  <si>
    <t>195861981541</t>
  </si>
  <si>
    <t>73190738</t>
  </si>
  <si>
    <t>195861981558</t>
  </si>
  <si>
    <t>73190739</t>
  </si>
  <si>
    <t>195862017850</t>
  </si>
  <si>
    <t>18167849</t>
  </si>
  <si>
    <t>6046547</t>
  </si>
  <si>
    <t>Baby Carter's 2-Piece Thanksgiving Tee &amp; Thermal Coverall Set</t>
  </si>
  <si>
    <t>195862017829</t>
  </si>
  <si>
    <t>18167851</t>
  </si>
  <si>
    <t>195862017812</t>
  </si>
  <si>
    <t>18167850</t>
  </si>
  <si>
    <t>195862017836</t>
  </si>
  <si>
    <t>18167852</t>
  </si>
  <si>
    <t>Plus Size Miss Elaine Essentials Cottonessa Short Nightgown</t>
  </si>
  <si>
    <t>Pink Lilac Dot</t>
  </si>
  <si>
    <t>028266900360</t>
  </si>
  <si>
    <t>83402643</t>
  </si>
  <si>
    <t>Pink Roses</t>
  </si>
  <si>
    <t>028266902012</t>
  </si>
  <si>
    <t>30931812</t>
  </si>
  <si>
    <t>400764691627</t>
  </si>
  <si>
    <t>76469162</t>
  </si>
  <si>
    <t>5954937</t>
  </si>
  <si>
    <t>Men's Sonoma Goods For Life® 7&amp;#34; Knit Everyday Pull-On Shorts</t>
  </si>
  <si>
    <t>True Blue</t>
  </si>
  <si>
    <t>400764691689</t>
  </si>
  <si>
    <t>76469168</t>
  </si>
  <si>
    <t>400188012428</t>
  </si>
  <si>
    <t>18801242</t>
  </si>
  <si>
    <t>Medium Heather Gray</t>
  </si>
  <si>
    <t>400183089180</t>
  </si>
  <si>
    <t>18308918</t>
  </si>
  <si>
    <t>6307123</t>
  </si>
  <si>
    <t>Women's LC Lauren Conrad Curvy High Rise Super Skinny Ponte Pants</t>
  </si>
  <si>
    <t>400183089364</t>
  </si>
  <si>
    <t>18308936</t>
  </si>
  <si>
    <t>400183089302</t>
  </si>
  <si>
    <t>18308930</t>
  </si>
  <si>
    <t>400183089241</t>
  </si>
  <si>
    <t>18308924</t>
  </si>
  <si>
    <t>400630969416</t>
  </si>
  <si>
    <t>63096941</t>
  </si>
  <si>
    <t>400630969515</t>
  </si>
  <si>
    <t>63096951</t>
  </si>
  <si>
    <t>400630969614</t>
  </si>
  <si>
    <t>63096961</t>
  </si>
  <si>
    <t>400630969317</t>
  </si>
  <si>
    <t>63096931</t>
  </si>
  <si>
    <t>400649815612</t>
  </si>
  <si>
    <t>64981561</t>
  </si>
  <si>
    <t>400649815728</t>
  </si>
  <si>
    <t>64981572</t>
  </si>
  <si>
    <t>400649815995</t>
  </si>
  <si>
    <t>64981599</t>
  </si>
  <si>
    <t>400649815889</t>
  </si>
  <si>
    <t>64981588</t>
  </si>
  <si>
    <t>400183089197</t>
  </si>
  <si>
    <t>18308919</t>
  </si>
  <si>
    <t>400183089371</t>
  </si>
  <si>
    <t>18308937</t>
  </si>
  <si>
    <t>400183089258</t>
  </si>
  <si>
    <t>18308925</t>
  </si>
  <si>
    <t>400630969423</t>
  </si>
  <si>
    <t>63096942</t>
  </si>
  <si>
    <t>400630969522</t>
  </si>
  <si>
    <t>63096952</t>
  </si>
  <si>
    <t>400630969621</t>
  </si>
  <si>
    <t>63096962</t>
  </si>
  <si>
    <t>400649815780</t>
  </si>
  <si>
    <t>64981578</t>
  </si>
  <si>
    <t>400649815629</t>
  </si>
  <si>
    <t>64981562</t>
  </si>
  <si>
    <t>400649815896</t>
  </si>
  <si>
    <t>64981589</t>
  </si>
  <si>
    <t>196572976352</t>
  </si>
  <si>
    <t>73650574</t>
  </si>
  <si>
    <t>6081404</t>
  </si>
  <si>
    <t>Boys 8-20 Vans® &amp;#34;Off the Wall&amp;#34; Graphic Hoodie</t>
  </si>
  <si>
    <t>196572976291</t>
  </si>
  <si>
    <t>73650575</t>
  </si>
  <si>
    <t>196572976246</t>
  </si>
  <si>
    <t>73650576</t>
  </si>
  <si>
    <t>196572976437</t>
  </si>
  <si>
    <t>73650577</t>
  </si>
  <si>
    <t>196900152281</t>
  </si>
  <si>
    <t>58075563</t>
  </si>
  <si>
    <t>6394308</t>
  </si>
  <si>
    <t>Toddler Bonnie Jean Velvet &amp; Stars Dress</t>
  </si>
  <si>
    <t>196900152298</t>
  </si>
  <si>
    <t>58075564</t>
  </si>
  <si>
    <t>196900152304</t>
  </si>
  <si>
    <t>58075565</t>
  </si>
  <si>
    <t>196900152311</t>
  </si>
  <si>
    <t>58075566</t>
  </si>
  <si>
    <t>196900152335</t>
  </si>
  <si>
    <t>58075567</t>
  </si>
  <si>
    <t>196900152342</t>
  </si>
  <si>
    <t>58075568</t>
  </si>
  <si>
    <t>195862003242</t>
  </si>
  <si>
    <t>28199112</t>
  </si>
  <si>
    <t>6044651</t>
  </si>
  <si>
    <t>Baby Girl Carter's 3-Piece Floral Tee, Corduroy Jumper, &amp; Tights Set</t>
  </si>
  <si>
    <t>Mustard</t>
  </si>
  <si>
    <t>195862003211</t>
  </si>
  <si>
    <t>28199114</t>
  </si>
  <si>
    <t>195862003204</t>
  </si>
  <si>
    <t>28199113</t>
  </si>
  <si>
    <t>195862003228</t>
  </si>
  <si>
    <t>28199115</t>
  </si>
  <si>
    <t>195862003174</t>
  </si>
  <si>
    <t>28199116</t>
  </si>
  <si>
    <t>195862003181</t>
  </si>
  <si>
    <t>28199117</t>
  </si>
  <si>
    <t>400803866092</t>
  </si>
  <si>
    <t>80386609</t>
  </si>
  <si>
    <t>6262136</t>
  </si>
  <si>
    <t>Boys 8-20 Sonoma Goods For Life® Short Sleeve Pajama Tee &amp; Microfleece Pajama Pants Sleep Set in Regular &amp; Husky</t>
  </si>
  <si>
    <t>Plaid Sleep Dark Gray</t>
  </si>
  <si>
    <t>400650020012</t>
  </si>
  <si>
    <t>65002001</t>
  </si>
  <si>
    <t>Gaming Sleep Dark Gray</t>
  </si>
  <si>
    <t>400548979545</t>
  </si>
  <si>
    <t>54897954</t>
  </si>
  <si>
    <t>Gnome Free Sleep Turq</t>
  </si>
  <si>
    <t>615363591388</t>
  </si>
  <si>
    <t>37599579</t>
  </si>
  <si>
    <t>268</t>
  </si>
  <si>
    <t>6228156</t>
  </si>
  <si>
    <t>SO® Trini Girls' Boots</t>
  </si>
  <si>
    <t>615363591395</t>
  </si>
  <si>
    <t>37599580</t>
  </si>
  <si>
    <t>615363591401</t>
  </si>
  <si>
    <t>37599588</t>
  </si>
  <si>
    <t>615363591418</t>
  </si>
  <si>
    <t>37599589</t>
  </si>
  <si>
    <t>Men's adidas AEROREADY Game and Go Tapered Pants</t>
  </si>
  <si>
    <t>Girls 7-20 Under Armour Printed Fleece Hoodie</t>
  </si>
  <si>
    <t>Black Black</t>
  </si>
  <si>
    <t>085142990815</t>
  </si>
  <si>
    <t>79177247</t>
  </si>
  <si>
    <t>5699130</t>
  </si>
  <si>
    <t>Men's Grand Slam Flat-Front Camo Printed Golf Shorts</t>
  </si>
  <si>
    <t>085142990990</t>
  </si>
  <si>
    <t>79177272</t>
  </si>
  <si>
    <t>Super Sonic</t>
  </si>
  <si>
    <t>085142990907</t>
  </si>
  <si>
    <t>79177260</t>
  </si>
  <si>
    <t>Gray Dawn</t>
  </si>
  <si>
    <t>085142991003</t>
  </si>
  <si>
    <t>79177274</t>
  </si>
  <si>
    <t>085142990921</t>
  </si>
  <si>
    <t>79177264</t>
  </si>
  <si>
    <t>085142990839</t>
  </si>
  <si>
    <t>79177251</t>
  </si>
  <si>
    <t>085142991010</t>
  </si>
  <si>
    <t>79177276</t>
  </si>
  <si>
    <t>085142991027</t>
  </si>
  <si>
    <t>79177277</t>
  </si>
  <si>
    <t>085142990969</t>
  </si>
  <si>
    <t>79177269</t>
  </si>
  <si>
    <t>085142991058</t>
  </si>
  <si>
    <t>79177281</t>
  </si>
  <si>
    <t>085142990976</t>
  </si>
  <si>
    <t>79177270</t>
  </si>
  <si>
    <t>085142990884</t>
  </si>
  <si>
    <t>79177257</t>
  </si>
  <si>
    <t>085142991065</t>
  </si>
  <si>
    <t>79177282</t>
  </si>
  <si>
    <t>193506102429</t>
  </si>
  <si>
    <t>30206887</t>
  </si>
  <si>
    <t>1034</t>
  </si>
  <si>
    <t>6615816</t>
  </si>
  <si>
    <t>14k Gold 5mm Ball Stud Earrings</t>
  </si>
  <si>
    <t>400576759935</t>
  </si>
  <si>
    <t>57675993</t>
  </si>
  <si>
    <t>6534150</t>
  </si>
  <si>
    <t>Petite Croft &amp; Barrow® Splitneck Blouse</t>
  </si>
  <si>
    <t>400576759942</t>
  </si>
  <si>
    <t>57675994</t>
  </si>
  <si>
    <t>400805805358</t>
  </si>
  <si>
    <t>80580535</t>
  </si>
  <si>
    <t>6481281</t>
  </si>
  <si>
    <t>Maternity Sonoma Goods For Life® Split Neck Midi Dress</t>
  </si>
  <si>
    <t>White Water Floral</t>
  </si>
  <si>
    <t>400805805297</t>
  </si>
  <si>
    <t>80580529</t>
  </si>
  <si>
    <t>Black Tan Floral</t>
  </si>
  <si>
    <t>400500531484</t>
  </si>
  <si>
    <t>50053148</t>
  </si>
  <si>
    <t>400805805365</t>
  </si>
  <si>
    <t>80580536</t>
  </si>
  <si>
    <t>400805805303</t>
  </si>
  <si>
    <t>80580530</t>
  </si>
  <si>
    <t>400500531491</t>
  </si>
  <si>
    <t>50053149</t>
  </si>
  <si>
    <t>400500531507</t>
  </si>
  <si>
    <t>50053150</t>
  </si>
  <si>
    <t>400500531514</t>
  </si>
  <si>
    <t>50053151</t>
  </si>
  <si>
    <t>400500531521</t>
  </si>
  <si>
    <t>50053152</t>
  </si>
  <si>
    <t>400500531538</t>
  </si>
  <si>
    <t>50053153</t>
  </si>
  <si>
    <t>400781138778</t>
  </si>
  <si>
    <t>78113877</t>
  </si>
  <si>
    <t>6520221</t>
  </si>
  <si>
    <t>Plus Size LC Lauren Conrad High Cuff Long Sleeve Popover Blouse</t>
  </si>
  <si>
    <t>400781138273</t>
  </si>
  <si>
    <t>78113827</t>
  </si>
  <si>
    <t>400781138877</t>
  </si>
  <si>
    <t>78113887</t>
  </si>
  <si>
    <t>400781138372</t>
  </si>
  <si>
    <t>78113837</t>
  </si>
  <si>
    <t>400703813714</t>
  </si>
  <si>
    <t>70381371</t>
  </si>
  <si>
    <t>6434397</t>
  </si>
  <si>
    <t>Juniors' SO® High-Rise Cargo Pants</t>
  </si>
  <si>
    <t>Green Brown Camo</t>
  </si>
  <si>
    <t>400441286450</t>
  </si>
  <si>
    <t>44128645</t>
  </si>
  <si>
    <t>Belle Beige</t>
  </si>
  <si>
    <t>400703813721</t>
  </si>
  <si>
    <t>70381372</t>
  </si>
  <si>
    <t>400655143754</t>
  </si>
  <si>
    <t>65514375</t>
  </si>
  <si>
    <t>195861536642</t>
  </si>
  <si>
    <t>38681007</t>
  </si>
  <si>
    <t>5671251</t>
  </si>
  <si>
    <t>Girls 4-8 Carter's 2-Piece Toddler Fleece FairIsle Set</t>
  </si>
  <si>
    <t>400379322916</t>
  </si>
  <si>
    <t>37932291</t>
  </si>
  <si>
    <t>6202746</t>
  </si>
  <si>
    <t>Juniors' SO® High-Waisted Utility Dad Pants</t>
  </si>
  <si>
    <t>400508686803</t>
  </si>
  <si>
    <t>50868680</t>
  </si>
  <si>
    <t>Chocolate Wine</t>
  </si>
  <si>
    <t>400379322923</t>
  </si>
  <si>
    <t>37932292</t>
  </si>
  <si>
    <t>400379322930</t>
  </si>
  <si>
    <t>37932293</t>
  </si>
  <si>
    <t>400508686834</t>
  </si>
  <si>
    <t>50868683</t>
  </si>
  <si>
    <t>400379322947</t>
  </si>
  <si>
    <t>37932294</t>
  </si>
  <si>
    <t>400379322954</t>
  </si>
  <si>
    <t>37932295</t>
  </si>
  <si>
    <t>400508686858</t>
  </si>
  <si>
    <t>50868685</t>
  </si>
  <si>
    <t>400379322961</t>
  </si>
  <si>
    <t>37932296</t>
  </si>
  <si>
    <t>400297071026</t>
  </si>
  <si>
    <t>29707102</t>
  </si>
  <si>
    <t>7081225</t>
  </si>
  <si>
    <t>Juniors' SO® High-Rise Wide Leg Cargo Pants</t>
  </si>
  <si>
    <t>Mauve Essence</t>
  </si>
  <si>
    <t>400300755677</t>
  </si>
  <si>
    <t>30075567</t>
  </si>
  <si>
    <t>400297071033</t>
  </si>
  <si>
    <t>29707103</t>
  </si>
  <si>
    <t>400297071040</t>
  </si>
  <si>
    <t>29707104</t>
  </si>
  <si>
    <t>400300755684</t>
  </si>
  <si>
    <t>30075568</t>
  </si>
  <si>
    <t>400761866912</t>
  </si>
  <si>
    <t>76186691</t>
  </si>
  <si>
    <t>400761866998</t>
  </si>
  <si>
    <t>76186699</t>
  </si>
  <si>
    <t>400743666622</t>
  </si>
  <si>
    <t>74366662</t>
  </si>
  <si>
    <t>400743666691</t>
  </si>
  <si>
    <t>74366669</t>
  </si>
  <si>
    <t>400743666707</t>
  </si>
  <si>
    <t>74366670</t>
  </si>
  <si>
    <t>400743666714</t>
  </si>
  <si>
    <t>74366671</t>
  </si>
  <si>
    <t>400650712917</t>
  </si>
  <si>
    <t>65071291</t>
  </si>
  <si>
    <t>7081148</t>
  </si>
  <si>
    <t>Plus Size Sonoma Goods For Life® Utility Wide-Leg Pants</t>
  </si>
  <si>
    <t>400650713020</t>
  </si>
  <si>
    <t>65071302</t>
  </si>
  <si>
    <t>400650713082</t>
  </si>
  <si>
    <t>65071308</t>
  </si>
  <si>
    <t>400650713099</t>
  </si>
  <si>
    <t>65071309</t>
  </si>
  <si>
    <t>195862266029</t>
  </si>
  <si>
    <t>30964286</t>
  </si>
  <si>
    <t>6433003</t>
  </si>
  <si>
    <t>Baby Girl Carter's Plaid Flutter Dress</t>
  </si>
  <si>
    <t>195862265992</t>
  </si>
  <si>
    <t>30964294</t>
  </si>
  <si>
    <t>195862265985</t>
  </si>
  <si>
    <t>30964293</t>
  </si>
  <si>
    <t>195862266005</t>
  </si>
  <si>
    <t>30964295</t>
  </si>
  <si>
    <t>195862265954</t>
  </si>
  <si>
    <t>30964296</t>
  </si>
  <si>
    <t>195862265961</t>
  </si>
  <si>
    <t>30964303</t>
  </si>
  <si>
    <t>195862265978</t>
  </si>
  <si>
    <t>30964304</t>
  </si>
  <si>
    <t>195862112371</t>
  </si>
  <si>
    <t>80521203</t>
  </si>
  <si>
    <t>6200547</t>
  </si>
  <si>
    <t>Baby Girl Carter's Fairisle Sherpa Jumpsuit</t>
  </si>
  <si>
    <t>195862112333</t>
  </si>
  <si>
    <t>80521212</t>
  </si>
  <si>
    <t>195862112357</t>
  </si>
  <si>
    <t>80521222</t>
  </si>
  <si>
    <t>195862112302</t>
  </si>
  <si>
    <t>80521223</t>
  </si>
  <si>
    <t>195862112319</t>
  </si>
  <si>
    <t>80521232</t>
  </si>
  <si>
    <t>400741373805</t>
  </si>
  <si>
    <t>74137380</t>
  </si>
  <si>
    <t>6202084</t>
  </si>
  <si>
    <t>Women's Simply Vera Vera Wang Long Sleeve Crew Neck Tee</t>
  </si>
  <si>
    <t>Dark Orbit Heather</t>
  </si>
  <si>
    <t>400741373812</t>
  </si>
  <si>
    <t>74137381</t>
  </si>
  <si>
    <t>400741373829</t>
  </si>
  <si>
    <t>74137382</t>
  </si>
  <si>
    <t>400741373300</t>
  </si>
  <si>
    <t>74137330</t>
  </si>
  <si>
    <t>Light Pearl Heather</t>
  </si>
  <si>
    <t>400741373904</t>
  </si>
  <si>
    <t>74137390</t>
  </si>
  <si>
    <t>400741373317</t>
  </si>
  <si>
    <t>74137331</t>
  </si>
  <si>
    <t>400741373911</t>
  </si>
  <si>
    <t>74137391</t>
  </si>
  <si>
    <t>400179776926</t>
  </si>
  <si>
    <t>17977692</t>
  </si>
  <si>
    <t>1082</t>
  </si>
  <si>
    <t>6858694</t>
  </si>
  <si>
    <t>400179776933</t>
  </si>
  <si>
    <t>17977693</t>
  </si>
  <si>
    <t>720</t>
  </si>
  <si>
    <t>Baby Little Planet by Carter's Hooded Quilted Double Knit Jumpsuit</t>
  </si>
  <si>
    <t>REEF Stargazer Big Kids' Flip Flops</t>
  </si>
  <si>
    <t>400714388362</t>
  </si>
  <si>
    <t>71438836</t>
  </si>
  <si>
    <t>7081312</t>
  </si>
  <si>
    <t>Plus size Tek Gear® Ultrastretch Joggers</t>
  </si>
  <si>
    <t>Night Green</t>
  </si>
  <si>
    <t>1X LONG</t>
  </si>
  <si>
    <t>400714388447</t>
  </si>
  <si>
    <t>71438844</t>
  </si>
  <si>
    <t>Lilac Corsage</t>
  </si>
  <si>
    <t>400714388454</t>
  </si>
  <si>
    <t>71438845</t>
  </si>
  <si>
    <t>2X LONG</t>
  </si>
  <si>
    <t>400714388461</t>
  </si>
  <si>
    <t>71438846</t>
  </si>
  <si>
    <t>3X LONG</t>
  </si>
  <si>
    <t>889602788895</t>
  </si>
  <si>
    <t>65071150</t>
  </si>
  <si>
    <t>6477794</t>
  </si>
  <si>
    <t>Women's LC Lauren Conrad Ruffle Pullover Sweater</t>
  </si>
  <si>
    <t>Warm Multi</t>
  </si>
  <si>
    <t>889602789014</t>
  </si>
  <si>
    <t>58775107</t>
  </si>
  <si>
    <t>Ivory And Almond</t>
  </si>
  <si>
    <t>889602788956</t>
  </si>
  <si>
    <t>58775114</t>
  </si>
  <si>
    <t>Blue And Ivory</t>
  </si>
  <si>
    <t>889602789021</t>
  </si>
  <si>
    <t>58775108</t>
  </si>
  <si>
    <t>889602788901</t>
  </si>
  <si>
    <t>65071151</t>
  </si>
  <si>
    <t>889602788963</t>
  </si>
  <si>
    <t>58775115</t>
  </si>
  <si>
    <t>889602788970</t>
  </si>
  <si>
    <t>58775116</t>
  </si>
  <si>
    <t>889602788918</t>
  </si>
  <si>
    <t>65071152</t>
  </si>
  <si>
    <t>889602789038</t>
  </si>
  <si>
    <t>58775109</t>
  </si>
  <si>
    <t>889602789045</t>
  </si>
  <si>
    <t>58775111</t>
  </si>
  <si>
    <t>889602788987</t>
  </si>
  <si>
    <t>58775117</t>
  </si>
  <si>
    <t>889602788925</t>
  </si>
  <si>
    <t>65071158</t>
  </si>
  <si>
    <t>889602788994</t>
  </si>
  <si>
    <t>58775118</t>
  </si>
  <si>
    <t>889602789052</t>
  </si>
  <si>
    <t>58775112</t>
  </si>
  <si>
    <t>889602788932</t>
  </si>
  <si>
    <t>65071159</t>
  </si>
  <si>
    <t>889602788949</t>
  </si>
  <si>
    <t>65071160</t>
  </si>
  <si>
    <t>889602789069</t>
  </si>
  <si>
    <t>58775113</t>
  </si>
  <si>
    <t>400298273436</t>
  </si>
  <si>
    <t>29827343</t>
  </si>
  <si>
    <t>6618067</t>
  </si>
  <si>
    <t>Juniors' SO® Puff Sleeve Midi Dress</t>
  </si>
  <si>
    <t>Light Blue Floral</t>
  </si>
  <si>
    <t>400298273443</t>
  </si>
  <si>
    <t>29827344</t>
  </si>
  <si>
    <t>Squishmallows Squishville 11&amp;#34; Sweet Shop Playset</t>
  </si>
  <si>
    <t>Squishmallows</t>
  </si>
  <si>
    <t>400459941990</t>
  </si>
  <si>
    <t>45994199</t>
  </si>
  <si>
    <t>6285404</t>
  </si>
  <si>
    <t>Juniors' SO® Core Flannel Shirt</t>
  </si>
  <si>
    <t>Red Black Plaid</t>
  </si>
  <si>
    <t>400459858953</t>
  </si>
  <si>
    <t>45985895</t>
  </si>
  <si>
    <t>Black White Buffalo</t>
  </si>
  <si>
    <t>400459942003</t>
  </si>
  <si>
    <t>45994200</t>
  </si>
  <si>
    <t>400459942010</t>
  </si>
  <si>
    <t>45994201</t>
  </si>
  <si>
    <t>701</t>
  </si>
  <si>
    <t>400459942027</t>
  </si>
  <si>
    <t>45994202</t>
  </si>
  <si>
    <t>400459942034</t>
  </si>
  <si>
    <t>45994203</t>
  </si>
  <si>
    <t>196245072107</t>
  </si>
  <si>
    <t>86446341</t>
  </si>
  <si>
    <t>5487668</t>
  </si>
  <si>
    <t>Boys 8-20 Vans Graphic Tee</t>
  </si>
  <si>
    <t>196245072404</t>
  </si>
  <si>
    <t>86446342</t>
  </si>
  <si>
    <t>Men's adidas UPF Polo Shirt</t>
  </si>
  <si>
    <t>Kamik Timber Kids' Waterproof Boots</t>
  </si>
  <si>
    <t>400768343003</t>
  </si>
  <si>
    <t>76834300</t>
  </si>
  <si>
    <t>6143635</t>
  </si>
  <si>
    <t>Girls 6-20 SO® Pull-On Jeggings in Regular &amp; Plus</t>
  </si>
  <si>
    <t>400768342976</t>
  </si>
  <si>
    <t>76834297</t>
  </si>
  <si>
    <t>Boys 8-20 Hurley Match Stix Fire Graphic Tee</t>
  </si>
  <si>
    <t>615363522337</t>
  </si>
  <si>
    <t>76766141</t>
  </si>
  <si>
    <t>6684334</t>
  </si>
  <si>
    <t>SO® Dragonfruit Women's High-Top Shoes</t>
  </si>
  <si>
    <t>Bluetiedye</t>
  </si>
  <si>
    <t>615363522214</t>
  </si>
  <si>
    <t>73197920</t>
  </si>
  <si>
    <t>Sunflower</t>
  </si>
  <si>
    <t>615363522108</t>
  </si>
  <si>
    <t>19698883</t>
  </si>
  <si>
    <t>615363522344</t>
  </si>
  <si>
    <t>76766142</t>
  </si>
  <si>
    <t>615363522221</t>
  </si>
  <si>
    <t>73197921</t>
  </si>
  <si>
    <t>615363522115</t>
  </si>
  <si>
    <t>19698884</t>
  </si>
  <si>
    <t>615363522238</t>
  </si>
  <si>
    <t>73197922</t>
  </si>
  <si>
    <t>615363522122</t>
  </si>
  <si>
    <t>19698885</t>
  </si>
  <si>
    <t>615363522245</t>
  </si>
  <si>
    <t>73197923</t>
  </si>
  <si>
    <t>615363522252</t>
  </si>
  <si>
    <t>73197924</t>
  </si>
  <si>
    <t>615363522382</t>
  </si>
  <si>
    <t>76766149</t>
  </si>
  <si>
    <t>615363522146</t>
  </si>
  <si>
    <t>19698887</t>
  </si>
  <si>
    <t>615363522269</t>
  </si>
  <si>
    <t>73197925</t>
  </si>
  <si>
    <t>615363522153</t>
  </si>
  <si>
    <t>19698888</t>
  </si>
  <si>
    <t>615363522160</t>
  </si>
  <si>
    <t>19698889</t>
  </si>
  <si>
    <t>615363522177</t>
  </si>
  <si>
    <t>19698890</t>
  </si>
  <si>
    <t>615363522184</t>
  </si>
  <si>
    <t>19698891</t>
  </si>
  <si>
    <t>197026452842</t>
  </si>
  <si>
    <t>80167015</t>
  </si>
  <si>
    <t>6358095</t>
  </si>
  <si>
    <t>Girls 4-12 Jumping Beans® Gabby's Dollhouse &amp;#34;Sprinkle Party!&amp;#34; Graphic Tee</t>
  </si>
  <si>
    <t>Mild Mint</t>
  </si>
  <si>
    <t>Men's Vans® Long Sleeve Graphic Tee</t>
  </si>
  <si>
    <t>Black Ink</t>
  </si>
  <si>
    <t>197064523047</t>
  </si>
  <si>
    <t>84603547</t>
  </si>
  <si>
    <t>713610463560</t>
  </si>
  <si>
    <t>58597767</t>
  </si>
  <si>
    <t>6093351</t>
  </si>
  <si>
    <t>Women's Grand Slam Texture Print Flounce Golf Skort</t>
  </si>
  <si>
    <t>713610463577</t>
  </si>
  <si>
    <t>58597768</t>
  </si>
  <si>
    <t>713610463584</t>
  </si>
  <si>
    <t>58597769</t>
  </si>
  <si>
    <t>713610463591</t>
  </si>
  <si>
    <t>58597770</t>
  </si>
  <si>
    <t>713610463607</t>
  </si>
  <si>
    <t>58597777</t>
  </si>
  <si>
    <t>400806202903</t>
  </si>
  <si>
    <t>80620290</t>
  </si>
  <si>
    <t>6262747</t>
  </si>
  <si>
    <t>Women's Tek Gear® Easy Crewneck Sweatshirt</t>
  </si>
  <si>
    <t>Gale Orchid</t>
  </si>
  <si>
    <t>400806203023</t>
  </si>
  <si>
    <t>80620302</t>
  </si>
  <si>
    <t>400806202965</t>
  </si>
  <si>
    <t>80620296</t>
  </si>
  <si>
    <t>Deco Sangria</t>
  </si>
  <si>
    <t>400806202842</t>
  </si>
  <si>
    <t>80620284</t>
  </si>
  <si>
    <t>River Moss</t>
  </si>
  <si>
    <t>400806202910</t>
  </si>
  <si>
    <t>80620291</t>
  </si>
  <si>
    <t>400806203030</t>
  </si>
  <si>
    <t>80620303</t>
  </si>
  <si>
    <t>400806202859</t>
  </si>
  <si>
    <t>80620285</t>
  </si>
  <si>
    <t>400806202972</t>
  </si>
  <si>
    <t>80620297</t>
  </si>
  <si>
    <t>197026310623</t>
  </si>
  <si>
    <t>81975382</t>
  </si>
  <si>
    <t>6192747</t>
  </si>
  <si>
    <t>Girls 4-12 Jumping Beans® Smiley Skye Tee</t>
  </si>
  <si>
    <t>Heather Gray Pink</t>
  </si>
  <si>
    <t>197026310654</t>
  </si>
  <si>
    <t>81975389</t>
  </si>
  <si>
    <t>197026310661</t>
  </si>
  <si>
    <t>81975390</t>
  </si>
  <si>
    <t>Boys 8-20 Under Armour Outdoor Pack Long Sleeve Tee</t>
  </si>
  <si>
    <t>195862236350</t>
  </si>
  <si>
    <t>58120162</t>
  </si>
  <si>
    <t>6431703</t>
  </si>
  <si>
    <t>Toddler Girl Carter's Eyelet Flutter Top</t>
  </si>
  <si>
    <t>195862236367</t>
  </si>
  <si>
    <t>58120163</t>
  </si>
  <si>
    <t>195862236374</t>
  </si>
  <si>
    <t>58120164</t>
  </si>
  <si>
    <t>195862236381</t>
  </si>
  <si>
    <t>58120165</t>
  </si>
  <si>
    <t>008889281961</t>
  </si>
  <si>
    <t>49045615</t>
  </si>
  <si>
    <t>5624620</t>
  </si>
  <si>
    <t>Koolaburra by UGG Pet Faux Suede Collar</t>
  </si>
  <si>
    <t>008889297887</t>
  </si>
  <si>
    <t>49031114</t>
  </si>
  <si>
    <t>008889281978</t>
  </si>
  <si>
    <t>75565673</t>
  </si>
  <si>
    <t>008889297894</t>
  </si>
  <si>
    <t>37210511</t>
  </si>
  <si>
    <t>008889281985</t>
  </si>
  <si>
    <t>75565674</t>
  </si>
  <si>
    <t>008889297900</t>
  </si>
  <si>
    <t>71064292</t>
  </si>
  <si>
    <t>Men's Van Heusen Ultra Wrinkle-Free Slim-Fit Dress Shirt</t>
  </si>
  <si>
    <t>194916641386</t>
  </si>
  <si>
    <t>72629248</t>
  </si>
  <si>
    <t>Blue Frost</t>
  </si>
  <si>
    <t>196667112535</t>
  </si>
  <si>
    <t>18766971</t>
  </si>
  <si>
    <t>196667105841</t>
  </si>
  <si>
    <t>80705030</t>
  </si>
  <si>
    <t>Metal</t>
  </si>
  <si>
    <t>196667329131</t>
  </si>
  <si>
    <t>29946716</t>
  </si>
  <si>
    <t>196667106749</t>
  </si>
  <si>
    <t>82005731</t>
  </si>
  <si>
    <t>Water</t>
  </si>
  <si>
    <t>196667291957</t>
  </si>
  <si>
    <t>73292658</t>
  </si>
  <si>
    <t>Fire Plaid</t>
  </si>
  <si>
    <t>196667106145</t>
  </si>
  <si>
    <t>79052442</t>
  </si>
  <si>
    <t>194916641447</t>
  </si>
  <si>
    <t>72629250</t>
  </si>
  <si>
    <t>196667112597</t>
  </si>
  <si>
    <t>18766974</t>
  </si>
  <si>
    <t>196667105902</t>
  </si>
  <si>
    <t>80705032</t>
  </si>
  <si>
    <t>196667106206</t>
  </si>
  <si>
    <t>79052445</t>
  </si>
  <si>
    <t>196667329193</t>
  </si>
  <si>
    <t>29946724</t>
  </si>
  <si>
    <t>196667106800</t>
  </si>
  <si>
    <t>82005738</t>
  </si>
  <si>
    <t>887863762586</t>
  </si>
  <si>
    <t>86492479</t>
  </si>
  <si>
    <t>Plus Size Nine West Cap Sleeve Ponte Sheath Dress</t>
  </si>
  <si>
    <t>Brown Fuzzy Leopard</t>
  </si>
  <si>
    <t>887863762593</t>
  </si>
  <si>
    <t>86492480</t>
  </si>
  <si>
    <t>887863762609</t>
  </si>
  <si>
    <t>86492481</t>
  </si>
  <si>
    <t>887863762616</t>
  </si>
  <si>
    <t>86492482</t>
  </si>
  <si>
    <t>400583600336</t>
  </si>
  <si>
    <t>58360033</t>
  </si>
  <si>
    <t>7081931</t>
  </si>
  <si>
    <t>Girls 6-20 SO® 2-Pack Capri Leggings</t>
  </si>
  <si>
    <t>Gray Haze Gray Fox</t>
  </si>
  <si>
    <t>400583600343</t>
  </si>
  <si>
    <t>58360034</t>
  </si>
  <si>
    <t>Boys 8-20 Under Armour Outdoor Hoodie</t>
  </si>
  <si>
    <t>400187975823</t>
  </si>
  <si>
    <t>18797582</t>
  </si>
  <si>
    <t>6252091</t>
  </si>
  <si>
    <t>Baby &amp; Toddler Girl Little Co. by Lauren Conrad Organic Jumper</t>
  </si>
  <si>
    <t>Tulip Maroon</t>
  </si>
  <si>
    <t>400187975939</t>
  </si>
  <si>
    <t>18797593</t>
  </si>
  <si>
    <t>Cattail</t>
  </si>
  <si>
    <t>400187975830</t>
  </si>
  <si>
    <t>18797583</t>
  </si>
  <si>
    <t>400187975946</t>
  </si>
  <si>
    <t>18797594</t>
  </si>
  <si>
    <t>400187975847</t>
  </si>
  <si>
    <t>18797584</t>
  </si>
  <si>
    <t>400187975953</t>
  </si>
  <si>
    <t>18797595</t>
  </si>
  <si>
    <t>400187975854</t>
  </si>
  <si>
    <t>18797585</t>
  </si>
  <si>
    <t>400187975960</t>
  </si>
  <si>
    <t>18797596</t>
  </si>
  <si>
    <t>400187975861</t>
  </si>
  <si>
    <t>18797586</t>
  </si>
  <si>
    <t>400187975977</t>
  </si>
  <si>
    <t>18797597</t>
  </si>
  <si>
    <t>400187975878</t>
  </si>
  <si>
    <t>18797587</t>
  </si>
  <si>
    <t>400187975984</t>
  </si>
  <si>
    <t>18797598</t>
  </si>
  <si>
    <t>400187975885</t>
  </si>
  <si>
    <t>18797588</t>
  </si>
  <si>
    <t>400187975991</t>
  </si>
  <si>
    <t>18797599</t>
  </si>
  <si>
    <t>400587232762</t>
  </si>
  <si>
    <t>58723276</t>
  </si>
  <si>
    <t>6824223</t>
  </si>
  <si>
    <t>Men's Sonoma Goods For Life® Cotton-Blend Sweater</t>
  </si>
  <si>
    <t>Olive Heather</t>
  </si>
  <si>
    <t>400587232717</t>
  </si>
  <si>
    <t>58723271</t>
  </si>
  <si>
    <t>Charcoal Gray</t>
  </si>
  <si>
    <t>400665983470</t>
  </si>
  <si>
    <t>66598347</t>
  </si>
  <si>
    <t>400665983579</t>
  </si>
  <si>
    <t>66598357</t>
  </si>
  <si>
    <t>Deep Navy</t>
  </si>
  <si>
    <t>400665983531</t>
  </si>
  <si>
    <t>66598353</t>
  </si>
  <si>
    <t>400587232724</t>
  </si>
  <si>
    <t>58723272</t>
  </si>
  <si>
    <t>400665983630</t>
  </si>
  <si>
    <t>66598363</t>
  </si>
  <si>
    <t>400665983548</t>
  </si>
  <si>
    <t>66598354</t>
  </si>
  <si>
    <t>400587232731</t>
  </si>
  <si>
    <t>58723273</t>
  </si>
  <si>
    <t>400665983555</t>
  </si>
  <si>
    <t>66598355</t>
  </si>
  <si>
    <t>400665983562</t>
  </si>
  <si>
    <t>66598356</t>
  </si>
  <si>
    <t>400867879441</t>
  </si>
  <si>
    <t>86787944</t>
  </si>
  <si>
    <t>4474951</t>
  </si>
  <si>
    <t>Petite Croft &amp; Barrow® Crewneck Long-Sleeve Tee</t>
  </si>
  <si>
    <t>400374627115</t>
  </si>
  <si>
    <t>37462711</t>
  </si>
  <si>
    <t>400720089512</t>
  </si>
  <si>
    <t>72008951</t>
  </si>
  <si>
    <t>400867879458</t>
  </si>
  <si>
    <t>86787945</t>
  </si>
  <si>
    <t>400867879397</t>
  </si>
  <si>
    <t>86787939</t>
  </si>
  <si>
    <t>400374627122</t>
  </si>
  <si>
    <t>37462712</t>
  </si>
  <si>
    <t>195566961770</t>
  </si>
  <si>
    <t>68595092</t>
  </si>
  <si>
    <t>6360236</t>
  </si>
  <si>
    <t>Men's Shrek Long Sleeve Fleece Hoodie</t>
  </si>
  <si>
    <t>195566961787</t>
  </si>
  <si>
    <t>68595099</t>
  </si>
  <si>
    <t>195566961794</t>
  </si>
  <si>
    <t>68595100</t>
  </si>
  <si>
    <t>195566961800</t>
  </si>
  <si>
    <t>68595101</t>
  </si>
  <si>
    <t>195566961817</t>
  </si>
  <si>
    <t>68595102</t>
  </si>
  <si>
    <t>197026452415</t>
  </si>
  <si>
    <t>63404707</t>
  </si>
  <si>
    <t>6333639</t>
  </si>
  <si>
    <t>Girls 4-12 Jumping Beans® Pokemon Pikachu Graphic Tee</t>
  </si>
  <si>
    <t>Lilac Illusion</t>
  </si>
  <si>
    <t>400291576022</t>
  </si>
  <si>
    <t>29157602</t>
  </si>
  <si>
    <t>5010868</t>
  </si>
  <si>
    <t>Men's Sonoma Goods For Life® Microfleece Pajama Pants</t>
  </si>
  <si>
    <t>Grey Fair Isle</t>
  </si>
  <si>
    <t>400291583525</t>
  </si>
  <si>
    <t>29158352</t>
  </si>
  <si>
    <t>Navy Dog Sweaters</t>
  </si>
  <si>
    <t>400291577821</t>
  </si>
  <si>
    <t>29157782</t>
  </si>
  <si>
    <t>767</t>
  </si>
  <si>
    <t>400291576220</t>
  </si>
  <si>
    <t>29157622</t>
  </si>
  <si>
    <t>Green Multi Check</t>
  </si>
  <si>
    <t>400291577227</t>
  </si>
  <si>
    <t>29157722</t>
  </si>
  <si>
    <t>704</t>
  </si>
  <si>
    <t>Maroon Black Plaid</t>
  </si>
  <si>
    <t>400291581729</t>
  </si>
  <si>
    <t>29158172</t>
  </si>
  <si>
    <t>Red Buffalo Deer</t>
  </si>
  <si>
    <t>400291574820</t>
  </si>
  <si>
    <t>29157482</t>
  </si>
  <si>
    <t>682</t>
  </si>
  <si>
    <t>Mineral Black Plaid</t>
  </si>
  <si>
    <t>Women's Andrew Marc Marc New York Quilted Hooded Puffer Coat</t>
  </si>
  <si>
    <t>MARC NEW YORK</t>
  </si>
  <si>
    <t>197505018064</t>
  </si>
  <si>
    <t>33471253</t>
  </si>
  <si>
    <t>6482802</t>
  </si>
  <si>
    <t>Plus Size Lilac+London Solid Jacquard Chemise</t>
  </si>
  <si>
    <t>197505018071</t>
  </si>
  <si>
    <t>33471254</t>
  </si>
  <si>
    <t>197505018088</t>
  </si>
  <si>
    <t>33471256</t>
  </si>
  <si>
    <t>400864398921</t>
  </si>
  <si>
    <t>86439892</t>
  </si>
  <si>
    <t>6529092</t>
  </si>
  <si>
    <t>Plus Size Simply Vera Vera Wang Tie Cuff Shirt</t>
  </si>
  <si>
    <t>400864398877</t>
  </si>
  <si>
    <t>86439887</t>
  </si>
  <si>
    <t>400806359751</t>
  </si>
  <si>
    <t>80635975</t>
  </si>
  <si>
    <t>400864398938</t>
  </si>
  <si>
    <t>86439893</t>
  </si>
  <si>
    <t>400806359768</t>
  </si>
  <si>
    <t>80635976</t>
  </si>
  <si>
    <t>400864398884</t>
  </si>
  <si>
    <t>86439888</t>
  </si>
  <si>
    <t>400864398945</t>
  </si>
  <si>
    <t>86439894</t>
  </si>
  <si>
    <t>400806359775</t>
  </si>
  <si>
    <t>80635977</t>
  </si>
  <si>
    <t>400864398891</t>
  </si>
  <si>
    <t>86439889</t>
  </si>
  <si>
    <t>400806359782</t>
  </si>
  <si>
    <t>80635978</t>
  </si>
  <si>
    <t>400864398952</t>
  </si>
  <si>
    <t>86439895</t>
  </si>
  <si>
    <t>400806359799</t>
  </si>
  <si>
    <t>80635979</t>
  </si>
  <si>
    <t>400767766186</t>
  </si>
  <si>
    <t>76776618</t>
  </si>
  <si>
    <t>6259421</t>
  </si>
  <si>
    <t>Women's FLX French Terry Polo</t>
  </si>
  <si>
    <t>400767766117</t>
  </si>
  <si>
    <t>76776611</t>
  </si>
  <si>
    <t>Warrior Gn</t>
  </si>
  <si>
    <t>400767766193</t>
  </si>
  <si>
    <t>76776619</t>
  </si>
  <si>
    <t>400767766124</t>
  </si>
  <si>
    <t>76776612</t>
  </si>
  <si>
    <t>400767766148</t>
  </si>
  <si>
    <t>76776614</t>
  </si>
  <si>
    <t>400767766209</t>
  </si>
  <si>
    <t>76776620</t>
  </si>
  <si>
    <t>400767766087</t>
  </si>
  <si>
    <t>76776608</t>
  </si>
  <si>
    <t>Llc Blflwr</t>
  </si>
  <si>
    <t>400767766155</t>
  </si>
  <si>
    <t>76776615</t>
  </si>
  <si>
    <t>400767766216</t>
  </si>
  <si>
    <t>76776621</t>
  </si>
  <si>
    <t>400767766094</t>
  </si>
  <si>
    <t>76776609</t>
  </si>
  <si>
    <t>400767766162</t>
  </si>
  <si>
    <t>76776616</t>
  </si>
  <si>
    <t>400767766223</t>
  </si>
  <si>
    <t>76776622</t>
  </si>
  <si>
    <t>400767766179</t>
  </si>
  <si>
    <t>76776617</t>
  </si>
  <si>
    <t>400767766247</t>
  </si>
  <si>
    <t>76776624</t>
  </si>
  <si>
    <t>400767766100</t>
  </si>
  <si>
    <t>76776610</t>
  </si>
  <si>
    <t>Toddler Boy Under Armour Matchplay Tapered Pants</t>
  </si>
  <si>
    <t>Baby Girl Little Planet by Carter's Peplum Sweatshirt &amp; Jogger Pants 2-Piece Set</t>
  </si>
  <si>
    <t>Plum</t>
  </si>
  <si>
    <t>Squishmallows Blaze Monster Halloween Treat Pail</t>
  </si>
  <si>
    <t>400300111305</t>
  </si>
  <si>
    <t>30011130</t>
  </si>
  <si>
    <t>6480503</t>
  </si>
  <si>
    <t>Maternity Sonoma Goods For Life® Button Down Shirt Dress</t>
  </si>
  <si>
    <t>Medium Brown Stripe</t>
  </si>
  <si>
    <t>400589173766</t>
  </si>
  <si>
    <t>58917376</t>
  </si>
  <si>
    <t>Vida Stream</t>
  </si>
  <si>
    <t>400300111312</t>
  </si>
  <si>
    <t>30011131</t>
  </si>
  <si>
    <t>400589173773</t>
  </si>
  <si>
    <t>58917377</t>
  </si>
  <si>
    <t>400300111329</t>
  </si>
  <si>
    <t>30011132</t>
  </si>
  <si>
    <t>400589173780</t>
  </si>
  <si>
    <t>58917378</t>
  </si>
  <si>
    <t>400589173797</t>
  </si>
  <si>
    <t>58917379</t>
  </si>
  <si>
    <t>400300111350</t>
  </si>
  <si>
    <t>30011135</t>
  </si>
  <si>
    <t>400589173841</t>
  </si>
  <si>
    <t>58917384</t>
  </si>
  <si>
    <t>400300111374</t>
  </si>
  <si>
    <t>30011137</t>
  </si>
  <si>
    <t>400300111381</t>
  </si>
  <si>
    <t>30011138</t>
  </si>
  <si>
    <t>400589173858</t>
  </si>
  <si>
    <t>58917385</t>
  </si>
  <si>
    <t>Plus Size Levi's® 721™ High-Rise Skinny Jeans</t>
  </si>
  <si>
    <t>Lapis Link</t>
  </si>
  <si>
    <t>20W AV/REG</t>
  </si>
  <si>
    <t>Men's Spalding Logo Tee</t>
  </si>
  <si>
    <t>196219990222</t>
  </si>
  <si>
    <t>70261280</t>
  </si>
  <si>
    <t>6065221</t>
  </si>
  <si>
    <t>Boys 8-20 adidas Game and Go Fleece Pants in Regular &amp; Husky</t>
  </si>
  <si>
    <t>XL PLUS</t>
  </si>
  <si>
    <t>195862258765</t>
  </si>
  <si>
    <t>86771118</t>
  </si>
  <si>
    <t>6433016</t>
  </si>
  <si>
    <t>Baby Boy Carter's Button Down Collar Shirt Bodysuit, Suspenders &amp; Pants Set</t>
  </si>
  <si>
    <t>195862258734</t>
  </si>
  <si>
    <t>86771120</t>
  </si>
  <si>
    <t>195862258727</t>
  </si>
  <si>
    <t>86771119</t>
  </si>
  <si>
    <t>195862258741</t>
  </si>
  <si>
    <t>86771121</t>
  </si>
  <si>
    <t>195862258697</t>
  </si>
  <si>
    <t>86771122</t>
  </si>
  <si>
    <t>195862258703</t>
  </si>
  <si>
    <t>86771123</t>
  </si>
  <si>
    <t>195862258710</t>
  </si>
  <si>
    <t>86771124</t>
  </si>
  <si>
    <t>886440702618</t>
  </si>
  <si>
    <t>73560248</t>
  </si>
  <si>
    <t>5837362</t>
  </si>
  <si>
    <t>Sonoma Goods For Life® Stripe Envelope Pet Bed</t>
  </si>
  <si>
    <t>194173142022</t>
  </si>
  <si>
    <t>50455827</t>
  </si>
  <si>
    <t>6245146</t>
  </si>
  <si>
    <t>Men's Bumble One-Piece Fleece Pajamas</t>
  </si>
  <si>
    <t>194173142015</t>
  </si>
  <si>
    <t>50455834</t>
  </si>
  <si>
    <t>Girls 7-16 Bonnie Jean One Shoulder Scuba Dress</t>
  </si>
  <si>
    <t>197369287637</t>
  </si>
  <si>
    <t>80611702</t>
  </si>
  <si>
    <t>6258178</t>
  </si>
  <si>
    <t>madden girl Misses Girls' MMADDY Cowboy Boots</t>
  </si>
  <si>
    <t>Gold Metallic</t>
  </si>
  <si>
    <t>197369287644</t>
  </si>
  <si>
    <t>80611703</t>
  </si>
  <si>
    <t>886440726164</t>
  </si>
  <si>
    <t>86439564</t>
  </si>
  <si>
    <t>6889906</t>
  </si>
  <si>
    <t>Sonoma Goods For Life® Solid Melamine Pet Bowl</t>
  </si>
  <si>
    <t>886440726188</t>
  </si>
  <si>
    <t>86439563</t>
  </si>
  <si>
    <t>886440726171</t>
  </si>
  <si>
    <t>77084351</t>
  </si>
  <si>
    <t>886440726195</t>
  </si>
  <si>
    <t>77084350</t>
  </si>
  <si>
    <t>417766117601</t>
  </si>
  <si>
    <t>46495555</t>
  </si>
  <si>
    <t>1318</t>
  </si>
  <si>
    <t>4515763</t>
  </si>
  <si>
    <t>LeapFrog Blue's Clues &amp; You! Magenta Learning Watch</t>
  </si>
  <si>
    <t>LeapFrog</t>
  </si>
  <si>
    <t>081715998943</t>
  </si>
  <si>
    <t>50676627</t>
  </si>
  <si>
    <t>6283521</t>
  </si>
  <si>
    <t>Disney's Frozen Elsa Girls 4-16 3-piece Hat, Scarf &amp; Glove Cold Weather Set</t>
  </si>
  <si>
    <t>196067336647</t>
  </si>
  <si>
    <t>80766985</t>
  </si>
  <si>
    <t>5877107</t>
  </si>
  <si>
    <t>Girls 7-16 Gaiam Hudson Joggers</t>
  </si>
  <si>
    <t>196067393725</t>
  </si>
  <si>
    <t>29780673</t>
  </si>
  <si>
    <t>196067393688</t>
  </si>
  <si>
    <t>29780663</t>
  </si>
  <si>
    <t>196067393602</t>
  </si>
  <si>
    <t>29780679</t>
  </si>
  <si>
    <t>196067393640</t>
  </si>
  <si>
    <t>29780669</t>
  </si>
  <si>
    <t>196067393565</t>
  </si>
  <si>
    <t>29780659</t>
  </si>
  <si>
    <t>196067336654</t>
  </si>
  <si>
    <t>80766986</t>
  </si>
  <si>
    <t>196067393619</t>
  </si>
  <si>
    <t>29780680</t>
  </si>
  <si>
    <t>196067393657</t>
  </si>
  <si>
    <t>29780670</t>
  </si>
  <si>
    <t>196067393695</t>
  </si>
  <si>
    <t>29780664</t>
  </si>
  <si>
    <t>196067393572</t>
  </si>
  <si>
    <t>29780660</t>
  </si>
  <si>
    <t>196067393732</t>
  </si>
  <si>
    <t>29780674</t>
  </si>
  <si>
    <t>196067336661</t>
  </si>
  <si>
    <t>80766989</t>
  </si>
  <si>
    <t>196067393626</t>
  </si>
  <si>
    <t>29780681</t>
  </si>
  <si>
    <t>196067393749</t>
  </si>
  <si>
    <t>29780677</t>
  </si>
  <si>
    <t>196067393701</t>
  </si>
  <si>
    <t>29780667</t>
  </si>
  <si>
    <t>196067393664</t>
  </si>
  <si>
    <t>29780671</t>
  </si>
  <si>
    <t>196067393589</t>
  </si>
  <si>
    <t>29780661</t>
  </si>
  <si>
    <t>196067336678</t>
  </si>
  <si>
    <t>80766990</t>
  </si>
  <si>
    <t>196067393756</t>
  </si>
  <si>
    <t>29780678</t>
  </si>
  <si>
    <t>196067393633</t>
  </si>
  <si>
    <t>29780682</t>
  </si>
  <si>
    <t>196067393671</t>
  </si>
  <si>
    <t>29780672</t>
  </si>
  <si>
    <t>196067393596</t>
  </si>
  <si>
    <t>29780662</t>
  </si>
  <si>
    <t>196067393718</t>
  </si>
  <si>
    <t>29780668</t>
  </si>
  <si>
    <t>195861998655</t>
  </si>
  <si>
    <t>80812510</t>
  </si>
  <si>
    <t>6044839</t>
  </si>
  <si>
    <t>Baby Carter's 3-Piece Helicopter Little Vest Set</t>
  </si>
  <si>
    <t>Green Brown</t>
  </si>
  <si>
    <t>400201700271</t>
  </si>
  <si>
    <t>20170027</t>
  </si>
  <si>
    <t>6491282</t>
  </si>
  <si>
    <t>Women's Sonoma Goods For Life® Utility Bomber Jacket</t>
  </si>
  <si>
    <t>400201700172</t>
  </si>
  <si>
    <t>20170017</t>
  </si>
  <si>
    <t>Plus Size Under Armour Motion Longline Long Sleeve Top</t>
  </si>
  <si>
    <t>196572977250</t>
  </si>
  <si>
    <t>49651777</t>
  </si>
  <si>
    <t>6081397</t>
  </si>
  <si>
    <t>Boys 8-20 Vans® Hoodie</t>
  </si>
  <si>
    <t>196572977090</t>
  </si>
  <si>
    <t>49651778</t>
  </si>
  <si>
    <t>400202901639</t>
  </si>
  <si>
    <t>20290163</t>
  </si>
  <si>
    <t>6890076</t>
  </si>
  <si>
    <t>Juniors' SO® High Rise Flare Jeans</t>
  </si>
  <si>
    <t>400539741915</t>
  </si>
  <si>
    <t>53974191</t>
  </si>
  <si>
    <t>400202901646</t>
  </si>
  <si>
    <t>20290164</t>
  </si>
  <si>
    <t>400539741939</t>
  </si>
  <si>
    <t>53974193</t>
  </si>
  <si>
    <t>400202901653</t>
  </si>
  <si>
    <t>20290165</t>
  </si>
  <si>
    <t>400539741946</t>
  </si>
  <si>
    <t>53974194</t>
  </si>
  <si>
    <t>400202901660</t>
  </si>
  <si>
    <t>20290166</t>
  </si>
  <si>
    <t>400539741953</t>
  </si>
  <si>
    <t>53974195</t>
  </si>
  <si>
    <t>400539741960</t>
  </si>
  <si>
    <t>53974196</t>
  </si>
  <si>
    <t>Women's Levi's® Padded Trucker Jacket</t>
  </si>
  <si>
    <t>Stranger Things: Soundtrack from the Netflix Series, Season 4 Vinyl Record</t>
  </si>
  <si>
    <t>Vinyl Records</t>
  </si>
  <si>
    <t>Baby Carter's Stripes &amp; Cars 4-Piece Tops &amp; Bottoms Pajama Set</t>
  </si>
  <si>
    <t>Car</t>
  </si>
  <si>
    <t>400658431773</t>
  </si>
  <si>
    <t>65843177</t>
  </si>
  <si>
    <t>7081369</t>
  </si>
  <si>
    <t>Maternity Sonoma Goods For Life® 1/2 Sleeve Essential Square Neck Tee</t>
  </si>
  <si>
    <t>Cherries</t>
  </si>
  <si>
    <t>400658431957</t>
  </si>
  <si>
    <t>65843195</t>
  </si>
  <si>
    <t>Prolific Green</t>
  </si>
  <si>
    <t>400658431834</t>
  </si>
  <si>
    <t>65843183</t>
  </si>
  <si>
    <t>400658431780</t>
  </si>
  <si>
    <t>65843178</t>
  </si>
  <si>
    <t>400658431841</t>
  </si>
  <si>
    <t>65843184</t>
  </si>
  <si>
    <t>400658431964</t>
  </si>
  <si>
    <t>65843196</t>
  </si>
  <si>
    <t>400658431902</t>
  </si>
  <si>
    <t>65843190</t>
  </si>
  <si>
    <t>Radley River</t>
  </si>
  <si>
    <t>400658431797</t>
  </si>
  <si>
    <t>65843179</t>
  </si>
  <si>
    <t>400658431858</t>
  </si>
  <si>
    <t>65843185</t>
  </si>
  <si>
    <t>400658431865</t>
  </si>
  <si>
    <t>65843186</t>
  </si>
  <si>
    <t>400658431872</t>
  </si>
  <si>
    <t>65843187</t>
  </si>
  <si>
    <t>400658431889</t>
  </si>
  <si>
    <t>65843188</t>
  </si>
  <si>
    <t>Baby Boy Carter's Chill Pullover, Bodysuit &amp; Pants Set</t>
  </si>
  <si>
    <t>192640519049</t>
  </si>
  <si>
    <t>47532977</t>
  </si>
  <si>
    <t>6662516</t>
  </si>
  <si>
    <t>Girls 7-16 eyeshadow Long Sleeve Scoopneck Dress</t>
  </si>
  <si>
    <t>eyeshadow</t>
  </si>
  <si>
    <t>192640519056</t>
  </si>
  <si>
    <t>47532978</t>
  </si>
  <si>
    <t>192640519124</t>
  </si>
  <si>
    <t>30136064</t>
  </si>
  <si>
    <t>192640519063</t>
  </si>
  <si>
    <t>47532979</t>
  </si>
  <si>
    <t>Plus Size adidas Essentials 3-Stripes Animal-Print 7/8 Pants</t>
  </si>
  <si>
    <t>Baby Carter's 3-Piece Sherpa Jacket, Bodysuit and Pant Set</t>
  </si>
  <si>
    <t>400868353896</t>
  </si>
  <si>
    <t>86835389</t>
  </si>
  <si>
    <t>6422937</t>
  </si>
  <si>
    <t>Maternity Sonoma Goods For Life® Sleeveless V-Neck Sweater Dress</t>
  </si>
  <si>
    <t>400868353759</t>
  </si>
  <si>
    <t>86835375</t>
  </si>
  <si>
    <t>Riviera Sand</t>
  </si>
  <si>
    <t>400868353902</t>
  </si>
  <si>
    <t>86835390</t>
  </si>
  <si>
    <t>400868353773</t>
  </si>
  <si>
    <t>86835377</t>
  </si>
  <si>
    <t>400868353919</t>
  </si>
  <si>
    <t>86835391</t>
  </si>
  <si>
    <t>400868353780</t>
  </si>
  <si>
    <t>86835378</t>
  </si>
  <si>
    <t>400868353797</t>
  </si>
  <si>
    <t>86835379</t>
  </si>
  <si>
    <t>400868353926</t>
  </si>
  <si>
    <t>86835392</t>
  </si>
  <si>
    <t>400868353803</t>
  </si>
  <si>
    <t>86835380</t>
  </si>
  <si>
    <t>400868353933</t>
  </si>
  <si>
    <t>86835393</t>
  </si>
  <si>
    <t>400868353872</t>
  </si>
  <si>
    <t>86835387</t>
  </si>
  <si>
    <t>400868353810</t>
  </si>
  <si>
    <t>86835381</t>
  </si>
  <si>
    <t>400868353940</t>
  </si>
  <si>
    <t>86835394</t>
  </si>
  <si>
    <t>400868353889</t>
  </si>
  <si>
    <t>86835388</t>
  </si>
  <si>
    <t>196027312681</t>
  </si>
  <si>
    <t>78298943</t>
  </si>
  <si>
    <t>6178405</t>
  </si>
  <si>
    <t>Toddler Boy Marvel Spider-Man &amp;#34;Spins A Web&amp;#34; Robe</t>
  </si>
  <si>
    <t>Spiderman</t>
  </si>
  <si>
    <t>196027312698</t>
  </si>
  <si>
    <t>78298944</t>
  </si>
  <si>
    <t>043849015149</t>
  </si>
  <si>
    <t>80109418</t>
  </si>
  <si>
    <t>6654359</t>
  </si>
  <si>
    <t>Chambray</t>
  </si>
  <si>
    <t>043849015224</t>
  </si>
  <si>
    <t>80109425</t>
  </si>
  <si>
    <t>043849015231</t>
  </si>
  <si>
    <t>80109426</t>
  </si>
  <si>
    <t>043849015248</t>
  </si>
  <si>
    <t>80109427</t>
  </si>
  <si>
    <t>043849015255</t>
  </si>
  <si>
    <t>80109428</t>
  </si>
  <si>
    <t>043849015262</t>
  </si>
  <si>
    <t>80109435</t>
  </si>
  <si>
    <t>043849015101</t>
  </si>
  <si>
    <t>19205574</t>
  </si>
  <si>
    <t>043849015118</t>
  </si>
  <si>
    <t>19205575</t>
  </si>
  <si>
    <t>043849015125</t>
  </si>
  <si>
    <t>19205576</t>
  </si>
  <si>
    <t>043849015132</t>
  </si>
  <si>
    <t>19205577</t>
  </si>
  <si>
    <t>196900151116</t>
  </si>
  <si>
    <t>79134816</t>
  </si>
  <si>
    <t>6393882</t>
  </si>
  <si>
    <t>Baby &amp; Toddler Girls Bonnie Jean Nutcracker Dress &amp; Cardigan</t>
  </si>
  <si>
    <t>196900151130</t>
  </si>
  <si>
    <t>79134817</t>
  </si>
  <si>
    <t>196900151147</t>
  </si>
  <si>
    <t>79134819</t>
  </si>
  <si>
    <t>400754593092</t>
  </si>
  <si>
    <t>75459309</t>
  </si>
  <si>
    <t>6286319</t>
  </si>
  <si>
    <t>Plus Size Simply Vera Vera Wang High-Rise Flare Trousers</t>
  </si>
  <si>
    <t>14W SHORT</t>
  </si>
  <si>
    <t>400754593191</t>
  </si>
  <si>
    <t>75459319</t>
  </si>
  <si>
    <t>24W SHORT</t>
  </si>
  <si>
    <t>400663070219</t>
  </si>
  <si>
    <t>66307021</t>
  </si>
  <si>
    <t>400663070226</t>
  </si>
  <si>
    <t>66307022</t>
  </si>
  <si>
    <t>400663070295</t>
  </si>
  <si>
    <t>66307029</t>
  </si>
  <si>
    <t>400725104937</t>
  </si>
  <si>
    <t>72510493</t>
  </si>
  <si>
    <t>14W T/L</t>
  </si>
  <si>
    <t>400725104944</t>
  </si>
  <si>
    <t>72510494</t>
  </si>
  <si>
    <t>16W T/L</t>
  </si>
  <si>
    <t>400725105057</t>
  </si>
  <si>
    <t>72510505</t>
  </si>
  <si>
    <t>24W T/L</t>
  </si>
  <si>
    <t>400725241663</t>
  </si>
  <si>
    <t>72524166</t>
  </si>
  <si>
    <t>26W T/L</t>
  </si>
  <si>
    <t>400469734285</t>
  </si>
  <si>
    <t>46973428</t>
  </si>
  <si>
    <t>6824300</t>
  </si>
  <si>
    <t>Men's Apt. 9® Merino Wool V-Neck Sweater</t>
  </si>
  <si>
    <t>400469734292</t>
  </si>
  <si>
    <t>46973429</t>
  </si>
  <si>
    <t>400469734308</t>
  </si>
  <si>
    <t>46973430</t>
  </si>
  <si>
    <t>400469734315</t>
  </si>
  <si>
    <t>46973431</t>
  </si>
  <si>
    <t>400556937766</t>
  </si>
  <si>
    <t>55693776</t>
  </si>
  <si>
    <t>400469734322</t>
  </si>
  <si>
    <t>46973432</t>
  </si>
  <si>
    <t>400187864967</t>
  </si>
  <si>
    <t>18786496</t>
  </si>
  <si>
    <t>400469734278</t>
  </si>
  <si>
    <t>46973427</t>
  </si>
  <si>
    <t>196327498306</t>
  </si>
  <si>
    <t>58883640</t>
  </si>
  <si>
    <t>6130281</t>
  </si>
  <si>
    <t>Boys 8-20 Hurley Flame Stack Tee</t>
  </si>
  <si>
    <t>196327498313</t>
  </si>
  <si>
    <t>58883650</t>
  </si>
  <si>
    <t>196327498320</t>
  </si>
  <si>
    <t>58883660</t>
  </si>
  <si>
    <t>196327498337</t>
  </si>
  <si>
    <t>58883670</t>
  </si>
  <si>
    <t>400686401915</t>
  </si>
  <si>
    <t>68640191</t>
  </si>
  <si>
    <t>6495210</t>
  </si>
  <si>
    <t>Plus Size Sonoma Goods For Life® Utility Bomber Jacket</t>
  </si>
  <si>
    <t>Hared Maple</t>
  </si>
  <si>
    <t>400474535549</t>
  </si>
  <si>
    <t>47453554</t>
  </si>
  <si>
    <t>400686402097</t>
  </si>
  <si>
    <t>68640209</t>
  </si>
  <si>
    <t>400686401922</t>
  </si>
  <si>
    <t>68640192</t>
  </si>
  <si>
    <t>400474535556</t>
  </si>
  <si>
    <t>47453555</t>
  </si>
  <si>
    <t>400686402103</t>
  </si>
  <si>
    <t>68640210</t>
  </si>
  <si>
    <t>400686401991</t>
  </si>
  <si>
    <t>68640199</t>
  </si>
  <si>
    <t>400474535563</t>
  </si>
  <si>
    <t>47453556</t>
  </si>
  <si>
    <t>400686402110</t>
  </si>
  <si>
    <t>68640211</t>
  </si>
  <si>
    <t>400474535617</t>
  </si>
  <si>
    <t>47453561</t>
  </si>
  <si>
    <t>400686402127</t>
  </si>
  <si>
    <t>68640212</t>
  </si>
  <si>
    <t>400686402004</t>
  </si>
  <si>
    <t>68640200</t>
  </si>
  <si>
    <t>400474535624</t>
  </si>
  <si>
    <t>47453562</t>
  </si>
  <si>
    <t>400686402011</t>
  </si>
  <si>
    <t>68640201</t>
  </si>
  <si>
    <t>400686402196</t>
  </si>
  <si>
    <t>68640219</t>
  </si>
  <si>
    <t>400686402028</t>
  </si>
  <si>
    <t>68640202</t>
  </si>
  <si>
    <t>400686402202</t>
  </si>
  <si>
    <t>68640220</t>
  </si>
  <si>
    <t>400474535648</t>
  </si>
  <si>
    <t>47453564</t>
  </si>
  <si>
    <t>Nine West Blitz Women's Dress Sandals</t>
  </si>
  <si>
    <t>887863798660</t>
  </si>
  <si>
    <t>65069670</t>
  </si>
  <si>
    <t>6348719</t>
  </si>
  <si>
    <t>Girls 7-16 IZ Byer 3/4-Sleeve Sweater, Leggings &amp; Scarf Set in Regular &amp; Plus Size</t>
  </si>
  <si>
    <t>IZ Byer</t>
  </si>
  <si>
    <t>887863798677</t>
  </si>
  <si>
    <t>65069671</t>
  </si>
  <si>
    <t>887863798684</t>
  </si>
  <si>
    <t>65069672</t>
  </si>
  <si>
    <t>887863799117</t>
  </si>
  <si>
    <t>65055951</t>
  </si>
  <si>
    <t>400302315350</t>
  </si>
  <si>
    <t>30231535</t>
  </si>
  <si>
    <t>5044680</t>
  </si>
  <si>
    <t>Big &amp; Tall Sonoma Goods For Life® Regular-Fit Flannel Button-Down Shirt</t>
  </si>
  <si>
    <t>400302314919</t>
  </si>
  <si>
    <t>30231491</t>
  </si>
  <si>
    <t>400302314926</t>
  </si>
  <si>
    <t>30231492</t>
  </si>
  <si>
    <t>400302314940</t>
  </si>
  <si>
    <t>30231494</t>
  </si>
  <si>
    <t>400586704178</t>
  </si>
  <si>
    <t>58670417</t>
  </si>
  <si>
    <t>400586703959</t>
  </si>
  <si>
    <t>58670395</t>
  </si>
  <si>
    <t>400636083970</t>
  </si>
  <si>
    <t>63608397</t>
  </si>
  <si>
    <t>400586703997</t>
  </si>
  <si>
    <t>58670399</t>
  </si>
  <si>
    <t>400466706773</t>
  </si>
  <si>
    <t>46670677</t>
  </si>
  <si>
    <t>5738335</t>
  </si>
  <si>
    <t>Girls 6-20 SO® Woven Allover Print Romper in Regular &amp; Plus</t>
  </si>
  <si>
    <t>400466706834</t>
  </si>
  <si>
    <t>46670683</t>
  </si>
  <si>
    <t>Plum Floral</t>
  </si>
  <si>
    <t>400466706780</t>
  </si>
  <si>
    <t>46670678</t>
  </si>
  <si>
    <t>400301117795</t>
  </si>
  <si>
    <t>30111779</t>
  </si>
  <si>
    <t>400301117849</t>
  </si>
  <si>
    <t>30111784</t>
  </si>
  <si>
    <t>Men's Columbia Tunnel Falls Interchange Jacket</t>
  </si>
  <si>
    <t>Warp Red</t>
  </si>
  <si>
    <t>Women's Under Armour Motion 8-in. Bike Shorts</t>
  </si>
  <si>
    <t>195862018475</t>
  </si>
  <si>
    <t>76833578</t>
  </si>
  <si>
    <t>6047058</t>
  </si>
  <si>
    <t>Baby Carter's 2-piece Plaid Fleece Top &amp; Pants Set</t>
  </si>
  <si>
    <t>195862018444</t>
  </si>
  <si>
    <t>76833580</t>
  </si>
  <si>
    <t>195862018437</t>
  </si>
  <si>
    <t>76833579</t>
  </si>
  <si>
    <t>Kamik Timber Toddler Waterproof Boots</t>
  </si>
  <si>
    <t>400340857270</t>
  </si>
  <si>
    <t>34085727</t>
  </si>
  <si>
    <t>5000133</t>
  </si>
  <si>
    <t>Plus Size Tek Gear® Ultrasoft Fleece Crewneck Sweatshirt</t>
  </si>
  <si>
    <t>400619829205</t>
  </si>
  <si>
    <t>61982920</t>
  </si>
  <si>
    <t>400768834082</t>
  </si>
  <si>
    <t>76883408</t>
  </si>
  <si>
    <t>196095385518</t>
  </si>
  <si>
    <t>30287194</t>
  </si>
  <si>
    <t>6095004</t>
  </si>
  <si>
    <t>Girls ​​6-20 SO® Slub Rib Boxy Cardigan in Regular &amp; Plus Size</t>
  </si>
  <si>
    <t>Yellow Stripe</t>
  </si>
  <si>
    <t>196095385464</t>
  </si>
  <si>
    <t>30287184</t>
  </si>
  <si>
    <t>Olive Stripe</t>
  </si>
  <si>
    <t>196095393797</t>
  </si>
  <si>
    <t>30058020</t>
  </si>
  <si>
    <t>196095393841</t>
  </si>
  <si>
    <t>78685845</t>
  </si>
  <si>
    <t>Navy Stripe</t>
  </si>
  <si>
    <t>196095385525</t>
  </si>
  <si>
    <t>30287195</t>
  </si>
  <si>
    <t>196095393803</t>
  </si>
  <si>
    <t>30058021</t>
  </si>
  <si>
    <t>196095393858</t>
  </si>
  <si>
    <t>78685846</t>
  </si>
  <si>
    <t>196095385693</t>
  </si>
  <si>
    <t>20289874</t>
  </si>
  <si>
    <t>196095385709</t>
  </si>
  <si>
    <t>20289875</t>
  </si>
  <si>
    <t>196095385716</t>
  </si>
  <si>
    <t>20289876</t>
  </si>
  <si>
    <t>196095393971</t>
  </si>
  <si>
    <t>79296941</t>
  </si>
  <si>
    <t>196095385655</t>
  </si>
  <si>
    <t>20289872</t>
  </si>
  <si>
    <t>196095385723</t>
  </si>
  <si>
    <t>20289877</t>
  </si>
  <si>
    <t>196095393988</t>
  </si>
  <si>
    <t>79296942</t>
  </si>
  <si>
    <t>195862224357</t>
  </si>
  <si>
    <t>37885283</t>
  </si>
  <si>
    <t>6432717</t>
  </si>
  <si>
    <t>Girls 4-12 Carter's Eyelet Flutter Top</t>
  </si>
  <si>
    <t>195862224364</t>
  </si>
  <si>
    <t>37885288</t>
  </si>
  <si>
    <t>195862224388</t>
  </si>
  <si>
    <t>37885290</t>
  </si>
  <si>
    <t>195862224395</t>
  </si>
  <si>
    <t>37885291</t>
  </si>
  <si>
    <t>195862224371</t>
  </si>
  <si>
    <t>37885289</t>
  </si>
  <si>
    <t>195862224326</t>
  </si>
  <si>
    <t>37885280</t>
  </si>
  <si>
    <t>195862224333</t>
  </si>
  <si>
    <t>37885281</t>
  </si>
  <si>
    <t>195862224340</t>
  </si>
  <si>
    <t>37885282</t>
  </si>
  <si>
    <t>Baby Girls Carter's Plaid Hooded Zip-Up Fleece Jumpsuit</t>
  </si>
  <si>
    <t>Pink Plaid</t>
  </si>
  <si>
    <t>197235210448</t>
  </si>
  <si>
    <t>28159953</t>
  </si>
  <si>
    <t>6381324</t>
  </si>
  <si>
    <t>Girls 7-16 adidas Fashion Track Jacket</t>
  </si>
  <si>
    <t>197235330788</t>
  </si>
  <si>
    <t>28159948</t>
  </si>
  <si>
    <t>Halo Blue</t>
  </si>
  <si>
    <t>197235210455</t>
  </si>
  <si>
    <t>28159954</t>
  </si>
  <si>
    <t>197235330795</t>
  </si>
  <si>
    <t>28159949</t>
  </si>
  <si>
    <t>197235210462</t>
  </si>
  <si>
    <t>28159955</t>
  </si>
  <si>
    <t>197235330801</t>
  </si>
  <si>
    <t>28159951</t>
  </si>
  <si>
    <t>197235210479</t>
  </si>
  <si>
    <t>28159956</t>
  </si>
  <si>
    <t>197235330818</t>
  </si>
  <si>
    <t>28159952</t>
  </si>
  <si>
    <t>197161606056</t>
  </si>
  <si>
    <t>71661084</t>
  </si>
  <si>
    <t>6373590</t>
  </si>
  <si>
    <t>Boys 4-7 Green Bay Packers Pullover Fleece Hoodie</t>
  </si>
  <si>
    <t>197161606049</t>
  </si>
  <si>
    <t>71661085</t>
  </si>
  <si>
    <t>197161606032</t>
  </si>
  <si>
    <t>71661086</t>
  </si>
  <si>
    <t>196027207000</t>
  </si>
  <si>
    <t>79155337</t>
  </si>
  <si>
    <t>5688654</t>
  </si>
  <si>
    <t>Girls 4-8 Frozen Elsa and Anna One-Piece Pajamas</t>
  </si>
  <si>
    <t>196027207017</t>
  </si>
  <si>
    <t>79155339</t>
  </si>
  <si>
    <t>196027207024</t>
  </si>
  <si>
    <t>79155340</t>
  </si>
  <si>
    <t>195861474401</t>
  </si>
  <si>
    <t>70022236</t>
  </si>
  <si>
    <t>6050176</t>
  </si>
  <si>
    <t>Baby Girls Carter's Floral Fleece Jumpsuit</t>
  </si>
  <si>
    <t>195861474364</t>
  </si>
  <si>
    <t>70022237</t>
  </si>
  <si>
    <t>195861474371</t>
  </si>
  <si>
    <t>70022243</t>
  </si>
  <si>
    <t>195861474388</t>
  </si>
  <si>
    <t>70022244</t>
  </si>
  <si>
    <t>195861474333</t>
  </si>
  <si>
    <t>70022245</t>
  </si>
  <si>
    <t>195861474340</t>
  </si>
  <si>
    <t>70022246</t>
  </si>
  <si>
    <t>Women's Andrew Marc Marc New York Double Diamond Quilted Matte Shell Hooded Anorak Jacket</t>
  </si>
  <si>
    <t>Girls 7-16 adidas Graphic Tee in Regular &amp; Plus Size</t>
  </si>
  <si>
    <t>S PLUS</t>
  </si>
  <si>
    <t>197117058731</t>
  </si>
  <si>
    <t>73145685</t>
  </si>
  <si>
    <t>5973445</t>
  </si>
  <si>
    <t>Big &amp; Tall Cuddl Duds® Far-Infrared Enhance Pajama Zip Hoodie</t>
  </si>
  <si>
    <t>197117058694</t>
  </si>
  <si>
    <t>73145678</t>
  </si>
  <si>
    <t>197117058847</t>
  </si>
  <si>
    <t>73145699</t>
  </si>
  <si>
    <t>197117058779</t>
  </si>
  <si>
    <t>73145692</t>
  </si>
  <si>
    <t>197117058748</t>
  </si>
  <si>
    <t>73145686</t>
  </si>
  <si>
    <t>197117058700</t>
  </si>
  <si>
    <t>73145679</t>
  </si>
  <si>
    <t>197117058786</t>
  </si>
  <si>
    <t>73145693</t>
  </si>
  <si>
    <t>197117058854</t>
  </si>
  <si>
    <t>73145700</t>
  </si>
  <si>
    <t>197117058663</t>
  </si>
  <si>
    <t>73145682</t>
  </si>
  <si>
    <t>197117058885</t>
  </si>
  <si>
    <t>73145696</t>
  </si>
  <si>
    <t>197117058816</t>
  </si>
  <si>
    <t>73145689</t>
  </si>
  <si>
    <t>197117058915</t>
  </si>
  <si>
    <t>73145703</t>
  </si>
  <si>
    <t>197117058717</t>
  </si>
  <si>
    <t>73145680</t>
  </si>
  <si>
    <t>197117058755</t>
  </si>
  <si>
    <t>73145687</t>
  </si>
  <si>
    <t>197117058793</t>
  </si>
  <si>
    <t>73145694</t>
  </si>
  <si>
    <t>197117058861</t>
  </si>
  <si>
    <t>73145701</t>
  </si>
  <si>
    <t>197117058670</t>
  </si>
  <si>
    <t>73145683</t>
  </si>
  <si>
    <t>197117058823</t>
  </si>
  <si>
    <t>73145690</t>
  </si>
  <si>
    <t>197117058892</t>
  </si>
  <si>
    <t>73145697</t>
  </si>
  <si>
    <t>197117058922</t>
  </si>
  <si>
    <t>73145704</t>
  </si>
  <si>
    <t>197117058724</t>
  </si>
  <si>
    <t>73145681</t>
  </si>
  <si>
    <t>197117058809</t>
  </si>
  <si>
    <t>73145695</t>
  </si>
  <si>
    <t>197117058762</t>
  </si>
  <si>
    <t>73145688</t>
  </si>
  <si>
    <t>197117058878</t>
  </si>
  <si>
    <t>73145702</t>
  </si>
  <si>
    <t>197117058687</t>
  </si>
  <si>
    <t>73145684</t>
  </si>
  <si>
    <t>197117058830</t>
  </si>
  <si>
    <t>73145691</t>
  </si>
  <si>
    <t>889260659063</t>
  </si>
  <si>
    <t>85799383</t>
  </si>
  <si>
    <t>3910061</t>
  </si>
  <si>
    <t>totes Allison Toddler Girls' Waterproof Winter Boots</t>
  </si>
  <si>
    <t>Black Multi</t>
  </si>
  <si>
    <t>889260659070</t>
  </si>
  <si>
    <t>85799384</t>
  </si>
  <si>
    <t>889260659087</t>
  </si>
  <si>
    <t>85799385</t>
  </si>
  <si>
    <t>889260659094</t>
  </si>
  <si>
    <t>85799386</t>
  </si>
  <si>
    <t>889260659100</t>
  </si>
  <si>
    <t>85799392</t>
  </si>
  <si>
    <t>889260659117</t>
  </si>
  <si>
    <t>85799393</t>
  </si>
  <si>
    <t>197369321676</t>
  </si>
  <si>
    <t>74365279</t>
  </si>
  <si>
    <t>6286293</t>
  </si>
  <si>
    <t>madden girl Mnoele Girls' Knee-High Boots</t>
  </si>
  <si>
    <t>197369321669</t>
  </si>
  <si>
    <t>58427398</t>
  </si>
  <si>
    <t>197369321492</t>
  </si>
  <si>
    <t>74365280</t>
  </si>
  <si>
    <t>197369321485</t>
  </si>
  <si>
    <t>58427399</t>
  </si>
  <si>
    <t>197369321515</t>
  </si>
  <si>
    <t>74365281</t>
  </si>
  <si>
    <t>197369321508</t>
  </si>
  <si>
    <t>58427400</t>
  </si>
  <si>
    <t>197369321522</t>
  </si>
  <si>
    <t>58427407</t>
  </si>
  <si>
    <t>197369321539</t>
  </si>
  <si>
    <t>74365282</t>
  </si>
  <si>
    <t>197369321553</t>
  </si>
  <si>
    <t>74365289</t>
  </si>
  <si>
    <t>197369321546</t>
  </si>
  <si>
    <t>58427408</t>
  </si>
  <si>
    <t>197369321560</t>
  </si>
  <si>
    <t>58427409</t>
  </si>
  <si>
    <t>197369321577</t>
  </si>
  <si>
    <t>74365290</t>
  </si>
  <si>
    <t>Men's Nick Graham Shirt and Tie Set</t>
  </si>
  <si>
    <t>Park Avenue Navy</t>
  </si>
  <si>
    <t>Royal Blue</t>
  </si>
  <si>
    <t>196327490515</t>
  </si>
  <si>
    <t>73562596</t>
  </si>
  <si>
    <t>6130278</t>
  </si>
  <si>
    <t>Boys 8-20 Hurley Thermal Logo Long Sleeve Tee</t>
  </si>
  <si>
    <t>196327490522</t>
  </si>
  <si>
    <t>73562597</t>
  </si>
  <si>
    <t>196327490539</t>
  </si>
  <si>
    <t>73562598</t>
  </si>
  <si>
    <t>196573018839</t>
  </si>
  <si>
    <t>75454616</t>
  </si>
  <si>
    <t>6098403</t>
  </si>
  <si>
    <t>Men's Vans Hoodie</t>
  </si>
  <si>
    <t>Green Gables</t>
  </si>
  <si>
    <t>400703699486</t>
  </si>
  <si>
    <t>70369948</t>
  </si>
  <si>
    <t>6635875</t>
  </si>
  <si>
    <t>Boys 8-20 Tek Gear® Base Layer Short Sleeve Tee</t>
  </si>
  <si>
    <t>400703699493</t>
  </si>
  <si>
    <t>70369949</t>
  </si>
  <si>
    <t>197026344420</t>
  </si>
  <si>
    <t>63446839</t>
  </si>
  <si>
    <t>6217886</t>
  </si>
  <si>
    <t>Girls 4-12 Jumping Beans Tweety Bird Short Sleeve Tee</t>
  </si>
  <si>
    <t>197026344444</t>
  </si>
  <si>
    <t>63446845</t>
  </si>
  <si>
    <t>197026344451</t>
  </si>
  <si>
    <t>63446846</t>
  </si>
  <si>
    <t>400332675608</t>
  </si>
  <si>
    <t>33267560</t>
  </si>
  <si>
    <t>7081201</t>
  </si>
  <si>
    <t>Big &amp; Tall Sonoma Goods For Life® Perfect Length Button-Down Shirt</t>
  </si>
  <si>
    <t>Little Flower Brown</t>
  </si>
  <si>
    <t>400782618491</t>
  </si>
  <si>
    <t>78261849</t>
  </si>
  <si>
    <t>Navy Red Check</t>
  </si>
  <si>
    <t>400545734871</t>
  </si>
  <si>
    <t>54573487</t>
  </si>
  <si>
    <t>White Geo</t>
  </si>
  <si>
    <t>400545734987</t>
  </si>
  <si>
    <t>54573498</t>
  </si>
  <si>
    <t>Pink Triangle Geo</t>
  </si>
  <si>
    <t>400332675493</t>
  </si>
  <si>
    <t>33267549</t>
  </si>
  <si>
    <t>Forest Floral Tan</t>
  </si>
  <si>
    <t>400586704840</t>
  </si>
  <si>
    <t>58670484</t>
  </si>
  <si>
    <t>English Elm</t>
  </si>
  <si>
    <t>400332675509</t>
  </si>
  <si>
    <t>33267550</t>
  </si>
  <si>
    <t>400332675615</t>
  </si>
  <si>
    <t>33267561</t>
  </si>
  <si>
    <t>400545734888</t>
  </si>
  <si>
    <t>54573488</t>
  </si>
  <si>
    <t>400545734994</t>
  </si>
  <si>
    <t>54573499</t>
  </si>
  <si>
    <t>400581736976</t>
  </si>
  <si>
    <t>58173697</t>
  </si>
  <si>
    <t>7081893</t>
  </si>
  <si>
    <t>Petite Tek Gear® Ultra Stretch Cross Hem Capri Leggings</t>
  </si>
  <si>
    <t>400581654317</t>
  </si>
  <si>
    <t>58165431</t>
  </si>
  <si>
    <t>Dynasty Aqua</t>
  </si>
  <si>
    <t>400769545871</t>
  </si>
  <si>
    <t>76954587</t>
  </si>
  <si>
    <t>6124627</t>
  </si>
  <si>
    <t>Boys 8-20 Sonoma Goods For Life® Supersoft Colorblock Hoodie in Regular &amp; Husky</t>
  </si>
  <si>
    <t>Brisk Peri</t>
  </si>
  <si>
    <t>400735622681</t>
  </si>
  <si>
    <t>73562268</t>
  </si>
  <si>
    <t>Boulder Dust</t>
  </si>
  <si>
    <t>400787479950</t>
  </si>
  <si>
    <t>78747995</t>
  </si>
  <si>
    <t>Seattle Sky</t>
  </si>
  <si>
    <t>197571222037</t>
  </si>
  <si>
    <t>38159820</t>
  </si>
  <si>
    <t>6664283</t>
  </si>
  <si>
    <t>Girls 4-10 Blueberi Boulevard 2-pc. Rhinestone Trim Tulle Sleeveless Dress &amp; Floral Knit Cardigan Set</t>
  </si>
  <si>
    <t>197571222044</t>
  </si>
  <si>
    <t>38159821</t>
  </si>
  <si>
    <t>197571222051</t>
  </si>
  <si>
    <t>38159822</t>
  </si>
  <si>
    <t>197571222068</t>
  </si>
  <si>
    <t>38159828</t>
  </si>
  <si>
    <t>197571222150</t>
  </si>
  <si>
    <t>19213952</t>
  </si>
  <si>
    <t>197571222167</t>
  </si>
  <si>
    <t>19213953</t>
  </si>
  <si>
    <t>197571222136</t>
  </si>
  <si>
    <t>19213954</t>
  </si>
  <si>
    <t>Girls 4-14 Carter's Christmas Buffalo Plaid Nightgown &amp; Matching Doll Nightgown</t>
  </si>
  <si>
    <t>Women's Lee® Ultra Lux Pull-On Shorts</t>
  </si>
  <si>
    <t>Lee</t>
  </si>
  <si>
    <t>4 AVG/REG</t>
  </si>
  <si>
    <t>Women's Andrew Marc Marc New York Adler Bib Puffer Coat</t>
  </si>
  <si>
    <t>195861991748</t>
  </si>
  <si>
    <t>20535081</t>
  </si>
  <si>
    <t>6067909</t>
  </si>
  <si>
    <t>Toddler Girl Carter's Plaid Sateen Dress</t>
  </si>
  <si>
    <t>195861991755</t>
  </si>
  <si>
    <t>20535082</t>
  </si>
  <si>
    <t>195861991762</t>
  </si>
  <si>
    <t>20535083</t>
  </si>
  <si>
    <t>195861991779</t>
  </si>
  <si>
    <t>20535084</t>
  </si>
  <si>
    <t>195861992509</t>
  </si>
  <si>
    <t>56144092</t>
  </si>
  <si>
    <t>6067915</t>
  </si>
  <si>
    <t>Toddler Girl Carter's Bobble Poncho</t>
  </si>
  <si>
    <t>195861992516</t>
  </si>
  <si>
    <t>56144093</t>
  </si>
  <si>
    <t>195861992523</t>
  </si>
  <si>
    <t>56144094</t>
  </si>
  <si>
    <t>195861992530</t>
  </si>
  <si>
    <t>56144095</t>
  </si>
  <si>
    <t>196027200162</t>
  </si>
  <si>
    <t>80787143</t>
  </si>
  <si>
    <t>5607970</t>
  </si>
  <si>
    <t>Boys 6-12 Star Wars &amp;#34;Vaders Power&amp;#34; 2-Piece Pajama Set</t>
  </si>
  <si>
    <t>Star Wars</t>
  </si>
  <si>
    <t>196027200179</t>
  </si>
  <si>
    <t>80787144</t>
  </si>
  <si>
    <t>196027200148</t>
  </si>
  <si>
    <t>80787145</t>
  </si>
  <si>
    <t>Plus Size adidas Essentials 3-Stripes Animal Print Relaxed Hoodie</t>
  </si>
  <si>
    <t>196064210193</t>
  </si>
  <si>
    <t>86413826</t>
  </si>
  <si>
    <t>5593197</t>
  </si>
  <si>
    <t>totes Gina Waterproof Women's Boots</t>
  </si>
  <si>
    <t>196064210209</t>
  </si>
  <si>
    <t>86413836</t>
  </si>
  <si>
    <t>400686854643</t>
  </si>
  <si>
    <t>68685464</t>
  </si>
  <si>
    <t>6569396</t>
  </si>
  <si>
    <t>Baby Jumping Beans® Short Sleeve Easter Bunny Print Bodysuit &amp; Striped Pants Set</t>
  </si>
  <si>
    <t>Easter Bunny</t>
  </si>
  <si>
    <t>400686854650</t>
  </si>
  <si>
    <t>68685465</t>
  </si>
  <si>
    <t>400686854674</t>
  </si>
  <si>
    <t>68685467</t>
  </si>
  <si>
    <t>400686854681</t>
  </si>
  <si>
    <t>68685468</t>
  </si>
  <si>
    <t>400686854698</t>
  </si>
  <si>
    <t>68685469</t>
  </si>
  <si>
    <t>400686854704</t>
  </si>
  <si>
    <t>68685470</t>
  </si>
  <si>
    <t>400635801865</t>
  </si>
  <si>
    <t>63580186</t>
  </si>
  <si>
    <t>7029899</t>
  </si>
  <si>
    <t>Maternity Sonoma Goods For Life® Over-The-Belly Jeggings</t>
  </si>
  <si>
    <t>Indigo Medium Wash</t>
  </si>
  <si>
    <t>16 TL-MAT</t>
  </si>
  <si>
    <t>400635801872</t>
  </si>
  <si>
    <t>63580187</t>
  </si>
  <si>
    <t>18 TL-MAT</t>
  </si>
  <si>
    <t>196977421945</t>
  </si>
  <si>
    <t>58102017</t>
  </si>
  <si>
    <t>6424869</t>
  </si>
  <si>
    <t>Women's Nike One Dri-FIT High-Waisted Leggings</t>
  </si>
  <si>
    <t>Men's Under Armour 1/4-Zip Fleece Pullover</t>
  </si>
  <si>
    <t>400300456857</t>
  </si>
  <si>
    <t>30045685</t>
  </si>
  <si>
    <t>6331471</t>
  </si>
  <si>
    <t>Men's Sonoma Goods For Life® Long Sleeve Henley Top</t>
  </si>
  <si>
    <t>719621314655</t>
  </si>
  <si>
    <t>80385393</t>
  </si>
  <si>
    <t>6176983</t>
  </si>
  <si>
    <t>Juniors' Sebby Plaid Shacket</t>
  </si>
  <si>
    <t>Sebby</t>
  </si>
  <si>
    <t>Beige Black</t>
  </si>
  <si>
    <t>719621314754</t>
  </si>
  <si>
    <t>80385443</t>
  </si>
  <si>
    <t>Pink Brown</t>
  </si>
  <si>
    <t>719621314709</t>
  </si>
  <si>
    <t>80385422</t>
  </si>
  <si>
    <t>Blue Orange</t>
  </si>
  <si>
    <t>719621314761</t>
  </si>
  <si>
    <t>80385452</t>
  </si>
  <si>
    <t>719621314662</t>
  </si>
  <si>
    <t>80385402</t>
  </si>
  <si>
    <t>719621314716</t>
  </si>
  <si>
    <t>80385423</t>
  </si>
  <si>
    <t>719621314778</t>
  </si>
  <si>
    <t>80385453</t>
  </si>
  <si>
    <t>719621314723</t>
  </si>
  <si>
    <t>80385432</t>
  </si>
  <si>
    <t>719621314679</t>
  </si>
  <si>
    <t>80385403</t>
  </si>
  <si>
    <t>974</t>
  </si>
  <si>
    <t>719621314785</t>
  </si>
  <si>
    <t>80385462</t>
  </si>
  <si>
    <t>719621314730</t>
  </si>
  <si>
    <t>80385433</t>
  </si>
  <si>
    <t>719621314686</t>
  </si>
  <si>
    <t>80385412</t>
  </si>
  <si>
    <t>1208</t>
  </si>
  <si>
    <t>719621314747</t>
  </si>
  <si>
    <t>80385442</t>
  </si>
  <si>
    <t>719621314792</t>
  </si>
  <si>
    <t>80385463</t>
  </si>
  <si>
    <t>609</t>
  </si>
  <si>
    <t>719621314693</t>
  </si>
  <si>
    <t>80385413</t>
  </si>
  <si>
    <t>1073</t>
  </si>
  <si>
    <t>400281911666</t>
  </si>
  <si>
    <t>28191166</t>
  </si>
  <si>
    <t>6318807</t>
  </si>
  <si>
    <t>St. Nicholas Square® Tree Shaped Sleigh Wall Decor</t>
  </si>
  <si>
    <t>St. Nicholas Square</t>
  </si>
  <si>
    <t>400694819887</t>
  </si>
  <si>
    <t>69481988</t>
  </si>
  <si>
    <t>5795404</t>
  </si>
  <si>
    <t>Baby &amp; Toddler Boy Jumping Beans® Skinny Denim Jeans</t>
  </si>
  <si>
    <t>400694818484</t>
  </si>
  <si>
    <t>69481848</t>
  </si>
  <si>
    <t>Dark Wash Solid</t>
  </si>
  <si>
    <t>190917467277</t>
  </si>
  <si>
    <t>30011639</t>
  </si>
  <si>
    <t>6516483</t>
  </si>
  <si>
    <t>Women's INTEMPO™ Box Pleated Cargo Pants</t>
  </si>
  <si>
    <t>Olivine</t>
  </si>
  <si>
    <t>190917467215</t>
  </si>
  <si>
    <t>30011619</t>
  </si>
  <si>
    <t>400200661146</t>
  </si>
  <si>
    <t>20066114</t>
  </si>
  <si>
    <t>6313047</t>
  </si>
  <si>
    <t>Plus Size Tek Gear Microfleece Top</t>
  </si>
  <si>
    <t>400200661269</t>
  </si>
  <si>
    <t>20066126</t>
  </si>
  <si>
    <t>400200661153</t>
  </si>
  <si>
    <t>20066115</t>
  </si>
  <si>
    <t>400200661276</t>
  </si>
  <si>
    <t>20066127</t>
  </si>
  <si>
    <t>400200661160</t>
  </si>
  <si>
    <t>20066116</t>
  </si>
  <si>
    <t>400200661320</t>
  </si>
  <si>
    <t>20066132</t>
  </si>
  <si>
    <t>400200661177</t>
  </si>
  <si>
    <t>20066117</t>
  </si>
  <si>
    <t>400200661337</t>
  </si>
  <si>
    <t>20066133</t>
  </si>
  <si>
    <t>716838394173</t>
  </si>
  <si>
    <t>49540512</t>
  </si>
  <si>
    <t>6859523</t>
  </si>
  <si>
    <t>Taylor Grace 10K Gold Oval Fluted Hoop Earrings</t>
  </si>
  <si>
    <t>Taylor Grace</t>
  </si>
  <si>
    <t>10k Gold</t>
  </si>
  <si>
    <t>721357002058</t>
  </si>
  <si>
    <t>37687018</t>
  </si>
  <si>
    <t>6271522</t>
  </si>
  <si>
    <t>Men's Eddie Bauer Midweight Thermal Crew Top</t>
  </si>
  <si>
    <t>721357002256</t>
  </si>
  <si>
    <t>37687022</t>
  </si>
  <si>
    <t>721357002331</t>
  </si>
  <si>
    <t>37687040</t>
  </si>
  <si>
    <t>721357002065</t>
  </si>
  <si>
    <t>37687019</t>
  </si>
  <si>
    <t>721357002263</t>
  </si>
  <si>
    <t>37687028</t>
  </si>
  <si>
    <t>721357002300</t>
  </si>
  <si>
    <t>37687032</t>
  </si>
  <si>
    <t>721357002348</t>
  </si>
  <si>
    <t>37687041</t>
  </si>
  <si>
    <t>721357002270</t>
  </si>
  <si>
    <t>37687029</t>
  </si>
  <si>
    <t>721357002225</t>
  </si>
  <si>
    <t>37687020</t>
  </si>
  <si>
    <t>721357002355</t>
  </si>
  <si>
    <t>37687042</t>
  </si>
  <si>
    <t>195862016792</t>
  </si>
  <si>
    <t>58669965</t>
  </si>
  <si>
    <t>6046550</t>
  </si>
  <si>
    <t>Baby Girl Carter's 3-Piece Thanksgiving Bodysuit, Jumper &amp; Headband Set</t>
  </si>
  <si>
    <t>195862016785</t>
  </si>
  <si>
    <t>58669964</t>
  </si>
  <si>
    <t>195157056120</t>
  </si>
  <si>
    <t>55723262</t>
  </si>
  <si>
    <t>6824230</t>
  </si>
  <si>
    <t>Men's Sonoma Goods For Life® Crew Neck Sweater</t>
  </si>
  <si>
    <t>Blue Cream Marl</t>
  </si>
  <si>
    <t>195157056083</t>
  </si>
  <si>
    <t>86457181</t>
  </si>
  <si>
    <t>Dark Burgundy Heather</t>
  </si>
  <si>
    <t>195157056137</t>
  </si>
  <si>
    <t>55723263</t>
  </si>
  <si>
    <t>195157056144</t>
  </si>
  <si>
    <t>55723264</t>
  </si>
  <si>
    <t>195157056151</t>
  </si>
  <si>
    <t>55723265</t>
  </si>
  <si>
    <t>195157056168</t>
  </si>
  <si>
    <t>55723266</t>
  </si>
  <si>
    <t>196575365412</t>
  </si>
  <si>
    <t>76956779</t>
  </si>
  <si>
    <t>6172411</t>
  </si>
  <si>
    <t>196575365245</t>
  </si>
  <si>
    <t>76956780</t>
  </si>
  <si>
    <t>196575365177</t>
  </si>
  <si>
    <t>76956781</t>
  </si>
  <si>
    <t>196575365481</t>
  </si>
  <si>
    <t>76956782</t>
  </si>
  <si>
    <t>196219887379</t>
  </si>
  <si>
    <t>54584453</t>
  </si>
  <si>
    <t>6065079</t>
  </si>
  <si>
    <t>Boys 8-20 adidas AOP Fluidity Fleece Joggers</t>
  </si>
  <si>
    <t>Silver Green</t>
  </si>
  <si>
    <t>195365497326</t>
  </si>
  <si>
    <t>81852480</t>
  </si>
  <si>
    <t>6081506</t>
  </si>
  <si>
    <t>Girls 4-18 ZeroXposur Senka Snow Bib</t>
  </si>
  <si>
    <t>Mid Heather</t>
  </si>
  <si>
    <t>195365497265</t>
  </si>
  <si>
    <t>81852469</t>
  </si>
  <si>
    <t>195365497272</t>
  </si>
  <si>
    <t>81852470</t>
  </si>
  <si>
    <t>195365497333</t>
  </si>
  <si>
    <t>81852481</t>
  </si>
  <si>
    <t>197571297073</t>
  </si>
  <si>
    <t>68322818</t>
  </si>
  <si>
    <t>6664288</t>
  </si>
  <si>
    <t>Girls 4-16 Blueberi Boulevard 2-pc. Floral Bow Dress &amp; Knit Shrug Set</t>
  </si>
  <si>
    <t>197571297080</t>
  </si>
  <si>
    <t>68322828</t>
  </si>
  <si>
    <t>197571297097</t>
  </si>
  <si>
    <t>68322838</t>
  </si>
  <si>
    <t>197571297301</t>
  </si>
  <si>
    <t>68322848</t>
  </si>
  <si>
    <t>196572689467</t>
  </si>
  <si>
    <t>81938871</t>
  </si>
  <si>
    <t>5826738</t>
  </si>
  <si>
    <t>Light Mint</t>
  </si>
  <si>
    <t>721357465716</t>
  </si>
  <si>
    <t>37268023</t>
  </si>
  <si>
    <t>5744153</t>
  </si>
  <si>
    <t>Men's Eddie Bauer Baselayer Quarter-Zip Top</t>
  </si>
  <si>
    <t>721357465709</t>
  </si>
  <si>
    <t>37268028</t>
  </si>
  <si>
    <t>721357465693</t>
  </si>
  <si>
    <t>37268029</t>
  </si>
  <si>
    <t>400825153415</t>
  </si>
  <si>
    <t>82515341</t>
  </si>
  <si>
    <t>5035951</t>
  </si>
  <si>
    <t>Plus Size Croft &amp; Barrow® Essential Mockneck Top</t>
  </si>
  <si>
    <t>400825153408</t>
  </si>
  <si>
    <t>82515340</t>
  </si>
  <si>
    <t>400806120726</t>
  </si>
  <si>
    <t>80612072</t>
  </si>
  <si>
    <t>400867003594</t>
  </si>
  <si>
    <t>86700359</t>
  </si>
  <si>
    <t>400867003532</t>
  </si>
  <si>
    <t>86700353</t>
  </si>
  <si>
    <t>400806120733</t>
  </si>
  <si>
    <t>80612073</t>
  </si>
  <si>
    <t>400867003600</t>
  </si>
  <si>
    <t>86700360</t>
  </si>
  <si>
    <t>400867003549</t>
  </si>
  <si>
    <t>86700354</t>
  </si>
  <si>
    <t>400867003617</t>
  </si>
  <si>
    <t>86700361</t>
  </si>
  <si>
    <t>400867003556</t>
  </si>
  <si>
    <t>86700355</t>
  </si>
  <si>
    <t>400806120757</t>
  </si>
  <si>
    <t>80612075</t>
  </si>
  <si>
    <t>400867003624</t>
  </si>
  <si>
    <t>86700362</t>
  </si>
  <si>
    <t>400867003570</t>
  </si>
  <si>
    <t>86700357</t>
  </si>
  <si>
    <t>400806120764</t>
  </si>
  <si>
    <t>80612076</t>
  </si>
  <si>
    <t>400806120887</t>
  </si>
  <si>
    <t>80612088</t>
  </si>
  <si>
    <t>400806120825</t>
  </si>
  <si>
    <t>80612082</t>
  </si>
  <si>
    <t>400867003631</t>
  </si>
  <si>
    <t>86700363</t>
  </si>
  <si>
    <t>400867003587</t>
  </si>
  <si>
    <t>86700358</t>
  </si>
  <si>
    <t>195861980544</t>
  </si>
  <si>
    <t>66580917</t>
  </si>
  <si>
    <t>6074437</t>
  </si>
  <si>
    <t>Baby Carter's 2-Piece Plaid Button-Front Top &amp; Pant Set</t>
  </si>
  <si>
    <t>195861980506</t>
  </si>
  <si>
    <t>66580914</t>
  </si>
  <si>
    <t>195861980513</t>
  </si>
  <si>
    <t>66580915</t>
  </si>
  <si>
    <t>195861980520</t>
  </si>
  <si>
    <t>66580916</t>
  </si>
  <si>
    <t>195861980476</t>
  </si>
  <si>
    <t>66580906</t>
  </si>
  <si>
    <t>195861980483</t>
  </si>
  <si>
    <t>66580907</t>
  </si>
  <si>
    <t>400546702435</t>
  </si>
  <si>
    <t>54670243</t>
  </si>
  <si>
    <t>7081810</t>
  </si>
  <si>
    <t>Plus Size Tek Gear® Racerback Tank Top</t>
  </si>
  <si>
    <t>400546702534</t>
  </si>
  <si>
    <t>54670253</t>
  </si>
  <si>
    <t>400546702633</t>
  </si>
  <si>
    <t>54670263</t>
  </si>
  <si>
    <t>197178243466</t>
  </si>
  <si>
    <t>65055490</t>
  </si>
  <si>
    <t>6347212</t>
  </si>
  <si>
    <t>Plus Size Draper James Smocked Waist Midi Dress</t>
  </si>
  <si>
    <t>Cinnamon Floral</t>
  </si>
  <si>
    <t>197178243442</t>
  </si>
  <si>
    <t>65055491</t>
  </si>
  <si>
    <t>197178243459</t>
  </si>
  <si>
    <t>65055492</t>
  </si>
  <si>
    <t>Baby Boy Carter's 3-Piece Sherpa Jacket, Bodysuit &amp; Pants Set</t>
  </si>
  <si>
    <t>Plus Size Under Armour Rival Fleece Hoodie</t>
  </si>
  <si>
    <t>193916921542</t>
  </si>
  <si>
    <t>50674887</t>
  </si>
  <si>
    <t>6685084</t>
  </si>
  <si>
    <t>Toddler Girl Little Lass Sweaterdress, Stockings &amp; Headband Set</t>
  </si>
  <si>
    <t>Little Lass</t>
  </si>
  <si>
    <t>Clay</t>
  </si>
  <si>
    <t>193916921559</t>
  </si>
  <si>
    <t>50674894</t>
  </si>
  <si>
    <t>193916921566</t>
  </si>
  <si>
    <t>50674895</t>
  </si>
  <si>
    <t>193506102504</t>
  </si>
  <si>
    <t>70309949</t>
  </si>
  <si>
    <t>6615814</t>
  </si>
  <si>
    <t>14k Gold Mystic Fire Topaz Stud Earrings</t>
  </si>
  <si>
    <t>196027312360</t>
  </si>
  <si>
    <t>63520119</t>
  </si>
  <si>
    <t>6176752</t>
  </si>
  <si>
    <t>Toddler Boy Jurassic World &amp;#34;Jurassic Ombre&amp;#34; Microfleece Top &amp; Bottoms Pajama Set</t>
  </si>
  <si>
    <t>Jurassic</t>
  </si>
  <si>
    <t>196027312377</t>
  </si>
  <si>
    <t>63520124</t>
  </si>
  <si>
    <t>196027312384</t>
  </si>
  <si>
    <t>63520125</t>
  </si>
  <si>
    <t>Baby Girl Carter's 3-Piece Plaid Little Vest, Bodysuit, and Pant Set</t>
  </si>
  <si>
    <t>196128811731</t>
  </si>
  <si>
    <t>58102420</t>
  </si>
  <si>
    <t>6933081</t>
  </si>
  <si>
    <t>Plus Size Draper James Mid-Rise Skinny Jeans</t>
  </si>
  <si>
    <t>196128811694</t>
  </si>
  <si>
    <t>58102421</t>
  </si>
  <si>
    <t>196128811700</t>
  </si>
  <si>
    <t>58102422</t>
  </si>
  <si>
    <t>196128811717</t>
  </si>
  <si>
    <t>58102423</t>
  </si>
  <si>
    <t>196128811724</t>
  </si>
  <si>
    <t>58102424</t>
  </si>
  <si>
    <t>196128811601</t>
  </si>
  <si>
    <t>58102425</t>
  </si>
  <si>
    <t>400639130015</t>
  </si>
  <si>
    <t>63913001</t>
  </si>
  <si>
    <t>4487703</t>
  </si>
  <si>
    <t>Girls 4-12 Jumping Beans® Solid Leggings</t>
  </si>
  <si>
    <t>400639130022</t>
  </si>
  <si>
    <t>63913002</t>
  </si>
  <si>
    <t>400639130077</t>
  </si>
  <si>
    <t>63913007</t>
  </si>
  <si>
    <t>Girls 4-20 Bonnie Jean Santa Dress in Regular &amp; Plus Size</t>
  </si>
  <si>
    <t>196900120174</t>
  </si>
  <si>
    <t>76846072</t>
  </si>
  <si>
    <t>196900120273</t>
  </si>
  <si>
    <t>47636305</t>
  </si>
  <si>
    <t>196900120280</t>
  </si>
  <si>
    <t>47636306</t>
  </si>
  <si>
    <t>196900120396</t>
  </si>
  <si>
    <t>80629857</t>
  </si>
  <si>
    <t>400622142803</t>
  </si>
  <si>
    <t>62214280</t>
  </si>
  <si>
    <t>7081144</t>
  </si>
  <si>
    <t>Big &amp; Tall Tek Gear® Ultra Soft Crew Sweatshirt</t>
  </si>
  <si>
    <t>Grey Dark</t>
  </si>
  <si>
    <t>400622143305</t>
  </si>
  <si>
    <t>62214330</t>
  </si>
  <si>
    <t>400622143404</t>
  </si>
  <si>
    <t>62214340</t>
  </si>
  <si>
    <t>Alder Creek Gift Baskets Spring Outdoor Treats Gift Basket</t>
  </si>
  <si>
    <t>Alder Creek Gift Baskets</t>
  </si>
  <si>
    <t>None</t>
  </si>
  <si>
    <t>197026444571</t>
  </si>
  <si>
    <t>19531984</t>
  </si>
  <si>
    <t>6332941</t>
  </si>
  <si>
    <t>Baby &amp; Toddler Girl Jumping Beans® Sesame Street &amp;#34;Love&amp;#34; Sparkle Graphic Tee</t>
  </si>
  <si>
    <t>Dreamy Sage</t>
  </si>
  <si>
    <t>400487175336</t>
  </si>
  <si>
    <t>48717533</t>
  </si>
  <si>
    <t>3977494</t>
  </si>
  <si>
    <t>Women's Tek Gear® Essential High-Waisted Capri Leggings</t>
  </si>
  <si>
    <t>400487176036</t>
  </si>
  <si>
    <t>48717603</t>
  </si>
  <si>
    <t>000716866648</t>
  </si>
  <si>
    <t>65641855</t>
  </si>
  <si>
    <t>591</t>
  </si>
  <si>
    <t>6175024</t>
  </si>
  <si>
    <t>Girls 4-12 Cuddl Duds® Fleece Pajama Set</t>
  </si>
  <si>
    <t>Panda</t>
  </si>
  <si>
    <t>000716866709</t>
  </si>
  <si>
    <t>50630224</t>
  </si>
  <si>
    <t>Penguin</t>
  </si>
  <si>
    <t>Baby Girl Carter's Houndstooth Jacket, Bodysuit &amp; Pants Set</t>
  </si>
  <si>
    <t>196219069102</t>
  </si>
  <si>
    <t>55151817</t>
  </si>
  <si>
    <t>5559372</t>
  </si>
  <si>
    <t>Girls 7-16 adidas Regular-Fit Fleece Joggers</t>
  </si>
  <si>
    <t>Med Pink</t>
  </si>
  <si>
    <t>196219069119</t>
  </si>
  <si>
    <t>55151818</t>
  </si>
  <si>
    <t>195612331007</t>
  </si>
  <si>
    <t>18420896</t>
  </si>
  <si>
    <t>6902474</t>
  </si>
  <si>
    <t>Men's Haggar® Slim-Fit Smart Wash™ Wrinkle Free Dress Shirt</t>
  </si>
  <si>
    <t>Navy Floral Geo</t>
  </si>
  <si>
    <t>14.5-32/33</t>
  </si>
  <si>
    <t>195612330420</t>
  </si>
  <si>
    <t>65158646</t>
  </si>
  <si>
    <t>Burgundy Tan Check</t>
  </si>
  <si>
    <t>Spin Master Gabby's Dollhouse Bakey with Cakey Oven Kitchen Toy</t>
  </si>
  <si>
    <t>Spin Master</t>
  </si>
  <si>
    <t>190917467512</t>
  </si>
  <si>
    <t>82105710</t>
  </si>
  <si>
    <t>6494217</t>
  </si>
  <si>
    <t>Women's INTEMPO™ Diamonte Blazer</t>
  </si>
  <si>
    <t>197026452583</t>
  </si>
  <si>
    <t>37826394</t>
  </si>
  <si>
    <t>6333642</t>
  </si>
  <si>
    <t>Girls 4-12 Jumping Beans® L.O.L. Surprise &amp;#34;Bae Squad&amp;#34; Graphic Tee</t>
  </si>
  <si>
    <t>Marjorie Plum</t>
  </si>
  <si>
    <t>197026452590</t>
  </si>
  <si>
    <t>37826395</t>
  </si>
  <si>
    <t>197026452606</t>
  </si>
  <si>
    <t>37826396</t>
  </si>
  <si>
    <t>197026452613</t>
  </si>
  <si>
    <t>37826397</t>
  </si>
  <si>
    <t>197026452620</t>
  </si>
  <si>
    <t>37826404</t>
  </si>
  <si>
    <t>197026452668</t>
  </si>
  <si>
    <t>37826407</t>
  </si>
  <si>
    <t>196067392926</t>
  </si>
  <si>
    <t>61617011</t>
  </si>
  <si>
    <t>6107081</t>
  </si>
  <si>
    <t>Girls 7-16 Gaiam Hudson Tunic</t>
  </si>
  <si>
    <t>196067392889</t>
  </si>
  <si>
    <t>61617015</t>
  </si>
  <si>
    <t>Sweet Grape</t>
  </si>
  <si>
    <t>196067392841</t>
  </si>
  <si>
    <t>61617002</t>
  </si>
  <si>
    <t>196067392803</t>
  </si>
  <si>
    <t>61617006</t>
  </si>
  <si>
    <t>196067392858</t>
  </si>
  <si>
    <t>61617003</t>
  </si>
  <si>
    <t>196067392933</t>
  </si>
  <si>
    <t>61617012</t>
  </si>
  <si>
    <t>196067392810</t>
  </si>
  <si>
    <t>61617007</t>
  </si>
  <si>
    <t>196067392896</t>
  </si>
  <si>
    <t>61617016</t>
  </si>
  <si>
    <t>196067392865</t>
  </si>
  <si>
    <t>61617004</t>
  </si>
  <si>
    <t>196067392940</t>
  </si>
  <si>
    <t>61617013</t>
  </si>
  <si>
    <t>196067392827</t>
  </si>
  <si>
    <t>61617008</t>
  </si>
  <si>
    <t>196067392902</t>
  </si>
  <si>
    <t>61617017</t>
  </si>
  <si>
    <t>196067392957</t>
  </si>
  <si>
    <t>61617014</t>
  </si>
  <si>
    <t>196067392919</t>
  </si>
  <si>
    <t>61617018</t>
  </si>
  <si>
    <t>196067392872</t>
  </si>
  <si>
    <t>61617005</t>
  </si>
  <si>
    <t>196067392834</t>
  </si>
  <si>
    <t>61617009</t>
  </si>
  <si>
    <t>400298471474</t>
  </si>
  <si>
    <t>29847147</t>
  </si>
  <si>
    <t>6286406</t>
  </si>
  <si>
    <t>Women's Sonoma Goods For Life® Smocked Bodice Babydoll Top</t>
  </si>
  <si>
    <t>Burgundy Wine</t>
  </si>
  <si>
    <t>400804953630</t>
  </si>
  <si>
    <t>80495363</t>
  </si>
  <si>
    <t>Cream Floral</t>
  </si>
  <si>
    <t>400804953333</t>
  </si>
  <si>
    <t>80495333</t>
  </si>
  <si>
    <t>400298471481</t>
  </si>
  <si>
    <t>29847148</t>
  </si>
  <si>
    <t>400804953722</t>
  </si>
  <si>
    <t>80495372</t>
  </si>
  <si>
    <t>400804953425</t>
  </si>
  <si>
    <t>80495342</t>
  </si>
  <si>
    <t>400298471498</t>
  </si>
  <si>
    <t>29847149</t>
  </si>
  <si>
    <t>400804953739</t>
  </si>
  <si>
    <t>80495373</t>
  </si>
  <si>
    <t>400804953821</t>
  </si>
  <si>
    <t>80495382</t>
  </si>
  <si>
    <t>400298471504</t>
  </si>
  <si>
    <t>29847150</t>
  </si>
  <si>
    <t>400804953838</t>
  </si>
  <si>
    <t>80495383</t>
  </si>
  <si>
    <t>400298471511</t>
  </si>
  <si>
    <t>29847151</t>
  </si>
  <si>
    <t>400804953920</t>
  </si>
  <si>
    <t>80495392</t>
  </si>
  <si>
    <t>400804953623</t>
  </si>
  <si>
    <t>80495362</t>
  </si>
  <si>
    <t>400298471528</t>
  </si>
  <si>
    <t>29847152</t>
  </si>
  <si>
    <t>197178372241</t>
  </si>
  <si>
    <t>70263550</t>
  </si>
  <si>
    <t>6528167</t>
  </si>
  <si>
    <t>Juniors' SO® Keyhole Cutout Flutter Sleeve Sweater</t>
  </si>
  <si>
    <t>197178372326</t>
  </si>
  <si>
    <t>70263561</t>
  </si>
  <si>
    <t>197178372258</t>
  </si>
  <si>
    <t>70263551</t>
  </si>
  <si>
    <t>197178372302</t>
  </si>
  <si>
    <t>70263562</t>
  </si>
  <si>
    <t>197178372234</t>
  </si>
  <si>
    <t>70263552</t>
  </si>
  <si>
    <t>197178372296</t>
  </si>
  <si>
    <t>70263569</t>
  </si>
  <si>
    <t>197178372319</t>
  </si>
  <si>
    <t>70263570</t>
  </si>
  <si>
    <t>197178372272</t>
  </si>
  <si>
    <t>70263559</t>
  </si>
  <si>
    <t>197178372265</t>
  </si>
  <si>
    <t>70263560</t>
  </si>
  <si>
    <t>197178372289</t>
  </si>
  <si>
    <t>70263571</t>
  </si>
  <si>
    <t>825663854704</t>
  </si>
  <si>
    <t>30100077</t>
  </si>
  <si>
    <t>5725697</t>
  </si>
  <si>
    <t>Boys 8-20 Hurley Pinnacle Graphic Tee</t>
  </si>
  <si>
    <t>400379119400</t>
  </si>
  <si>
    <t>37911940</t>
  </si>
  <si>
    <t>6491083</t>
  </si>
  <si>
    <t>Plus Size LC Lauren Conrad Button Front Shirt</t>
  </si>
  <si>
    <t>400828578871</t>
  </si>
  <si>
    <t>82857887</t>
  </si>
  <si>
    <t>400379119417</t>
  </si>
  <si>
    <t>37911941</t>
  </si>
  <si>
    <t>400828578888</t>
  </si>
  <si>
    <t>82857888</t>
  </si>
  <si>
    <t>400379119424</t>
  </si>
  <si>
    <t>37911942</t>
  </si>
  <si>
    <t>400828578895</t>
  </si>
  <si>
    <t>82857889</t>
  </si>
  <si>
    <t>400828578901</t>
  </si>
  <si>
    <t>82857890</t>
  </si>
  <si>
    <t>400379119431</t>
  </si>
  <si>
    <t>37911943</t>
  </si>
  <si>
    <t>400379119486</t>
  </si>
  <si>
    <t>37911948</t>
  </si>
  <si>
    <t>400828578918</t>
  </si>
  <si>
    <t>82857891</t>
  </si>
  <si>
    <t>085142991263</t>
  </si>
  <si>
    <t>80787842</t>
  </si>
  <si>
    <t>5699131</t>
  </si>
  <si>
    <t>Men's Grand Slam Flat Front Horizontal Print Golf Shorts</t>
  </si>
  <si>
    <t>Midnight Sapphire</t>
  </si>
  <si>
    <t>085142991171</t>
  </si>
  <si>
    <t>80787830</t>
  </si>
  <si>
    <t>085142991089</t>
  </si>
  <si>
    <t>80787816</t>
  </si>
  <si>
    <t>085142991270</t>
  </si>
  <si>
    <t>80787843</t>
  </si>
  <si>
    <t>085142991287</t>
  </si>
  <si>
    <t>80787845</t>
  </si>
  <si>
    <t>085142991195</t>
  </si>
  <si>
    <t>80787833</t>
  </si>
  <si>
    <t>085142991201</t>
  </si>
  <si>
    <t>80787834</t>
  </si>
  <si>
    <t>085142991140</t>
  </si>
  <si>
    <t>80787825</t>
  </si>
  <si>
    <t>085142991232</t>
  </si>
  <si>
    <t>80787839</t>
  </si>
  <si>
    <t>085142991324</t>
  </si>
  <si>
    <t>80787851</t>
  </si>
  <si>
    <t>085142991249</t>
  </si>
  <si>
    <t>80787840</t>
  </si>
  <si>
    <t>Plus Size Columbia Copper Crest Mid Vest</t>
  </si>
  <si>
    <t>400441366770</t>
  </si>
  <si>
    <t>44136677</t>
  </si>
  <si>
    <t>7090361</t>
  </si>
  <si>
    <t>Juniors' SO® High-Rise Ponte Leggings</t>
  </si>
  <si>
    <t>400498773804</t>
  </si>
  <si>
    <t>49877380</t>
  </si>
  <si>
    <t>400460033202</t>
  </si>
  <si>
    <t>46003320</t>
  </si>
  <si>
    <t>Dark Brown Plaid</t>
  </si>
  <si>
    <t>400188395743</t>
  </si>
  <si>
    <t>18839574</t>
  </si>
  <si>
    <t>Black Red Plaid</t>
  </si>
  <si>
    <t>400441366787</t>
  </si>
  <si>
    <t>44136678</t>
  </si>
  <si>
    <t>400498773903</t>
  </si>
  <si>
    <t>49877390</t>
  </si>
  <si>
    <t>400498774009</t>
  </si>
  <si>
    <t>49877400</t>
  </si>
  <si>
    <t>400498774108</t>
  </si>
  <si>
    <t>49877410</t>
  </si>
  <si>
    <t>400498774207</t>
  </si>
  <si>
    <t>49877420</t>
  </si>
  <si>
    <t>400376696188</t>
  </si>
  <si>
    <t>37669618</t>
  </si>
  <si>
    <t>Brown And Black Plaid</t>
  </si>
  <si>
    <t>400498774306</t>
  </si>
  <si>
    <t>49877430</t>
  </si>
  <si>
    <t>400767863618</t>
  </si>
  <si>
    <t>76786361</t>
  </si>
  <si>
    <t>400703635118</t>
  </si>
  <si>
    <t>70363511</t>
  </si>
  <si>
    <t>400700918740</t>
  </si>
  <si>
    <t>70091874</t>
  </si>
  <si>
    <t>6824299</t>
  </si>
  <si>
    <t>Men's Apt. 9® Merino Wool Colorblock Crewneck Sweater</t>
  </si>
  <si>
    <t>Burgundy Colorblock</t>
  </si>
  <si>
    <t>400700918856</t>
  </si>
  <si>
    <t>70091885</t>
  </si>
  <si>
    <t>Blue Colorblock</t>
  </si>
  <si>
    <t>400700918757</t>
  </si>
  <si>
    <t>70091875</t>
  </si>
  <si>
    <t>400182224476</t>
  </si>
  <si>
    <t>18222447</t>
  </si>
  <si>
    <t>5578833</t>
  </si>
  <si>
    <t>Big &amp; Tall Apt. 9® Button-Down Tech Shirt</t>
  </si>
  <si>
    <t>400302316173</t>
  </si>
  <si>
    <t>30231617</t>
  </si>
  <si>
    <t>400302316258</t>
  </si>
  <si>
    <t>30231625</t>
  </si>
  <si>
    <t>Tawny Port</t>
  </si>
  <si>
    <t>400730675729</t>
  </si>
  <si>
    <t>73067572</t>
  </si>
  <si>
    <t>400730676016</t>
  </si>
  <si>
    <t>73067601</t>
  </si>
  <si>
    <t>400730675491</t>
  </si>
  <si>
    <t>73067549</t>
  </si>
  <si>
    <t>400182224483</t>
  </si>
  <si>
    <t>18222448</t>
  </si>
  <si>
    <t>400302316265</t>
  </si>
  <si>
    <t>30231626</t>
  </si>
  <si>
    <t>400730675507</t>
  </si>
  <si>
    <t>73067550</t>
  </si>
  <si>
    <t>400730676023</t>
  </si>
  <si>
    <t>73067602</t>
  </si>
  <si>
    <t>400730675798</t>
  </si>
  <si>
    <t>73067579</t>
  </si>
  <si>
    <t>886986214729</t>
  </si>
  <si>
    <t>50789307</t>
  </si>
  <si>
    <t>6285433</t>
  </si>
  <si>
    <t>Juniors' Plus Size Live To Be Spoiled Tee and Wide-Leg Jumpsuit Set</t>
  </si>
  <si>
    <t>Live To Be Spoiled</t>
  </si>
  <si>
    <t>886986214736</t>
  </si>
  <si>
    <t>50789314</t>
  </si>
  <si>
    <t>886986214743</t>
  </si>
  <si>
    <t>50789315</t>
  </si>
  <si>
    <t>196128959549</t>
  </si>
  <si>
    <t>54779517</t>
  </si>
  <si>
    <t>5991132</t>
  </si>
  <si>
    <t>Plus Size Draper James Plus Embroidered Baby Doll Dress</t>
  </si>
  <si>
    <t>Blue Embroidered</t>
  </si>
  <si>
    <t>196128959556</t>
  </si>
  <si>
    <t>54779518</t>
  </si>
  <si>
    <t>Petite Miss Elaine Essentials Silky Knit Short Nightgown</t>
  </si>
  <si>
    <t>195365502020</t>
  </si>
  <si>
    <t>58714439</t>
  </si>
  <si>
    <t>6110760</t>
  </si>
  <si>
    <t>Women's ZeroXposur Quilted Half Snap Pullover</t>
  </si>
  <si>
    <t>195365502105</t>
  </si>
  <si>
    <t>58714444</t>
  </si>
  <si>
    <t>Brick Dust</t>
  </si>
  <si>
    <t>195365508701</t>
  </si>
  <si>
    <t>29281111</t>
  </si>
  <si>
    <t>195365508541</t>
  </si>
  <si>
    <t>29281101</t>
  </si>
  <si>
    <t>195365502037</t>
  </si>
  <si>
    <t>58714440</t>
  </si>
  <si>
    <t>195365502112</t>
  </si>
  <si>
    <t>58714445</t>
  </si>
  <si>
    <t>195365508558</t>
  </si>
  <si>
    <t>29281107</t>
  </si>
  <si>
    <t>195365508718</t>
  </si>
  <si>
    <t>29281117</t>
  </si>
  <si>
    <t>195365502044</t>
  </si>
  <si>
    <t>58714441</t>
  </si>
  <si>
    <t>195365502129</t>
  </si>
  <si>
    <t>58714446</t>
  </si>
  <si>
    <t>195365508725</t>
  </si>
  <si>
    <t>29281118</t>
  </si>
  <si>
    <t>195365508565</t>
  </si>
  <si>
    <t>29281108</t>
  </si>
  <si>
    <t>195365502136</t>
  </si>
  <si>
    <t>58714447</t>
  </si>
  <si>
    <t>195365502051</t>
  </si>
  <si>
    <t>58714442</t>
  </si>
  <si>
    <t>195365508732</t>
  </si>
  <si>
    <t>29281119</t>
  </si>
  <si>
    <t>195365508572</t>
  </si>
  <si>
    <t>29281109</t>
  </si>
  <si>
    <t>195365502068</t>
  </si>
  <si>
    <t>58714443</t>
  </si>
  <si>
    <t>195365508589</t>
  </si>
  <si>
    <t>29281110</t>
  </si>
  <si>
    <t>400585990107</t>
  </si>
  <si>
    <t>58599010</t>
  </si>
  <si>
    <t>6491240</t>
  </si>
  <si>
    <t>Plus Size LC Lauren Conrad Shirttail-Hem Trench Coat</t>
  </si>
  <si>
    <t>400853722508</t>
  </si>
  <si>
    <t>85372250</t>
  </si>
  <si>
    <t>400853722560</t>
  </si>
  <si>
    <t>85372256</t>
  </si>
  <si>
    <t>400585990176</t>
  </si>
  <si>
    <t>58599017</t>
  </si>
  <si>
    <t>400853722577</t>
  </si>
  <si>
    <t>85372257</t>
  </si>
  <si>
    <t>400585990183</t>
  </si>
  <si>
    <t>58599018</t>
  </si>
  <si>
    <t>400853722584</t>
  </si>
  <si>
    <t>85372258</t>
  </si>
  <si>
    <t>400585990190</t>
  </si>
  <si>
    <t>58599019</t>
  </si>
  <si>
    <t>400853722591</t>
  </si>
  <si>
    <t>85372259</t>
  </si>
  <si>
    <t>196976205683</t>
  </si>
  <si>
    <t>58693816</t>
  </si>
  <si>
    <t>7081575</t>
  </si>
  <si>
    <t>Plus Size Nike Sportswear Club Fleece Joggers</t>
  </si>
  <si>
    <t>196976214814</t>
  </si>
  <si>
    <t>58693817</t>
  </si>
  <si>
    <t>196976218188</t>
  </si>
  <si>
    <t>58693818</t>
  </si>
  <si>
    <t>400805657759</t>
  </si>
  <si>
    <t>80565775</t>
  </si>
  <si>
    <t>7081062</t>
  </si>
  <si>
    <t>Women's Tek Gear® Maternity Ultrastretch 7/8 Leggings</t>
  </si>
  <si>
    <t>400291213279</t>
  </si>
  <si>
    <t>29121327</t>
  </si>
  <si>
    <t>400755754355</t>
  </si>
  <si>
    <t>75575435</t>
  </si>
  <si>
    <t>6114458</t>
  </si>
  <si>
    <t>Baby &amp; Toddler Little Co. by Lauren Conrad Organic Overshirt</t>
  </si>
  <si>
    <t>Soft Blue Plaid</t>
  </si>
  <si>
    <t>400755754577</t>
  </si>
  <si>
    <t>75575457</t>
  </si>
  <si>
    <t>Washed Black Plaid</t>
  </si>
  <si>
    <t>400755754461</t>
  </si>
  <si>
    <t>75575446</t>
  </si>
  <si>
    <t>Washed Red Stripe</t>
  </si>
  <si>
    <t>400755754362</t>
  </si>
  <si>
    <t>75575436</t>
  </si>
  <si>
    <t>400755754478</t>
  </si>
  <si>
    <t>75575447</t>
  </si>
  <si>
    <t>400755754485</t>
  </si>
  <si>
    <t>75575448</t>
  </si>
  <si>
    <t>400755754492</t>
  </si>
  <si>
    <t>75575449</t>
  </si>
  <si>
    <t>400755754393</t>
  </si>
  <si>
    <t>75575439</t>
  </si>
  <si>
    <t>400755754508</t>
  </si>
  <si>
    <t>75575450</t>
  </si>
  <si>
    <t>400755754515</t>
  </si>
  <si>
    <t>75575451</t>
  </si>
  <si>
    <t>196900155169</t>
  </si>
  <si>
    <t>56077251</t>
  </si>
  <si>
    <t>6393893</t>
  </si>
  <si>
    <t>Baby &amp; Toddler Girl Bonnie Jean Tutu Dress</t>
  </si>
  <si>
    <t>196900155183</t>
  </si>
  <si>
    <t>56077253</t>
  </si>
  <si>
    <t>196900155190</t>
  </si>
  <si>
    <t>56077254</t>
  </si>
  <si>
    <t>196900155213</t>
  </si>
  <si>
    <t>56077255</t>
  </si>
  <si>
    <t>196900155220</t>
  </si>
  <si>
    <t>56077256</t>
  </si>
  <si>
    <t>196327269951</t>
  </si>
  <si>
    <t>82087546</t>
  </si>
  <si>
    <t>6095227</t>
  </si>
  <si>
    <t>Girls 7-16 Nike 3BRAND by Russell Wilson &amp;#34;Born For This&amp;#34; Twist Front Long Sleeve Graphic Tee</t>
  </si>
  <si>
    <t>Nike 3BRAND</t>
  </si>
  <si>
    <t>Red Pink</t>
  </si>
  <si>
    <t>196327269906</t>
  </si>
  <si>
    <t>65903741</t>
  </si>
  <si>
    <t>196327269968</t>
  </si>
  <si>
    <t>82087547</t>
  </si>
  <si>
    <t>196327269920</t>
  </si>
  <si>
    <t>65903743</t>
  </si>
  <si>
    <t>196327269975</t>
  </si>
  <si>
    <t>82087554</t>
  </si>
  <si>
    <t>196327269937</t>
  </si>
  <si>
    <t>65903744</t>
  </si>
  <si>
    <t>196327269982</t>
  </si>
  <si>
    <t>82087555</t>
  </si>
  <si>
    <t>197178353943</t>
  </si>
  <si>
    <t>78116087</t>
  </si>
  <si>
    <t>6535459</t>
  </si>
  <si>
    <t>Plus Size Draper James Boucle Blazer</t>
  </si>
  <si>
    <t>White Boucle</t>
  </si>
  <si>
    <t>196884846275</t>
  </si>
  <si>
    <t>28248428</t>
  </si>
  <si>
    <t>6100698</t>
  </si>
  <si>
    <t>Plus Size Under Armour Train Cold-Weather Leggings</t>
  </si>
  <si>
    <t>Team Royal</t>
  </si>
  <si>
    <t>196884846282</t>
  </si>
  <si>
    <t>28248429</t>
  </si>
  <si>
    <t>196884846299</t>
  </si>
  <si>
    <t>28248431</t>
  </si>
  <si>
    <t>Men's Levi's® Classic Western Button-Down Shirt</t>
  </si>
  <si>
    <t>Norman Grey</t>
  </si>
  <si>
    <t>400720944521</t>
  </si>
  <si>
    <t>72094452</t>
  </si>
  <si>
    <t>6482292</t>
  </si>
  <si>
    <t>Plus Size Simply Vera Vera Wang Mixed Rib Long Sleeve Cozy Top</t>
  </si>
  <si>
    <t>Dark Gray Fox Heather</t>
  </si>
  <si>
    <t>400659016313</t>
  </si>
  <si>
    <t>65901631</t>
  </si>
  <si>
    <t>Terracotta Rose</t>
  </si>
  <si>
    <t>400659016436</t>
  </si>
  <si>
    <t>65901643</t>
  </si>
  <si>
    <t>400659016375</t>
  </si>
  <si>
    <t>65901637</t>
  </si>
  <si>
    <t>Alpine Frost</t>
  </si>
  <si>
    <t>400720944538</t>
  </si>
  <si>
    <t>72094453</t>
  </si>
  <si>
    <t>400659016382</t>
  </si>
  <si>
    <t>65901638</t>
  </si>
  <si>
    <t>400659016337</t>
  </si>
  <si>
    <t>65901633</t>
  </si>
  <si>
    <t>400659016443</t>
  </si>
  <si>
    <t>65901644</t>
  </si>
  <si>
    <t>400720944545</t>
  </si>
  <si>
    <t>72094454</t>
  </si>
  <si>
    <t>400659016399</t>
  </si>
  <si>
    <t>65901639</t>
  </si>
  <si>
    <t>400659016344</t>
  </si>
  <si>
    <t>65901634</t>
  </si>
  <si>
    <t>400659016450</t>
  </si>
  <si>
    <t>65901645</t>
  </si>
  <si>
    <t>400720944552</t>
  </si>
  <si>
    <t>72094455</t>
  </si>
  <si>
    <t>400659016351</t>
  </si>
  <si>
    <t>65901635</t>
  </si>
  <si>
    <t>400659016467</t>
  </si>
  <si>
    <t>65901646</t>
  </si>
  <si>
    <t>400720944569</t>
  </si>
  <si>
    <t>72094456</t>
  </si>
  <si>
    <t>400659016405</t>
  </si>
  <si>
    <t>65901640</t>
  </si>
  <si>
    <t>196095584959</t>
  </si>
  <si>
    <t>59059082</t>
  </si>
  <si>
    <t>6725084</t>
  </si>
  <si>
    <t>Juniors' Pink Republic Lace Trim Scoopneck Top</t>
  </si>
  <si>
    <t>Pink Republic</t>
  </si>
  <si>
    <t>Egret Butterflies</t>
  </si>
  <si>
    <t>196095585161</t>
  </si>
  <si>
    <t>71520815</t>
  </si>
  <si>
    <t>196095584966</t>
  </si>
  <si>
    <t>59059083</t>
  </si>
  <si>
    <t>196095584935</t>
  </si>
  <si>
    <t>59059080</t>
  </si>
  <si>
    <t>Purple Flower</t>
  </si>
  <si>
    <t>196095599380</t>
  </si>
  <si>
    <t>71520819</t>
  </si>
  <si>
    <t>Pink Nectar</t>
  </si>
  <si>
    <t>196095585178</t>
  </si>
  <si>
    <t>71520816</t>
  </si>
  <si>
    <t>196095584942</t>
  </si>
  <si>
    <t>59059081</t>
  </si>
  <si>
    <t>196095599397</t>
  </si>
  <si>
    <t>71520820</t>
  </si>
  <si>
    <t>196095584973</t>
  </si>
  <si>
    <t>59059090</t>
  </si>
  <si>
    <t>196095585185</t>
  </si>
  <si>
    <t>71520817</t>
  </si>
  <si>
    <t>400475414942</t>
  </si>
  <si>
    <t>47541494</t>
  </si>
  <si>
    <t>6638525</t>
  </si>
  <si>
    <t>Women's Croft &amp; Barrow® Textured Cardigan</t>
  </si>
  <si>
    <t>195365522028</t>
  </si>
  <si>
    <t>79285870</t>
  </si>
  <si>
    <t>6122996</t>
  </si>
  <si>
    <t>Boys 8-20 ZeroXposur Horizon Reversible Beanie Hat &amp; Winter Gloves Set</t>
  </si>
  <si>
    <t>Black Mid Heather</t>
  </si>
  <si>
    <t>S/M</t>
  </si>
  <si>
    <t>195365507001</t>
  </si>
  <si>
    <t>79285867</t>
  </si>
  <si>
    <t>Navy Mid Heather</t>
  </si>
  <si>
    <t>195365522042</t>
  </si>
  <si>
    <t>79285871</t>
  </si>
  <si>
    <t>L-XL</t>
  </si>
  <si>
    <t>195365507025</t>
  </si>
  <si>
    <t>79285869</t>
  </si>
  <si>
    <t>196064336282</t>
  </si>
  <si>
    <t>68749478</t>
  </si>
  <si>
    <t>6142570</t>
  </si>
  <si>
    <t>totes Alpine Mackenzie Toddler Girls' Winter Boots</t>
  </si>
  <si>
    <t>196064336299</t>
  </si>
  <si>
    <t>68749488</t>
  </si>
  <si>
    <t>196064336305</t>
  </si>
  <si>
    <t>68749498</t>
  </si>
  <si>
    <t>196064336312</t>
  </si>
  <si>
    <t>68749508</t>
  </si>
  <si>
    <t>3 MED</t>
  </si>
  <si>
    <t>196064336329</t>
  </si>
  <si>
    <t>68749518</t>
  </si>
  <si>
    <t>196064336336</t>
  </si>
  <si>
    <t>68749528</t>
  </si>
  <si>
    <t>196064336343</t>
  </si>
  <si>
    <t>68749538</t>
  </si>
  <si>
    <t>882882043449</t>
  </si>
  <si>
    <t>28203291</t>
  </si>
  <si>
    <t>4607132</t>
  </si>
  <si>
    <t>Big &amp; Tall adidas Striped Performance Golf Polo</t>
  </si>
  <si>
    <t>Carbon Black</t>
  </si>
  <si>
    <t>713610513814</t>
  </si>
  <si>
    <t>76914367</t>
  </si>
  <si>
    <t>6683153</t>
  </si>
  <si>
    <t>Women's Grand Slam Quarter-Zip Sun Protection Top</t>
  </si>
  <si>
    <t>Intersecting Streaks</t>
  </si>
  <si>
    <t>713610513821</t>
  </si>
  <si>
    <t>76914369</t>
  </si>
  <si>
    <t>713610513838</t>
  </si>
  <si>
    <t>76914370</t>
  </si>
  <si>
    <t>713610513845</t>
  </si>
  <si>
    <t>76914371</t>
  </si>
  <si>
    <t>713610513852</t>
  </si>
  <si>
    <t>76914372</t>
  </si>
  <si>
    <t>400634482768</t>
  </si>
  <si>
    <t>63448276</t>
  </si>
  <si>
    <t>6285661</t>
  </si>
  <si>
    <t>Baby Little Co. by Lauren Conrad Footed Pajamas with Grippers</t>
  </si>
  <si>
    <t>400634482669</t>
  </si>
  <si>
    <t>63448266</t>
  </si>
  <si>
    <t>400634482775</t>
  </si>
  <si>
    <t>63448277</t>
  </si>
  <si>
    <t>400634482676</t>
  </si>
  <si>
    <t>63448267</t>
  </si>
  <si>
    <t>196219874744</t>
  </si>
  <si>
    <t>54581643</t>
  </si>
  <si>
    <t>6062697</t>
  </si>
  <si>
    <t>Girls 7-16 adidas Mockneck French Terry Pullover</t>
  </si>
  <si>
    <t>196219874799</t>
  </si>
  <si>
    <t>54581683</t>
  </si>
  <si>
    <t>197117376750</t>
  </si>
  <si>
    <t>55895967</t>
  </si>
  <si>
    <t>6197037</t>
  </si>
  <si>
    <t>Men's Cuddl Duds® Midweight Cottonwear Performance Base Layer Pants</t>
  </si>
  <si>
    <t>Light Denim</t>
  </si>
  <si>
    <t>197117376811</t>
  </si>
  <si>
    <t>55895978</t>
  </si>
  <si>
    <t>197117376767</t>
  </si>
  <si>
    <t>55895968</t>
  </si>
  <si>
    <t>197117376873</t>
  </si>
  <si>
    <t>55895989</t>
  </si>
  <si>
    <t>197117376828</t>
  </si>
  <si>
    <t>55895979</t>
  </si>
  <si>
    <t>197117376774</t>
  </si>
  <si>
    <t>55895969</t>
  </si>
  <si>
    <t>043475124956</t>
  </si>
  <si>
    <t>73698228</t>
  </si>
  <si>
    <t>5971440</t>
  </si>
  <si>
    <t>Girls 4-12 Jacques Moret Dance Rhinestone Extended Sleeves Skirtall</t>
  </si>
  <si>
    <t>043475125878</t>
  </si>
  <si>
    <t>73698235</t>
  </si>
  <si>
    <t>Girls 7-16 Speechless Lace to Pleated High-Low Dress</t>
  </si>
  <si>
    <t>Speechless</t>
  </si>
  <si>
    <t>400655830258</t>
  </si>
  <si>
    <t>65583025</t>
  </si>
  <si>
    <t>5726930</t>
  </si>
  <si>
    <t>Petite Croft &amp; Barrow® Long Sleeve Mockneck Top</t>
  </si>
  <si>
    <t>Casting Blue</t>
  </si>
  <si>
    <t>400459785020</t>
  </si>
  <si>
    <t>45978502</t>
  </si>
  <si>
    <t>400459785037</t>
  </si>
  <si>
    <t>45978503</t>
  </si>
  <si>
    <t>400655830272</t>
  </si>
  <si>
    <t>65583027</t>
  </si>
  <si>
    <t>400459785044</t>
  </si>
  <si>
    <t>45978504</t>
  </si>
  <si>
    <t>594</t>
  </si>
  <si>
    <t>400655830333</t>
  </si>
  <si>
    <t>65583033</t>
  </si>
  <si>
    <t>400459785051</t>
  </si>
  <si>
    <t>45978505</t>
  </si>
  <si>
    <t>638</t>
  </si>
  <si>
    <t>400655830340</t>
  </si>
  <si>
    <t>65583034</t>
  </si>
  <si>
    <t>400459785068</t>
  </si>
  <si>
    <t>45978506</t>
  </si>
  <si>
    <t>400655830357</t>
  </si>
  <si>
    <t>65583035</t>
  </si>
  <si>
    <t>400459785075</t>
  </si>
  <si>
    <t>45978507</t>
  </si>
  <si>
    <t>400189679606</t>
  </si>
  <si>
    <t>18967960</t>
  </si>
  <si>
    <t>400515773145</t>
  </si>
  <si>
    <t>51577314</t>
  </si>
  <si>
    <t>6516781</t>
  </si>
  <si>
    <t>Petite LC Lauren Conrad Button Front Ruffle Blouse</t>
  </si>
  <si>
    <t>400459979917</t>
  </si>
  <si>
    <t>45997991</t>
  </si>
  <si>
    <t>400469146385</t>
  </si>
  <si>
    <t>46914638</t>
  </si>
  <si>
    <t>Baby Boy Carter's Bodysuit, Pants &amp; Vest Set</t>
  </si>
  <si>
    <t>Yellow Blue Stripe</t>
  </si>
  <si>
    <t>191684705043</t>
  </si>
  <si>
    <t>54521494</t>
  </si>
  <si>
    <t>5635456</t>
  </si>
  <si>
    <t>Men's Wrangler ATG Stretch Regular-Fit 5-Pocket Pants</t>
  </si>
  <si>
    <t>191684706910</t>
  </si>
  <si>
    <t>54521535</t>
  </si>
  <si>
    <t>Kamik Kids Timber Girls' Waterproof Rain Boots</t>
  </si>
  <si>
    <t>028266915289</t>
  </si>
  <si>
    <t>63104308</t>
  </si>
  <si>
    <t>6092742</t>
  </si>
  <si>
    <t>Petite Size Miss Elaine Essentials Quilt Long Zipper Robe</t>
  </si>
  <si>
    <t>028266915982</t>
  </si>
  <si>
    <t>75436168</t>
  </si>
  <si>
    <t>6093015</t>
  </si>
  <si>
    <t>028266916019</t>
  </si>
  <si>
    <t>75436175</t>
  </si>
  <si>
    <t>Women's Under Armour Tech High-Waisted Leggings</t>
  </si>
  <si>
    <t>Tempered Steel</t>
  </si>
  <si>
    <t>400651602958</t>
  </si>
  <si>
    <t>65160295</t>
  </si>
  <si>
    <t>6520082</t>
  </si>
  <si>
    <t>Girls 6-20 SO® Mesh Top &amp; Cami Tank Top Set</t>
  </si>
  <si>
    <t>Turqouise Check</t>
  </si>
  <si>
    <t>400651602453</t>
  </si>
  <si>
    <t>65160245</t>
  </si>
  <si>
    <t>400651602644</t>
  </si>
  <si>
    <t>65160264</t>
  </si>
  <si>
    <t>Pink Butterfly</t>
  </si>
  <si>
    <t>400651602835</t>
  </si>
  <si>
    <t>65160283</t>
  </si>
  <si>
    <t>Teal Ombre</t>
  </si>
  <si>
    <t>400651602538</t>
  </si>
  <si>
    <t>65160253</t>
  </si>
  <si>
    <t>400651602651</t>
  </si>
  <si>
    <t>65160265</t>
  </si>
  <si>
    <t>400651602842</t>
  </si>
  <si>
    <t>65160284</t>
  </si>
  <si>
    <t>400651603030</t>
  </si>
  <si>
    <t>65160303</t>
  </si>
  <si>
    <t>400651602545</t>
  </si>
  <si>
    <t>65160254</t>
  </si>
  <si>
    <t>400651602736</t>
  </si>
  <si>
    <t>65160273</t>
  </si>
  <si>
    <t>400651602859</t>
  </si>
  <si>
    <t>65160285</t>
  </si>
  <si>
    <t>400651603047</t>
  </si>
  <si>
    <t>65160304</t>
  </si>
  <si>
    <t>400651602552</t>
  </si>
  <si>
    <t>65160255</t>
  </si>
  <si>
    <t>400651602743</t>
  </si>
  <si>
    <t>65160274</t>
  </si>
  <si>
    <t>400651602934</t>
  </si>
  <si>
    <t>65160293</t>
  </si>
  <si>
    <t>400651603054</t>
  </si>
  <si>
    <t>65160305</t>
  </si>
  <si>
    <t>285</t>
  </si>
  <si>
    <t>400651602750</t>
  </si>
  <si>
    <t>65160275</t>
  </si>
  <si>
    <t>400651602941</t>
  </si>
  <si>
    <t>65160294</t>
  </si>
  <si>
    <t>400651603139</t>
  </si>
  <si>
    <t>65160313</t>
  </si>
  <si>
    <t>400651602637</t>
  </si>
  <si>
    <t>65160263</t>
  </si>
  <si>
    <t>400332028169</t>
  </si>
  <si>
    <t>33202816</t>
  </si>
  <si>
    <t>400332028381</t>
  </si>
  <si>
    <t>33202838</t>
  </si>
  <si>
    <t>400332027995</t>
  </si>
  <si>
    <t>33202799</t>
  </si>
  <si>
    <t>400332028275</t>
  </si>
  <si>
    <t>33202827</t>
  </si>
  <si>
    <t>400332028176</t>
  </si>
  <si>
    <t>33202817</t>
  </si>
  <si>
    <t>400332028398</t>
  </si>
  <si>
    <t>33202839</t>
  </si>
  <si>
    <t>400332028060</t>
  </si>
  <si>
    <t>33202806</t>
  </si>
  <si>
    <t>400332028282</t>
  </si>
  <si>
    <t>33202828</t>
  </si>
  <si>
    <t>400332028183</t>
  </si>
  <si>
    <t>33202818</t>
  </si>
  <si>
    <t>400332028077</t>
  </si>
  <si>
    <t>33202807</t>
  </si>
  <si>
    <t>400332028299</t>
  </si>
  <si>
    <t>33202829</t>
  </si>
  <si>
    <t>400332028466</t>
  </si>
  <si>
    <t>33202846</t>
  </si>
  <si>
    <t>400332028190</t>
  </si>
  <si>
    <t>33202819</t>
  </si>
  <si>
    <t>400332028367</t>
  </si>
  <si>
    <t>33202836</t>
  </si>
  <si>
    <t>400332028084</t>
  </si>
  <si>
    <t>33202808</t>
  </si>
  <si>
    <t>400332028473</t>
  </si>
  <si>
    <t>33202847</t>
  </si>
  <si>
    <t>400332028374</t>
  </si>
  <si>
    <t>33202837</t>
  </si>
  <si>
    <t>400332028268</t>
  </si>
  <si>
    <t>33202826</t>
  </si>
  <si>
    <t>400332028480</t>
  </si>
  <si>
    <t>33202848</t>
  </si>
  <si>
    <t>400332028091</t>
  </si>
  <si>
    <t>33202809</t>
  </si>
  <si>
    <t>Baby Girls Carter's Floral Hooded Zip-Up Fleece Jumpsuit</t>
  </si>
  <si>
    <t>400786528123</t>
  </si>
  <si>
    <t>78652812</t>
  </si>
  <si>
    <t>6110701</t>
  </si>
  <si>
    <t>Women's Croft &amp; Barrow® The Extra Soft Cabled Crew Neck Sweater</t>
  </si>
  <si>
    <t>400786528130</t>
  </si>
  <si>
    <t>78652813</t>
  </si>
  <si>
    <t>400786528147</t>
  </si>
  <si>
    <t>78652814</t>
  </si>
  <si>
    <t>400786528154</t>
  </si>
  <si>
    <t>78652815</t>
  </si>
  <si>
    <t>400786528161</t>
  </si>
  <si>
    <t>78652816</t>
  </si>
  <si>
    <t>400786528192</t>
  </si>
  <si>
    <t>78652819</t>
  </si>
  <si>
    <t>190917466560</t>
  </si>
  <si>
    <t>83255054</t>
  </si>
  <si>
    <t>6494255</t>
  </si>
  <si>
    <t>Plus Size INTEMPO™ Tie-Front Sweater</t>
  </si>
  <si>
    <t>190917466638</t>
  </si>
  <si>
    <t>83255058</t>
  </si>
  <si>
    <t>190917466577</t>
  </si>
  <si>
    <t>83255055</t>
  </si>
  <si>
    <t>190917466522</t>
  </si>
  <si>
    <t>83255053</t>
  </si>
  <si>
    <t>190917466584</t>
  </si>
  <si>
    <t>83255056</t>
  </si>
  <si>
    <t>196067391332</t>
  </si>
  <si>
    <t>74404890</t>
  </si>
  <si>
    <t>6651662</t>
  </si>
  <si>
    <t>Girls 7-16 Gaiam Om High-Rise Crossover 7/8 Leggings</t>
  </si>
  <si>
    <t>196067391349</t>
  </si>
  <si>
    <t>74404891</t>
  </si>
  <si>
    <t>196067391356</t>
  </si>
  <si>
    <t>74404892</t>
  </si>
  <si>
    <t>195861990796</t>
  </si>
  <si>
    <t>63110309</t>
  </si>
  <si>
    <t>6061168</t>
  </si>
  <si>
    <t>Girls 4-14 Carter's Leopard Print Long Sleeve Dress</t>
  </si>
  <si>
    <t>195861990802</t>
  </si>
  <si>
    <t>63110310</t>
  </si>
  <si>
    <t>195861990826</t>
  </si>
  <si>
    <t>63110312</t>
  </si>
  <si>
    <t>195861990819</t>
  </si>
  <si>
    <t>63110311</t>
  </si>
  <si>
    <t>195861990765</t>
  </si>
  <si>
    <t>63110318</t>
  </si>
  <si>
    <t>195861990772</t>
  </si>
  <si>
    <t>63110319</t>
  </si>
  <si>
    <t>197178254080</t>
  </si>
  <si>
    <t>65072972</t>
  </si>
  <si>
    <t>6358368</t>
  </si>
  <si>
    <t>Plus Size Draper James Long Sleeve Cinched Waist Midi Dress</t>
  </si>
  <si>
    <t>Black Pink Ditsy</t>
  </si>
  <si>
    <t>196900154742</t>
  </si>
  <si>
    <t>54954868</t>
  </si>
  <si>
    <t>6393889</t>
  </si>
  <si>
    <t>Baby &amp; Toddler Girl Bonnie Jean Jacquard Babydoll Dress</t>
  </si>
  <si>
    <t>196900154766</t>
  </si>
  <si>
    <t>54954869</t>
  </si>
  <si>
    <t>196900154773</t>
  </si>
  <si>
    <t>54954870</t>
  </si>
  <si>
    <t>825664004801</t>
  </si>
  <si>
    <t>80809014</t>
  </si>
  <si>
    <t>5609292</t>
  </si>
  <si>
    <t>Girls 7-16 Nike 3BRAND &amp;#34;Level Up!&amp;#34; Fleece Hoodie by Russell Wilson</t>
  </si>
  <si>
    <t>400379859887</t>
  </si>
  <si>
    <t>37985988</t>
  </si>
  <si>
    <t>7081324</t>
  </si>
  <si>
    <t>Plus Size LC Lauren Conrad Tie Front Ruffled V-Neck Shell</t>
  </si>
  <si>
    <t>Dazzle Orchid</t>
  </si>
  <si>
    <t>400379859894</t>
  </si>
  <si>
    <t>37985989</t>
  </si>
  <si>
    <t>400379859900</t>
  </si>
  <si>
    <t>37985990</t>
  </si>
  <si>
    <t>400702173727</t>
  </si>
  <si>
    <t>70217372</t>
  </si>
  <si>
    <t>5975431</t>
  </si>
  <si>
    <t>Men's Sonoma Goods For Life® 7&amp;#34; Everyday Textured Twill Pull-On Shorts</t>
  </si>
  <si>
    <t>400658407983</t>
  </si>
  <si>
    <t>65840798</t>
  </si>
  <si>
    <t>Sailor Water</t>
  </si>
  <si>
    <t>400469454473</t>
  </si>
  <si>
    <t>46945447</t>
  </si>
  <si>
    <t>889602777387</t>
  </si>
  <si>
    <t>68755364</t>
  </si>
  <si>
    <t>6360739</t>
  </si>
  <si>
    <t>Plus Size Croft &amp; Barrow® Crewneck Twofer Sweater</t>
  </si>
  <si>
    <t>889602777448</t>
  </si>
  <si>
    <t>68755375</t>
  </si>
  <si>
    <t>889602777264</t>
  </si>
  <si>
    <t>68755337</t>
  </si>
  <si>
    <t>889602777271</t>
  </si>
  <si>
    <t>68755343</t>
  </si>
  <si>
    <t>889602777332</t>
  </si>
  <si>
    <t>68755354</t>
  </si>
  <si>
    <t>Black Blue Stripe</t>
  </si>
  <si>
    <t>889602777394</t>
  </si>
  <si>
    <t>68755365</t>
  </si>
  <si>
    <t>889602777455</t>
  </si>
  <si>
    <t>68755376</t>
  </si>
  <si>
    <t>889602777288</t>
  </si>
  <si>
    <t>68755344</t>
  </si>
  <si>
    <t>889602777349</t>
  </si>
  <si>
    <t>68755355</t>
  </si>
  <si>
    <t>889602777400</t>
  </si>
  <si>
    <t>68755366</t>
  </si>
  <si>
    <t>889602777462</t>
  </si>
  <si>
    <t>68755377</t>
  </si>
  <si>
    <t>889602777479</t>
  </si>
  <si>
    <t>68755383</t>
  </si>
  <si>
    <t>889602777295</t>
  </si>
  <si>
    <t>68755345</t>
  </si>
  <si>
    <t>889602777356</t>
  </si>
  <si>
    <t>68755356</t>
  </si>
  <si>
    <t>889602777417</t>
  </si>
  <si>
    <t>68755367</t>
  </si>
  <si>
    <t>889602777424</t>
  </si>
  <si>
    <t>68755373</t>
  </si>
  <si>
    <t>889602777486</t>
  </si>
  <si>
    <t>68755384</t>
  </si>
  <si>
    <t>889602777301</t>
  </si>
  <si>
    <t>68755346</t>
  </si>
  <si>
    <t>889602777370</t>
  </si>
  <si>
    <t>68755363</t>
  </si>
  <si>
    <t>889602777431</t>
  </si>
  <si>
    <t>68755374</t>
  </si>
  <si>
    <t>889602777493</t>
  </si>
  <si>
    <t>68755385</t>
  </si>
  <si>
    <t>889602777318</t>
  </si>
  <si>
    <t>68755347</t>
  </si>
  <si>
    <t>713610513968</t>
  </si>
  <si>
    <t>65853732</t>
  </si>
  <si>
    <t>6683372</t>
  </si>
  <si>
    <t>Women's Grand Slam Colorblock Golf Mini Dress</t>
  </si>
  <si>
    <t>713610513975</t>
  </si>
  <si>
    <t>65853733</t>
  </si>
  <si>
    <t>713610513982</t>
  </si>
  <si>
    <t>65853734</t>
  </si>
  <si>
    <t>713610513999</t>
  </si>
  <si>
    <t>65853735</t>
  </si>
  <si>
    <t>713610514002</t>
  </si>
  <si>
    <t>65853736</t>
  </si>
  <si>
    <t>400806316471</t>
  </si>
  <si>
    <t>80631647</t>
  </si>
  <si>
    <t>6530618</t>
  </si>
  <si>
    <t>Women's Croft &amp; Barrow® Woven Popover Tunic</t>
  </si>
  <si>
    <t>Tan Furnish Stripe</t>
  </si>
  <si>
    <t>194434523669</t>
  </si>
  <si>
    <t>27786187</t>
  </si>
  <si>
    <t>6307972</t>
  </si>
  <si>
    <t>Converse Chuck Taylor All Star Move Winter Essential Girls' Platform Sneakers</t>
  </si>
  <si>
    <t>Beach Stone</t>
  </si>
  <si>
    <t>194434523683</t>
  </si>
  <si>
    <t>27786188</t>
  </si>
  <si>
    <t>194434523706</t>
  </si>
  <si>
    <t>27786189</t>
  </si>
  <si>
    <t>194434523638</t>
  </si>
  <si>
    <t>27786196</t>
  </si>
  <si>
    <t>196067391042</t>
  </si>
  <si>
    <t>44121642</t>
  </si>
  <si>
    <t>6107222</t>
  </si>
  <si>
    <t>Girls 7-16 Gaiam Hudson Wrap Cardigan</t>
  </si>
  <si>
    <t>196067391080</t>
  </si>
  <si>
    <t>44121654</t>
  </si>
  <si>
    <t>196067391127</t>
  </si>
  <si>
    <t>44121650</t>
  </si>
  <si>
    <t>196067391059</t>
  </si>
  <si>
    <t>44121643</t>
  </si>
  <si>
    <t>196067391011</t>
  </si>
  <si>
    <t>44121647</t>
  </si>
  <si>
    <t>196067391141</t>
  </si>
  <si>
    <t>44121652</t>
  </si>
  <si>
    <t>196067391028</t>
  </si>
  <si>
    <t>44121648</t>
  </si>
  <si>
    <t>196067391073</t>
  </si>
  <si>
    <t>44121645</t>
  </si>
  <si>
    <t>196067391158</t>
  </si>
  <si>
    <t>44121653</t>
  </si>
  <si>
    <t>196067391035</t>
  </si>
  <si>
    <t>44121649</t>
  </si>
  <si>
    <t>Sterling Silver Lab-Created Opal, Swiss Blue Topaz, &amp; Diamond Accent Pendant Necklace</t>
  </si>
  <si>
    <t>400866832485</t>
  </si>
  <si>
    <t>86683248</t>
  </si>
  <si>
    <t>6491085</t>
  </si>
  <si>
    <t>Plus Size LC Lauren Conrad Long Sleeve Ruched Front V-Neck Top</t>
  </si>
  <si>
    <t>400379771134</t>
  </si>
  <si>
    <t>37977113</t>
  </si>
  <si>
    <t>400480559881</t>
  </si>
  <si>
    <t>48055988</t>
  </si>
  <si>
    <t>400866832539</t>
  </si>
  <si>
    <t>86683253</t>
  </si>
  <si>
    <t>400866832492</t>
  </si>
  <si>
    <t>86683249</t>
  </si>
  <si>
    <t>400379771141</t>
  </si>
  <si>
    <t>37977114</t>
  </si>
  <si>
    <t>400480559898</t>
  </si>
  <si>
    <t>48055989</t>
  </si>
  <si>
    <t>400866832546</t>
  </si>
  <si>
    <t>86683254</t>
  </si>
  <si>
    <t>400480559904</t>
  </si>
  <si>
    <t>48055990</t>
  </si>
  <si>
    <t>400379771158</t>
  </si>
  <si>
    <t>37977115</t>
  </si>
  <si>
    <t>400866832553</t>
  </si>
  <si>
    <t>86683255</t>
  </si>
  <si>
    <t>400866832508</t>
  </si>
  <si>
    <t>86683250</t>
  </si>
  <si>
    <t>400480559911</t>
  </si>
  <si>
    <t>48055991</t>
  </si>
  <si>
    <t>400866832577</t>
  </si>
  <si>
    <t>86683257</t>
  </si>
  <si>
    <t>400379771165</t>
  </si>
  <si>
    <t>37977116</t>
  </si>
  <si>
    <t>400866832515</t>
  </si>
  <si>
    <t>86683251</t>
  </si>
  <si>
    <t>400480559928</t>
  </si>
  <si>
    <t>48055992</t>
  </si>
  <si>
    <t>400866832584</t>
  </si>
  <si>
    <t>86683258</t>
  </si>
  <si>
    <t>400379771172</t>
  </si>
  <si>
    <t>37977117</t>
  </si>
  <si>
    <t>400866832522</t>
  </si>
  <si>
    <t>86683252</t>
  </si>
  <si>
    <t>197868373534</t>
  </si>
  <si>
    <t>58970031</t>
  </si>
  <si>
    <t>6794712</t>
  </si>
  <si>
    <t>Men's Levi's® Relaxed Long Sleeve Graphic Tee</t>
  </si>
  <si>
    <t>Charcoal Bear</t>
  </si>
  <si>
    <t>197868372773</t>
  </si>
  <si>
    <t>30153987</t>
  </si>
  <si>
    <t>197868373527</t>
  </si>
  <si>
    <t>58970032</t>
  </si>
  <si>
    <t>197868373510</t>
  </si>
  <si>
    <t>58970033</t>
  </si>
  <si>
    <t>197868373565</t>
  </si>
  <si>
    <t>58970041</t>
  </si>
  <si>
    <t>197178373446</t>
  </si>
  <si>
    <t>72524297</t>
  </si>
  <si>
    <t>6528171</t>
  </si>
  <si>
    <t>Juniors' SO® Cropped Mixed Stripe Shirt</t>
  </si>
  <si>
    <t>Tan White</t>
  </si>
  <si>
    <t>197178373408</t>
  </si>
  <si>
    <t>72524293</t>
  </si>
  <si>
    <t>Blue White</t>
  </si>
  <si>
    <t>197178373453</t>
  </si>
  <si>
    <t>72524298</t>
  </si>
  <si>
    <t>196027312407</t>
  </si>
  <si>
    <t>72529605</t>
  </si>
  <si>
    <t>6176750</t>
  </si>
  <si>
    <t>Disney's Mickey Mouse Toddler Boy Retro Pajama Set</t>
  </si>
  <si>
    <t>Mickey</t>
  </si>
  <si>
    <t>Men's Christmas Vacation Fleece Pajama Pants</t>
  </si>
  <si>
    <t>197394092268</t>
  </si>
  <si>
    <t>47900685</t>
  </si>
  <si>
    <t>197394092275</t>
  </si>
  <si>
    <t>47900686</t>
  </si>
  <si>
    <t>194931339794</t>
  </si>
  <si>
    <t>86307636</t>
  </si>
  <si>
    <t>5523607</t>
  </si>
  <si>
    <t>Girls 4-16 IZOD Stretch Ruffle Blouse in Regular &amp; Plus Size</t>
  </si>
  <si>
    <t>194931339787</t>
  </si>
  <si>
    <t>86307676</t>
  </si>
  <si>
    <t>XL 16</t>
  </si>
  <si>
    <t>194931339800</t>
  </si>
  <si>
    <t>86307626</t>
  </si>
  <si>
    <t>XXS (4-5)</t>
  </si>
  <si>
    <t>194931336267</t>
  </si>
  <si>
    <t>58003412</t>
  </si>
  <si>
    <t>194931336243</t>
  </si>
  <si>
    <t>58003411</t>
  </si>
  <si>
    <t>14-16 PLUS</t>
  </si>
  <si>
    <t>400188067411</t>
  </si>
  <si>
    <t>18806741</t>
  </si>
  <si>
    <t>6265455</t>
  </si>
  <si>
    <t>Women's Sonoma Goods For Life® Adaptive Easy Dressing Essential Flannel Shirt</t>
  </si>
  <si>
    <t>400188067473</t>
  </si>
  <si>
    <t>18806747</t>
  </si>
  <si>
    <t>400188067428</t>
  </si>
  <si>
    <t>18806742</t>
  </si>
  <si>
    <t>400188067480</t>
  </si>
  <si>
    <t>18806748</t>
  </si>
  <si>
    <t>400188067435</t>
  </si>
  <si>
    <t>18806743</t>
  </si>
  <si>
    <t>400188067497</t>
  </si>
  <si>
    <t>18806749</t>
  </si>
  <si>
    <t>400188067442</t>
  </si>
  <si>
    <t>18806744</t>
  </si>
  <si>
    <t>400188067466</t>
  </si>
  <si>
    <t>18806746</t>
  </si>
  <si>
    <t>889602791499</t>
  </si>
  <si>
    <t>65549285</t>
  </si>
  <si>
    <t>6516646</t>
  </si>
  <si>
    <t>Plus Size Simply Vera Vera Wang Tie Waist Tie Dye Pullover Top</t>
  </si>
  <si>
    <t>Teracotta Rose</t>
  </si>
  <si>
    <t>889602791505</t>
  </si>
  <si>
    <t>65549286</t>
  </si>
  <si>
    <t>REEF Stargazer Baby/Toddler Sandals</t>
  </si>
  <si>
    <t>Pineapple Rainbow</t>
  </si>
  <si>
    <t>400806092283</t>
  </si>
  <si>
    <t>80609228</t>
  </si>
  <si>
    <t>7081558</t>
  </si>
  <si>
    <t>Plus Size Tek Gear® Ultrastretch High-Waisted Side Pocket 7/8 Leggings</t>
  </si>
  <si>
    <t>197178343111</t>
  </si>
  <si>
    <t>80604839</t>
  </si>
  <si>
    <t>6493822</t>
  </si>
  <si>
    <t>Women's INTEMPO™ Sweetheart Ribbed Sweater</t>
  </si>
  <si>
    <t>197178343142</t>
  </si>
  <si>
    <t>80604840</t>
  </si>
  <si>
    <t>197178343043</t>
  </si>
  <si>
    <t>80604835</t>
  </si>
  <si>
    <t>197178343128</t>
  </si>
  <si>
    <t>80604841</t>
  </si>
  <si>
    <t>400824797658</t>
  </si>
  <si>
    <t>82479765</t>
  </si>
  <si>
    <t>6370232</t>
  </si>
  <si>
    <t>Black Sweet Nonna</t>
  </si>
  <si>
    <t>400770016018</t>
  </si>
  <si>
    <t>77001601</t>
  </si>
  <si>
    <t>Ballerina Dance</t>
  </si>
  <si>
    <t>400824797665</t>
  </si>
  <si>
    <t>82479766</t>
  </si>
  <si>
    <t>400770016025</t>
  </si>
  <si>
    <t>77001602</t>
  </si>
  <si>
    <t>400824797672</t>
  </si>
  <si>
    <t>82479767</t>
  </si>
  <si>
    <t>400770016049</t>
  </si>
  <si>
    <t>77001604</t>
  </si>
  <si>
    <t>400824797689</t>
  </si>
  <si>
    <t>82479768</t>
  </si>
  <si>
    <t>400770016056</t>
  </si>
  <si>
    <t>77001605</t>
  </si>
  <si>
    <t>400770015998</t>
  </si>
  <si>
    <t>77001599</t>
  </si>
  <si>
    <t>Maroon Heart</t>
  </si>
  <si>
    <t>400824797696</t>
  </si>
  <si>
    <t>82479769</t>
  </si>
  <si>
    <t>400770016063</t>
  </si>
  <si>
    <t>77001606</t>
  </si>
  <si>
    <t>400770016001</t>
  </si>
  <si>
    <t>77001600</t>
  </si>
  <si>
    <t>196575365368</t>
  </si>
  <si>
    <t>28180714</t>
  </si>
  <si>
    <t>716838394463</t>
  </si>
  <si>
    <t>68772342</t>
  </si>
  <si>
    <t>6860647</t>
  </si>
  <si>
    <t>Forever 14K 14k Gold Cluster Heart Stud Earrings</t>
  </si>
  <si>
    <t>400834839638</t>
  </si>
  <si>
    <t>83483963</t>
  </si>
  <si>
    <t>6320231</t>
  </si>
  <si>
    <t>Maternity Sonoma Goods For Life® Over-The-Belly Ponte Pants</t>
  </si>
  <si>
    <t>400703811130</t>
  </si>
  <si>
    <t>70381113</t>
  </si>
  <si>
    <t>Gray Houndstooth</t>
  </si>
  <si>
    <t>400703811147</t>
  </si>
  <si>
    <t>70381114</t>
  </si>
  <si>
    <t>400703811154</t>
  </si>
  <si>
    <t>70381115</t>
  </si>
  <si>
    <t>400703811161</t>
  </si>
  <si>
    <t>70381116</t>
  </si>
  <si>
    <t>400703811178</t>
  </si>
  <si>
    <t>70381117</t>
  </si>
  <si>
    <t>400703811185</t>
  </si>
  <si>
    <t>70381118</t>
  </si>
  <si>
    <t>713610128124</t>
  </si>
  <si>
    <t>18223074</t>
  </si>
  <si>
    <t>6131072</t>
  </si>
  <si>
    <t>Women's Grand Slam Sleeveless Golf Polo Dress</t>
  </si>
  <si>
    <t>713610128131</t>
  </si>
  <si>
    <t>18223075</t>
  </si>
  <si>
    <t>713610128155</t>
  </si>
  <si>
    <t>18223077</t>
  </si>
  <si>
    <t>400832637663</t>
  </si>
  <si>
    <t>83263766</t>
  </si>
  <si>
    <t>6286712</t>
  </si>
  <si>
    <t>Men's Sonoma Goods For Life® Heavy Weight Flannel Shirt</t>
  </si>
  <si>
    <t>Large Plaid Khaki</t>
  </si>
  <si>
    <t>400506989760</t>
  </si>
  <si>
    <t>50698976</t>
  </si>
  <si>
    <t>400506989654</t>
  </si>
  <si>
    <t>50698965</t>
  </si>
  <si>
    <t>400864250069</t>
  </si>
  <si>
    <t>86425006</t>
  </si>
  <si>
    <t>400592453770</t>
  </si>
  <si>
    <t>59245377</t>
  </si>
  <si>
    <t>6889930</t>
  </si>
  <si>
    <t>Aqua Stone</t>
  </si>
  <si>
    <t>400592453787</t>
  </si>
  <si>
    <t>59245378</t>
  </si>
  <si>
    <t>349</t>
  </si>
  <si>
    <t>400592453824</t>
  </si>
  <si>
    <t>59245382</t>
  </si>
  <si>
    <t>Ardent Pink</t>
  </si>
  <si>
    <t>400592453794</t>
  </si>
  <si>
    <t>59245379</t>
  </si>
  <si>
    <t>459</t>
  </si>
  <si>
    <t>400592453831</t>
  </si>
  <si>
    <t>59245383</t>
  </si>
  <si>
    <t>400592453848</t>
  </si>
  <si>
    <t>59245384</t>
  </si>
  <si>
    <t>400592453763</t>
  </si>
  <si>
    <t>59245376</t>
  </si>
  <si>
    <t>400592453886</t>
  </si>
  <si>
    <t>59245388</t>
  </si>
  <si>
    <t>400592453800</t>
  </si>
  <si>
    <t>59245380</t>
  </si>
  <si>
    <t>400592453725</t>
  </si>
  <si>
    <t>59245372</t>
  </si>
  <si>
    <t>Prestigious Green</t>
  </si>
  <si>
    <t>Women's Grand Slam Essential Tennis Tank Top</t>
  </si>
  <si>
    <t>713610375320</t>
  </si>
  <si>
    <t>75436256</t>
  </si>
  <si>
    <t>Pink Glo</t>
  </si>
  <si>
    <t>713610130523</t>
  </si>
  <si>
    <t>75436226</t>
  </si>
  <si>
    <t>713610375269</t>
  </si>
  <si>
    <t>75436246</t>
  </si>
  <si>
    <t>Deep Periwinkle</t>
  </si>
  <si>
    <t>713610375337</t>
  </si>
  <si>
    <t>75436258</t>
  </si>
  <si>
    <t>713610375283</t>
  </si>
  <si>
    <t>75436253</t>
  </si>
  <si>
    <t>713610375344</t>
  </si>
  <si>
    <t>75436264</t>
  </si>
  <si>
    <t>713610375351</t>
  </si>
  <si>
    <t>75436263</t>
  </si>
  <si>
    <t>713610375306</t>
  </si>
  <si>
    <t>75436255</t>
  </si>
  <si>
    <t>713610375368</t>
  </si>
  <si>
    <t>75436265</t>
  </si>
  <si>
    <t>196039672032</t>
  </si>
  <si>
    <t>46875669</t>
  </si>
  <si>
    <t>5556480</t>
  </si>
  <si>
    <t>Women's Under Armour Camo Rival Fleece Crew Sweatshirt</t>
  </si>
  <si>
    <t>196039672742</t>
  </si>
  <si>
    <t>46875675</t>
  </si>
  <si>
    <t>196039672056</t>
  </si>
  <si>
    <t>46875670</t>
  </si>
  <si>
    <t>196039672735</t>
  </si>
  <si>
    <t>46875676</t>
  </si>
  <si>
    <t>195157055772</t>
  </si>
  <si>
    <t>71766343</t>
  </si>
  <si>
    <t>6824226</t>
  </si>
  <si>
    <t>Men's Sonoma Goods For Life® Quarter-Zip Sweater</t>
  </si>
  <si>
    <t>Ice Heather</t>
  </si>
  <si>
    <t>195157055970</t>
  </si>
  <si>
    <t>30006123</t>
  </si>
  <si>
    <t>195157055871</t>
  </si>
  <si>
    <t>37703720</t>
  </si>
  <si>
    <t>195157056069</t>
  </si>
  <si>
    <t>30006153</t>
  </si>
  <si>
    <t>Rust Orange</t>
  </si>
  <si>
    <t>400792038142</t>
  </si>
  <si>
    <t>79203814</t>
  </si>
  <si>
    <t>6622540</t>
  </si>
  <si>
    <t>Petite LC Lauren Conrad Button Front Ruffle Top</t>
  </si>
  <si>
    <t>400785709950</t>
  </si>
  <si>
    <t>78570995</t>
  </si>
  <si>
    <t>Light Wash Chambray</t>
  </si>
  <si>
    <t>400792038159</t>
  </si>
  <si>
    <t>79203815</t>
  </si>
  <si>
    <t>400785709967</t>
  </si>
  <si>
    <t>78570996</t>
  </si>
  <si>
    <t>400792038166</t>
  </si>
  <si>
    <t>79203816</t>
  </si>
  <si>
    <t>400792038173</t>
  </si>
  <si>
    <t>79203817</t>
  </si>
  <si>
    <t>Men's Under Armour Specialist Fleece Quarter Zip</t>
  </si>
  <si>
    <t>Colorado Sage</t>
  </si>
  <si>
    <t>400806139650</t>
  </si>
  <si>
    <t>80613965</t>
  </si>
  <si>
    <t>6508455</t>
  </si>
  <si>
    <t>Girls 6-20 SO® Long Sleeve Seamed Top in Regular &amp; Plus Size</t>
  </si>
  <si>
    <t>400806139759</t>
  </si>
  <si>
    <t>80613975</t>
  </si>
  <si>
    <t>400806139704</t>
  </si>
  <si>
    <t>80613970</t>
  </si>
  <si>
    <t>400806139667</t>
  </si>
  <si>
    <t>80613966</t>
  </si>
  <si>
    <t>400806139766</t>
  </si>
  <si>
    <t>80613976</t>
  </si>
  <si>
    <t>400806139711</t>
  </si>
  <si>
    <t>80613971</t>
  </si>
  <si>
    <t>400806139674</t>
  </si>
  <si>
    <t>80613967</t>
  </si>
  <si>
    <t>400806139773</t>
  </si>
  <si>
    <t>80613977</t>
  </si>
  <si>
    <t>400806139728</t>
  </si>
  <si>
    <t>80613972</t>
  </si>
  <si>
    <t>400806139681</t>
  </si>
  <si>
    <t>80613968</t>
  </si>
  <si>
    <t>400806139780</t>
  </si>
  <si>
    <t>80613978</t>
  </si>
  <si>
    <t>400806139735</t>
  </si>
  <si>
    <t>80613973</t>
  </si>
  <si>
    <t>400806139698</t>
  </si>
  <si>
    <t>80613969</t>
  </si>
  <si>
    <t>400806139797</t>
  </si>
  <si>
    <t>80613979</t>
  </si>
  <si>
    <t>400806139742</t>
  </si>
  <si>
    <t>80613974</t>
  </si>
  <si>
    <t>400300114979</t>
  </si>
  <si>
    <t>30011497</t>
  </si>
  <si>
    <t>400300114894</t>
  </si>
  <si>
    <t>30011489</t>
  </si>
  <si>
    <t>400300115020</t>
  </si>
  <si>
    <t>30011502</t>
  </si>
  <si>
    <t>400300114986</t>
  </si>
  <si>
    <t>30011498</t>
  </si>
  <si>
    <t>400300114900</t>
  </si>
  <si>
    <t>30011490</t>
  </si>
  <si>
    <t>400300115051</t>
  </si>
  <si>
    <t>30011505</t>
  </si>
  <si>
    <t>400300114993</t>
  </si>
  <si>
    <t>30011499</t>
  </si>
  <si>
    <t>400300114917</t>
  </si>
  <si>
    <t>30011491</t>
  </si>
  <si>
    <t>400300115075</t>
  </si>
  <si>
    <t>30011507</t>
  </si>
  <si>
    <t>400300114924</t>
  </si>
  <si>
    <t>30011492</t>
  </si>
  <si>
    <t>400300115082</t>
  </si>
  <si>
    <t>30011508</t>
  </si>
  <si>
    <t>400300115006</t>
  </si>
  <si>
    <t>30011500</t>
  </si>
  <si>
    <t>400300114955</t>
  </si>
  <si>
    <t>30011495</t>
  </si>
  <si>
    <t>400300115099</t>
  </si>
  <si>
    <t>30011509</t>
  </si>
  <si>
    <t>400300115013</t>
  </si>
  <si>
    <t>30011501</t>
  </si>
  <si>
    <t>190917467031</t>
  </si>
  <si>
    <t>83449027</t>
  </si>
  <si>
    <t>7081234</t>
  </si>
  <si>
    <t>Women's INTEMPO Twist-Front Crop Shirt</t>
  </si>
  <si>
    <t>Snake Print</t>
  </si>
  <si>
    <t>190917451740</t>
  </si>
  <si>
    <t>76965407</t>
  </si>
  <si>
    <t>190917467048</t>
  </si>
  <si>
    <t>83449028</t>
  </si>
  <si>
    <t>190917466034</t>
  </si>
  <si>
    <t>83449035</t>
  </si>
  <si>
    <t>190917467055</t>
  </si>
  <si>
    <t>83449029</t>
  </si>
  <si>
    <t>190917466096</t>
  </si>
  <si>
    <t>83449041</t>
  </si>
  <si>
    <t>190917466102</t>
  </si>
  <si>
    <t>83449042</t>
  </si>
  <si>
    <t>190917466119</t>
  </si>
  <si>
    <t>83449043</t>
  </si>
  <si>
    <t>190917467086</t>
  </si>
  <si>
    <t>83449032</t>
  </si>
  <si>
    <t>195861936176</t>
  </si>
  <si>
    <t>30074948</t>
  </si>
  <si>
    <t>5988488</t>
  </si>
  <si>
    <t>Baby Little Planet by Carter's Sweater Knit Button-Front Sleeveless Jumpsuit</t>
  </si>
  <si>
    <t>195861936145</t>
  </si>
  <si>
    <t>30074950</t>
  </si>
  <si>
    <t>195861936138</t>
  </si>
  <si>
    <t>30074949</t>
  </si>
  <si>
    <t>195861936152</t>
  </si>
  <si>
    <t>30074951</t>
  </si>
  <si>
    <t>195861936107</t>
  </si>
  <si>
    <t>30074952</t>
  </si>
  <si>
    <t>195861936114</t>
  </si>
  <si>
    <t>30074953</t>
  </si>
  <si>
    <t>195861936121</t>
  </si>
  <si>
    <t>30074954</t>
  </si>
  <si>
    <t>400459958592</t>
  </si>
  <si>
    <t>45995859</t>
  </si>
  <si>
    <t>6310961</t>
  </si>
  <si>
    <t>Plus Size Nine West Mock Neck Cozy Pullover Sweater</t>
  </si>
  <si>
    <t>Cocoa Hut</t>
  </si>
  <si>
    <t>400767360742</t>
  </si>
  <si>
    <t>76736074</t>
  </si>
  <si>
    <t>Inviting Red</t>
  </si>
  <si>
    <t>400459958608</t>
  </si>
  <si>
    <t>45995860</t>
  </si>
  <si>
    <t>400767360759</t>
  </si>
  <si>
    <t>76736075</t>
  </si>
  <si>
    <t>400557958814</t>
  </si>
  <si>
    <t>55795881</t>
  </si>
  <si>
    <t>400459958615</t>
  </si>
  <si>
    <t>45995861</t>
  </si>
  <si>
    <t>400557958913</t>
  </si>
  <si>
    <t>55795891</t>
  </si>
  <si>
    <t>400767360766</t>
  </si>
  <si>
    <t>76736076</t>
  </si>
  <si>
    <t>400459958622</t>
  </si>
  <si>
    <t>45995862</t>
  </si>
  <si>
    <t>400783939540</t>
  </si>
  <si>
    <t>78393954</t>
  </si>
  <si>
    <t>6252022</t>
  </si>
  <si>
    <t>Baby &amp; Toddler Little Co. by Lauren Conrad Organic Corduroy Overalls</t>
  </si>
  <si>
    <t>400783939472</t>
  </si>
  <si>
    <t>78393947</t>
  </si>
  <si>
    <t>Balsa Wood</t>
  </si>
  <si>
    <t>400783939557</t>
  </si>
  <si>
    <t>78393955</t>
  </si>
  <si>
    <t>400783939489</t>
  </si>
  <si>
    <t>78393948</t>
  </si>
  <si>
    <t>400783939564</t>
  </si>
  <si>
    <t>78393956</t>
  </si>
  <si>
    <t>400783939496</t>
  </si>
  <si>
    <t>78393949</t>
  </si>
  <si>
    <t>400783939502</t>
  </si>
  <si>
    <t>78393950</t>
  </si>
  <si>
    <t>400783939571</t>
  </si>
  <si>
    <t>78393957</t>
  </si>
  <si>
    <t>195861298434</t>
  </si>
  <si>
    <t>59271631</t>
  </si>
  <si>
    <t>6524972</t>
  </si>
  <si>
    <t>Baby Boy Carter's Rocket Ship Tee &amp; Jogger Pants Set</t>
  </si>
  <si>
    <t>Gray Space</t>
  </si>
  <si>
    <t>195861298441</t>
  </si>
  <si>
    <t>59271632</t>
  </si>
  <si>
    <t>195862011674</t>
  </si>
  <si>
    <t>28199157</t>
  </si>
  <si>
    <t>6045958</t>
  </si>
  <si>
    <t>Baby Girl Carter's Plaid Shacket</t>
  </si>
  <si>
    <t>195862011643</t>
  </si>
  <si>
    <t>28199159</t>
  </si>
  <si>
    <t>195862011636</t>
  </si>
  <si>
    <t>28199158</t>
  </si>
  <si>
    <t>195862011650</t>
  </si>
  <si>
    <t>28199161</t>
  </si>
  <si>
    <t>400655102270</t>
  </si>
  <si>
    <t>65510227</t>
  </si>
  <si>
    <t>6125449</t>
  </si>
  <si>
    <t>Women's Sonoma Goods For Life® Raglan Sweater</t>
  </si>
  <si>
    <t>400655102331</t>
  </si>
  <si>
    <t>65510233</t>
  </si>
  <si>
    <t>400655101839</t>
  </si>
  <si>
    <t>65510183</t>
  </si>
  <si>
    <t>Tan Ivory</t>
  </si>
  <si>
    <t>OshKosh B’gosh® Julia Toddler Girls' Loafers</t>
  </si>
  <si>
    <t>840132330725</t>
  </si>
  <si>
    <t>38662137</t>
  </si>
  <si>
    <t>6621666</t>
  </si>
  <si>
    <t>Men's Caliville Mixed-Fabric Fleece Hoodie</t>
  </si>
  <si>
    <t>840132330527</t>
  </si>
  <si>
    <t>38662154</t>
  </si>
  <si>
    <t>840132330428</t>
  </si>
  <si>
    <t>19159979</t>
  </si>
  <si>
    <t>Denim</t>
  </si>
  <si>
    <t>840132330732</t>
  </si>
  <si>
    <t>38662136</t>
  </si>
  <si>
    <t>840132330534</t>
  </si>
  <si>
    <t>38662147</t>
  </si>
  <si>
    <t>840132330435</t>
  </si>
  <si>
    <t>19159978</t>
  </si>
  <si>
    <t>840132330749</t>
  </si>
  <si>
    <t>38662135</t>
  </si>
  <si>
    <t>840132330541</t>
  </si>
  <si>
    <t>38662146</t>
  </si>
  <si>
    <t>840132330442</t>
  </si>
  <si>
    <t>19159977</t>
  </si>
  <si>
    <t>840132330565</t>
  </si>
  <si>
    <t>38662156</t>
  </si>
  <si>
    <t>196027314531</t>
  </si>
  <si>
    <t>30049517</t>
  </si>
  <si>
    <t>6239016</t>
  </si>
  <si>
    <t>Disney Princess Girls 4-8 Ruffle Shoulder Nightgown</t>
  </si>
  <si>
    <t>196027314548</t>
  </si>
  <si>
    <t>30049518</t>
  </si>
  <si>
    <t>867</t>
  </si>
  <si>
    <t>196027314555</t>
  </si>
  <si>
    <t>30049519</t>
  </si>
  <si>
    <t>Men's Levi's® 511™ Slim-Fit Flex Jeans</t>
  </si>
  <si>
    <t>Armored Snail Dx Adv</t>
  </si>
  <si>
    <t>Sea Angel Adv</t>
  </si>
  <si>
    <t>The Banks</t>
  </si>
  <si>
    <t>Dark Indigo Worn In</t>
  </si>
  <si>
    <t>400746489495</t>
  </si>
  <si>
    <t>74648949</t>
  </si>
  <si>
    <t>6307455</t>
  </si>
  <si>
    <t>Plus Size Croft &amp; Barrow® Double Breasted Jacket</t>
  </si>
  <si>
    <t>400479013066</t>
  </si>
  <si>
    <t>47901306</t>
  </si>
  <si>
    <t>Black White Plaid</t>
  </si>
  <si>
    <t>400746489518</t>
  </si>
  <si>
    <t>74648951</t>
  </si>
  <si>
    <t>400652491001</t>
  </si>
  <si>
    <t>65249100</t>
  </si>
  <si>
    <t>400803946497</t>
  </si>
  <si>
    <t>80394649</t>
  </si>
  <si>
    <t>400652491063</t>
  </si>
  <si>
    <t>65249106</t>
  </si>
  <si>
    <t>400652491070</t>
  </si>
  <si>
    <t>65249107</t>
  </si>
  <si>
    <t>400803946503</t>
  </si>
  <si>
    <t>80394650</t>
  </si>
  <si>
    <t>400652491018</t>
  </si>
  <si>
    <t>65249101</t>
  </si>
  <si>
    <t>400652491087</t>
  </si>
  <si>
    <t>65249108</t>
  </si>
  <si>
    <t>400803946510</t>
  </si>
  <si>
    <t>80394651</t>
  </si>
  <si>
    <t>400652491025</t>
  </si>
  <si>
    <t>65249102</t>
  </si>
  <si>
    <t>400479013073</t>
  </si>
  <si>
    <t>47901307</t>
  </si>
  <si>
    <t>400819153049</t>
  </si>
  <si>
    <t>81915304</t>
  </si>
  <si>
    <t>400819153056</t>
  </si>
  <si>
    <t>81915305</t>
  </si>
  <si>
    <t>400746489501</t>
  </si>
  <si>
    <t>74648950</t>
  </si>
  <si>
    <t>400746489525</t>
  </si>
  <si>
    <t>74648952</t>
  </si>
  <si>
    <t>Men's Wrangler ATG Reinforced Utility Pants</t>
  </si>
  <si>
    <t>191684709201</t>
  </si>
  <si>
    <t>75564755</t>
  </si>
  <si>
    <t>191684710054</t>
  </si>
  <si>
    <t>86491988</t>
  </si>
  <si>
    <t>191684709515</t>
  </si>
  <si>
    <t>75564763</t>
  </si>
  <si>
    <t>191684710511</t>
  </si>
  <si>
    <t>86491991</t>
  </si>
  <si>
    <t>400740059212</t>
  </si>
  <si>
    <t>74005921</t>
  </si>
  <si>
    <t>6257955</t>
  </si>
  <si>
    <t>Plus Size Tek Gear® Ultrasoft Fleece Cowl Sweatshirt</t>
  </si>
  <si>
    <t>400703779485</t>
  </si>
  <si>
    <t>70377948</t>
  </si>
  <si>
    <t>400740059229</t>
  </si>
  <si>
    <t>74005922</t>
  </si>
  <si>
    <t>400703779492</t>
  </si>
  <si>
    <t>70377949</t>
  </si>
  <si>
    <t>400740059298</t>
  </si>
  <si>
    <t>74005929</t>
  </si>
  <si>
    <t>400703779508</t>
  </si>
  <si>
    <t>70377950</t>
  </si>
  <si>
    <t>400703779515</t>
  </si>
  <si>
    <t>70377951</t>
  </si>
  <si>
    <t>400740059304</t>
  </si>
  <si>
    <t>74005930</t>
  </si>
  <si>
    <t>400807437632</t>
  </si>
  <si>
    <t>80743763</t>
  </si>
  <si>
    <t>5674422</t>
  </si>
  <si>
    <t>Boys 8-20 Tek Gear® Essential Fleece Pullover Hoodie in Regular &amp; Husky</t>
  </si>
  <si>
    <t>400818533699</t>
  </si>
  <si>
    <t>81853369</t>
  </si>
  <si>
    <t>Athletic Heather Gray</t>
  </si>
  <si>
    <t>400818533514</t>
  </si>
  <si>
    <t>81853351</t>
  </si>
  <si>
    <t>400710376141</t>
  </si>
  <si>
    <t>71037614</t>
  </si>
  <si>
    <t>400807437649</t>
  </si>
  <si>
    <t>80743764</t>
  </si>
  <si>
    <t>491</t>
  </si>
  <si>
    <t>400818533705</t>
  </si>
  <si>
    <t>81853370</t>
  </si>
  <si>
    <t>400807437656</t>
  </si>
  <si>
    <t>80743765</t>
  </si>
  <si>
    <t>400807437663</t>
  </si>
  <si>
    <t>80743766</t>
  </si>
  <si>
    <t>196067392964</t>
  </si>
  <si>
    <t>76977295</t>
  </si>
  <si>
    <t>6107079</t>
  </si>
  <si>
    <t>Girls 7-16 Gaiam Short Sleeve Tee</t>
  </si>
  <si>
    <t>196067391486</t>
  </si>
  <si>
    <t>76911065</t>
  </si>
  <si>
    <t>Peach Pearl</t>
  </si>
  <si>
    <t>196067391523</t>
  </si>
  <si>
    <t>76911060</t>
  </si>
  <si>
    <t>196067393008</t>
  </si>
  <si>
    <t>76977290</t>
  </si>
  <si>
    <t>Stone Blue</t>
  </si>
  <si>
    <t>196067392971</t>
  </si>
  <si>
    <t>76977296</t>
  </si>
  <si>
    <t>196067393015</t>
  </si>
  <si>
    <t>76977291</t>
  </si>
  <si>
    <t>196067391493</t>
  </si>
  <si>
    <t>76911066</t>
  </si>
  <si>
    <t>196067391530</t>
  </si>
  <si>
    <t>76911061</t>
  </si>
  <si>
    <t>196067392988</t>
  </si>
  <si>
    <t>76977297</t>
  </si>
  <si>
    <t>196067393022</t>
  </si>
  <si>
    <t>76977292</t>
  </si>
  <si>
    <t>196067391509</t>
  </si>
  <si>
    <t>76911067</t>
  </si>
  <si>
    <t>196067391547</t>
  </si>
  <si>
    <t>76911062</t>
  </si>
  <si>
    <t>196067393039</t>
  </si>
  <si>
    <t>76977294</t>
  </si>
  <si>
    <t>196067391516</t>
  </si>
  <si>
    <t>76911069</t>
  </si>
  <si>
    <t>196067391554</t>
  </si>
  <si>
    <t>76911064</t>
  </si>
  <si>
    <t>196067392995</t>
  </si>
  <si>
    <t>76977299</t>
  </si>
  <si>
    <t>197394092213</t>
  </si>
  <si>
    <t>18160171</t>
  </si>
  <si>
    <t>6301853</t>
  </si>
  <si>
    <t>Men's Grogu Christmas Fleece Pajama Pants</t>
  </si>
  <si>
    <t>197026359745</t>
  </si>
  <si>
    <t>70250048</t>
  </si>
  <si>
    <t>6346383</t>
  </si>
  <si>
    <t>Boys 4-12 Jumping Beans® Star Wars Droids Raglan Graphic Hoodie</t>
  </si>
  <si>
    <t>417766117007</t>
  </si>
  <si>
    <t>34069956</t>
  </si>
  <si>
    <t>4515762</t>
  </si>
  <si>
    <t>LeapFrog Blue's Clues &amp; You! Blue Learning Watch</t>
  </si>
  <si>
    <t>195157065115</t>
  </si>
  <si>
    <t>64999062</t>
  </si>
  <si>
    <t>6315455</t>
  </si>
  <si>
    <t>Women's Nine West Half Zip Patterened Pullover Sweater</t>
  </si>
  <si>
    <t>Camel Leopard</t>
  </si>
  <si>
    <t>195157065122</t>
  </si>
  <si>
    <t>64999068</t>
  </si>
  <si>
    <t>195157065139</t>
  </si>
  <si>
    <t>64999069</t>
  </si>
  <si>
    <t>Plus Size Columbia Benton Springs Full-Zip Fleece Jacket</t>
  </si>
  <si>
    <t>195862122608</t>
  </si>
  <si>
    <t>50022524</t>
  </si>
  <si>
    <t>6185245</t>
  </si>
  <si>
    <t>Baby Boy Carter's Sherpa Cardigan, Bodysuit &amp; Jeans Set</t>
  </si>
  <si>
    <t>195862122561</t>
  </si>
  <si>
    <t>50022528</t>
  </si>
  <si>
    <t>195862122585</t>
  </si>
  <si>
    <t>50022530</t>
  </si>
  <si>
    <t>195862122530</t>
  </si>
  <si>
    <t>50022531</t>
  </si>
  <si>
    <t>195862122547</t>
  </si>
  <si>
    <t>50022532</t>
  </si>
  <si>
    <t>400183002509</t>
  </si>
  <si>
    <t>18300250</t>
  </si>
  <si>
    <t>6890667</t>
  </si>
  <si>
    <t>Plus Size Sonoma Goods For Life® Pleated Wide Leg Pants</t>
  </si>
  <si>
    <t>Dalton Khaki</t>
  </si>
  <si>
    <t>400183002462</t>
  </si>
  <si>
    <t>18300246</t>
  </si>
  <si>
    <t>400183002493</t>
  </si>
  <si>
    <t>18300249</t>
  </si>
  <si>
    <t>400183002448</t>
  </si>
  <si>
    <t>18300244</t>
  </si>
  <si>
    <t>Women's adidas Printed Golf Polo</t>
  </si>
  <si>
    <t>195142177779</t>
  </si>
  <si>
    <t>58245135</t>
  </si>
  <si>
    <t>6206331</t>
  </si>
  <si>
    <t>Nickelodeon SpongeBob &amp; Patrick Boys' Slippers</t>
  </si>
  <si>
    <t>Yellow Pink</t>
  </si>
  <si>
    <t>195142177786</t>
  </si>
  <si>
    <t>58245141</t>
  </si>
  <si>
    <t>195142177793</t>
  </si>
  <si>
    <t>58245142</t>
  </si>
  <si>
    <t>195142177809</t>
  </si>
  <si>
    <t>58245143</t>
  </si>
  <si>
    <t>195142177816</t>
  </si>
  <si>
    <t>58245144</t>
  </si>
  <si>
    <t>196900150027</t>
  </si>
  <si>
    <t>18986141</t>
  </si>
  <si>
    <t>6379813</t>
  </si>
  <si>
    <t>Girls 4-20 Bonnie Jean Drop Waist Dress in Regular and Plus Size</t>
  </si>
  <si>
    <t>196900150034</t>
  </si>
  <si>
    <t>18986143</t>
  </si>
  <si>
    <t>196900150119</t>
  </si>
  <si>
    <t>86789060</t>
  </si>
  <si>
    <t>196900150065</t>
  </si>
  <si>
    <t>86789061</t>
  </si>
  <si>
    <t>196900150072</t>
  </si>
  <si>
    <t>86789062</t>
  </si>
  <si>
    <t>196900150089</t>
  </si>
  <si>
    <t>86789063</t>
  </si>
  <si>
    <t>196900150096</t>
  </si>
  <si>
    <t>86789064</t>
  </si>
  <si>
    <t>196900150270</t>
  </si>
  <si>
    <t>20096124</t>
  </si>
  <si>
    <t>196900150287</t>
  </si>
  <si>
    <t>20096132</t>
  </si>
  <si>
    <t>195861970385</t>
  </si>
  <si>
    <t>28190104</t>
  </si>
  <si>
    <t>6664394</t>
  </si>
  <si>
    <t>Baby Carter's 4-Piece Tops &amp; Bottoms Pajama Set</t>
  </si>
  <si>
    <t>Football</t>
  </si>
  <si>
    <t>Women's Andrew Marc Marc New York Chevron Quilted Hooded Long Coat</t>
  </si>
  <si>
    <t>400181105240</t>
  </si>
  <si>
    <t>18110524</t>
  </si>
  <si>
    <t>6512767</t>
  </si>
  <si>
    <t>Women's Croft &amp; Barrow® Button Shoulder Sweatshirt</t>
  </si>
  <si>
    <t>400181105295</t>
  </si>
  <si>
    <t>18110529</t>
  </si>
  <si>
    <t>400334458094</t>
  </si>
  <si>
    <t>33445809</t>
  </si>
  <si>
    <t>Heart Print</t>
  </si>
  <si>
    <t>400465816855</t>
  </si>
  <si>
    <t>46581685</t>
  </si>
  <si>
    <t>7061040</t>
  </si>
  <si>
    <t>Women's FLX Core Drop-Shoulder Tee</t>
  </si>
  <si>
    <t>400465816862</t>
  </si>
  <si>
    <t>46581686</t>
  </si>
  <si>
    <t>656741517149</t>
  </si>
  <si>
    <t>60974880</t>
  </si>
  <si>
    <t>6491365</t>
  </si>
  <si>
    <t>Fine Art Canvas Feature Film Framed Wall Art</t>
  </si>
  <si>
    <t>Fine Art Canvas</t>
  </si>
  <si>
    <t>754819189042</t>
  </si>
  <si>
    <t>71474031</t>
  </si>
  <si>
    <t>5042574</t>
  </si>
  <si>
    <t>Big &amp; Tall Sonoma Goods For Life® Athletic-Fit Jeans</t>
  </si>
  <si>
    <t>754819189325</t>
  </si>
  <si>
    <t>78381344</t>
  </si>
  <si>
    <t>Medium W Destruction</t>
  </si>
  <si>
    <t>400635954240</t>
  </si>
  <si>
    <t>63595424</t>
  </si>
  <si>
    <t>6321630</t>
  </si>
  <si>
    <t>Girls 6-20 SO® Flannel Shacket in Regular &amp; Plus Size</t>
  </si>
  <si>
    <t>Black Window Plaid</t>
  </si>
  <si>
    <t>400635954257</t>
  </si>
  <si>
    <t>63595425</t>
  </si>
  <si>
    <t>400635954264</t>
  </si>
  <si>
    <t>63595426</t>
  </si>
  <si>
    <t>400635954271</t>
  </si>
  <si>
    <t>63595427</t>
  </si>
  <si>
    <t>400868171858</t>
  </si>
  <si>
    <t>86817185</t>
  </si>
  <si>
    <t>400868171926</t>
  </si>
  <si>
    <t>86817192</t>
  </si>
  <si>
    <t>Cream Purple Plaid</t>
  </si>
  <si>
    <t>400868171872</t>
  </si>
  <si>
    <t>86817187</t>
  </si>
  <si>
    <t>400868171940</t>
  </si>
  <si>
    <t>86817194</t>
  </si>
  <si>
    <t>400868171896</t>
  </si>
  <si>
    <t>86817189</t>
  </si>
  <si>
    <t>400868171957</t>
  </si>
  <si>
    <t>86817195</t>
  </si>
  <si>
    <t>400868171902</t>
  </si>
  <si>
    <t>86817190</t>
  </si>
  <si>
    <t>400868172015</t>
  </si>
  <si>
    <t>86817201</t>
  </si>
  <si>
    <t>Pink Mauve Plaid</t>
  </si>
  <si>
    <t>Women's Skechers® GOKNIT™ Ultra Tapered Ponte Pants</t>
  </si>
  <si>
    <t>Girls 7-16 Three Pink Hearts Dress, Cardigan &amp; Scrunchie Set in Regular &amp; Plus Size</t>
  </si>
  <si>
    <t>Three Pink Hearts</t>
  </si>
  <si>
    <t>191170785573</t>
  </si>
  <si>
    <t>55655252</t>
  </si>
  <si>
    <t>L 14</t>
  </si>
  <si>
    <t>196900151024</t>
  </si>
  <si>
    <t>50014882</t>
  </si>
  <si>
    <t>6393881</t>
  </si>
  <si>
    <t>Baby &amp; Toddler Girl Bonnie Jean Velvet Santa Dress</t>
  </si>
  <si>
    <t>196900151048</t>
  </si>
  <si>
    <t>50014883</t>
  </si>
  <si>
    <t>196900151055</t>
  </si>
  <si>
    <t>50014884</t>
  </si>
  <si>
    <t>400379503568</t>
  </si>
  <si>
    <t>37950356</t>
  </si>
  <si>
    <t>828</t>
  </si>
  <si>
    <t>6224220</t>
  </si>
  <si>
    <t>St. Nicholas Square® Grogu Galactic Treats Village Tabletop Decor</t>
  </si>
  <si>
    <t>193671456860</t>
  </si>
  <si>
    <t>18758013</t>
  </si>
  <si>
    <t>Big &amp; Tall Dickies Adjustable Stripe Web Belt</t>
  </si>
  <si>
    <t>196327316303</t>
  </si>
  <si>
    <t>80593214</t>
  </si>
  <si>
    <t>6130571</t>
  </si>
  <si>
    <t>Boys 8-20 Hurley Corduroy Shacket</t>
  </si>
  <si>
    <t>196327316402</t>
  </si>
  <si>
    <t>65860157</t>
  </si>
  <si>
    <t>196327316310</t>
  </si>
  <si>
    <t>80593215</t>
  </si>
  <si>
    <t>196327316419</t>
  </si>
  <si>
    <t>65860158</t>
  </si>
  <si>
    <t>196327316327</t>
  </si>
  <si>
    <t>80593216</t>
  </si>
  <si>
    <t>196327316426</t>
  </si>
  <si>
    <t>65860159</t>
  </si>
  <si>
    <t>196327316334</t>
  </si>
  <si>
    <t>80593217</t>
  </si>
  <si>
    <t>196327316433</t>
  </si>
  <si>
    <t>65860160</t>
  </si>
  <si>
    <t>Baby Girl Carter's 4-Pack Long Sleeve Winter Print Bodysuits</t>
  </si>
  <si>
    <t>195142178370</t>
  </si>
  <si>
    <t>29728177</t>
  </si>
  <si>
    <t>6206354</t>
  </si>
  <si>
    <t>Disney's Minnie Mouse Girls' Elevated Spa Slippers</t>
  </si>
  <si>
    <t>195142178387</t>
  </si>
  <si>
    <t>29728178</t>
  </si>
  <si>
    <t>195142178394</t>
  </si>
  <si>
    <t>29728179</t>
  </si>
  <si>
    <t>195142178400</t>
  </si>
  <si>
    <t>29728180</t>
  </si>
  <si>
    <t>195142178417</t>
  </si>
  <si>
    <t>29728181</t>
  </si>
  <si>
    <t>195142178424</t>
  </si>
  <si>
    <t>29728182</t>
  </si>
  <si>
    <t>887791751799</t>
  </si>
  <si>
    <t>73165284</t>
  </si>
  <si>
    <t>Nike Club Fleece Touch Screen Gloves 2.0</t>
  </si>
  <si>
    <t>887791751812</t>
  </si>
  <si>
    <t>28129056</t>
  </si>
  <si>
    <t>400556033024</t>
  </si>
  <si>
    <t>55603302</t>
  </si>
  <si>
    <t>6353287</t>
  </si>
  <si>
    <t>Girls 4-12 Jumping Beans® Tutu Scooter Skirt</t>
  </si>
  <si>
    <t>Hot Pink</t>
  </si>
  <si>
    <t>400556033031</t>
  </si>
  <si>
    <t>55603303</t>
  </si>
  <si>
    <t>400556032850</t>
  </si>
  <si>
    <t>55603285</t>
  </si>
  <si>
    <t>Lavendar Jane</t>
  </si>
  <si>
    <t>400556032942</t>
  </si>
  <si>
    <t>55603294</t>
  </si>
  <si>
    <t>043849015415</t>
  </si>
  <si>
    <t>29095368</t>
  </si>
  <si>
    <t>6654210</t>
  </si>
  <si>
    <t>Girls 4-20 Knit Works 2-pc. Short Sleeve Tie-Front Cardigan &amp; Sleeveless Ruffle Wrap-Front Dress Set in Regular &amp; Plus Size</t>
  </si>
  <si>
    <t>043849015422</t>
  </si>
  <si>
    <t>29095369</t>
  </si>
  <si>
    <t>043849015439</t>
  </si>
  <si>
    <t>29095370</t>
  </si>
  <si>
    <t>043849015507</t>
  </si>
  <si>
    <t>65635033</t>
  </si>
  <si>
    <t>400744090099</t>
  </si>
  <si>
    <t>74409009</t>
  </si>
  <si>
    <t>6304580</t>
  </si>
  <si>
    <t>Jammies For Your Families Family Bears Women's Slippers</t>
  </si>
  <si>
    <t>Jammies For Your Families</t>
  </si>
  <si>
    <t>400744090105</t>
  </si>
  <si>
    <t>74409010</t>
  </si>
  <si>
    <t>400744090112</t>
  </si>
  <si>
    <t>74409011</t>
  </si>
  <si>
    <t>400744090129</t>
  </si>
  <si>
    <t>74409012</t>
  </si>
  <si>
    <t>400744090198</t>
  </si>
  <si>
    <t>74409019</t>
  </si>
  <si>
    <t>400744090204</t>
  </si>
  <si>
    <t>74409020</t>
  </si>
  <si>
    <t>195862084562</t>
  </si>
  <si>
    <t>29727957</t>
  </si>
  <si>
    <t>6200593</t>
  </si>
  <si>
    <t>Baby Girls Carter's 2 pc Dog French Terry Pullover &amp; Leggings Set</t>
  </si>
  <si>
    <t>195862084524</t>
  </si>
  <si>
    <t>29727952</t>
  </si>
  <si>
    <t>195862084531</t>
  </si>
  <si>
    <t>29727953</t>
  </si>
  <si>
    <t>195862084548</t>
  </si>
  <si>
    <t>29727954</t>
  </si>
  <si>
    <t>400601764583</t>
  </si>
  <si>
    <t>60176458</t>
  </si>
  <si>
    <t>5758089</t>
  </si>
  <si>
    <t>Plus Size FLX Wander Joggers</t>
  </si>
  <si>
    <t>400601764590</t>
  </si>
  <si>
    <t>60176459</t>
  </si>
  <si>
    <t>400601764644</t>
  </si>
  <si>
    <t>60176464</t>
  </si>
  <si>
    <t>400601764651</t>
  </si>
  <si>
    <t>60176465</t>
  </si>
  <si>
    <t>Nike Bandana Head Wrap</t>
  </si>
  <si>
    <t>192640519179</t>
  </si>
  <si>
    <t>28108795</t>
  </si>
  <si>
    <t>6662518</t>
  </si>
  <si>
    <t>Girls eyeshadow Long Sleeve Cutout Dress</t>
  </si>
  <si>
    <t>192640518967</t>
  </si>
  <si>
    <t>58128650</t>
  </si>
  <si>
    <t>192640519186</t>
  </si>
  <si>
    <t>28108796</t>
  </si>
  <si>
    <t>192640518974</t>
  </si>
  <si>
    <t>58128651</t>
  </si>
  <si>
    <t>192640519193</t>
  </si>
  <si>
    <t>28108797</t>
  </si>
  <si>
    <t>192640518981</t>
  </si>
  <si>
    <t>58128652</t>
  </si>
  <si>
    <t>192640519209</t>
  </si>
  <si>
    <t>28108798</t>
  </si>
  <si>
    <t>192640518998</t>
  </si>
  <si>
    <t>58128653</t>
  </si>
  <si>
    <t>197178253663</t>
  </si>
  <si>
    <t>76787211</t>
  </si>
  <si>
    <t>6347187</t>
  </si>
  <si>
    <t>Plus Size Draper James Popcorn Stitching Cardigan</t>
  </si>
  <si>
    <t>Ivory Navy</t>
  </si>
  <si>
    <t>197178253670</t>
  </si>
  <si>
    <t>76787212</t>
  </si>
  <si>
    <t>197178253687</t>
  </si>
  <si>
    <t>76787214</t>
  </si>
  <si>
    <t>197571222488</t>
  </si>
  <si>
    <t>68721079</t>
  </si>
  <si>
    <t>6664284</t>
  </si>
  <si>
    <t>Girls 4-16 Blueberi Boulevard 2-pc. Floral Tulle Dress &amp; Coat Set</t>
  </si>
  <si>
    <t>197571295949</t>
  </si>
  <si>
    <t>68721081</t>
  </si>
  <si>
    <t>084971581812</t>
  </si>
  <si>
    <t>49825489</t>
  </si>
  <si>
    <t>4575512</t>
  </si>
  <si>
    <t>Men's Grand Slam 9&amp;#34; Classic-Fit Active Waistband Cargo Golf Shorts</t>
  </si>
  <si>
    <t>196407977363</t>
  </si>
  <si>
    <t>65791482</t>
  </si>
  <si>
    <t>5850564</t>
  </si>
  <si>
    <t>Big &amp; Tall IZOD Shaker Fleece Jacket</t>
  </si>
  <si>
    <t>196407977875</t>
  </si>
  <si>
    <t>65791450</t>
  </si>
  <si>
    <t>197206013726</t>
  </si>
  <si>
    <t>65791469</t>
  </si>
  <si>
    <t>197206013733</t>
  </si>
  <si>
    <t>65791470</t>
  </si>
  <si>
    <t>196407977882</t>
  </si>
  <si>
    <t>65791451</t>
  </si>
  <si>
    <t>196407977790</t>
  </si>
  <si>
    <t>65791452</t>
  </si>
  <si>
    <t>196407977783</t>
  </si>
  <si>
    <t>65791460</t>
  </si>
  <si>
    <t>197206013634</t>
  </si>
  <si>
    <t>65791479</t>
  </si>
  <si>
    <t>196407977271</t>
  </si>
  <si>
    <t>65791492</t>
  </si>
  <si>
    <t>196407977813</t>
  </si>
  <si>
    <t>65791459</t>
  </si>
  <si>
    <t>196407977806</t>
  </si>
  <si>
    <t>65791461</t>
  </si>
  <si>
    <t>197206013658</t>
  </si>
  <si>
    <t>65791480</t>
  </si>
  <si>
    <t>197206013672</t>
  </si>
  <si>
    <t>65791481</t>
  </si>
  <si>
    <t>196407977820</t>
  </si>
  <si>
    <t>65791462</t>
  </si>
  <si>
    <t>195861981190</t>
  </si>
  <si>
    <t>76194090</t>
  </si>
  <si>
    <t>6074438</t>
  </si>
  <si>
    <t>Baby Carter's 2-Piece Construction Fleece &amp; Jogger Set</t>
  </si>
  <si>
    <t>Gray Green</t>
  </si>
  <si>
    <t>195861981152</t>
  </si>
  <si>
    <t>76194081</t>
  </si>
  <si>
    <t>195861981169</t>
  </si>
  <si>
    <t>76194082</t>
  </si>
  <si>
    <t>889602771453</t>
  </si>
  <si>
    <t>28171627</t>
  </si>
  <si>
    <t>6303621</t>
  </si>
  <si>
    <t>Women's Nine West V-Neck Shine Pullover Sweater</t>
  </si>
  <si>
    <t>717312797114</t>
  </si>
  <si>
    <t>81152163</t>
  </si>
  <si>
    <t>Big &amp; Tall Grand Slam DriFlow Expandable Waistband Golf Shorts</t>
  </si>
  <si>
    <t>717312797053</t>
  </si>
  <si>
    <t>81152148</t>
  </si>
  <si>
    <t>717312797176</t>
  </si>
  <si>
    <t>81152174</t>
  </si>
  <si>
    <t>717312865769</t>
  </si>
  <si>
    <t>81152196</t>
  </si>
  <si>
    <t>717312877113</t>
  </si>
  <si>
    <t>46235951</t>
  </si>
  <si>
    <t>717312877120</t>
  </si>
  <si>
    <t>46235955</t>
  </si>
  <si>
    <t>717312877038</t>
  </si>
  <si>
    <t>46235957</t>
  </si>
  <si>
    <t>717312877137</t>
  </si>
  <si>
    <t>46235953</t>
  </si>
  <si>
    <t>717312877106</t>
  </si>
  <si>
    <t>46235956</t>
  </si>
  <si>
    <t>Women's Skechers® GOWALK™ Pants</t>
  </si>
  <si>
    <t>195861293576</t>
  </si>
  <si>
    <t>49233809</t>
  </si>
  <si>
    <t>5574729</t>
  </si>
  <si>
    <t>Baby Boy Carter's Car Snow Yarn Tee &amp; Jogger Set</t>
  </si>
  <si>
    <t>Orange Car</t>
  </si>
  <si>
    <t>400819406015</t>
  </si>
  <si>
    <t>81940601</t>
  </si>
  <si>
    <t>6362784</t>
  </si>
  <si>
    <t>Gabby's Dollhouse Knight Gabby Toy Figure Set with Surprise Toy &amp; Mini Dragon Pal</t>
  </si>
  <si>
    <t>Gabby's Dollhouse</t>
  </si>
  <si>
    <t>400282578424</t>
  </si>
  <si>
    <t>28257842</t>
  </si>
  <si>
    <t>5582933</t>
  </si>
  <si>
    <t>Girls 6-20 SO® Favorite Fleece Full Zip Top</t>
  </si>
  <si>
    <t>400282578417</t>
  </si>
  <si>
    <t>28257841</t>
  </si>
  <si>
    <t>400282578455</t>
  </si>
  <si>
    <t>28257845</t>
  </si>
  <si>
    <t>195862260997</t>
  </si>
  <si>
    <t>50125672</t>
  </si>
  <si>
    <t>6432707</t>
  </si>
  <si>
    <t>195862261000</t>
  </si>
  <si>
    <t>50125673</t>
  </si>
  <si>
    <t>195862261024</t>
  </si>
  <si>
    <t>50125678</t>
  </si>
  <si>
    <t>195862261031</t>
  </si>
  <si>
    <t>50125679</t>
  </si>
  <si>
    <t>195862261017</t>
  </si>
  <si>
    <t>50125674</t>
  </si>
  <si>
    <t>195862260966</t>
  </si>
  <si>
    <t>50125669</t>
  </si>
  <si>
    <t>195862260973</t>
  </si>
  <si>
    <t>50125670</t>
  </si>
  <si>
    <t>195862260980</t>
  </si>
  <si>
    <t>50125671</t>
  </si>
  <si>
    <t>Women's adidas Ultimate365 Sleeveless Golf Polo</t>
  </si>
  <si>
    <t>197369321454</t>
  </si>
  <si>
    <t>74365572</t>
  </si>
  <si>
    <t>6285602</t>
  </si>
  <si>
    <t>madden girl MLUNA Chelsea Girl's Fashion Boots</t>
  </si>
  <si>
    <t>Pewter</t>
  </si>
  <si>
    <t>197369321362</t>
  </si>
  <si>
    <t>74365579</t>
  </si>
  <si>
    <t>197369321379</t>
  </si>
  <si>
    <t>74365580</t>
  </si>
  <si>
    <t>197369321386</t>
  </si>
  <si>
    <t>74365581</t>
  </si>
  <si>
    <t>197369321393</t>
  </si>
  <si>
    <t>74365582</t>
  </si>
  <si>
    <t>197369321409</t>
  </si>
  <si>
    <t>74365589</t>
  </si>
  <si>
    <t>780744053173</t>
  </si>
  <si>
    <t>29832112</t>
  </si>
  <si>
    <t>2137</t>
  </si>
  <si>
    <t>5238860</t>
  </si>
  <si>
    <t>Penguin Random House Disney Encanto The Ultimate Sticker Book</t>
  </si>
  <si>
    <t>Penguin Random House</t>
  </si>
  <si>
    <t>400591677795</t>
  </si>
  <si>
    <t>59167779</t>
  </si>
  <si>
    <t>5587888</t>
  </si>
  <si>
    <t>Plus Size Croft &amp; Barrow® Extra Soft V-Neck Sweater</t>
  </si>
  <si>
    <t>400591677290</t>
  </si>
  <si>
    <t>59167729</t>
  </si>
  <si>
    <t>400591677306</t>
  </si>
  <si>
    <t>59167730</t>
  </si>
  <si>
    <t>400591677801</t>
  </si>
  <si>
    <t>59167780</t>
  </si>
  <si>
    <t>400755421257</t>
  </si>
  <si>
    <t>75542125</t>
  </si>
  <si>
    <t>Mustard Heather</t>
  </si>
  <si>
    <t>400591677313</t>
  </si>
  <si>
    <t>59167731</t>
  </si>
  <si>
    <t>400755421264</t>
  </si>
  <si>
    <t>75542126</t>
  </si>
  <si>
    <t>400591677818</t>
  </si>
  <si>
    <t>59167781</t>
  </si>
  <si>
    <t>400755421165</t>
  </si>
  <si>
    <t>75542116</t>
  </si>
  <si>
    <t>400591677382</t>
  </si>
  <si>
    <t>59167738</t>
  </si>
  <si>
    <t>400591677887</t>
  </si>
  <si>
    <t>59167788</t>
  </si>
  <si>
    <t>400755421349</t>
  </si>
  <si>
    <t>75542134</t>
  </si>
  <si>
    <t>Plus Size Under Armour Motion Short Sleeve Tee</t>
  </si>
  <si>
    <t>Blizzard</t>
  </si>
  <si>
    <t>400748178441</t>
  </si>
  <si>
    <t>74817844</t>
  </si>
  <si>
    <t>5346049</t>
  </si>
  <si>
    <t>Men's Sonoma Goods For Life® Pull-On 9-inch Shorts</t>
  </si>
  <si>
    <t>28 9 IN</t>
  </si>
  <si>
    <t>400748179103</t>
  </si>
  <si>
    <t>74817910</t>
  </si>
  <si>
    <t>400306481280</t>
  </si>
  <si>
    <t>30648128</t>
  </si>
  <si>
    <t>Khaki Corduroy</t>
  </si>
  <si>
    <t>400748178595</t>
  </si>
  <si>
    <t>74817859</t>
  </si>
  <si>
    <t>36 9 IN</t>
  </si>
  <si>
    <t>400748296657</t>
  </si>
  <si>
    <t>74829665</t>
  </si>
  <si>
    <t>400748296749</t>
  </si>
  <si>
    <t>74829674</t>
  </si>
  <si>
    <t>38 9 IN</t>
  </si>
  <si>
    <t>400748296756</t>
  </si>
  <si>
    <t>74829675</t>
  </si>
  <si>
    <t>40 9 IN</t>
  </si>
  <si>
    <t>400748178618</t>
  </si>
  <si>
    <t>74817861</t>
  </si>
  <si>
    <t>400748178625</t>
  </si>
  <si>
    <t>74817862</t>
  </si>
  <si>
    <t>42 9 IN</t>
  </si>
  <si>
    <t>400748296848</t>
  </si>
  <si>
    <t>74829684</t>
  </si>
  <si>
    <t>840132320733</t>
  </si>
  <si>
    <t>74366103</t>
  </si>
  <si>
    <t>5487501</t>
  </si>
  <si>
    <t>Mens's Caliville Stretch Jogger Pants</t>
  </si>
  <si>
    <t>840132320672</t>
  </si>
  <si>
    <t>74366093</t>
  </si>
  <si>
    <t>840132320740</t>
  </si>
  <si>
    <t>74366104</t>
  </si>
  <si>
    <t>840132320689</t>
  </si>
  <si>
    <t>74366094</t>
  </si>
  <si>
    <t>840132320696</t>
  </si>
  <si>
    <t>74366095</t>
  </si>
  <si>
    <t>840132320757</t>
  </si>
  <si>
    <t>74366105</t>
  </si>
  <si>
    <t>840132320702</t>
  </si>
  <si>
    <t>74366096</t>
  </si>
  <si>
    <t>840132320764</t>
  </si>
  <si>
    <t>74366106</t>
  </si>
  <si>
    <t>840132320719</t>
  </si>
  <si>
    <t>74366097</t>
  </si>
  <si>
    <t>840132320771</t>
  </si>
  <si>
    <t>74366107</t>
  </si>
  <si>
    <t>197178401071</t>
  </si>
  <si>
    <t>66496687</t>
  </si>
  <si>
    <t>6568906</t>
  </si>
  <si>
    <t>Juniors' SO® Denim Utility Pocket Oversized Jacket</t>
  </si>
  <si>
    <t>Powder Blue</t>
  </si>
  <si>
    <t>197178401088</t>
  </si>
  <si>
    <t>66496693</t>
  </si>
  <si>
    <t>197178401101</t>
  </si>
  <si>
    <t>66496695</t>
  </si>
  <si>
    <t>197178401095</t>
  </si>
  <si>
    <t>66496694</t>
  </si>
  <si>
    <t>197178401118</t>
  </si>
  <si>
    <t>66496696</t>
  </si>
  <si>
    <t>195142114415</t>
  </si>
  <si>
    <t>65875547</t>
  </si>
  <si>
    <t>5549465</t>
  </si>
  <si>
    <t>Nickelodeon SpongeBob SquarePants Kids' High-Top Shoes</t>
  </si>
  <si>
    <t>Nickelodeon</t>
  </si>
  <si>
    <t>195142114422</t>
  </si>
  <si>
    <t>65875548</t>
  </si>
  <si>
    <t>195142114439</t>
  </si>
  <si>
    <t>65875549</t>
  </si>
  <si>
    <t>195142114446</t>
  </si>
  <si>
    <t>65875550</t>
  </si>
  <si>
    <t>197571060356</t>
  </si>
  <si>
    <t>65783741</t>
  </si>
  <si>
    <t>6442702</t>
  </si>
  <si>
    <t>Toddler Girl Blueberi Boulevard Short Sleeve Silver Bow Detail Dress</t>
  </si>
  <si>
    <t>197571060363</t>
  </si>
  <si>
    <t>65783742</t>
  </si>
  <si>
    <t>197571060370</t>
  </si>
  <si>
    <t>65783749</t>
  </si>
  <si>
    <t>197571060493</t>
  </si>
  <si>
    <t>65783750</t>
  </si>
  <si>
    <t>197571060509</t>
  </si>
  <si>
    <t>65783751</t>
  </si>
  <si>
    <t>561</t>
  </si>
  <si>
    <t>197571060516</t>
  </si>
  <si>
    <t>65783752</t>
  </si>
  <si>
    <t>196139554252</t>
  </si>
  <si>
    <t>29857441</t>
  </si>
  <si>
    <t>6170686</t>
  </si>
  <si>
    <t>Girls 4-6x Carter's Faux Fur Trim Hooded Checked Toggle Coat</t>
  </si>
  <si>
    <t>196139554269</t>
  </si>
  <si>
    <t>29857442</t>
  </si>
  <si>
    <t>196139554276</t>
  </si>
  <si>
    <t>29857443</t>
  </si>
  <si>
    <t>886440744274</t>
  </si>
  <si>
    <t>80398210</t>
  </si>
  <si>
    <t>6287101</t>
  </si>
  <si>
    <t>Sonoma Goods For Life® Color Block Harness</t>
  </si>
  <si>
    <t>886440744304</t>
  </si>
  <si>
    <t>80398198</t>
  </si>
  <si>
    <t>886440744243</t>
  </si>
  <si>
    <t>80398201</t>
  </si>
  <si>
    <t>886440744212</t>
  </si>
  <si>
    <t>80398207</t>
  </si>
  <si>
    <t>886440744281</t>
  </si>
  <si>
    <t>80398209</t>
  </si>
  <si>
    <t>886440744311</t>
  </si>
  <si>
    <t>80398197</t>
  </si>
  <si>
    <t>886440744250</t>
  </si>
  <si>
    <t>80398200</t>
  </si>
  <si>
    <t>886440744229</t>
  </si>
  <si>
    <t>80398206</t>
  </si>
  <si>
    <t>886440744236</t>
  </si>
  <si>
    <t>80398208</t>
  </si>
  <si>
    <t>886440744328</t>
  </si>
  <si>
    <t>80398199</t>
  </si>
  <si>
    <t>886440744298</t>
  </si>
  <si>
    <t>80398211</t>
  </si>
  <si>
    <t>886440744267</t>
  </si>
  <si>
    <t>80398205</t>
  </si>
  <si>
    <t>197026344598</t>
  </si>
  <si>
    <t>44092983</t>
  </si>
  <si>
    <t>6217856</t>
  </si>
  <si>
    <t>Girls 4-12 Jumping Beans Time for Adventure Short Sleeve Tee</t>
  </si>
  <si>
    <t>197026344604</t>
  </si>
  <si>
    <t>44092984</t>
  </si>
  <si>
    <t>197026344628</t>
  </si>
  <si>
    <t>44092986</t>
  </si>
  <si>
    <t>Melissa &amp; Doug Wooden Surprise Gift Box Infant Toy</t>
  </si>
  <si>
    <t>Melissa &amp; Doug</t>
  </si>
  <si>
    <t>400310934970</t>
  </si>
  <si>
    <t>31093497</t>
  </si>
  <si>
    <t>5664621</t>
  </si>
  <si>
    <t>Petite Sonoma Goods For Life® Everyday Flannel Shirt</t>
  </si>
  <si>
    <t>Red Cream Plaid</t>
  </si>
  <si>
    <t>400310935175</t>
  </si>
  <si>
    <t>31093517</t>
  </si>
  <si>
    <t>Blue Mix Plaid</t>
  </si>
  <si>
    <t>400310935182</t>
  </si>
  <si>
    <t>31093518</t>
  </si>
  <si>
    <t>400310934987</t>
  </si>
  <si>
    <t>31093498</t>
  </si>
  <si>
    <t>400310935205</t>
  </si>
  <si>
    <t>31093520</t>
  </si>
  <si>
    <t>400310935007</t>
  </si>
  <si>
    <t>31093500</t>
  </si>
  <si>
    <t>196027207048</t>
  </si>
  <si>
    <t>81934512</t>
  </si>
  <si>
    <t>5688684</t>
  </si>
  <si>
    <t>Girls 4-10 L.O.L Surprise &amp;#34;Dance Party&amp;#34; One-Piece Pajamas</t>
  </si>
  <si>
    <t>196027207055</t>
  </si>
  <si>
    <t>81934518</t>
  </si>
  <si>
    <t>196027207062</t>
  </si>
  <si>
    <t>81934519</t>
  </si>
  <si>
    <t>196027207031</t>
  </si>
  <si>
    <t>81934520</t>
  </si>
  <si>
    <t>400504340761</t>
  </si>
  <si>
    <t>50434076</t>
  </si>
  <si>
    <t>6242659</t>
  </si>
  <si>
    <t>Women's Tek Gear® Ultra Soft Fleece Cowlneck Sweatshirt</t>
  </si>
  <si>
    <t>400504340778</t>
  </si>
  <si>
    <t>50434077</t>
  </si>
  <si>
    <t>195862000463</t>
  </si>
  <si>
    <t>45957223</t>
  </si>
  <si>
    <t>6055725</t>
  </si>
  <si>
    <t>Baby Boy Carter's Hooded Striped Zip-Up Fleece Jumpsuit</t>
  </si>
  <si>
    <t>195862000425</t>
  </si>
  <si>
    <t>45957220</t>
  </si>
  <si>
    <t>195862000432</t>
  </si>
  <si>
    <t>45957221</t>
  </si>
  <si>
    <t>195862000449</t>
  </si>
  <si>
    <t>45957222</t>
  </si>
  <si>
    <t>195862000395</t>
  </si>
  <si>
    <t>45957217</t>
  </si>
  <si>
    <t>195862000401</t>
  </si>
  <si>
    <t>45957218</t>
  </si>
  <si>
    <t>195862000418</t>
  </si>
  <si>
    <t>45957219</t>
  </si>
  <si>
    <t>400483432648</t>
  </si>
  <si>
    <t>48343264</t>
  </si>
  <si>
    <t>6615607</t>
  </si>
  <si>
    <t>Girls 6-20 SO® Mesh Dress &amp; Short Sleeve Tee Set</t>
  </si>
  <si>
    <t>Purple Butterfly</t>
  </si>
  <si>
    <t>196900189591</t>
  </si>
  <si>
    <t>28018995</t>
  </si>
  <si>
    <t>6597452</t>
  </si>
  <si>
    <t>Girls 4-20 Bonnie Jean Ruffle Plaid With Bag in Regular &amp; Plus Size</t>
  </si>
  <si>
    <t>196900189607</t>
  </si>
  <si>
    <t>28018996</t>
  </si>
  <si>
    <t>196900189614</t>
  </si>
  <si>
    <t>28018997</t>
  </si>
  <si>
    <t>196900189621</t>
  </si>
  <si>
    <t>28018998</t>
  </si>
  <si>
    <t>196900195103</t>
  </si>
  <si>
    <t>59034957</t>
  </si>
  <si>
    <t>196900195110</t>
  </si>
  <si>
    <t>59034958</t>
  </si>
  <si>
    <t>196900195127</t>
  </si>
  <si>
    <t>59034959</t>
  </si>
  <si>
    <t>196900195134</t>
  </si>
  <si>
    <t>59034964</t>
  </si>
  <si>
    <t>195932277740</t>
  </si>
  <si>
    <t>65477017</t>
  </si>
  <si>
    <t>6319714</t>
  </si>
  <si>
    <t>Disney's Mickey Mouse Girls 7-16 Hi-Lo Chenille Graphic Sweatshirt</t>
  </si>
  <si>
    <t>Men's Garneau Lemmon 4 Cycling Jersey</t>
  </si>
  <si>
    <t>Hi Viz Yellow</t>
  </si>
  <si>
    <t>400586220371</t>
  </si>
  <si>
    <t>58622037</t>
  </si>
  <si>
    <t>7081363</t>
  </si>
  <si>
    <t>400506774458</t>
  </si>
  <si>
    <t>50677445</t>
  </si>
  <si>
    <t>197161330548</t>
  </si>
  <si>
    <t>81958681</t>
  </si>
  <si>
    <t>6373633</t>
  </si>
  <si>
    <t>Boys' Baltimore Ravens Pullover Fleece Hoodie</t>
  </si>
  <si>
    <t>Rav Purple</t>
  </si>
  <si>
    <t>197161330555</t>
  </si>
  <si>
    <t>81958682</t>
  </si>
  <si>
    <t>197161330562</t>
  </si>
  <si>
    <t>81958688</t>
  </si>
  <si>
    <t>197161330579</t>
  </si>
  <si>
    <t>81958689</t>
  </si>
  <si>
    <t>400547819491</t>
  </si>
  <si>
    <t>54781949</t>
  </si>
  <si>
    <t>5677746</t>
  </si>
  <si>
    <t>Sonoma Goods For Life® Minnesota Feather Fill Throw Pillow</t>
  </si>
  <si>
    <t>Minnesota</t>
  </si>
  <si>
    <t>Girls 7-16 adidas Replenishment Leggings</t>
  </si>
  <si>
    <t>Women's Columbia Anytime™ Long Sleeve Button-Up Shirt</t>
  </si>
  <si>
    <t>Sunset Peach Tartan</t>
  </si>
  <si>
    <t>Dusty Pink Tartan</t>
  </si>
  <si>
    <t>038829113106</t>
  </si>
  <si>
    <t>66662196</t>
  </si>
  <si>
    <t>6861676</t>
  </si>
  <si>
    <t>14k Gold Curb Chain Heart Pendant Necklace</t>
  </si>
  <si>
    <t>BILLY Footwear Street Toddler Boys' Camo High-Top Sneakers</t>
  </si>
  <si>
    <t>BILLY Footwear</t>
  </si>
  <si>
    <t>196064337234</t>
  </si>
  <si>
    <t>49598625</t>
  </si>
  <si>
    <t>6120586</t>
  </si>
  <si>
    <t>totes Olivia Toddler Girls' Waterproof Snow Boots</t>
  </si>
  <si>
    <t>196064337302</t>
  </si>
  <si>
    <t>55593432</t>
  </si>
  <si>
    <t>196064337241</t>
  </si>
  <si>
    <t>49598626</t>
  </si>
  <si>
    <t>196064337319</t>
  </si>
  <si>
    <t>55593433</t>
  </si>
  <si>
    <t>196064337258</t>
  </si>
  <si>
    <t>49598627</t>
  </si>
  <si>
    <t>196064337326</t>
  </si>
  <si>
    <t>55593434</t>
  </si>
  <si>
    <t>196064337265</t>
  </si>
  <si>
    <t>49598628</t>
  </si>
  <si>
    <t>196064337333</t>
  </si>
  <si>
    <t>55593435</t>
  </si>
  <si>
    <t>196064337272</t>
  </si>
  <si>
    <t>49598629</t>
  </si>
  <si>
    <t>196064337340</t>
  </si>
  <si>
    <t>55593436</t>
  </si>
  <si>
    <t>196064337289</t>
  </si>
  <si>
    <t>49598630</t>
  </si>
  <si>
    <t>196064337357</t>
  </si>
  <si>
    <t>55593437</t>
  </si>
  <si>
    <t>196064337296</t>
  </si>
  <si>
    <t>49598631</t>
  </si>
  <si>
    <t>11 T</t>
  </si>
  <si>
    <t>196064337364</t>
  </si>
  <si>
    <t>55593438</t>
  </si>
  <si>
    <t>Plus Size Under Armour Rival Terry Oversized Crew Top</t>
  </si>
  <si>
    <t>Harbor Blue White</t>
  </si>
  <si>
    <t>400581323626</t>
  </si>
  <si>
    <t>58132362</t>
  </si>
  <si>
    <t>5233790</t>
  </si>
  <si>
    <t>Juniors' Plus Size SO® Seamless V-Neck Tank Top Bodysuit</t>
  </si>
  <si>
    <t>400818616620</t>
  </si>
  <si>
    <t>81861662</t>
  </si>
  <si>
    <t>400713202034</t>
  </si>
  <si>
    <t>71320203</t>
  </si>
  <si>
    <t>400581323633</t>
  </si>
  <si>
    <t>58132363</t>
  </si>
  <si>
    <t>400818616682</t>
  </si>
  <si>
    <t>81861668</t>
  </si>
  <si>
    <t>400713202041</t>
  </si>
  <si>
    <t>71320204</t>
  </si>
  <si>
    <t>400581323640</t>
  </si>
  <si>
    <t>58132364</t>
  </si>
  <si>
    <t>400818616699</t>
  </si>
  <si>
    <t>81861669</t>
  </si>
  <si>
    <t>400713202058</t>
  </si>
  <si>
    <t>71320205</t>
  </si>
  <si>
    <t>400650198025</t>
  </si>
  <si>
    <t>65019802</t>
  </si>
  <si>
    <t>6287453</t>
  </si>
  <si>
    <t>Plus Size Nine West Long Sleeve Wrap Dress</t>
  </si>
  <si>
    <t>400508075676</t>
  </si>
  <si>
    <t>50807567</t>
  </si>
  <si>
    <t>Black Scribbles</t>
  </si>
  <si>
    <t>400650198087</t>
  </si>
  <si>
    <t>65019808</t>
  </si>
  <si>
    <t>400508075782</t>
  </si>
  <si>
    <t>50807578</t>
  </si>
  <si>
    <t>Red Blossoms</t>
  </si>
  <si>
    <t>400508075683</t>
  </si>
  <si>
    <t>50807568</t>
  </si>
  <si>
    <t>400508075881</t>
  </si>
  <si>
    <t>50807588</t>
  </si>
  <si>
    <t>Teal Tiger</t>
  </si>
  <si>
    <t>400650198094</t>
  </si>
  <si>
    <t>65019809</t>
  </si>
  <si>
    <t>197235330993</t>
  </si>
  <si>
    <t>37670732</t>
  </si>
  <si>
    <t>6381537</t>
  </si>
  <si>
    <t>Girls 7-16 adidas 3s 7/8 Leggings</t>
  </si>
  <si>
    <t>197235331006</t>
  </si>
  <si>
    <t>68857955</t>
  </si>
  <si>
    <t>197235331013</t>
  </si>
  <si>
    <t>68857956</t>
  </si>
  <si>
    <t>197235331020</t>
  </si>
  <si>
    <t>68857957</t>
  </si>
  <si>
    <t>Baby Girl Little Planet by Carter's Sweater Knit Long Sleeve Henley Dress</t>
  </si>
  <si>
    <t>197026393435</t>
  </si>
  <si>
    <t>58709588</t>
  </si>
  <si>
    <t>6372709</t>
  </si>
  <si>
    <t>Boys 4-12 Jumping Beans® Marvel Spider-Man &amp;#34;Web-Tastic Birthday&amp;#34; Long Sleeve Graphic Tee</t>
  </si>
  <si>
    <t>197026393459</t>
  </si>
  <si>
    <t>58709590</t>
  </si>
  <si>
    <t>197026393466</t>
  </si>
  <si>
    <t>58709591</t>
  </si>
  <si>
    <t>197178465929</t>
  </si>
  <si>
    <t>29953696</t>
  </si>
  <si>
    <t>6622251</t>
  </si>
  <si>
    <t>Juniors' SO® Clip Dot Puff Sleeve Button Front Dress</t>
  </si>
  <si>
    <t>Bubblegum</t>
  </si>
  <si>
    <t>197178465899</t>
  </si>
  <si>
    <t>29953704</t>
  </si>
  <si>
    <t>197178465905</t>
  </si>
  <si>
    <t>29953706</t>
  </si>
  <si>
    <t>197178465912</t>
  </si>
  <si>
    <t>29953713</t>
  </si>
  <si>
    <t>190917466393</t>
  </si>
  <si>
    <t>70355215</t>
  </si>
  <si>
    <t>6487637</t>
  </si>
  <si>
    <t>Women's INTEMPO™ Tie Front Rib Sweater</t>
  </si>
  <si>
    <t>Cloud</t>
  </si>
  <si>
    <t>190917466331</t>
  </si>
  <si>
    <t>70355209</t>
  </si>
  <si>
    <t>190917466348</t>
  </si>
  <si>
    <t>70355210</t>
  </si>
  <si>
    <t>190917466409</t>
  </si>
  <si>
    <t>70355216</t>
  </si>
  <si>
    <t>190917466416</t>
  </si>
  <si>
    <t>70355217</t>
  </si>
  <si>
    <t>190917466355</t>
  </si>
  <si>
    <t>70355211</t>
  </si>
  <si>
    <t>190917466478</t>
  </si>
  <si>
    <t>70355223</t>
  </si>
  <si>
    <t>190917466423</t>
  </si>
  <si>
    <t>70355218</t>
  </si>
  <si>
    <t>195861798200</t>
  </si>
  <si>
    <t>37811518</t>
  </si>
  <si>
    <t>5929683</t>
  </si>
  <si>
    <t>Baby Boy Carter's Everyday Pull-On Pants</t>
  </si>
  <si>
    <t>195861795650</t>
  </si>
  <si>
    <t>65744459</t>
  </si>
  <si>
    <t>195861798217</t>
  </si>
  <si>
    <t>37811519</t>
  </si>
  <si>
    <t>195861795667</t>
  </si>
  <si>
    <t>65744460</t>
  </si>
  <si>
    <t>195861800545</t>
  </si>
  <si>
    <t>54792443</t>
  </si>
  <si>
    <t>195861795674</t>
  </si>
  <si>
    <t>65744461</t>
  </si>
  <si>
    <t>195861798224</t>
  </si>
  <si>
    <t>37811520</t>
  </si>
  <si>
    <t>195861800552</t>
  </si>
  <si>
    <t>54792444</t>
  </si>
  <si>
    <t>195861795629</t>
  </si>
  <si>
    <t>65744462</t>
  </si>
  <si>
    <t>195861800507</t>
  </si>
  <si>
    <t>54792445</t>
  </si>
  <si>
    <t>084971351859</t>
  </si>
  <si>
    <t>71143836</t>
  </si>
  <si>
    <t>7081709</t>
  </si>
  <si>
    <t>Men's Grand Slam 9&amp;#34; Regular-Fit Performance Stretch Flat-Front Golf Shorts</t>
  </si>
  <si>
    <t>Chambray Heather</t>
  </si>
  <si>
    <t>084971351910</t>
  </si>
  <si>
    <t>71143847</t>
  </si>
  <si>
    <t>084971351927</t>
  </si>
  <si>
    <t>71143853</t>
  </si>
  <si>
    <t>085142474339</t>
  </si>
  <si>
    <t>54678345</t>
  </si>
  <si>
    <t>Men's Garneau Connection 4 Cycling Jersey</t>
  </si>
  <si>
    <t>195861472032</t>
  </si>
  <si>
    <t>75601110</t>
  </si>
  <si>
    <t>Baby Boy Carter's 3-Piece Little Vest, Bodysuit &amp; Pants Set</t>
  </si>
  <si>
    <t>197178352793</t>
  </si>
  <si>
    <t>28997494</t>
  </si>
  <si>
    <t>6508579</t>
  </si>
  <si>
    <t>Plus Size Draper James Textured V-Neck Button Front Cardigan</t>
  </si>
  <si>
    <t>197161330418</t>
  </si>
  <si>
    <t>81958599</t>
  </si>
  <si>
    <t>6373616</t>
  </si>
  <si>
    <t>Boys' Buffalo Bills Pullover Fleece Hoodie</t>
  </si>
  <si>
    <t>Bil Blue</t>
  </si>
  <si>
    <t>609475901388</t>
  </si>
  <si>
    <t>55617128</t>
  </si>
  <si>
    <t>5684599</t>
  </si>
  <si>
    <t>Juniors' Adaptive SO® Easy Dressing Rib Waist Jeggings</t>
  </si>
  <si>
    <t>609475901180</t>
  </si>
  <si>
    <t>29005586</t>
  </si>
  <si>
    <t>609475901289</t>
  </si>
  <si>
    <t>73111110</t>
  </si>
  <si>
    <t>609475901197</t>
  </si>
  <si>
    <t>29005587</t>
  </si>
  <si>
    <t>609475901395</t>
  </si>
  <si>
    <t>55617129</t>
  </si>
  <si>
    <t>609475901296</t>
  </si>
  <si>
    <t>73111111</t>
  </si>
  <si>
    <t>609475901203</t>
  </si>
  <si>
    <t>29005588</t>
  </si>
  <si>
    <t>609475901302</t>
  </si>
  <si>
    <t>73111112</t>
  </si>
  <si>
    <t>609475901401</t>
  </si>
  <si>
    <t>55617130</t>
  </si>
  <si>
    <t>609475901210</t>
  </si>
  <si>
    <t>29005589</t>
  </si>
  <si>
    <t>609475901319</t>
  </si>
  <si>
    <t>73111119</t>
  </si>
  <si>
    <t>609475901418</t>
  </si>
  <si>
    <t>55617132</t>
  </si>
  <si>
    <t>609475901227</t>
  </si>
  <si>
    <t>29005590</t>
  </si>
  <si>
    <t>196900155077</t>
  </si>
  <si>
    <t>28276945</t>
  </si>
  <si>
    <t>6393892</t>
  </si>
  <si>
    <t>Baby &amp; Toddler Girl Bonnie Jean Foiled Dot Dress</t>
  </si>
  <si>
    <t>196900155084</t>
  </si>
  <si>
    <t>28276946</t>
  </si>
  <si>
    <t>196900155091</t>
  </si>
  <si>
    <t>28276947</t>
  </si>
  <si>
    <t>196900155107</t>
  </si>
  <si>
    <t>28276948</t>
  </si>
  <si>
    <t>196900155121</t>
  </si>
  <si>
    <t>28276949</t>
  </si>
  <si>
    <t>196900155138</t>
  </si>
  <si>
    <t>28276951</t>
  </si>
  <si>
    <t>098811178919</t>
  </si>
  <si>
    <t>64266868</t>
  </si>
  <si>
    <t>6496300</t>
  </si>
  <si>
    <t>Architectual Wonder Lacquered Wall Art 2-piece Set</t>
  </si>
  <si>
    <t>196327331344</t>
  </si>
  <si>
    <t>65527987</t>
  </si>
  <si>
    <t>6130616</t>
  </si>
  <si>
    <t>Boys 8-20 Hurley Hexagon Graphic Hoodie</t>
  </si>
  <si>
    <t>196327331351</t>
  </si>
  <si>
    <t>65527993</t>
  </si>
  <si>
    <t>400581737362</t>
  </si>
  <si>
    <t>58173736</t>
  </si>
  <si>
    <t>6622383</t>
  </si>
  <si>
    <t>Plus Size LC Lauren Conrad Button Front Shoulder Ruffle Top</t>
  </si>
  <si>
    <t>Lt Wash Chambray</t>
  </si>
  <si>
    <t>400304941571</t>
  </si>
  <si>
    <t>30494157</t>
  </si>
  <si>
    <t>400616066672</t>
  </si>
  <si>
    <t>61606667</t>
  </si>
  <si>
    <t>5686731</t>
  </si>
  <si>
    <t>Maternity Tek Gear® Interlock High Rise Pocket Capri Legging</t>
  </si>
  <si>
    <t>400616066689</t>
  </si>
  <si>
    <t>61606668</t>
  </si>
  <si>
    <t>400616066696</t>
  </si>
  <si>
    <t>61606669</t>
  </si>
  <si>
    <t>400616066719</t>
  </si>
  <si>
    <t>61606671</t>
  </si>
  <si>
    <t>196642492003</t>
  </si>
  <si>
    <t>71334565</t>
  </si>
  <si>
    <t>5835759</t>
  </si>
  <si>
    <t>Women's Skechers® GOSTRETCH™ Dress</t>
  </si>
  <si>
    <t>Carmine</t>
  </si>
  <si>
    <t>Women's Champion® Powerblend Relaxed Crewneck Sweatshirt</t>
  </si>
  <si>
    <t>XSML AV/RG</t>
  </si>
  <si>
    <t>195157070133</t>
  </si>
  <si>
    <t>58702302</t>
  </si>
  <si>
    <t>6481950</t>
  </si>
  <si>
    <t>Petite Nine West Pullover Sweater</t>
  </si>
  <si>
    <t>Black Iara Stripe</t>
  </si>
  <si>
    <t>191315806262</t>
  </si>
  <si>
    <t>18159789</t>
  </si>
  <si>
    <t>7081414</t>
  </si>
  <si>
    <t>191315806606</t>
  </si>
  <si>
    <t>18159810</t>
  </si>
  <si>
    <t>191315806309</t>
  </si>
  <si>
    <t>18159793</t>
  </si>
  <si>
    <t>191315806651</t>
  </si>
  <si>
    <t>18159815</t>
  </si>
  <si>
    <t>191315806552</t>
  </si>
  <si>
    <t>18159806</t>
  </si>
  <si>
    <t>191315806330</t>
  </si>
  <si>
    <t>18159796</t>
  </si>
  <si>
    <t>191315806576</t>
  </si>
  <si>
    <t>18159798</t>
  </si>
  <si>
    <t>Melissa &amp; Doug GO Tots Roll &amp; Ride Bus</t>
  </si>
  <si>
    <t>400821050688</t>
  </si>
  <si>
    <t>82105068</t>
  </si>
  <si>
    <t>7081165</t>
  </si>
  <si>
    <t>Baby &amp; Toddler Little Co. by Lauren Conrad Organic Graphic Tee</t>
  </si>
  <si>
    <t>Good Egg</t>
  </si>
  <si>
    <t>400821050695</t>
  </si>
  <si>
    <t>82105069</t>
  </si>
  <si>
    <t>400821050701</t>
  </si>
  <si>
    <t>82105070</t>
  </si>
  <si>
    <t>400821050718</t>
  </si>
  <si>
    <t>82105071</t>
  </si>
  <si>
    <t>400821050725</t>
  </si>
  <si>
    <t>82105072</t>
  </si>
  <si>
    <t>400821050732</t>
  </si>
  <si>
    <t>82105073</t>
  </si>
  <si>
    <t>400821050787</t>
  </si>
  <si>
    <t>82105078</t>
  </si>
  <si>
    <t>400793822764</t>
  </si>
  <si>
    <t>79382276</t>
  </si>
  <si>
    <t>400793822771</t>
  </si>
  <si>
    <t>79382277</t>
  </si>
  <si>
    <t>400795329162</t>
  </si>
  <si>
    <t>79532916</t>
  </si>
  <si>
    <t>400795329179</t>
  </si>
  <si>
    <t>79532917</t>
  </si>
  <si>
    <t>717312597226</t>
  </si>
  <si>
    <t>46215648</t>
  </si>
  <si>
    <t>4829428</t>
  </si>
  <si>
    <t>Big &amp; Tall Grand Slam On-Course Slim-Fit Active Waistband Stretch Golf Pants</t>
  </si>
  <si>
    <t>717312872989</t>
  </si>
  <si>
    <t>67011610</t>
  </si>
  <si>
    <t>717312597233</t>
  </si>
  <si>
    <t>46215651</t>
  </si>
  <si>
    <t>48X34</t>
  </si>
  <si>
    <t>717312873764</t>
  </si>
  <si>
    <t>67011611</t>
  </si>
  <si>
    <t>717312597165</t>
  </si>
  <si>
    <t>46215652</t>
  </si>
  <si>
    <t>717312865875</t>
  </si>
  <si>
    <t>46215662</t>
  </si>
  <si>
    <t>717312597202</t>
  </si>
  <si>
    <t>46215653</t>
  </si>
  <si>
    <t>717312865912</t>
  </si>
  <si>
    <t>46215663</t>
  </si>
  <si>
    <t>717312873771</t>
  </si>
  <si>
    <t>67011612</t>
  </si>
  <si>
    <t>50X34</t>
  </si>
  <si>
    <t>717312865882</t>
  </si>
  <si>
    <t>46215665</t>
  </si>
  <si>
    <t>52X30</t>
  </si>
  <si>
    <t>717312865929</t>
  </si>
  <si>
    <t>46215666</t>
  </si>
  <si>
    <t>54X32</t>
  </si>
  <si>
    <t>717312597219</t>
  </si>
  <si>
    <t>46215657</t>
  </si>
  <si>
    <t>400607026401</t>
  </si>
  <si>
    <t>60702640</t>
  </si>
  <si>
    <t>6488224</t>
  </si>
  <si>
    <t>Sonoma Goods For Life® Long Neck Neutral Speckled Vase Table Decor</t>
  </si>
  <si>
    <t>Men's Under Armour Armour Fleece® Pants</t>
  </si>
  <si>
    <t>400469433546</t>
  </si>
  <si>
    <t>46943354</t>
  </si>
  <si>
    <t>5674107</t>
  </si>
  <si>
    <t>Sonoma Goods For Life® Seaside Toile Feather Fill Throw Pillow</t>
  </si>
  <si>
    <t>400469481813</t>
  </si>
  <si>
    <t>46948181</t>
  </si>
  <si>
    <t>1535</t>
  </si>
  <si>
    <t>6150902</t>
  </si>
  <si>
    <t>Boys 8-20 Jammies For Your Families® Merry &amp; Bright Tree Top &amp; Bottom Pajama Set in Regular &amp; Husky</t>
  </si>
  <si>
    <t>Dark Red Tartan</t>
  </si>
  <si>
    <t>400469481820</t>
  </si>
  <si>
    <t>46948182</t>
  </si>
  <si>
    <t>400469481837</t>
  </si>
  <si>
    <t>46948183</t>
  </si>
  <si>
    <t>619</t>
  </si>
  <si>
    <t>400469481844</t>
  </si>
  <si>
    <t>46948184</t>
  </si>
  <si>
    <t>831</t>
  </si>
  <si>
    <t>197772008041</t>
  </si>
  <si>
    <t>83325641</t>
  </si>
  <si>
    <t>656</t>
  </si>
  <si>
    <t>6438025</t>
  </si>
  <si>
    <t>Men's Santa's Financial Backer Graphic Tee</t>
  </si>
  <si>
    <t>197772008058</t>
  </si>
  <si>
    <t>83325642</t>
  </si>
  <si>
    <t>1004</t>
  </si>
  <si>
    <t>197772008065</t>
  </si>
  <si>
    <t>83325643</t>
  </si>
  <si>
    <t>197772008072</t>
  </si>
  <si>
    <t>83325644</t>
  </si>
  <si>
    <t>678</t>
  </si>
  <si>
    <t>197772008089</t>
  </si>
  <si>
    <t>83325645</t>
  </si>
  <si>
    <t>656741517132</t>
  </si>
  <si>
    <t>31009986</t>
  </si>
  <si>
    <t>6491364</t>
  </si>
  <si>
    <t>Fine Art Canvas Coming Soon Wall Hanging</t>
  </si>
  <si>
    <t>195861935568</t>
  </si>
  <si>
    <t>54779360</t>
  </si>
  <si>
    <t>5988492</t>
  </si>
  <si>
    <t>Baby Girl Little Planet by Carter's Plaid Button-Front Tiered Dress &amp; Diaper Cover Set</t>
  </si>
  <si>
    <t>Black Gray Plaid</t>
  </si>
  <si>
    <t>195861935537</t>
  </si>
  <si>
    <t>54779362</t>
  </si>
  <si>
    <t>195861935520</t>
  </si>
  <si>
    <t>54779361</t>
  </si>
  <si>
    <t>195861935544</t>
  </si>
  <si>
    <t>54779363</t>
  </si>
  <si>
    <t>195861935490</t>
  </si>
  <si>
    <t>54779364</t>
  </si>
  <si>
    <t>195861935506</t>
  </si>
  <si>
    <t>54779365</t>
  </si>
  <si>
    <t>195861935513</t>
  </si>
  <si>
    <t>54779366</t>
  </si>
  <si>
    <t>197505016008</t>
  </si>
  <si>
    <t>65806642</t>
  </si>
  <si>
    <t>6446426</t>
  </si>
  <si>
    <t>Plus Size Lilac+London Floral Print Satin Camisole Top &amp; Pajama Shorts Sleep Set</t>
  </si>
  <si>
    <t>197505016015</t>
  </si>
  <si>
    <t>65806649</t>
  </si>
  <si>
    <t>197505016022</t>
  </si>
  <si>
    <t>65806650</t>
  </si>
  <si>
    <t>Girls 7-16 adidas Graphic Hooded Tee</t>
  </si>
  <si>
    <t>Black With Multi</t>
  </si>
  <si>
    <t>400832279511</t>
  </si>
  <si>
    <t>83227951</t>
  </si>
  <si>
    <t>6319590</t>
  </si>
  <si>
    <t>Women's Nine West Twist Neck Long Sleeve Blouse</t>
  </si>
  <si>
    <t>400558903318</t>
  </si>
  <si>
    <t>55890331</t>
  </si>
  <si>
    <t>400558902717</t>
  </si>
  <si>
    <t>55890271</t>
  </si>
  <si>
    <t>400832279528</t>
  </si>
  <si>
    <t>83227952</t>
  </si>
  <si>
    <t>400558902816</t>
  </si>
  <si>
    <t>55890281</t>
  </si>
  <si>
    <t>400558903417</t>
  </si>
  <si>
    <t>55890341</t>
  </si>
  <si>
    <t>400832372946</t>
  </si>
  <si>
    <t>83237294</t>
  </si>
  <si>
    <t>6483283</t>
  </si>
  <si>
    <t>Petite Simply Vera Vera Wang Pleated Mini Dress</t>
  </si>
  <si>
    <t>400832372953</t>
  </si>
  <si>
    <t>83237295</t>
  </si>
  <si>
    <t>400832372977</t>
  </si>
  <si>
    <t>83237297</t>
  </si>
  <si>
    <t>400832372984</t>
  </si>
  <si>
    <t>83237298</t>
  </si>
  <si>
    <t>400832372939</t>
  </si>
  <si>
    <t>83237293</t>
  </si>
  <si>
    <t>400671696111</t>
  </si>
  <si>
    <t>67169611</t>
  </si>
  <si>
    <t>6890089</t>
  </si>
  <si>
    <t>Juniors' SO® Low Rise Flare Jeans</t>
  </si>
  <si>
    <t>Dark Tint</t>
  </si>
  <si>
    <t>400671696128</t>
  </si>
  <si>
    <t>67169612</t>
  </si>
  <si>
    <t>609475923564</t>
  </si>
  <si>
    <t>49590140</t>
  </si>
  <si>
    <t>609475923571</t>
  </si>
  <si>
    <t>49590141</t>
  </si>
  <si>
    <t>609475924271</t>
  </si>
  <si>
    <t>28138272</t>
  </si>
  <si>
    <t>609475923588</t>
  </si>
  <si>
    <t>49590148</t>
  </si>
  <si>
    <t>609475923595</t>
  </si>
  <si>
    <t>49590149</t>
  </si>
  <si>
    <t>609475923700</t>
  </si>
  <si>
    <t>78653364</t>
  </si>
  <si>
    <t>9 LONG</t>
  </si>
  <si>
    <t>400781731986</t>
  </si>
  <si>
    <t>78173198</t>
  </si>
  <si>
    <t>6260456</t>
  </si>
  <si>
    <t>Girls 6-20 SO® Adaptive Cozy Mockneck Tee in Regular &amp; Plus Size</t>
  </si>
  <si>
    <t>400781732037</t>
  </si>
  <si>
    <t>78173203</t>
  </si>
  <si>
    <t>400781731733</t>
  </si>
  <si>
    <t>78173173</t>
  </si>
  <si>
    <t>Cherry</t>
  </si>
  <si>
    <t>400781732044</t>
  </si>
  <si>
    <t>78173204</t>
  </si>
  <si>
    <t>400781731740</t>
  </si>
  <si>
    <t>78173174</t>
  </si>
  <si>
    <t>400781732051</t>
  </si>
  <si>
    <t>78173205</t>
  </si>
  <si>
    <t>400781731856</t>
  </si>
  <si>
    <t>78173185</t>
  </si>
  <si>
    <t>White Dahlia</t>
  </si>
  <si>
    <t>400781731757</t>
  </si>
  <si>
    <t>78173175</t>
  </si>
  <si>
    <t>400781731863</t>
  </si>
  <si>
    <t>78173186</t>
  </si>
  <si>
    <t>400781731962</t>
  </si>
  <si>
    <t>78173196</t>
  </si>
  <si>
    <t>Orchid</t>
  </si>
  <si>
    <t>400781731764</t>
  </si>
  <si>
    <t>78173176</t>
  </si>
  <si>
    <t>400583823186</t>
  </si>
  <si>
    <t>58382318</t>
  </si>
  <si>
    <t>400583823407</t>
  </si>
  <si>
    <t>58382340</t>
  </si>
  <si>
    <t>400583823070</t>
  </si>
  <si>
    <t>58382307</t>
  </si>
  <si>
    <t>400583823308</t>
  </si>
  <si>
    <t>58382330</t>
  </si>
  <si>
    <t>400583823193</t>
  </si>
  <si>
    <t>58382319</t>
  </si>
  <si>
    <t>400583823476</t>
  </si>
  <si>
    <t>58382347</t>
  </si>
  <si>
    <t>400583823483</t>
  </si>
  <si>
    <t>58382348</t>
  </si>
  <si>
    <t>400583823209</t>
  </si>
  <si>
    <t>58382320</t>
  </si>
  <si>
    <t>400583823384</t>
  </si>
  <si>
    <t>58382338</t>
  </si>
  <si>
    <t>400583823100</t>
  </si>
  <si>
    <t>58382310</t>
  </si>
  <si>
    <t>400583823278</t>
  </si>
  <si>
    <t>58382327</t>
  </si>
  <si>
    <t>400583823490</t>
  </si>
  <si>
    <t>58382349</t>
  </si>
  <si>
    <t>400583823179</t>
  </si>
  <si>
    <t>58382317</t>
  </si>
  <si>
    <t>400583823391</t>
  </si>
  <si>
    <t>58382339</t>
  </si>
  <si>
    <t>400583823506</t>
  </si>
  <si>
    <t>58382350</t>
  </si>
  <si>
    <t>400583823285</t>
  </si>
  <si>
    <t>58382328</t>
  </si>
  <si>
    <t>Plus Size Levi's® Wedgie High-Rise Straight Leg Jeans</t>
  </si>
  <si>
    <t>Naturally Good</t>
  </si>
  <si>
    <t>400302858642</t>
  </si>
  <si>
    <t>30285864</t>
  </si>
  <si>
    <t>5359013</t>
  </si>
  <si>
    <t>Big &amp; Tall Apt. 9® Slim-Fit Athleisure Untucked Tech Button-Down Shirt</t>
  </si>
  <si>
    <t>400302859069</t>
  </si>
  <si>
    <t>30285906</t>
  </si>
  <si>
    <t>400743853251</t>
  </si>
  <si>
    <t>74385325</t>
  </si>
  <si>
    <t>400302858857</t>
  </si>
  <si>
    <t>30285885</t>
  </si>
  <si>
    <t>400302858222</t>
  </si>
  <si>
    <t>30285822</t>
  </si>
  <si>
    <t>400302858437</t>
  </si>
  <si>
    <t>30285843</t>
  </si>
  <si>
    <t>Coastal Waters</t>
  </si>
  <si>
    <t>400703440736</t>
  </si>
  <si>
    <t>70344073</t>
  </si>
  <si>
    <t>White Floral</t>
  </si>
  <si>
    <t>400743853466</t>
  </si>
  <si>
    <t>74385346</t>
  </si>
  <si>
    <t>400302858239</t>
  </si>
  <si>
    <t>30285823</t>
  </si>
  <si>
    <t>400302859052</t>
  </si>
  <si>
    <t>30285905</t>
  </si>
  <si>
    <t>400302858420</t>
  </si>
  <si>
    <t>30285842</t>
  </si>
  <si>
    <t>191170794599</t>
  </si>
  <si>
    <t>74389430</t>
  </si>
  <si>
    <t>6352898</t>
  </si>
  <si>
    <t>Girls 7-16 Three Pink Hearts Shrug &amp; Dress</t>
  </si>
  <si>
    <t>191170794704</t>
  </si>
  <si>
    <t>74410042</t>
  </si>
  <si>
    <t>191170794605</t>
  </si>
  <si>
    <t>74389431</t>
  </si>
  <si>
    <t>191170794711</t>
  </si>
  <si>
    <t>74410052</t>
  </si>
  <si>
    <t>191170794612</t>
  </si>
  <si>
    <t>74410022</t>
  </si>
  <si>
    <t>191170794728</t>
  </si>
  <si>
    <t>74410062</t>
  </si>
  <si>
    <t>191170794735</t>
  </si>
  <si>
    <t>74410072</t>
  </si>
  <si>
    <t>191170794902</t>
  </si>
  <si>
    <t>59643447</t>
  </si>
  <si>
    <t>191170794841</t>
  </si>
  <si>
    <t>59643438</t>
  </si>
  <si>
    <t>191170794919</t>
  </si>
  <si>
    <t>59643448</t>
  </si>
  <si>
    <t>191170794926</t>
  </si>
  <si>
    <t>59643449</t>
  </si>
  <si>
    <t>191170794933</t>
  </si>
  <si>
    <t>59643454</t>
  </si>
  <si>
    <t>191170794230</t>
  </si>
  <si>
    <t>44199054</t>
  </si>
  <si>
    <t>191170794193</t>
  </si>
  <si>
    <t>44199050</t>
  </si>
  <si>
    <t>191170794247</t>
  </si>
  <si>
    <t>44199055</t>
  </si>
  <si>
    <t>191170794209</t>
  </si>
  <si>
    <t>44199051</t>
  </si>
  <si>
    <t>191170794254</t>
  </si>
  <si>
    <t>44199056</t>
  </si>
  <si>
    <t>191170794261</t>
  </si>
  <si>
    <t>44199057</t>
  </si>
  <si>
    <t>Sharper Image Toy RC Battle Track 2-Pack LED Battlers</t>
  </si>
  <si>
    <t>Sharper Image</t>
  </si>
  <si>
    <t>Disney Junior Alice's Wonderland Bakery Cheshire Cat Plush by Just Play</t>
  </si>
  <si>
    <t>Just Play</t>
  </si>
  <si>
    <t>400291182704</t>
  </si>
  <si>
    <t>29118270</t>
  </si>
  <si>
    <t>5895249</t>
  </si>
  <si>
    <t>Big &amp; Tall Sonoma Goods For Life® Seriously Soft Banded Bottom Sleep Pants</t>
  </si>
  <si>
    <t>400291182711</t>
  </si>
  <si>
    <t>29118271</t>
  </si>
  <si>
    <t>752</t>
  </si>
  <si>
    <t>400291182742</t>
  </si>
  <si>
    <t>29118274</t>
  </si>
  <si>
    <t>400291182728</t>
  </si>
  <si>
    <t>29118272</t>
  </si>
  <si>
    <t>400291182735</t>
  </si>
  <si>
    <t>29118273</t>
  </si>
  <si>
    <t>400291182766</t>
  </si>
  <si>
    <t>29118276</t>
  </si>
  <si>
    <t>Packed Party Celebrate Confetti Belt Bag</t>
  </si>
  <si>
    <t>Packed Party</t>
  </si>
  <si>
    <t>196202790327</t>
  </si>
  <si>
    <t>70256620</t>
  </si>
  <si>
    <t>6717687</t>
  </si>
  <si>
    <t>Juniors' Almost Famous Bell Sleeve Cropped Crochet T-Shirt</t>
  </si>
  <si>
    <t>Almost Famous</t>
  </si>
  <si>
    <t>196202790389</t>
  </si>
  <si>
    <t>70256631</t>
  </si>
  <si>
    <t>Bright Pink</t>
  </si>
  <si>
    <t>196202790440</t>
  </si>
  <si>
    <t>70256642</t>
  </si>
  <si>
    <t>Dune</t>
  </si>
  <si>
    <t>196202790457</t>
  </si>
  <si>
    <t>70256649</t>
  </si>
  <si>
    <t>196202790334</t>
  </si>
  <si>
    <t>70256621</t>
  </si>
  <si>
    <t>196202790396</t>
  </si>
  <si>
    <t>70256632</t>
  </si>
  <si>
    <t>196202790402</t>
  </si>
  <si>
    <t>70256639</t>
  </si>
  <si>
    <t>196202790464</t>
  </si>
  <si>
    <t>70256650</t>
  </si>
  <si>
    <t>196202790341</t>
  </si>
  <si>
    <t>70256622</t>
  </si>
  <si>
    <t>196202790358</t>
  </si>
  <si>
    <t>70256629</t>
  </si>
  <si>
    <t>196202790419</t>
  </si>
  <si>
    <t>70256640</t>
  </si>
  <si>
    <t>196202790471</t>
  </si>
  <si>
    <t>70256651</t>
  </si>
  <si>
    <t>196202790365</t>
  </si>
  <si>
    <t>70256630</t>
  </si>
  <si>
    <t>196202790426</t>
  </si>
  <si>
    <t>70256641</t>
  </si>
  <si>
    <t>196202790488</t>
  </si>
  <si>
    <t>70256652</t>
  </si>
  <si>
    <t>656741517040</t>
  </si>
  <si>
    <t>60545755</t>
  </si>
  <si>
    <t>6491387</t>
  </si>
  <si>
    <t>Fine Art Canvas Vintage Chevrolet Wall Art</t>
  </si>
  <si>
    <t>197117377054</t>
  </si>
  <si>
    <t>29854096</t>
  </si>
  <si>
    <t>6197040</t>
  </si>
  <si>
    <t>Men's Cuddl Duds® Midweight Lite Compression Performance Base Layer Pants</t>
  </si>
  <si>
    <t>Nickel Gray</t>
  </si>
  <si>
    <t>197117377016</t>
  </si>
  <si>
    <t>29854056</t>
  </si>
  <si>
    <t>197117377061</t>
  </si>
  <si>
    <t>29854106</t>
  </si>
  <si>
    <t>197117377023</t>
  </si>
  <si>
    <t>29854066</t>
  </si>
  <si>
    <t>197117377078</t>
  </si>
  <si>
    <t>29854116</t>
  </si>
  <si>
    <t>400441459212</t>
  </si>
  <si>
    <t>44145921</t>
  </si>
  <si>
    <t>6285197</t>
  </si>
  <si>
    <t>Plus Size Tek Gear Easy Crew Long Sleeve Shirt</t>
  </si>
  <si>
    <t>400441459250</t>
  </si>
  <si>
    <t>44145925</t>
  </si>
  <si>
    <t>400441459229</t>
  </si>
  <si>
    <t>44145922</t>
  </si>
  <si>
    <t>400441459182</t>
  </si>
  <si>
    <t>44145918</t>
  </si>
  <si>
    <t>Gale Orchd</t>
  </si>
  <si>
    <t>400441459144</t>
  </si>
  <si>
    <t>44145914</t>
  </si>
  <si>
    <t>400441459267</t>
  </si>
  <si>
    <t>44145926</t>
  </si>
  <si>
    <t>400441459274</t>
  </si>
  <si>
    <t>44145927</t>
  </si>
  <si>
    <t>400441459199</t>
  </si>
  <si>
    <t>44145919</t>
  </si>
  <si>
    <t>400441459236</t>
  </si>
  <si>
    <t>44145923</t>
  </si>
  <si>
    <t>400441459151</t>
  </si>
  <si>
    <t>44145915</t>
  </si>
  <si>
    <t>400441459281</t>
  </si>
  <si>
    <t>44145928</t>
  </si>
  <si>
    <t>400441459243</t>
  </si>
  <si>
    <t>44145924</t>
  </si>
  <si>
    <t>400819165295</t>
  </si>
  <si>
    <t>81916529</t>
  </si>
  <si>
    <t>6890419</t>
  </si>
  <si>
    <t>Boys 8-20 Tek Gear® 3/4 Base Layer Tights in Regular &amp; Husky</t>
  </si>
  <si>
    <t>400819165387</t>
  </si>
  <si>
    <t>81916538</t>
  </si>
  <si>
    <t>400819165394</t>
  </si>
  <si>
    <t>81916539</t>
  </si>
  <si>
    <t>400819165301</t>
  </si>
  <si>
    <t>81916530</t>
  </si>
  <si>
    <t>400819165318</t>
  </si>
  <si>
    <t>81916531</t>
  </si>
  <si>
    <t>400819165400</t>
  </si>
  <si>
    <t>81916540</t>
  </si>
  <si>
    <t>400819165325</t>
  </si>
  <si>
    <t>81916532</t>
  </si>
  <si>
    <t>400767784425</t>
  </si>
  <si>
    <t>76778442</t>
  </si>
  <si>
    <t>6494283</t>
  </si>
  <si>
    <t>Petite LC Lauren Conrad Pleated A-Line Mini Dress</t>
  </si>
  <si>
    <t>Blue Cadiz Fleurs</t>
  </si>
  <si>
    <t>192370682464</t>
  </si>
  <si>
    <t>30478174</t>
  </si>
  <si>
    <t>5838104</t>
  </si>
  <si>
    <t>Women's GOLDTOE® Boucle Fashion Crew Sock 3-Pack</t>
  </si>
  <si>
    <t>GOLDTOE</t>
  </si>
  <si>
    <t>Stripes</t>
  </si>
  <si>
    <t>614015405394</t>
  </si>
  <si>
    <t>72525583</t>
  </si>
  <si>
    <t>4316598</t>
  </si>
  <si>
    <t>Women's LC Lauren Conrad Feel Good Midrise Super Skinny Jeans</t>
  </si>
  <si>
    <t>614015494206</t>
  </si>
  <si>
    <t>71608946</t>
  </si>
  <si>
    <t>Century Wash</t>
  </si>
  <si>
    <t>614015494800</t>
  </si>
  <si>
    <t>19521876</t>
  </si>
  <si>
    <t>Morning Wash</t>
  </si>
  <si>
    <t>614015405486</t>
  </si>
  <si>
    <t>72525596</t>
  </si>
  <si>
    <t>400768835683</t>
  </si>
  <si>
    <t>76883568</t>
  </si>
  <si>
    <t>7029944</t>
  </si>
  <si>
    <t>Women's FLX Affirmation Full Zip Jacket</t>
  </si>
  <si>
    <t>Cade Khaki</t>
  </si>
  <si>
    <t>400768835744</t>
  </si>
  <si>
    <t>76883574</t>
  </si>
  <si>
    <t>Men's Columbia Steens Mountain™ Printed Fleece Shacket</t>
  </si>
  <si>
    <t>Shark Stripe</t>
  </si>
  <si>
    <t>Mountain Red Check</t>
  </si>
  <si>
    <t>Shasta Super Mega</t>
  </si>
  <si>
    <t>780736442831</t>
  </si>
  <si>
    <t>29066897</t>
  </si>
  <si>
    <t>5654404</t>
  </si>
  <si>
    <t>Disney's Encanto Mirabel and the Family Madrigal Children's Book</t>
  </si>
  <si>
    <t>196604923088</t>
  </si>
  <si>
    <t>30934692</t>
  </si>
  <si>
    <t>5945716</t>
  </si>
  <si>
    <t>Boys 8-20 Nike Sportswear &amp;#34;Boxy&amp;#34; Graphic Tee</t>
  </si>
  <si>
    <t>196604923101</t>
  </si>
  <si>
    <t>30934712</t>
  </si>
  <si>
    <t>196604923118</t>
  </si>
  <si>
    <t>30934722</t>
  </si>
  <si>
    <t>848977006065</t>
  </si>
  <si>
    <t>55807739</t>
  </si>
  <si>
    <t>6167218</t>
  </si>
  <si>
    <t>Sonoma Goods For Life® Ivory Floral Trio Decorative Pillow</t>
  </si>
  <si>
    <t>717312433999</t>
  </si>
  <si>
    <t>50086646</t>
  </si>
  <si>
    <t>3203708</t>
  </si>
  <si>
    <t>Men's Grand Slam Off Course Slim-Fit Textured Golf Polo</t>
  </si>
  <si>
    <t>Fig</t>
  </si>
  <si>
    <t>717312433692</t>
  </si>
  <si>
    <t>75466665</t>
  </si>
  <si>
    <t>Boys 8-20 Hurley Wave Tallica Tee</t>
  </si>
  <si>
    <t>606683439368</t>
  </si>
  <si>
    <t>46885139</t>
  </si>
  <si>
    <t>5580631</t>
  </si>
  <si>
    <t>The Big One® Star 4-Hook Wall Decor</t>
  </si>
  <si>
    <t>The Big One</t>
  </si>
  <si>
    <t>197117364849</t>
  </si>
  <si>
    <t>20307658</t>
  </si>
  <si>
    <t>6197026</t>
  </si>
  <si>
    <t>Men's Cuddl Duds® Heavyweight ProExtreme Performance Base Layer Pants</t>
  </si>
  <si>
    <t>Women's Hanes® Diamond Dot Tights HG0013</t>
  </si>
  <si>
    <t>400756033787</t>
  </si>
  <si>
    <t>75603378</t>
  </si>
  <si>
    <t>6824321</t>
  </si>
  <si>
    <t>Men's FLX Synergy Fleece Hoodie</t>
  </si>
  <si>
    <t>400756033794</t>
  </si>
  <si>
    <t>75603379</t>
  </si>
  <si>
    <t>400756033817</t>
  </si>
  <si>
    <t>75603381</t>
  </si>
  <si>
    <t>400756033824</t>
  </si>
  <si>
    <t>75603382</t>
  </si>
  <si>
    <t>196575365290</t>
  </si>
  <si>
    <t>74070550</t>
  </si>
  <si>
    <t>6172408</t>
  </si>
  <si>
    <t>196575365221</t>
  </si>
  <si>
    <t>74070551</t>
  </si>
  <si>
    <t>196575365535</t>
  </si>
  <si>
    <t>74070552</t>
  </si>
  <si>
    <t>Juniors' Plus WallFlower High-Rise Sassy Ankle Jeggings</t>
  </si>
  <si>
    <t>Nine West Nans Women's OTK Boot</t>
  </si>
  <si>
    <t>400806092207</t>
  </si>
  <si>
    <t>80609220</t>
  </si>
  <si>
    <t>7090358</t>
  </si>
  <si>
    <t>Toddler Girl Carter's Pets Tops &amp; Bottoms Pajama Set</t>
  </si>
  <si>
    <t>Dog</t>
  </si>
  <si>
    <t>721357436099</t>
  </si>
  <si>
    <t>71949763</t>
  </si>
  <si>
    <t>Men's Eddie Bauer Midweight Base Layer Top</t>
  </si>
  <si>
    <t>Mid Grey</t>
  </si>
  <si>
    <t>721357436082</t>
  </si>
  <si>
    <t>71949764</t>
  </si>
  <si>
    <t>193506102412</t>
  </si>
  <si>
    <t>85124571</t>
  </si>
  <si>
    <t>6615811</t>
  </si>
  <si>
    <t>14k Gold Cubic Zirconia Stud Earrings</t>
  </si>
  <si>
    <t>047218376749</t>
  </si>
  <si>
    <t>73051962</t>
  </si>
  <si>
    <t>6153494</t>
  </si>
  <si>
    <t>Sonoma Goods For Life® Velvet Throw Pillow</t>
  </si>
  <si>
    <t>716273406202</t>
  </si>
  <si>
    <t>46693415</t>
  </si>
  <si>
    <t>4338096</t>
  </si>
  <si>
    <t>Maternity Cuddl Duds® Pajamas: Essential Long Sleep Pant</t>
  </si>
  <si>
    <t>716273406325</t>
  </si>
  <si>
    <t>46693427</t>
  </si>
  <si>
    <t>716273406264</t>
  </si>
  <si>
    <t>46693421</t>
  </si>
  <si>
    <t>716273662486</t>
  </si>
  <si>
    <t>63551426</t>
  </si>
  <si>
    <t>716273406332</t>
  </si>
  <si>
    <t>46693428</t>
  </si>
  <si>
    <t>716273406219</t>
  </si>
  <si>
    <t>46693416</t>
  </si>
  <si>
    <t>716273406271</t>
  </si>
  <si>
    <t>46693422</t>
  </si>
  <si>
    <t>716273662493</t>
  </si>
  <si>
    <t>63551427</t>
  </si>
  <si>
    <t>716273406226</t>
  </si>
  <si>
    <t>46693417</t>
  </si>
  <si>
    <t>716273406288</t>
  </si>
  <si>
    <t>46693423</t>
  </si>
  <si>
    <t>716273662509</t>
  </si>
  <si>
    <t>63551428</t>
  </si>
  <si>
    <t>716273406233</t>
  </si>
  <si>
    <t>46693418</t>
  </si>
  <si>
    <t>716273406295</t>
  </si>
  <si>
    <t>46693424</t>
  </si>
  <si>
    <t>716273662516</t>
  </si>
  <si>
    <t>63551429</t>
  </si>
  <si>
    <t>716273406240</t>
  </si>
  <si>
    <t>46693419</t>
  </si>
  <si>
    <t>716273406301</t>
  </si>
  <si>
    <t>46693425</t>
  </si>
  <si>
    <t>716273406363</t>
  </si>
  <si>
    <t>46693431</t>
  </si>
  <si>
    <t>716273662523</t>
  </si>
  <si>
    <t>63551434</t>
  </si>
  <si>
    <t>716273406318</t>
  </si>
  <si>
    <t>46693426</t>
  </si>
  <si>
    <t>716273406257</t>
  </si>
  <si>
    <t>46693420</t>
  </si>
  <si>
    <t>716273406370</t>
  </si>
  <si>
    <t>46693432</t>
  </si>
  <si>
    <t>716273662530</t>
  </si>
  <si>
    <t>63551435</t>
  </si>
  <si>
    <t>400721835484</t>
  </si>
  <si>
    <t>72183548</t>
  </si>
  <si>
    <t>6330580</t>
  </si>
  <si>
    <t>Plus Size LC Lauren Conrad Pretty Trench Coat</t>
  </si>
  <si>
    <t>400721835583</t>
  </si>
  <si>
    <t>72183558</t>
  </si>
  <si>
    <t>400721835682</t>
  </si>
  <si>
    <t>72183568</t>
  </si>
  <si>
    <t>400721835781</t>
  </si>
  <si>
    <t>72183578</t>
  </si>
  <si>
    <t>400188063000</t>
  </si>
  <si>
    <t>18806300</t>
  </si>
  <si>
    <t>6259468</t>
  </si>
  <si>
    <t>Women's FLX Quarter Zip Pullover</t>
  </si>
  <si>
    <t>400188063017</t>
  </si>
  <si>
    <t>18806301</t>
  </si>
  <si>
    <t>191170807299</t>
  </si>
  <si>
    <t>68837381</t>
  </si>
  <si>
    <t>6641690</t>
  </si>
  <si>
    <t>Girls 4-16 Three Pink Hearts Ruffle Front Clip Dot Dress in Regular &amp; Plus Size</t>
  </si>
  <si>
    <t>400642748542</t>
  </si>
  <si>
    <t>64274854</t>
  </si>
  <si>
    <t>6933573</t>
  </si>
  <si>
    <t>Big &amp; Tall Sonoma Goods For Life® Microfleece Sleep Pants</t>
  </si>
  <si>
    <t>400642748924</t>
  </si>
  <si>
    <t>64274892</t>
  </si>
  <si>
    <t>Blue Multi Check</t>
  </si>
  <si>
    <t>400642748290</t>
  </si>
  <si>
    <t>64274829</t>
  </si>
  <si>
    <t>Gray Fair Isle</t>
  </si>
  <si>
    <t>400642748672</t>
  </si>
  <si>
    <t>64274867</t>
  </si>
  <si>
    <t>400642748641</t>
  </si>
  <si>
    <t>64274864</t>
  </si>
  <si>
    <t>400642748863</t>
  </si>
  <si>
    <t>64274886</t>
  </si>
  <si>
    <t>400642748269</t>
  </si>
  <si>
    <t>64274826</t>
  </si>
  <si>
    <t>400642748474</t>
  </si>
  <si>
    <t>64274847</t>
  </si>
  <si>
    <t>400642748528</t>
  </si>
  <si>
    <t>64274852</t>
  </si>
  <si>
    <t>400642748597</t>
  </si>
  <si>
    <t>64274859</t>
  </si>
  <si>
    <t>400642748887</t>
  </si>
  <si>
    <t>64274888</t>
  </si>
  <si>
    <t>400642748405</t>
  </si>
  <si>
    <t>64274840</t>
  </si>
  <si>
    <t>Big Black Plaid</t>
  </si>
  <si>
    <t>400642748245</t>
  </si>
  <si>
    <t>64274824</t>
  </si>
  <si>
    <t>400642748689</t>
  </si>
  <si>
    <t>64274868</t>
  </si>
  <si>
    <t>Navy Aqua Pop Plaid</t>
  </si>
  <si>
    <t>781646386253</t>
  </si>
  <si>
    <t>65531157</t>
  </si>
  <si>
    <t>5766959</t>
  </si>
  <si>
    <t>Cottage Door Press Say It, Hear It: Let's Go! ¡Vamanos! Spanish Sound Book</t>
  </si>
  <si>
    <t>Cottage Door Press</t>
  </si>
  <si>
    <t>195365501399</t>
  </si>
  <si>
    <t>75542036</t>
  </si>
  <si>
    <t>6110754</t>
  </si>
  <si>
    <t>Women's ZeroXposur Cannes Breezy Lined Pull-On Jogger Pants</t>
  </si>
  <si>
    <t>Java</t>
  </si>
  <si>
    <t>195365508312</t>
  </si>
  <si>
    <t>73200051</t>
  </si>
  <si>
    <t>195365501405</t>
  </si>
  <si>
    <t>75542038</t>
  </si>
  <si>
    <t>195365508329</t>
  </si>
  <si>
    <t>73200052</t>
  </si>
  <si>
    <t>400628600109</t>
  </si>
  <si>
    <t>62860010</t>
  </si>
  <si>
    <t>7081371</t>
  </si>
  <si>
    <t>Women's Croft &amp; Barrow® Essential V-Neck Tee</t>
  </si>
  <si>
    <t>Pink Red Stripe</t>
  </si>
  <si>
    <t>400628600116</t>
  </si>
  <si>
    <t>62860011</t>
  </si>
  <si>
    <t>196050690190</t>
  </si>
  <si>
    <t>64026843</t>
  </si>
  <si>
    <t>6259419</t>
  </si>
  <si>
    <t>SO® Mars Girls' Winter Boots</t>
  </si>
  <si>
    <t>196050690206</t>
  </si>
  <si>
    <t>64026850</t>
  </si>
  <si>
    <t>196050690152</t>
  </si>
  <si>
    <t>76458322</t>
  </si>
  <si>
    <t>196050690213</t>
  </si>
  <si>
    <t>64026851</t>
  </si>
  <si>
    <t>196050690169</t>
  </si>
  <si>
    <t>76458324</t>
  </si>
  <si>
    <t>196050690220</t>
  </si>
  <si>
    <t>64026852</t>
  </si>
  <si>
    <t>196050690237</t>
  </si>
  <si>
    <t>64026853</t>
  </si>
  <si>
    <t>196050690176</t>
  </si>
  <si>
    <t>76458325</t>
  </si>
  <si>
    <t>196050690183</t>
  </si>
  <si>
    <t>76458326</t>
  </si>
  <si>
    <t>196050690244</t>
  </si>
  <si>
    <t>64026860</t>
  </si>
  <si>
    <t>196050692927</t>
  </si>
  <si>
    <t>76458327</t>
  </si>
  <si>
    <t>196050692903</t>
  </si>
  <si>
    <t>64026861</t>
  </si>
  <si>
    <t>196608478065</t>
  </si>
  <si>
    <t>29802220</t>
  </si>
  <si>
    <t>6121008</t>
  </si>
  <si>
    <t>Boys 8-20 Nike Allover Swoosh Print Long Sleeve Tee</t>
  </si>
  <si>
    <t>Team Red</t>
  </si>
  <si>
    <t>196608477914</t>
  </si>
  <si>
    <t>29802214</t>
  </si>
  <si>
    <t>196608478072</t>
  </si>
  <si>
    <t>29802221</t>
  </si>
  <si>
    <t>196608477921</t>
  </si>
  <si>
    <t>29802217</t>
  </si>
  <si>
    <t>196608478089</t>
  </si>
  <si>
    <t>29802222</t>
  </si>
  <si>
    <t>196608477938</t>
  </si>
  <si>
    <t>29802218</t>
  </si>
  <si>
    <t>196608478096</t>
  </si>
  <si>
    <t>29802223</t>
  </si>
  <si>
    <t>196608477945</t>
  </si>
  <si>
    <t>29802219</t>
  </si>
  <si>
    <t>Baby Carter's Sherpa-Lined Cardigan</t>
  </si>
  <si>
    <t>889260804586</t>
  </si>
  <si>
    <t>49325544</t>
  </si>
  <si>
    <t>4563701</t>
  </si>
  <si>
    <t>totes Shirley Tall Girls' Winter Boots</t>
  </si>
  <si>
    <t>Toffee</t>
  </si>
  <si>
    <t>889260804425</t>
  </si>
  <si>
    <t>62565749</t>
  </si>
  <si>
    <t>Dress Blue Cool Blue</t>
  </si>
  <si>
    <t>889260804432</t>
  </si>
  <si>
    <t>62565750</t>
  </si>
  <si>
    <t>889260804593</t>
  </si>
  <si>
    <t>49325545</t>
  </si>
  <si>
    <t>889260804449</t>
  </si>
  <si>
    <t>62565751</t>
  </si>
  <si>
    <t>889260804609</t>
  </si>
  <si>
    <t>49325546</t>
  </si>
  <si>
    <t>196607969984</t>
  </si>
  <si>
    <t>73208784</t>
  </si>
  <si>
    <t>7081146</t>
  </si>
  <si>
    <t>Women's Nike Sportswear Essentials Ribbed Cropped Tank Top</t>
  </si>
  <si>
    <t>Light Fusion Red</t>
  </si>
  <si>
    <t>196607969632</t>
  </si>
  <si>
    <t>73208779</t>
  </si>
  <si>
    <t>Light Orewood Brown</t>
  </si>
  <si>
    <t>196607969991</t>
  </si>
  <si>
    <t>73208785</t>
  </si>
  <si>
    <t>400556033666</t>
  </si>
  <si>
    <t>55603366</t>
  </si>
  <si>
    <t>6126050</t>
  </si>
  <si>
    <t>Women's Sonoma Goods For Life® Petite V-Neck Pullover Sweater</t>
  </si>
  <si>
    <t>400556033468</t>
  </si>
  <si>
    <t>55603346</t>
  </si>
  <si>
    <t>400556033673</t>
  </si>
  <si>
    <t>55603367</t>
  </si>
  <si>
    <t>400556033475</t>
  </si>
  <si>
    <t>55603347</t>
  </si>
  <si>
    <t>400556033482</t>
  </si>
  <si>
    <t>55603348</t>
  </si>
  <si>
    <t>400556033680</t>
  </si>
  <si>
    <t>55603368</t>
  </si>
  <si>
    <t>400188044672</t>
  </si>
  <si>
    <t>18804467</t>
  </si>
  <si>
    <t>400556033550</t>
  </si>
  <si>
    <t>55603355</t>
  </si>
  <si>
    <t>609475923861</t>
  </si>
  <si>
    <t>46938857</t>
  </si>
  <si>
    <t>7081061</t>
  </si>
  <si>
    <t>Junior's Plus Size SO® Low Rise Flare Jeans</t>
  </si>
  <si>
    <t>609475923519</t>
  </si>
  <si>
    <t>19702382</t>
  </si>
  <si>
    <t>609475924219</t>
  </si>
  <si>
    <t>19702387</t>
  </si>
  <si>
    <t>609475923878</t>
  </si>
  <si>
    <t>46938858</t>
  </si>
  <si>
    <t>609475923526</t>
  </si>
  <si>
    <t>19702383</t>
  </si>
  <si>
    <t>609475924226</t>
  </si>
  <si>
    <t>19702388</t>
  </si>
  <si>
    <t>609475923533</t>
  </si>
  <si>
    <t>19702384</t>
  </si>
  <si>
    <t>609475924233</t>
  </si>
  <si>
    <t>19702389</t>
  </si>
  <si>
    <t>609475923885</t>
  </si>
  <si>
    <t>46938859</t>
  </si>
  <si>
    <t>609475923892</t>
  </si>
  <si>
    <t>46938860</t>
  </si>
  <si>
    <t>195861323259</t>
  </si>
  <si>
    <t>18420284</t>
  </si>
  <si>
    <t>Boys 4-14 Carter's 1-Piece Footie Pajamas</t>
  </si>
  <si>
    <t>Green Skate</t>
  </si>
  <si>
    <t>Navy Motorcycle</t>
  </si>
  <si>
    <t>195861323242</t>
  </si>
  <si>
    <t>18420291</t>
  </si>
  <si>
    <t>197505018156</t>
  </si>
  <si>
    <t>58577447</t>
  </si>
  <si>
    <t>6482806</t>
  </si>
  <si>
    <t>Plus Size Lilac+London Jacquard Kimono Wrapper</t>
  </si>
  <si>
    <t>197505018163</t>
  </si>
  <si>
    <t>58577448</t>
  </si>
  <si>
    <t>197505018170</t>
  </si>
  <si>
    <t>58577449</t>
  </si>
  <si>
    <t>086201926943</t>
  </si>
  <si>
    <t>18949081</t>
  </si>
  <si>
    <t>4509826</t>
  </si>
  <si>
    <t>Men's Cuddl Duds® Scrubs Classic V-Neck Top with Zip Back Pocket</t>
  </si>
  <si>
    <t>086201927049</t>
  </si>
  <si>
    <t>18949093</t>
  </si>
  <si>
    <t>086201926899</t>
  </si>
  <si>
    <t>18949085</t>
  </si>
  <si>
    <t>086201926844</t>
  </si>
  <si>
    <t>18949097</t>
  </si>
  <si>
    <t>Ceil Heather</t>
  </si>
  <si>
    <t>086201926998</t>
  </si>
  <si>
    <t>18949089</t>
  </si>
  <si>
    <t>Charcoal Heather Gray</t>
  </si>
  <si>
    <t>086201926950</t>
  </si>
  <si>
    <t>18949082</t>
  </si>
  <si>
    <t>086201927001</t>
  </si>
  <si>
    <t>18949090</t>
  </si>
  <si>
    <t>086201926905</t>
  </si>
  <si>
    <t>18949086</t>
  </si>
  <si>
    <t>086201927056</t>
  </si>
  <si>
    <t>18949094</t>
  </si>
  <si>
    <t>086201926851</t>
  </si>
  <si>
    <t>18949098</t>
  </si>
  <si>
    <t>086201927018</t>
  </si>
  <si>
    <t>18949091</t>
  </si>
  <si>
    <t>086201926967</t>
  </si>
  <si>
    <t>18949083</t>
  </si>
  <si>
    <t>086201927063</t>
  </si>
  <si>
    <t>18949095</t>
  </si>
  <si>
    <t>086201926912</t>
  </si>
  <si>
    <t>18949087</t>
  </si>
  <si>
    <t>086201926868</t>
  </si>
  <si>
    <t>18949099</t>
  </si>
  <si>
    <t>086201927025</t>
  </si>
  <si>
    <t>18949092</t>
  </si>
  <si>
    <t>086201927070</t>
  </si>
  <si>
    <t>18949096</t>
  </si>
  <si>
    <t>086201926974</t>
  </si>
  <si>
    <t>18949084</t>
  </si>
  <si>
    <t>086201926929</t>
  </si>
  <si>
    <t>18949088</t>
  </si>
  <si>
    <t>086201927032</t>
  </si>
  <si>
    <t>77309132</t>
  </si>
  <si>
    <t>086201926837</t>
  </si>
  <si>
    <t>77309135</t>
  </si>
  <si>
    <t>086201926936</t>
  </si>
  <si>
    <t>77309134</t>
  </si>
  <si>
    <t>197178090008</t>
  </si>
  <si>
    <t>79285839</t>
  </si>
  <si>
    <t>6094333</t>
  </si>
  <si>
    <t>Juniors' Plus Size SO® Self Belted Pull-On Flare Pants</t>
  </si>
  <si>
    <t>194194287672</t>
  </si>
  <si>
    <t>55694705</t>
  </si>
  <si>
    <t>6169659</t>
  </si>
  <si>
    <t>Women's isotoner Spandex Touchscreen Gloves</t>
  </si>
  <si>
    <t>isotoner</t>
  </si>
  <si>
    <t>Charcoal Black</t>
  </si>
  <si>
    <t>S-M</t>
  </si>
  <si>
    <t>194194310608</t>
  </si>
  <si>
    <t>86818207</t>
  </si>
  <si>
    <t>L/XL</t>
  </si>
  <si>
    <t>197117339946</t>
  </si>
  <si>
    <t>52082204</t>
  </si>
  <si>
    <t>6138794</t>
  </si>
  <si>
    <t>Men's Jammies For Your Families® Papa Elf Top &amp; Bottoms Pajama Set by Cuddl Duds®</t>
  </si>
  <si>
    <t>Candy Cane Stripe</t>
  </si>
  <si>
    <t>197117339953</t>
  </si>
  <si>
    <t>52082205</t>
  </si>
  <si>
    <t>1378</t>
  </si>
  <si>
    <t>197117339960</t>
  </si>
  <si>
    <t>52082206</t>
  </si>
  <si>
    <t>1597</t>
  </si>
  <si>
    <t>197117339977</t>
  </si>
  <si>
    <t>52082207</t>
  </si>
  <si>
    <t>096303408063</t>
  </si>
  <si>
    <t>70316672</t>
  </si>
  <si>
    <t>6861678</t>
  </si>
  <si>
    <t>14k Gold Diamond Cut Tube Hoop Earrings</t>
  </si>
  <si>
    <t>193506103228</t>
  </si>
  <si>
    <t>74358825</t>
  </si>
  <si>
    <t>6860563</t>
  </si>
  <si>
    <t>Sterling Silver Cubic Zirconia Tennis Necklace</t>
  </si>
  <si>
    <t>197016892610</t>
  </si>
  <si>
    <t>18787750</t>
  </si>
  <si>
    <t>6191955</t>
  </si>
  <si>
    <t>Nine West Cindra Women's Heeled Ankle Boots</t>
  </si>
  <si>
    <t>197016892979</t>
  </si>
  <si>
    <t>37913024</t>
  </si>
  <si>
    <t>Dark Natural</t>
  </si>
  <si>
    <t>197016892627</t>
  </si>
  <si>
    <t>18787751</t>
  </si>
  <si>
    <t>197016892986</t>
  </si>
  <si>
    <t>37913025</t>
  </si>
  <si>
    <t>197016892993</t>
  </si>
  <si>
    <t>37913026</t>
  </si>
  <si>
    <t>197016893006</t>
  </si>
  <si>
    <t>37913027</t>
  </si>
  <si>
    <t>197016893013</t>
  </si>
  <si>
    <t>37913034</t>
  </si>
  <si>
    <t>197016893037</t>
  </si>
  <si>
    <t>37913036</t>
  </si>
  <si>
    <t>197016893044</t>
  </si>
  <si>
    <t>37913037</t>
  </si>
  <si>
    <t>197016893051</t>
  </si>
  <si>
    <t>37913044</t>
  </si>
  <si>
    <t>197016893068</t>
  </si>
  <si>
    <t>37913045</t>
  </si>
  <si>
    <t>197016893099</t>
  </si>
  <si>
    <t>37913054</t>
  </si>
  <si>
    <t>197016892733</t>
  </si>
  <si>
    <t>18787762</t>
  </si>
  <si>
    <t>713610472326</t>
  </si>
  <si>
    <t>45967090</t>
  </si>
  <si>
    <t>6093333</t>
  </si>
  <si>
    <t>Women's Grand Slam Lightweight Lux Touch Full Zip Golf Jacket</t>
  </si>
  <si>
    <t>Super Pink</t>
  </si>
  <si>
    <t>713610472166</t>
  </si>
  <si>
    <t>45967098</t>
  </si>
  <si>
    <t>713610472036</t>
  </si>
  <si>
    <t>45967091</t>
  </si>
  <si>
    <t>713610472173</t>
  </si>
  <si>
    <t>45967099</t>
  </si>
  <si>
    <t>195862014026</t>
  </si>
  <si>
    <t>76353809</t>
  </si>
  <si>
    <t>6045902</t>
  </si>
  <si>
    <t>Baby Girl Carter's 3-Piece Floral Pointelle Shirt, Denim Jumper, &amp; Tights Set</t>
  </si>
  <si>
    <t>195862013999</t>
  </si>
  <si>
    <t>76353811</t>
  </si>
  <si>
    <t>195862013982</t>
  </si>
  <si>
    <t>76353810</t>
  </si>
  <si>
    <t>195862014002</t>
  </si>
  <si>
    <t>76353812</t>
  </si>
  <si>
    <t>195861472117</t>
  </si>
  <si>
    <t>81881559</t>
  </si>
  <si>
    <t>5663201</t>
  </si>
  <si>
    <t>Baby Girl Carter's Striped Tee, Corduroy Jumper, &amp; Tights Set</t>
  </si>
  <si>
    <t>195861472087</t>
  </si>
  <si>
    <t>81881561</t>
  </si>
  <si>
    <t>195861472070</t>
  </si>
  <si>
    <t>81881560</t>
  </si>
  <si>
    <t>195861472094</t>
  </si>
  <si>
    <t>81881562</t>
  </si>
  <si>
    <t>195861472049</t>
  </si>
  <si>
    <t>81881568</t>
  </si>
  <si>
    <t>195861472056</t>
  </si>
  <si>
    <t>81881569</t>
  </si>
  <si>
    <t>028266916583</t>
  </si>
  <si>
    <t>47713185</t>
  </si>
  <si>
    <t>6092744</t>
  </si>
  <si>
    <t>Plus Size Miss Elaine Essentials Brushed Back Terry Short Snap Robe</t>
  </si>
  <si>
    <t>Turquoise</t>
  </si>
  <si>
    <t>028266916590</t>
  </si>
  <si>
    <t>47713186</t>
  </si>
  <si>
    <t>028266916569</t>
  </si>
  <si>
    <t>47713177</t>
  </si>
  <si>
    <t>028266916637</t>
  </si>
  <si>
    <t>47713196</t>
  </si>
  <si>
    <t>028266916606</t>
  </si>
  <si>
    <t>47713187</t>
  </si>
  <si>
    <t>028266916576</t>
  </si>
  <si>
    <t>47713184</t>
  </si>
  <si>
    <t>197178371046</t>
  </si>
  <si>
    <t>43184498</t>
  </si>
  <si>
    <t>6528168</t>
  </si>
  <si>
    <t>Juniors' Plus Size SO® Keyhole Cutout Flutter Sleeve Sweater</t>
  </si>
  <si>
    <t>197178371015</t>
  </si>
  <si>
    <t>43184494</t>
  </si>
  <si>
    <t>197178371053</t>
  </si>
  <si>
    <t>43184499</t>
  </si>
  <si>
    <t>197178371022</t>
  </si>
  <si>
    <t>43184495</t>
  </si>
  <si>
    <t>197178371060</t>
  </si>
  <si>
    <t>43184500</t>
  </si>
  <si>
    <t>197178371039</t>
  </si>
  <si>
    <t>43184496</t>
  </si>
  <si>
    <t>195861982326</t>
  </si>
  <si>
    <t>66565397</t>
  </si>
  <si>
    <t>6066024</t>
  </si>
  <si>
    <t>Baby &amp; Toddler Girl Carter's 2-Piece Leopard Top &amp; Leggings Set</t>
  </si>
  <si>
    <t>195861982289</t>
  </si>
  <si>
    <t>66565394</t>
  </si>
  <si>
    <t>195861982296</t>
  </si>
  <si>
    <t>66565395</t>
  </si>
  <si>
    <t>195861982302</t>
  </si>
  <si>
    <t>66565396</t>
  </si>
  <si>
    <t>195862000623</t>
  </si>
  <si>
    <t>70038987</t>
  </si>
  <si>
    <t>Baby Boy Carter's Colorblock Zip-Up Fleece Jumpsuit</t>
  </si>
  <si>
    <t>Navy Brown Colorblock</t>
  </si>
  <si>
    <t>195862000586</t>
  </si>
  <si>
    <t>70038984</t>
  </si>
  <si>
    <t>195862000609</t>
  </si>
  <si>
    <t>70038986</t>
  </si>
  <si>
    <t>195862000562</t>
  </si>
  <si>
    <t>70038977</t>
  </si>
  <si>
    <t>195862000579</t>
  </si>
  <si>
    <t>70038983</t>
  </si>
  <si>
    <t>686692237544</t>
  </si>
  <si>
    <t>33739456</t>
  </si>
  <si>
    <t>4393331</t>
  </si>
  <si>
    <t>Stella Grace Sterling Silver 1/3 Carat T.W. Diamond Heart Halo Ring</t>
  </si>
  <si>
    <t>Stella Grace</t>
  </si>
  <si>
    <t>Sterling Silver</t>
  </si>
  <si>
    <t>Kamik Snowbug5 Boys' Waterproof Snow Boots</t>
  </si>
  <si>
    <t>400659106908</t>
  </si>
  <si>
    <t>65910690</t>
  </si>
  <si>
    <t>5677750</t>
  </si>
  <si>
    <t>Sonoma Goods For Life® Ohio Feather Fill Throw Pillow</t>
  </si>
  <si>
    <t>Ohio</t>
  </si>
  <si>
    <t>417765528002</t>
  </si>
  <si>
    <t>70993307</t>
  </si>
  <si>
    <t>5806640</t>
  </si>
  <si>
    <t>FirsTech Friends Smartwatch STEM Learning Toy</t>
  </si>
  <si>
    <t>VTech</t>
  </si>
  <si>
    <t>197235230217</t>
  </si>
  <si>
    <t>50745435</t>
  </si>
  <si>
    <t>7081064</t>
  </si>
  <si>
    <t>Girls 7-16 adidas Cotton Leggings</t>
  </si>
  <si>
    <t>197235230224</t>
  </si>
  <si>
    <t>50745436</t>
  </si>
  <si>
    <t>197235230231</t>
  </si>
  <si>
    <t>50745437</t>
  </si>
  <si>
    <t>197235252639</t>
  </si>
  <si>
    <t>50745444</t>
  </si>
  <si>
    <t>400375144208</t>
  </si>
  <si>
    <t>37514420</t>
  </si>
  <si>
    <t>6174874</t>
  </si>
  <si>
    <t>Girls 4-12 Jumping Beans® High-Rise Flare Jeans</t>
  </si>
  <si>
    <t>Denim Butterfly</t>
  </si>
  <si>
    <t>400375144215</t>
  </si>
  <si>
    <t>37514421</t>
  </si>
  <si>
    <t>190917439847</t>
  </si>
  <si>
    <t>19689269</t>
  </si>
  <si>
    <t>5664001</t>
  </si>
  <si>
    <t>Plus Size INTEMPO Faux-Leather Biker Jacket</t>
  </si>
  <si>
    <t>190917439854</t>
  </si>
  <si>
    <t>19689270</t>
  </si>
  <si>
    <t>400711982549</t>
  </si>
  <si>
    <t>71198254</t>
  </si>
  <si>
    <t>5635053</t>
  </si>
  <si>
    <t>Girls 4-16 Jammies For Your Families® Santa On Holiday Dorm Nightgown &amp; Matching Doll Gown</t>
  </si>
  <si>
    <t>Cream Holiday</t>
  </si>
  <si>
    <t>400711982556</t>
  </si>
  <si>
    <t>71198255</t>
  </si>
  <si>
    <t>195365510957</t>
  </si>
  <si>
    <t>18223096</t>
  </si>
  <si>
    <t>6110758</t>
  </si>
  <si>
    <t>Women's ZeroXposur Austin Lined Stretch Pants</t>
  </si>
  <si>
    <t>195365511275</t>
  </si>
  <si>
    <t>18223101</t>
  </si>
  <si>
    <t>195365511282</t>
  </si>
  <si>
    <t>18223103</t>
  </si>
  <si>
    <t>196900149755</t>
  </si>
  <si>
    <t>19351626</t>
  </si>
  <si>
    <t>6379810</t>
  </si>
  <si>
    <t>Girls 4-20 Bonnie Velvet &amp; Plaid Dress in Regular &amp; Plus Size</t>
  </si>
  <si>
    <t>196900149700</t>
  </si>
  <si>
    <t>19351627</t>
  </si>
  <si>
    <t>196900149717</t>
  </si>
  <si>
    <t>19351628</t>
  </si>
  <si>
    <t>196900149731</t>
  </si>
  <si>
    <t>19351630</t>
  </si>
  <si>
    <t>889260805934</t>
  </si>
  <si>
    <t>33898508</t>
  </si>
  <si>
    <t>5721755</t>
  </si>
  <si>
    <t>totes Tayton Mid Toddler Boys' Waterproof Winter Boots</t>
  </si>
  <si>
    <t>Black Blue</t>
  </si>
  <si>
    <t>889260805941</t>
  </si>
  <si>
    <t>33898509</t>
  </si>
  <si>
    <t>889260805903</t>
  </si>
  <si>
    <t>33898512</t>
  </si>
  <si>
    <t>889260805910</t>
  </si>
  <si>
    <t>33898513</t>
  </si>
  <si>
    <t>889260805927</t>
  </si>
  <si>
    <t>33898514</t>
  </si>
  <si>
    <t>400546647620</t>
  </si>
  <si>
    <t>54664762</t>
  </si>
  <si>
    <t>6860066</t>
  </si>
  <si>
    <t>Green Dye</t>
  </si>
  <si>
    <t>400547540586</t>
  </si>
  <si>
    <t>54754058</t>
  </si>
  <si>
    <t>Charcoal Wash</t>
  </si>
  <si>
    <t>400611645230</t>
  </si>
  <si>
    <t>61164523</t>
  </si>
  <si>
    <t>Lemonade Heather</t>
  </si>
  <si>
    <t>400611645407</t>
  </si>
  <si>
    <t>61164540</t>
  </si>
  <si>
    <t>Dark Feather Heather</t>
  </si>
  <si>
    <t>400611645124</t>
  </si>
  <si>
    <t>61164512</t>
  </si>
  <si>
    <t>400611645506</t>
  </si>
  <si>
    <t>61164550</t>
  </si>
  <si>
    <t>400611645223</t>
  </si>
  <si>
    <t>61164522</t>
  </si>
  <si>
    <t>400546647682</t>
  </si>
  <si>
    <t>54664768</t>
  </si>
  <si>
    <t>400707568740</t>
  </si>
  <si>
    <t>70756874</t>
  </si>
  <si>
    <t>4562709</t>
  </si>
  <si>
    <t>400707568757</t>
  </si>
  <si>
    <t>70756875</t>
  </si>
  <si>
    <t>400771372724</t>
  </si>
  <si>
    <t>77137272</t>
  </si>
  <si>
    <t>400639621377</t>
  </si>
  <si>
    <t>63962137</t>
  </si>
  <si>
    <t>Gray Sparkle</t>
  </si>
  <si>
    <t>400617281036</t>
  </si>
  <si>
    <t>61728103</t>
  </si>
  <si>
    <t>Black Sparkle</t>
  </si>
  <si>
    <t>400707568771</t>
  </si>
  <si>
    <t>70756877</t>
  </si>
  <si>
    <t>400639621384</t>
  </si>
  <si>
    <t>63962138</t>
  </si>
  <si>
    <t>400617281104</t>
  </si>
  <si>
    <t>61728110</t>
  </si>
  <si>
    <t>400707568788</t>
  </si>
  <si>
    <t>70756878</t>
  </si>
  <si>
    <t>400639621391</t>
  </si>
  <si>
    <t>63962139</t>
  </si>
  <si>
    <t>400707568832</t>
  </si>
  <si>
    <t>70756883</t>
  </si>
  <si>
    <t>400617281111</t>
  </si>
  <si>
    <t>61728111</t>
  </si>
  <si>
    <t>400183691185</t>
  </si>
  <si>
    <t>18369118</t>
  </si>
  <si>
    <t>1453</t>
  </si>
  <si>
    <t>196667105575</t>
  </si>
  <si>
    <t>55731243</t>
  </si>
  <si>
    <t>196667105544</t>
  </si>
  <si>
    <t>55731237</t>
  </si>
  <si>
    <t>194916640891</t>
  </si>
  <si>
    <t>72614023</t>
  </si>
  <si>
    <t>Blue Stone</t>
  </si>
  <si>
    <t>196667105605</t>
  </si>
  <si>
    <t>55731239</t>
  </si>
  <si>
    <t>195862018222</t>
  </si>
  <si>
    <t>56144165</t>
  </si>
  <si>
    <t>6075753</t>
  </si>
  <si>
    <t>Baby Girl Carter's 2-Piece Bodysuit &amp; Jumper Set</t>
  </si>
  <si>
    <t>195862018185</t>
  </si>
  <si>
    <t>56144162</t>
  </si>
  <si>
    <t>196038632617</t>
  </si>
  <si>
    <t>55621676</t>
  </si>
  <si>
    <t>5714958</t>
  </si>
  <si>
    <t>Men's Tommy Hilfiger Striped Sweater</t>
  </si>
  <si>
    <t>197232095116</t>
  </si>
  <si>
    <t>69868146</t>
  </si>
  <si>
    <t>Denim Blue Heather</t>
  </si>
  <si>
    <t>197232094751</t>
  </si>
  <si>
    <t>69868137</t>
  </si>
  <si>
    <t>197232095154</t>
  </si>
  <si>
    <t>69868147</t>
  </si>
  <si>
    <t>197232094775</t>
  </si>
  <si>
    <t>69868136</t>
  </si>
  <si>
    <t>400755877894</t>
  </si>
  <si>
    <t>75587789</t>
  </si>
  <si>
    <t>5749624</t>
  </si>
  <si>
    <t>The Big One® Explorer Throw Pillow</t>
  </si>
  <si>
    <t>Kurt Adler Bluey &amp; Family Christmas Stocking</t>
  </si>
  <si>
    <t>Kurt Adler</t>
  </si>
  <si>
    <t>195365502983</t>
  </si>
  <si>
    <t>79063118</t>
  </si>
  <si>
    <t>6110768</t>
  </si>
  <si>
    <t>Women's ZeroXposur Annecy Breezy Plaid Shirt</t>
  </si>
  <si>
    <t>Coral Tart</t>
  </si>
  <si>
    <t>195365503065</t>
  </si>
  <si>
    <t>79063124</t>
  </si>
  <si>
    <t>Sky Tart</t>
  </si>
  <si>
    <t>195365512227</t>
  </si>
  <si>
    <t>79063135</t>
  </si>
  <si>
    <t>Aloe Trail</t>
  </si>
  <si>
    <t>195365502990</t>
  </si>
  <si>
    <t>79063119</t>
  </si>
  <si>
    <t>195365503072</t>
  </si>
  <si>
    <t>79063125</t>
  </si>
  <si>
    <t>195365512234</t>
  </si>
  <si>
    <t>79063136</t>
  </si>
  <si>
    <t>195365503003</t>
  </si>
  <si>
    <t>79063120</t>
  </si>
  <si>
    <t>400276055672</t>
  </si>
  <si>
    <t>27605567</t>
  </si>
  <si>
    <t>6250880</t>
  </si>
  <si>
    <t>Women's Nine West V-Neck Trapunto Tunic</t>
  </si>
  <si>
    <t>Black Marble</t>
  </si>
  <si>
    <t>400276055795</t>
  </si>
  <si>
    <t>27605579</t>
  </si>
  <si>
    <t>Plum Leopard</t>
  </si>
  <si>
    <t>400300670420</t>
  </si>
  <si>
    <t>30067042</t>
  </si>
  <si>
    <t>400276055863</t>
  </si>
  <si>
    <t>27605586</t>
  </si>
  <si>
    <t>400300670437</t>
  </si>
  <si>
    <t>30067043</t>
  </si>
  <si>
    <t>197117345183</t>
  </si>
  <si>
    <t>30133697</t>
  </si>
  <si>
    <t>Women's Cuddl Duds® Softwear with Stretch Long Sleeve V-Neck Top</t>
  </si>
  <si>
    <t>197117345190</t>
  </si>
  <si>
    <t>30133698</t>
  </si>
  <si>
    <t>400586647475</t>
  </si>
  <si>
    <t>58664747</t>
  </si>
  <si>
    <t>6218138</t>
  </si>
  <si>
    <t>Plus Size Croft &amp; Barrow® Long Sleeve Pajama Top &amp; Pajama Pant Sleep Set</t>
  </si>
  <si>
    <t>Red Plum Plaid</t>
  </si>
  <si>
    <t>400586646881</t>
  </si>
  <si>
    <t>58664688</t>
  </si>
  <si>
    <t>400586647185</t>
  </si>
  <si>
    <t>58664718</t>
  </si>
  <si>
    <t>Navy Hollies</t>
  </si>
  <si>
    <t>400586647000</t>
  </si>
  <si>
    <t>58664700</t>
  </si>
  <si>
    <t>Gray Stars</t>
  </si>
  <si>
    <t>400586647420</t>
  </si>
  <si>
    <t>58664742</t>
  </si>
  <si>
    <t>400586647307</t>
  </si>
  <si>
    <t>58664730</t>
  </si>
  <si>
    <t>400586646836</t>
  </si>
  <si>
    <t>58664683</t>
  </si>
  <si>
    <t>Berry Fairisle</t>
  </si>
  <si>
    <t>400586646898</t>
  </si>
  <si>
    <t>58664689</t>
  </si>
  <si>
    <t>400586647192</t>
  </si>
  <si>
    <t>58664719</t>
  </si>
  <si>
    <t>400586647017</t>
  </si>
  <si>
    <t>58664701</t>
  </si>
  <si>
    <t>400586647437</t>
  </si>
  <si>
    <t>58664743</t>
  </si>
  <si>
    <t>400586647079</t>
  </si>
  <si>
    <t>58664707</t>
  </si>
  <si>
    <t>Gray White Stripe</t>
  </si>
  <si>
    <t>400586647376</t>
  </si>
  <si>
    <t>58664737</t>
  </si>
  <si>
    <t>Red Dots</t>
  </si>
  <si>
    <t>196219876359</t>
  </si>
  <si>
    <t>18785648</t>
  </si>
  <si>
    <t>6057725</t>
  </si>
  <si>
    <t>Girls 7-16 adidas Tricot Printed Track Jacket</t>
  </si>
  <si>
    <t>Wonder Clay</t>
  </si>
  <si>
    <t>196219876373</t>
  </si>
  <si>
    <t>18785650</t>
  </si>
  <si>
    <t>196219876380</t>
  </si>
  <si>
    <t>18785651</t>
  </si>
  <si>
    <t>400704048054</t>
  </si>
  <si>
    <t>70404805</t>
  </si>
  <si>
    <t>6331220</t>
  </si>
  <si>
    <t>Women's LC Lauren Conrad Faux Fur Jacket</t>
  </si>
  <si>
    <t>Chili Chocolate</t>
  </si>
  <si>
    <t>400704048061</t>
  </si>
  <si>
    <t>70404806</t>
  </si>
  <si>
    <t>400704048078</t>
  </si>
  <si>
    <t>70404807</t>
  </si>
  <si>
    <t>400704048085</t>
  </si>
  <si>
    <t>70404808</t>
  </si>
  <si>
    <t>195142178318</t>
  </si>
  <si>
    <t>80544682</t>
  </si>
  <si>
    <t>6206350</t>
  </si>
  <si>
    <t>LOL Surprise! Girls' Elevated Spa Slippers</t>
  </si>
  <si>
    <t>195142178325</t>
  </si>
  <si>
    <t>80544683</t>
  </si>
  <si>
    <t>195142178332</t>
  </si>
  <si>
    <t>80544692</t>
  </si>
  <si>
    <t>195142178349</t>
  </si>
  <si>
    <t>80544693</t>
  </si>
  <si>
    <t>191900467700</t>
  </si>
  <si>
    <t>29333350</t>
  </si>
  <si>
    <t>6146762</t>
  </si>
  <si>
    <t>Men's Levi's® Sherpa-Lined Hooded Shirt Jacket</t>
  </si>
  <si>
    <t>Green Ombre</t>
  </si>
  <si>
    <t>191900467755</t>
  </si>
  <si>
    <t>29333370</t>
  </si>
  <si>
    <t>Grey Navy Plaid</t>
  </si>
  <si>
    <t>196027316689</t>
  </si>
  <si>
    <t>65197971</t>
  </si>
  <si>
    <t>6176766</t>
  </si>
  <si>
    <t>Disney's Minnie Mouse Toddler Girl &amp;#34;Bow With Minnie&amp;#34; Microfleece Top &amp; Bottoms Pajama Set</t>
  </si>
  <si>
    <t>Minnie</t>
  </si>
  <si>
    <t>197206013603</t>
  </si>
  <si>
    <t>64824781</t>
  </si>
  <si>
    <t>6029832</t>
  </si>
  <si>
    <t>Men's IZOD Shaker Fleece Jacket</t>
  </si>
  <si>
    <t>196407938241</t>
  </si>
  <si>
    <t>64824751</t>
  </si>
  <si>
    <t>197206013191</t>
  </si>
  <si>
    <t>64824780</t>
  </si>
  <si>
    <t>196407938234</t>
  </si>
  <si>
    <t>64824750</t>
  </si>
  <si>
    <t>196407938265</t>
  </si>
  <si>
    <t>64824758</t>
  </si>
  <si>
    <t>656741517064</t>
  </si>
  <si>
    <t>71600594</t>
  </si>
  <si>
    <t>6491398</t>
  </si>
  <si>
    <t>Fine Art Canvas Beer Wall Art</t>
  </si>
  <si>
    <t>196805533734</t>
  </si>
  <si>
    <t>54530378</t>
  </si>
  <si>
    <t>5904947</t>
  </si>
  <si>
    <t>Big &amp; Tall Tommy Hilfiger Button-Down Porter Linen Shirt</t>
  </si>
  <si>
    <t>North Sky Blue</t>
  </si>
  <si>
    <t>196805534830</t>
  </si>
  <si>
    <t>54530352</t>
  </si>
  <si>
    <t>White Suede</t>
  </si>
  <si>
    <t>096303407981</t>
  </si>
  <si>
    <t>71751295</t>
  </si>
  <si>
    <t>6861681</t>
  </si>
  <si>
    <t>14k Gold Twist Hoop Earrings</t>
  </si>
  <si>
    <t>400200512950</t>
  </si>
  <si>
    <t>20051295</t>
  </si>
  <si>
    <t>6237310</t>
  </si>
  <si>
    <t>Juniors' SO® Cozy V-Neck Pullover Sweater</t>
  </si>
  <si>
    <t>Grey Fox Heather</t>
  </si>
  <si>
    <t>400200512851</t>
  </si>
  <si>
    <t>20051285</t>
  </si>
  <si>
    <t>Heather Camel</t>
  </si>
  <si>
    <t>400200512967</t>
  </si>
  <si>
    <t>20051296</t>
  </si>
  <si>
    <t>400200512868</t>
  </si>
  <si>
    <t>20051286</t>
  </si>
  <si>
    <t>400200512936</t>
  </si>
  <si>
    <t>20051293</t>
  </si>
  <si>
    <t>400200513032</t>
  </si>
  <si>
    <t>20051303</t>
  </si>
  <si>
    <t>195861353904</t>
  </si>
  <si>
    <t>54636846</t>
  </si>
  <si>
    <t>5597136</t>
  </si>
  <si>
    <t>Girls 4-14 Carter's Plaid Twill Flannel Dress</t>
  </si>
  <si>
    <t>195861353928</t>
  </si>
  <si>
    <t>54636855</t>
  </si>
  <si>
    <t>195861353935</t>
  </si>
  <si>
    <t>54636856</t>
  </si>
  <si>
    <t>195861353911</t>
  </si>
  <si>
    <t>54636854</t>
  </si>
  <si>
    <t>195861353867</t>
  </si>
  <si>
    <t>54636864</t>
  </si>
  <si>
    <t>195861353874</t>
  </si>
  <si>
    <t>54636865</t>
  </si>
  <si>
    <t>195861353881</t>
  </si>
  <si>
    <t>54636866</t>
  </si>
  <si>
    <t>887791752246</t>
  </si>
  <si>
    <t>30036353</t>
  </si>
  <si>
    <t>6126031</t>
  </si>
  <si>
    <t>Nike Sherpa Gloves</t>
  </si>
  <si>
    <t>887791752215</t>
  </si>
  <si>
    <t>79092494</t>
  </si>
  <si>
    <t>887791752239</t>
  </si>
  <si>
    <t>18223370</t>
  </si>
  <si>
    <t>400653926335</t>
  </si>
  <si>
    <t>65392633</t>
  </si>
  <si>
    <t>6290383</t>
  </si>
  <si>
    <t>Juniors' SO® Polar Fleece Hoodie</t>
  </si>
  <si>
    <t>Cherub Lilac</t>
  </si>
  <si>
    <t>400653926243</t>
  </si>
  <si>
    <t>65392624</t>
  </si>
  <si>
    <t>400653926649</t>
  </si>
  <si>
    <t>65392664</t>
  </si>
  <si>
    <t>400653926458</t>
  </si>
  <si>
    <t>65392645</t>
  </si>
  <si>
    <t>Mocha Froth</t>
  </si>
  <si>
    <t>400653926656</t>
  </si>
  <si>
    <t>65392665</t>
  </si>
  <si>
    <t>400653926250</t>
  </si>
  <si>
    <t>65392625</t>
  </si>
  <si>
    <t>197178214589</t>
  </si>
  <si>
    <t>82070926</t>
  </si>
  <si>
    <t>6828820</t>
  </si>
  <si>
    <t>Plus Size Draper James Short Sleeve Knit Wrap Dress</t>
  </si>
  <si>
    <t>195862234875</t>
  </si>
  <si>
    <t>70240732</t>
  </si>
  <si>
    <t>6431700</t>
  </si>
  <si>
    <t>195862234882</t>
  </si>
  <si>
    <t>70240739</t>
  </si>
  <si>
    <t>195862234899</t>
  </si>
  <si>
    <t>70240740</t>
  </si>
  <si>
    <t>195862234905</t>
  </si>
  <si>
    <t>70240741</t>
  </si>
  <si>
    <t>030698068662</t>
  </si>
  <si>
    <t>76836315</t>
  </si>
  <si>
    <t>6372400</t>
  </si>
  <si>
    <t>Smart Gear Universal Magnet Mount</t>
  </si>
  <si>
    <t>Smart Gear</t>
  </si>
  <si>
    <t>400627450200</t>
  </si>
  <si>
    <t>62745020</t>
  </si>
  <si>
    <t>6504803</t>
  </si>
  <si>
    <t>Women's Sonoma Goods For Life® Petite Super Soft Rib V-Neck Tunic</t>
  </si>
  <si>
    <t>400627450309</t>
  </si>
  <si>
    <t>62745030</t>
  </si>
  <si>
    <t>400627450408</t>
  </si>
  <si>
    <t>62745040</t>
  </si>
  <si>
    <t>400627450507</t>
  </si>
  <si>
    <t>62745050</t>
  </si>
  <si>
    <t>400627450606</t>
  </si>
  <si>
    <t>62745060</t>
  </si>
  <si>
    <t>400627449303</t>
  </si>
  <si>
    <t>62744930</t>
  </si>
  <si>
    <t>White Oak</t>
  </si>
  <si>
    <t>400627450705</t>
  </si>
  <si>
    <t>62745070</t>
  </si>
  <si>
    <t>400627449402</t>
  </si>
  <si>
    <t>62744940</t>
  </si>
  <si>
    <t>195861968450</t>
  </si>
  <si>
    <t>81835630</t>
  </si>
  <si>
    <t>Boys 4-14 Carter's Dinosaur Fleece Footed Pajamas</t>
  </si>
  <si>
    <t>Ivory Dino Print</t>
  </si>
  <si>
    <t>400277363011</t>
  </si>
  <si>
    <t>27736301</t>
  </si>
  <si>
    <t>6481458</t>
  </si>
  <si>
    <t>Girls 6-20 SO® Zip-Front Hoodie in Regular &amp; Plus Size</t>
  </si>
  <si>
    <t>Cream Sunset Beach</t>
  </si>
  <si>
    <t>400301796860</t>
  </si>
  <si>
    <t>30179686</t>
  </si>
  <si>
    <t>400277363028</t>
  </si>
  <si>
    <t>27736302</t>
  </si>
  <si>
    <t>400301796877</t>
  </si>
  <si>
    <t>30179687</t>
  </si>
  <si>
    <t>744162954695</t>
  </si>
  <si>
    <t>20508923</t>
  </si>
  <si>
    <t>6094323</t>
  </si>
  <si>
    <t>Sonoma Goods For Life® Pampas Grass in Ceramic Glazed Vase</t>
  </si>
  <si>
    <t>193506103242</t>
  </si>
  <si>
    <t>18156489</t>
  </si>
  <si>
    <t>6860572</t>
  </si>
  <si>
    <t>Men's 14k Gold Over Sterling Silver Curb Chain Necklace</t>
  </si>
  <si>
    <t>Gold Tone</t>
  </si>
  <si>
    <t>400189773519</t>
  </si>
  <si>
    <t>18977351</t>
  </si>
  <si>
    <t>6488322</t>
  </si>
  <si>
    <t>Sonoma Goods For Life® Small Fluted Vase Table Decor</t>
  </si>
  <si>
    <t>400865086674</t>
  </si>
  <si>
    <t>86508667</t>
  </si>
  <si>
    <t>6824316</t>
  </si>
  <si>
    <t>Men's FLX Synergy Fleece Joggers</t>
  </si>
  <si>
    <t>400547540746</t>
  </si>
  <si>
    <t>54754074</t>
  </si>
  <si>
    <t>400865086681</t>
  </si>
  <si>
    <t>86508668</t>
  </si>
  <si>
    <t>400716680211</t>
  </si>
  <si>
    <t>71668021</t>
  </si>
  <si>
    <t>6569395</t>
  </si>
  <si>
    <t>Baby Jumping Beans® Short Sleeve &amp;#34;Lucky Babe&amp;#34; Bodysuit &amp; Clover Print Pants Set</t>
  </si>
  <si>
    <t>Lucky Babe</t>
  </si>
  <si>
    <t>400716680297</t>
  </si>
  <si>
    <t>71668029</t>
  </si>
  <si>
    <t>400716680228</t>
  </si>
  <si>
    <t>71668022</t>
  </si>
  <si>
    <t>400716680303</t>
  </si>
  <si>
    <t>71668030</t>
  </si>
  <si>
    <t>400716680310</t>
  </si>
  <si>
    <t>71668031</t>
  </si>
  <si>
    <t>400716680327</t>
  </si>
  <si>
    <t>71668032</t>
  </si>
  <si>
    <t>400716680396</t>
  </si>
  <si>
    <t>71668039</t>
  </si>
  <si>
    <t>196599749489</t>
  </si>
  <si>
    <t>79274241</t>
  </si>
  <si>
    <t>5651174</t>
  </si>
  <si>
    <t>Men's Naruto Pullover Hoodie</t>
  </si>
  <si>
    <t>197161330142</t>
  </si>
  <si>
    <t>81958641</t>
  </si>
  <si>
    <t>6373625</t>
  </si>
  <si>
    <t>Boys' New England Patriots Pullover Fleece Hoodie</t>
  </si>
  <si>
    <t>Pat Navy</t>
  </si>
  <si>
    <t>197161330159</t>
  </si>
  <si>
    <t>81958642</t>
  </si>
  <si>
    <t>197161330166</t>
  </si>
  <si>
    <t>81958648</t>
  </si>
  <si>
    <t>197161330173</t>
  </si>
  <si>
    <t>81958649</t>
  </si>
  <si>
    <t>400738301798</t>
  </si>
  <si>
    <t>73830179</t>
  </si>
  <si>
    <t>6284944</t>
  </si>
  <si>
    <t>Plus Size Simply Vera Vera Wang Long Sleeve Crew Neck Tee</t>
  </si>
  <si>
    <t>400738301804</t>
  </si>
  <si>
    <t>73830180</t>
  </si>
  <si>
    <t>400738508029</t>
  </si>
  <si>
    <t>73850802</t>
  </si>
  <si>
    <t>Medium Redbud Heather</t>
  </si>
  <si>
    <t>400738508128</t>
  </si>
  <si>
    <t>73850812</t>
  </si>
  <si>
    <t>400738301811</t>
  </si>
  <si>
    <t>73830181</t>
  </si>
  <si>
    <t>400738301699</t>
  </si>
  <si>
    <t>73830169</t>
  </si>
  <si>
    <t>400738301705</t>
  </si>
  <si>
    <t>73830170</t>
  </si>
  <si>
    <t>400738508227</t>
  </si>
  <si>
    <t>73850822</t>
  </si>
  <si>
    <t>400738507725</t>
  </si>
  <si>
    <t>73850772</t>
  </si>
  <si>
    <t>400738301712</t>
  </si>
  <si>
    <t>73830171</t>
  </si>
  <si>
    <t>400738508326</t>
  </si>
  <si>
    <t>73850832</t>
  </si>
  <si>
    <t>400738507824</t>
  </si>
  <si>
    <t>73850782</t>
  </si>
  <si>
    <t>195862045068</t>
  </si>
  <si>
    <t>28199633</t>
  </si>
  <si>
    <t>6060225</t>
  </si>
  <si>
    <t>Baby &amp; Toddler Girl Carter's 2-Piece Leggings &amp; Hoodie Set</t>
  </si>
  <si>
    <t>195862045020</t>
  </si>
  <si>
    <t>28199629</t>
  </si>
  <si>
    <t>394</t>
  </si>
  <si>
    <t>195862045037</t>
  </si>
  <si>
    <t>28199631</t>
  </si>
  <si>
    <t>195862045044</t>
  </si>
  <si>
    <t>28199632</t>
  </si>
  <si>
    <t>197369328460</t>
  </si>
  <si>
    <t>63462377</t>
  </si>
  <si>
    <t>6286294</t>
  </si>
  <si>
    <t>madden girl Chelsea Girl's MNOVA Fashion Boots</t>
  </si>
  <si>
    <t>197369328309</t>
  </si>
  <si>
    <t>63462378</t>
  </si>
  <si>
    <t>197369328323</t>
  </si>
  <si>
    <t>63462379</t>
  </si>
  <si>
    <t>197369328347</t>
  </si>
  <si>
    <t>63462384</t>
  </si>
  <si>
    <t>197369328361</t>
  </si>
  <si>
    <t>63462385</t>
  </si>
  <si>
    <t>197369328385</t>
  </si>
  <si>
    <t>63462386</t>
  </si>
  <si>
    <t>195862017959</t>
  </si>
  <si>
    <t>78109727</t>
  </si>
  <si>
    <t>6047060</t>
  </si>
  <si>
    <t>Baby Girl Carter's 2-Piece Christmas Dress &amp; Headband Set</t>
  </si>
  <si>
    <t>195862084401</t>
  </si>
  <si>
    <t>50453727</t>
  </si>
  <si>
    <t>6200592</t>
  </si>
  <si>
    <t>Baby Girl Carter's 2-Piece Floral Jersey Top &amp; Leggings Set</t>
  </si>
  <si>
    <t>195862084364</t>
  </si>
  <si>
    <t>50453724</t>
  </si>
  <si>
    <t>195862084371</t>
  </si>
  <si>
    <t>50453725</t>
  </si>
  <si>
    <t>195862084388</t>
  </si>
  <si>
    <t>50453726</t>
  </si>
  <si>
    <t>195862084333</t>
  </si>
  <si>
    <t>50453715</t>
  </si>
  <si>
    <t>400691929466</t>
  </si>
  <si>
    <t>69192946</t>
  </si>
  <si>
    <t>7081316</t>
  </si>
  <si>
    <t>Women's FLX Affirmation High Neck Bodysuit</t>
  </si>
  <si>
    <t>400691929473</t>
  </si>
  <si>
    <t>69192947</t>
  </si>
  <si>
    <t>400691929480</t>
  </si>
  <si>
    <t>69192948</t>
  </si>
  <si>
    <t>400691929534</t>
  </si>
  <si>
    <t>69192953</t>
  </si>
  <si>
    <t>400691929541</t>
  </si>
  <si>
    <t>69192954</t>
  </si>
  <si>
    <t>400691929558</t>
  </si>
  <si>
    <t>69192955</t>
  </si>
  <si>
    <t>194808420846</t>
  </si>
  <si>
    <t>37297052</t>
  </si>
  <si>
    <t>5608005</t>
  </si>
  <si>
    <t>Juniors' Plus Size Lily Rose Print Fit &amp; Flare Mini Dress And Tee Set</t>
  </si>
  <si>
    <t>Lily Rose</t>
  </si>
  <si>
    <t>194808420976</t>
  </si>
  <si>
    <t>29494009</t>
  </si>
  <si>
    <t>194808420853</t>
  </si>
  <si>
    <t>37297053</t>
  </si>
  <si>
    <t>194808421492</t>
  </si>
  <si>
    <t>61969703</t>
  </si>
  <si>
    <t>Multi Geo</t>
  </si>
  <si>
    <t>194808421362</t>
  </si>
  <si>
    <t>76729750</t>
  </si>
  <si>
    <t>194808421102</t>
  </si>
  <si>
    <t>53933866</t>
  </si>
  <si>
    <t>Brown Floral Plaid</t>
  </si>
  <si>
    <t>194808420983</t>
  </si>
  <si>
    <t>29494012</t>
  </si>
  <si>
    <t>194808421232</t>
  </si>
  <si>
    <t>71556975</t>
  </si>
  <si>
    <t>194808420860</t>
  </si>
  <si>
    <t>37297058</t>
  </si>
  <si>
    <t>194808421379</t>
  </si>
  <si>
    <t>76729751</t>
  </si>
  <si>
    <t>194808421508</t>
  </si>
  <si>
    <t>61969708</t>
  </si>
  <si>
    <t>194808421119</t>
  </si>
  <si>
    <t>53933868</t>
  </si>
  <si>
    <t>194808421249</t>
  </si>
  <si>
    <t>71556976</t>
  </si>
  <si>
    <t>194808420990</t>
  </si>
  <si>
    <t>29494014</t>
  </si>
  <si>
    <t>194808421126</t>
  </si>
  <si>
    <t>53933869</t>
  </si>
  <si>
    <t>194808421386</t>
  </si>
  <si>
    <t>76729752</t>
  </si>
  <si>
    <t>194808421515</t>
  </si>
  <si>
    <t>61969709</t>
  </si>
  <si>
    <t>886440740023</t>
  </si>
  <si>
    <t>29369249</t>
  </si>
  <si>
    <t>7081247</t>
  </si>
  <si>
    <t>Kitty City Cat Harness &amp; Leash Set</t>
  </si>
  <si>
    <t>Kitty City</t>
  </si>
  <si>
    <t>028266882529</t>
  </si>
  <si>
    <t>18405748</t>
  </si>
  <si>
    <t>3062320</t>
  </si>
  <si>
    <t>Petite Miss Elaine Essentials Short Sleeve Nightgown</t>
  </si>
  <si>
    <t>028266882536</t>
  </si>
  <si>
    <t>18405749</t>
  </si>
  <si>
    <t>196900154827</t>
  </si>
  <si>
    <t>37914374</t>
  </si>
  <si>
    <t>6393886</t>
  </si>
  <si>
    <t>Baby &amp; Toddler Girl Bonnie Jean Holographic Faux Fur Cardigan &amp; Dress Set</t>
  </si>
  <si>
    <t>196900154834</t>
  </si>
  <si>
    <t>37914375</t>
  </si>
  <si>
    <t>196900154858</t>
  </si>
  <si>
    <t>37914376</t>
  </si>
  <si>
    <t>Women's adidas Essentials Jacquard Golf Skort</t>
  </si>
  <si>
    <t>197161323892</t>
  </si>
  <si>
    <t>80210455</t>
  </si>
  <si>
    <t>6372532</t>
  </si>
  <si>
    <t>400372937063</t>
  </si>
  <si>
    <t>37293706</t>
  </si>
  <si>
    <t>6533977</t>
  </si>
  <si>
    <t>Plus Size Sonoma Goods For Life® Short Sleeve Crochet Sweater</t>
  </si>
  <si>
    <t>Chalk Hill</t>
  </si>
  <si>
    <t>400372937254</t>
  </si>
  <si>
    <t>37293725</t>
  </si>
  <si>
    <t>400372937070</t>
  </si>
  <si>
    <t>37293707</t>
  </si>
  <si>
    <t>850020383788</t>
  </si>
  <si>
    <t>37738251</t>
  </si>
  <si>
    <t>1856</t>
  </si>
  <si>
    <t>6563126</t>
  </si>
  <si>
    <t>Kohl's Cares® Llama Llama Book and Plush Toy Easter Bundle</t>
  </si>
  <si>
    <t>Kohl's Cares</t>
  </si>
  <si>
    <t>400529896052</t>
  </si>
  <si>
    <t>52989605</t>
  </si>
  <si>
    <t>6535094</t>
  </si>
  <si>
    <t>Big &amp; Tall Apt. 9® Premier Flex Classic-Fit Stretch V-Neck Tee</t>
  </si>
  <si>
    <t>400691011949</t>
  </si>
  <si>
    <t>69101194</t>
  </si>
  <si>
    <t>400691011956</t>
  </si>
  <si>
    <t>69101195</t>
  </si>
  <si>
    <t>400691011963</t>
  </si>
  <si>
    <t>69101196</t>
  </si>
  <si>
    <t>765803902554</t>
  </si>
  <si>
    <t>73647565</t>
  </si>
  <si>
    <t>4981655</t>
  </si>
  <si>
    <t>Boys 7-20 Sonoma Goods For Life® Flexwear Skinny Jeans</t>
  </si>
  <si>
    <t>765803911266</t>
  </si>
  <si>
    <t>17958757</t>
  </si>
  <si>
    <t>400756272520</t>
  </si>
  <si>
    <t>75627252</t>
  </si>
  <si>
    <t>4991168</t>
  </si>
  <si>
    <t>Juniors' Plus Size SO® Front Slit Mini Skirt</t>
  </si>
  <si>
    <t>400695815277</t>
  </si>
  <si>
    <t>69581527</t>
  </si>
  <si>
    <t>400695815284</t>
  </si>
  <si>
    <t>69581528</t>
  </si>
  <si>
    <t>196139559875</t>
  </si>
  <si>
    <t>73806279</t>
  </si>
  <si>
    <t>6206810</t>
  </si>
  <si>
    <t>Girls 4-16 Koolaburra by UGG Heavyweight Cropped Puffer Jacket</t>
  </si>
  <si>
    <t>196139559882</t>
  </si>
  <si>
    <t>73806281</t>
  </si>
  <si>
    <t>816331026165</t>
  </si>
  <si>
    <t>73573503</t>
  </si>
  <si>
    <t>3295744</t>
  </si>
  <si>
    <t xml:space="preserve">10k White Gold 1/4 Carat T.W. Diamond Square Halo Stud Earrings </t>
  </si>
  <si>
    <t>10k Whgold</t>
  </si>
  <si>
    <t>417765528101</t>
  </si>
  <si>
    <t>37845837</t>
  </si>
  <si>
    <t>5806641</t>
  </si>
  <si>
    <t>195861994886</t>
  </si>
  <si>
    <t>81977596</t>
  </si>
  <si>
    <t>6081629</t>
  </si>
  <si>
    <t>Toddler Boy Carter's Half-Zip Fleece Pullover Top</t>
  </si>
  <si>
    <t>195861994893</t>
  </si>
  <si>
    <t>81977597</t>
  </si>
  <si>
    <t>195861994909</t>
  </si>
  <si>
    <t>81977604</t>
  </si>
  <si>
    <t>195861994855</t>
  </si>
  <si>
    <t>81977605</t>
  </si>
  <si>
    <t>195861994862</t>
  </si>
  <si>
    <t>81977606</t>
  </si>
  <si>
    <t>195862113958</t>
  </si>
  <si>
    <t>78559087</t>
  </si>
  <si>
    <t>6185343</t>
  </si>
  <si>
    <t>Baby Boy Carter's 3-pack Bandana Bibs Set</t>
  </si>
  <si>
    <t>196900154650</t>
  </si>
  <si>
    <t>59981158</t>
  </si>
  <si>
    <t>6393883</t>
  </si>
  <si>
    <t>Baby &amp; Toddler Girl Bonnie Jean Plaid Dress &amp; Coat Set</t>
  </si>
  <si>
    <t>Plus Size Columbia Holly Hideaway™ Waffle Shirt Jacket</t>
  </si>
  <si>
    <t>195862121977</t>
  </si>
  <si>
    <t>80429892</t>
  </si>
  <si>
    <t>6185355</t>
  </si>
  <si>
    <t>Baby Girl Carter's 2-Piece Crinkle Jersey Dress &amp; Headwrap Set</t>
  </si>
  <si>
    <t>195862121946</t>
  </si>
  <si>
    <t>80429902</t>
  </si>
  <si>
    <t>195862121939</t>
  </si>
  <si>
    <t>80429893</t>
  </si>
  <si>
    <t>195862121953</t>
  </si>
  <si>
    <t>80429903</t>
  </si>
  <si>
    <t>195862121922</t>
  </si>
  <si>
    <t>80429912</t>
  </si>
  <si>
    <t>027657956856</t>
  </si>
  <si>
    <t>18130343</t>
  </si>
  <si>
    <t>6861644</t>
  </si>
  <si>
    <t>14k Yellow Gold Diamond Cut Star Stud Earrings</t>
  </si>
  <si>
    <t>Baby Boy Carter's 3-Piece Fleece Colorblock Jacket, Jogger Pants, &amp; Bodysuit Set</t>
  </si>
  <si>
    <t>Navy Brown</t>
  </si>
  <si>
    <t>Men's Champion® Cozy Fleece Vest</t>
  </si>
  <si>
    <t>196139514584</t>
  </si>
  <si>
    <t>69885126</t>
  </si>
  <si>
    <t>6171204</t>
  </si>
  <si>
    <t>Baby &amp; Toddler Boy Jumping Beans® Heavyweight Fleece Lined Puffer Jacket</t>
  </si>
  <si>
    <t>Dancing Red Black Ore</t>
  </si>
  <si>
    <t>196139514355</t>
  </si>
  <si>
    <t>29351877</t>
  </si>
  <si>
    <t>400803053775</t>
  </si>
  <si>
    <t>80305377</t>
  </si>
  <si>
    <t>7082034</t>
  </si>
  <si>
    <t>Plus Size Croft &amp; Barrow® Essential One Pocket Button Down Shirt</t>
  </si>
  <si>
    <t>400803053782</t>
  </si>
  <si>
    <t>80305378</t>
  </si>
  <si>
    <t>400803053850</t>
  </si>
  <si>
    <t>80305385</t>
  </si>
  <si>
    <t>400803053867</t>
  </si>
  <si>
    <t>80305386</t>
  </si>
  <si>
    <t>400803053874</t>
  </si>
  <si>
    <t>80305387</t>
  </si>
  <si>
    <t>400803053881</t>
  </si>
  <si>
    <t>80305388</t>
  </si>
  <si>
    <t>400803054185</t>
  </si>
  <si>
    <t>80305418</t>
  </si>
  <si>
    <t>196467635692</t>
  </si>
  <si>
    <t>37640136</t>
  </si>
  <si>
    <t>7081072</t>
  </si>
  <si>
    <t>Women's adidas Cropped Studio Tee</t>
  </si>
  <si>
    <t>Preloved Green</t>
  </si>
  <si>
    <t>196467631953</t>
  </si>
  <si>
    <t>37640137</t>
  </si>
  <si>
    <t>Men's Levi's® Classic Button-Down Shirt</t>
  </si>
  <si>
    <t>Mauveglow</t>
  </si>
  <si>
    <t>Rooibos Tea</t>
  </si>
  <si>
    <t>196524437542</t>
  </si>
  <si>
    <t>71242210</t>
  </si>
  <si>
    <t>196524263912</t>
  </si>
  <si>
    <t>71242211</t>
  </si>
  <si>
    <t>196524437559</t>
  </si>
  <si>
    <t>71242219</t>
  </si>
  <si>
    <t>400643111963</t>
  </si>
  <si>
    <t>64311196</t>
  </si>
  <si>
    <t>6222372</t>
  </si>
  <si>
    <t>Juniors' SO® High Rise Convertible Utility Jogger</t>
  </si>
  <si>
    <t>Carrington Olive</t>
  </si>
  <si>
    <t>400643111970</t>
  </si>
  <si>
    <t>64311197</t>
  </si>
  <si>
    <t>810004329430</t>
  </si>
  <si>
    <t>44156616</t>
  </si>
  <si>
    <t>5756218</t>
  </si>
  <si>
    <t>Men's Caliville Button Front Stretch Jacket</t>
  </si>
  <si>
    <t>840132324779</t>
  </si>
  <si>
    <t>18774743</t>
  </si>
  <si>
    <t>Denim Grey</t>
  </si>
  <si>
    <t>810004329461</t>
  </si>
  <si>
    <t>44156619</t>
  </si>
  <si>
    <t>810004329478</t>
  </si>
  <si>
    <t>44156620</t>
  </si>
  <si>
    <t>840132324786</t>
  </si>
  <si>
    <t>18774744</t>
  </si>
  <si>
    <t>196385011615</t>
  </si>
  <si>
    <t>69188013</t>
  </si>
  <si>
    <t>5175541</t>
  </si>
  <si>
    <t>Juniors' Plus Size Ninety-Nine° High-Waist Cheeky Swim Bottoms</t>
  </si>
  <si>
    <t>Ninety-Nine Degrees</t>
  </si>
  <si>
    <t>Electric Vibes Multi</t>
  </si>
  <si>
    <t>196385011790</t>
  </si>
  <si>
    <t>33422490</t>
  </si>
  <si>
    <t>Sherbet Stripe</t>
  </si>
  <si>
    <t>196385035468</t>
  </si>
  <si>
    <t>75379145</t>
  </si>
  <si>
    <t>Happy Houndstooth</t>
  </si>
  <si>
    <t>196385011622</t>
  </si>
  <si>
    <t>69188014</t>
  </si>
  <si>
    <t>196385011806</t>
  </si>
  <si>
    <t>33422491</t>
  </si>
  <si>
    <t>196385035475</t>
  </si>
  <si>
    <t>75379146</t>
  </si>
  <si>
    <t>196385011639</t>
  </si>
  <si>
    <t>69188015</t>
  </si>
  <si>
    <t>196385011813</t>
  </si>
  <si>
    <t>33422492</t>
  </si>
  <si>
    <t>196385035482</t>
  </si>
  <si>
    <t>75379148</t>
  </si>
  <si>
    <t>Boys 8-20 Hurley Long Sleeve Boxed Logo Graphic Tee</t>
  </si>
  <si>
    <t>196385015910</t>
  </si>
  <si>
    <t>29330522</t>
  </si>
  <si>
    <t>5271125</t>
  </si>
  <si>
    <t>Women's Freshwater Tassel-Trim Swim Cover-Up Kimono</t>
  </si>
  <si>
    <t>Freshwater</t>
  </si>
  <si>
    <t>Summer Love</t>
  </si>
  <si>
    <t>196385015866</t>
  </si>
  <si>
    <t>46913521</t>
  </si>
  <si>
    <t>Primerose</t>
  </si>
  <si>
    <t>400585437404</t>
  </si>
  <si>
    <t>58543740</t>
  </si>
  <si>
    <t>5815868</t>
  </si>
  <si>
    <t>Baby &amp; Toddler Little Co. by Lauren Conrad Organic Ringer Tee</t>
  </si>
  <si>
    <t>Brown Besties</t>
  </si>
  <si>
    <t>400585437084</t>
  </si>
  <si>
    <t>58543708</t>
  </si>
  <si>
    <t>Soft Pink Buttercup</t>
  </si>
  <si>
    <t>400585438296</t>
  </si>
  <si>
    <t>58543829</t>
  </si>
  <si>
    <t>Moss Green Planet</t>
  </si>
  <si>
    <t>400585438104</t>
  </si>
  <si>
    <t>58543810</t>
  </si>
  <si>
    <t>Soft Blue Home Grown</t>
  </si>
  <si>
    <t>400585437787</t>
  </si>
  <si>
    <t>58543778</t>
  </si>
  <si>
    <t>Ivory Smile Stripe</t>
  </si>
  <si>
    <t>400585437275</t>
  </si>
  <si>
    <t>58543727</t>
  </si>
  <si>
    <t>Ivory Open Road</t>
  </si>
  <si>
    <t>400585437978</t>
  </si>
  <si>
    <t>58543797</t>
  </si>
  <si>
    <t>Pink Flower Peace</t>
  </si>
  <si>
    <t>400585437596</t>
  </si>
  <si>
    <t>58543759</t>
  </si>
  <si>
    <t>Golden Yellow Smile</t>
  </si>
  <si>
    <t>400585437473</t>
  </si>
  <si>
    <t>58543747</t>
  </si>
  <si>
    <t>400585437091</t>
  </si>
  <si>
    <t>58543709</t>
  </si>
  <si>
    <t>400585437794</t>
  </si>
  <si>
    <t>58543779</t>
  </si>
  <si>
    <t>400585438173</t>
  </si>
  <si>
    <t>58543817</t>
  </si>
  <si>
    <t>400585437602</t>
  </si>
  <si>
    <t>58543760</t>
  </si>
  <si>
    <t>400585437282</t>
  </si>
  <si>
    <t>58543728</t>
  </si>
  <si>
    <t>400585438302</t>
  </si>
  <si>
    <t>58543830</t>
  </si>
  <si>
    <t>400585437985</t>
  </si>
  <si>
    <t>58543798</t>
  </si>
  <si>
    <t>400585438180</t>
  </si>
  <si>
    <t>58543818</t>
  </si>
  <si>
    <t>400585437800</t>
  </si>
  <si>
    <t>58543780</t>
  </si>
  <si>
    <t>400585437671</t>
  </si>
  <si>
    <t>58543767</t>
  </si>
  <si>
    <t>400585437107</t>
  </si>
  <si>
    <t>58543710</t>
  </si>
  <si>
    <t>400585438371</t>
  </si>
  <si>
    <t>58543837</t>
  </si>
  <si>
    <t>400585437480</t>
  </si>
  <si>
    <t>58543748</t>
  </si>
  <si>
    <t>400585437299</t>
  </si>
  <si>
    <t>58543729</t>
  </si>
  <si>
    <t>400585437992</t>
  </si>
  <si>
    <t>58543799</t>
  </si>
  <si>
    <t>400585437879</t>
  </si>
  <si>
    <t>58543787</t>
  </si>
  <si>
    <t>400585437305</t>
  </si>
  <si>
    <t>58543730</t>
  </si>
  <si>
    <t>400585438197</t>
  </si>
  <si>
    <t>58543819</t>
  </si>
  <si>
    <t>400585437688</t>
  </si>
  <si>
    <t>58543768</t>
  </si>
  <si>
    <t>400585437176</t>
  </si>
  <si>
    <t>58543717</t>
  </si>
  <si>
    <t>400585438388</t>
  </si>
  <si>
    <t>58543838</t>
  </si>
  <si>
    <t>400585437497</t>
  </si>
  <si>
    <t>58543749</t>
  </si>
  <si>
    <t>400585438005</t>
  </si>
  <si>
    <t>58543800</t>
  </si>
  <si>
    <t>400585438203</t>
  </si>
  <si>
    <t>58543820</t>
  </si>
  <si>
    <t>400585437695</t>
  </si>
  <si>
    <t>58543769</t>
  </si>
  <si>
    <t>400585437374</t>
  </si>
  <si>
    <t>58543737</t>
  </si>
  <si>
    <t>400585437503</t>
  </si>
  <si>
    <t>58543750</t>
  </si>
  <si>
    <t>400585438272</t>
  </si>
  <si>
    <t>58543827</t>
  </si>
  <si>
    <t>195861990628</t>
  </si>
  <si>
    <t>19864517</t>
  </si>
  <si>
    <t>6067910</t>
  </si>
  <si>
    <t>Toddler Girl Carter's Leopard Print Long Sleeve Dress</t>
  </si>
  <si>
    <t>195861990635</t>
  </si>
  <si>
    <t>19864527</t>
  </si>
  <si>
    <t>195861990642</t>
  </si>
  <si>
    <t>19864537</t>
  </si>
  <si>
    <t>195861990659</t>
  </si>
  <si>
    <t>19864547</t>
  </si>
  <si>
    <t>197178469224</t>
  </si>
  <si>
    <t>53013510</t>
  </si>
  <si>
    <t>6622261</t>
  </si>
  <si>
    <t>Juniors' SO® Long Sleeve Pointelle Shrug Sweater</t>
  </si>
  <si>
    <t>197178469231</t>
  </si>
  <si>
    <t>53013511</t>
  </si>
  <si>
    <t>197178469255</t>
  </si>
  <si>
    <t>53013512</t>
  </si>
  <si>
    <t>195862017010</t>
  </si>
  <si>
    <t>18745022</t>
  </si>
  <si>
    <t>6075752</t>
  </si>
  <si>
    <t>Baby Carter's 2-Piece Christmas Tree Outfit Set</t>
  </si>
  <si>
    <t>400655991959</t>
  </si>
  <si>
    <t>65599195</t>
  </si>
  <si>
    <t>6258341</t>
  </si>
  <si>
    <t>Women's FLX Quilted Jacket</t>
  </si>
  <si>
    <t>400278644195</t>
  </si>
  <si>
    <t>27864419</t>
  </si>
  <si>
    <t>6331289</t>
  </si>
  <si>
    <t>Girls 6-20 SO® Corduroy Jumper &amp; Shirt Set</t>
  </si>
  <si>
    <t>Cream Dot</t>
  </si>
  <si>
    <t>400278644218</t>
  </si>
  <si>
    <t>27864421</t>
  </si>
  <si>
    <t>400278644225</t>
  </si>
  <si>
    <t>27864422</t>
  </si>
  <si>
    <t>400768729128</t>
  </si>
  <si>
    <t>76872912</t>
  </si>
  <si>
    <t>400768729142</t>
  </si>
  <si>
    <t>76872914</t>
  </si>
  <si>
    <t>400768729159</t>
  </si>
  <si>
    <t>76872915</t>
  </si>
  <si>
    <t>400768729166</t>
  </si>
  <si>
    <t>76872916</t>
  </si>
  <si>
    <t>400768729173</t>
  </si>
  <si>
    <t>76872917</t>
  </si>
  <si>
    <t>194869379138</t>
  </si>
  <si>
    <t>65616467</t>
  </si>
  <si>
    <t>6265749</t>
  </si>
  <si>
    <t>Girls 4-20 33 Degrees Long Sleeve Crewneck Penguins on Ice Christmas Sweater in Regular &amp; Plus Size</t>
  </si>
  <si>
    <t>33 Degrees</t>
  </si>
  <si>
    <t>XXS (4/5)</t>
  </si>
  <si>
    <t>194869379145</t>
  </si>
  <si>
    <t>65616473</t>
  </si>
  <si>
    <t>194869379152</t>
  </si>
  <si>
    <t>65616474</t>
  </si>
  <si>
    <t>194869379169</t>
  </si>
  <si>
    <t>65616475</t>
  </si>
  <si>
    <t>195862015276</t>
  </si>
  <si>
    <t>29738313</t>
  </si>
  <si>
    <t>6074479</t>
  </si>
  <si>
    <t>Baby Girl Carter's Plaid Sateen Dress</t>
  </si>
  <si>
    <t>195862015269</t>
  </si>
  <si>
    <t>29738312</t>
  </si>
  <si>
    <t>195862015283</t>
  </si>
  <si>
    <t>29738314</t>
  </si>
  <si>
    <t>195862015238</t>
  </si>
  <si>
    <t>29738309</t>
  </si>
  <si>
    <t>195862015245</t>
  </si>
  <si>
    <t>29738310</t>
  </si>
  <si>
    <t>195862015252</t>
  </si>
  <si>
    <t>29738311</t>
  </si>
  <si>
    <t>Alder Creek Gift Baskets Bunny &amp; Friends Gift Basket</t>
  </si>
  <si>
    <t>400548772566</t>
  </si>
  <si>
    <t>54877256</t>
  </si>
  <si>
    <t>5667716</t>
  </si>
  <si>
    <t>Big &amp; Tall Tek Gear® Essential Fleece Full-Zip Hoodie</t>
  </si>
  <si>
    <t>Vivid Lagoon</t>
  </si>
  <si>
    <t>400548772498</t>
  </si>
  <si>
    <t>54877249</t>
  </si>
  <si>
    <t>Mneral Black</t>
  </si>
  <si>
    <t>400544936641</t>
  </si>
  <si>
    <t>54493664</t>
  </si>
  <si>
    <t>Ash Heather Gray</t>
  </si>
  <si>
    <t>400792895967</t>
  </si>
  <si>
    <t>79289596</t>
  </si>
  <si>
    <t>6494287</t>
  </si>
  <si>
    <t>Petite LC Lauren Conrad Button-Front Shirt</t>
  </si>
  <si>
    <t>400792895974</t>
  </si>
  <si>
    <t>79289597</t>
  </si>
  <si>
    <t>400792895998</t>
  </si>
  <si>
    <t>79289599</t>
  </si>
  <si>
    <t>400802843988</t>
  </si>
  <si>
    <t>80284398</t>
  </si>
  <si>
    <t>400867028986</t>
  </si>
  <si>
    <t>86702898</t>
  </si>
  <si>
    <t>6526421</t>
  </si>
  <si>
    <t>Disney's Minnie Mouse Baby &amp; Toddler Girl Adaptive Tutu Dress byJumping Beans®</t>
  </si>
  <si>
    <t>Minnie Daisy Heart</t>
  </si>
  <si>
    <t>400867028993</t>
  </si>
  <si>
    <t>86702899</t>
  </si>
  <si>
    <t>197178344903</t>
  </si>
  <si>
    <t>82836908</t>
  </si>
  <si>
    <t>6494741</t>
  </si>
  <si>
    <t>Plus Size INTEMPO Button Front Shirt</t>
  </si>
  <si>
    <t>197178345115</t>
  </si>
  <si>
    <t>64491091</t>
  </si>
  <si>
    <t>197178344927</t>
  </si>
  <si>
    <t>82836910</t>
  </si>
  <si>
    <t>400549462664</t>
  </si>
  <si>
    <t>54946266</t>
  </si>
  <si>
    <t>6304561</t>
  </si>
  <si>
    <t>Maternity Sonoma Goods For Life® Over-The-Belly Relaxed Pants</t>
  </si>
  <si>
    <t>400549462602</t>
  </si>
  <si>
    <t>54946260</t>
  </si>
  <si>
    <t>400549462671</t>
  </si>
  <si>
    <t>54946267</t>
  </si>
  <si>
    <t>400549462619</t>
  </si>
  <si>
    <t>54946261</t>
  </si>
  <si>
    <t>400549462688</t>
  </si>
  <si>
    <t>54946268</t>
  </si>
  <si>
    <t>400549462626</t>
  </si>
  <si>
    <t>54946262</t>
  </si>
  <si>
    <t>400549462695</t>
  </si>
  <si>
    <t>54946269</t>
  </si>
  <si>
    <t>400549462633</t>
  </si>
  <si>
    <t>54946263</t>
  </si>
  <si>
    <t>400549462701</t>
  </si>
  <si>
    <t>54946270</t>
  </si>
  <si>
    <t>400549462640</t>
  </si>
  <si>
    <t>54946264</t>
  </si>
  <si>
    <t>400549462657</t>
  </si>
  <si>
    <t>54946265</t>
  </si>
  <si>
    <t>400549462718</t>
  </si>
  <si>
    <t>54946271</t>
  </si>
  <si>
    <t>400724731899</t>
  </si>
  <si>
    <t>72473189</t>
  </si>
  <si>
    <t>5237255</t>
  </si>
  <si>
    <t>Squishmallows Mall Plush Playset</t>
  </si>
  <si>
    <t>Squish Mall</t>
  </si>
  <si>
    <t>400747145727</t>
  </si>
  <si>
    <t>74714572</t>
  </si>
  <si>
    <t>6432943</t>
  </si>
  <si>
    <t>Plus Size Nine West Twist Neck Long Sleeve Blouse</t>
  </si>
  <si>
    <t>Seattle Navy</t>
  </si>
  <si>
    <t>400747145802</t>
  </si>
  <si>
    <t>74714580</t>
  </si>
  <si>
    <t>400747145666</t>
  </si>
  <si>
    <t>74714566</t>
  </si>
  <si>
    <t>400747145819</t>
  </si>
  <si>
    <t>74714581</t>
  </si>
  <si>
    <t>400747145734</t>
  </si>
  <si>
    <t>74714573</t>
  </si>
  <si>
    <t>400747145826</t>
  </si>
  <si>
    <t>74714582</t>
  </si>
  <si>
    <t>400747145758</t>
  </si>
  <si>
    <t>74714575</t>
  </si>
  <si>
    <t>400747145833</t>
  </si>
  <si>
    <t>74714583</t>
  </si>
  <si>
    <t>400747145765</t>
  </si>
  <si>
    <t>74714576</t>
  </si>
  <si>
    <t>400747145772</t>
  </si>
  <si>
    <t>74714577</t>
  </si>
  <si>
    <t>400747145857</t>
  </si>
  <si>
    <t>74714585</t>
  </si>
  <si>
    <t>400747145796</t>
  </si>
  <si>
    <t>74714579</t>
  </si>
  <si>
    <t>400791880322</t>
  </si>
  <si>
    <t>79188032</t>
  </si>
  <si>
    <t>1044</t>
  </si>
  <si>
    <t>5705781</t>
  </si>
  <si>
    <t>Girls 4-12 Jumping Beans® Star Wars Grogu Hi-Low Tee</t>
  </si>
  <si>
    <t>Gray Grogu</t>
  </si>
  <si>
    <t>400791880346</t>
  </si>
  <si>
    <t>79188034</t>
  </si>
  <si>
    <t>1971</t>
  </si>
  <si>
    <t>400791880353</t>
  </si>
  <si>
    <t>79188035</t>
  </si>
  <si>
    <t>2608</t>
  </si>
  <si>
    <t>400791880360</t>
  </si>
  <si>
    <t>79188036</t>
  </si>
  <si>
    <t>1275</t>
  </si>
  <si>
    <t>400791880377</t>
  </si>
  <si>
    <t>79188037</t>
  </si>
  <si>
    <t>2112</t>
  </si>
  <si>
    <t>400791880391</t>
  </si>
  <si>
    <t>79188039</t>
  </si>
  <si>
    <t>1893</t>
  </si>
  <si>
    <t>400791880407</t>
  </si>
  <si>
    <t>79188040</t>
  </si>
  <si>
    <t>1811</t>
  </si>
  <si>
    <t>400791880414</t>
  </si>
  <si>
    <t>79188041</t>
  </si>
  <si>
    <t>1265</t>
  </si>
  <si>
    <t>195862250714</t>
  </si>
  <si>
    <t>74389907</t>
  </si>
  <si>
    <t>6432713</t>
  </si>
  <si>
    <t>Girls 4-12 Carter's Bunny Tutu Dress</t>
  </si>
  <si>
    <t>195862250721</t>
  </si>
  <si>
    <t>74389913</t>
  </si>
  <si>
    <t>400725588386</t>
  </si>
  <si>
    <t>72558838</t>
  </si>
  <si>
    <t>6264492</t>
  </si>
  <si>
    <t>Plus Size Croft &amp; Barrow® The Extra Soft Plaid Flannel Shirt</t>
  </si>
  <si>
    <t>Black Red Buff Check</t>
  </si>
  <si>
    <t>400725588430</t>
  </si>
  <si>
    <t>72558843</t>
  </si>
  <si>
    <t>197235064249</t>
  </si>
  <si>
    <t>78982365</t>
  </si>
  <si>
    <t>6074104</t>
  </si>
  <si>
    <t>Boys 4-7 adidas Game &amp; Go Jogger</t>
  </si>
  <si>
    <t>197117365402</t>
  </si>
  <si>
    <t>18817813</t>
  </si>
  <si>
    <t>6196999</t>
  </si>
  <si>
    <t>Men's Cuddl Duds® Midweight Waffle Thermal Performance Base Layer Hoodie</t>
  </si>
  <si>
    <t>197117365501</t>
  </si>
  <si>
    <t>18817824</t>
  </si>
  <si>
    <t>Navy Blazer</t>
  </si>
  <si>
    <t>197117365457</t>
  </si>
  <si>
    <t>18817818</t>
  </si>
  <si>
    <t>197117365419</t>
  </si>
  <si>
    <t>18817814</t>
  </si>
  <si>
    <t>197117365518</t>
  </si>
  <si>
    <t>18817825</t>
  </si>
  <si>
    <t>197117365464</t>
  </si>
  <si>
    <t>18817819</t>
  </si>
  <si>
    <t>197117365471</t>
  </si>
  <si>
    <t>18817820</t>
  </si>
  <si>
    <t>197117365426</t>
  </si>
  <si>
    <t>18817815</t>
  </si>
  <si>
    <t>197117365525</t>
  </si>
  <si>
    <t>18817826</t>
  </si>
  <si>
    <t>197117365488</t>
  </si>
  <si>
    <t>18817821</t>
  </si>
  <si>
    <t>197117365433</t>
  </si>
  <si>
    <t>18817816</t>
  </si>
  <si>
    <t>197117365532</t>
  </si>
  <si>
    <t>18817827</t>
  </si>
  <si>
    <t>197117365495</t>
  </si>
  <si>
    <t>18817823</t>
  </si>
  <si>
    <t>197117365440</t>
  </si>
  <si>
    <t>18817817</t>
  </si>
  <si>
    <t>197117365549</t>
  </si>
  <si>
    <t>18817828</t>
  </si>
  <si>
    <t>196027199954</t>
  </si>
  <si>
    <t>49251814</t>
  </si>
  <si>
    <t>5607968</t>
  </si>
  <si>
    <t>Boys 4-10 Marvel Spiderman &amp;#34;The Verse&amp;#34; 2-Piece Pajama Set</t>
  </si>
  <si>
    <t>Marvel</t>
  </si>
  <si>
    <t>196601765292</t>
  </si>
  <si>
    <t>44127267</t>
  </si>
  <si>
    <t>6069355</t>
  </si>
  <si>
    <t>Boys 4-16 Under Armour Long Sleeve Quilted Puffer Vest Hoodie</t>
  </si>
  <si>
    <t>196601765254</t>
  </si>
  <si>
    <t>76966379</t>
  </si>
  <si>
    <t>Baroque Green</t>
  </si>
  <si>
    <t>197117363385</t>
  </si>
  <si>
    <t>78570553</t>
  </si>
  <si>
    <t>6196969</t>
  </si>
  <si>
    <t>Men's Cuddl Duds® Lightweight ModalCore Performance Base Layer Pants</t>
  </si>
  <si>
    <t>197117363408</t>
  </si>
  <si>
    <t>78570555</t>
  </si>
  <si>
    <t>197117363460</t>
  </si>
  <si>
    <t>78570546</t>
  </si>
  <si>
    <t>197117363415</t>
  </si>
  <si>
    <t>78570563</t>
  </si>
  <si>
    <t>197117363477</t>
  </si>
  <si>
    <t>78570547</t>
  </si>
  <si>
    <t>197117363422</t>
  </si>
  <si>
    <t>78570564</t>
  </si>
  <si>
    <t>Women's Levi's® Hooded Cotton Anorak Jacket</t>
  </si>
  <si>
    <t>196900154988</t>
  </si>
  <si>
    <t>46823021</t>
  </si>
  <si>
    <t>6393891</t>
  </si>
  <si>
    <t>Baby &amp; Toddler Girl Bonnie Jean Stripe Cardigan &amp; Dress Set</t>
  </si>
  <si>
    <t>196900155008</t>
  </si>
  <si>
    <t>46823023</t>
  </si>
  <si>
    <t>196900155015</t>
  </si>
  <si>
    <t>46823024</t>
  </si>
  <si>
    <t>196900155039</t>
  </si>
  <si>
    <t>46823025</t>
  </si>
  <si>
    <t>196900155046</t>
  </si>
  <si>
    <t>46823026</t>
  </si>
  <si>
    <t>400807075346</t>
  </si>
  <si>
    <t>80707534</t>
  </si>
  <si>
    <t>5032473</t>
  </si>
  <si>
    <t>Maternity Sonoma Goods For Life® Inset Belly Jeggings</t>
  </si>
  <si>
    <t>2-MAT</t>
  </si>
  <si>
    <t>400807075445</t>
  </si>
  <si>
    <t>80707544</t>
  </si>
  <si>
    <t>18-MAT</t>
  </si>
  <si>
    <t>400377492352</t>
  </si>
  <si>
    <t>37749235</t>
  </si>
  <si>
    <t>6119366</t>
  </si>
  <si>
    <t>Sonoma Goods For Life® Short Leaf Ceramic Pillar Candle Holder</t>
  </si>
  <si>
    <t>197505016428</t>
  </si>
  <si>
    <t>81821068</t>
  </si>
  <si>
    <t>6446430</t>
  </si>
  <si>
    <t>Plus Size Lilac+London Solid Kimono Wrapper</t>
  </si>
  <si>
    <t>819893030564</t>
  </si>
  <si>
    <t>64859660</t>
  </si>
  <si>
    <t>6609080</t>
  </si>
  <si>
    <t>Maud Borup 3.5 oz. Cotton Candy Layer Cake</t>
  </si>
  <si>
    <t>Maud Borup</t>
  </si>
  <si>
    <t>195157059923</t>
  </si>
  <si>
    <t>55603015</t>
  </si>
  <si>
    <t>6123808</t>
  </si>
  <si>
    <t>Women's Sonoma Goods For Life® Cozy Button Front Cardigan</t>
  </si>
  <si>
    <t>197117376934</t>
  </si>
  <si>
    <t>76999525</t>
  </si>
  <si>
    <t>6197039</t>
  </si>
  <si>
    <t>Men's Cuddl Duds® Midweight Lite Compression Performance Base Layer Crew Top</t>
  </si>
  <si>
    <t>197117376941</t>
  </si>
  <si>
    <t>76999526</t>
  </si>
  <si>
    <t>197117376958</t>
  </si>
  <si>
    <t>76999527</t>
  </si>
  <si>
    <t>197117376965</t>
  </si>
  <si>
    <t>76999529</t>
  </si>
  <si>
    <t>400507443261</t>
  </si>
  <si>
    <t>50744326</t>
  </si>
  <si>
    <t>7081372</t>
  </si>
  <si>
    <t>Women's FLX Affirmation Short Sleeve Bodysuit</t>
  </si>
  <si>
    <t>400507443278</t>
  </si>
  <si>
    <t>50744327</t>
  </si>
  <si>
    <t>400507443346</t>
  </si>
  <si>
    <t>50744334</t>
  </si>
  <si>
    <t>400507443353</t>
  </si>
  <si>
    <t>50744335</t>
  </si>
  <si>
    <t>400507443360</t>
  </si>
  <si>
    <t>50744336</t>
  </si>
  <si>
    <t>400507443377</t>
  </si>
  <si>
    <t>50744337</t>
  </si>
  <si>
    <t>400299260138</t>
  </si>
  <si>
    <t>29926013</t>
  </si>
  <si>
    <t>7081803</t>
  </si>
  <si>
    <t>Plus Size LC Lauren Conrad High-Rise Pleat Front Wide Leg Pants - Parker Beige</t>
  </si>
  <si>
    <t>400299260169</t>
  </si>
  <si>
    <t>29926016</t>
  </si>
  <si>
    <t>400299260237</t>
  </si>
  <si>
    <t>29926023</t>
  </si>
  <si>
    <t>400765224817</t>
  </si>
  <si>
    <t>76522481</t>
  </si>
  <si>
    <t>400299260145</t>
  </si>
  <si>
    <t>29926014</t>
  </si>
  <si>
    <t>196327269456</t>
  </si>
  <si>
    <t>81868979</t>
  </si>
  <si>
    <t>6095335</t>
  </si>
  <si>
    <t>Girls 7-16 Nike 3BRAND by Russell Wilson Ribbed Hoodie</t>
  </si>
  <si>
    <t>196327269463</t>
  </si>
  <si>
    <t>81868980</t>
  </si>
  <si>
    <t>Just Play Seriously Super Sized Sushi Food Plush</t>
  </si>
  <si>
    <t>Baby Girl Carter's 3-Piece Heart Little Vest, Bodysuit, and Pant Set</t>
  </si>
  <si>
    <t>887863133775</t>
  </si>
  <si>
    <t>46688158</t>
  </si>
  <si>
    <t>Women's AB Studio Mockneck Drop Shoulder Sweater</t>
  </si>
  <si>
    <t>887863133898</t>
  </si>
  <si>
    <t>46688170</t>
  </si>
  <si>
    <t>887863133836</t>
  </si>
  <si>
    <t>46688164</t>
  </si>
  <si>
    <t>Heather Brown</t>
  </si>
  <si>
    <t>887863133959</t>
  </si>
  <si>
    <t>46688176</t>
  </si>
  <si>
    <t>887863176567</t>
  </si>
  <si>
    <t>29276891</t>
  </si>
  <si>
    <t>887863133782</t>
  </si>
  <si>
    <t>46688159</t>
  </si>
  <si>
    <t>887863133904</t>
  </si>
  <si>
    <t>46688171</t>
  </si>
  <si>
    <t>887863133966</t>
  </si>
  <si>
    <t>46688177</t>
  </si>
  <si>
    <t>887863176581</t>
  </si>
  <si>
    <t>29276898</t>
  </si>
  <si>
    <t>887863176604</t>
  </si>
  <si>
    <t>29276900</t>
  </si>
  <si>
    <t>887863133942</t>
  </si>
  <si>
    <t>46688175</t>
  </si>
  <si>
    <t>887863176611</t>
  </si>
  <si>
    <t>29276901</t>
  </si>
  <si>
    <t>195365484494</t>
  </si>
  <si>
    <t>55693858</t>
  </si>
  <si>
    <t>6108765</t>
  </si>
  <si>
    <t>Men's ZeroXposur Bender Quilted Puffer Jacket</t>
  </si>
  <si>
    <t>195365484258</t>
  </si>
  <si>
    <t>55693853</t>
  </si>
  <si>
    <t>195365484500</t>
  </si>
  <si>
    <t>55693859</t>
  </si>
  <si>
    <t>195365484265</t>
  </si>
  <si>
    <t>55693854</t>
  </si>
  <si>
    <t>195365484517</t>
  </si>
  <si>
    <t>55693860</t>
  </si>
  <si>
    <t>195365484524</t>
  </si>
  <si>
    <t>55693862</t>
  </si>
  <si>
    <t>889602792359</t>
  </si>
  <si>
    <t>68658442</t>
  </si>
  <si>
    <t>6520928</t>
  </si>
  <si>
    <t>Women's Simply Vera Vera Wang Moto Jacket</t>
  </si>
  <si>
    <t>400558430708</t>
  </si>
  <si>
    <t>55843070</t>
  </si>
  <si>
    <t>6179559</t>
  </si>
  <si>
    <t>Baby &amp; Toddler Girl Jumping Beans® Fleece Hoodie</t>
  </si>
  <si>
    <t>Gray Unicorn</t>
  </si>
  <si>
    <t>400784647987</t>
  </si>
  <si>
    <t>78464798</t>
  </si>
  <si>
    <t>6261459</t>
  </si>
  <si>
    <t>Petite Sonoma Goods For Life® Everyday Essential Flannel Top</t>
  </si>
  <si>
    <t>400784648083</t>
  </si>
  <si>
    <t>78464808</t>
  </si>
  <si>
    <t>400784648182</t>
  </si>
  <si>
    <t>78464818</t>
  </si>
  <si>
    <t>400784648281</t>
  </si>
  <si>
    <t>78464828</t>
  </si>
  <si>
    <t>400784648380</t>
  </si>
  <si>
    <t>78464838</t>
  </si>
  <si>
    <t>400784648984</t>
  </si>
  <si>
    <t>78464898</t>
  </si>
  <si>
    <t>400784648489</t>
  </si>
  <si>
    <t>78464848</t>
  </si>
  <si>
    <t>400784649080</t>
  </si>
  <si>
    <t>78464908</t>
  </si>
  <si>
    <t>400376515823</t>
  </si>
  <si>
    <t>37651582</t>
  </si>
  <si>
    <t>5672154</t>
  </si>
  <si>
    <t>Maternity Sonoma Goods For Life® Essential Scoopneck Long Sleeve Tee</t>
  </si>
  <si>
    <t>Blue Mama Graphic</t>
  </si>
  <si>
    <t>400195235889</t>
  </si>
  <si>
    <t>19523588</t>
  </si>
  <si>
    <t>400195235957</t>
  </si>
  <si>
    <t>19523595</t>
  </si>
  <si>
    <t>400376515885</t>
  </si>
  <si>
    <t>37651588</t>
  </si>
  <si>
    <t>400195235964</t>
  </si>
  <si>
    <t>19523596</t>
  </si>
  <si>
    <t>400195235896</t>
  </si>
  <si>
    <t>19523589</t>
  </si>
  <si>
    <t>400195235971</t>
  </si>
  <si>
    <t>19523597</t>
  </si>
  <si>
    <t>400195235902</t>
  </si>
  <si>
    <t>19523590</t>
  </si>
  <si>
    <t>400195235988</t>
  </si>
  <si>
    <t>19523598</t>
  </si>
  <si>
    <t>400195235919</t>
  </si>
  <si>
    <t>19523591</t>
  </si>
  <si>
    <t>400195235995</t>
  </si>
  <si>
    <t>19523599</t>
  </si>
  <si>
    <t>400195235933</t>
  </si>
  <si>
    <t>19523593</t>
  </si>
  <si>
    <t>197505015629</t>
  </si>
  <si>
    <t>49920850</t>
  </si>
  <si>
    <t>6446425</t>
  </si>
  <si>
    <t>Plus Size Lilac+London Satin Camisole Top &amp; Pajama Shorts Sleep Set</t>
  </si>
  <si>
    <t>086201926240</t>
  </si>
  <si>
    <t>34050147</t>
  </si>
  <si>
    <t>4509824</t>
  </si>
  <si>
    <t>Men's Cuddl Duds® Scrubs Classic V-Neck Top With Pockets</t>
  </si>
  <si>
    <t>086201926509</t>
  </si>
  <si>
    <t>34050138</t>
  </si>
  <si>
    <t>086201926295</t>
  </si>
  <si>
    <t>34050151</t>
  </si>
  <si>
    <t>086201926752</t>
  </si>
  <si>
    <t>34050133</t>
  </si>
  <si>
    <t>086201926608</t>
  </si>
  <si>
    <t>34050142</t>
  </si>
  <si>
    <t>086201926257</t>
  </si>
  <si>
    <t>34050148</t>
  </si>
  <si>
    <t>086201926769</t>
  </si>
  <si>
    <t>34050134</t>
  </si>
  <si>
    <t>086201926639</t>
  </si>
  <si>
    <t>34050139</t>
  </si>
  <si>
    <t>086201926615</t>
  </si>
  <si>
    <t>34050143</t>
  </si>
  <si>
    <t>086201926301</t>
  </si>
  <si>
    <t>34050152</t>
  </si>
  <si>
    <t>086201926776</t>
  </si>
  <si>
    <t>34050136</t>
  </si>
  <si>
    <t>086201926264</t>
  </si>
  <si>
    <t>34050149</t>
  </si>
  <si>
    <t>086201926646</t>
  </si>
  <si>
    <t>34050140</t>
  </si>
  <si>
    <t>086201926622</t>
  </si>
  <si>
    <t>34050144</t>
  </si>
  <si>
    <t>086201926318</t>
  </si>
  <si>
    <t>34050153</t>
  </si>
  <si>
    <t>086201926479</t>
  </si>
  <si>
    <t>34050146</t>
  </si>
  <si>
    <t>086201926271</t>
  </si>
  <si>
    <t>34050150</t>
  </si>
  <si>
    <t>086201926653</t>
  </si>
  <si>
    <t>34050141</t>
  </si>
  <si>
    <t>086201926288</t>
  </si>
  <si>
    <t>46524246</t>
  </si>
  <si>
    <t>086201926660</t>
  </si>
  <si>
    <t>46524243</t>
  </si>
  <si>
    <t>400560341870</t>
  </si>
  <si>
    <t>56034187</t>
  </si>
  <si>
    <t>7029941</t>
  </si>
  <si>
    <t>Juniors' SO® High Rise Ponte Flare Pants</t>
  </si>
  <si>
    <t>Black Split Hem</t>
  </si>
  <si>
    <t>400560341887</t>
  </si>
  <si>
    <t>56034188</t>
  </si>
  <si>
    <t>400755918887</t>
  </si>
  <si>
    <t>75591888</t>
  </si>
  <si>
    <t>400755918894</t>
  </si>
  <si>
    <t>75591889</t>
  </si>
  <si>
    <t>400755918900</t>
  </si>
  <si>
    <t>75591890</t>
  </si>
  <si>
    <t>400755918924</t>
  </si>
  <si>
    <t>75591892</t>
  </si>
  <si>
    <t>195157060608</t>
  </si>
  <si>
    <t>76988197</t>
  </si>
  <si>
    <t>4975555</t>
  </si>
  <si>
    <t>Women's Nine West Ribbed V-Neck Sweater</t>
  </si>
  <si>
    <t>195157060363</t>
  </si>
  <si>
    <t>51162518</t>
  </si>
  <si>
    <t>Black Shine</t>
  </si>
  <si>
    <t>195157060615</t>
  </si>
  <si>
    <t>76988199</t>
  </si>
  <si>
    <t>195157060370</t>
  </si>
  <si>
    <t>51162519</t>
  </si>
  <si>
    <t>195157060622</t>
  </si>
  <si>
    <t>76988200</t>
  </si>
  <si>
    <t>195157060387</t>
  </si>
  <si>
    <t>51162520</t>
  </si>
  <si>
    <t>195157060639</t>
  </si>
  <si>
    <t>76988201</t>
  </si>
  <si>
    <t>195157060394</t>
  </si>
  <si>
    <t>51162521</t>
  </si>
  <si>
    <t>195157060400</t>
  </si>
  <si>
    <t>51162522</t>
  </si>
  <si>
    <t>195157060646</t>
  </si>
  <si>
    <t>76988202</t>
  </si>
  <si>
    <t>195157060417</t>
  </si>
  <si>
    <t>51162528</t>
  </si>
  <si>
    <t>195157060653</t>
  </si>
  <si>
    <t>76988204</t>
  </si>
  <si>
    <t>Women's Columbia Plus West Bend 1/4 Zip Pullover</t>
  </si>
  <si>
    <t>193506102436</t>
  </si>
  <si>
    <t>46500022</t>
  </si>
  <si>
    <t>6615813</t>
  </si>
  <si>
    <t>14k Gold Love Knot Earrings</t>
  </si>
  <si>
    <t>197161330913</t>
  </si>
  <si>
    <t>81958559</t>
  </si>
  <si>
    <t>6373605</t>
  </si>
  <si>
    <t>Boys' Cleveland Browns Pullover Fleece Hoodie</t>
  </si>
  <si>
    <t>Brn Brown</t>
  </si>
  <si>
    <t>197117376583</t>
  </si>
  <si>
    <t>58633369</t>
  </si>
  <si>
    <t>6197035</t>
  </si>
  <si>
    <t>Men's Cuddl Duds® Midweight Cottonwear Performance Base Layer Crew Top</t>
  </si>
  <si>
    <t>197117376682</t>
  </si>
  <si>
    <t>58633397</t>
  </si>
  <si>
    <t>197117376637</t>
  </si>
  <si>
    <t>58633380</t>
  </si>
  <si>
    <t>197117376644</t>
  </si>
  <si>
    <t>58633387</t>
  </si>
  <si>
    <t>197117376699</t>
  </si>
  <si>
    <t>58633398</t>
  </si>
  <si>
    <t>197117376590</t>
  </si>
  <si>
    <t>58633370</t>
  </si>
  <si>
    <t>197117376606</t>
  </si>
  <si>
    <t>58633377</t>
  </si>
  <si>
    <t>197117376651</t>
  </si>
  <si>
    <t>58633388</t>
  </si>
  <si>
    <t>197117376705</t>
  </si>
  <si>
    <t>58633399</t>
  </si>
  <si>
    <t>889602767999</t>
  </si>
  <si>
    <t>49387272</t>
  </si>
  <si>
    <t>6262123</t>
  </si>
  <si>
    <t>Juniors' SO® Crewneck Sweater</t>
  </si>
  <si>
    <t>889602768354</t>
  </si>
  <si>
    <t>59642705</t>
  </si>
  <si>
    <t>Mauve Spacedye</t>
  </si>
  <si>
    <t>889602768231</t>
  </si>
  <si>
    <t>59642685</t>
  </si>
  <si>
    <t>Brown Spacedye</t>
  </si>
  <si>
    <t>889602768415</t>
  </si>
  <si>
    <t>59642715</t>
  </si>
  <si>
    <t>Purple Spacedye</t>
  </si>
  <si>
    <t>889602768361</t>
  </si>
  <si>
    <t>59642706</t>
  </si>
  <si>
    <t>889602768248</t>
  </si>
  <si>
    <t>59642686</t>
  </si>
  <si>
    <t>197026330584</t>
  </si>
  <si>
    <t>29179097</t>
  </si>
  <si>
    <t>6202729</t>
  </si>
  <si>
    <t>Girls 4-12 Jumping Beans® Floral The Beatles Tee</t>
  </si>
  <si>
    <t>197026330591</t>
  </si>
  <si>
    <t>29179098</t>
  </si>
  <si>
    <t>197026330614</t>
  </si>
  <si>
    <t>29179100</t>
  </si>
  <si>
    <t>400470627316</t>
  </si>
  <si>
    <t>47062731</t>
  </si>
  <si>
    <t>6515381</t>
  </si>
  <si>
    <t>Petite Simply Vera Vera Wang Tie Cuff Shirt</t>
  </si>
  <si>
    <t>400632600973</t>
  </si>
  <si>
    <t>63260097</t>
  </si>
  <si>
    <t>400751394302</t>
  </si>
  <si>
    <t>75139430</t>
  </si>
  <si>
    <t>400470627415</t>
  </si>
  <si>
    <t>47062741</t>
  </si>
  <si>
    <t>400310537430</t>
  </si>
  <si>
    <t>31053743</t>
  </si>
  <si>
    <t>400632600980</t>
  </si>
  <si>
    <t>63260098</t>
  </si>
  <si>
    <t>400751394319</t>
  </si>
  <si>
    <t>75139431</t>
  </si>
  <si>
    <t>400470627514</t>
  </si>
  <si>
    <t>47062751</t>
  </si>
  <si>
    <t>400310537447</t>
  </si>
  <si>
    <t>31053744</t>
  </si>
  <si>
    <t>400632600997</t>
  </si>
  <si>
    <t>63260099</t>
  </si>
  <si>
    <t>400751394326</t>
  </si>
  <si>
    <t>75139432</t>
  </si>
  <si>
    <t>400310537454</t>
  </si>
  <si>
    <t>31053745</t>
  </si>
  <si>
    <t>400470627613</t>
  </si>
  <si>
    <t>47062761</t>
  </si>
  <si>
    <t>400632601017</t>
  </si>
  <si>
    <t>63260101</t>
  </si>
  <si>
    <t>400751394333</t>
  </si>
  <si>
    <t>75139433</t>
  </si>
  <si>
    <t>400310537461</t>
  </si>
  <si>
    <t>31053746</t>
  </si>
  <si>
    <t>400470627712</t>
  </si>
  <si>
    <t>47062771</t>
  </si>
  <si>
    <t>400632601024</t>
  </si>
  <si>
    <t>63260102</t>
  </si>
  <si>
    <t>400470627811</t>
  </si>
  <si>
    <t>47062781</t>
  </si>
  <si>
    <t>400632601031</t>
  </si>
  <si>
    <t>63260103</t>
  </si>
  <si>
    <t>195861971627</t>
  </si>
  <si>
    <t>45965912</t>
  </si>
  <si>
    <t>6057981</t>
  </si>
  <si>
    <t>Baby Girl Carter's Unicorn Tops &amp; Bottoms Pajama Set</t>
  </si>
  <si>
    <t>Unicorn</t>
  </si>
  <si>
    <t>400441202078</t>
  </si>
  <si>
    <t>44120207</t>
  </si>
  <si>
    <t>6627209</t>
  </si>
  <si>
    <t>Petite LC Lauren Conrad Short Trench Coat</t>
  </si>
  <si>
    <t>400441202085</t>
  </si>
  <si>
    <t>44120208</t>
  </si>
  <si>
    <t>400441202092</t>
  </si>
  <si>
    <t>44120209</t>
  </si>
  <si>
    <t>400441202108</t>
  </si>
  <si>
    <t>44120210</t>
  </si>
  <si>
    <t>400441202115</t>
  </si>
  <si>
    <t>44120211</t>
  </si>
  <si>
    <t>043849015545</t>
  </si>
  <si>
    <t>72423473</t>
  </si>
  <si>
    <t>6654291</t>
  </si>
  <si>
    <t>Girls 4-16 Knit Works 2-pc. Short Sleeve Tiered Dress &amp; Jacket Set</t>
  </si>
  <si>
    <t>043849015552</t>
  </si>
  <si>
    <t>72423474</t>
  </si>
  <si>
    <t>400738794316</t>
  </si>
  <si>
    <t>73879431</t>
  </si>
  <si>
    <t>6264461</t>
  </si>
  <si>
    <t>Plus Size Sonoma Goods For Life® Favorite Long Sleeve V-Neck Tee</t>
  </si>
  <si>
    <t>400738794323</t>
  </si>
  <si>
    <t>73879432</t>
  </si>
  <si>
    <t>400738794392</t>
  </si>
  <si>
    <t>73879439</t>
  </si>
  <si>
    <t>400738794408</t>
  </si>
  <si>
    <t>73879440</t>
  </si>
  <si>
    <t>194808826211</t>
  </si>
  <si>
    <t>46932488</t>
  </si>
  <si>
    <t>6566403</t>
  </si>
  <si>
    <t>Juniors' Lily Rose Twist Front Skater Dress</t>
  </si>
  <si>
    <t>Black Geo Print</t>
  </si>
  <si>
    <t>194808826228</t>
  </si>
  <si>
    <t>46932489</t>
  </si>
  <si>
    <t>400511983401</t>
  </si>
  <si>
    <t>51198340</t>
  </si>
  <si>
    <t>6486829</t>
  </si>
  <si>
    <t>Plus Size FLX Balance Core Tank</t>
  </si>
  <si>
    <t>400511983494</t>
  </si>
  <si>
    <t>51198349</t>
  </si>
  <si>
    <t>400511983500</t>
  </si>
  <si>
    <t>51198350</t>
  </si>
  <si>
    <t>400511983418</t>
  </si>
  <si>
    <t>51198341</t>
  </si>
  <si>
    <t>400511983517</t>
  </si>
  <si>
    <t>51198351</t>
  </si>
  <si>
    <t>400511983425</t>
  </si>
  <si>
    <t>51198342</t>
  </si>
  <si>
    <t>400511983524</t>
  </si>
  <si>
    <t>51198352</t>
  </si>
  <si>
    <t>400511983487</t>
  </si>
  <si>
    <t>51198348</t>
  </si>
  <si>
    <t>Men's Levi's® Classic Button Up Shirt</t>
  </si>
  <si>
    <t>196524462254</t>
  </si>
  <si>
    <t>75388955</t>
  </si>
  <si>
    <t>400754603654</t>
  </si>
  <si>
    <t>75460365</t>
  </si>
  <si>
    <t>5677748</t>
  </si>
  <si>
    <t>Sonoma Goods For Life® Texas Feather Fill Throw Pillow</t>
  </si>
  <si>
    <t>Texas</t>
  </si>
  <si>
    <t>Boys 4-7 Hurley Northern Lights Tie Dye Pullover Hoodie</t>
  </si>
  <si>
    <t>400758870250</t>
  </si>
  <si>
    <t>75887025</t>
  </si>
  <si>
    <t>4377544</t>
  </si>
  <si>
    <t>Girls 6-16 SO® Adaptive Short Sleeve Bodysuit</t>
  </si>
  <si>
    <t>400758870311</t>
  </si>
  <si>
    <t>75887031</t>
  </si>
  <si>
    <t>400758870267</t>
  </si>
  <si>
    <t>75887026</t>
  </si>
  <si>
    <t>400758870397</t>
  </si>
  <si>
    <t>75887039</t>
  </si>
  <si>
    <t>400758870328</t>
  </si>
  <si>
    <t>75887032</t>
  </si>
  <si>
    <t>400758870342</t>
  </si>
  <si>
    <t>75887034</t>
  </si>
  <si>
    <t>400758870274</t>
  </si>
  <si>
    <t>75887027</t>
  </si>
  <si>
    <t>400758870403</t>
  </si>
  <si>
    <t>75887040</t>
  </si>
  <si>
    <t>400767765998</t>
  </si>
  <si>
    <t>76776599</t>
  </si>
  <si>
    <t>6259693</t>
  </si>
  <si>
    <t>Juniors' Plus Size SO® High Rise Pull On Flare Pants</t>
  </si>
  <si>
    <t>400181598479</t>
  </si>
  <si>
    <t>18159847</t>
  </si>
  <si>
    <t>Medium Tint</t>
  </si>
  <si>
    <t>400740062823</t>
  </si>
  <si>
    <t>74006282</t>
  </si>
  <si>
    <t>400740062892</t>
  </si>
  <si>
    <t>74006289</t>
  </si>
  <si>
    <t>400767766001</t>
  </si>
  <si>
    <t>76776600</t>
  </si>
  <si>
    <t>400181598486</t>
  </si>
  <si>
    <t>18159848</t>
  </si>
  <si>
    <t>400767766018</t>
  </si>
  <si>
    <t>76776601</t>
  </si>
  <si>
    <t>400181598493</t>
  </si>
  <si>
    <t>18159849</t>
  </si>
  <si>
    <t>400740062908</t>
  </si>
  <si>
    <t>74006290</t>
  </si>
  <si>
    <t>400466192156</t>
  </si>
  <si>
    <t>46619215</t>
  </si>
  <si>
    <t>6839179</t>
  </si>
  <si>
    <t>400466192071</t>
  </si>
  <si>
    <t>46619207</t>
  </si>
  <si>
    <t>400466192163</t>
  </si>
  <si>
    <t>46619216</t>
  </si>
  <si>
    <t>400466192088</t>
  </si>
  <si>
    <t>46619208</t>
  </si>
  <si>
    <t>195861934561</t>
  </si>
  <si>
    <t>76910321</t>
  </si>
  <si>
    <t>5988496</t>
  </si>
  <si>
    <t>Baby Little Planet by Carter's Organic Cotton Fair Isle Sweater &amp; Pants Set</t>
  </si>
  <si>
    <t>Red Fairisle</t>
  </si>
  <si>
    <t>195861934530</t>
  </si>
  <si>
    <t>76910324</t>
  </si>
  <si>
    <t>195861934523</t>
  </si>
  <si>
    <t>76910322</t>
  </si>
  <si>
    <t>195861934547</t>
  </si>
  <si>
    <t>76910325</t>
  </si>
  <si>
    <t>195861934493</t>
  </si>
  <si>
    <t>76910326</t>
  </si>
  <si>
    <t>195861934509</t>
  </si>
  <si>
    <t>76910327</t>
  </si>
  <si>
    <t>195861934516</t>
  </si>
  <si>
    <t>76910329</t>
  </si>
  <si>
    <t>197772008188</t>
  </si>
  <si>
    <t>45979549</t>
  </si>
  <si>
    <t>6438027</t>
  </si>
  <si>
    <t>Men's Stranger Things Holiday Bicycle Squad Graphic Tee</t>
  </si>
  <si>
    <t>197772008195</t>
  </si>
  <si>
    <t>45979550</t>
  </si>
  <si>
    <t>721</t>
  </si>
  <si>
    <t>197772008201</t>
  </si>
  <si>
    <t>45979551</t>
  </si>
  <si>
    <t>989</t>
  </si>
  <si>
    <t>197772008218</t>
  </si>
  <si>
    <t>45979552</t>
  </si>
  <si>
    <t>1000</t>
  </si>
  <si>
    <t>197772008225</t>
  </si>
  <si>
    <t>45979553</t>
  </si>
  <si>
    <t>016722990499</t>
  </si>
  <si>
    <t>33323895</t>
  </si>
  <si>
    <t>6890047</t>
  </si>
  <si>
    <t>Blue Silver</t>
  </si>
  <si>
    <t>016722990550</t>
  </si>
  <si>
    <t>33323897</t>
  </si>
  <si>
    <t>193506105086</t>
  </si>
  <si>
    <t>66696717</t>
  </si>
  <si>
    <t>6880619</t>
  </si>
  <si>
    <t>Sterling Silver Cubic Zirconia Hoop Earrings</t>
  </si>
  <si>
    <t>10k Gold Filled Cable Chain Textured Cross Pendant Necklace</t>
  </si>
  <si>
    <t>193506104942</t>
  </si>
  <si>
    <t>77002479</t>
  </si>
  <si>
    <t>6880611</t>
  </si>
  <si>
    <t>Sterling Silver Blue Topaz London Leverback Earrings</t>
  </si>
  <si>
    <t>191985632390</t>
  </si>
  <si>
    <t>62666496</t>
  </si>
  <si>
    <t>5947226</t>
  </si>
  <si>
    <t>Collegiate Red</t>
  </si>
  <si>
    <t>Boys 8-20 Champion® Camo Print Short Sleeve Tee</t>
  </si>
  <si>
    <t>197232288877</t>
  </si>
  <si>
    <t>54937708</t>
  </si>
  <si>
    <t>6239012</t>
  </si>
  <si>
    <t>Men's Tommy Hilfiger Regular Fit Long Sleeve Stretch Polo</t>
  </si>
  <si>
    <t>195861890829</t>
  </si>
  <si>
    <t>81833432</t>
  </si>
  <si>
    <t>5974025</t>
  </si>
  <si>
    <t>Baby Boy Carter's Striped Long Sleeve Rugby Polo Shirt &amp; Pants Set</t>
  </si>
  <si>
    <t>Turq Navy Stripe</t>
  </si>
  <si>
    <t>195861890836</t>
  </si>
  <si>
    <t>81833438</t>
  </si>
  <si>
    <t>400487324048</t>
  </si>
  <si>
    <t>48732404</t>
  </si>
  <si>
    <t>7082700</t>
  </si>
  <si>
    <t>Maternity Tek Gear® Ultrastretch High Rise Capri Pants</t>
  </si>
  <si>
    <t>Party Blue</t>
  </si>
  <si>
    <t>400792036957</t>
  </si>
  <si>
    <t>79203695</t>
  </si>
  <si>
    <t>Aqua Floral</t>
  </si>
  <si>
    <t>400487324062</t>
  </si>
  <si>
    <t>48732406</t>
  </si>
  <si>
    <t>400792036995</t>
  </si>
  <si>
    <t>79203699</t>
  </si>
  <si>
    <t>400487324079</t>
  </si>
  <si>
    <t>48732407</t>
  </si>
  <si>
    <t>400792037008</t>
  </si>
  <si>
    <t>79203700</t>
  </si>
  <si>
    <t>400487324147</t>
  </si>
  <si>
    <t>48732414</t>
  </si>
  <si>
    <t>196067391004</t>
  </si>
  <si>
    <t>44121646</t>
  </si>
  <si>
    <t>7060945</t>
  </si>
  <si>
    <t>196067391097</t>
  </si>
  <si>
    <t>44121655</t>
  </si>
  <si>
    <t>196067391134</t>
  </si>
  <si>
    <t>44121651</t>
  </si>
  <si>
    <t>196067391103</t>
  </si>
  <si>
    <t>44121656</t>
  </si>
  <si>
    <t>196067391110</t>
  </si>
  <si>
    <t>44121657</t>
  </si>
  <si>
    <t>Men's Levi's® XX Chino Standard Tapered Chino Pants</t>
  </si>
  <si>
    <t>Orin Gingham Pewter Pl</t>
  </si>
  <si>
    <t>32X34</t>
  </si>
  <si>
    <t>840132325295</t>
  </si>
  <si>
    <t>53637908</t>
  </si>
  <si>
    <t>5767103</t>
  </si>
  <si>
    <t>Men's Caliville Active Curved Hem Tee</t>
  </si>
  <si>
    <t>Army Heather</t>
  </si>
  <si>
    <t>840132325240</t>
  </si>
  <si>
    <t>53637899</t>
  </si>
  <si>
    <t>840132325196</t>
  </si>
  <si>
    <t>53637890</t>
  </si>
  <si>
    <t>Slate Heather</t>
  </si>
  <si>
    <t>840132325097</t>
  </si>
  <si>
    <t>53637872</t>
  </si>
  <si>
    <t>Rust Heather</t>
  </si>
  <si>
    <t>889602772429</t>
  </si>
  <si>
    <t>81893986</t>
  </si>
  <si>
    <t>6310962</t>
  </si>
  <si>
    <t>Plus Size Nine West V-Neck Shine Pullover Sweater</t>
  </si>
  <si>
    <t>White Shine</t>
  </si>
  <si>
    <t>889602772436</t>
  </si>
  <si>
    <t>81893987</t>
  </si>
  <si>
    <t>889602772498</t>
  </si>
  <si>
    <t>81894005</t>
  </si>
  <si>
    <t>889602772375</t>
  </si>
  <si>
    <t>81853288</t>
  </si>
  <si>
    <t>Shine Camo</t>
  </si>
  <si>
    <t>889602772504</t>
  </si>
  <si>
    <t>81894006</t>
  </si>
  <si>
    <t>889602772443</t>
  </si>
  <si>
    <t>81893994</t>
  </si>
  <si>
    <t>889602772382</t>
  </si>
  <si>
    <t>81853289</t>
  </si>
  <si>
    <t>889602772450</t>
  </si>
  <si>
    <t>81893995</t>
  </si>
  <si>
    <t>889602772511</t>
  </si>
  <si>
    <t>81894007</t>
  </si>
  <si>
    <t>889602772399</t>
  </si>
  <si>
    <t>81853290</t>
  </si>
  <si>
    <t>889602772467</t>
  </si>
  <si>
    <t>81893996</t>
  </si>
  <si>
    <t>889602772528</t>
  </si>
  <si>
    <t>81894014</t>
  </si>
  <si>
    <t>889602772405</t>
  </si>
  <si>
    <t>81853291</t>
  </si>
  <si>
    <t>889602772474</t>
  </si>
  <si>
    <t>81893997</t>
  </si>
  <si>
    <t>889602772535</t>
  </si>
  <si>
    <t>81894015</t>
  </si>
  <si>
    <t>889602772412</t>
  </si>
  <si>
    <t>81853292</t>
  </si>
  <si>
    <t>191900562399</t>
  </si>
  <si>
    <t>65395885</t>
  </si>
  <si>
    <t>6690028</t>
  </si>
  <si>
    <t>Women's Andrew Marc Marc New York Gilsey Powder Puffer Jacket</t>
  </si>
  <si>
    <t>191900562474</t>
  </si>
  <si>
    <t>65395875</t>
  </si>
  <si>
    <t>191900562436</t>
  </si>
  <si>
    <t>45872567</t>
  </si>
  <si>
    <t>191900565123</t>
  </si>
  <si>
    <t>65395876</t>
  </si>
  <si>
    <t>191900565116</t>
  </si>
  <si>
    <t>65395886</t>
  </si>
  <si>
    <t>191900565109</t>
  </si>
  <si>
    <t>45872568</t>
  </si>
  <si>
    <t>191900562467</t>
  </si>
  <si>
    <t>65395877</t>
  </si>
  <si>
    <t>191900562382</t>
  </si>
  <si>
    <t>65395887</t>
  </si>
  <si>
    <t>191900562375</t>
  </si>
  <si>
    <t>65395893</t>
  </si>
  <si>
    <t>196027326558</t>
  </si>
  <si>
    <t>80369468</t>
  </si>
  <si>
    <t>6239017</t>
  </si>
  <si>
    <t>Disney's Lilo &amp; Stitch Girls 4-10 Flutter Shoulder Long Sleeve Nightgown</t>
  </si>
  <si>
    <t>196027326565</t>
  </si>
  <si>
    <t>80369475</t>
  </si>
  <si>
    <t>Fisher-Price Attack-A-Stack Chase &amp; Toss Dog Toy</t>
  </si>
  <si>
    <t>194808826075</t>
  </si>
  <si>
    <t>47489656</t>
  </si>
  <si>
    <t>6566458</t>
  </si>
  <si>
    <t>Juniors' Lily Rose Sleeveless Molded Cup Bodycon Dress</t>
  </si>
  <si>
    <t>194808826082</t>
  </si>
  <si>
    <t>47489661</t>
  </si>
  <si>
    <t>194808826099</t>
  </si>
  <si>
    <t>47489662</t>
  </si>
  <si>
    <t>194808826105</t>
  </si>
  <si>
    <t>47489664</t>
  </si>
  <si>
    <t>195932277696</t>
  </si>
  <si>
    <t>69075457</t>
  </si>
  <si>
    <t>Disney's The Nightmare Before Christmas Jack Skellington Santa Hat Hi-Lo Chenille Graphic Sweatshirt</t>
  </si>
  <si>
    <t>195862011872</t>
  </si>
  <si>
    <t>71904779</t>
  </si>
  <si>
    <t>6045956</t>
  </si>
  <si>
    <t>Baby Boy Carter's Plaid Shacket</t>
  </si>
  <si>
    <t>195862011834</t>
  </si>
  <si>
    <t>71904780</t>
  </si>
  <si>
    <t>400375331837</t>
  </si>
  <si>
    <t>37533183</t>
  </si>
  <si>
    <t>6508451</t>
  </si>
  <si>
    <t>Girls 6-20 SO® Seam Detail Long Sleeve Top</t>
  </si>
  <si>
    <t>400375331332</t>
  </si>
  <si>
    <t>37533133</t>
  </si>
  <si>
    <t>400375331936</t>
  </si>
  <si>
    <t>37533193</t>
  </si>
  <si>
    <t>400375331431</t>
  </si>
  <si>
    <t>37533143</t>
  </si>
  <si>
    <t>400375331530</t>
  </si>
  <si>
    <t>37533153</t>
  </si>
  <si>
    <t>400375332032</t>
  </si>
  <si>
    <t>37533203</t>
  </si>
  <si>
    <t>400375331639</t>
  </si>
  <si>
    <t>37533163</t>
  </si>
  <si>
    <t>400375332131</t>
  </si>
  <si>
    <t>37533213</t>
  </si>
  <si>
    <t>400375331738</t>
  </si>
  <si>
    <t>37533173</t>
  </si>
  <si>
    <t>400375332230</t>
  </si>
  <si>
    <t>37533223</t>
  </si>
  <si>
    <t>504000207731</t>
  </si>
  <si>
    <t>63404694</t>
  </si>
  <si>
    <t>Blueberry Pet Classic Dog Harness</t>
  </si>
  <si>
    <t>Blueberry Pet</t>
  </si>
  <si>
    <t>504000207748</t>
  </si>
  <si>
    <t>58880237</t>
  </si>
  <si>
    <t>504000207755</t>
  </si>
  <si>
    <t>62689290</t>
  </si>
  <si>
    <t>887746877987</t>
  </si>
  <si>
    <t>59886668</t>
  </si>
  <si>
    <t>6528329</t>
  </si>
  <si>
    <t>Disney's Minnie Mouse 2-pc. BFF Key Chain</t>
  </si>
  <si>
    <t>196095450704</t>
  </si>
  <si>
    <t>18812338</t>
  </si>
  <si>
    <t>6287802</t>
  </si>
  <si>
    <t>Juniors' SO® Pointelle Sweater</t>
  </si>
  <si>
    <t>196095451121</t>
  </si>
  <si>
    <t>18812358</t>
  </si>
  <si>
    <t>196095450582</t>
  </si>
  <si>
    <t>18812325</t>
  </si>
  <si>
    <t>Antique Garden</t>
  </si>
  <si>
    <t>196095450766</t>
  </si>
  <si>
    <t>18812345</t>
  </si>
  <si>
    <t>Magic Stone</t>
  </si>
  <si>
    <t>196095450827</t>
  </si>
  <si>
    <t>18812365</t>
  </si>
  <si>
    <t>196095450773</t>
  </si>
  <si>
    <t>18812346</t>
  </si>
  <si>
    <t>196095450834</t>
  </si>
  <si>
    <t>18812366</t>
  </si>
  <si>
    <t>196739108541</t>
  </si>
  <si>
    <t>54801846</t>
  </si>
  <si>
    <t>Boys 8-20 Champion® Long Sleeve Graphic Tee</t>
  </si>
  <si>
    <t>Cargo Olive</t>
  </si>
  <si>
    <t>196739108633</t>
  </si>
  <si>
    <t>54801843</t>
  </si>
  <si>
    <t>Swiss Blue</t>
  </si>
  <si>
    <t>196739108558</t>
  </si>
  <si>
    <t>54801847</t>
  </si>
  <si>
    <t>400721033170</t>
  </si>
  <si>
    <t>72103317</t>
  </si>
  <si>
    <t>6496663</t>
  </si>
  <si>
    <t>Girls 6-16 SO® Long Sleeve Graphic Tee in Regular &amp; Plus Size</t>
  </si>
  <si>
    <t>Clover Tie Dye</t>
  </si>
  <si>
    <t>400721033187</t>
  </si>
  <si>
    <t>72103318</t>
  </si>
  <si>
    <t>400721033194</t>
  </si>
  <si>
    <t>72103319</t>
  </si>
  <si>
    <t>400721033200</t>
  </si>
  <si>
    <t>72103320</t>
  </si>
  <si>
    <t>400379597642</t>
  </si>
  <si>
    <t>37959764</t>
  </si>
  <si>
    <t>6461291</t>
  </si>
  <si>
    <t>Plus Size Croft &amp; Barrow® Pointelle Sweater</t>
  </si>
  <si>
    <t>400379597765</t>
  </si>
  <si>
    <t>37959776</t>
  </si>
  <si>
    <t>400379597659</t>
  </si>
  <si>
    <t>37959765</t>
  </si>
  <si>
    <t>400379597772</t>
  </si>
  <si>
    <t>37959777</t>
  </si>
  <si>
    <t>400379597666</t>
  </si>
  <si>
    <t>37959766</t>
  </si>
  <si>
    <t>400379597789</t>
  </si>
  <si>
    <t>37959778</t>
  </si>
  <si>
    <t>400379597673</t>
  </si>
  <si>
    <t>37959767</t>
  </si>
  <si>
    <t>400379597734</t>
  </si>
  <si>
    <t>37959773</t>
  </si>
  <si>
    <t>Icy Blue</t>
  </si>
  <si>
    <t>400379597796</t>
  </si>
  <si>
    <t>37959779</t>
  </si>
  <si>
    <t>400379597741</t>
  </si>
  <si>
    <t>37959774</t>
  </si>
  <si>
    <t>400379597802</t>
  </si>
  <si>
    <t>37959780</t>
  </si>
  <si>
    <t>400379597680</t>
  </si>
  <si>
    <t>37959768</t>
  </si>
  <si>
    <t>400755491557</t>
  </si>
  <si>
    <t>75549155</t>
  </si>
  <si>
    <t>5723855</t>
  </si>
  <si>
    <t>Baby &amp; Toddler Girl Jumping Beans® Marvel The Avengers Longline Hoodie &amp; Leggings Set</t>
  </si>
  <si>
    <t>Gray Marvel</t>
  </si>
  <si>
    <t>400755491564</t>
  </si>
  <si>
    <t>75549156</t>
  </si>
  <si>
    <t>400755491588</t>
  </si>
  <si>
    <t>75549158</t>
  </si>
  <si>
    <t>400755491632</t>
  </si>
  <si>
    <t>75549163</t>
  </si>
  <si>
    <t>400651731276</t>
  </si>
  <si>
    <t>65173127</t>
  </si>
  <si>
    <t>5581102</t>
  </si>
  <si>
    <t>Women's FLX Embrace French Terry Popover Hoodie</t>
  </si>
  <si>
    <t>195142177717</t>
  </si>
  <si>
    <t>67058472</t>
  </si>
  <si>
    <t>6206328</t>
  </si>
  <si>
    <t>Star Wars Grogu Toddler Boys' Slippers</t>
  </si>
  <si>
    <t>195142177724</t>
  </si>
  <si>
    <t>67058479</t>
  </si>
  <si>
    <t>195142177731</t>
  </si>
  <si>
    <t>67058480</t>
  </si>
  <si>
    <t>195142177748</t>
  </si>
  <si>
    <t>67058481</t>
  </si>
  <si>
    <t>195142177755</t>
  </si>
  <si>
    <t>67058482</t>
  </si>
  <si>
    <t>195142177762</t>
  </si>
  <si>
    <t>67058489</t>
  </si>
  <si>
    <t>400741398426</t>
  </si>
  <si>
    <t>74139842</t>
  </si>
  <si>
    <t>6270050</t>
  </si>
  <si>
    <t>Petites Tek Gear® Micro Fleece Popover</t>
  </si>
  <si>
    <t>400634042290</t>
  </si>
  <si>
    <t>63404229</t>
  </si>
  <si>
    <t>400741398723</t>
  </si>
  <si>
    <t>74139872</t>
  </si>
  <si>
    <t>400634042092</t>
  </si>
  <si>
    <t>63404209</t>
  </si>
  <si>
    <t>400634042146</t>
  </si>
  <si>
    <t>63404214</t>
  </si>
  <si>
    <t>400634042344</t>
  </si>
  <si>
    <t>63404234</t>
  </si>
  <si>
    <t>400741398822</t>
  </si>
  <si>
    <t>74139882</t>
  </si>
  <si>
    <t>400634042153</t>
  </si>
  <si>
    <t>63404215</t>
  </si>
  <si>
    <t>400634042351</t>
  </si>
  <si>
    <t>63404235</t>
  </si>
  <si>
    <t>400741398921</t>
  </si>
  <si>
    <t>74139892</t>
  </si>
  <si>
    <t>190917458664</t>
  </si>
  <si>
    <t>28258469</t>
  </si>
  <si>
    <t>6109809</t>
  </si>
  <si>
    <t>Women's INTEMPO Slit High-Waisted Wide-Leg Pants</t>
  </si>
  <si>
    <t>190917458473</t>
  </si>
  <si>
    <t>28258457</t>
  </si>
  <si>
    <t>190917458671</t>
  </si>
  <si>
    <t>28258471</t>
  </si>
  <si>
    <t>190917458688</t>
  </si>
  <si>
    <t>28258472</t>
  </si>
  <si>
    <t>400704161050</t>
  </si>
  <si>
    <t>70416105</t>
  </si>
  <si>
    <t>6381694</t>
  </si>
  <si>
    <t>Nine West Plus Size Turtleneck Tunic Sweater</t>
  </si>
  <si>
    <t>Coal Heather</t>
  </si>
  <si>
    <t>400580167221</t>
  </si>
  <si>
    <t>58016722</t>
  </si>
  <si>
    <t>400704161067</t>
  </si>
  <si>
    <t>70416106</t>
  </si>
  <si>
    <t>400580167238</t>
  </si>
  <si>
    <t>58016723</t>
  </si>
  <si>
    <t>400704161074</t>
  </si>
  <si>
    <t>70416107</t>
  </si>
  <si>
    <t>400580167313</t>
  </si>
  <si>
    <t>58016731</t>
  </si>
  <si>
    <t>400704161142</t>
  </si>
  <si>
    <t>70416114</t>
  </si>
  <si>
    <t>Plum Heather</t>
  </si>
  <si>
    <t>400704161081</t>
  </si>
  <si>
    <t>70416108</t>
  </si>
  <si>
    <t>400580167320</t>
  </si>
  <si>
    <t>58016732</t>
  </si>
  <si>
    <t>400704161159</t>
  </si>
  <si>
    <t>70416115</t>
  </si>
  <si>
    <t>400704161098</t>
  </si>
  <si>
    <t>70416109</t>
  </si>
  <si>
    <t>400580167337</t>
  </si>
  <si>
    <t>58016733</t>
  </si>
  <si>
    <t>196327269753</t>
  </si>
  <si>
    <t>73028909</t>
  </si>
  <si>
    <t>6095379</t>
  </si>
  <si>
    <t>Girls 7-16 Nike 3BRAND by Russell Wilson &amp;#34;Keep It Moving&amp;#34; Open Back Graphic Tee</t>
  </si>
  <si>
    <t>196327269760</t>
  </si>
  <si>
    <t>73028910</t>
  </si>
  <si>
    <t>196327269777</t>
  </si>
  <si>
    <t>73028911</t>
  </si>
  <si>
    <t>196327269784</t>
  </si>
  <si>
    <t>73028912</t>
  </si>
  <si>
    <t>716838394517</t>
  </si>
  <si>
    <t>81765895</t>
  </si>
  <si>
    <t>6860365</t>
  </si>
  <si>
    <t>18K Gold Leverback Ball Drop Earrings</t>
  </si>
  <si>
    <t>18k Gold</t>
  </si>
  <si>
    <t>840202371993</t>
  </si>
  <si>
    <t>29223141</t>
  </si>
  <si>
    <t>6264333</t>
  </si>
  <si>
    <t>Juniors' Ninety-Nine° Side-Tab Hipster Swim Bottoms</t>
  </si>
  <si>
    <t>Lilac Seersucker</t>
  </si>
  <si>
    <t>840202368979</t>
  </si>
  <si>
    <t>29223168</t>
  </si>
  <si>
    <t>Orange Pop Seersucker</t>
  </si>
  <si>
    <t>840202372006</t>
  </si>
  <si>
    <t>29223147</t>
  </si>
  <si>
    <t>840202368986</t>
  </si>
  <si>
    <t>29223169</t>
  </si>
  <si>
    <t>840202372013</t>
  </si>
  <si>
    <t>29223148</t>
  </si>
  <si>
    <t>840202368993</t>
  </si>
  <si>
    <t>29223170</t>
  </si>
  <si>
    <t>840202372020</t>
  </si>
  <si>
    <t>29223149</t>
  </si>
  <si>
    <t>840202369006</t>
  </si>
  <si>
    <t>29223171</t>
  </si>
  <si>
    <t>840202372037</t>
  </si>
  <si>
    <t>29223150</t>
  </si>
  <si>
    <t>840202369013</t>
  </si>
  <si>
    <t>29223177</t>
  </si>
  <si>
    <t>840202372044</t>
  </si>
  <si>
    <t>29223151</t>
  </si>
  <si>
    <t>840202369020</t>
  </si>
  <si>
    <t>29223178</t>
  </si>
  <si>
    <t>194735090792</t>
  </si>
  <si>
    <t>38703546</t>
  </si>
  <si>
    <t>1294</t>
  </si>
  <si>
    <t>5690265</t>
  </si>
  <si>
    <t>Disney/Pixar Lightyear Planetary Battle Pack by Mattel</t>
  </si>
  <si>
    <t>Mattel</t>
  </si>
  <si>
    <t>400546577088</t>
  </si>
  <si>
    <t>54657708</t>
  </si>
  <si>
    <t>6364725</t>
  </si>
  <si>
    <t>Men's Sonoma Goods For Life® Printed Full Elastic-Waistband Swim Trunks</t>
  </si>
  <si>
    <t>Pride Stripe</t>
  </si>
  <si>
    <t>400556482686</t>
  </si>
  <si>
    <t>55648268</t>
  </si>
  <si>
    <t>Fast Cars</t>
  </si>
  <si>
    <t>Women's Skechers® GOWALK™ GOFLEX™ Mesh-Insert Jacket</t>
  </si>
  <si>
    <t>195862015542</t>
  </si>
  <si>
    <t>78982387</t>
  </si>
  <si>
    <t>6074482</t>
  </si>
  <si>
    <t>Baby Girl Carter's Leopard Bow Dress</t>
  </si>
  <si>
    <t>Black Cheetah</t>
  </si>
  <si>
    <t>195862015511</t>
  </si>
  <si>
    <t>78982385</t>
  </si>
  <si>
    <t>195862015504</t>
  </si>
  <si>
    <t>78982384</t>
  </si>
  <si>
    <t>195862015528</t>
  </si>
  <si>
    <t>78982386</t>
  </si>
  <si>
    <t>195862015474</t>
  </si>
  <si>
    <t>78982380</t>
  </si>
  <si>
    <t>195862015481</t>
  </si>
  <si>
    <t>78982381</t>
  </si>
  <si>
    <t>400769218423</t>
  </si>
  <si>
    <t>76921842</t>
  </si>
  <si>
    <t>6109604</t>
  </si>
  <si>
    <t>Sonoma Goods For Life® Brantlee Women's Chelsea Boot</t>
  </si>
  <si>
    <t>400557033863</t>
  </si>
  <si>
    <t>55703386</t>
  </si>
  <si>
    <t>400769218447</t>
  </si>
  <si>
    <t>76921844</t>
  </si>
  <si>
    <t>400718011631</t>
  </si>
  <si>
    <t>71801163</t>
  </si>
  <si>
    <t>6165821</t>
  </si>
  <si>
    <t>Girls 6-16 SO® Cropped Full-Zip Hoodie in Regular &amp; Plus Size</t>
  </si>
  <si>
    <t>400718011648</t>
  </si>
  <si>
    <t>71801164</t>
  </si>
  <si>
    <t>400718011655</t>
  </si>
  <si>
    <t>71801165</t>
  </si>
  <si>
    <t>400718011662</t>
  </si>
  <si>
    <t>71801166</t>
  </si>
  <si>
    <t>400718011679</t>
  </si>
  <si>
    <t>71801167</t>
  </si>
  <si>
    <t>400661317132</t>
  </si>
  <si>
    <t>66131713</t>
  </si>
  <si>
    <t>400661317149</t>
  </si>
  <si>
    <t>66131714</t>
  </si>
  <si>
    <t>400661317156</t>
  </si>
  <si>
    <t>66131715</t>
  </si>
  <si>
    <t>400661317163</t>
  </si>
  <si>
    <t>66131716</t>
  </si>
  <si>
    <t>400661317170</t>
  </si>
  <si>
    <t>66131717</t>
  </si>
  <si>
    <t>400642754772</t>
  </si>
  <si>
    <t>64275477</t>
  </si>
  <si>
    <t>7081248</t>
  </si>
  <si>
    <t>Plus Size Maternity Tek Gear® Ultrastretch 7/8th Leggings</t>
  </si>
  <si>
    <t>400642754819</t>
  </si>
  <si>
    <t>64275481</t>
  </si>
  <si>
    <t>400290865950</t>
  </si>
  <si>
    <t>29086595</t>
  </si>
  <si>
    <t>400642754789</t>
  </si>
  <si>
    <t>64275478</t>
  </si>
  <si>
    <t>400642754826</t>
  </si>
  <si>
    <t>64275482</t>
  </si>
  <si>
    <t>400290865967</t>
  </si>
  <si>
    <t>29086596</t>
  </si>
  <si>
    <t>400642754796</t>
  </si>
  <si>
    <t>64275479</t>
  </si>
  <si>
    <t>400642754833</t>
  </si>
  <si>
    <t>64275483</t>
  </si>
  <si>
    <t>400290865974</t>
  </si>
  <si>
    <t>29086597</t>
  </si>
  <si>
    <t>400290865981</t>
  </si>
  <si>
    <t>29086598</t>
  </si>
  <si>
    <t>400642754840</t>
  </si>
  <si>
    <t>64275484</t>
  </si>
  <si>
    <t>400642754802</t>
  </si>
  <si>
    <t>64275480</t>
  </si>
  <si>
    <t>889260804845</t>
  </si>
  <si>
    <t>49325563</t>
  </si>
  <si>
    <t>5773435</t>
  </si>
  <si>
    <t>totes Makenzie Tall Girls' Winter Boots - Size: 1</t>
  </si>
  <si>
    <t>Boys 4-7 Hurley Dry Solar French Terry Jogger Pants</t>
  </si>
  <si>
    <t>197256346348</t>
  </si>
  <si>
    <t>80434552</t>
  </si>
  <si>
    <t>6300981</t>
  </si>
  <si>
    <t>Boys 4-12 Eddie Bauer Classic Down Heavyweight Jacket</t>
  </si>
  <si>
    <t>Lychee</t>
  </si>
  <si>
    <t>196122473737</t>
  </si>
  <si>
    <t>80434612</t>
  </si>
  <si>
    <t>Iron</t>
  </si>
  <si>
    <t>196122473492</t>
  </si>
  <si>
    <t>38879184</t>
  </si>
  <si>
    <t>196327270001</t>
  </si>
  <si>
    <t>55664429</t>
  </si>
  <si>
    <t>6095226</t>
  </si>
  <si>
    <t>Girls 7-16 Nike 3BRAND by Russell Wilson &amp;#34;Fired Up&amp;#34; Graphic Tee</t>
  </si>
  <si>
    <t>196327270018</t>
  </si>
  <si>
    <t>55664430</t>
  </si>
  <si>
    <t>196327270025</t>
  </si>
  <si>
    <t>55664432</t>
  </si>
  <si>
    <t>195861422952</t>
  </si>
  <si>
    <t>71139074</t>
  </si>
  <si>
    <t>5597612</t>
  </si>
  <si>
    <t>Baby &amp; Toddler Girls Carter's Sweater Dress</t>
  </si>
  <si>
    <t>195861422969</t>
  </si>
  <si>
    <t>71139075</t>
  </si>
  <si>
    <t>195861422976</t>
  </si>
  <si>
    <t>71139076</t>
  </si>
  <si>
    <t>400655826763</t>
  </si>
  <si>
    <t>65582676</t>
  </si>
  <si>
    <t>6364470</t>
  </si>
  <si>
    <t>Juniors' SO® High-Rise Flare Faux-Leather Pants</t>
  </si>
  <si>
    <t>Brookfield Brown</t>
  </si>
  <si>
    <t>400768167876</t>
  </si>
  <si>
    <t>76816787</t>
  </si>
  <si>
    <t>400655826664</t>
  </si>
  <si>
    <t>65582666</t>
  </si>
  <si>
    <t>Benson Brown</t>
  </si>
  <si>
    <t>400655826770</t>
  </si>
  <si>
    <t>65582677</t>
  </si>
  <si>
    <t>400655826671</t>
  </si>
  <si>
    <t>65582667</t>
  </si>
  <si>
    <t>400655826732</t>
  </si>
  <si>
    <t>65582673</t>
  </si>
  <si>
    <t>400768167890</t>
  </si>
  <si>
    <t>76816789</t>
  </si>
  <si>
    <t>400655826831</t>
  </si>
  <si>
    <t>65582683</t>
  </si>
  <si>
    <t>400655826749</t>
  </si>
  <si>
    <t>65582674</t>
  </si>
  <si>
    <t>400655826848</t>
  </si>
  <si>
    <t>65582684</t>
  </si>
  <si>
    <t>400768167906</t>
  </si>
  <si>
    <t>76816790</t>
  </si>
  <si>
    <t>400655826756</t>
  </si>
  <si>
    <t>65582675</t>
  </si>
  <si>
    <t>400655826855</t>
  </si>
  <si>
    <t>65582685</t>
  </si>
  <si>
    <t>400768167913</t>
  </si>
  <si>
    <t>76816791</t>
  </si>
  <si>
    <t>400375725957</t>
  </si>
  <si>
    <t>37572595</t>
  </si>
  <si>
    <t>400832632668</t>
  </si>
  <si>
    <t>83263266</t>
  </si>
  <si>
    <t>400375726060</t>
  </si>
  <si>
    <t>37572606</t>
  </si>
  <si>
    <t>400375725964</t>
  </si>
  <si>
    <t>37572596</t>
  </si>
  <si>
    <t>400375726077</t>
  </si>
  <si>
    <t>37572607</t>
  </si>
  <si>
    <t>400375726145</t>
  </si>
  <si>
    <t>37572614</t>
  </si>
  <si>
    <t>400375726152</t>
  </si>
  <si>
    <t>37572615</t>
  </si>
  <si>
    <t>400832632699</t>
  </si>
  <si>
    <t>83263269</t>
  </si>
  <si>
    <t>400375726046</t>
  </si>
  <si>
    <t>37572604</t>
  </si>
  <si>
    <t>400375726169</t>
  </si>
  <si>
    <t>37572616</t>
  </si>
  <si>
    <t>400282597258</t>
  </si>
  <si>
    <t>28259725</t>
  </si>
  <si>
    <t>400282597173</t>
  </si>
  <si>
    <t>28259717</t>
  </si>
  <si>
    <t>400282597128</t>
  </si>
  <si>
    <t>28259712</t>
  </si>
  <si>
    <t>400282597265</t>
  </si>
  <si>
    <t>28259726</t>
  </si>
  <si>
    <t>400282597180</t>
  </si>
  <si>
    <t>28259718</t>
  </si>
  <si>
    <t>400282597135</t>
  </si>
  <si>
    <t>28259713</t>
  </si>
  <si>
    <t>400282597272</t>
  </si>
  <si>
    <t>28259727</t>
  </si>
  <si>
    <t>400282597197</t>
  </si>
  <si>
    <t>28259719</t>
  </si>
  <si>
    <t>400282597142</t>
  </si>
  <si>
    <t>28259714</t>
  </si>
  <si>
    <t>400282597289</t>
  </si>
  <si>
    <t>28259728</t>
  </si>
  <si>
    <t>400282597210</t>
  </si>
  <si>
    <t>28259721</t>
  </si>
  <si>
    <t>400282597159</t>
  </si>
  <si>
    <t>28259715</t>
  </si>
  <si>
    <t>400282597296</t>
  </si>
  <si>
    <t>28259729</t>
  </si>
  <si>
    <t>400282597166</t>
  </si>
  <si>
    <t>28259716</t>
  </si>
  <si>
    <t>197161605899</t>
  </si>
  <si>
    <t>71661057</t>
  </si>
  <si>
    <t>6373575</t>
  </si>
  <si>
    <t>Pat Red</t>
  </si>
  <si>
    <t>197161605882</t>
  </si>
  <si>
    <t>71661063</t>
  </si>
  <si>
    <t>197161605875</t>
  </si>
  <si>
    <t>71661064</t>
  </si>
  <si>
    <t>400441633186</t>
  </si>
  <si>
    <t>44163318</t>
  </si>
  <si>
    <t>4922640</t>
  </si>
  <si>
    <t>Women's Croft &amp; Barrow® The Extra Soft V-Neck Sweater</t>
  </si>
  <si>
    <t>400441633247</t>
  </si>
  <si>
    <t>44163324</t>
  </si>
  <si>
    <t>196900149526</t>
  </si>
  <si>
    <t>50024653</t>
  </si>
  <si>
    <t>6379809</t>
  </si>
  <si>
    <t>Girls 4-20 Bonnie Jean Sparkle Dress in Regular &amp; Plus Size</t>
  </si>
  <si>
    <t>196900149472</t>
  </si>
  <si>
    <t>50024654</t>
  </si>
  <si>
    <t>540</t>
  </si>
  <si>
    <t>196900149489</t>
  </si>
  <si>
    <t>50024658</t>
  </si>
  <si>
    <t>196900149496</t>
  </si>
  <si>
    <t>50024659</t>
  </si>
  <si>
    <t>196900149502</t>
  </si>
  <si>
    <t>50024660</t>
  </si>
  <si>
    <t>196900149601</t>
  </si>
  <si>
    <t>83281515</t>
  </si>
  <si>
    <t>196900149618</t>
  </si>
  <si>
    <t>83281516</t>
  </si>
  <si>
    <t>400664969062</t>
  </si>
  <si>
    <t>66496906</t>
  </si>
  <si>
    <t>6581901</t>
  </si>
  <si>
    <t>Juniors' SO® Comfortable Cargo Mini Skirt</t>
  </si>
  <si>
    <t>400664969079</t>
  </si>
  <si>
    <t>66496907</t>
  </si>
  <si>
    <t>888435693840</t>
  </si>
  <si>
    <t>76924506</t>
  </si>
  <si>
    <t>5881128</t>
  </si>
  <si>
    <t>Girls 7-16 Puma Colorblock Tee</t>
  </si>
  <si>
    <t>PUMA</t>
  </si>
  <si>
    <t>888435693796</t>
  </si>
  <si>
    <t>76924501</t>
  </si>
  <si>
    <t>888435693789</t>
  </si>
  <si>
    <t>76924502</t>
  </si>
  <si>
    <t>888435693833</t>
  </si>
  <si>
    <t>76924507</t>
  </si>
  <si>
    <t>888435693772</t>
  </si>
  <si>
    <t>76924504</t>
  </si>
  <si>
    <t>888435693826</t>
  </si>
  <si>
    <t>76924509</t>
  </si>
  <si>
    <t>888435693857</t>
  </si>
  <si>
    <t>76924510</t>
  </si>
  <si>
    <t>043849015378</t>
  </si>
  <si>
    <t>66468020</t>
  </si>
  <si>
    <t>6739479</t>
  </si>
  <si>
    <t>Girls 4-20 Knit Works 2-pc. Long Sleeve Cardigan With Sleeveless Shirred Bodice &amp; Hem Ruffle Dress Set in Regular &amp; Plus Size</t>
  </si>
  <si>
    <t>043849015385</t>
  </si>
  <si>
    <t>66468021</t>
  </si>
  <si>
    <t>196128894154</t>
  </si>
  <si>
    <t>81954470</t>
  </si>
  <si>
    <t>6728019</t>
  </si>
  <si>
    <t>Plus Size Croft &amp; Barrow® Effortless Stretch Straight-Leg Pants</t>
  </si>
  <si>
    <t>30W SHORT</t>
  </si>
  <si>
    <t>196128891214</t>
  </si>
  <si>
    <t>76767651</t>
  </si>
  <si>
    <t>196128891207</t>
  </si>
  <si>
    <t>76767652</t>
  </si>
  <si>
    <t>196128891238</t>
  </si>
  <si>
    <t>76767654</t>
  </si>
  <si>
    <t>400191864694</t>
  </si>
  <si>
    <t>19186469</t>
  </si>
  <si>
    <t>6422923</t>
  </si>
  <si>
    <t>Maternity Sonoma Goods For Life® Long Sleeve V-Neck Sweater Dress</t>
  </si>
  <si>
    <t>400191864700</t>
  </si>
  <si>
    <t>19186470</t>
  </si>
  <si>
    <t>400191864588</t>
  </si>
  <si>
    <t>19186458</t>
  </si>
  <si>
    <t>400191864731</t>
  </si>
  <si>
    <t>19186473</t>
  </si>
  <si>
    <t>400191864595</t>
  </si>
  <si>
    <t>19186459</t>
  </si>
  <si>
    <t>400191864748</t>
  </si>
  <si>
    <t>19186474</t>
  </si>
  <si>
    <t>400191864670</t>
  </si>
  <si>
    <t>19186467</t>
  </si>
  <si>
    <t>400191864601</t>
  </si>
  <si>
    <t>19186460</t>
  </si>
  <si>
    <t>400636082744</t>
  </si>
  <si>
    <t>63608274</t>
  </si>
  <si>
    <t>6199972</t>
  </si>
  <si>
    <t>Girls 6-20 SO® Adaptive Long-Sleeve Skater Dress</t>
  </si>
  <si>
    <t>Young Pine</t>
  </si>
  <si>
    <t>400658695397</t>
  </si>
  <si>
    <t>65869539</t>
  </si>
  <si>
    <t>400636082751</t>
  </si>
  <si>
    <t>63608275</t>
  </si>
  <si>
    <t>400636082669</t>
  </si>
  <si>
    <t>63608266</t>
  </si>
  <si>
    <t>400658695403</t>
  </si>
  <si>
    <t>65869540</t>
  </si>
  <si>
    <t>400290857177</t>
  </si>
  <si>
    <t>29085717</t>
  </si>
  <si>
    <t>400379321742</t>
  </si>
  <si>
    <t>37932174</t>
  </si>
  <si>
    <t>400379321698</t>
  </si>
  <si>
    <t>37932169</t>
  </si>
  <si>
    <t>400290857221</t>
  </si>
  <si>
    <t>29085722</t>
  </si>
  <si>
    <t>Teal Butterfly</t>
  </si>
  <si>
    <t>196572986474</t>
  </si>
  <si>
    <t>76833264</t>
  </si>
  <si>
    <t>6084978</t>
  </si>
  <si>
    <t>Boys 8-20 Vans® Fusion Hooded Button Down Shirt</t>
  </si>
  <si>
    <t>Burgundy Check Plaid</t>
  </si>
  <si>
    <t>400724873919</t>
  </si>
  <si>
    <t>72487391</t>
  </si>
  <si>
    <t>5035305</t>
  </si>
  <si>
    <t>Big &amp; Tall Sonoma Goods For Life® Tapered Flexwear Jeans</t>
  </si>
  <si>
    <t>Med Destruction Wash</t>
  </si>
  <si>
    <t>400303858252</t>
  </si>
  <si>
    <t>30385825</t>
  </si>
  <si>
    <t>400715263187</t>
  </si>
  <si>
    <t>71526318</t>
  </si>
  <si>
    <t>400501464446</t>
  </si>
  <si>
    <t>50146444</t>
  </si>
  <si>
    <t>196953314940</t>
  </si>
  <si>
    <t>73289418</t>
  </si>
  <si>
    <t>6101495</t>
  </si>
  <si>
    <t>Women's Eddie Bauer Snow Lodge Faux Shearling-Lined Wrap</t>
  </si>
  <si>
    <t>196953723315</t>
  </si>
  <si>
    <t>73289428</t>
  </si>
  <si>
    <t>196953652622</t>
  </si>
  <si>
    <t>49554438</t>
  </si>
  <si>
    <t>196953875144</t>
  </si>
  <si>
    <t>49554440</t>
  </si>
  <si>
    <t>400202278434</t>
  </si>
  <si>
    <t>20227843</t>
  </si>
  <si>
    <t>5833262</t>
  </si>
  <si>
    <t>Big &amp; Tall Apt. 9® Stretch Poplin Untucked Shirt</t>
  </si>
  <si>
    <t>Green Spruce</t>
  </si>
  <si>
    <t>400202278540</t>
  </si>
  <si>
    <t>20227854</t>
  </si>
  <si>
    <t>Snow White</t>
  </si>
  <si>
    <t>400202278984</t>
  </si>
  <si>
    <t>20227898</t>
  </si>
  <si>
    <t>Deep Sea</t>
  </si>
  <si>
    <t>400202278663</t>
  </si>
  <si>
    <t>20227866</t>
  </si>
  <si>
    <t>400202278557</t>
  </si>
  <si>
    <t>20227855</t>
  </si>
  <si>
    <t>400202278991</t>
  </si>
  <si>
    <t>20227899</t>
  </si>
  <si>
    <t>194808759038</t>
  </si>
  <si>
    <t>49979084</t>
  </si>
  <si>
    <t>6452415</t>
  </si>
  <si>
    <t>Juniors' Lily Rose Sleeveless V-Neck Skater Dress</t>
  </si>
  <si>
    <t>194808759045</t>
  </si>
  <si>
    <t>49979088</t>
  </si>
  <si>
    <t>194808759052</t>
  </si>
  <si>
    <t>49979089</t>
  </si>
  <si>
    <t>194808759069</t>
  </si>
  <si>
    <t>49979090</t>
  </si>
  <si>
    <t>194808759144</t>
  </si>
  <si>
    <t>49979099</t>
  </si>
  <si>
    <t>194808759076</t>
  </si>
  <si>
    <t>49979091</t>
  </si>
  <si>
    <t>194808759151</t>
  </si>
  <si>
    <t>49979100</t>
  </si>
  <si>
    <t>194808759083</t>
  </si>
  <si>
    <t>49979092</t>
  </si>
  <si>
    <t>194808759168</t>
  </si>
  <si>
    <t>49979101</t>
  </si>
  <si>
    <t>886440739560</t>
  </si>
  <si>
    <t>45983411</t>
  </si>
  <si>
    <t>6171114</t>
  </si>
  <si>
    <t>Kitty City Cat Lick Mat &amp; Spatula Set</t>
  </si>
  <si>
    <t>091217584506</t>
  </si>
  <si>
    <t>65770409</t>
  </si>
  <si>
    <t>6171850</t>
  </si>
  <si>
    <t>Dearfoams Kids' Kate Furry Boot Slippers</t>
  </si>
  <si>
    <t>Pale Mauve</t>
  </si>
  <si>
    <t>7-8T</t>
  </si>
  <si>
    <t>091217584384</t>
  </si>
  <si>
    <t>50608126</t>
  </si>
  <si>
    <t>091217584513</t>
  </si>
  <si>
    <t>65770410</t>
  </si>
  <si>
    <t>9-10T</t>
  </si>
  <si>
    <t>091217584391</t>
  </si>
  <si>
    <t>50608127</t>
  </si>
  <si>
    <t>091217584346</t>
  </si>
  <si>
    <t>50608134</t>
  </si>
  <si>
    <t>11-12</t>
  </si>
  <si>
    <t>091217584469</t>
  </si>
  <si>
    <t>65770411</t>
  </si>
  <si>
    <t>091217584476</t>
  </si>
  <si>
    <t>65770412</t>
  </si>
  <si>
    <t>13-1</t>
  </si>
  <si>
    <t>091217584353</t>
  </si>
  <si>
    <t>50608135</t>
  </si>
  <si>
    <t>091217584483</t>
  </si>
  <si>
    <t>65770419</t>
  </si>
  <si>
    <t>2-3</t>
  </si>
  <si>
    <t>091217584360</t>
  </si>
  <si>
    <t>50608136</t>
  </si>
  <si>
    <t>091217584490</t>
  </si>
  <si>
    <t>65770420</t>
  </si>
  <si>
    <t>091217584377</t>
  </si>
  <si>
    <t>50608137</t>
  </si>
  <si>
    <t>400655458568</t>
  </si>
  <si>
    <t>65545856</t>
  </si>
  <si>
    <t>6137363</t>
  </si>
  <si>
    <t>Girls 6-20 SO® Knit Pleated Skirt in Regular &amp; Plus Size</t>
  </si>
  <si>
    <t>Gold Blue Prep Plaid</t>
  </si>
  <si>
    <t>400655458360</t>
  </si>
  <si>
    <t>65545836</t>
  </si>
  <si>
    <t>Navy Green Prep Plaid</t>
  </si>
  <si>
    <t>400655458575</t>
  </si>
  <si>
    <t>65545857</t>
  </si>
  <si>
    <t>400655458377</t>
  </si>
  <si>
    <t>65545837</t>
  </si>
  <si>
    <t>400691913267</t>
  </si>
  <si>
    <t>69191326</t>
  </si>
  <si>
    <t>400691913458</t>
  </si>
  <si>
    <t>69191345</t>
  </si>
  <si>
    <t>400691913274</t>
  </si>
  <si>
    <t>69191327</t>
  </si>
  <si>
    <t>400691913465</t>
  </si>
  <si>
    <t>69191346</t>
  </si>
  <si>
    <t>400691913281</t>
  </si>
  <si>
    <t>69191328</t>
  </si>
  <si>
    <t>400691913472</t>
  </si>
  <si>
    <t>69191347</t>
  </si>
  <si>
    <t>400691913335</t>
  </si>
  <si>
    <t>69191333</t>
  </si>
  <si>
    <t>400691913489</t>
  </si>
  <si>
    <t>69191348</t>
  </si>
  <si>
    <t>400691913342</t>
  </si>
  <si>
    <t>69191334</t>
  </si>
  <si>
    <t>400548174728</t>
  </si>
  <si>
    <t>54817472</t>
  </si>
  <si>
    <t>5705505</t>
  </si>
  <si>
    <t>Plus Size Sonoma Goods For Life® Everyday Long Sleeve V-Neck Tee</t>
  </si>
  <si>
    <t>400548174735</t>
  </si>
  <si>
    <t>54817473</t>
  </si>
  <si>
    <t>424</t>
  </si>
  <si>
    <t>400548174742</t>
  </si>
  <si>
    <t>54817474</t>
  </si>
  <si>
    <t>549</t>
  </si>
  <si>
    <t>400548174766</t>
  </si>
  <si>
    <t>54817476</t>
  </si>
  <si>
    <t>400548174773</t>
  </si>
  <si>
    <t>54817477</t>
  </si>
  <si>
    <t>400716437259</t>
  </si>
  <si>
    <t>71643725</t>
  </si>
  <si>
    <t>5902373</t>
  </si>
  <si>
    <t>Sonoma Goods For Life® Pearlescent Finish Glass Vase Table Decor</t>
  </si>
  <si>
    <t>696514111099</t>
  </si>
  <si>
    <t>38298167</t>
  </si>
  <si>
    <t>2001891</t>
  </si>
  <si>
    <t>Designs by Gioelli 14k Rose Gold Over Silver 5-Stone Aquamarine Ring</t>
  </si>
  <si>
    <t>Designs by Gioelli</t>
  </si>
  <si>
    <t>696514039737</t>
  </si>
  <si>
    <t>98588224</t>
  </si>
  <si>
    <t>696514039744</t>
  </si>
  <si>
    <t>98588225</t>
  </si>
  <si>
    <t>696514039751</t>
  </si>
  <si>
    <t>98588226</t>
  </si>
  <si>
    <t>696514111105</t>
  </si>
  <si>
    <t>38298174</t>
  </si>
  <si>
    <t>696514111068</t>
  </si>
  <si>
    <t>38298175</t>
  </si>
  <si>
    <t>400287048519</t>
  </si>
  <si>
    <t>28704851</t>
  </si>
  <si>
    <t>6839169</t>
  </si>
  <si>
    <t>Hello Green Graphic</t>
  </si>
  <si>
    <t>400293520986</t>
  </si>
  <si>
    <t>29352098</t>
  </si>
  <si>
    <t>Red Text Graphic</t>
  </si>
  <si>
    <t>400293520993</t>
  </si>
  <si>
    <t>29352099</t>
  </si>
  <si>
    <t>400287048564</t>
  </si>
  <si>
    <t>28704856</t>
  </si>
  <si>
    <t>400287048571</t>
  </si>
  <si>
    <t>28704857</t>
  </si>
  <si>
    <t>400293521006</t>
  </si>
  <si>
    <t>29352100</t>
  </si>
  <si>
    <t>400287048588</t>
  </si>
  <si>
    <t>28704858</t>
  </si>
  <si>
    <t>608</t>
  </si>
  <si>
    <t>400293521013</t>
  </si>
  <si>
    <t>29352101</t>
  </si>
  <si>
    <t>400287048595</t>
  </si>
  <si>
    <t>28704859</t>
  </si>
  <si>
    <t>400293521075</t>
  </si>
  <si>
    <t>29352107</t>
  </si>
  <si>
    <t>400287048601</t>
  </si>
  <si>
    <t>28704860</t>
  </si>
  <si>
    <t>400293521082</t>
  </si>
  <si>
    <t>29352108</t>
  </si>
  <si>
    <t>889602813436</t>
  </si>
  <si>
    <t>18290772</t>
  </si>
  <si>
    <t>6654110</t>
  </si>
  <si>
    <t>Juniors' Freshman Crochet Flutter Sleeve Top &amp; Mini Skirt Set</t>
  </si>
  <si>
    <t>889602813443</t>
  </si>
  <si>
    <t>18290782</t>
  </si>
  <si>
    <t>889602813450</t>
  </si>
  <si>
    <t>18290792</t>
  </si>
  <si>
    <t>889602813467</t>
  </si>
  <si>
    <t>18290802</t>
  </si>
  <si>
    <t>889602813474</t>
  </si>
  <si>
    <t>18290812</t>
  </si>
  <si>
    <t>195157056977</t>
  </si>
  <si>
    <t>30321945</t>
  </si>
  <si>
    <t>6824292</t>
  </si>
  <si>
    <t>Men's Apt. 9® Merino Wool Plaid Crewneck Sweater</t>
  </si>
  <si>
    <t>Teal Plaid</t>
  </si>
  <si>
    <t>195157057028</t>
  </si>
  <si>
    <t>30321935</t>
  </si>
  <si>
    <t>Charcoal Plaid</t>
  </si>
  <si>
    <t>195157057035</t>
  </si>
  <si>
    <t>30321936</t>
  </si>
  <si>
    <t>195157056984</t>
  </si>
  <si>
    <t>30321946</t>
  </si>
  <si>
    <t>195157056991</t>
  </si>
  <si>
    <t>30321952</t>
  </si>
  <si>
    <t>195157057042</t>
  </si>
  <si>
    <t>30321942</t>
  </si>
  <si>
    <t>195157057059</t>
  </si>
  <si>
    <t>30321943</t>
  </si>
  <si>
    <t>195157057004</t>
  </si>
  <si>
    <t>30321953</t>
  </si>
  <si>
    <t>195157057066</t>
  </si>
  <si>
    <t>30321944</t>
  </si>
  <si>
    <t>195157057011</t>
  </si>
  <si>
    <t>30321954</t>
  </si>
  <si>
    <t>Women's Levi's® 724™ High Rise Straight Jeans</t>
  </si>
  <si>
    <t>Chelsea Made In</t>
  </si>
  <si>
    <t>25(US 0)S</t>
  </si>
  <si>
    <t>Slate Reveal</t>
  </si>
  <si>
    <t>24(US 00)M</t>
  </si>
  <si>
    <t>25(US 0)M</t>
  </si>
  <si>
    <t>888435732372</t>
  </si>
  <si>
    <t>19952587</t>
  </si>
  <si>
    <t>6132680</t>
  </si>
  <si>
    <t>Boys 8-20 PUMA Academy Pack Fleece Pullover Hoodie</t>
  </si>
  <si>
    <t>888435732273</t>
  </si>
  <si>
    <t>19952547</t>
  </si>
  <si>
    <t>888435732365</t>
  </si>
  <si>
    <t>19952597</t>
  </si>
  <si>
    <t>888435732266</t>
  </si>
  <si>
    <t>19952557</t>
  </si>
  <si>
    <t>195142178738</t>
  </si>
  <si>
    <t>63124198</t>
  </si>
  <si>
    <t>6206363</t>
  </si>
  <si>
    <t>Gabby's Dollhouse Toddler Girls' Slippers</t>
  </si>
  <si>
    <t>195142178745</t>
  </si>
  <si>
    <t>63124199</t>
  </si>
  <si>
    <t>195142178752</t>
  </si>
  <si>
    <t>63124200</t>
  </si>
  <si>
    <t>400820237806</t>
  </si>
  <si>
    <t>82023780</t>
  </si>
  <si>
    <t>7081405</t>
  </si>
  <si>
    <t>Big &amp; Tall Sonoma Goods For Life® Camp Shirt</t>
  </si>
  <si>
    <t>Rust Stripe</t>
  </si>
  <si>
    <t>400820238292</t>
  </si>
  <si>
    <t>82023829</t>
  </si>
  <si>
    <t>400820238087</t>
  </si>
  <si>
    <t>82023808</t>
  </si>
  <si>
    <t>400762511118</t>
  </si>
  <si>
    <t>76251111</t>
  </si>
  <si>
    <t>400820237592</t>
  </si>
  <si>
    <t>82023759</t>
  </si>
  <si>
    <t>Multi Wide Stripe</t>
  </si>
  <si>
    <t>400820237608</t>
  </si>
  <si>
    <t>82023760</t>
  </si>
  <si>
    <t>028266882635</t>
  </si>
  <si>
    <t>75269520</t>
  </si>
  <si>
    <t>3062308</t>
  </si>
  <si>
    <t>Petite Miss Elaine Essentials Tricot Nightgown</t>
  </si>
  <si>
    <t>Baby Boy Carter's Plaid Zip-Up Fleece Jumpsuit</t>
  </si>
  <si>
    <t>Navy Blue Plaid</t>
  </si>
  <si>
    <t>190917456844</t>
  </si>
  <si>
    <t>52149236</t>
  </si>
  <si>
    <t>6103809</t>
  </si>
  <si>
    <t>Plus Size INTEMPO Twist-Front Shirt</t>
  </si>
  <si>
    <t>190917467116</t>
  </si>
  <si>
    <t>51907868</t>
  </si>
  <si>
    <t>Snake</t>
  </si>
  <si>
    <t>190917456851</t>
  </si>
  <si>
    <t>52149237</t>
  </si>
  <si>
    <t>190917456868</t>
  </si>
  <si>
    <t>52149244</t>
  </si>
  <si>
    <t>400519283657</t>
  </si>
  <si>
    <t>51928365</t>
  </si>
  <si>
    <t>6517932</t>
  </si>
  <si>
    <t>Disney's Minnie Mouse &amp; Daisy Duck Girls 4-12 Shirttail Hem Graphic Tee by Jumping Beans®</t>
  </si>
  <si>
    <t>Easter Minnie Orange</t>
  </si>
  <si>
    <t>400519283664</t>
  </si>
  <si>
    <t>51928366</t>
  </si>
  <si>
    <t>400298037328</t>
  </si>
  <si>
    <t>29803732</t>
  </si>
  <si>
    <t>6362820</t>
  </si>
  <si>
    <t>Gabby's Dollhouse Kitty Narwhal's Carnival Room</t>
  </si>
  <si>
    <t>Columbia Youth Powderbug Plus II Toddler Girls' Waterproof Snow Boots</t>
  </si>
  <si>
    <t>Emperor Paisley Purple</t>
  </si>
  <si>
    <t>713610129701</t>
  </si>
  <si>
    <t>45958183</t>
  </si>
  <si>
    <t>7081543</t>
  </si>
  <si>
    <t>Women's Grand Slam Sleeveless Golf Polo</t>
  </si>
  <si>
    <t>Flowering Ginseng</t>
  </si>
  <si>
    <t>713610129718</t>
  </si>
  <si>
    <t>45958185</t>
  </si>
  <si>
    <t>195862003884</t>
  </si>
  <si>
    <t>81819112</t>
  </si>
  <si>
    <t>6044650</t>
  </si>
  <si>
    <t>Baby Girl Carter's 3-Piece Floral Long Sleeve Tee, Chambray Jumper, &amp; Tights Set</t>
  </si>
  <si>
    <t>195862003853</t>
  </si>
  <si>
    <t>81819119</t>
  </si>
  <si>
    <t>195862003846</t>
  </si>
  <si>
    <t>81819118</t>
  </si>
  <si>
    <t>195862003860</t>
  </si>
  <si>
    <t>81819120</t>
  </si>
  <si>
    <t>196900154926</t>
  </si>
  <si>
    <t>80255266</t>
  </si>
  <si>
    <t>6393890</t>
  </si>
  <si>
    <t>Baby &amp; Toddler Girl Bonnie Jean Plaid Bow Dress</t>
  </si>
  <si>
    <t>196900154940</t>
  </si>
  <si>
    <t>80255267</t>
  </si>
  <si>
    <t>195932277795</t>
  </si>
  <si>
    <t>68754674</t>
  </si>
  <si>
    <t>6319718</t>
  </si>
  <si>
    <t>Disney's Winnie the Pooh Girls 7-16 Hi-Lo Chenille Graphic Sweatshirt</t>
  </si>
  <si>
    <t>195932277801</t>
  </si>
  <si>
    <t>68754675</t>
  </si>
  <si>
    <t>400754590206</t>
  </si>
  <si>
    <t>75459020</t>
  </si>
  <si>
    <t>6483027</t>
  </si>
  <si>
    <t>Petite Simply Vera Vera Wang Ribbed Long Sleeve Cozy Top</t>
  </si>
  <si>
    <t>400629504253</t>
  </si>
  <si>
    <t>62950425</t>
  </si>
  <si>
    <t>400754590312</t>
  </si>
  <si>
    <t>75459031</t>
  </si>
  <si>
    <t>400754590213</t>
  </si>
  <si>
    <t>75459021</t>
  </si>
  <si>
    <t>400629504154</t>
  </si>
  <si>
    <t>62950415</t>
  </si>
  <si>
    <t>Medium Path Heather</t>
  </si>
  <si>
    <t>400629504260</t>
  </si>
  <si>
    <t>62950426</t>
  </si>
  <si>
    <t>652874744551</t>
  </si>
  <si>
    <t>50053514</t>
  </si>
  <si>
    <t>6491759</t>
  </si>
  <si>
    <t>Juniors' Speechless Long Sleeve Ruffle Hem Dress</t>
  </si>
  <si>
    <t>Gold Black</t>
  </si>
  <si>
    <t>652874744568</t>
  </si>
  <si>
    <t>50053518</t>
  </si>
  <si>
    <t>652874744643</t>
  </si>
  <si>
    <t>50053528</t>
  </si>
  <si>
    <t>652874744605</t>
  </si>
  <si>
    <t>50053522</t>
  </si>
  <si>
    <t>721357002508</t>
  </si>
  <si>
    <t>50633025</t>
  </si>
  <si>
    <t>Men's Eddie Bauer Midweight Thermal Pants</t>
  </si>
  <si>
    <t>400629642382</t>
  </si>
  <si>
    <t>62964238</t>
  </si>
  <si>
    <t>6491243</t>
  </si>
  <si>
    <t>Women's LC Lauren Conrad High Rise 5-Pocket Skinny Ankle Pants</t>
  </si>
  <si>
    <t>Sage Beige</t>
  </si>
  <si>
    <t>400487051746</t>
  </si>
  <si>
    <t>48705174</t>
  </si>
  <si>
    <t>5708649</t>
  </si>
  <si>
    <t>Kids 7-20 Tek Gear® Ultrasoft Fleece Colorblock Joggers in Regular &amp; Husky</t>
  </si>
  <si>
    <t>197369286401</t>
  </si>
  <si>
    <t>65706118</t>
  </si>
  <si>
    <t>6258085</t>
  </si>
  <si>
    <t>madden girl MHARPER Girls' Loafers</t>
  </si>
  <si>
    <t>400718151436</t>
  </si>
  <si>
    <t>71815143</t>
  </si>
  <si>
    <t>5570626</t>
  </si>
  <si>
    <t>Women's Nine West High Rise Sculpting Straight Jeans</t>
  </si>
  <si>
    <t>400739669293</t>
  </si>
  <si>
    <t>73966929</t>
  </si>
  <si>
    <t>400864385730</t>
  </si>
  <si>
    <t>86438573</t>
  </si>
  <si>
    <t>400639784904</t>
  </si>
  <si>
    <t>63978490</t>
  </si>
  <si>
    <t>400739669309</t>
  </si>
  <si>
    <t>73966930</t>
  </si>
  <si>
    <t>400334753670</t>
  </si>
  <si>
    <t>33475367</t>
  </si>
  <si>
    <t>5535344</t>
  </si>
  <si>
    <t>Girls 7-20 Tek Gear® Ultrasoft Fleece Jogger Set in Regular &amp; Plus</t>
  </si>
  <si>
    <t>Heather Pink</t>
  </si>
  <si>
    <t>400756085403</t>
  </si>
  <si>
    <t>75608540</t>
  </si>
  <si>
    <t>5094463</t>
  </si>
  <si>
    <t>Men's Tek Gear® Microfleece Cuffed Touch Screen Gloves</t>
  </si>
  <si>
    <t>195861351030</t>
  </si>
  <si>
    <t>83014091</t>
  </si>
  <si>
    <t>5597607</t>
  </si>
  <si>
    <t>Baby &amp; Toddler Girl Carter's Plaid Twill Flannel Dress</t>
  </si>
  <si>
    <t>195861351047</t>
  </si>
  <si>
    <t>83014092</t>
  </si>
  <si>
    <t>195861351054</t>
  </si>
  <si>
    <t>83014093</t>
  </si>
  <si>
    <t>195861351061</t>
  </si>
  <si>
    <t>83014094</t>
  </si>
  <si>
    <t>196407515077</t>
  </si>
  <si>
    <t>37269653</t>
  </si>
  <si>
    <t>5204429</t>
  </si>
  <si>
    <t>Big &amp; Tall IZOD Saltwater Classic-Fit Chambray Button-Down Shirt</t>
  </si>
  <si>
    <t>Twilight Blue</t>
  </si>
  <si>
    <t>196407527919</t>
  </si>
  <si>
    <t>61247850</t>
  </si>
  <si>
    <t>Cockatoo</t>
  </si>
  <si>
    <t>196407528909</t>
  </si>
  <si>
    <t>79155960</t>
  </si>
  <si>
    <t>196407514957</t>
  </si>
  <si>
    <t>37344818</t>
  </si>
  <si>
    <t>Caramel Cream</t>
  </si>
  <si>
    <t>196407528251</t>
  </si>
  <si>
    <t>61247863</t>
  </si>
  <si>
    <t>Solid Blue</t>
  </si>
  <si>
    <t>196407512885</t>
  </si>
  <si>
    <t>20757893</t>
  </si>
  <si>
    <t>Tanager Turquoise</t>
  </si>
  <si>
    <t>196407530742</t>
  </si>
  <si>
    <t>73634707</t>
  </si>
  <si>
    <t>196407490992</t>
  </si>
  <si>
    <t>73634708</t>
  </si>
  <si>
    <t>196407664287</t>
  </si>
  <si>
    <t>19708895</t>
  </si>
  <si>
    <t>196407530704</t>
  </si>
  <si>
    <t>73634715</t>
  </si>
  <si>
    <t>889260931961</t>
  </si>
  <si>
    <t>78219588</t>
  </si>
  <si>
    <t>1016</t>
  </si>
  <si>
    <t>6150710</t>
  </si>
  <si>
    <t>889260931978</t>
  </si>
  <si>
    <t>78219593</t>
  </si>
  <si>
    <t>1428</t>
  </si>
  <si>
    <t>889260931992</t>
  </si>
  <si>
    <t>78219595</t>
  </si>
  <si>
    <t>2365</t>
  </si>
  <si>
    <t>047556378375</t>
  </si>
  <si>
    <t>86773470</t>
  </si>
  <si>
    <t>6459241</t>
  </si>
  <si>
    <t>Boys Cuddl Duds® Fleece Lined Moccasin Slippers</t>
  </si>
  <si>
    <t>3/4</t>
  </si>
  <si>
    <t>047556378382</t>
  </si>
  <si>
    <t>86773471</t>
  </si>
  <si>
    <t>5/6</t>
  </si>
  <si>
    <t>850020383382</t>
  </si>
  <si>
    <t>44183405</t>
  </si>
  <si>
    <t>1056</t>
  </si>
  <si>
    <t>5842472</t>
  </si>
  <si>
    <t>Kohl's Cares Peanuts Snoopy Easter Bundle</t>
  </si>
  <si>
    <t>196027315163</t>
  </si>
  <si>
    <t>66720526</t>
  </si>
  <si>
    <t>Girls 6-12 Harry Potter Doodles 2-Piece Pajama Set</t>
  </si>
  <si>
    <t>196027315170</t>
  </si>
  <si>
    <t>66720527</t>
  </si>
  <si>
    <t>008889297931</t>
  </si>
  <si>
    <t>59193298</t>
  </si>
  <si>
    <t>5897257</t>
  </si>
  <si>
    <t>Koolaburra by UGG Remi Leather Collar</t>
  </si>
  <si>
    <t>Soft Aqua</t>
  </si>
  <si>
    <t>008889297948</t>
  </si>
  <si>
    <t>18791670</t>
  </si>
  <si>
    <t>008889297955</t>
  </si>
  <si>
    <t>37330049</t>
  </si>
  <si>
    <t>713610513869</t>
  </si>
  <si>
    <t>64912140</t>
  </si>
  <si>
    <t>6683371</t>
  </si>
  <si>
    <t>Women's Grand Slam Intersecting Lines Golf Skort</t>
  </si>
  <si>
    <t>400651020226</t>
  </si>
  <si>
    <t>65102022</t>
  </si>
  <si>
    <t>6125448</t>
  </si>
  <si>
    <t>Women's Sonoma Goods For Life® Petite Raglan Sweater</t>
  </si>
  <si>
    <t>400651020271</t>
  </si>
  <si>
    <t>65102027</t>
  </si>
  <si>
    <t>400651019817</t>
  </si>
  <si>
    <t>65101981</t>
  </si>
  <si>
    <t>400651019824</t>
  </si>
  <si>
    <t>65101982</t>
  </si>
  <si>
    <t>400651020288</t>
  </si>
  <si>
    <t>65102028</t>
  </si>
  <si>
    <t>400300985531</t>
  </si>
  <si>
    <t>30098553</t>
  </si>
  <si>
    <t>616</t>
  </si>
  <si>
    <t>6362824</t>
  </si>
  <si>
    <t>Gabby's Dollhouse MerCat's Spa Room Playset</t>
  </si>
  <si>
    <t>197161605486</t>
  </si>
  <si>
    <t>71660987</t>
  </si>
  <si>
    <t>6373554</t>
  </si>
  <si>
    <t>Rav Black</t>
  </si>
  <si>
    <t>Plus Size Columbia Tipton Peak II Insulated Colorblock Jacket</t>
  </si>
  <si>
    <t>White Cirrus Gry Tra</t>
  </si>
  <si>
    <t>Bright Aqua White</t>
  </si>
  <si>
    <t>888435723455</t>
  </si>
  <si>
    <t>73960162</t>
  </si>
  <si>
    <t>6131340</t>
  </si>
  <si>
    <t>Girls 7-16 PUMA Motion Pack Fleece Pullover Hoodie</t>
  </si>
  <si>
    <t>888435723448</t>
  </si>
  <si>
    <t>73960169</t>
  </si>
  <si>
    <t>888435723431</t>
  </si>
  <si>
    <t>73960170</t>
  </si>
  <si>
    <t>195142115252</t>
  </si>
  <si>
    <t>30111214</t>
  </si>
  <si>
    <t>5549468</t>
  </si>
  <si>
    <t>Disney's Frozen Anna &amp; Elsa Girls' High-Top Sneakers</t>
  </si>
  <si>
    <t>195142115269</t>
  </si>
  <si>
    <t>30111215</t>
  </si>
  <si>
    <t>889602767401</t>
  </si>
  <si>
    <t>50744685</t>
  </si>
  <si>
    <t>6261413</t>
  </si>
  <si>
    <t>Juniors' SO® Slouchy Button Front Cardigan</t>
  </si>
  <si>
    <t>889602767494</t>
  </si>
  <si>
    <t>50744705</t>
  </si>
  <si>
    <t>400469385555</t>
  </si>
  <si>
    <t>46938555</t>
  </si>
  <si>
    <t>6116800</t>
  </si>
  <si>
    <t>Baby &amp; Toddler Little Co. by Lauren Conrad Organic 3-Pack Long Sleeve Tees</t>
  </si>
  <si>
    <t>Dark Teal Purple Moss</t>
  </si>
  <si>
    <t>400469385487</t>
  </si>
  <si>
    <t>46938548</t>
  </si>
  <si>
    <t>Olive Rose Mauve</t>
  </si>
  <si>
    <t>400469385562</t>
  </si>
  <si>
    <t>46938556</t>
  </si>
  <si>
    <t>400195127887</t>
  </si>
  <si>
    <t>19512788</t>
  </si>
  <si>
    <t>Stripe Camel Black</t>
  </si>
  <si>
    <t>400469385494</t>
  </si>
  <si>
    <t>46938549</t>
  </si>
  <si>
    <t>400469385579</t>
  </si>
  <si>
    <t>46938557</t>
  </si>
  <si>
    <t>400469385500</t>
  </si>
  <si>
    <t>46938550</t>
  </si>
  <si>
    <t>400469385586</t>
  </si>
  <si>
    <t>46938558</t>
  </si>
  <si>
    <t>400469385517</t>
  </si>
  <si>
    <t>46938551</t>
  </si>
  <si>
    <t>196067336609</t>
  </si>
  <si>
    <t>80766981</t>
  </si>
  <si>
    <t>6889877</t>
  </si>
  <si>
    <t>196067336722</t>
  </si>
  <si>
    <t>80766995</t>
  </si>
  <si>
    <t>Granite Green</t>
  </si>
  <si>
    <t>196067336692</t>
  </si>
  <si>
    <t>80766992</t>
  </si>
  <si>
    <t>Corsican Blue</t>
  </si>
  <si>
    <t>196067336616</t>
  </si>
  <si>
    <t>80766982</t>
  </si>
  <si>
    <t>196067336739</t>
  </si>
  <si>
    <t>80766996</t>
  </si>
  <si>
    <t>196067336746</t>
  </si>
  <si>
    <t>80767001</t>
  </si>
  <si>
    <t>196067336623</t>
  </si>
  <si>
    <t>80766983</t>
  </si>
  <si>
    <t>196067336708</t>
  </si>
  <si>
    <t>80766993</t>
  </si>
  <si>
    <t>805099772070</t>
  </si>
  <si>
    <t>18216520</t>
  </si>
  <si>
    <t>6824268</t>
  </si>
  <si>
    <t>Men's Sonoma Goods For Life® Flannel Shirt Jacket</t>
  </si>
  <si>
    <t>Buffalo Red Plaid</t>
  </si>
  <si>
    <t>805099772179</t>
  </si>
  <si>
    <t>18216531</t>
  </si>
  <si>
    <t>805099772025</t>
  </si>
  <si>
    <t>18216515</t>
  </si>
  <si>
    <t>805099772124</t>
  </si>
  <si>
    <t>18216526</t>
  </si>
  <si>
    <t>805099772087</t>
  </si>
  <si>
    <t>18216521</t>
  </si>
  <si>
    <t>805099772186</t>
  </si>
  <si>
    <t>18216533</t>
  </si>
  <si>
    <t>805099772032</t>
  </si>
  <si>
    <t>18216516</t>
  </si>
  <si>
    <t>805099772131</t>
  </si>
  <si>
    <t>18216527</t>
  </si>
  <si>
    <t>805099772094</t>
  </si>
  <si>
    <t>18216523</t>
  </si>
  <si>
    <t>805099772193</t>
  </si>
  <si>
    <t>18216534</t>
  </si>
  <si>
    <t>805099772049</t>
  </si>
  <si>
    <t>18216517</t>
  </si>
  <si>
    <t>805099772100</t>
  </si>
  <si>
    <t>18216524</t>
  </si>
  <si>
    <t>400460014072</t>
  </si>
  <si>
    <t>46001407</t>
  </si>
  <si>
    <t>6179558</t>
  </si>
  <si>
    <t>Girls 4-12 Jumping Beans® Sporty French Terry Hoodie</t>
  </si>
  <si>
    <t>400460014126</t>
  </si>
  <si>
    <t>46001412</t>
  </si>
  <si>
    <t>197026304929</t>
  </si>
  <si>
    <t>78570205</t>
  </si>
  <si>
    <t>6192780</t>
  </si>
  <si>
    <t>Baby &amp; Toddler Girl Jumping Beans® Peppa Pig &amp; Suzy Sheep Floral Tee</t>
  </si>
  <si>
    <t>197026304936</t>
  </si>
  <si>
    <t>78570206</t>
  </si>
  <si>
    <t>197026304943</t>
  </si>
  <si>
    <t>78570207</t>
  </si>
  <si>
    <t>197772007976</t>
  </si>
  <si>
    <t>58112541</t>
  </si>
  <si>
    <t>6438024</t>
  </si>
  <si>
    <t>Men's Christmas Present Wrapping Team Graphic Tee</t>
  </si>
  <si>
    <t>197772007983</t>
  </si>
  <si>
    <t>58112542</t>
  </si>
  <si>
    <t>788</t>
  </si>
  <si>
    <t>197772007990</t>
  </si>
  <si>
    <t>58112543</t>
  </si>
  <si>
    <t>197772008003</t>
  </si>
  <si>
    <t>58112544</t>
  </si>
  <si>
    <t>197772008010</t>
  </si>
  <si>
    <t>58112551</t>
  </si>
  <si>
    <t>008889316373</t>
  </si>
  <si>
    <t>81992841</t>
  </si>
  <si>
    <t>6207231</t>
  </si>
  <si>
    <t>Koolaburra by UGG Alfie Sherpa Lined Pet Pajama</t>
  </si>
  <si>
    <t>Balsam</t>
  </si>
  <si>
    <t>008889316380</t>
  </si>
  <si>
    <t>44084150</t>
  </si>
  <si>
    <t>400649510692</t>
  </si>
  <si>
    <t>64951069</t>
  </si>
  <si>
    <t>6518469</t>
  </si>
  <si>
    <t>Girls 4-12 Jumping Beans® Short-Sleeve Tutu Dress</t>
  </si>
  <si>
    <t>Ivory Lucky Me</t>
  </si>
  <si>
    <t>400649510708</t>
  </si>
  <si>
    <t>64951070</t>
  </si>
  <si>
    <t>713610126885</t>
  </si>
  <si>
    <t>59167188</t>
  </si>
  <si>
    <t>6131056</t>
  </si>
  <si>
    <t>Women's Grand Slam Asymmetrical Colorblock Golf Hoodie</t>
  </si>
  <si>
    <t>Blue Horizon</t>
  </si>
  <si>
    <t>713610126892</t>
  </si>
  <si>
    <t>59167189</t>
  </si>
  <si>
    <t>713610126908</t>
  </si>
  <si>
    <t>59167190</t>
  </si>
  <si>
    <t>713610126915</t>
  </si>
  <si>
    <t>59167191</t>
  </si>
  <si>
    <t>713610126922</t>
  </si>
  <si>
    <t>59167192</t>
  </si>
  <si>
    <t>400596576550</t>
  </si>
  <si>
    <t>59657655</t>
  </si>
  <si>
    <t>5583886</t>
  </si>
  <si>
    <t>Juniors' Plus Size SO® High-Rise Ponte Leggings</t>
  </si>
  <si>
    <t>400749182737</t>
  </si>
  <si>
    <t>74918273</t>
  </si>
  <si>
    <t>400740281729</t>
  </si>
  <si>
    <t>74028172</t>
  </si>
  <si>
    <t>400596576567</t>
  </si>
  <si>
    <t>59657656</t>
  </si>
  <si>
    <t>400749182744</t>
  </si>
  <si>
    <t>74918274</t>
  </si>
  <si>
    <t>400740281798</t>
  </si>
  <si>
    <t>74028179</t>
  </si>
  <si>
    <t>400629913109</t>
  </si>
  <si>
    <t>62991310</t>
  </si>
  <si>
    <t>Black Houndstooth</t>
  </si>
  <si>
    <t>400596576574</t>
  </si>
  <si>
    <t>59657657</t>
  </si>
  <si>
    <t>400749182751</t>
  </si>
  <si>
    <t>74918275</t>
  </si>
  <si>
    <t>400740281804</t>
  </si>
  <si>
    <t>74028180</t>
  </si>
  <si>
    <t>400818699715</t>
  </si>
  <si>
    <t>81869971</t>
  </si>
  <si>
    <t>7081193</t>
  </si>
  <si>
    <t>Juniors' Plus Size SO® High Rise Wide Leg Jeans</t>
  </si>
  <si>
    <t>400818699722</t>
  </si>
  <si>
    <t>81869972</t>
  </si>
  <si>
    <t>400720138036</t>
  </si>
  <si>
    <t>72013803</t>
  </si>
  <si>
    <t>400767706199</t>
  </si>
  <si>
    <t>76770619</t>
  </si>
  <si>
    <t>5244929</t>
  </si>
  <si>
    <t>Men's FLX Dynamic Stretch Steadfast Chino Pants</t>
  </si>
  <si>
    <t>Woodbridge</t>
  </si>
  <si>
    <t>840132325349</t>
  </si>
  <si>
    <t>75370754</t>
  </si>
  <si>
    <t>5757122</t>
  </si>
  <si>
    <t>Men's Caliville Solid Hoodie</t>
  </si>
  <si>
    <t>840132313063</t>
  </si>
  <si>
    <t>75370774</t>
  </si>
  <si>
    <t>840132313018</t>
  </si>
  <si>
    <t>75370744</t>
  </si>
  <si>
    <t>840132313162</t>
  </si>
  <si>
    <t>75370764</t>
  </si>
  <si>
    <t>840132316347</t>
  </si>
  <si>
    <t>75370784</t>
  </si>
  <si>
    <t>Brick</t>
  </si>
  <si>
    <t>840132325356</t>
  </si>
  <si>
    <t>75370755</t>
  </si>
  <si>
    <t>840132313070</t>
  </si>
  <si>
    <t>75370775</t>
  </si>
  <si>
    <t>840132313179</t>
  </si>
  <si>
    <t>75370765</t>
  </si>
  <si>
    <t>840132316354</t>
  </si>
  <si>
    <t>75370785</t>
  </si>
  <si>
    <t>193916921450</t>
  </si>
  <si>
    <t>65833667</t>
  </si>
  <si>
    <t>5652560</t>
  </si>
  <si>
    <t>Baby &amp; Toddler Girl Little Lass Metallic Puffer Vest, Floral Print Long Sleeve Tee, &amp; Floral Leggings Set</t>
  </si>
  <si>
    <t>Frosty Blue</t>
  </si>
  <si>
    <t>193916921474</t>
  </si>
  <si>
    <t>65833669</t>
  </si>
  <si>
    <t>Men's Levi's® 510™ Skinny Jeans</t>
  </si>
  <si>
    <t>Light Gray Worn In</t>
  </si>
  <si>
    <t>886440743734</t>
  </si>
  <si>
    <t>55980081</t>
  </si>
  <si>
    <t>6287179</t>
  </si>
  <si>
    <t>Sonoma Goods For Life® Dog Hooded Puffer Jacket</t>
  </si>
  <si>
    <t>First Blush</t>
  </si>
  <si>
    <t>886440743741</t>
  </si>
  <si>
    <t>55980061</t>
  </si>
  <si>
    <t>886440743758</t>
  </si>
  <si>
    <t>55980091</t>
  </si>
  <si>
    <t>886440743765</t>
  </si>
  <si>
    <t>55980071</t>
  </si>
  <si>
    <t>195365506486</t>
  </si>
  <si>
    <t>79092658</t>
  </si>
  <si>
    <t>6121848</t>
  </si>
  <si>
    <t>Boys 8-20 ZeroXposur Charged Cuffed Beanie Hat &amp; Winter Gloves Set</t>
  </si>
  <si>
    <t>Black Sterling</t>
  </si>
  <si>
    <t>195365506523</t>
  </si>
  <si>
    <t>79092656</t>
  </si>
  <si>
    <t>Ocean Black</t>
  </si>
  <si>
    <t>195365506561</t>
  </si>
  <si>
    <t>79092654</t>
  </si>
  <si>
    <t>195365506509</t>
  </si>
  <si>
    <t>79092659</t>
  </si>
  <si>
    <t>552</t>
  </si>
  <si>
    <t>195365506547</t>
  </si>
  <si>
    <t>79092657</t>
  </si>
  <si>
    <t>195365506585</t>
  </si>
  <si>
    <t>79092655</t>
  </si>
  <si>
    <t>194869379190</t>
  </si>
  <si>
    <t>82004444</t>
  </si>
  <si>
    <t>6265747</t>
  </si>
  <si>
    <t>Girls 4-20 33 Degrees Long Sleeve Crewneck Sloths on Presents Christmas Sweater in Regular &amp; Plus Size</t>
  </si>
  <si>
    <t>194869379206</t>
  </si>
  <si>
    <t>82004445</t>
  </si>
  <si>
    <t>194869379213</t>
  </si>
  <si>
    <t>82004446</t>
  </si>
  <si>
    <t>977</t>
  </si>
  <si>
    <t>194869379220</t>
  </si>
  <si>
    <t>82004447</t>
  </si>
  <si>
    <t>713610463324</t>
  </si>
  <si>
    <t>59116813</t>
  </si>
  <si>
    <t>6093338</t>
  </si>
  <si>
    <t>Women's Grand Slam Short Sleeve Texture Blocked Zip Mock Neck Golf Top</t>
  </si>
  <si>
    <t>713610463331</t>
  </si>
  <si>
    <t>59116820</t>
  </si>
  <si>
    <t>713610463348</t>
  </si>
  <si>
    <t>59116821</t>
  </si>
  <si>
    <t>713610463355</t>
  </si>
  <si>
    <t>59116822</t>
  </si>
  <si>
    <t>713610463362</t>
  </si>
  <si>
    <t>59116823</t>
  </si>
  <si>
    <t>Rachel Shoes Lil Aubriella Toddler Girls' Knee-High Boots</t>
  </si>
  <si>
    <t>Rachel Shoes</t>
  </si>
  <si>
    <t>adidas Powerreact Training Medium-Support Padded Sports Bra</t>
  </si>
  <si>
    <t>400771846706</t>
  </si>
  <si>
    <t>77184670</t>
  </si>
  <si>
    <t>5568169</t>
  </si>
  <si>
    <t>Petite Simply Vera Vera Wang Roll-Tab Popover Top</t>
  </si>
  <si>
    <t>400771846737</t>
  </si>
  <si>
    <t>77184673</t>
  </si>
  <si>
    <t>Snoop Doggie Doggs Deluxe Dog Jersey</t>
  </si>
  <si>
    <t>Snoop Doggie Doggs</t>
  </si>
  <si>
    <t>Off The Chain</t>
  </si>
  <si>
    <t>Pink Snoop</t>
  </si>
  <si>
    <t>197505015520</t>
  </si>
  <si>
    <t>81821041</t>
  </si>
  <si>
    <t>6446416</t>
  </si>
  <si>
    <t>Plus Size Lilac+London Solid Chemise</t>
  </si>
  <si>
    <t>197505015537</t>
  </si>
  <si>
    <t>81821042</t>
  </si>
  <si>
    <t>197505015544</t>
  </si>
  <si>
    <t>81821048</t>
  </si>
  <si>
    <t>400378570813</t>
  </si>
  <si>
    <t>37857081</t>
  </si>
  <si>
    <t>5625801</t>
  </si>
  <si>
    <t>196095451022</t>
  </si>
  <si>
    <t>78191714</t>
  </si>
  <si>
    <t>6287787</t>
  </si>
  <si>
    <t>Juniors' Plus Size SO® Drop Shoulder Pullover Sweater</t>
  </si>
  <si>
    <t>196095450964</t>
  </si>
  <si>
    <t>80389032</t>
  </si>
  <si>
    <t>196095450995</t>
  </si>
  <si>
    <t>80389043</t>
  </si>
  <si>
    <t>196095450902</t>
  </si>
  <si>
    <t>80389002</t>
  </si>
  <si>
    <t>196095451039</t>
  </si>
  <si>
    <t>78191715</t>
  </si>
  <si>
    <t>196095451008</t>
  </si>
  <si>
    <t>80389052</t>
  </si>
  <si>
    <t>196095450919</t>
  </si>
  <si>
    <t>80389003</t>
  </si>
  <si>
    <t>196095450940</t>
  </si>
  <si>
    <t>80389022</t>
  </si>
  <si>
    <t>Bay Leaf</t>
  </si>
  <si>
    <t>196095450971</t>
  </si>
  <si>
    <t>80389033</t>
  </si>
  <si>
    <t>196095451046</t>
  </si>
  <si>
    <t>78191716</t>
  </si>
  <si>
    <t>196095450988</t>
  </si>
  <si>
    <t>80389042</t>
  </si>
  <si>
    <t>196095451015</t>
  </si>
  <si>
    <t>80389053</t>
  </si>
  <si>
    <t>196095450926</t>
  </si>
  <si>
    <t>80389012</t>
  </si>
  <si>
    <t>196095450957</t>
  </si>
  <si>
    <t>80389023</t>
  </si>
  <si>
    <t>Men's Columbia Cornell Woods™ Flannel Shirt</t>
  </si>
  <si>
    <t>Columbia Grey</t>
  </si>
  <si>
    <t>400300054039</t>
  </si>
  <si>
    <t>30005403</t>
  </si>
  <si>
    <t>6115234</t>
  </si>
  <si>
    <t>Baby &amp; Toddler Little Co. by Lauren Conrad Colorblock Sweatshirt</t>
  </si>
  <si>
    <t>Soft Blue Colorblock</t>
  </si>
  <si>
    <t>400300053766</t>
  </si>
  <si>
    <t>30005376</t>
  </si>
  <si>
    <t>Olive Colorblock</t>
  </si>
  <si>
    <t>400300054046</t>
  </si>
  <si>
    <t>30005404</t>
  </si>
  <si>
    <t>400300053834</t>
  </si>
  <si>
    <t>30005383</t>
  </si>
  <si>
    <t>400300053841</t>
  </si>
  <si>
    <t>30005384</t>
  </si>
  <si>
    <t>400300053865</t>
  </si>
  <si>
    <t>30005386</t>
  </si>
  <si>
    <t>400546550173</t>
  </si>
  <si>
    <t>54655017</t>
  </si>
  <si>
    <t>5198567</t>
  </si>
  <si>
    <t>Juniors' Plus Size SO® Smocked Shorts</t>
  </si>
  <si>
    <t>400546550203</t>
  </si>
  <si>
    <t>54655020</t>
  </si>
  <si>
    <t>Darliing Floral</t>
  </si>
  <si>
    <t>400546550210</t>
  </si>
  <si>
    <t>54655021</t>
  </si>
  <si>
    <t>400546550180</t>
  </si>
  <si>
    <t>54655018</t>
  </si>
  <si>
    <t>Dearfoams Wren High Vamp Women's Clog Slippers</t>
  </si>
  <si>
    <t>029038075422</t>
  </si>
  <si>
    <t>28181121</t>
  </si>
  <si>
    <t>6933510</t>
  </si>
  <si>
    <t>Plus Size Gloria Vanderbilt Amanda Classic Jeans</t>
  </si>
  <si>
    <t>Autumn Blaze</t>
  </si>
  <si>
    <t>029038075439</t>
  </si>
  <si>
    <t>28181122</t>
  </si>
  <si>
    <t>029038075446</t>
  </si>
  <si>
    <t>28181123</t>
  </si>
  <si>
    <t>029038075453</t>
  </si>
  <si>
    <t>28181124</t>
  </si>
  <si>
    <t>22W T/L</t>
  </si>
  <si>
    <t>197178228012</t>
  </si>
  <si>
    <t>63595374</t>
  </si>
  <si>
    <t>6321464</t>
  </si>
  <si>
    <t>Juniors' SO® Mockneck Quarter Zip Sweater Dress</t>
  </si>
  <si>
    <t>197178227893</t>
  </si>
  <si>
    <t>63595364</t>
  </si>
  <si>
    <t>197178227909</t>
  </si>
  <si>
    <t>63595365</t>
  </si>
  <si>
    <t>197178227978</t>
  </si>
  <si>
    <t>63595375</t>
  </si>
  <si>
    <t>197178228005</t>
  </si>
  <si>
    <t>63595376</t>
  </si>
  <si>
    <t>197178227916</t>
  </si>
  <si>
    <t>63595366</t>
  </si>
  <si>
    <t>197178227923</t>
  </si>
  <si>
    <t>63595367</t>
  </si>
  <si>
    <t>197178227992</t>
  </si>
  <si>
    <t>63595377</t>
  </si>
  <si>
    <t>197178227985</t>
  </si>
  <si>
    <t>63595378</t>
  </si>
  <si>
    <t>197178227930</t>
  </si>
  <si>
    <t>63595368</t>
  </si>
  <si>
    <t>197178227947</t>
  </si>
  <si>
    <t>63595369</t>
  </si>
  <si>
    <t>Women's Columbia Chatfield Hill II Jacket</t>
  </si>
  <si>
    <t>197161324295</t>
  </si>
  <si>
    <t>80210416</t>
  </si>
  <si>
    <t>6372527</t>
  </si>
  <si>
    <t>197161324301</t>
  </si>
  <si>
    <t>80210417</t>
  </si>
  <si>
    <t>197161324318</t>
  </si>
  <si>
    <t>80210418</t>
  </si>
  <si>
    <t>195861541318</t>
  </si>
  <si>
    <t>75461105</t>
  </si>
  <si>
    <t>5684486</t>
  </si>
  <si>
    <t>Girls 4-12 Carter's Plaid Button Down Dress</t>
  </si>
  <si>
    <t>195861541332</t>
  </si>
  <si>
    <t>75461108</t>
  </si>
  <si>
    <t>195861541349</t>
  </si>
  <si>
    <t>75461113</t>
  </si>
  <si>
    <t>195861541325</t>
  </si>
  <si>
    <t>75461106</t>
  </si>
  <si>
    <t>000716866761</t>
  </si>
  <si>
    <t>78554785</t>
  </si>
  <si>
    <t>6175025</t>
  </si>
  <si>
    <t>Girls 4-12 Cuddl Duds® Critter Top &amp; Bottoms Pajama Set</t>
  </si>
  <si>
    <t>Deer</t>
  </si>
  <si>
    <t>197772005309</t>
  </si>
  <si>
    <t>80298397</t>
  </si>
  <si>
    <t>6408450</t>
  </si>
  <si>
    <t>Juniors' MTV Holiday Crewneck Graphic Pullover</t>
  </si>
  <si>
    <t>197772005316</t>
  </si>
  <si>
    <t>80298398</t>
  </si>
  <si>
    <t>197772005323</t>
  </si>
  <si>
    <t>80298405</t>
  </si>
  <si>
    <t>197772005330</t>
  </si>
  <si>
    <t>80298406</t>
  </si>
  <si>
    <t>197772005354</t>
  </si>
  <si>
    <t>80298408</t>
  </si>
  <si>
    <t>400501259127</t>
  </si>
  <si>
    <t>50125912</t>
  </si>
  <si>
    <t>6432779</t>
  </si>
  <si>
    <t>Petite Croft &amp; Barrow® Ruffle-Neck Dress</t>
  </si>
  <si>
    <t>400501259134</t>
  </si>
  <si>
    <t>50125913</t>
  </si>
  <si>
    <t>400501259202</t>
  </si>
  <si>
    <t>50125920</t>
  </si>
  <si>
    <t>400310099358</t>
  </si>
  <si>
    <t>31009935</t>
  </si>
  <si>
    <t>6768122</t>
  </si>
  <si>
    <t>Kids 4-12 Little Co. by Lauren Conrad Organic Pullover Sweatshirt</t>
  </si>
  <si>
    <t>Love Club</t>
  </si>
  <si>
    <t>400310099365</t>
  </si>
  <si>
    <t>31009936</t>
  </si>
  <si>
    <t>888435693291</t>
  </si>
  <si>
    <t>76924496</t>
  </si>
  <si>
    <t>5881122</t>
  </si>
  <si>
    <t>Girls 7-16 PUMA Printed Tee</t>
  </si>
  <si>
    <t>White Traditional</t>
  </si>
  <si>
    <t>888435691402</t>
  </si>
  <si>
    <t>81842914</t>
  </si>
  <si>
    <t>888435693284</t>
  </si>
  <si>
    <t>76924497</t>
  </si>
  <si>
    <t>888435693239</t>
  </si>
  <si>
    <t>76924492</t>
  </si>
  <si>
    <t>888435691396</t>
  </si>
  <si>
    <t>81842915</t>
  </si>
  <si>
    <t>888435693277</t>
  </si>
  <si>
    <t>76924499</t>
  </si>
  <si>
    <t>888435693222</t>
  </si>
  <si>
    <t>76924494</t>
  </si>
  <si>
    <t>888435691389</t>
  </si>
  <si>
    <t>81842916</t>
  </si>
  <si>
    <t>888435693307</t>
  </si>
  <si>
    <t>76924500</t>
  </si>
  <si>
    <t>888435693253</t>
  </si>
  <si>
    <t>76924495</t>
  </si>
  <si>
    <t>888435691419</t>
  </si>
  <si>
    <t>81842917</t>
  </si>
  <si>
    <t>400629444726</t>
  </si>
  <si>
    <t>62944472</t>
  </si>
  <si>
    <t>6150914</t>
  </si>
  <si>
    <t>Boys 8-20 Jammies For Your Families® Merry &amp; Bright Plaid Flannel Top &amp; Bottom Set</t>
  </si>
  <si>
    <t>400629444801</t>
  </si>
  <si>
    <t>62944480</t>
  </si>
  <si>
    <t>400629444818</t>
  </si>
  <si>
    <t>62944481</t>
  </si>
  <si>
    <t>Women's adidas Essentials Sleeveless Golf Polo</t>
  </si>
  <si>
    <t>400459676410</t>
  </si>
  <si>
    <t>45967641</t>
  </si>
  <si>
    <t>6114461</t>
  </si>
  <si>
    <t>Baby &amp; Toddler Little Co. by Lauren Conrad Organic Cargo Pants</t>
  </si>
  <si>
    <t>400459676526</t>
  </si>
  <si>
    <t>45967652</t>
  </si>
  <si>
    <t>400459676427</t>
  </si>
  <si>
    <t>45967642</t>
  </si>
  <si>
    <t>400459676533</t>
  </si>
  <si>
    <t>45967653</t>
  </si>
  <si>
    <t>400459676434</t>
  </si>
  <si>
    <t>45967643</t>
  </si>
  <si>
    <t>400459676557</t>
  </si>
  <si>
    <t>45967655</t>
  </si>
  <si>
    <t>400459676458</t>
  </si>
  <si>
    <t>45967645</t>
  </si>
  <si>
    <t>400459676564</t>
  </si>
  <si>
    <t>45967656</t>
  </si>
  <si>
    <t>400613147718</t>
  </si>
  <si>
    <t>61314771</t>
  </si>
  <si>
    <t>5281147</t>
  </si>
  <si>
    <t>Men's Sonoma Goods For Life® Brushed Poplin Print Pajama Pants</t>
  </si>
  <si>
    <t>Home Texas Gray</t>
  </si>
  <si>
    <t>400613147725</t>
  </si>
  <si>
    <t>61314772</t>
  </si>
  <si>
    <t>400613147732</t>
  </si>
  <si>
    <t>61314773</t>
  </si>
  <si>
    <t>400613147800</t>
  </si>
  <si>
    <t>61314780</t>
  </si>
  <si>
    <t>400613147817</t>
  </si>
  <si>
    <t>61314781</t>
  </si>
  <si>
    <t>886144576577</t>
  </si>
  <si>
    <t>73638047</t>
  </si>
  <si>
    <t>792</t>
  </si>
  <si>
    <t>6573727</t>
  </si>
  <si>
    <t>Just Play Sesame Street Elmo Easter Plush Toy</t>
  </si>
  <si>
    <t>195157056397</t>
  </si>
  <si>
    <t>71765726</t>
  </si>
  <si>
    <t>6824296</t>
  </si>
  <si>
    <t>Men's Apt. 9® Merino Wool Patterned Crewneck Sweater</t>
  </si>
  <si>
    <t>Gray Argyle</t>
  </si>
  <si>
    <t>195157056403</t>
  </si>
  <si>
    <t>71765727</t>
  </si>
  <si>
    <t>195157056410</t>
  </si>
  <si>
    <t>71765733</t>
  </si>
  <si>
    <t>047556378221</t>
  </si>
  <si>
    <t>44155900</t>
  </si>
  <si>
    <t>6394467</t>
  </si>
  <si>
    <t>Boys Cuddl Duds® Fleece Lined Clog Slippers</t>
  </si>
  <si>
    <t>047556378320</t>
  </si>
  <si>
    <t>64826282</t>
  </si>
  <si>
    <t>Folkstone Gray</t>
  </si>
  <si>
    <t>047556378269</t>
  </si>
  <si>
    <t>65874793</t>
  </si>
  <si>
    <t>047556378238</t>
  </si>
  <si>
    <t>44164134</t>
  </si>
  <si>
    <t>400465464322</t>
  </si>
  <si>
    <t>46546432</t>
  </si>
  <si>
    <t>6109813</t>
  </si>
  <si>
    <t>Girls 6-20 SO® Cropped Rugby Pullover in Regular &amp; Plus Size</t>
  </si>
  <si>
    <t>400465464278</t>
  </si>
  <si>
    <t>46546427</t>
  </si>
  <si>
    <t>Green Stripe</t>
  </si>
  <si>
    <t>400465464223</t>
  </si>
  <si>
    <t>46546422</t>
  </si>
  <si>
    <t>400465464377</t>
  </si>
  <si>
    <t>46546437</t>
  </si>
  <si>
    <t>400465464230</t>
  </si>
  <si>
    <t>46546423</t>
  </si>
  <si>
    <t>400465464384</t>
  </si>
  <si>
    <t>46546438</t>
  </si>
  <si>
    <t>400465464391</t>
  </si>
  <si>
    <t>46546439</t>
  </si>
  <si>
    <t>400465464407</t>
  </si>
  <si>
    <t>46546440</t>
  </si>
  <si>
    <t>400587144188</t>
  </si>
  <si>
    <t>58714418</t>
  </si>
  <si>
    <t>400587144287</t>
  </si>
  <si>
    <t>58714428</t>
  </si>
  <si>
    <t>400587144195</t>
  </si>
  <si>
    <t>58714419</t>
  </si>
  <si>
    <t>400587144294</t>
  </si>
  <si>
    <t>58714429</t>
  </si>
  <si>
    <t>400587144201</t>
  </si>
  <si>
    <t>58714420</t>
  </si>
  <si>
    <t>400587144300</t>
  </si>
  <si>
    <t>58714430</t>
  </si>
  <si>
    <t>400587144362</t>
  </si>
  <si>
    <t>58714436</t>
  </si>
  <si>
    <t>400587144218</t>
  </si>
  <si>
    <t>58714421</t>
  </si>
  <si>
    <t>400587144263</t>
  </si>
  <si>
    <t>58714426</t>
  </si>
  <si>
    <t>400587144317</t>
  </si>
  <si>
    <t>58714431</t>
  </si>
  <si>
    <t>400587144225</t>
  </si>
  <si>
    <t>58714422</t>
  </si>
  <si>
    <t>400587144270</t>
  </si>
  <si>
    <t>58714427</t>
  </si>
  <si>
    <t>400587144324</t>
  </si>
  <si>
    <t>58714432</t>
  </si>
  <si>
    <t>400587144379</t>
  </si>
  <si>
    <t>58714437</t>
  </si>
  <si>
    <t>196128811038</t>
  </si>
  <si>
    <t>28691729</t>
  </si>
  <si>
    <t>6934072</t>
  </si>
  <si>
    <t>Women's Draper James High-Rise Skinny Jeans</t>
  </si>
  <si>
    <t>196128810918</t>
  </si>
  <si>
    <t>28691730</t>
  </si>
  <si>
    <t>196128810925</t>
  </si>
  <si>
    <t>28691731</t>
  </si>
  <si>
    <t>Baby Boy Carter's Camping Hooded Zip-Up Fleece Jumpsuit</t>
  </si>
  <si>
    <t>Green Parks Print</t>
  </si>
  <si>
    <t>195365506660</t>
  </si>
  <si>
    <t>75364266</t>
  </si>
  <si>
    <t>6122995</t>
  </si>
  <si>
    <t>Boys 8-20 ZeroXposur Challenger Reversible Camo Beanie Hat &amp; Winter Gloves Set</t>
  </si>
  <si>
    <t>Navy Black</t>
  </si>
  <si>
    <t>195365506622</t>
  </si>
  <si>
    <t>75364264</t>
  </si>
  <si>
    <t>Dark Heather Black</t>
  </si>
  <si>
    <t>729367825100</t>
  </si>
  <si>
    <t>49540545</t>
  </si>
  <si>
    <t>6861670</t>
  </si>
  <si>
    <t>Sterling Silver 1/4 Carat T.W. Diamond Pear-Shaped Stud Earrings</t>
  </si>
  <si>
    <t>400791488368</t>
  </si>
  <si>
    <t>79148836</t>
  </si>
  <si>
    <t>6534080</t>
  </si>
  <si>
    <t>Women's Croft &amp; Barrow® Splitneck Blouse</t>
  </si>
  <si>
    <t>197117330516</t>
  </si>
  <si>
    <t>77053650</t>
  </si>
  <si>
    <t>6131595</t>
  </si>
  <si>
    <t>Women's Tall Jammies For Your Families® Sweater Knit Mama Elf Top &amp; Bottoms Pajama Set by Cuddl Duds®</t>
  </si>
  <si>
    <t>400293337096</t>
  </si>
  <si>
    <t>29333709</t>
  </si>
  <si>
    <t>6150374</t>
  </si>
  <si>
    <t>Sonoma Community™ Salgado &amp;#34;Somos Familia&amp;#34; Decorative Throw Pillow</t>
  </si>
  <si>
    <t>Sonoma Community</t>
  </si>
  <si>
    <t>Somos Familia</t>
  </si>
  <si>
    <t>000716864927</t>
  </si>
  <si>
    <t>66131456</t>
  </si>
  <si>
    <t>1674</t>
  </si>
  <si>
    <t>6142561</t>
  </si>
  <si>
    <t>Toddler Girls Jammies For Your Families® Frenchie Nightgown &amp; Matching Doll Gown Set by Cuddl Duds®</t>
  </si>
  <si>
    <t>Red Buffalo Plaid</t>
  </si>
  <si>
    <t>000716864934</t>
  </si>
  <si>
    <t>66131457</t>
  </si>
  <si>
    <t>1348</t>
  </si>
  <si>
    <t>000716864941</t>
  </si>
  <si>
    <t>66131463</t>
  </si>
  <si>
    <t>940</t>
  </si>
  <si>
    <t>400652364299</t>
  </si>
  <si>
    <t>65236429</t>
  </si>
  <si>
    <t>6136058</t>
  </si>
  <si>
    <t>Girls 6-20 SO® Cardigan and Tank Top Set in Regular &amp; Plus Size</t>
  </si>
  <si>
    <t>400652364329</t>
  </si>
  <si>
    <t>65236432</t>
  </si>
  <si>
    <t>400281643475</t>
  </si>
  <si>
    <t>28164347</t>
  </si>
  <si>
    <t>Sadie Stream</t>
  </si>
  <si>
    <t>400768455263</t>
  </si>
  <si>
    <t>76845526</t>
  </si>
  <si>
    <t>400768455324</t>
  </si>
  <si>
    <t>76845532</t>
  </si>
  <si>
    <t>400281643499</t>
  </si>
  <si>
    <t>28164349</t>
  </si>
  <si>
    <t>400281643512</t>
  </si>
  <si>
    <t>28164351</t>
  </si>
  <si>
    <t>400768455409</t>
  </si>
  <si>
    <t>76845540</t>
  </si>
  <si>
    <t>400768455355</t>
  </si>
  <si>
    <t>76845535</t>
  </si>
  <si>
    <t>400281643529</t>
  </si>
  <si>
    <t>28164352</t>
  </si>
  <si>
    <t>400281643468</t>
  </si>
  <si>
    <t>28164346</t>
  </si>
  <si>
    <t>400768455416</t>
  </si>
  <si>
    <t>76845541</t>
  </si>
  <si>
    <t>400768455362</t>
  </si>
  <si>
    <t>76845536</t>
  </si>
  <si>
    <t>887746877994</t>
  </si>
  <si>
    <t>37601301</t>
  </si>
  <si>
    <t>6538308</t>
  </si>
  <si>
    <t>Disney's The Child 2-pc. BFF Key Chain</t>
  </si>
  <si>
    <t>400682345688</t>
  </si>
  <si>
    <t>68234568</t>
  </si>
  <si>
    <t>6603131</t>
  </si>
  <si>
    <t>Petite Simply Vera Vera Wang Knit Sweater</t>
  </si>
  <si>
    <t>400691174163</t>
  </si>
  <si>
    <t>69117416</t>
  </si>
  <si>
    <t>6115129</t>
  </si>
  <si>
    <t>Baby &amp; Toddler Little Co. by Lauren Conrad Pullover Sweatshirt</t>
  </si>
  <si>
    <t>Olive Nature</t>
  </si>
  <si>
    <t>400281380523</t>
  </si>
  <si>
    <t>28138052</t>
  </si>
  <si>
    <t>Beige Bandana Print</t>
  </si>
  <si>
    <t>400691173944</t>
  </si>
  <si>
    <t>69117394</t>
  </si>
  <si>
    <t>Washed Red Flower</t>
  </si>
  <si>
    <t>400281380448</t>
  </si>
  <si>
    <t>28138044</t>
  </si>
  <si>
    <t>Rose Quartz Daisy</t>
  </si>
  <si>
    <t>400691174170</t>
  </si>
  <si>
    <t>69117417</t>
  </si>
  <si>
    <t>400281380530</t>
  </si>
  <si>
    <t>28138053</t>
  </si>
  <si>
    <t>400281380547</t>
  </si>
  <si>
    <t>28138054</t>
  </si>
  <si>
    <t>400281380554</t>
  </si>
  <si>
    <t>28138055</t>
  </si>
  <si>
    <t>729367847621</t>
  </si>
  <si>
    <t>52366575</t>
  </si>
  <si>
    <t>6861672</t>
  </si>
  <si>
    <t>Sterling Silver 1/10 Carat T.W. Diamond Adjustable Tennis Bracelet</t>
  </si>
  <si>
    <t>197178352427</t>
  </si>
  <si>
    <t>18713294</t>
  </si>
  <si>
    <t>6508580</t>
  </si>
  <si>
    <t>Plus Size Draper James Pocketed Button Front Striped Cardigan</t>
  </si>
  <si>
    <t>400189576394</t>
  </si>
  <si>
    <t>18957639</t>
  </si>
  <si>
    <t>6304593</t>
  </si>
  <si>
    <t>Jammies For Your Families Cookie Crew Men's Slippers</t>
  </si>
  <si>
    <t>400189576400</t>
  </si>
  <si>
    <t>18957640</t>
  </si>
  <si>
    <t>196739276714</t>
  </si>
  <si>
    <t>70237099</t>
  </si>
  <si>
    <t>Girls 7-16 Champion® Powerblend Fleece Mockneck Pullover</t>
  </si>
  <si>
    <t>196739276752</t>
  </si>
  <si>
    <t>70237109</t>
  </si>
  <si>
    <t>196739276721</t>
  </si>
  <si>
    <t>70237100</t>
  </si>
  <si>
    <t>196739276769</t>
  </si>
  <si>
    <t>70237110</t>
  </si>
  <si>
    <t>196739276745</t>
  </si>
  <si>
    <t>70237102</t>
  </si>
  <si>
    <t>196739276783</t>
  </si>
  <si>
    <t>70237112</t>
  </si>
  <si>
    <t>030698069218</t>
  </si>
  <si>
    <t>55053435</t>
  </si>
  <si>
    <t>6332759</t>
  </si>
  <si>
    <t>Connect Apple iPhone 14 Screen Guard 2-pk.</t>
  </si>
  <si>
    <t>Connect</t>
  </si>
  <si>
    <t>Multi None</t>
  </si>
  <si>
    <t>400864571225</t>
  </si>
  <si>
    <t>86457122</t>
  </si>
  <si>
    <t>6114430</t>
  </si>
  <si>
    <t>Baby &amp; Toddler Little Co. by Lauren Conrad Organic Loose Fit Denim Jeans</t>
  </si>
  <si>
    <t>Bone Twill Denim</t>
  </si>
  <si>
    <t>400864571126</t>
  </si>
  <si>
    <t>86457112</t>
  </si>
  <si>
    <t>400864571232</t>
  </si>
  <si>
    <t>86457123</t>
  </si>
  <si>
    <t>400864571133</t>
  </si>
  <si>
    <t>86457113</t>
  </si>
  <si>
    <t>195883909905</t>
  </si>
  <si>
    <t>67329659</t>
  </si>
  <si>
    <t>5253530</t>
  </si>
  <si>
    <t>Girls 4-12 Jumping Beans® Star Wars The Mandalorian The Child Graphic Tee</t>
  </si>
  <si>
    <t>195883909912</t>
  </si>
  <si>
    <t>67329660</t>
  </si>
  <si>
    <t>195883909929</t>
  </si>
  <si>
    <t>67329661</t>
  </si>
  <si>
    <t>195883909936</t>
  </si>
  <si>
    <t>67329662</t>
  </si>
  <si>
    <t>194998457684</t>
  </si>
  <si>
    <t>47835154</t>
  </si>
  <si>
    <t>6238101</t>
  </si>
  <si>
    <t>Men's Tommy Hilfiger Logo Tee</t>
  </si>
  <si>
    <t>400808097491</t>
  </si>
  <si>
    <t>80809749</t>
  </si>
  <si>
    <t>6264479</t>
  </si>
  <si>
    <t>Plus Size Sonoma Goods For Life® Everyday Crewneck Long Sleeve Top</t>
  </si>
  <si>
    <t>Beige Check</t>
  </si>
  <si>
    <t>400808097507</t>
  </si>
  <si>
    <t>80809750</t>
  </si>
  <si>
    <t>400808097514</t>
  </si>
  <si>
    <t>80809751</t>
  </si>
  <si>
    <t>400808097521</t>
  </si>
  <si>
    <t>80809752</t>
  </si>
  <si>
    <t>400808097538</t>
  </si>
  <si>
    <t>80809753</t>
  </si>
  <si>
    <t>400808097545</t>
  </si>
  <si>
    <t>80809754</t>
  </si>
  <si>
    <t>889602789076</t>
  </si>
  <si>
    <t>80284365</t>
  </si>
  <si>
    <t>6490345</t>
  </si>
  <si>
    <t>Plus Size LC Lauren Conrad Ruffled Pullover Top</t>
  </si>
  <si>
    <t>889602789175</t>
  </si>
  <si>
    <t>69804395</t>
  </si>
  <si>
    <t>889602789120</t>
  </si>
  <si>
    <t>69804390</t>
  </si>
  <si>
    <t>889602789083</t>
  </si>
  <si>
    <t>80284366</t>
  </si>
  <si>
    <t>889602789182</t>
  </si>
  <si>
    <t>69804396</t>
  </si>
  <si>
    <t>889602789137</t>
  </si>
  <si>
    <t>69804391</t>
  </si>
  <si>
    <t>889602789090</t>
  </si>
  <si>
    <t>80284367</t>
  </si>
  <si>
    <t>889602789199</t>
  </si>
  <si>
    <t>69804397</t>
  </si>
  <si>
    <t>889602789144</t>
  </si>
  <si>
    <t>69804392</t>
  </si>
  <si>
    <t>889602789106</t>
  </si>
  <si>
    <t>80284368</t>
  </si>
  <si>
    <t>889602789205</t>
  </si>
  <si>
    <t>69804398</t>
  </si>
  <si>
    <t>889602789151</t>
  </si>
  <si>
    <t>69804393</t>
  </si>
  <si>
    <t>889602789212</t>
  </si>
  <si>
    <t>69804399</t>
  </si>
  <si>
    <t>889602789113</t>
  </si>
  <si>
    <t>80284375</t>
  </si>
  <si>
    <t>889602789168</t>
  </si>
  <si>
    <t>69804394</t>
  </si>
  <si>
    <t>BILLY Footwear Cozy II Kids' Winter Boots</t>
  </si>
  <si>
    <t>195365508787</t>
  </si>
  <si>
    <t>63488925</t>
  </si>
  <si>
    <t>6110765</t>
  </si>
  <si>
    <t>Women's ZeroXposur York Velour Pullover Hoodie</t>
  </si>
  <si>
    <t>195365508794</t>
  </si>
  <si>
    <t>63488926</t>
  </si>
  <si>
    <t>195365508800</t>
  </si>
  <si>
    <t>63488927</t>
  </si>
  <si>
    <t>195365508817</t>
  </si>
  <si>
    <t>63488928</t>
  </si>
  <si>
    <t>400867305148</t>
  </si>
  <si>
    <t>86730514</t>
  </si>
  <si>
    <t>7029906</t>
  </si>
  <si>
    <t>Plus Size Sonoma Goods For Life® High-Waisted Boyfriend Jeans</t>
  </si>
  <si>
    <t>400867305179</t>
  </si>
  <si>
    <t>86730517</t>
  </si>
  <si>
    <t>400702408508</t>
  </si>
  <si>
    <t>70240850</t>
  </si>
  <si>
    <t>6432782</t>
  </si>
  <si>
    <t>Women's Croft &amp; Barrow® Ruffle-Neck Dress</t>
  </si>
  <si>
    <t>742797929491</t>
  </si>
  <si>
    <t>76884218</t>
  </si>
  <si>
    <t>6337549</t>
  </si>
  <si>
    <t>Fisher-Price Warming Best Furrr-end Cuddler Dog Toy</t>
  </si>
  <si>
    <t>400792144720</t>
  </si>
  <si>
    <t>79214472</t>
  </si>
  <si>
    <t>6285677</t>
  </si>
  <si>
    <t>Girls 6-20 SO® Cozy Mockneck Tee in Regular &amp; Plus Size</t>
  </si>
  <si>
    <t>400792144744</t>
  </si>
  <si>
    <t>79214474</t>
  </si>
  <si>
    <t>400792144751</t>
  </si>
  <si>
    <t>79214475</t>
  </si>
  <si>
    <t>400792144768</t>
  </si>
  <si>
    <t>79214476</t>
  </si>
  <si>
    <t>400818203301</t>
  </si>
  <si>
    <t>81820330</t>
  </si>
  <si>
    <t>400818203028</t>
  </si>
  <si>
    <t>81820302</t>
  </si>
  <si>
    <t>400818203325</t>
  </si>
  <si>
    <t>81820332</t>
  </si>
  <si>
    <t>400818202922</t>
  </si>
  <si>
    <t>81820292</t>
  </si>
  <si>
    <t>400818203189</t>
  </si>
  <si>
    <t>81820318</t>
  </si>
  <si>
    <t>400818203080</t>
  </si>
  <si>
    <t>81820308</t>
  </si>
  <si>
    <t>400818203387</t>
  </si>
  <si>
    <t>81820338</t>
  </si>
  <si>
    <t>400818202984</t>
  </si>
  <si>
    <t>81820298</t>
  </si>
  <si>
    <t>400557722590</t>
  </si>
  <si>
    <t>55772259</t>
  </si>
  <si>
    <t>1366</t>
  </si>
  <si>
    <t>6150905</t>
  </si>
  <si>
    <t>Boys 8-20 Jammies For Your Families® Sweet Holiday Wishes Pajama Set</t>
  </si>
  <si>
    <t>White Cookie Print</t>
  </si>
  <si>
    <t>400557722675</t>
  </si>
  <si>
    <t>55772267</t>
  </si>
  <si>
    <t>197117363767</t>
  </si>
  <si>
    <t>50431517</t>
  </si>
  <si>
    <t>6196990</t>
  </si>
  <si>
    <t>Men's Cuddl Duds® Midweight ClimateSport Performance Base Layer Balaclava Top</t>
  </si>
  <si>
    <t>197117363774</t>
  </si>
  <si>
    <t>50431524</t>
  </si>
  <si>
    <t>400731559639</t>
  </si>
  <si>
    <t>73155963</t>
  </si>
  <si>
    <t>6116890</t>
  </si>
  <si>
    <t>Women's Nine West Essential Long Sleeve Crewneck Tee</t>
  </si>
  <si>
    <t>197026839636</t>
  </si>
  <si>
    <t>70225721</t>
  </si>
  <si>
    <t>6629857</t>
  </si>
  <si>
    <t>Juniors' Strawberry Shortcake Trio Striped Graphic Tee</t>
  </si>
  <si>
    <t>196385016795</t>
  </si>
  <si>
    <t>71781223</t>
  </si>
  <si>
    <t>5611958</t>
  </si>
  <si>
    <t>Juniors' Ninety-Nine Degrees° Twist-Front Bralette Bikini Top</t>
  </si>
  <si>
    <t>Multi Tie Dye Lux</t>
  </si>
  <si>
    <t>196385016801</t>
  </si>
  <si>
    <t>71781224</t>
  </si>
  <si>
    <t>196385016818</t>
  </si>
  <si>
    <t>71781225</t>
  </si>
  <si>
    <t>196385016825</t>
  </si>
  <si>
    <t>71781226</t>
  </si>
  <si>
    <t>196385016832</t>
  </si>
  <si>
    <t>71781227</t>
  </si>
  <si>
    <t>196385016849</t>
  </si>
  <si>
    <t>71781233</t>
  </si>
  <si>
    <t>196027181065</t>
  </si>
  <si>
    <t>28693441</t>
  </si>
  <si>
    <t>5516506</t>
  </si>
  <si>
    <t>Boys 4-20 The Mandalorian Grogu aka Baby Yoda &amp;#34;Night Flight&amp;#34; Pajama Pants in Regular &amp; Husky</t>
  </si>
  <si>
    <t>196027181058</t>
  </si>
  <si>
    <t>28693446</t>
  </si>
  <si>
    <t>6-8</t>
  </si>
  <si>
    <t>195157059022</t>
  </si>
  <si>
    <t>58310535</t>
  </si>
  <si>
    <t>6119381</t>
  </si>
  <si>
    <t>Women's Sonoma Goods For Life® Chunky Crew Neck Sweater</t>
  </si>
  <si>
    <t>194546334559</t>
  </si>
  <si>
    <t>69164185</t>
  </si>
  <si>
    <t>6890063</t>
  </si>
  <si>
    <t>Juniors' SO® Bra Ribbed Seamless Bralette SO51-027</t>
  </si>
  <si>
    <t>Buffalo Plaid</t>
  </si>
  <si>
    <t>194546334566</t>
  </si>
  <si>
    <t>69164186</t>
  </si>
  <si>
    <t>194546334573</t>
  </si>
  <si>
    <t>69164187</t>
  </si>
  <si>
    <t>400806116125</t>
  </si>
  <si>
    <t>80611612</t>
  </si>
  <si>
    <t>6258211</t>
  </si>
  <si>
    <t>Crayola® X Kohl's Men's Pajama Set</t>
  </si>
  <si>
    <t>Crayola X Kohl's</t>
  </si>
  <si>
    <t>Crayon Scribble Ivory</t>
  </si>
  <si>
    <t>400806116132</t>
  </si>
  <si>
    <t>80611613</t>
  </si>
  <si>
    <t>400806116149</t>
  </si>
  <si>
    <t>80611614</t>
  </si>
  <si>
    <t>Women's adidas Essentials 3-Stripes Oversized Fleece Sweatshirt</t>
  </si>
  <si>
    <t>XX SMALL</t>
  </si>
  <si>
    <t>729367971784</t>
  </si>
  <si>
    <t>50523846</t>
  </si>
  <si>
    <t>6861680</t>
  </si>
  <si>
    <t>14k Gold Huggie Earrings</t>
  </si>
  <si>
    <t>400183010979</t>
  </si>
  <si>
    <t>18301097</t>
  </si>
  <si>
    <t>6488347</t>
  </si>
  <si>
    <t>Sonoma Goods For Life® Long Neck Fluted Vase Table Decor</t>
  </si>
  <si>
    <t>713610472234</t>
  </si>
  <si>
    <t>65247581</t>
  </si>
  <si>
    <t>6093334</t>
  </si>
  <si>
    <t>Women's Grand Slam Puffer Golf Vest</t>
  </si>
  <si>
    <t>Berry Wine</t>
  </si>
  <si>
    <t>713610472241</t>
  </si>
  <si>
    <t>65247586</t>
  </si>
  <si>
    <t>713610472258</t>
  </si>
  <si>
    <t>65247587</t>
  </si>
  <si>
    <t>713610472265</t>
  </si>
  <si>
    <t>65247588</t>
  </si>
  <si>
    <t>713610472272</t>
  </si>
  <si>
    <t>65247589</t>
  </si>
  <si>
    <t>195612068002</t>
  </si>
  <si>
    <t>49790458</t>
  </si>
  <si>
    <t>6902480</t>
  </si>
  <si>
    <t>Men's Haggar® Classic-Fit Premium Comfort Wrinkle Resistant Dress Shirt</t>
  </si>
  <si>
    <t>15.5-32/33</t>
  </si>
  <si>
    <t>196978671110</t>
  </si>
  <si>
    <t>37582901</t>
  </si>
  <si>
    <t>When Pigs Fly</t>
  </si>
  <si>
    <t>Snapdragon Dx Adv</t>
  </si>
  <si>
    <t>400380032217</t>
  </si>
  <si>
    <t>38003221</t>
  </si>
  <si>
    <t>6303463</t>
  </si>
  <si>
    <t>Big &amp; Tall Sonoma Goods For Life® Quarter Zip Arctic Fleece</t>
  </si>
  <si>
    <t>400380032545</t>
  </si>
  <si>
    <t>38003254</t>
  </si>
  <si>
    <t>Boys 8-20 Hurley Shark Check Boardshorts</t>
  </si>
  <si>
    <t>400664678834</t>
  </si>
  <si>
    <t>66467883</t>
  </si>
  <si>
    <t>6649354</t>
  </si>
  <si>
    <t>Boys 8-20 Tek Gear® Base Layer 7/8 Tights</t>
  </si>
  <si>
    <t>Elegant Blue</t>
  </si>
  <si>
    <t>400664678919</t>
  </si>
  <si>
    <t>66467891</t>
  </si>
  <si>
    <t>400664678872</t>
  </si>
  <si>
    <t>66467887</t>
  </si>
  <si>
    <t>400664678841</t>
  </si>
  <si>
    <t>66467884</t>
  </si>
  <si>
    <t>400664678926</t>
  </si>
  <si>
    <t>66467892</t>
  </si>
  <si>
    <t>400664678889</t>
  </si>
  <si>
    <t>66467888</t>
  </si>
  <si>
    <t>400664678933</t>
  </si>
  <si>
    <t>66467893</t>
  </si>
  <si>
    <t>400664678896</t>
  </si>
  <si>
    <t>66467889</t>
  </si>
  <si>
    <t>400664678858</t>
  </si>
  <si>
    <t>66467885</t>
  </si>
  <si>
    <t>400664678940</t>
  </si>
  <si>
    <t>66467894</t>
  </si>
  <si>
    <t>400664678902</t>
  </si>
  <si>
    <t>66467890</t>
  </si>
  <si>
    <t>400664678865</t>
  </si>
  <si>
    <t>66467886</t>
  </si>
  <si>
    <t>195142114576</t>
  </si>
  <si>
    <t>29504656</t>
  </si>
  <si>
    <t>5549474</t>
  </si>
  <si>
    <t>Star Wars The Mandalorian Grogu Boys' Slip-On Shoes</t>
  </si>
  <si>
    <t>194808421416</t>
  </si>
  <si>
    <t>70362786</t>
  </si>
  <si>
    <t>5608012</t>
  </si>
  <si>
    <t>Juniors' Lily Rose Print Fit &amp; Flare Dress and Tee Set</t>
  </si>
  <si>
    <t>194808421423</t>
  </si>
  <si>
    <t>70362787</t>
  </si>
  <si>
    <t>400441458543</t>
  </si>
  <si>
    <t>44145854</t>
  </si>
  <si>
    <t>6286284</t>
  </si>
  <si>
    <t>Plus Size Simply Vera Vera Wang High-Rise Wide Leg Trouser Pants</t>
  </si>
  <si>
    <t>400781913931</t>
  </si>
  <si>
    <t>78191393</t>
  </si>
  <si>
    <t>400806381561</t>
  </si>
  <si>
    <t>80638156</t>
  </si>
  <si>
    <t>400806381578</t>
  </si>
  <si>
    <t>80638157</t>
  </si>
  <si>
    <t>400781913955</t>
  </si>
  <si>
    <t>78191395</t>
  </si>
  <si>
    <t>400806381585</t>
  </si>
  <si>
    <t>80638158</t>
  </si>
  <si>
    <t>400806381615</t>
  </si>
  <si>
    <t>80638161</t>
  </si>
  <si>
    <t>400806381622</t>
  </si>
  <si>
    <t>80638162</t>
  </si>
  <si>
    <t>400781914044</t>
  </si>
  <si>
    <t>78191404</t>
  </si>
  <si>
    <t>Girls 7-16 Speechless Pleated Glitter Tiered Maxi Dress</t>
  </si>
  <si>
    <t>Coral</t>
  </si>
  <si>
    <t>716838292066</t>
  </si>
  <si>
    <t>73597549</t>
  </si>
  <si>
    <t>2900226</t>
  </si>
  <si>
    <t>10k Gold Textured Cross Pendant Necklace</t>
  </si>
  <si>
    <t>Baby Carter's 3-Piece Butterfly French Terry Vest Set</t>
  </si>
  <si>
    <t>196050439973</t>
  </si>
  <si>
    <t>56092441</t>
  </si>
  <si>
    <t>5625785</t>
  </si>
  <si>
    <t>SO® English Muffin Women's Thigh-High Boots</t>
  </si>
  <si>
    <t>196050439980</t>
  </si>
  <si>
    <t>56092442</t>
  </si>
  <si>
    <t>6.5 MED</t>
  </si>
  <si>
    <t>196050439997</t>
  </si>
  <si>
    <t>56092443</t>
  </si>
  <si>
    <t>7 MED</t>
  </si>
  <si>
    <t>196050440009</t>
  </si>
  <si>
    <t>56092444</t>
  </si>
  <si>
    <t>7.5 MED</t>
  </si>
  <si>
    <t>196050440016</t>
  </si>
  <si>
    <t>56092445</t>
  </si>
  <si>
    <t>8 MED</t>
  </si>
  <si>
    <t>196050440023</t>
  </si>
  <si>
    <t>56092446</t>
  </si>
  <si>
    <t>8.5 MED</t>
  </si>
  <si>
    <t>196050440191</t>
  </si>
  <si>
    <t>73215349</t>
  </si>
  <si>
    <t>196050440078</t>
  </si>
  <si>
    <t>76930226</t>
  </si>
  <si>
    <t>196050440207</t>
  </si>
  <si>
    <t>73215350</t>
  </si>
  <si>
    <t>196050440214</t>
  </si>
  <si>
    <t>73215351</t>
  </si>
  <si>
    <t>196050440221</t>
  </si>
  <si>
    <t>73215352</t>
  </si>
  <si>
    <t>196050440238</t>
  </si>
  <si>
    <t>73215353</t>
  </si>
  <si>
    <t>196050440245</t>
  </si>
  <si>
    <t>73215354</t>
  </si>
  <si>
    <t>7.5 WIDE</t>
  </si>
  <si>
    <t>096303408087</t>
  </si>
  <si>
    <t>37888513</t>
  </si>
  <si>
    <t>6861702</t>
  </si>
  <si>
    <t>Sterling Silver 1/10 Carat T.W. Diamond Infinity Drop Earrings</t>
  </si>
  <si>
    <t>195862013944</t>
  </si>
  <si>
    <t>56074329</t>
  </si>
  <si>
    <t>6045900</t>
  </si>
  <si>
    <t>Baby Girl Carter's Floral Flutter Shoulder Twill Dress &amp; Diaper Cover</t>
  </si>
  <si>
    <t>195862013913</t>
  </si>
  <si>
    <t>56074331</t>
  </si>
  <si>
    <t>195862013906</t>
  </si>
  <si>
    <t>56074330</t>
  </si>
  <si>
    <t>195862013920</t>
  </si>
  <si>
    <t>56074332</t>
  </si>
  <si>
    <t>195862013876</t>
  </si>
  <si>
    <t>56074333</t>
  </si>
  <si>
    <t>195862013883</t>
  </si>
  <si>
    <t>56074334</t>
  </si>
  <si>
    <t>Women's adidas Jacquard Golf Polo Shirt</t>
  </si>
  <si>
    <t>195862016105</t>
  </si>
  <si>
    <t>80714202</t>
  </si>
  <si>
    <t>6074484</t>
  </si>
  <si>
    <t>Baby Girl Carter's Button-Front Cardigan</t>
  </si>
  <si>
    <t>Red Solid</t>
  </si>
  <si>
    <t>195862016075</t>
  </si>
  <si>
    <t>80714200</t>
  </si>
  <si>
    <t>195862016068</t>
  </si>
  <si>
    <t>80714199</t>
  </si>
  <si>
    <t>195862016082</t>
  </si>
  <si>
    <t>80714201</t>
  </si>
  <si>
    <t>195861277569</t>
  </si>
  <si>
    <t>29241052</t>
  </si>
  <si>
    <t>5590302</t>
  </si>
  <si>
    <t>Girls 4-12 Carter's Long Sleeve Floral Maxi Dress</t>
  </si>
  <si>
    <t>Brown Floral</t>
  </si>
  <si>
    <t>195861277576</t>
  </si>
  <si>
    <t>29241062</t>
  </si>
  <si>
    <t>195861277590</t>
  </si>
  <si>
    <t>29241082</t>
  </si>
  <si>
    <t>195861277583</t>
  </si>
  <si>
    <t>29241072</t>
  </si>
  <si>
    <t>400612017623</t>
  </si>
  <si>
    <t>61201762</t>
  </si>
  <si>
    <t>7081921</t>
  </si>
  <si>
    <t>Girls 6-20 SO® Adaptive Seated Comfort Leggings in Regular &amp; Plus</t>
  </si>
  <si>
    <t>400612017630</t>
  </si>
  <si>
    <t>61201763</t>
  </si>
  <si>
    <t>765803902783</t>
  </si>
  <si>
    <t>69553388</t>
  </si>
  <si>
    <t>4952667</t>
  </si>
  <si>
    <t>Boys 7-20 Sonoma Goods For Life® Flexwear Bootcut Jeans in Regular &amp; Husky</t>
  </si>
  <si>
    <t>765803903353</t>
  </si>
  <si>
    <t>75717441</t>
  </si>
  <si>
    <t>765803902714</t>
  </si>
  <si>
    <t>69553168</t>
  </si>
  <si>
    <t>765803902790</t>
  </si>
  <si>
    <t>69553398</t>
  </si>
  <si>
    <t>765803903360</t>
  </si>
  <si>
    <t>75717442</t>
  </si>
  <si>
    <t>193916921573</t>
  </si>
  <si>
    <t>19513189</t>
  </si>
  <si>
    <t>6649087</t>
  </si>
  <si>
    <t>Toddler Girl Little Lass Sweater Dress, Tights &amp; Headband Set</t>
  </si>
  <si>
    <t>193916921580</t>
  </si>
  <si>
    <t>19513190</t>
  </si>
  <si>
    <t>193916921597</t>
  </si>
  <si>
    <t>19513191</t>
  </si>
  <si>
    <t>400703719504</t>
  </si>
  <si>
    <t>70371950</t>
  </si>
  <si>
    <t>7081534</t>
  </si>
  <si>
    <t>Petite Tek Gear® Ultrastretch High-Waisted 7/8 Leggings with Side Pockets</t>
  </si>
  <si>
    <t>400616447051</t>
  </si>
  <si>
    <t>61644705</t>
  </si>
  <si>
    <t>5771167</t>
  </si>
  <si>
    <t>Women's Sonoma Goods For Life® Cozy Long Sleeve V-Neck Sleepshirt</t>
  </si>
  <si>
    <t>Gray Be Mine</t>
  </si>
  <si>
    <t>400616447068</t>
  </si>
  <si>
    <t>61644706</t>
  </si>
  <si>
    <t>637677668785</t>
  </si>
  <si>
    <t>46807126</t>
  </si>
  <si>
    <t>6438716</t>
  </si>
  <si>
    <t>Girls 7-16 Self Esteem Smocked Long Sleeve Print Top</t>
  </si>
  <si>
    <t>637677668792</t>
  </si>
  <si>
    <t>46807127</t>
  </si>
  <si>
    <t>637677667658</t>
  </si>
  <si>
    <t>74407406</t>
  </si>
  <si>
    <t>637677668808</t>
  </si>
  <si>
    <t>46807128</t>
  </si>
  <si>
    <t>400832376951</t>
  </si>
  <si>
    <t>83237695</t>
  </si>
  <si>
    <t>6482817</t>
  </si>
  <si>
    <t>Plus Size Simply Vera Vera Wang Snap Mockneck Top</t>
  </si>
  <si>
    <t>400832376968</t>
  </si>
  <si>
    <t>83237696</t>
  </si>
  <si>
    <t>400832377019</t>
  </si>
  <si>
    <t>83237701</t>
  </si>
  <si>
    <t>400832376975</t>
  </si>
  <si>
    <t>83237697</t>
  </si>
  <si>
    <t>714147529873</t>
  </si>
  <si>
    <t>18787860</t>
  </si>
  <si>
    <t>958</t>
  </si>
  <si>
    <t>6176227</t>
  </si>
  <si>
    <t>Disney's Mickey Mouse &amp; Minnie Mouse Men's Top &amp; Bottoms Pajama Set by Jammies For Your Families®</t>
  </si>
  <si>
    <t>196361710426</t>
  </si>
  <si>
    <t>75578057</t>
  </si>
  <si>
    <t>5626757</t>
  </si>
  <si>
    <t>madden girl Mzoey Girls' Combat Boots</t>
  </si>
  <si>
    <t>196361710228</t>
  </si>
  <si>
    <t>75578065</t>
  </si>
  <si>
    <t>195861990703</t>
  </si>
  <si>
    <t>49616491</t>
  </si>
  <si>
    <t>6061172</t>
  </si>
  <si>
    <t>Girls 4-14 Carter's Bobble Poncho</t>
  </si>
  <si>
    <t>195861990710</t>
  </si>
  <si>
    <t>49616492</t>
  </si>
  <si>
    <t>195861990727</t>
  </si>
  <si>
    <t>49616493</t>
  </si>
  <si>
    <t>400642918136</t>
  </si>
  <si>
    <t>64291813</t>
  </si>
  <si>
    <t>5507985</t>
  </si>
  <si>
    <t>Petite LC Lauren Conrad Ruffle Sleeve Fit &amp; Flare Dress</t>
  </si>
  <si>
    <t>400642918143</t>
  </si>
  <si>
    <t>64291814</t>
  </si>
  <si>
    <t>400642918150</t>
  </si>
  <si>
    <t>64291815</t>
  </si>
  <si>
    <t>400642918167</t>
  </si>
  <si>
    <t>64291816</t>
  </si>
  <si>
    <t>400642918174</t>
  </si>
  <si>
    <t>64291817</t>
  </si>
  <si>
    <t>197117330387</t>
  </si>
  <si>
    <t>62865421</t>
  </si>
  <si>
    <t>6131591</t>
  </si>
  <si>
    <t>Women's Jammies For Your Families® Sweater Knit Mama Elf Top &amp; Bottoms Pajama Set by Cuddl Duds®</t>
  </si>
  <si>
    <t>197117330394</t>
  </si>
  <si>
    <t>62865422</t>
  </si>
  <si>
    <t>197117330431</t>
  </si>
  <si>
    <t>62865432</t>
  </si>
  <si>
    <t>887863799933</t>
  </si>
  <si>
    <t>80585507</t>
  </si>
  <si>
    <t>6353572</t>
  </si>
  <si>
    <t>Girls 7-16 Knit Works Bomber Jacket &amp; Tiered Dress Set in Regular &amp; Plus Size</t>
  </si>
  <si>
    <t>887863799940</t>
  </si>
  <si>
    <t>80585508</t>
  </si>
  <si>
    <t>887863799957</t>
  </si>
  <si>
    <t>80585509</t>
  </si>
  <si>
    <t>887863799964</t>
  </si>
  <si>
    <t>80585510</t>
  </si>
  <si>
    <t>887863799971</t>
  </si>
  <si>
    <t>80585511</t>
  </si>
  <si>
    <t>887863799988</t>
  </si>
  <si>
    <t>80585512</t>
  </si>
  <si>
    <t>887863799643</t>
  </si>
  <si>
    <t>80580347</t>
  </si>
  <si>
    <t>887863799650</t>
  </si>
  <si>
    <t>80580348</t>
  </si>
  <si>
    <t>887863799667</t>
  </si>
  <si>
    <t>80580349</t>
  </si>
  <si>
    <t>887863799674</t>
  </si>
  <si>
    <t>80580350</t>
  </si>
  <si>
    <t>197178401040</t>
  </si>
  <si>
    <t>80462377</t>
  </si>
  <si>
    <t>6568907</t>
  </si>
  <si>
    <t>Juniors' Plus Size SO® Denim Utility Pocket Oversized Jacket</t>
  </si>
  <si>
    <t>197178401057</t>
  </si>
  <si>
    <t>80462378</t>
  </si>
  <si>
    <t>197178401064</t>
  </si>
  <si>
    <t>80462379</t>
  </si>
  <si>
    <t>196327431938</t>
  </si>
  <si>
    <t>71783784</t>
  </si>
  <si>
    <t>6141746</t>
  </si>
  <si>
    <t>Girls 7-16 Hurley Notched Graphic Hoodie</t>
  </si>
  <si>
    <t>196327431952</t>
  </si>
  <si>
    <t>71783786</t>
  </si>
  <si>
    <t>400652484478</t>
  </si>
  <si>
    <t>65248447</t>
  </si>
  <si>
    <t>6303002</t>
  </si>
  <si>
    <t>Girls SO® Cozy Swing Top in Regular &amp; Plus</t>
  </si>
  <si>
    <t>Black Space Dye</t>
  </si>
  <si>
    <t>400652484614</t>
  </si>
  <si>
    <t>65248461</t>
  </si>
  <si>
    <t>Purple Space Dye</t>
  </si>
  <si>
    <t>400652484560</t>
  </si>
  <si>
    <t>65248456</t>
  </si>
  <si>
    <t>Pink Space Dye</t>
  </si>
  <si>
    <t>400652484485</t>
  </si>
  <si>
    <t>65248448</t>
  </si>
  <si>
    <t>400652484409</t>
  </si>
  <si>
    <t>65248440</t>
  </si>
  <si>
    <t>Blue Space Dye</t>
  </si>
  <si>
    <t>400652484690</t>
  </si>
  <si>
    <t>65248469</t>
  </si>
  <si>
    <t>Teal Purple Marl</t>
  </si>
  <si>
    <t>400803830987</t>
  </si>
  <si>
    <t>80383098</t>
  </si>
  <si>
    <t>400803831007</t>
  </si>
  <si>
    <t>80383100</t>
  </si>
  <si>
    <t>400803830956</t>
  </si>
  <si>
    <t>80383095</t>
  </si>
  <si>
    <t>400803831168</t>
  </si>
  <si>
    <t>80383116</t>
  </si>
  <si>
    <t>400803831014</t>
  </si>
  <si>
    <t>80383101</t>
  </si>
  <si>
    <t>400803830963</t>
  </si>
  <si>
    <t>80383096</t>
  </si>
  <si>
    <t>400803831175</t>
  </si>
  <si>
    <t>80383117</t>
  </si>
  <si>
    <t>400803831090</t>
  </si>
  <si>
    <t>80383109</t>
  </si>
  <si>
    <t>400341901835</t>
  </si>
  <si>
    <t>34190183</t>
  </si>
  <si>
    <t>5677754</t>
  </si>
  <si>
    <t>Sonoma Goods For Life® Georgia Feather Fill Throw Pillow</t>
  </si>
  <si>
    <t>Georgia</t>
  </si>
  <si>
    <t>196407935585</t>
  </si>
  <si>
    <t>28199378</t>
  </si>
  <si>
    <t>6065463</t>
  </si>
  <si>
    <t>Men's IZOD V-Neck Sweater</t>
  </si>
  <si>
    <t>Camel Heather</t>
  </si>
  <si>
    <t>196407935912</t>
  </si>
  <si>
    <t>61704114</t>
  </si>
  <si>
    <t>196407935431</t>
  </si>
  <si>
    <t>28199362</t>
  </si>
  <si>
    <t>196407935578</t>
  </si>
  <si>
    <t>28199379</t>
  </si>
  <si>
    <t>196407935561</t>
  </si>
  <si>
    <t>28199381</t>
  </si>
  <si>
    <t>400547090753</t>
  </si>
  <si>
    <t>54709075</t>
  </si>
  <si>
    <t>5653105</t>
  </si>
  <si>
    <t>Women's Tek Gear® Performance Long Sleeve Tee</t>
  </si>
  <si>
    <t>194869379312</t>
  </si>
  <si>
    <t>37669189</t>
  </si>
  <si>
    <t>6265744</t>
  </si>
  <si>
    <t>Girls 4-20 33 Degrees Long Sleeve Crewneck Dog with Treats Christmas Sweater in Regular &amp; Plus Size</t>
  </si>
  <si>
    <t>194869379329</t>
  </si>
  <si>
    <t>37669190</t>
  </si>
  <si>
    <t>194869379336</t>
  </si>
  <si>
    <t>37669191</t>
  </si>
  <si>
    <t>194869379343</t>
  </si>
  <si>
    <t>37669192</t>
  </si>
  <si>
    <t>840202370613</t>
  </si>
  <si>
    <t>30753556</t>
  </si>
  <si>
    <t>5269338</t>
  </si>
  <si>
    <t>Juniors' Ninety-Nine Degrees° Shirred Bandeau Swim Top</t>
  </si>
  <si>
    <t>Floral Fun</t>
  </si>
  <si>
    <t>840202370552</t>
  </si>
  <si>
    <t>30753550</t>
  </si>
  <si>
    <t>Paradise Falls</t>
  </si>
  <si>
    <t>840202370620</t>
  </si>
  <si>
    <t>30753557</t>
  </si>
  <si>
    <t>840202370569</t>
  </si>
  <si>
    <t>30753551</t>
  </si>
  <si>
    <t>840202370637</t>
  </si>
  <si>
    <t>30753558</t>
  </si>
  <si>
    <t>840202370576</t>
  </si>
  <si>
    <t>30753552</t>
  </si>
  <si>
    <t>840202370644</t>
  </si>
  <si>
    <t>30753559</t>
  </si>
  <si>
    <t>840202370583</t>
  </si>
  <si>
    <t>30753553</t>
  </si>
  <si>
    <t>840202370651</t>
  </si>
  <si>
    <t>30753560</t>
  </si>
  <si>
    <t>840202370590</t>
  </si>
  <si>
    <t>30753554</t>
  </si>
  <si>
    <t>840202370606</t>
  </si>
  <si>
    <t>30753555</t>
  </si>
  <si>
    <t>840202370668</t>
  </si>
  <si>
    <t>30753561</t>
  </si>
  <si>
    <t>081715994365</t>
  </si>
  <si>
    <t>74005609</t>
  </si>
  <si>
    <t>6255743</t>
  </si>
  <si>
    <t>Boys Fortnite Hat &amp; Gloves Set</t>
  </si>
  <si>
    <t>197117363972</t>
  </si>
  <si>
    <t>55895920</t>
  </si>
  <si>
    <t>6196987</t>
  </si>
  <si>
    <t>Men's Cuddl Duds® Midweight ClimateSport Performance Base Layer Pants</t>
  </si>
  <si>
    <t>Blue Stripe</t>
  </si>
  <si>
    <t>197117363989</t>
  </si>
  <si>
    <t>55895922</t>
  </si>
  <si>
    <t>197117364047</t>
  </si>
  <si>
    <t>55895937</t>
  </si>
  <si>
    <t>Dark Gray Space Dye</t>
  </si>
  <si>
    <t>197117363996</t>
  </si>
  <si>
    <t>55895927</t>
  </si>
  <si>
    <t>400743862420</t>
  </si>
  <si>
    <t>74386242</t>
  </si>
  <si>
    <t>6224417</t>
  </si>
  <si>
    <t>Sonoma Goods For Life® Frannee Women's Ankle Boots</t>
  </si>
  <si>
    <t>400743862499</t>
  </si>
  <si>
    <t>74386249</t>
  </si>
  <si>
    <t>400664564410</t>
  </si>
  <si>
    <t>66456441</t>
  </si>
  <si>
    <t>400504352863</t>
  </si>
  <si>
    <t>50435286</t>
  </si>
  <si>
    <t>400664564427</t>
  </si>
  <si>
    <t>66456442</t>
  </si>
  <si>
    <t>400664564434</t>
  </si>
  <si>
    <t>66456443</t>
  </si>
  <si>
    <t>400300671212</t>
  </si>
  <si>
    <t>30067121</t>
  </si>
  <si>
    <t>6252045</t>
  </si>
  <si>
    <t>Boys 4-12 Jumping Beans® Disney Mickey Mouse &amp; Friends Hanukkah Graphic Tee</t>
  </si>
  <si>
    <t>Happy Hanukkah</t>
  </si>
  <si>
    <t>400300671229</t>
  </si>
  <si>
    <t>30067122</t>
  </si>
  <si>
    <t>400300671236</t>
  </si>
  <si>
    <t>30067123</t>
  </si>
  <si>
    <t>400300671243</t>
  </si>
  <si>
    <t>30067124</t>
  </si>
  <si>
    <t>400300671250</t>
  </si>
  <si>
    <t>30067125</t>
  </si>
  <si>
    <t>400300671267</t>
  </si>
  <si>
    <t>30067126</t>
  </si>
  <si>
    <t>400300671274</t>
  </si>
  <si>
    <t>30067127</t>
  </si>
  <si>
    <t>Kurt Adler Harry Potter Christmas Stocking</t>
  </si>
  <si>
    <t>400656196650</t>
  </si>
  <si>
    <t>65619665</t>
  </si>
  <si>
    <t>6165918</t>
  </si>
  <si>
    <t>Big &amp; Tall Jammies For Your Families® Doodle Santa Long Sleeve &amp; Shorts Pajama Set</t>
  </si>
  <si>
    <t>Light Skin Tone Santa</t>
  </si>
  <si>
    <t>400656196667</t>
  </si>
  <si>
    <t>65619666</t>
  </si>
  <si>
    <t>400656196742</t>
  </si>
  <si>
    <t>65619674</t>
  </si>
  <si>
    <t>400656196759</t>
  </si>
  <si>
    <t>65619675</t>
  </si>
  <si>
    <t>Kamik Crab Girls' Waterproof Sport Sandals</t>
  </si>
  <si>
    <t>Gray Pink</t>
  </si>
  <si>
    <t>197178371282</t>
  </si>
  <si>
    <t>80631401</t>
  </si>
  <si>
    <t>6524749</t>
  </si>
  <si>
    <t>Plus Size INTEMPO™ Camo Print Oversized Twill Shirt Jacket</t>
  </si>
  <si>
    <t>197178371305</t>
  </si>
  <si>
    <t>80631402</t>
  </si>
  <si>
    <t>197178371299</t>
  </si>
  <si>
    <t>80631403</t>
  </si>
  <si>
    <t>400655469366</t>
  </si>
  <si>
    <t>65546936</t>
  </si>
  <si>
    <t>6242936</t>
  </si>
  <si>
    <t>Juniors' SO® Smocked Cinch Front Long Sleeve Skater Dress</t>
  </si>
  <si>
    <t>Black Geo</t>
  </si>
  <si>
    <t>400655469472</t>
  </si>
  <si>
    <t>65546947</t>
  </si>
  <si>
    <t>400655469533</t>
  </si>
  <si>
    <t>65546953</t>
  </si>
  <si>
    <t>400725589284</t>
  </si>
  <si>
    <t>72558928</t>
  </si>
  <si>
    <t>6258323</t>
  </si>
  <si>
    <t>Women's FLX Quilted Vest</t>
  </si>
  <si>
    <t>400725589482</t>
  </si>
  <si>
    <t>72558948</t>
  </si>
  <si>
    <t>400725589383</t>
  </si>
  <si>
    <t>72558938</t>
  </si>
  <si>
    <t>Mneral Blk</t>
  </si>
  <si>
    <t>400805807086</t>
  </si>
  <si>
    <t>80580708</t>
  </si>
  <si>
    <t>6486830</t>
  </si>
  <si>
    <t>Plus Size FLX Balance Core Short Sleeve Top</t>
  </si>
  <si>
    <t>400805807123</t>
  </si>
  <si>
    <t>80580712</t>
  </si>
  <si>
    <t>400805807093</t>
  </si>
  <si>
    <t>80580709</t>
  </si>
  <si>
    <t>400805807130</t>
  </si>
  <si>
    <t>80580713</t>
  </si>
  <si>
    <t>400805807109</t>
  </si>
  <si>
    <t>80580710</t>
  </si>
  <si>
    <t>400805807147</t>
  </si>
  <si>
    <t>80580714</t>
  </si>
  <si>
    <t>400805807116</t>
  </si>
  <si>
    <t>80580711</t>
  </si>
  <si>
    <t>400805807154</t>
  </si>
  <si>
    <t>80580715</t>
  </si>
  <si>
    <t>Women's Grand Slam Essential Mesh Trim Tennis Tee</t>
  </si>
  <si>
    <t>713610137157</t>
  </si>
  <si>
    <t>65747720</t>
  </si>
  <si>
    <t>196139505735</t>
  </si>
  <si>
    <t>74004801</t>
  </si>
  <si>
    <t>6171205</t>
  </si>
  <si>
    <t>Baby &amp; Toddler Jumping Beans® Heavyweight Fleece Lined Snow Bib</t>
  </si>
  <si>
    <t>196139504844</t>
  </si>
  <si>
    <t>65580336</t>
  </si>
  <si>
    <t>196139505674</t>
  </si>
  <si>
    <t>80628388</t>
  </si>
  <si>
    <t>195861981503</t>
  </si>
  <si>
    <t>69190215</t>
  </si>
  <si>
    <t>6066030</t>
  </si>
  <si>
    <t>Baby &amp; Toddler Girl Carter's 2-Piece Plaid Flannel Top &amp; Leggings Set</t>
  </si>
  <si>
    <t>195861981466</t>
  </si>
  <si>
    <t>69190208</t>
  </si>
  <si>
    <t>400341054920</t>
  </si>
  <si>
    <t>34105492</t>
  </si>
  <si>
    <t>5671249</t>
  </si>
  <si>
    <t>Boys 8-20 Tek Gear® Microfleece Printed Reversible Jacket in Regular &amp; Husky</t>
  </si>
  <si>
    <t>400341054937</t>
  </si>
  <si>
    <t>34105493</t>
  </si>
  <si>
    <t>400341054944</t>
  </si>
  <si>
    <t>34105494</t>
  </si>
  <si>
    <t>Women's Levi's® Low Pro Jeans</t>
  </si>
  <si>
    <t>Happy Accident</t>
  </si>
  <si>
    <t>26(US 2)M</t>
  </si>
  <si>
    <t>27(US 4)M</t>
  </si>
  <si>
    <t>28(US 6)M</t>
  </si>
  <si>
    <t>197394265006</t>
  </si>
  <si>
    <t>33242768</t>
  </si>
  <si>
    <t>6353047</t>
  </si>
  <si>
    <t>Men's Pink Floyd &amp;#34;The Dark Side of the Moon&amp;#34; Graphic Hooded Fleece</t>
  </si>
  <si>
    <t>Pink Floyd</t>
  </si>
  <si>
    <t>197178243718</t>
  </si>
  <si>
    <t>45978173</t>
  </si>
  <si>
    <t>5714854</t>
  </si>
  <si>
    <t>Plus Size Draper James Long Sleeve Cinched Waist Dress</t>
  </si>
  <si>
    <t>Navy Polka Dot</t>
  </si>
  <si>
    <t>196526001031</t>
  </si>
  <si>
    <t>46925058</t>
  </si>
  <si>
    <t>6889950</t>
  </si>
  <si>
    <t>Women's Bal Harbour Crossover Tankini Top</t>
  </si>
  <si>
    <t>Bal Harbour</t>
  </si>
  <si>
    <t>Seeing Stripes</t>
  </si>
  <si>
    <t>Women's Tommy Hilfiger Diamond Quilt Faux-Fur Trimmed Jacket</t>
  </si>
  <si>
    <t>191900730439</t>
  </si>
  <si>
    <t>62325380</t>
  </si>
  <si>
    <t>6690026</t>
  </si>
  <si>
    <t>Women's Andrew Marc Marc New York Minna Faux-Fur Trim Puffer Jacket</t>
  </si>
  <si>
    <t>Fawn</t>
  </si>
  <si>
    <t>191900730446</t>
  </si>
  <si>
    <t>62325391</t>
  </si>
  <si>
    <t>191900730422</t>
  </si>
  <si>
    <t>50037267</t>
  </si>
  <si>
    <t>191900728436</t>
  </si>
  <si>
    <t>62325381</t>
  </si>
  <si>
    <t>191900728399</t>
  </si>
  <si>
    <t>62325392</t>
  </si>
  <si>
    <t>191900726166</t>
  </si>
  <si>
    <t>50037287</t>
  </si>
  <si>
    <t>191900726203</t>
  </si>
  <si>
    <t>50037275</t>
  </si>
  <si>
    <t>191900728382</t>
  </si>
  <si>
    <t>62325393</t>
  </si>
  <si>
    <t>191900726159</t>
  </si>
  <si>
    <t>50037295</t>
  </si>
  <si>
    <t>191900728375</t>
  </si>
  <si>
    <t>62325400</t>
  </si>
  <si>
    <t>400617553331</t>
  </si>
  <si>
    <t>61755333</t>
  </si>
  <si>
    <t>5511729</t>
  </si>
  <si>
    <t>Juniors' Plus Size SO® Side Keyhole Racerback Tank Top</t>
  </si>
  <si>
    <t>Enlighten Purple</t>
  </si>
  <si>
    <t>400617553423</t>
  </si>
  <si>
    <t>61755342</t>
  </si>
  <si>
    <t>Paradise Blue</t>
  </si>
  <si>
    <t>400617553638</t>
  </si>
  <si>
    <t>61755363</t>
  </si>
  <si>
    <t>Gushing Lava</t>
  </si>
  <si>
    <t>400617553430</t>
  </si>
  <si>
    <t>61755343</t>
  </si>
  <si>
    <t>400617553409</t>
  </si>
  <si>
    <t>61755340</t>
  </si>
  <si>
    <t>400617553614</t>
  </si>
  <si>
    <t>61755361</t>
  </si>
  <si>
    <t>Malou Green</t>
  </si>
  <si>
    <t>400617553829</t>
  </si>
  <si>
    <t>61755382</t>
  </si>
  <si>
    <t>Luminous Yellow</t>
  </si>
  <si>
    <t>400617553706</t>
  </si>
  <si>
    <t>61755370</t>
  </si>
  <si>
    <t>Upbounders Birthday Balloons 48-Piece Puzzle</t>
  </si>
  <si>
    <t>Upbounders</t>
  </si>
  <si>
    <t>887863794198</t>
  </si>
  <si>
    <t>65072681</t>
  </si>
  <si>
    <t>6353579</t>
  </si>
  <si>
    <t>Girls 7-16 Knit Works Sweater Cardigan</t>
  </si>
  <si>
    <t>887863794075</t>
  </si>
  <si>
    <t>65072672</t>
  </si>
  <si>
    <t>887863794204</t>
  </si>
  <si>
    <t>65072682</t>
  </si>
  <si>
    <t>887863794082</t>
  </si>
  <si>
    <t>65072678</t>
  </si>
  <si>
    <t>887863794211</t>
  </si>
  <si>
    <t>65072688</t>
  </si>
  <si>
    <t>887863794099</t>
  </si>
  <si>
    <t>65072679</t>
  </si>
  <si>
    <t>194654997677</t>
  </si>
  <si>
    <t>61085500</t>
  </si>
  <si>
    <t>5566834</t>
  </si>
  <si>
    <t>Carter's Nicko Toddler Dino Foot Slippers</t>
  </si>
  <si>
    <t>X-SMALL</t>
  </si>
  <si>
    <t>194654997455</t>
  </si>
  <si>
    <t>61085510</t>
  </si>
  <si>
    <t>194654997943</t>
  </si>
  <si>
    <t>61085520</t>
  </si>
  <si>
    <t>194654997646</t>
  </si>
  <si>
    <t>61085530</t>
  </si>
  <si>
    <t>194654997653</t>
  </si>
  <si>
    <t>61085540</t>
  </si>
  <si>
    <t>X-LARGE</t>
  </si>
  <si>
    <t>196407941517</t>
  </si>
  <si>
    <t>61360792</t>
  </si>
  <si>
    <t>6029970</t>
  </si>
  <si>
    <t>Men's IZOD Marled Crewneck Sweater</t>
  </si>
  <si>
    <t>Harbor Mist</t>
  </si>
  <si>
    <t>196407941364</t>
  </si>
  <si>
    <t>61360770</t>
  </si>
  <si>
    <t>Silver Birch</t>
  </si>
  <si>
    <t>196407941500</t>
  </si>
  <si>
    <t>61360791</t>
  </si>
  <si>
    <t>196407941357</t>
  </si>
  <si>
    <t>61360763</t>
  </si>
  <si>
    <t>196407941340</t>
  </si>
  <si>
    <t>61360762</t>
  </si>
  <si>
    <t>197206103847</t>
  </si>
  <si>
    <t>78208943</t>
  </si>
  <si>
    <t>Vanilla Ice Stripe</t>
  </si>
  <si>
    <t>196407941524</t>
  </si>
  <si>
    <t>61360793</t>
  </si>
  <si>
    <t>196407941371</t>
  </si>
  <si>
    <t>61360771</t>
  </si>
  <si>
    <t>197206103878</t>
  </si>
  <si>
    <t>78208944</t>
  </si>
  <si>
    <t>196407941388</t>
  </si>
  <si>
    <t>61360772</t>
  </si>
  <si>
    <t>197206103885</t>
  </si>
  <si>
    <t>78208945</t>
  </si>
  <si>
    <t>400768569359</t>
  </si>
  <si>
    <t>76856935</t>
  </si>
  <si>
    <t>6491101</t>
  </si>
  <si>
    <t>Plus Size LC Lauren Conrad High-Cuff Crewneck Top</t>
  </si>
  <si>
    <t>400768569366</t>
  </si>
  <si>
    <t>76856936</t>
  </si>
  <si>
    <t>400747123558</t>
  </si>
  <si>
    <t>74712355</t>
  </si>
  <si>
    <t>Light Fudge Heather</t>
  </si>
  <si>
    <t>400768569304</t>
  </si>
  <si>
    <t>76856930</t>
  </si>
  <si>
    <t>400495986467</t>
  </si>
  <si>
    <t>49598646</t>
  </si>
  <si>
    <t>6120826</t>
  </si>
  <si>
    <t>Maternity Sonoma Goods For Life® Nursing Jumpsuit</t>
  </si>
  <si>
    <t>197868373084</t>
  </si>
  <si>
    <t>79865279</t>
  </si>
  <si>
    <t>6794715</t>
  </si>
  <si>
    <t>American Original</t>
  </si>
  <si>
    <t>716838394395</t>
  </si>
  <si>
    <t>79791634</t>
  </si>
  <si>
    <t>6860653</t>
  </si>
  <si>
    <t>Forever 14K 14k Gold Two Tone Small Oval Hoop Earrings</t>
  </si>
  <si>
    <t>Women's Levi's® Faux-Leather Short Puffer Jacket</t>
  </si>
  <si>
    <t>196407942538</t>
  </si>
  <si>
    <t>73546966</t>
  </si>
  <si>
    <t>6718975</t>
  </si>
  <si>
    <t>Men's IZOD Marled Button-Mock Sweater</t>
  </si>
  <si>
    <t>196407943238</t>
  </si>
  <si>
    <t>73546984</t>
  </si>
  <si>
    <t>Iron Gate</t>
  </si>
  <si>
    <t>196407942682</t>
  </si>
  <si>
    <t>73546975</t>
  </si>
  <si>
    <t>196407943283</t>
  </si>
  <si>
    <t>73546993</t>
  </si>
  <si>
    <t>Vanillaice</t>
  </si>
  <si>
    <t>196407943276</t>
  </si>
  <si>
    <t>73546988</t>
  </si>
  <si>
    <t>196407943221</t>
  </si>
  <si>
    <t>73546983</t>
  </si>
  <si>
    <t>196407942675</t>
  </si>
  <si>
    <t>73546974</t>
  </si>
  <si>
    <t>Women's Skechers® GOWALK™ GOFLEX™ High-Waisted Leggings</t>
  </si>
  <si>
    <t>3X LARGE</t>
  </si>
  <si>
    <t>197026444458</t>
  </si>
  <si>
    <t>66548056</t>
  </si>
  <si>
    <t>6348173</t>
  </si>
  <si>
    <t>Baby &amp; Toddler Girl Jumping Beans® Paw Patrol Mighty Pups Sparkle Graphic Tee</t>
  </si>
  <si>
    <t>Raspberry Escape</t>
  </si>
  <si>
    <t>196139551510</t>
  </si>
  <si>
    <t>55879208</t>
  </si>
  <si>
    <t>6195152</t>
  </si>
  <si>
    <t>Baby Boy Carter's Heavyweight Parka</t>
  </si>
  <si>
    <t>196139551480</t>
  </si>
  <si>
    <t>55879198</t>
  </si>
  <si>
    <t>196139551497</t>
  </si>
  <si>
    <t>55879199</t>
  </si>
  <si>
    <t>196900047952</t>
  </si>
  <si>
    <t>69046416</t>
  </si>
  <si>
    <t>6308005</t>
  </si>
  <si>
    <t>Baby &amp; Toddler Girl Bonnie Jean Seersucker Pinafore Dress</t>
  </si>
  <si>
    <t>196900047976</t>
  </si>
  <si>
    <t>69046418</t>
  </si>
  <si>
    <t>601350012783</t>
  </si>
  <si>
    <t>46555652</t>
  </si>
  <si>
    <t>6527526</t>
  </si>
  <si>
    <t>Girls 7-16 Speechless High Neck Tulle Dress</t>
  </si>
  <si>
    <t>729367729286</t>
  </si>
  <si>
    <t>85537788</t>
  </si>
  <si>
    <t>6861664</t>
  </si>
  <si>
    <t>Sterling Silver 1/10 Carat T.W. Diamond Heart Band Ring</t>
  </si>
  <si>
    <t>887863840574</t>
  </si>
  <si>
    <t>83290649</t>
  </si>
  <si>
    <t>6394484</t>
  </si>
  <si>
    <t>Girls 7-16 IZ Byer 2-Piece Sweater &amp; Knit Plaid Pants</t>
  </si>
  <si>
    <t>887863840581</t>
  </si>
  <si>
    <t>83290650</t>
  </si>
  <si>
    <t>887863840598</t>
  </si>
  <si>
    <t>83290651</t>
  </si>
  <si>
    <t>400720942114</t>
  </si>
  <si>
    <t>72094211</t>
  </si>
  <si>
    <t>6477851</t>
  </si>
  <si>
    <t>Women's Sonoma Goods For Life® Crewneck Sweater Vest</t>
  </si>
  <si>
    <t>400378419105</t>
  </si>
  <si>
    <t>37841910</t>
  </si>
  <si>
    <t>7081147</t>
  </si>
  <si>
    <t>Baby &amp; Toddler Girl Jumping Beans® Double Layer Tutu Skirt</t>
  </si>
  <si>
    <t>400378419013</t>
  </si>
  <si>
    <t>37841901</t>
  </si>
  <si>
    <t>400378419112</t>
  </si>
  <si>
    <t>37841911</t>
  </si>
  <si>
    <t>886440740030</t>
  </si>
  <si>
    <t>65633503</t>
  </si>
  <si>
    <t>7081252</t>
  </si>
  <si>
    <t>Kitty City Reflective Cat Collar</t>
  </si>
  <si>
    <t>195862084692</t>
  </si>
  <si>
    <t>29162237</t>
  </si>
  <si>
    <t>6200600</t>
  </si>
  <si>
    <t>Baby Girl Carter's 2-Piece Fair Isle Fleece Pullover &amp; Leggings Set</t>
  </si>
  <si>
    <t>Dark Pink</t>
  </si>
  <si>
    <t>195862084654</t>
  </si>
  <si>
    <t>29162229</t>
  </si>
  <si>
    <t>195862084661</t>
  </si>
  <si>
    <t>29162230</t>
  </si>
  <si>
    <t>195862084678</t>
  </si>
  <si>
    <t>29162231</t>
  </si>
  <si>
    <t>195862084623</t>
  </si>
  <si>
    <t>29162221</t>
  </si>
  <si>
    <t>195566700829</t>
  </si>
  <si>
    <t>83481847</t>
  </si>
  <si>
    <t>5809064</t>
  </si>
  <si>
    <t>Men's Jack Harlow Graphic Tee</t>
  </si>
  <si>
    <t>195566700836</t>
  </si>
  <si>
    <t>83481848</t>
  </si>
  <si>
    <t>196385011646</t>
  </si>
  <si>
    <t>64089312</t>
  </si>
  <si>
    <t>5503011</t>
  </si>
  <si>
    <t>Juniors' Plus Size Ninety-Nine° Cutout Bralette Swim Top</t>
  </si>
  <si>
    <t>196385011653</t>
  </si>
  <si>
    <t>64089313</t>
  </si>
  <si>
    <t>196385011660</t>
  </si>
  <si>
    <t>64089320</t>
  </si>
  <si>
    <t>196385006031</t>
  </si>
  <si>
    <t>81860920</t>
  </si>
  <si>
    <t>5508367</t>
  </si>
  <si>
    <t>Women's Freshwater Metallic Bralette Swim Top</t>
  </si>
  <si>
    <t>Shine Blk</t>
  </si>
  <si>
    <t>196385006055</t>
  </si>
  <si>
    <t>81860922</t>
  </si>
  <si>
    <t>196385006062</t>
  </si>
  <si>
    <t>81860928</t>
  </si>
  <si>
    <t>196385006079</t>
  </si>
  <si>
    <t>81860929</t>
  </si>
  <si>
    <t>196385016290</t>
  </si>
  <si>
    <t>29410547</t>
  </si>
  <si>
    <t>Shine Mala</t>
  </si>
  <si>
    <t>196385006086</t>
  </si>
  <si>
    <t>81860930</t>
  </si>
  <si>
    <t>196385016306</t>
  </si>
  <si>
    <t>29410548</t>
  </si>
  <si>
    <t>400733744873</t>
  </si>
  <si>
    <t>73374487</t>
  </si>
  <si>
    <t>6481932</t>
  </si>
  <si>
    <t>Girls ​6-20 SO® Oversized Graphic Sweatshirt</t>
  </si>
  <si>
    <t>Aqua Flowers</t>
  </si>
  <si>
    <t>400832376128</t>
  </si>
  <si>
    <t>83237612</t>
  </si>
  <si>
    <t>Purple Smile Daisy</t>
  </si>
  <si>
    <t>400618868526</t>
  </si>
  <si>
    <t>61886852</t>
  </si>
  <si>
    <t>5234069</t>
  </si>
  <si>
    <t>Juniors' SO® Seamless Short Sleeve Bodysuit</t>
  </si>
  <si>
    <t>400618868533</t>
  </si>
  <si>
    <t>61886853</t>
  </si>
  <si>
    <t>Juniors' Unionbay Jordana Belted Cargo Pants</t>
  </si>
  <si>
    <t>400664327008</t>
  </si>
  <si>
    <t>66432700</t>
  </si>
  <si>
    <t>7029952</t>
  </si>
  <si>
    <t>400664327015</t>
  </si>
  <si>
    <t>66432701</t>
  </si>
  <si>
    <t>400664327022</t>
  </si>
  <si>
    <t>66432702</t>
  </si>
  <si>
    <t>628735700486</t>
  </si>
  <si>
    <t>61429319</t>
  </si>
  <si>
    <t>5511355</t>
  </si>
  <si>
    <t>Men's Apt. 9® Premier Flex Slim-Fit Shirt Suit Jacket</t>
  </si>
  <si>
    <t>Black Shirt Jacket</t>
  </si>
  <si>
    <t>628735622559</t>
  </si>
  <si>
    <t>38723934</t>
  </si>
  <si>
    <t>Light Gray Windowpane</t>
  </si>
  <si>
    <t>628735622566</t>
  </si>
  <si>
    <t>38723935</t>
  </si>
  <si>
    <t>628735622573</t>
  </si>
  <si>
    <t>38723936</t>
  </si>
  <si>
    <t>628735622580</t>
  </si>
  <si>
    <t>38723937</t>
  </si>
  <si>
    <t>628735622597</t>
  </si>
  <si>
    <t>38723944</t>
  </si>
  <si>
    <t>840202371511</t>
  </si>
  <si>
    <t>29616108</t>
  </si>
  <si>
    <t>5269373</t>
  </si>
  <si>
    <t>Juniors' Ninety-Nine Degrees° Ruffle Bandeau Swim Top</t>
  </si>
  <si>
    <t>840202371528</t>
  </si>
  <si>
    <t>29616109</t>
  </si>
  <si>
    <t>840202371535</t>
  </si>
  <si>
    <t>29616110</t>
  </si>
  <si>
    <t>840202371542</t>
  </si>
  <si>
    <t>29616111</t>
  </si>
  <si>
    <t>840202371559</t>
  </si>
  <si>
    <t>29616112</t>
  </si>
  <si>
    <t>840202371566</t>
  </si>
  <si>
    <t>29616113</t>
  </si>
  <si>
    <t>400732001298</t>
  </si>
  <si>
    <t>73200129</t>
  </si>
  <si>
    <t>6131541</t>
  </si>
  <si>
    <t>Girls 6-20 SO® Midrise Flare Seamed Detail Jeans in Regular &amp; Plus Size</t>
  </si>
  <si>
    <t>196884037581</t>
  </si>
  <si>
    <t>80725114</t>
  </si>
  <si>
    <t>6890037</t>
  </si>
  <si>
    <t>Women's Under Armour Train Seamless Leggings</t>
  </si>
  <si>
    <t>193916921726</t>
  </si>
  <si>
    <t>58192221</t>
  </si>
  <si>
    <t>6684834</t>
  </si>
  <si>
    <t>Baby Girl Little Lass Puffer Vest, Tee &amp; Floral Leggings Set</t>
  </si>
  <si>
    <t>688018456585</t>
  </si>
  <si>
    <t>51570105</t>
  </si>
  <si>
    <t>6861673</t>
  </si>
  <si>
    <t>Two-Tone Freshwater Cultured Pearl &amp; White Topaz Swirly Pendant Necklace</t>
  </si>
  <si>
    <t>Two Tone</t>
  </si>
  <si>
    <t>195861540595</t>
  </si>
  <si>
    <t>34208437</t>
  </si>
  <si>
    <t>5670317</t>
  </si>
  <si>
    <t>Baby Girl Carter's Reindeer Top &amp; Leggings Set</t>
  </si>
  <si>
    <t>195861540557</t>
  </si>
  <si>
    <t>34208438</t>
  </si>
  <si>
    <t>195861540564</t>
  </si>
  <si>
    <t>34208439</t>
  </si>
  <si>
    <t>195861540571</t>
  </si>
  <si>
    <t>34208440</t>
  </si>
  <si>
    <t>400747478450</t>
  </si>
  <si>
    <t>74747845</t>
  </si>
  <si>
    <t>6509668</t>
  </si>
  <si>
    <t>400747478467</t>
  </si>
  <si>
    <t>74747846</t>
  </si>
  <si>
    <t>400747478474</t>
  </si>
  <si>
    <t>74747847</t>
  </si>
  <si>
    <t>400747478498</t>
  </si>
  <si>
    <t>74747849</t>
  </si>
  <si>
    <t>400747478504</t>
  </si>
  <si>
    <t>74747850</t>
  </si>
  <si>
    <t>400690167975</t>
  </si>
  <si>
    <t>69016797</t>
  </si>
  <si>
    <t>6304590</t>
  </si>
  <si>
    <t>Jammies For Your Families Cookie Crew Women's Slippers</t>
  </si>
  <si>
    <t>400690168057</t>
  </si>
  <si>
    <t>69016805</t>
  </si>
  <si>
    <t>400690168064</t>
  </si>
  <si>
    <t>69016806</t>
  </si>
  <si>
    <t>194869395176</t>
  </si>
  <si>
    <t>55887131</t>
  </si>
  <si>
    <t>6317526</t>
  </si>
  <si>
    <t>Men's Crewneck Santa's Christmas Cow Holiday Sweater</t>
  </si>
  <si>
    <t>194869395183</t>
  </si>
  <si>
    <t>55887141</t>
  </si>
  <si>
    <t>194869395190</t>
  </si>
  <si>
    <t>55887151</t>
  </si>
  <si>
    <t>655209396777</t>
  </si>
  <si>
    <t>65132730</t>
  </si>
  <si>
    <t>6351420</t>
  </si>
  <si>
    <t>Girls SO® Ombre Pompom Beanie &amp; Gloves Set</t>
  </si>
  <si>
    <t>Mint Ombre</t>
  </si>
  <si>
    <t>4-6X</t>
  </si>
  <si>
    <t>655209396807</t>
  </si>
  <si>
    <t>65132737</t>
  </si>
  <si>
    <t>648</t>
  </si>
  <si>
    <t>Lavender Ombre</t>
  </si>
  <si>
    <t>7-16</t>
  </si>
  <si>
    <t>655209396784</t>
  </si>
  <si>
    <t>65132731</t>
  </si>
  <si>
    <t>193769966967</t>
  </si>
  <si>
    <t>59201699</t>
  </si>
  <si>
    <t>5803125</t>
  </si>
  <si>
    <t>Juniors' WallFlower Lace Tee &amp; Velour Dress Set</t>
  </si>
  <si>
    <t>Ivory Black</t>
  </si>
  <si>
    <t>193769966929</t>
  </si>
  <si>
    <t>78071568</t>
  </si>
  <si>
    <t>Black White Striped</t>
  </si>
  <si>
    <t>193769966950</t>
  </si>
  <si>
    <t>59201700</t>
  </si>
  <si>
    <t>193769966912</t>
  </si>
  <si>
    <t>78071569</t>
  </si>
  <si>
    <t>193769966981</t>
  </si>
  <si>
    <t>59201701</t>
  </si>
  <si>
    <t>193769966943</t>
  </si>
  <si>
    <t>78071570</t>
  </si>
  <si>
    <t>843401069913</t>
  </si>
  <si>
    <t>38160532</t>
  </si>
  <si>
    <t>6674467</t>
  </si>
  <si>
    <t>Alder Creek Gift Baskets Easter Sweets N' Treats Gift Pail</t>
  </si>
  <si>
    <t>Women's Andrew Marc Marc New York Quilted Side Vent Jacket</t>
  </si>
  <si>
    <t>196139553149</t>
  </si>
  <si>
    <t>83483986</t>
  </si>
  <si>
    <t>6318755</t>
  </si>
  <si>
    <t>Carter's Toddler 2-Piece Snowsuit</t>
  </si>
  <si>
    <t>Pink Tie Dye</t>
  </si>
  <si>
    <t>196139553286</t>
  </si>
  <si>
    <t>83483979</t>
  </si>
  <si>
    <t>Navy Rainbow</t>
  </si>
  <si>
    <t>196139553071</t>
  </si>
  <si>
    <t>80411238</t>
  </si>
  <si>
    <t>Purple Colorblock</t>
  </si>
  <si>
    <t>What Do You Meme? They're a 10 But… Game</t>
  </si>
  <si>
    <t>What Do You Meme?</t>
  </si>
  <si>
    <t>No Color</t>
  </si>
  <si>
    <t>400196970291</t>
  </si>
  <si>
    <t>19697029</t>
  </si>
  <si>
    <t>5589895</t>
  </si>
  <si>
    <t>Girls 6-20 SO® Favorite Midrise Leggings in Regular &amp; Plus Size</t>
  </si>
  <si>
    <t>Pumpkins</t>
  </si>
  <si>
    <t>400196970161</t>
  </si>
  <si>
    <t>19697016</t>
  </si>
  <si>
    <t>Black Witch</t>
  </si>
  <si>
    <t>195861918707</t>
  </si>
  <si>
    <t>44206895</t>
  </si>
  <si>
    <t>5975628</t>
  </si>
  <si>
    <t>Girls Carter's Halloween Tutu Jersey Dress</t>
  </si>
  <si>
    <t>Black Striped</t>
  </si>
  <si>
    <t>195861918660</t>
  </si>
  <si>
    <t>44206896</t>
  </si>
  <si>
    <t>Columbia Youth Powderbug Plus II Toddler Waterproof Snow Boots</t>
  </si>
  <si>
    <t>Black Graphite</t>
  </si>
  <si>
    <t>716825552944</t>
  </si>
  <si>
    <t>19535093</t>
  </si>
  <si>
    <t>6858438</t>
  </si>
  <si>
    <t>18K Yellow Gold Plated Blue and White Cubic Zirconia Bracelet</t>
  </si>
  <si>
    <t>729367109545</t>
  </si>
  <si>
    <t>72556908</t>
  </si>
  <si>
    <t>6861679</t>
  </si>
  <si>
    <t>14k Gold Star Drop Hoop Earrings</t>
  </si>
  <si>
    <t>027657955378</t>
  </si>
  <si>
    <t>80351845</t>
  </si>
  <si>
    <t>6861608</t>
  </si>
  <si>
    <t>14k Yellow Gold Cubic Zirconium Hoop Earrings</t>
  </si>
  <si>
    <t>716838266906</t>
  </si>
  <si>
    <t>33843078</t>
  </si>
  <si>
    <t>2476089</t>
  </si>
  <si>
    <t>Taylor Grace 10k Gold Cubic Zirconia Stud Earring Set</t>
  </si>
  <si>
    <t>400818920246</t>
  </si>
  <si>
    <t>81892024</t>
  </si>
  <si>
    <t>7029904</t>
  </si>
  <si>
    <t>Black Wild Snake</t>
  </si>
  <si>
    <t>197178371138</t>
  </si>
  <si>
    <t>44208309</t>
  </si>
  <si>
    <t>6525773</t>
  </si>
  <si>
    <t>Juniors' Plus Size SO® High-Rise Tie Waist Paperbag Pants</t>
  </si>
  <si>
    <t>197178371145</t>
  </si>
  <si>
    <t>44208310</t>
  </si>
  <si>
    <t>197178371121</t>
  </si>
  <si>
    <t>44208311</t>
  </si>
  <si>
    <t>195861883043</t>
  </si>
  <si>
    <t>80811613</t>
  </si>
  <si>
    <t>5979152</t>
  </si>
  <si>
    <t>Baby Girl Carter's 2-Piece Halloween Top &amp; Legging Set</t>
  </si>
  <si>
    <t>Orange Halloween</t>
  </si>
  <si>
    <t>Boys 8-20 Nike Printed Futura Tee</t>
  </si>
  <si>
    <t>047556377156</t>
  </si>
  <si>
    <t>66548206</t>
  </si>
  <si>
    <t>6351598</t>
  </si>
  <si>
    <t>Girls Cuddl Duds® Plushfill 2-Pack Ankle Lined Slipper Socks with Gripper Bottom</t>
  </si>
  <si>
    <t>Fox</t>
  </si>
  <si>
    <t>047556377019</t>
  </si>
  <si>
    <t>66548207</t>
  </si>
  <si>
    <t>M-L</t>
  </si>
  <si>
    <t>Baby Carter's My First St. Patrick's Day Bodysuit</t>
  </si>
  <si>
    <t>400866877110</t>
  </si>
  <si>
    <t>86687711</t>
  </si>
  <si>
    <t>6304571</t>
  </si>
  <si>
    <t>Jammies For Your Families Family Bears Men's Slippers</t>
  </si>
  <si>
    <t>400866877127</t>
  </si>
  <si>
    <t>86687712</t>
  </si>
  <si>
    <t>400866877134</t>
  </si>
  <si>
    <t>86687713</t>
  </si>
  <si>
    <t>400459942713</t>
  </si>
  <si>
    <t>45994271</t>
  </si>
  <si>
    <t>6301105</t>
  </si>
  <si>
    <t>Maternity Tek Gear® Ultrastretch High Rise Capri Leggings</t>
  </si>
  <si>
    <t>400550776651</t>
  </si>
  <si>
    <t>55077665</t>
  </si>
  <si>
    <t>400459942720</t>
  </si>
  <si>
    <t>45994272</t>
  </si>
  <si>
    <t>400550776668</t>
  </si>
  <si>
    <t>55077666</t>
  </si>
  <si>
    <t>400183203012</t>
  </si>
  <si>
    <t>18320301</t>
  </si>
  <si>
    <t>400550776729</t>
  </si>
  <si>
    <t>55077672</t>
  </si>
  <si>
    <t>400550776736</t>
  </si>
  <si>
    <t>55077673</t>
  </si>
  <si>
    <t>400183203036</t>
  </si>
  <si>
    <t>18320303</t>
  </si>
  <si>
    <t>043475089002</t>
  </si>
  <si>
    <t>77097183</t>
  </si>
  <si>
    <t>5685542</t>
  </si>
  <si>
    <t>Girls 4-12 Jacques Moret Dance Cami Rhinestone Skirtall</t>
  </si>
  <si>
    <t>888435722908</t>
  </si>
  <si>
    <t>37826969</t>
  </si>
  <si>
    <t>6132279</t>
  </si>
  <si>
    <t>Boys 8-20 PUMA Game On Pack AOP Fashion Tee</t>
  </si>
  <si>
    <t>888435722892</t>
  </si>
  <si>
    <t>37826970</t>
  </si>
  <si>
    <t>888435722885</t>
  </si>
  <si>
    <t>37826971</t>
  </si>
  <si>
    <t>888435722915</t>
  </si>
  <si>
    <t>37826972</t>
  </si>
  <si>
    <t>196194914497</t>
  </si>
  <si>
    <t>61411171</t>
  </si>
  <si>
    <t>6889908</t>
  </si>
  <si>
    <t>Men's Cuddl Duds® Essentials Pajama Top</t>
  </si>
  <si>
    <t>196194914503</t>
  </si>
  <si>
    <t>61411172</t>
  </si>
  <si>
    <t>196194914510</t>
  </si>
  <si>
    <t>61411173</t>
  </si>
  <si>
    <t>196194914527</t>
  </si>
  <si>
    <t>61411178</t>
  </si>
  <si>
    <t>637677669669</t>
  </si>
  <si>
    <t>72076785</t>
  </si>
  <si>
    <t>6438330</t>
  </si>
  <si>
    <t>Girls 7-16 Self Esteem Long Sleeve Raglan Fit &amp; Flare Dress</t>
  </si>
  <si>
    <t>637677669676</t>
  </si>
  <si>
    <t>72076786</t>
  </si>
  <si>
    <t>637677669638</t>
  </si>
  <si>
    <t>72422563</t>
  </si>
  <si>
    <t>637677669683</t>
  </si>
  <si>
    <t>72076787</t>
  </si>
  <si>
    <t>Plus Size Lee® Flex-To-Go Bermuda Cargo Shorts</t>
  </si>
  <si>
    <t>24W AV/REG</t>
  </si>
  <si>
    <t>714147531616</t>
  </si>
  <si>
    <t>63505257</t>
  </si>
  <si>
    <t>1148</t>
  </si>
  <si>
    <t>6176614</t>
  </si>
  <si>
    <t>Disney's Mickey Mouse &amp; Minnie Mouse Big &amp; Tall Top &amp; Bottoms Pajama Set by Jammies For Your Families®</t>
  </si>
  <si>
    <t>714147531623</t>
  </si>
  <si>
    <t>63505258</t>
  </si>
  <si>
    <t>714147531562</t>
  </si>
  <si>
    <t>63505265</t>
  </si>
  <si>
    <t>714147531586</t>
  </si>
  <si>
    <t>63505266</t>
  </si>
  <si>
    <t>714147531593</t>
  </si>
  <si>
    <t>63505264</t>
  </si>
  <si>
    <t>716838394135</t>
  </si>
  <si>
    <t>47929760</t>
  </si>
  <si>
    <t>6859569</t>
  </si>
  <si>
    <t>Taylor Grace 10K Gold Diamond-Cut Teardrop Pendant Necklace</t>
  </si>
  <si>
    <t>Sterling Silver Medallion Pendant Necklace</t>
  </si>
  <si>
    <t>729367766298</t>
  </si>
  <si>
    <t>58583089</t>
  </si>
  <si>
    <t>6861667</t>
  </si>
  <si>
    <t>Two-Tone 1/10 Carat T.W. Diamond Heart Paperclip Chain Pendant Necklace</t>
  </si>
  <si>
    <t>716838394258</t>
  </si>
  <si>
    <t>68894963</t>
  </si>
  <si>
    <t>6859532</t>
  </si>
  <si>
    <t>Taylor Grace 10k Yellow Gold Circle Drop Earrings</t>
  </si>
  <si>
    <t>716838394234</t>
  </si>
  <si>
    <t>67363196</t>
  </si>
  <si>
    <t>6859530</t>
  </si>
  <si>
    <t>Taylor Grace 10K Gold Heart Drop Earrings</t>
  </si>
  <si>
    <t>400333587733</t>
  </si>
  <si>
    <t>33358773</t>
  </si>
  <si>
    <t>6494288</t>
  </si>
  <si>
    <t>Petite LC Lauren Conrad Long Sleeve Ruched Front V-Neck Top</t>
  </si>
  <si>
    <t>400333587740</t>
  </si>
  <si>
    <t>33358774</t>
  </si>
  <si>
    <t>400715334702</t>
  </si>
  <si>
    <t>71533470</t>
  </si>
  <si>
    <t>400622809218</t>
  </si>
  <si>
    <t>62280921</t>
  </si>
  <si>
    <t>400333587788</t>
  </si>
  <si>
    <t>33358778</t>
  </si>
  <si>
    <t>400715334719</t>
  </si>
  <si>
    <t>71533471</t>
  </si>
  <si>
    <t>400622809225</t>
  </si>
  <si>
    <t>62280922</t>
  </si>
  <si>
    <t>400333587795</t>
  </si>
  <si>
    <t>33358779</t>
  </si>
  <si>
    <t>400622809232</t>
  </si>
  <si>
    <t>62280923</t>
  </si>
  <si>
    <t>400715334726</t>
  </si>
  <si>
    <t>71533472</t>
  </si>
  <si>
    <t>Girls 7-16 Levi's® Waffle Notch V-Neck Tee</t>
  </si>
  <si>
    <t>196327198114</t>
  </si>
  <si>
    <t>80638452</t>
  </si>
  <si>
    <t>196327198121</t>
  </si>
  <si>
    <t>80638453</t>
  </si>
  <si>
    <t>196327198138</t>
  </si>
  <si>
    <t>80638454</t>
  </si>
  <si>
    <t>Men's Levi's® 527™ Stretch Slim Bootcut Jeans</t>
  </si>
  <si>
    <t>Feelin Right</t>
  </si>
  <si>
    <t>197178179628</t>
  </si>
  <si>
    <t>70386979</t>
  </si>
  <si>
    <t>6287827</t>
  </si>
  <si>
    <t>Juniors' SO® Oversized Turtleneck Sweater</t>
  </si>
  <si>
    <t>197178116661</t>
  </si>
  <si>
    <t>70386961</t>
  </si>
  <si>
    <t>197178116753</t>
  </si>
  <si>
    <t>70386968</t>
  </si>
  <si>
    <t>197178179611</t>
  </si>
  <si>
    <t>70386980</t>
  </si>
  <si>
    <t>197178116678</t>
  </si>
  <si>
    <t>70386962</t>
  </si>
  <si>
    <t>197178116685</t>
  </si>
  <si>
    <t>70386963</t>
  </si>
  <si>
    <t>195862015948</t>
  </si>
  <si>
    <t>19684251</t>
  </si>
  <si>
    <t>6074481</t>
  </si>
  <si>
    <t>Baby Girl Carter's Cable Knit Sweater Dress</t>
  </si>
  <si>
    <t>Red Sweater Solid</t>
  </si>
  <si>
    <t>195862015917</t>
  </si>
  <si>
    <t>19684249</t>
  </si>
  <si>
    <t>195862015900</t>
  </si>
  <si>
    <t>19684248</t>
  </si>
  <si>
    <t>195862015924</t>
  </si>
  <si>
    <t>19684250</t>
  </si>
  <si>
    <t>195157069304</t>
  </si>
  <si>
    <t>46931738</t>
  </si>
  <si>
    <t>6482583</t>
  </si>
  <si>
    <t>Plus Size Simply Vera Vera Wang Mixed Rib Pullover</t>
  </si>
  <si>
    <t>Light Gray Fox</t>
  </si>
  <si>
    <t>195157069359</t>
  </si>
  <si>
    <t>46931743</t>
  </si>
  <si>
    <t>195157069410</t>
  </si>
  <si>
    <t>46931749</t>
  </si>
  <si>
    <t>Avalone Green Heather</t>
  </si>
  <si>
    <t>195157069366</t>
  </si>
  <si>
    <t>46931744</t>
  </si>
  <si>
    <t>195157069311</t>
  </si>
  <si>
    <t>46931739</t>
  </si>
  <si>
    <t>Under Armour Blitzing 3-Pack Scrunchie</t>
  </si>
  <si>
    <t>Taupe Lime White</t>
  </si>
  <si>
    <t>196407948653</t>
  </si>
  <si>
    <t>55593200</t>
  </si>
  <si>
    <t>6035245</t>
  </si>
  <si>
    <t>Men's IZOD Advantage Fleece Crewneck Sweater</t>
  </si>
  <si>
    <t>196407948646</t>
  </si>
  <si>
    <t>55593207</t>
  </si>
  <si>
    <t>196407931891</t>
  </si>
  <si>
    <t>55703297</t>
  </si>
  <si>
    <t>Camel Heather Stripe</t>
  </si>
  <si>
    <t>196407932225</t>
  </si>
  <si>
    <t>55593180</t>
  </si>
  <si>
    <t>Biking Red Stripe</t>
  </si>
  <si>
    <t>196407931853</t>
  </si>
  <si>
    <t>55703276</t>
  </si>
  <si>
    <t>Carbon Stripe</t>
  </si>
  <si>
    <t>197206034134</t>
  </si>
  <si>
    <t>55703309</t>
  </si>
  <si>
    <t>Narcissus Stripe</t>
  </si>
  <si>
    <t>196407931907</t>
  </si>
  <si>
    <t>55703298</t>
  </si>
  <si>
    <t>196407932232</t>
  </si>
  <si>
    <t>55593187</t>
  </si>
  <si>
    <t>400649474024</t>
  </si>
  <si>
    <t>64947402</t>
  </si>
  <si>
    <t>6433021</t>
  </si>
  <si>
    <t>Women's Simply Vera Vera Wang Mixed Rib Long Sleeve Cozy Top</t>
  </si>
  <si>
    <t>400748453098</t>
  </si>
  <si>
    <t>74845309</t>
  </si>
  <si>
    <t>400748453159</t>
  </si>
  <si>
    <t>74845315</t>
  </si>
  <si>
    <t>716825599437</t>
  </si>
  <si>
    <t>52514591</t>
  </si>
  <si>
    <t>6860888</t>
  </si>
  <si>
    <t>14k Rose Gold Over Sterling Silver Lab-Created Pink &amp; White Sapphire Bracelet</t>
  </si>
  <si>
    <t>Rose Tone</t>
  </si>
  <si>
    <t>196407521825</t>
  </si>
  <si>
    <t>54779029</t>
  </si>
  <si>
    <t>5919476</t>
  </si>
  <si>
    <t>Big &amp; Tall IZOD Advantage Button-Down Shirt</t>
  </si>
  <si>
    <t>196407521894</t>
  </si>
  <si>
    <t>39381453</t>
  </si>
  <si>
    <t>196407522075</t>
  </si>
  <si>
    <t>81954112</t>
  </si>
  <si>
    <t>Red Blue</t>
  </si>
  <si>
    <t>196407521764</t>
  </si>
  <si>
    <t>54779017</t>
  </si>
  <si>
    <t>Yellow Blue</t>
  </si>
  <si>
    <t>196407520545</t>
  </si>
  <si>
    <t>39381363</t>
  </si>
  <si>
    <t>195862015801</t>
  </si>
  <si>
    <t>28209562</t>
  </si>
  <si>
    <t>6074469</t>
  </si>
  <si>
    <t>Baby Girl Carter's 3-Piece Bubble Bodysuit, Tights &amp; Headwrap Set</t>
  </si>
  <si>
    <t>195862015818</t>
  </si>
  <si>
    <t>28209563</t>
  </si>
  <si>
    <t>400785026828</t>
  </si>
  <si>
    <t>78502682</t>
  </si>
  <si>
    <t>6251747</t>
  </si>
  <si>
    <t>Baby &amp; Toddler Girl Little Co. by Lauren Conrad Organic Plaid Dress</t>
  </si>
  <si>
    <t>Folk Plaid Navy</t>
  </si>
  <si>
    <t>400785027061</t>
  </si>
  <si>
    <t>78502706</t>
  </si>
  <si>
    <t>Nice Day Plaid Red</t>
  </si>
  <si>
    <t>400785026941</t>
  </si>
  <si>
    <t>78502694</t>
  </si>
  <si>
    <t>Home Plaid Berry</t>
  </si>
  <si>
    <t>400785026958</t>
  </si>
  <si>
    <t>78502695</t>
  </si>
  <si>
    <t>400785026965</t>
  </si>
  <si>
    <t>78502696</t>
  </si>
  <si>
    <t>400785027108</t>
  </si>
  <si>
    <t>78502710</t>
  </si>
  <si>
    <t>400785026972</t>
  </si>
  <si>
    <t>78502697</t>
  </si>
  <si>
    <t>195365509265</t>
  </si>
  <si>
    <t>73517946</t>
  </si>
  <si>
    <t>6110762</t>
  </si>
  <si>
    <t>Women's ZeroXposur Lisbon Flannel Shirt</t>
  </si>
  <si>
    <t>195365509272</t>
  </si>
  <si>
    <t>73517947</t>
  </si>
  <si>
    <t>195142177953</t>
  </si>
  <si>
    <t>64832127</t>
  </si>
  <si>
    <t>6206340</t>
  </si>
  <si>
    <t>Naruto Boys' Clog Slippers</t>
  </si>
  <si>
    <t>Gray Orange</t>
  </si>
  <si>
    <t>195142177960</t>
  </si>
  <si>
    <t>64832137</t>
  </si>
  <si>
    <t>195142177977</t>
  </si>
  <si>
    <t>64832147</t>
  </si>
  <si>
    <t>195142177984</t>
  </si>
  <si>
    <t>64832157</t>
  </si>
  <si>
    <t>195142177991</t>
  </si>
  <si>
    <t>64832167</t>
  </si>
  <si>
    <t>Baby Girl Carter's 2-Piece &amp;#34;Much Love&amp;#34; Valentine's Day Top &amp; Tutu Pants Set</t>
  </si>
  <si>
    <t>195862128631</t>
  </si>
  <si>
    <t>78316033</t>
  </si>
  <si>
    <t>Girls 7-16 adidas Printed Boxy Tee</t>
  </si>
  <si>
    <t>White Purple</t>
  </si>
  <si>
    <t>400735181546</t>
  </si>
  <si>
    <t>73518154</t>
  </si>
  <si>
    <t>6508183</t>
  </si>
  <si>
    <t>Kids 4-12 Little Co. by Lauren Conrad Organic Cargo Pants</t>
  </si>
  <si>
    <t>400735181447</t>
  </si>
  <si>
    <t>73518144</t>
  </si>
  <si>
    <t>400735181553</t>
  </si>
  <si>
    <t>73518155</t>
  </si>
  <si>
    <t>400735181454</t>
  </si>
  <si>
    <t>73518145</t>
  </si>
  <si>
    <t>400735181560</t>
  </si>
  <si>
    <t>73518156</t>
  </si>
  <si>
    <t>085142860262</t>
  </si>
  <si>
    <t>56029171</t>
  </si>
  <si>
    <t>6150179</t>
  </si>
  <si>
    <t>Women's Grand Slam Colorblock Sleeveless Golf Dress</t>
  </si>
  <si>
    <t>Purple Orchid</t>
  </si>
  <si>
    <t>085142860279</t>
  </si>
  <si>
    <t>56029177</t>
  </si>
  <si>
    <t>085142860286</t>
  </si>
  <si>
    <t>56029178</t>
  </si>
  <si>
    <t>085142860293</t>
  </si>
  <si>
    <t>56029179</t>
  </si>
  <si>
    <t>085142860309</t>
  </si>
  <si>
    <t>56029181</t>
  </si>
  <si>
    <t>197369287019</t>
  </si>
  <si>
    <t>61252444</t>
  </si>
  <si>
    <t>6258166</t>
  </si>
  <si>
    <t>madden girl Misses Girls' MJORDAN Fashion Stretch Boots</t>
  </si>
  <si>
    <t>197369286920</t>
  </si>
  <si>
    <t>61252445</t>
  </si>
  <si>
    <t>197369286937</t>
  </si>
  <si>
    <t>61252446</t>
  </si>
  <si>
    <t>197369286944</t>
  </si>
  <si>
    <t>61252447</t>
  </si>
  <si>
    <t>197369286951</t>
  </si>
  <si>
    <t>61252448</t>
  </si>
  <si>
    <t>197369286968</t>
  </si>
  <si>
    <t>61252449</t>
  </si>
  <si>
    <t>197178465875</t>
  </si>
  <si>
    <t>50215919</t>
  </si>
  <si>
    <t>6622252</t>
  </si>
  <si>
    <t>Juniors' Plus Size SO® Clipdot Puff Sleeve Button Front Dress</t>
  </si>
  <si>
    <t>197178465868</t>
  </si>
  <si>
    <t>50215920</t>
  </si>
  <si>
    <t>197178465851</t>
  </si>
  <si>
    <t>50215921</t>
  </si>
  <si>
    <t>400500495342</t>
  </si>
  <si>
    <t>50049534</t>
  </si>
  <si>
    <t>6305672</t>
  </si>
  <si>
    <t>Maternity Sonoma Goods For Life® Fitted Midi Skirt</t>
  </si>
  <si>
    <t>400500495380</t>
  </si>
  <si>
    <t>50049538</t>
  </si>
  <si>
    <t>400500495397</t>
  </si>
  <si>
    <t>50049539</t>
  </si>
  <si>
    <t>400500495403</t>
  </si>
  <si>
    <t>50049540</t>
  </si>
  <si>
    <t>400500495410</t>
  </si>
  <si>
    <t>50049541</t>
  </si>
  <si>
    <t>400500495427</t>
  </si>
  <si>
    <t>50049542</t>
  </si>
  <si>
    <t>780593324141</t>
  </si>
  <si>
    <t>70108124</t>
  </si>
  <si>
    <t>5812615</t>
  </si>
  <si>
    <t>Penguin Random House Just Try One Bite Hardcover Book</t>
  </si>
  <si>
    <t>196474564169</t>
  </si>
  <si>
    <t>86800031</t>
  </si>
  <si>
    <t>6438343</t>
  </si>
  <si>
    <t>Women's adidas Essentials Linear French Terry Sweatshirt</t>
  </si>
  <si>
    <t>400650869673</t>
  </si>
  <si>
    <t>65086967</t>
  </si>
  <si>
    <t>6116155</t>
  </si>
  <si>
    <t>Baby &amp; Toddler Little Co. by Lauren Conrad Jogger Pants</t>
  </si>
  <si>
    <t>400650869826</t>
  </si>
  <si>
    <t>65086982</t>
  </si>
  <si>
    <t>Saddle Brown</t>
  </si>
  <si>
    <t>400782361786</t>
  </si>
  <si>
    <t>78236178</t>
  </si>
  <si>
    <t>400782362035</t>
  </si>
  <si>
    <t>78236203</t>
  </si>
  <si>
    <t>400650870075</t>
  </si>
  <si>
    <t>65087007</t>
  </si>
  <si>
    <t>Washed Red</t>
  </si>
  <si>
    <t>400782361830</t>
  </si>
  <si>
    <t>78236183</t>
  </si>
  <si>
    <t>889260805965</t>
  </si>
  <si>
    <t>33898511</t>
  </si>
  <si>
    <t>4563667</t>
  </si>
  <si>
    <t>889260947146</t>
  </si>
  <si>
    <t>72645693</t>
  </si>
  <si>
    <t>889260805897</t>
  </si>
  <si>
    <t>46127357</t>
  </si>
  <si>
    <t>197026363384</t>
  </si>
  <si>
    <t>30125888</t>
  </si>
  <si>
    <t>6241814</t>
  </si>
  <si>
    <t>Baby &amp; Toddler Girl Jumping Beans® Paw Patrol Smiling Sky Graphic Tee</t>
  </si>
  <si>
    <t>Htr Gray</t>
  </si>
  <si>
    <t>030698069287</t>
  </si>
  <si>
    <t>30241235</t>
  </si>
  <si>
    <t>7081420</t>
  </si>
  <si>
    <t>Connect Shock-Resistant Case with Camera Protector for iPhone 14 Pro Max</t>
  </si>
  <si>
    <t>196139555129</t>
  </si>
  <si>
    <t>63090841</t>
  </si>
  <si>
    <t>6195141</t>
  </si>
  <si>
    <t>Baby Boy Carter's 2-piece Printed Snowsuit</t>
  </si>
  <si>
    <t>196139555242</t>
  </si>
  <si>
    <t>69920076</t>
  </si>
  <si>
    <t>195862084487</t>
  </si>
  <si>
    <t>65426784</t>
  </si>
  <si>
    <t>6200591</t>
  </si>
  <si>
    <t>Baby Girl Carter's 2-Piece Gray Tulle Peplum Top &amp; Pants Set</t>
  </si>
  <si>
    <t>195862084449</t>
  </si>
  <si>
    <t>65426776</t>
  </si>
  <si>
    <t>195862084456</t>
  </si>
  <si>
    <t>65426777</t>
  </si>
  <si>
    <t>195862084463</t>
  </si>
  <si>
    <t>65426783</t>
  </si>
  <si>
    <t>195365518830</t>
  </si>
  <si>
    <t>78235736</t>
  </si>
  <si>
    <t>6110776</t>
  </si>
  <si>
    <t>Women's ZeroXposur London Jersey Long Sleeve Shirt</t>
  </si>
  <si>
    <t>195365518755</t>
  </si>
  <si>
    <t>78235746</t>
  </si>
  <si>
    <t>195365518847</t>
  </si>
  <si>
    <t>78235738</t>
  </si>
  <si>
    <t>195365518762</t>
  </si>
  <si>
    <t>78235748</t>
  </si>
  <si>
    <t>840000632418</t>
  </si>
  <si>
    <t>71615873</t>
  </si>
  <si>
    <t>6962666</t>
  </si>
  <si>
    <t>14k Rose Gold Over Sterling Silver Purple Cubic Zirconia Pendant Necklace</t>
  </si>
  <si>
    <t>196385016887</t>
  </si>
  <si>
    <t>55677853</t>
  </si>
  <si>
    <t>5611967</t>
  </si>
  <si>
    <t>Juniors' Ninety-Nine Degrees° V-Front Cheeky Swim Bottoms</t>
  </si>
  <si>
    <t>196385016894</t>
  </si>
  <si>
    <t>55677854</t>
  </si>
  <si>
    <t>196385016900</t>
  </si>
  <si>
    <t>55677855</t>
  </si>
  <si>
    <t>196062920995</t>
  </si>
  <si>
    <t>28862380</t>
  </si>
  <si>
    <t>6244163</t>
  </si>
  <si>
    <t>Girls 7-16 Champion® Tank Top Dress</t>
  </si>
  <si>
    <t>Red Stone</t>
  </si>
  <si>
    <t>400299410946</t>
  </si>
  <si>
    <t>29941094</t>
  </si>
  <si>
    <t>5627807</t>
  </si>
  <si>
    <t>Girls 4-16 Jammies For Your Families® Christmas Morning Fairisle Top &amp; Fleece Bottoms Pajama Set</t>
  </si>
  <si>
    <t>Navy Fairisle</t>
  </si>
  <si>
    <t>887863647074</t>
  </si>
  <si>
    <t>78410177</t>
  </si>
  <si>
    <t>6137489</t>
  </si>
  <si>
    <t>Girls 7-16 Knit Works Shirred Top &amp; Plaid Pleated Skirt Set</t>
  </si>
  <si>
    <t>196884269685</t>
  </si>
  <si>
    <t>79243962</t>
  </si>
  <si>
    <t>Under Armour Insulated Adjustable Bucket Hat</t>
  </si>
  <si>
    <t>196884269661</t>
  </si>
  <si>
    <t>79243960</t>
  </si>
  <si>
    <t>400710264042</t>
  </si>
  <si>
    <t>71026404</t>
  </si>
  <si>
    <t>5675827</t>
  </si>
  <si>
    <t>Girls 4-12 Jumping Beans® Marvel Avengers Allover Print Longline Hoodie &amp; Leggings Set</t>
  </si>
  <si>
    <t>400710264059</t>
  </si>
  <si>
    <t>71026405</t>
  </si>
  <si>
    <t>400767718062</t>
  </si>
  <si>
    <t>76771806</t>
  </si>
  <si>
    <t>7081925</t>
  </si>
  <si>
    <t>Girls 6-20 SO® Adaptive Seated Comfort Bike Shorts in Regular &amp; Plus</t>
  </si>
  <si>
    <t>196385016313</t>
  </si>
  <si>
    <t>55262049</t>
  </si>
  <si>
    <t>5611953</t>
  </si>
  <si>
    <t>Juniors' Ninety-Nine Degrees° V-Neck Bralette Swim Top</t>
  </si>
  <si>
    <t>Dolly Pink</t>
  </si>
  <si>
    <t>196385016320</t>
  </si>
  <si>
    <t>55262050</t>
  </si>
  <si>
    <t>196385016351</t>
  </si>
  <si>
    <t>55262059</t>
  </si>
  <si>
    <t>196385016368</t>
  </si>
  <si>
    <t>55262060</t>
  </si>
  <si>
    <t>400556943095</t>
  </si>
  <si>
    <t>55694309</t>
  </si>
  <si>
    <t>6167803</t>
  </si>
  <si>
    <t>Girls 4-16 Jammies For Your Families® Merry &amp; Bright Tree Top &amp; Bottom Pajama Set in Regular &amp; Plus</t>
  </si>
  <si>
    <t>400657483292</t>
  </si>
  <si>
    <t>65748329</t>
  </si>
  <si>
    <t>400549373052</t>
  </si>
  <si>
    <t>54937305</t>
  </si>
  <si>
    <t>6110808</t>
  </si>
  <si>
    <t>Petite Croft &amp; Barrow® The Extra Soft V-Neck Sweater</t>
  </si>
  <si>
    <t>400549373069</t>
  </si>
  <si>
    <t>54937306</t>
  </si>
  <si>
    <t>400768810857</t>
  </si>
  <si>
    <t>76881085</t>
  </si>
  <si>
    <t>400549373243</t>
  </si>
  <si>
    <t>54937324</t>
  </si>
  <si>
    <t>400549373182</t>
  </si>
  <si>
    <t>54937318</t>
  </si>
  <si>
    <t>400549373120</t>
  </si>
  <si>
    <t>54937312</t>
  </si>
  <si>
    <t>197026801398</t>
  </si>
  <si>
    <t>55535627</t>
  </si>
  <si>
    <t>6612742</t>
  </si>
  <si>
    <t>Disney's Wish Baby &amp; Toddler Girl &amp;#34;Shine On&amp;#34; Long Sleeve Graphic Tee by Jumping Beans®</t>
  </si>
  <si>
    <t>400735782149</t>
  </si>
  <si>
    <t>73578214</t>
  </si>
  <si>
    <t>6130340</t>
  </si>
  <si>
    <t>Baby &amp; Toddler Girl Jumping Beans® Adaptive Pull-On Jeggings</t>
  </si>
  <si>
    <t>400735782156</t>
  </si>
  <si>
    <t>73578215</t>
  </si>
  <si>
    <t>196067391202</t>
  </si>
  <si>
    <t>69087994</t>
  </si>
  <si>
    <t>6107297</t>
  </si>
  <si>
    <t>Girls 7-16 Gaiam Om Flared Leggings</t>
  </si>
  <si>
    <t>196067391219</t>
  </si>
  <si>
    <t>69087995</t>
  </si>
  <si>
    <t>Juniors' WallFlower Insta Soft™ Ultra Skinny Jeans</t>
  </si>
  <si>
    <t>195862084852</t>
  </si>
  <si>
    <t>58244472</t>
  </si>
  <si>
    <t>6200595</t>
  </si>
  <si>
    <t>Baby Girl Carter's 2-Piece Blue Plaid Top &amp; Pants Set</t>
  </si>
  <si>
    <t>195862084814</t>
  </si>
  <si>
    <t>58244464</t>
  </si>
  <si>
    <t>195862084821</t>
  </si>
  <si>
    <t>58244465</t>
  </si>
  <si>
    <t>195862084838</t>
  </si>
  <si>
    <t>58244471</t>
  </si>
  <si>
    <t>195862084784</t>
  </si>
  <si>
    <t>58244461</t>
  </si>
  <si>
    <t>195861980674</t>
  </si>
  <si>
    <t>47667845</t>
  </si>
  <si>
    <t>6060199</t>
  </si>
  <si>
    <t>Baby Girl Carter's 2-Piece Fuzzy Pullover &amp; Floral Legging Set</t>
  </si>
  <si>
    <t>195861980636</t>
  </si>
  <si>
    <t>47667836</t>
  </si>
  <si>
    <t>195861980643</t>
  </si>
  <si>
    <t>47667837</t>
  </si>
  <si>
    <t>195861980650</t>
  </si>
  <si>
    <t>47667844</t>
  </si>
  <si>
    <t>716838354733</t>
  </si>
  <si>
    <t>28281595</t>
  </si>
  <si>
    <t>4635277</t>
  </si>
  <si>
    <t>Forever 14K Yellow Gold Endless Hoop Earrings</t>
  </si>
  <si>
    <t>609475922451</t>
  </si>
  <si>
    <t>58294634</t>
  </si>
  <si>
    <t>7090265</t>
  </si>
  <si>
    <t>Juniors' SO® High-Rise Jegging</t>
  </si>
  <si>
    <t>0 SHORT</t>
  </si>
  <si>
    <t>609475922468</t>
  </si>
  <si>
    <t>58294635</t>
  </si>
  <si>
    <t>1 SHORT</t>
  </si>
  <si>
    <t>609475922475</t>
  </si>
  <si>
    <t>58294641</t>
  </si>
  <si>
    <t>3 SHORT</t>
  </si>
  <si>
    <t>400786531192</t>
  </si>
  <si>
    <t>78653119</t>
  </si>
  <si>
    <t>6114214</t>
  </si>
  <si>
    <t>Girls SO® Lace Trim Texture Tank Top in Regular &amp; Plus</t>
  </si>
  <si>
    <t>Pine</t>
  </si>
  <si>
    <t>400459676052</t>
  </si>
  <si>
    <t>45967605</t>
  </si>
  <si>
    <t>400181479143</t>
  </si>
  <si>
    <t>18147914</t>
  </si>
  <si>
    <t>6473216</t>
  </si>
  <si>
    <t>Maternity Sonoma Goods For Life® Over-The-Belly Wide Leg Pants</t>
  </si>
  <si>
    <t>400181479150</t>
  </si>
  <si>
    <t>18147915</t>
  </si>
  <si>
    <t>400181479167</t>
  </si>
  <si>
    <t>18147916</t>
  </si>
  <si>
    <t>400288356637</t>
  </si>
  <si>
    <t>28835663</t>
  </si>
  <si>
    <t>Sandanopy</t>
  </si>
  <si>
    <t>400181479174</t>
  </si>
  <si>
    <t>18147917</t>
  </si>
  <si>
    <t>400288356644</t>
  </si>
  <si>
    <t>28835664</t>
  </si>
  <si>
    <t>400181479181</t>
  </si>
  <si>
    <t>18147918</t>
  </si>
  <si>
    <t>400288356675</t>
  </si>
  <si>
    <t>28835667</t>
  </si>
  <si>
    <t>400181479198</t>
  </si>
  <si>
    <t>18147919</t>
  </si>
  <si>
    <t>081715994358</t>
  </si>
  <si>
    <t>79203522</t>
  </si>
  <si>
    <t>6255738</t>
  </si>
  <si>
    <t>Boys Star Wars Hat &amp; Gloves Set</t>
  </si>
  <si>
    <t>400281481411</t>
  </si>
  <si>
    <t>28148141</t>
  </si>
  <si>
    <t>6125776</t>
  </si>
  <si>
    <t>Women's LC Lauren Conrad Curvy Super High Rise Flare Jeans</t>
  </si>
  <si>
    <t>Amelia</t>
  </si>
  <si>
    <t>400303748546</t>
  </si>
  <si>
    <t>30374854</t>
  </si>
  <si>
    <t>Pierre</t>
  </si>
  <si>
    <t>Baby Carter's St. Patrick's Day Jumpsuit</t>
  </si>
  <si>
    <t>887863829845</t>
  </si>
  <si>
    <t>69150065</t>
  </si>
  <si>
    <t>6353574</t>
  </si>
  <si>
    <t>Girls 7-16 Knit Works Faux Fur Bomber Jacket &amp; Printed Tiered Dress in Regular &amp; Plus Size</t>
  </si>
  <si>
    <t>887863829852</t>
  </si>
  <si>
    <t>69150066</t>
  </si>
  <si>
    <t>716838394142</t>
  </si>
  <si>
    <t>67828617</t>
  </si>
  <si>
    <t>6859572</t>
  </si>
  <si>
    <t>Taylor Grace 10K Gold Elephant Disc Pendant Necklace</t>
  </si>
  <si>
    <t>193506103235</t>
  </si>
  <si>
    <t>51527897</t>
  </si>
  <si>
    <t>6860564</t>
  </si>
  <si>
    <t>14k Gold Over Sterling Silver Cubic Zirconia Baguette Heart Pendant Necklace</t>
  </si>
  <si>
    <t>027657957402</t>
  </si>
  <si>
    <t>46016203</t>
  </si>
  <si>
    <t>6861682</t>
  </si>
  <si>
    <t>14k White Gold Curb Chain Tiny Cross Pendant Necklace</t>
  </si>
  <si>
    <t>14k White Gold</t>
  </si>
  <si>
    <t>197026363728</t>
  </si>
  <si>
    <t>28259028</t>
  </si>
  <si>
    <t>6241808</t>
  </si>
  <si>
    <t>Girls 4-12 Jumping Beans That Girl Lay Lay Short Sleeve Tee</t>
  </si>
  <si>
    <t>197026363735</t>
  </si>
  <si>
    <t>28259029</t>
  </si>
  <si>
    <t>197026363742</t>
  </si>
  <si>
    <t>28259031</t>
  </si>
  <si>
    <t>197026363759</t>
  </si>
  <si>
    <t>28259032</t>
  </si>
  <si>
    <t>197026363766</t>
  </si>
  <si>
    <t>28259033</t>
  </si>
  <si>
    <t>197026363780</t>
  </si>
  <si>
    <t>28259034</t>
  </si>
  <si>
    <t>197026363797</t>
  </si>
  <si>
    <t>28259035</t>
  </si>
  <si>
    <t>889602746529</t>
  </si>
  <si>
    <t>75364218</t>
  </si>
  <si>
    <t>6121590</t>
  </si>
  <si>
    <t>Plus Size Croft &amp; Barrow® Fairisle Pullover Sweater</t>
  </si>
  <si>
    <t>Camel Fairisle</t>
  </si>
  <si>
    <t>889602746536</t>
  </si>
  <si>
    <t>75364223</t>
  </si>
  <si>
    <t>889602746543</t>
  </si>
  <si>
    <t>75364224</t>
  </si>
  <si>
    <t>889602746550</t>
  </si>
  <si>
    <t>75364225</t>
  </si>
  <si>
    <t>889602746673</t>
  </si>
  <si>
    <t>75364236</t>
  </si>
  <si>
    <t>Gray Fairisle</t>
  </si>
  <si>
    <t>825664202467</t>
  </si>
  <si>
    <t>76995910</t>
  </si>
  <si>
    <t>5666394</t>
  </si>
  <si>
    <t>Girls 7-16 Hurley Lurex Sherpa Shacket</t>
  </si>
  <si>
    <t>825664202474</t>
  </si>
  <si>
    <t>76995911</t>
  </si>
  <si>
    <t>825664202481</t>
  </si>
  <si>
    <t>76995912</t>
  </si>
  <si>
    <t>765803973356</t>
  </si>
  <si>
    <t>29493824</t>
  </si>
  <si>
    <t>5804941</t>
  </si>
  <si>
    <t>Boys 7-20 Sonoma Goods For Life® Flexwear Taper Denim Jeans in Regular &amp; Husky</t>
  </si>
  <si>
    <t>765803973035</t>
  </si>
  <si>
    <t>37296948</t>
  </si>
  <si>
    <t>Med Bleach</t>
  </si>
  <si>
    <t>765803973059</t>
  </si>
  <si>
    <t>75565143</t>
  </si>
  <si>
    <t>765803973370</t>
  </si>
  <si>
    <t>71556845</t>
  </si>
  <si>
    <t>840202372174</t>
  </si>
  <si>
    <t>29854909</t>
  </si>
  <si>
    <t>6264425</t>
  </si>
  <si>
    <t>Juniors' Ninety-Nine° Banded Hipster Swim Bottoms</t>
  </si>
  <si>
    <t>Mini Cheetah Splash</t>
  </si>
  <si>
    <t>196385013015</t>
  </si>
  <si>
    <t>61710610</t>
  </si>
  <si>
    <t>Blue Allover Star Prin</t>
  </si>
  <si>
    <t>196385013138</t>
  </si>
  <si>
    <t>75586508</t>
  </si>
  <si>
    <t>Red All Over Star Prin</t>
  </si>
  <si>
    <t>196385013145</t>
  </si>
  <si>
    <t>75586509</t>
  </si>
  <si>
    <t>196385013039</t>
  </si>
  <si>
    <t>61710630</t>
  </si>
  <si>
    <t>196385013152</t>
  </si>
  <si>
    <t>75586510</t>
  </si>
  <si>
    <t>196385013169</t>
  </si>
  <si>
    <t>75586511</t>
  </si>
  <si>
    <t>196385013046</t>
  </si>
  <si>
    <t>61710640</t>
  </si>
  <si>
    <t>840202367804</t>
  </si>
  <si>
    <t>75366888</t>
  </si>
  <si>
    <t>Neon Melon Floral</t>
  </si>
  <si>
    <t>196385013176</t>
  </si>
  <si>
    <t>75586512</t>
  </si>
  <si>
    <t>840202367811</t>
  </si>
  <si>
    <t>75366893</t>
  </si>
  <si>
    <t>196385013183</t>
  </si>
  <si>
    <t>75586513</t>
  </si>
  <si>
    <t>840202367767</t>
  </si>
  <si>
    <t>75366883</t>
  </si>
  <si>
    <t>Lilac Shine Rib</t>
  </si>
  <si>
    <t>840202367828</t>
  </si>
  <si>
    <t>75366894</t>
  </si>
  <si>
    <t>840202372228</t>
  </si>
  <si>
    <t>29854914</t>
  </si>
  <si>
    <t>400634165272</t>
  </si>
  <si>
    <t>63416527</t>
  </si>
  <si>
    <t>6165914</t>
  </si>
  <si>
    <t>Big &amp; Tall Jammies For Your Families® Buffalo Plaid Top &amp; Bottom Pajama Set</t>
  </si>
  <si>
    <t>Black Buffalo</t>
  </si>
  <si>
    <t>400634165289</t>
  </si>
  <si>
    <t>63416528</t>
  </si>
  <si>
    <t>400634165265</t>
  </si>
  <si>
    <t>63416526</t>
  </si>
  <si>
    <t>400701281591</t>
  </si>
  <si>
    <t>70128159</t>
  </si>
  <si>
    <t>6330579</t>
  </si>
  <si>
    <t>Plus Size LC Lauren Conrad Motorcycle Jacket</t>
  </si>
  <si>
    <t>400701281607</t>
  </si>
  <si>
    <t>70128160</t>
  </si>
  <si>
    <t>400701281614</t>
  </si>
  <si>
    <t>70128161</t>
  </si>
  <si>
    <t>400701281621</t>
  </si>
  <si>
    <t>70128162</t>
  </si>
  <si>
    <t>400291289151</t>
  </si>
  <si>
    <t>29128915</t>
  </si>
  <si>
    <t>5677751</t>
  </si>
  <si>
    <t>Sonoma Goods For Life® Florida Feather Fill Throw Pillow</t>
  </si>
  <si>
    <t>Florida</t>
  </si>
  <si>
    <t>400478568475</t>
  </si>
  <si>
    <t>47856847</t>
  </si>
  <si>
    <t>7029905</t>
  </si>
  <si>
    <t>Maternity Sonoma Goods For Life® Long Sleeve Squareneck Dress</t>
  </si>
  <si>
    <t>400478568543</t>
  </si>
  <si>
    <t>47856854</t>
  </si>
  <si>
    <t>400478568550</t>
  </si>
  <si>
    <t>47856855</t>
  </si>
  <si>
    <t>400478568567</t>
  </si>
  <si>
    <t>47856856</t>
  </si>
  <si>
    <t>400478568574</t>
  </si>
  <si>
    <t>47856857</t>
  </si>
  <si>
    <t>400478568642</t>
  </si>
  <si>
    <t>47856864</t>
  </si>
  <si>
    <t>Men's Columbia Tipton Peak Insulated Jacket</t>
  </si>
  <si>
    <t>195861511786</t>
  </si>
  <si>
    <t>58754871</t>
  </si>
  <si>
    <t>5576553</t>
  </si>
  <si>
    <t>Girls 4-14 Carter's Fleece One-Piece Footed Pajamas</t>
  </si>
  <si>
    <t>400792894601</t>
  </si>
  <si>
    <t>79289460</t>
  </si>
  <si>
    <t>7081160</t>
  </si>
  <si>
    <t>Kids 4-12 Little Co. by Lauren Conrad Organic Graphic Tee</t>
  </si>
  <si>
    <t>400792894618</t>
  </si>
  <si>
    <t>79289461</t>
  </si>
  <si>
    <t>400792894625</t>
  </si>
  <si>
    <t>79289462</t>
  </si>
  <si>
    <t>197178077443</t>
  </si>
  <si>
    <t>78653390</t>
  </si>
  <si>
    <t>6118816</t>
  </si>
  <si>
    <t>Boys 4-7 Sonoma Community™ Hispanic Heritage Month Short Sleeve Button Down Top</t>
  </si>
  <si>
    <t>197178077450</t>
  </si>
  <si>
    <t>78653391</t>
  </si>
  <si>
    <t>197178077436</t>
  </si>
  <si>
    <t>78653392</t>
  </si>
  <si>
    <t>197178077429</t>
  </si>
  <si>
    <t>78653393</t>
  </si>
  <si>
    <t>Men's Under Armour Rival Fleece Pants- Size S</t>
  </si>
  <si>
    <t>195862112159</t>
  </si>
  <si>
    <t>28190852</t>
  </si>
  <si>
    <t>6185576</t>
  </si>
  <si>
    <t>Baby Carter's 2-Piece St. Patrick's Day Top &amp; Pant Set</t>
  </si>
  <si>
    <t>195862112128</t>
  </si>
  <si>
    <t>28190854</t>
  </si>
  <si>
    <t>195862112111</t>
  </si>
  <si>
    <t>28190853</t>
  </si>
  <si>
    <t>195862112135</t>
  </si>
  <si>
    <t>28190855</t>
  </si>
  <si>
    <t>Boys 4-10 Sonic the Hedgehog Robe</t>
  </si>
  <si>
    <t>008889316014</t>
  </si>
  <si>
    <t>44166226</t>
  </si>
  <si>
    <t>6207236</t>
  </si>
  <si>
    <t>Koolaburra by UGG Gus Knit Pet Sweater</t>
  </si>
  <si>
    <t>008889316021</t>
  </si>
  <si>
    <t>79167421</t>
  </si>
  <si>
    <t>716838394159</t>
  </si>
  <si>
    <t>71804791</t>
  </si>
  <si>
    <t>6859578</t>
  </si>
  <si>
    <t>Taylor Grace 10K Gold Cubic Zirconia Round Bezel Necklace</t>
  </si>
  <si>
    <t>840000632395</t>
  </si>
  <si>
    <t>52514810</t>
  </si>
  <si>
    <t>6962663</t>
  </si>
  <si>
    <t>Sterling Silver Multi-Color Cubic Zirconia Adjustable Bracelet</t>
  </si>
  <si>
    <t>195861977339</t>
  </si>
  <si>
    <t>81888676</t>
  </si>
  <si>
    <t>6062067</t>
  </si>
  <si>
    <t>Boys 4-14 Carter's Fair Isle Fleece Footie Pajamas</t>
  </si>
  <si>
    <t>Green Fairaisle Print</t>
  </si>
  <si>
    <t>195861977346</t>
  </si>
  <si>
    <t>81888677</t>
  </si>
  <si>
    <t>195861977322</t>
  </si>
  <si>
    <t>81888695</t>
  </si>
  <si>
    <t>193506104874</t>
  </si>
  <si>
    <t>71739236</t>
  </si>
  <si>
    <t>6880607</t>
  </si>
  <si>
    <t>14k Gold Ribbed Hoop Clasp Earrings</t>
  </si>
  <si>
    <t>Boys Carter's 2-Piece Motorcycle Pajama Set</t>
  </si>
  <si>
    <t>Rust Plaid</t>
  </si>
  <si>
    <t>840132321778</t>
  </si>
  <si>
    <t>46697351</t>
  </si>
  <si>
    <t>5555183</t>
  </si>
  <si>
    <t>Men's Caliville Cotton Stretch Full-Zip Hoodie</t>
  </si>
  <si>
    <t>Army</t>
  </si>
  <si>
    <t>840132321785</t>
  </si>
  <si>
    <t>46697352</t>
  </si>
  <si>
    <t>Kid’s Fireside by Dearfoams Bunbury Shearling Slipper Boots</t>
  </si>
  <si>
    <t>400650089477</t>
  </si>
  <si>
    <t>65008947</t>
  </si>
  <si>
    <t>6218143</t>
  </si>
  <si>
    <t>Plus Size Croft &amp; Barrow® Short-Sleeve Pajama Top &amp; Pajama Pant Sleep Set</t>
  </si>
  <si>
    <t>400650093078</t>
  </si>
  <si>
    <t>65009307</t>
  </si>
  <si>
    <t>400650091975</t>
  </si>
  <si>
    <t>65009197</t>
  </si>
  <si>
    <t>400650093177</t>
  </si>
  <si>
    <t>65009317</t>
  </si>
  <si>
    <t>400650093870</t>
  </si>
  <si>
    <t>65009387</t>
  </si>
  <si>
    <t>196753802111</t>
  </si>
  <si>
    <t>73592455</t>
  </si>
  <si>
    <t>6132489</t>
  </si>
  <si>
    <t>Sonoma Community™ Adult Hispanic Heritage Month Tee</t>
  </si>
  <si>
    <t>Blue Beetle Palms</t>
  </si>
  <si>
    <t>196753802128</t>
  </si>
  <si>
    <t>73592456</t>
  </si>
  <si>
    <t>197206089868</t>
  </si>
  <si>
    <t>71390490</t>
  </si>
  <si>
    <t>6718925</t>
  </si>
  <si>
    <t>Men's IZOD Fairisle Quarter-Zip Sweater</t>
  </si>
  <si>
    <t>Black Fair Isle</t>
  </si>
  <si>
    <t>196407946277</t>
  </si>
  <si>
    <t>77202110</t>
  </si>
  <si>
    <t>Vanilla Ice Fair Isle</t>
  </si>
  <si>
    <t>196407946260</t>
  </si>
  <si>
    <t>77202109</t>
  </si>
  <si>
    <t>197206089851</t>
  </si>
  <si>
    <t>71390491</t>
  </si>
  <si>
    <t>197206089882</t>
  </si>
  <si>
    <t>71390492</t>
  </si>
  <si>
    <t>196407946291</t>
  </si>
  <si>
    <t>77202112</t>
  </si>
  <si>
    <t>196407946307</t>
  </si>
  <si>
    <t>77202113</t>
  </si>
  <si>
    <t>197026852789</t>
  </si>
  <si>
    <t>80659125</t>
  </si>
  <si>
    <t>6612746</t>
  </si>
  <si>
    <t>Baby &amp; Toddler Girl Jumping Beans® Gudetama Yawn Graphic Tee</t>
  </si>
  <si>
    <t>Heather Peacoat</t>
  </si>
  <si>
    <t>197026852796</t>
  </si>
  <si>
    <t>80659126</t>
  </si>
  <si>
    <t>197026852819</t>
  </si>
  <si>
    <t>80659127</t>
  </si>
  <si>
    <t>197026852826</t>
  </si>
  <si>
    <t>80659128</t>
  </si>
  <si>
    <t>197026852833</t>
  </si>
  <si>
    <t>80659129</t>
  </si>
  <si>
    <t>197026852840</t>
  </si>
  <si>
    <t>80659130</t>
  </si>
  <si>
    <t>196385015361</t>
  </si>
  <si>
    <t>82001872</t>
  </si>
  <si>
    <t>5592163</t>
  </si>
  <si>
    <t>Women's Freshwater One-Shoulder One-Piece Swimsuit</t>
  </si>
  <si>
    <t>196385015378</t>
  </si>
  <si>
    <t>82001878</t>
  </si>
  <si>
    <t>642447708783</t>
  </si>
  <si>
    <t>55007779</t>
  </si>
  <si>
    <t>6644415</t>
  </si>
  <si>
    <t>Simply Vera Vera Wang Ball and Stone Chain Stretch Bracelet</t>
  </si>
  <si>
    <t>195861312338</t>
  </si>
  <si>
    <t>29493054</t>
  </si>
  <si>
    <t>6565867</t>
  </si>
  <si>
    <t>Baby Boy Carter's Plaid Button-Front Shirt</t>
  </si>
  <si>
    <t>195861312345</t>
  </si>
  <si>
    <t>29493055</t>
  </si>
  <si>
    <t>195861312352</t>
  </si>
  <si>
    <t>29493056</t>
  </si>
  <si>
    <t>195861312307</t>
  </si>
  <si>
    <t>29493048</t>
  </si>
  <si>
    <t>195861312314</t>
  </si>
  <si>
    <t>29493049</t>
  </si>
  <si>
    <t>810097343245</t>
  </si>
  <si>
    <t>54736769</t>
  </si>
  <si>
    <t>5582073</t>
  </si>
  <si>
    <t>Women's PSK Collective Easy Sweatshirt</t>
  </si>
  <si>
    <t>PSK Collective</t>
  </si>
  <si>
    <t>810097342880</t>
  </si>
  <si>
    <t>28365861</t>
  </si>
  <si>
    <t>Fading Rose</t>
  </si>
  <si>
    <t>810097342897</t>
  </si>
  <si>
    <t>28365859</t>
  </si>
  <si>
    <t>810097343450</t>
  </si>
  <si>
    <t>54736782</t>
  </si>
  <si>
    <t>Light Coral</t>
  </si>
  <si>
    <t>810097342910</t>
  </si>
  <si>
    <t>28365857</t>
  </si>
  <si>
    <t>810097342828</t>
  </si>
  <si>
    <t>28365867</t>
  </si>
  <si>
    <t>Jade</t>
  </si>
  <si>
    <t>810097342903</t>
  </si>
  <si>
    <t>28365858</t>
  </si>
  <si>
    <t>810097342811</t>
  </si>
  <si>
    <t>28365868</t>
  </si>
  <si>
    <t>810097342927</t>
  </si>
  <si>
    <t>28365856</t>
  </si>
  <si>
    <t>810097343467</t>
  </si>
  <si>
    <t>54736784</t>
  </si>
  <si>
    <t>810097342835</t>
  </si>
  <si>
    <t>28365866</t>
  </si>
  <si>
    <t>754509976389</t>
  </si>
  <si>
    <t>37683028</t>
  </si>
  <si>
    <t>5296937</t>
  </si>
  <si>
    <t>Women's Bal Harbour D-Cup Draped V-Neck Tankini Top</t>
  </si>
  <si>
    <t>Blossom</t>
  </si>
  <si>
    <t>195861936701</t>
  </si>
  <si>
    <t>76768559</t>
  </si>
  <si>
    <t>5988493</t>
  </si>
  <si>
    <t>Baby Boy Little Planet by Carter's 2-Piece Plaid Henley Shirt &amp; Gauze Pants Set</t>
  </si>
  <si>
    <t>195861936671</t>
  </si>
  <si>
    <t>76768561</t>
  </si>
  <si>
    <t>195861936664</t>
  </si>
  <si>
    <t>76768560</t>
  </si>
  <si>
    <t>195861936688</t>
  </si>
  <si>
    <t>76768562</t>
  </si>
  <si>
    <t>195861936633</t>
  </si>
  <si>
    <t>76768564</t>
  </si>
  <si>
    <t>195861936640</t>
  </si>
  <si>
    <t>76768569</t>
  </si>
  <si>
    <t>195861936657</t>
  </si>
  <si>
    <t>76768570</t>
  </si>
  <si>
    <t>Rachel Shoes Natilee Girls' Combat Boots</t>
  </si>
  <si>
    <t>700030296533</t>
  </si>
  <si>
    <t>54543230</t>
  </si>
  <si>
    <t>700030296557</t>
  </si>
  <si>
    <t>54543232</t>
  </si>
  <si>
    <t>400832552119</t>
  </si>
  <si>
    <t>83255211</t>
  </si>
  <si>
    <t>6496664</t>
  </si>
  <si>
    <t>Love You More</t>
  </si>
  <si>
    <t>400832552126</t>
  </si>
  <si>
    <t>83255212</t>
  </si>
  <si>
    <t>047556378184</t>
  </si>
  <si>
    <t>65118342</t>
  </si>
  <si>
    <t>6346405</t>
  </si>
  <si>
    <t>Girls Cuddl Duds® Fleece Lined Clog Slippers</t>
  </si>
  <si>
    <t>Fair Isle</t>
  </si>
  <si>
    <t>889602790225</t>
  </si>
  <si>
    <t>46949260</t>
  </si>
  <si>
    <t>6491090</t>
  </si>
  <si>
    <t>Petite LC Lauren Conrad Ruffle Shoulder Pullover</t>
  </si>
  <si>
    <t>889602790164</t>
  </si>
  <si>
    <t>20588431</t>
  </si>
  <si>
    <t>889602790171</t>
  </si>
  <si>
    <t>20588432</t>
  </si>
  <si>
    <t>889602790188</t>
  </si>
  <si>
    <t>20588433</t>
  </si>
  <si>
    <t>889602790249</t>
  </si>
  <si>
    <t>46949262</t>
  </si>
  <si>
    <t>889602790195</t>
  </si>
  <si>
    <t>20588434</t>
  </si>
  <si>
    <t>889602790256</t>
  </si>
  <si>
    <t>46949263</t>
  </si>
  <si>
    <t>889602790201</t>
  </si>
  <si>
    <t>20588435</t>
  </si>
  <si>
    <t>889602790263</t>
  </si>
  <si>
    <t>46949264</t>
  </si>
  <si>
    <t>889602790218</t>
  </si>
  <si>
    <t>20588436</t>
  </si>
  <si>
    <t>889602790270</t>
  </si>
  <si>
    <t>46949265</t>
  </si>
  <si>
    <t>Women's Andrew Marc Marc New York Split Hood Quilted Anorak Jacket</t>
  </si>
  <si>
    <t>840254774926</t>
  </si>
  <si>
    <t>82542088</t>
  </si>
  <si>
    <t>6505312</t>
  </si>
  <si>
    <t>Juniors' Indigo Rein Mid Rise Flare Leg Jeans</t>
  </si>
  <si>
    <t>Indigo Rein</t>
  </si>
  <si>
    <t>Byrds</t>
  </si>
  <si>
    <t>840254774933</t>
  </si>
  <si>
    <t>82542089</t>
  </si>
  <si>
    <t>840254774537</t>
  </si>
  <si>
    <t>71784835</t>
  </si>
  <si>
    <t>America</t>
  </si>
  <si>
    <t>840254774940</t>
  </si>
  <si>
    <t>82542090</t>
  </si>
  <si>
    <t>642447708646</t>
  </si>
  <si>
    <t>37850164</t>
  </si>
  <si>
    <t>6644436</t>
  </si>
  <si>
    <t>Simply Vera Vera Wang Crystal Star Chain Drop Earrings</t>
  </si>
  <si>
    <t>Tri Tone</t>
  </si>
  <si>
    <t>086002007179</t>
  </si>
  <si>
    <t>76239240</t>
  </si>
  <si>
    <t>6015348</t>
  </si>
  <si>
    <t>Educational Insights Blurt! National Parks Special Edition</t>
  </si>
  <si>
    <t>Educational Insights</t>
  </si>
  <si>
    <t>400478568659</t>
  </si>
  <si>
    <t>47856865</t>
  </si>
  <si>
    <t>5702356</t>
  </si>
  <si>
    <t>400478568666</t>
  </si>
  <si>
    <t>47856866</t>
  </si>
  <si>
    <t>400478568673</t>
  </si>
  <si>
    <t>47856867</t>
  </si>
  <si>
    <t>400478568741</t>
  </si>
  <si>
    <t>47856874</t>
  </si>
  <si>
    <t>400478568758</t>
  </si>
  <si>
    <t>47856875</t>
  </si>
  <si>
    <t>400478568765</t>
  </si>
  <si>
    <t>47856876</t>
  </si>
  <si>
    <t>400805694068</t>
  </si>
  <si>
    <t>80569406</t>
  </si>
  <si>
    <t>6616062</t>
  </si>
  <si>
    <t>Women's Sonoma Goods For Life® Wrap Flutter Sleeve Top</t>
  </si>
  <si>
    <t>197178274446</t>
  </si>
  <si>
    <t>20167499</t>
  </si>
  <si>
    <t>6384548</t>
  </si>
  <si>
    <t>Women's Draper James Tie Front Cardigan</t>
  </si>
  <si>
    <t>197178274408</t>
  </si>
  <si>
    <t>20167500</t>
  </si>
  <si>
    <t>190917460377</t>
  </si>
  <si>
    <t>80557531</t>
  </si>
  <si>
    <t>6311827</t>
  </si>
  <si>
    <t>Women's INTEMPO Asymmetrical Faux-Wrap Top</t>
  </si>
  <si>
    <t>Blk White Print</t>
  </si>
  <si>
    <t>190917460315</t>
  </si>
  <si>
    <t>80557525</t>
  </si>
  <si>
    <t>190917460254</t>
  </si>
  <si>
    <t>80557519</t>
  </si>
  <si>
    <t>190917460384</t>
  </si>
  <si>
    <t>80557532</t>
  </si>
  <si>
    <t>190917460391</t>
  </si>
  <si>
    <t>80557533</t>
  </si>
  <si>
    <t>190917460278</t>
  </si>
  <si>
    <t>80557521</t>
  </si>
  <si>
    <t>196194574523</t>
  </si>
  <si>
    <t>61970011</t>
  </si>
  <si>
    <t>5608738</t>
  </si>
  <si>
    <t>Big &amp; Tall Cuddl Duds® Cozy Lodge Notch Collar 2-Piece Pajama Set</t>
  </si>
  <si>
    <t>196194574455</t>
  </si>
  <si>
    <t>61970033</t>
  </si>
  <si>
    <t>Black Novelty</t>
  </si>
  <si>
    <t>196194574554</t>
  </si>
  <si>
    <t>61970022</t>
  </si>
  <si>
    <t>Red Check</t>
  </si>
  <si>
    <t>196194574738</t>
  </si>
  <si>
    <t>61970048</t>
  </si>
  <si>
    <t>Grey Heather Plaid</t>
  </si>
  <si>
    <t>196194574684</t>
  </si>
  <si>
    <t>61970031</t>
  </si>
  <si>
    <t>196194574646</t>
  </si>
  <si>
    <t>61970053</t>
  </si>
  <si>
    <t>196194574509</t>
  </si>
  <si>
    <t>61970009</t>
  </si>
  <si>
    <t>196194574608</t>
  </si>
  <si>
    <t>61970020</t>
  </si>
  <si>
    <t>196194574530</t>
  </si>
  <si>
    <t>61970012</t>
  </si>
  <si>
    <t>196194574462</t>
  </si>
  <si>
    <t>61970038</t>
  </si>
  <si>
    <t>196194574561</t>
  </si>
  <si>
    <t>61970023</t>
  </si>
  <si>
    <t>196194574516</t>
  </si>
  <si>
    <t>61970010</t>
  </si>
  <si>
    <t>196194574691</t>
  </si>
  <si>
    <t>61970032</t>
  </si>
  <si>
    <t>196194574653</t>
  </si>
  <si>
    <t>61970058</t>
  </si>
  <si>
    <t>196194574615</t>
  </si>
  <si>
    <t>61970021</t>
  </si>
  <si>
    <t>196194574790</t>
  </si>
  <si>
    <t>61970043</t>
  </si>
  <si>
    <t>196194574752</t>
  </si>
  <si>
    <t>61970050</t>
  </si>
  <si>
    <t>196194574547</t>
  </si>
  <si>
    <t>61970013</t>
  </si>
  <si>
    <t>196194574721</t>
  </si>
  <si>
    <t>61970061</t>
  </si>
  <si>
    <t>030698069225</t>
  </si>
  <si>
    <t>86836701</t>
  </si>
  <si>
    <t>6332775</t>
  </si>
  <si>
    <t>Connect Apple iPhone 14 Plus Screen Guard 2-pk.</t>
  </si>
  <si>
    <t>655209396692</t>
  </si>
  <si>
    <t>80580238</t>
  </si>
  <si>
    <t>6351422</t>
  </si>
  <si>
    <t>Girls SO® Faux Fur Pompom Beanie &amp; Gloves Set</t>
  </si>
  <si>
    <t>Gray Sequin</t>
  </si>
  <si>
    <t>655209396746</t>
  </si>
  <si>
    <t>50904718</t>
  </si>
  <si>
    <t>Mint Sequin</t>
  </si>
  <si>
    <t>195861891871</t>
  </si>
  <si>
    <t>46953993</t>
  </si>
  <si>
    <t>5979016</t>
  </si>
  <si>
    <t>Baby Boy Carter's Dinosaur Digger Jersey Long Sleeve Tee</t>
  </si>
  <si>
    <t>Yellow Dino Dig</t>
  </si>
  <si>
    <t>195861891888</t>
  </si>
  <si>
    <t>46953994</t>
  </si>
  <si>
    <t>195861891895</t>
  </si>
  <si>
    <t>46953995</t>
  </si>
  <si>
    <t>195861891840</t>
  </si>
  <si>
    <t>46953996</t>
  </si>
  <si>
    <t>195861891857</t>
  </si>
  <si>
    <t>46953997</t>
  </si>
  <si>
    <t>400310070128</t>
  </si>
  <si>
    <t>31007012</t>
  </si>
  <si>
    <t>6858366</t>
  </si>
  <si>
    <t>Men's Apt. 9® Slim Untucked-Fit Performance Button-Down Shirt</t>
  </si>
  <si>
    <t>Abstract Floral</t>
  </si>
  <si>
    <t>S SLIM</t>
  </si>
  <si>
    <t>400310070227</t>
  </si>
  <si>
    <t>31007022</t>
  </si>
  <si>
    <t>M SLIM</t>
  </si>
  <si>
    <t>400310070326</t>
  </si>
  <si>
    <t>31007032</t>
  </si>
  <si>
    <t>L SLIM</t>
  </si>
  <si>
    <t>196407935035</t>
  </si>
  <si>
    <t>65196670</t>
  </si>
  <si>
    <t>6049846</t>
  </si>
  <si>
    <t>Men's IZOD Lightweight V-Neck Sweater Vest</t>
  </si>
  <si>
    <t>Carbon Heather</t>
  </si>
  <si>
    <t>196407935028</t>
  </si>
  <si>
    <t>65196671</t>
  </si>
  <si>
    <t>400630971495</t>
  </si>
  <si>
    <t>63097149</t>
  </si>
  <si>
    <t>6311425</t>
  </si>
  <si>
    <t>Girls 6-20 SO® Plaid Skort in Regular &amp; Plus Size</t>
  </si>
  <si>
    <t>400767355472</t>
  </si>
  <si>
    <t>76735547</t>
  </si>
  <si>
    <t>Houndstooth</t>
  </si>
  <si>
    <t>400767355489</t>
  </si>
  <si>
    <t>76735548</t>
  </si>
  <si>
    <t>400630971600</t>
  </si>
  <si>
    <t>63097160</t>
  </si>
  <si>
    <t>400630971518</t>
  </si>
  <si>
    <t>63097151</t>
  </si>
  <si>
    <t>400767355496</t>
  </si>
  <si>
    <t>76735549</t>
  </si>
  <si>
    <t>400630971617</t>
  </si>
  <si>
    <t>63097161</t>
  </si>
  <si>
    <t>400630971433</t>
  </si>
  <si>
    <t>63097143</t>
  </si>
  <si>
    <t>400630971525</t>
  </si>
  <si>
    <t>63097152</t>
  </si>
  <si>
    <t>197648146907</t>
  </si>
  <si>
    <t>63506975</t>
  </si>
  <si>
    <t>6301749</t>
  </si>
  <si>
    <t>Nine West Domaey Women's Knee-High Boots</t>
  </si>
  <si>
    <t>Light Natural</t>
  </si>
  <si>
    <t>400867735853</t>
  </si>
  <si>
    <t>86773585</t>
  </si>
  <si>
    <t>6459963</t>
  </si>
  <si>
    <t>Women's Simply Vera Vera Wang Knit Midi Skirt</t>
  </si>
  <si>
    <t>Black White Jacquard</t>
  </si>
  <si>
    <t>400867735877</t>
  </si>
  <si>
    <t>86773587</t>
  </si>
  <si>
    <t>Boys 4-14 Carter's Gamer Fleece Footed Pajamas</t>
  </si>
  <si>
    <t>Gray Gamer Print</t>
  </si>
  <si>
    <t>400650871119</t>
  </si>
  <si>
    <t>65087111</t>
  </si>
  <si>
    <t>5589272</t>
  </si>
  <si>
    <t>Big &amp; Tall Sonoma Goods For Life® Cotton-Blend Sweater</t>
  </si>
  <si>
    <t>Deep Plum</t>
  </si>
  <si>
    <t>400731648142</t>
  </si>
  <si>
    <t>73164814</t>
  </si>
  <si>
    <t>Med Grey Heather</t>
  </si>
  <si>
    <t>400281381667</t>
  </si>
  <si>
    <t>28138166</t>
  </si>
  <si>
    <t>Charcoal Grey</t>
  </si>
  <si>
    <t>400731648180</t>
  </si>
  <si>
    <t>73164818</t>
  </si>
  <si>
    <t>889273584673</t>
  </si>
  <si>
    <t>66057953</t>
  </si>
  <si>
    <t>Women's Eco Beach Rib Hipster Swim Briefs</t>
  </si>
  <si>
    <t>Eco Beach</t>
  </si>
  <si>
    <t>889273584635</t>
  </si>
  <si>
    <t>66057944</t>
  </si>
  <si>
    <t>Speed Blue</t>
  </si>
  <si>
    <t>889273584642</t>
  </si>
  <si>
    <t>66057945</t>
  </si>
  <si>
    <t>889273584680</t>
  </si>
  <si>
    <t>66057954</t>
  </si>
  <si>
    <t>889273584659</t>
  </si>
  <si>
    <t>66057946</t>
  </si>
  <si>
    <t>Aqua Splash</t>
  </si>
  <si>
    <t>889273584697</t>
  </si>
  <si>
    <t>66057955</t>
  </si>
  <si>
    <t>Men's Columbia Pitchstone™ Heavyweight Flannel Shirt</t>
  </si>
  <si>
    <t>716838394104</t>
  </si>
  <si>
    <t>78113411</t>
  </si>
  <si>
    <t>6859522</t>
  </si>
  <si>
    <t>Taylor Grace 10K Gold Tri-Tone &amp;#34;I Heart You&amp;#34; Pendant Necklace</t>
  </si>
  <si>
    <t>400659107103</t>
  </si>
  <si>
    <t>65910710</t>
  </si>
  <si>
    <t>5676067</t>
  </si>
  <si>
    <t>Boys 8-20 Tek Gear® Microfleece Printed Joggers in Regular &amp; Husky</t>
  </si>
  <si>
    <t>Khaki Splatter</t>
  </si>
  <si>
    <t>191730766028</t>
  </si>
  <si>
    <t>47593226</t>
  </si>
  <si>
    <t>6334558</t>
  </si>
  <si>
    <t>Girls Elli by Capelli Chenille Unicorn Pom-Pom Hat &amp; Gloves Set</t>
  </si>
  <si>
    <t>Elli by Capelli</t>
  </si>
  <si>
    <t>Ivory Combo</t>
  </si>
  <si>
    <t>191730765953</t>
  </si>
  <si>
    <t>65103791</t>
  </si>
  <si>
    <t>6340054</t>
  </si>
  <si>
    <t>Girls Elli by Capelli Sleepy Owl Knit Earflap Hat &amp; Magic Gloves Set</t>
  </si>
  <si>
    <t>Gray Combo</t>
  </si>
  <si>
    <t>191730765960</t>
  </si>
  <si>
    <t>33243036</t>
  </si>
  <si>
    <t>196128728961</t>
  </si>
  <si>
    <t>79017076</t>
  </si>
  <si>
    <t>5755342</t>
  </si>
  <si>
    <t>Plus Size Draper James Sleeveless V-Neck Sequin Dress</t>
  </si>
  <si>
    <t>Black Sequin</t>
  </si>
  <si>
    <t>Juniors' WallFlower Luscious Curvy Bling Bootcut Jeans</t>
  </si>
  <si>
    <t>197178373606</t>
  </si>
  <si>
    <t>66405397</t>
  </si>
  <si>
    <t>6528170</t>
  </si>
  <si>
    <t>Juniors' Plus Size SO® Cropped Mixed Stripe Shirt</t>
  </si>
  <si>
    <t>197178373583</t>
  </si>
  <si>
    <t>66405394</t>
  </si>
  <si>
    <t>197178373613</t>
  </si>
  <si>
    <t>66405398</t>
  </si>
  <si>
    <t>197178373576</t>
  </si>
  <si>
    <t>66405395</t>
  </si>
  <si>
    <t>197178373590</t>
  </si>
  <si>
    <t>66405399</t>
  </si>
  <si>
    <t>197178373569</t>
  </si>
  <si>
    <t>66405396</t>
  </si>
  <si>
    <t>400559598612</t>
  </si>
  <si>
    <t>55959861</t>
  </si>
  <si>
    <t>5934684</t>
  </si>
  <si>
    <t>Men's Tek Gear® Base Layer Leggings</t>
  </si>
  <si>
    <t>197117365303</t>
  </si>
  <si>
    <t>50431534</t>
  </si>
  <si>
    <t>6197003</t>
  </si>
  <si>
    <t>Men's Cuddl Duds® Midweight Waffle Thermal Performance Base Layer Union Suit</t>
  </si>
  <si>
    <t>197117365358</t>
  </si>
  <si>
    <t>50431545</t>
  </si>
  <si>
    <t>197117365310</t>
  </si>
  <si>
    <t>50431535</t>
  </si>
  <si>
    <t>197117365365</t>
  </si>
  <si>
    <t>50431546</t>
  </si>
  <si>
    <t>197117365327</t>
  </si>
  <si>
    <t>50431536</t>
  </si>
  <si>
    <t>197117365372</t>
  </si>
  <si>
    <t>50431547</t>
  </si>
  <si>
    <t>000716864859</t>
  </si>
  <si>
    <t>70127424</t>
  </si>
  <si>
    <t>6142558</t>
  </si>
  <si>
    <t>Baby Jammies For Your Families® Frenchie Footed Pajamas by Cuddl Duds®</t>
  </si>
  <si>
    <t>0-3 MONTHS</t>
  </si>
  <si>
    <t>197178215074</t>
  </si>
  <si>
    <t>81870111</t>
  </si>
  <si>
    <t>6320547</t>
  </si>
  <si>
    <t>Juniors' Plus Size SO® Contour Notch Neck Bodysuit</t>
  </si>
  <si>
    <t>197178215081</t>
  </si>
  <si>
    <t>81870112</t>
  </si>
  <si>
    <t>197178215012</t>
  </si>
  <si>
    <t>81870128</t>
  </si>
  <si>
    <t>197178215098</t>
  </si>
  <si>
    <t>81870118</t>
  </si>
  <si>
    <t>197178215029</t>
  </si>
  <si>
    <t>81870129</t>
  </si>
  <si>
    <t>889602785894</t>
  </si>
  <si>
    <t>50138839</t>
  </si>
  <si>
    <t>6438950</t>
  </si>
  <si>
    <t>Plus Size Nine West Wrap Top</t>
  </si>
  <si>
    <t>889602786013</t>
  </si>
  <si>
    <t>70042294</t>
  </si>
  <si>
    <t>Black Silver Lurex</t>
  </si>
  <si>
    <t>889602785832</t>
  </si>
  <si>
    <t>50138830</t>
  </si>
  <si>
    <t>195862001897</t>
  </si>
  <si>
    <t>55603331</t>
  </si>
  <si>
    <t>6081627</t>
  </si>
  <si>
    <t>Toddler Boy Carter's Plaid Twill Button-Front Shirt</t>
  </si>
  <si>
    <t>195862001903</t>
  </si>
  <si>
    <t>55603341</t>
  </si>
  <si>
    <t>195862001910</t>
  </si>
  <si>
    <t>55603351</t>
  </si>
  <si>
    <t>195862001866</t>
  </si>
  <si>
    <t>55603361</t>
  </si>
  <si>
    <t>195862001873</t>
  </si>
  <si>
    <t>55603371</t>
  </si>
  <si>
    <t>195862001880</t>
  </si>
  <si>
    <t>55603381</t>
  </si>
  <si>
    <t>886440743857</t>
  </si>
  <si>
    <t>50699326</t>
  </si>
  <si>
    <t>6287174</t>
  </si>
  <si>
    <t>Sonoma Goods For Life® Dog Puffer Jacket</t>
  </si>
  <si>
    <t>Black Forest</t>
  </si>
  <si>
    <t>886440743819</t>
  </si>
  <si>
    <t>50699336</t>
  </si>
  <si>
    <t>886440743826</t>
  </si>
  <si>
    <t>50699334</t>
  </si>
  <si>
    <t>886440743864</t>
  </si>
  <si>
    <t>50699324</t>
  </si>
  <si>
    <t>400293251026</t>
  </si>
  <si>
    <t>29325102</t>
  </si>
  <si>
    <t>5567614</t>
  </si>
  <si>
    <t>Petite Tek Gear® Weekend French Terry Ankle Pants</t>
  </si>
  <si>
    <t>400770421249</t>
  </si>
  <si>
    <t>77042124</t>
  </si>
  <si>
    <t>6123856</t>
  </si>
  <si>
    <t>Women's Sonoma Goods For Life® V-Neck Pullover Sweater</t>
  </si>
  <si>
    <t>Girls 7-16 Speechless Rhinestone Fit &amp; Flare Dress in Regular &amp; Plus Size</t>
  </si>
  <si>
    <t>196327595647</t>
  </si>
  <si>
    <t>73982851</t>
  </si>
  <si>
    <t>6141453</t>
  </si>
  <si>
    <t>Girls 7-16 Converse Oversized Shine Graphic Hoodie</t>
  </si>
  <si>
    <t>196139555211</t>
  </si>
  <si>
    <t>30142473</t>
  </si>
  <si>
    <t>6195144</t>
  </si>
  <si>
    <t>Baby Boy Carter's 2-piece Colorblock Snowsuit</t>
  </si>
  <si>
    <t>193506102528</t>
  </si>
  <si>
    <t>56089178</t>
  </si>
  <si>
    <t>6615815</t>
  </si>
  <si>
    <t>14k Gold Turquoise Stud Earrings</t>
  </si>
  <si>
    <t>194869395145</t>
  </si>
  <si>
    <t>50544436</t>
  </si>
  <si>
    <t>6317525</t>
  </si>
  <si>
    <t>Men's Crewneck Who's Got Santa's Milk Christmas Sweater</t>
  </si>
  <si>
    <t>Green And Red</t>
  </si>
  <si>
    <t>196807245475</t>
  </si>
  <si>
    <t>50024738</t>
  </si>
  <si>
    <t>6890079</t>
  </si>
  <si>
    <t>Women's Calvin Klein Archive Logo Lightly Lined Bralette QF7534</t>
  </si>
  <si>
    <t>Calvin Klein</t>
  </si>
  <si>
    <t>Charming Roses Rouge</t>
  </si>
  <si>
    <t>642447722574</t>
  </si>
  <si>
    <t>57955108</t>
  </si>
  <si>
    <t>6663129</t>
  </si>
  <si>
    <t>Nine West Silver Tone Thick Sculptural Hoop Earrings</t>
  </si>
  <si>
    <t>Silver Tone</t>
  </si>
  <si>
    <t>195862112944</t>
  </si>
  <si>
    <t>80429793</t>
  </si>
  <si>
    <t>6185339</t>
  </si>
  <si>
    <t>Baby Boy Carter's 2-piece Woodland Print Bodysuit &amp; Thermal Overall Set</t>
  </si>
  <si>
    <t>400864393667</t>
  </si>
  <si>
    <t>86439366</t>
  </si>
  <si>
    <t>5955166</t>
  </si>
  <si>
    <t>Men's Sonoma Goods For Life® 7&amp;#34; Utility Pull-On Shorts</t>
  </si>
  <si>
    <t>400864393711</t>
  </si>
  <si>
    <t>86439371</t>
  </si>
  <si>
    <t>Dark Green</t>
  </si>
  <si>
    <t>400783321307</t>
  </si>
  <si>
    <t>78332130</t>
  </si>
  <si>
    <t>6329331</t>
  </si>
  <si>
    <t>Women's Nine West Blouson V-Neck Blouse</t>
  </si>
  <si>
    <t>400783321314</t>
  </si>
  <si>
    <t>78332131</t>
  </si>
  <si>
    <t>195365216620</t>
  </si>
  <si>
    <t>67063169</t>
  </si>
  <si>
    <t>5217110</t>
  </si>
  <si>
    <t>Women's Nine West Scoop Swim Bottoms</t>
  </si>
  <si>
    <t>Lemon Zest</t>
  </si>
  <si>
    <t>195365216569</t>
  </si>
  <si>
    <t>67063152</t>
  </si>
  <si>
    <t>Cobalt</t>
  </si>
  <si>
    <t>195365216637</t>
  </si>
  <si>
    <t>67063170</t>
  </si>
  <si>
    <t>195365216576</t>
  </si>
  <si>
    <t>67063159</t>
  </si>
  <si>
    <t>195365216583</t>
  </si>
  <si>
    <t>67063160</t>
  </si>
  <si>
    <t>195365216644</t>
  </si>
  <si>
    <t>67063171</t>
  </si>
  <si>
    <t>195365216590</t>
  </si>
  <si>
    <t>67063161</t>
  </si>
  <si>
    <t>195365216651</t>
  </si>
  <si>
    <t>67063172</t>
  </si>
  <si>
    <t>195365216668</t>
  </si>
  <si>
    <t>67063179</t>
  </si>
  <si>
    <t>195365216606</t>
  </si>
  <si>
    <t>67063162</t>
  </si>
  <si>
    <t>686692366480</t>
  </si>
  <si>
    <t>54820919</t>
  </si>
  <si>
    <t>4542899</t>
  </si>
  <si>
    <t>Stella Grace Sterling Silver Black &amp; White Cubic Zirconia Station Bracelet</t>
  </si>
  <si>
    <t>400495898203</t>
  </si>
  <si>
    <t>49589820</t>
  </si>
  <si>
    <t>6115755</t>
  </si>
  <si>
    <t>Baby &amp; Toddler Girl Little Co. by Lauren Conrad Fleece Dress</t>
  </si>
  <si>
    <t>Dark Teal Flower</t>
  </si>
  <si>
    <t>400755840560</t>
  </si>
  <si>
    <t>75584056</t>
  </si>
  <si>
    <t>400755840577</t>
  </si>
  <si>
    <t>75584057</t>
  </si>
  <si>
    <t>400755840591</t>
  </si>
  <si>
    <t>75584059</t>
  </si>
  <si>
    <t>400576759911</t>
  </si>
  <si>
    <t>57675991</t>
  </si>
  <si>
    <t>6535454</t>
  </si>
  <si>
    <t>Celebrate Together™ Easter Egg Garland</t>
  </si>
  <si>
    <t>Celebrate Together Easter</t>
  </si>
  <si>
    <t>400495896353</t>
  </si>
  <si>
    <t>49589635</t>
  </si>
  <si>
    <t>6115143</t>
  </si>
  <si>
    <t>Girls 4-12 Jumping Beans® Adaptive Legging</t>
  </si>
  <si>
    <t>400495896384</t>
  </si>
  <si>
    <t>49589638</t>
  </si>
  <si>
    <t>400582942741</t>
  </si>
  <si>
    <t>58294274</t>
  </si>
  <si>
    <t>400495896391</t>
  </si>
  <si>
    <t>49589639</t>
  </si>
  <si>
    <t>840038290475</t>
  </si>
  <si>
    <t>58946766</t>
  </si>
  <si>
    <t>6513306</t>
  </si>
  <si>
    <t>Woof &amp;#34;Some Bunny Loves Me&amp;#34; Bandana and Toy Set</t>
  </si>
  <si>
    <t>Woof</t>
  </si>
  <si>
    <t>840038290499</t>
  </si>
  <si>
    <t>73578854</t>
  </si>
  <si>
    <t>Navy Chili</t>
  </si>
  <si>
    <t>400332188498</t>
  </si>
  <si>
    <t>33218849</t>
  </si>
  <si>
    <t>5812471</t>
  </si>
  <si>
    <t>Maternity Sonoma Goods For Life® Side Panel Belly Band Jeggings</t>
  </si>
  <si>
    <t>400476188934</t>
  </si>
  <si>
    <t>47618893</t>
  </si>
  <si>
    <t>6488765</t>
  </si>
  <si>
    <t>Baby Little Co. by Lauren Conrad Organic St. Patrick's Day Bubble Romper</t>
  </si>
  <si>
    <t>Shamrock</t>
  </si>
  <si>
    <t>400697850580</t>
  </si>
  <si>
    <t>69785058</t>
  </si>
  <si>
    <t>6824200</t>
  </si>
  <si>
    <t>Kids 4-12 Little Co. by Lauren Conrad Relaxed Organic Tee</t>
  </si>
  <si>
    <t>Lucky One</t>
  </si>
  <si>
    <t>400697850597</t>
  </si>
  <si>
    <t>69785059</t>
  </si>
  <si>
    <t>400697850603</t>
  </si>
  <si>
    <t>69785060</t>
  </si>
  <si>
    <t>400697850610</t>
  </si>
  <si>
    <t>69785061</t>
  </si>
  <si>
    <t>Boys 8-20 Hurley Ombre Icon Fleece Pullover Hoodie</t>
  </si>
  <si>
    <t>Men's Adaptive Tommy Hilfiger Custom-Fit Chino Pants</t>
  </si>
  <si>
    <t>848601042797</t>
  </si>
  <si>
    <t>70112535</t>
  </si>
  <si>
    <t>6659466</t>
  </si>
  <si>
    <t>Sonoma Goods For Life® Gold Tone Faux Marble Accent Drop &amp; C-Hoop Earrings Trio Set</t>
  </si>
  <si>
    <t>Alder Creek Gift Baskets Egg-Cellent Easter Gift Tower</t>
  </si>
  <si>
    <t>762166738950</t>
  </si>
  <si>
    <t>80562599</t>
  </si>
  <si>
    <t>6332832</t>
  </si>
  <si>
    <t>Men's Santa Suit Holiday Sweater</t>
  </si>
  <si>
    <t>Cayenne</t>
  </si>
  <si>
    <t>762166738967</t>
  </si>
  <si>
    <t>80562600</t>
  </si>
  <si>
    <t>762166738974</t>
  </si>
  <si>
    <t>80562601</t>
  </si>
  <si>
    <t>762166738981</t>
  </si>
  <si>
    <t>80562602</t>
  </si>
  <si>
    <t>762166738998</t>
  </si>
  <si>
    <t>80562603</t>
  </si>
  <si>
    <t>889260953116</t>
  </si>
  <si>
    <t>67179450</t>
  </si>
  <si>
    <t>totes April Women's Water-Resistant Snow Boots</t>
  </si>
  <si>
    <t>889260953123</t>
  </si>
  <si>
    <t>67179451</t>
  </si>
  <si>
    <t>197026360147</t>
  </si>
  <si>
    <t>71644505</t>
  </si>
  <si>
    <t>6346382</t>
  </si>
  <si>
    <t>Boys 4-12 Jumping Beans® Minecraft Hoodie</t>
  </si>
  <si>
    <t>191170794346</t>
  </si>
  <si>
    <t>65069941</t>
  </si>
  <si>
    <t>6352901</t>
  </si>
  <si>
    <t>Girls 7-16 Three Pink Hearts Long Sleeve Wrap Dress</t>
  </si>
  <si>
    <t>191170794117</t>
  </si>
  <si>
    <t>66548264</t>
  </si>
  <si>
    <t>191170794155</t>
  </si>
  <si>
    <t>66548273</t>
  </si>
  <si>
    <t>196027181027</t>
  </si>
  <si>
    <t>46881867</t>
  </si>
  <si>
    <t>5516505</t>
  </si>
  <si>
    <t>Boys 4-20 Minecraft Block Heads Pajama Pants in Regular &amp; Husky</t>
  </si>
  <si>
    <t>734815077116</t>
  </si>
  <si>
    <t>66662103</t>
  </si>
  <si>
    <t>6858916</t>
  </si>
  <si>
    <t>Sterling Silver 1/10 Carat T.W. Diamond Owl Pendant Necklace</t>
  </si>
  <si>
    <t>Snoop Doggie Doggs Chain Steering Wheel Flying Disc Dog Toy</t>
  </si>
  <si>
    <t>887863133652</t>
  </si>
  <si>
    <t>77170742</t>
  </si>
  <si>
    <t>5748288</t>
  </si>
  <si>
    <t>Women's AB Studio Fleck Cowlneck Tunic Sweater</t>
  </si>
  <si>
    <t>887863133539</t>
  </si>
  <si>
    <t>77170722</t>
  </si>
  <si>
    <t>887863133478</t>
  </si>
  <si>
    <t>77170712</t>
  </si>
  <si>
    <t>887863133591</t>
  </si>
  <si>
    <t>77170732</t>
  </si>
  <si>
    <t>Heather Taupe</t>
  </si>
  <si>
    <t>887863133669</t>
  </si>
  <si>
    <t>77170743</t>
  </si>
  <si>
    <t>196027199497</t>
  </si>
  <si>
    <t>46960508</t>
  </si>
  <si>
    <t>5607976</t>
  </si>
  <si>
    <t>Boys 4-10 Star Wars &amp;#34;Bad Batch Clone Force 99&amp;#34; 2-Piece Pajama Set</t>
  </si>
  <si>
    <t>196027199503</t>
  </si>
  <si>
    <t>46960509</t>
  </si>
  <si>
    <t>400864646930</t>
  </si>
  <si>
    <t>86464693</t>
  </si>
  <si>
    <t>7081563</t>
  </si>
  <si>
    <t>Girls 6-20 SO® Adaptive Leggings in Regular &amp; Plus Size</t>
  </si>
  <si>
    <t>Denim Rinse</t>
  </si>
  <si>
    <t>400864646947</t>
  </si>
  <si>
    <t>86464694</t>
  </si>
  <si>
    <t>642447720624</t>
  </si>
  <si>
    <t>49988002</t>
  </si>
  <si>
    <t>6663122</t>
  </si>
  <si>
    <t>Nine West Gold Tone Sculptural Hoop Earrings</t>
  </si>
  <si>
    <t>Men's Under Armour Twist Fleece Hoodie</t>
  </si>
  <si>
    <t>195862013708</t>
  </si>
  <si>
    <t>76987317</t>
  </si>
  <si>
    <t>6045898</t>
  </si>
  <si>
    <t>Baby Boy Carter's Colorblock Puffer Vest</t>
  </si>
  <si>
    <t>195862013678</t>
  </si>
  <si>
    <t>76987320</t>
  </si>
  <si>
    <t>195862013661</t>
  </si>
  <si>
    <t>76987319</t>
  </si>
  <si>
    <t>195862013685</t>
  </si>
  <si>
    <t>76987321</t>
  </si>
  <si>
    <t>195862013630</t>
  </si>
  <si>
    <t>76987322</t>
  </si>
  <si>
    <t>Snoop Doggie Doggs Deluxe Dog Pajamas</t>
  </si>
  <si>
    <t>Girls 7-16 Speechless Sleeveless Walkthrough Maxi Dress in Regular &amp; Plus Size</t>
  </si>
  <si>
    <t>195861891123</t>
  </si>
  <si>
    <t>30065960</t>
  </si>
  <si>
    <t>5979015</t>
  </si>
  <si>
    <t>Baby Boy Carter's Dinosaur Layered-Look Jersey Tee</t>
  </si>
  <si>
    <t>Purple Dino</t>
  </si>
  <si>
    <t>195861891130</t>
  </si>
  <si>
    <t>30065961</t>
  </si>
  <si>
    <t>195861891147</t>
  </si>
  <si>
    <t>30065962</t>
  </si>
  <si>
    <t>195861891093</t>
  </si>
  <si>
    <t>30065963</t>
  </si>
  <si>
    <t>195566598129</t>
  </si>
  <si>
    <t>70991257</t>
  </si>
  <si>
    <t>5662253</t>
  </si>
  <si>
    <t>Men's Marvel Wakanda Forever Black Panther Hoodie</t>
  </si>
  <si>
    <t>Black Charcoal</t>
  </si>
  <si>
    <t>Parfait Marissa Longline Strapless Bra P50117</t>
  </si>
  <si>
    <t>Parfait</t>
  </si>
  <si>
    <t>30 GG</t>
  </si>
  <si>
    <t>30 H</t>
  </si>
  <si>
    <t>32 GG</t>
  </si>
  <si>
    <t>190917434545</t>
  </si>
  <si>
    <t>59201025</t>
  </si>
  <si>
    <t>5661867</t>
  </si>
  <si>
    <t>Women's INTEMPO Fitted Scuba Pants</t>
  </si>
  <si>
    <t>190917434590</t>
  </si>
  <si>
    <t>59201030</t>
  </si>
  <si>
    <t>197117339632</t>
  </si>
  <si>
    <t>65868632</t>
  </si>
  <si>
    <t>6132493</t>
  </si>
  <si>
    <t>Big &amp; Tall Jammies For Your Families® Frenchie Top &amp; Bottoms Pajama Set by Cuddl Duds®</t>
  </si>
  <si>
    <t>197117339649</t>
  </si>
  <si>
    <t>65868633</t>
  </si>
  <si>
    <t>197117339687</t>
  </si>
  <si>
    <t>65868637</t>
  </si>
  <si>
    <t>197117339663</t>
  </si>
  <si>
    <t>65868635</t>
  </si>
  <si>
    <t>197117339694</t>
  </si>
  <si>
    <t>65868638</t>
  </si>
  <si>
    <t>400182779723</t>
  </si>
  <si>
    <t>18277972</t>
  </si>
  <si>
    <t>6527133</t>
  </si>
  <si>
    <t>Juniors' SO® Seamless Long Sleeve Lace Scoop Neck Top</t>
  </si>
  <si>
    <t>400867710584</t>
  </si>
  <si>
    <t>86771058</t>
  </si>
  <si>
    <t>6432778</t>
  </si>
  <si>
    <t>Petite Croft &amp; Barrow® Pleated Ruffle-Neck Dress</t>
  </si>
  <si>
    <t>400867710607</t>
  </si>
  <si>
    <t>86771060</t>
  </si>
  <si>
    <t>400591673612</t>
  </si>
  <si>
    <t>59167361</t>
  </si>
  <si>
    <t>6108864</t>
  </si>
  <si>
    <t>Girls 7-20 Tek Gear® Mesh Basketball Shorts in Regular &amp; Plus</t>
  </si>
  <si>
    <t>195861894896</t>
  </si>
  <si>
    <t>58224902</t>
  </si>
  <si>
    <t>5979008</t>
  </si>
  <si>
    <t>Baby Boy Carter's Striped Long Sleeve Tee</t>
  </si>
  <si>
    <t>Green Navy Stripe</t>
  </si>
  <si>
    <t>195861897187</t>
  </si>
  <si>
    <t>30320835</t>
  </si>
  <si>
    <t>Navy Gray Stripe</t>
  </si>
  <si>
    <t>195861894902</t>
  </si>
  <si>
    <t>58224903</t>
  </si>
  <si>
    <t>195861897194</t>
  </si>
  <si>
    <t>30320836</t>
  </si>
  <si>
    <t>195861894919</t>
  </si>
  <si>
    <t>58224904</t>
  </si>
  <si>
    <t>195861897200</t>
  </si>
  <si>
    <t>30320842</t>
  </si>
  <si>
    <t>195861894865</t>
  </si>
  <si>
    <t>58224905</t>
  </si>
  <si>
    <t>195861897156</t>
  </si>
  <si>
    <t>30320843</t>
  </si>
  <si>
    <t>713610127028</t>
  </si>
  <si>
    <t>65003587</t>
  </si>
  <si>
    <t>6131040</t>
  </si>
  <si>
    <t>Women's Grand Slam Colorblock High-Waisted Golf Leggings</t>
  </si>
  <si>
    <t>713610127035</t>
  </si>
  <si>
    <t>65003597</t>
  </si>
  <si>
    <t>713610127042</t>
  </si>
  <si>
    <t>65003607</t>
  </si>
  <si>
    <t>713610127059</t>
  </si>
  <si>
    <t>65003617</t>
  </si>
  <si>
    <t>713610127066</t>
  </si>
  <si>
    <t>65003627</t>
  </si>
  <si>
    <t>Parfait Shea Plunge Spacer T-Shirt Bra P6062</t>
  </si>
  <si>
    <t>30 E</t>
  </si>
  <si>
    <t>30 F</t>
  </si>
  <si>
    <t>30 FF</t>
  </si>
  <si>
    <t>30 G</t>
  </si>
  <si>
    <t>32 FF</t>
  </si>
  <si>
    <t>32 H</t>
  </si>
  <si>
    <t>196027199749</t>
  </si>
  <si>
    <t>29310997</t>
  </si>
  <si>
    <t>5607979</t>
  </si>
  <si>
    <t>Boys 4-10 Space Jam &amp;#34;Come Together&amp;#34; 2-Piece Pajama Set</t>
  </si>
  <si>
    <t>642447715767</t>
  </si>
  <si>
    <t>51182341</t>
  </si>
  <si>
    <t>6807556</t>
  </si>
  <si>
    <t>Nine West Gold Tone Hoop Earrings</t>
  </si>
  <si>
    <t>Clear</t>
  </si>
  <si>
    <t>194808684736</t>
  </si>
  <si>
    <t>63035082</t>
  </si>
  <si>
    <t>6287118</t>
  </si>
  <si>
    <t>Juniors' Plus Size Lily Rose Long Sleeve Tie Waist Skater Dress</t>
  </si>
  <si>
    <t>Cinnamon Rust</t>
  </si>
  <si>
    <t>197567004739</t>
  </si>
  <si>
    <t>61251948</t>
  </si>
  <si>
    <t>6227146</t>
  </si>
  <si>
    <t>Plus Size Miss Elaine Essentials Cottonessa Short Gown</t>
  </si>
  <si>
    <t>400864660882</t>
  </si>
  <si>
    <t>86466088</t>
  </si>
  <si>
    <t>6131562</t>
  </si>
  <si>
    <t>Juniors' Plus Size SO® High-Rise Ponte Flare Pants</t>
  </si>
  <si>
    <t>400864660899</t>
  </si>
  <si>
    <t>86466089</t>
  </si>
  <si>
    <t>400583460534</t>
  </si>
  <si>
    <t>58346053</t>
  </si>
  <si>
    <t>400864660905</t>
  </si>
  <si>
    <t>86466090</t>
  </si>
  <si>
    <t>400657479011</t>
  </si>
  <si>
    <t>65747901</t>
  </si>
  <si>
    <t>Black Brown Plaid</t>
  </si>
  <si>
    <t>840202383064</t>
  </si>
  <si>
    <t>29844101</t>
  </si>
  <si>
    <t>5269630</t>
  </si>
  <si>
    <t>Plus Size Freshwater Banded High-Leg Swim Bottoms</t>
  </si>
  <si>
    <t>Peri</t>
  </si>
  <si>
    <t>840202383071</t>
  </si>
  <si>
    <t>29844102</t>
  </si>
  <si>
    <t>840202383088</t>
  </si>
  <si>
    <t>29844103</t>
  </si>
  <si>
    <t>840202383057</t>
  </si>
  <si>
    <t>29844100</t>
  </si>
  <si>
    <t>Men's Columbia Hart Mountain™ Quilted Half-Snap Pullover</t>
  </si>
  <si>
    <t>197117386896</t>
  </si>
  <si>
    <t>56084120</t>
  </si>
  <si>
    <t>6204521</t>
  </si>
  <si>
    <t>Men's Cuddl Duds® Midweight ClimateSport Performance Base Layer Hoodie</t>
  </si>
  <si>
    <t>197117386940</t>
  </si>
  <si>
    <t>56084110</t>
  </si>
  <si>
    <t>197117386841</t>
  </si>
  <si>
    <t>56084115</t>
  </si>
  <si>
    <t>197117386902</t>
  </si>
  <si>
    <t>56084121</t>
  </si>
  <si>
    <t>197117386957</t>
  </si>
  <si>
    <t>56084111</t>
  </si>
  <si>
    <t>197117386858</t>
  </si>
  <si>
    <t>56084116</t>
  </si>
  <si>
    <t>197117386919</t>
  </si>
  <si>
    <t>56084122</t>
  </si>
  <si>
    <t>197117386964</t>
  </si>
  <si>
    <t>56084112</t>
  </si>
  <si>
    <t>197117386865</t>
  </si>
  <si>
    <t>56084117</t>
  </si>
  <si>
    <t>197117386926</t>
  </si>
  <si>
    <t>56084123</t>
  </si>
  <si>
    <t>197117386872</t>
  </si>
  <si>
    <t>56084118</t>
  </si>
  <si>
    <t>197117386971</t>
  </si>
  <si>
    <t>56084113</t>
  </si>
  <si>
    <t>197117386889</t>
  </si>
  <si>
    <t>56084119</t>
  </si>
  <si>
    <t>197117386933</t>
  </si>
  <si>
    <t>56084124</t>
  </si>
  <si>
    <t>197117386988</t>
  </si>
  <si>
    <t>56084114</t>
  </si>
  <si>
    <t>400195228607</t>
  </si>
  <si>
    <t>19522860</t>
  </si>
  <si>
    <t>6238921</t>
  </si>
  <si>
    <t>Maternity Sonoma Goods For Life® Side Slit Nursing Sweater Dress</t>
  </si>
  <si>
    <t>400630427336</t>
  </si>
  <si>
    <t>63042733</t>
  </si>
  <si>
    <t>Froth Heather</t>
  </si>
  <si>
    <t>400195228614</t>
  </si>
  <si>
    <t>19522861</t>
  </si>
  <si>
    <t>400195228553</t>
  </si>
  <si>
    <t>19522855</t>
  </si>
  <si>
    <t>400630427404</t>
  </si>
  <si>
    <t>63042740</t>
  </si>
  <si>
    <t>030698069324</t>
  </si>
  <si>
    <t>19168731</t>
  </si>
  <si>
    <t>7081434</t>
  </si>
  <si>
    <t>Connect Shock-Resistant Case with Camera Protector for iPhone 14</t>
  </si>
  <si>
    <t>781646386864</t>
  </si>
  <si>
    <t>72553765</t>
  </si>
  <si>
    <t>6786884</t>
  </si>
  <si>
    <t>Cottage Door Press Happy Easter, Little Bunny Lift The Flap Board Book</t>
  </si>
  <si>
    <t>781013419033</t>
  </si>
  <si>
    <t>73881604</t>
  </si>
  <si>
    <t>3602931</t>
  </si>
  <si>
    <t>Women's Croft &amp; Barrow® Elastic Waist Pull-On Jeans</t>
  </si>
  <si>
    <t>Super Dark</t>
  </si>
  <si>
    <t>781013418982</t>
  </si>
  <si>
    <t>70148950</t>
  </si>
  <si>
    <t>195142115849</t>
  </si>
  <si>
    <t>29492312</t>
  </si>
  <si>
    <t>5553392</t>
  </si>
  <si>
    <t>Disney's Minnie Mouse Girls' Slippers</t>
  </si>
  <si>
    <t>195142115856</t>
  </si>
  <si>
    <t>29492314</t>
  </si>
  <si>
    <t>195142115863</t>
  </si>
  <si>
    <t>29492315</t>
  </si>
  <si>
    <t>195142115870</t>
  </si>
  <si>
    <t>29492316</t>
  </si>
  <si>
    <t>195142115887</t>
  </si>
  <si>
    <t>29492317</t>
  </si>
  <si>
    <t>Women's adidas Sleeveless Polo Golf Shirt</t>
  </si>
  <si>
    <t>196327203269</t>
  </si>
  <si>
    <t>46938522</t>
  </si>
  <si>
    <t>6116124</t>
  </si>
  <si>
    <t>Girls 7-16 Levi's® Heart Graphic Skater Tee</t>
  </si>
  <si>
    <t>716838394593</t>
  </si>
  <si>
    <t>72074348</t>
  </si>
  <si>
    <t>6860263</t>
  </si>
  <si>
    <t>Forever Radiant Sterling Silver White &amp; Montana Crystal Halo Ring</t>
  </si>
  <si>
    <t>Forever Radiant</t>
  </si>
  <si>
    <t>032964123266</t>
  </si>
  <si>
    <t>31008113</t>
  </si>
  <si>
    <t>6861607</t>
  </si>
  <si>
    <t>Sterling Silver 1/10 Carat T.W. Diamond Crown Ring</t>
  </si>
  <si>
    <t>734815077840</t>
  </si>
  <si>
    <t>72486627</t>
  </si>
  <si>
    <t>6858901</t>
  </si>
  <si>
    <t>Men's Yellow Tungsten Band Ring</t>
  </si>
  <si>
    <t>197178080528</t>
  </si>
  <si>
    <t>30006686</t>
  </si>
  <si>
    <t>6118820</t>
  </si>
  <si>
    <t>Toddler Boys Sonoma Community™ Hispanic Heritage Month Short Sleeve Button Down Top</t>
  </si>
  <si>
    <t>197178080511</t>
  </si>
  <si>
    <t>30006693</t>
  </si>
  <si>
    <t>197178080504</t>
  </si>
  <si>
    <t>30006694</t>
  </si>
  <si>
    <t>197117363859</t>
  </si>
  <si>
    <t>45984184</t>
  </si>
  <si>
    <t>6196983</t>
  </si>
  <si>
    <t>Men's Cuddl Duds® Midweight ClimateSport Performance Base Layer Crew Top</t>
  </si>
  <si>
    <t>197117363804</t>
  </si>
  <si>
    <t>45984179</t>
  </si>
  <si>
    <t>Blue Strip</t>
  </si>
  <si>
    <t>197117363811</t>
  </si>
  <si>
    <t>45984180</t>
  </si>
  <si>
    <t>197117363828</t>
  </si>
  <si>
    <t>45984181</t>
  </si>
  <si>
    <t>716838394647</t>
  </si>
  <si>
    <t>75192615</t>
  </si>
  <si>
    <t>6860367</t>
  </si>
  <si>
    <t>Sterling Silver Two-Tone Ribbon Dangle Earrings</t>
  </si>
  <si>
    <t>Girls 4-16 Three Pink Hearts Chiffon Dress &amp; Necklace Set</t>
  </si>
  <si>
    <t>716838394432</t>
  </si>
  <si>
    <t>38004486</t>
  </si>
  <si>
    <t>6860648</t>
  </si>
  <si>
    <t>Forever 14K 14k Rose Gold Cubic Zirconia Loveknot Stud Earrings</t>
  </si>
  <si>
    <t>195142115795</t>
  </si>
  <si>
    <t>58107072</t>
  </si>
  <si>
    <t>5553391</t>
  </si>
  <si>
    <t>Disney's Princesses Girls' Slippers</t>
  </si>
  <si>
    <t>195142115801</t>
  </si>
  <si>
    <t>58107073</t>
  </si>
  <si>
    <t>713610513760</t>
  </si>
  <si>
    <t>27298404</t>
  </si>
  <si>
    <t>6683533</t>
  </si>
  <si>
    <t>Women's Grand Slam Intersecting Lines UPF 50 Sleeveless Golf Polo</t>
  </si>
  <si>
    <t>196067336456</t>
  </si>
  <si>
    <t>83446871</t>
  </si>
  <si>
    <t>6889878</t>
  </si>
  <si>
    <t>Yucca</t>
  </si>
  <si>
    <t>196067336463</t>
  </si>
  <si>
    <t>83446872</t>
  </si>
  <si>
    <t>197178351901</t>
  </si>
  <si>
    <t>28989159</t>
  </si>
  <si>
    <t>6505201</t>
  </si>
  <si>
    <t>Juniors' SO® Rhinestone Heart Of Roses Graphic Long Sleeve Tee</t>
  </si>
  <si>
    <t>197178351888</t>
  </si>
  <si>
    <t>28989160</t>
  </si>
  <si>
    <t>717312434354</t>
  </si>
  <si>
    <t>79308666</t>
  </si>
  <si>
    <t>3203712</t>
  </si>
  <si>
    <t>Men's Grand Slam Off Course Regular-Fit Textured Pocket Golf Polo</t>
  </si>
  <si>
    <t>Surf The Web</t>
  </si>
  <si>
    <t>717312434101</t>
  </si>
  <si>
    <t>79308597</t>
  </si>
  <si>
    <t>717312434156</t>
  </si>
  <si>
    <t>79308616</t>
  </si>
  <si>
    <t>Boys 4-10 Blue Beetle 4-Piece Tops &amp; Bottoms Pajama Set</t>
  </si>
  <si>
    <t>400505432144</t>
  </si>
  <si>
    <t>50543214</t>
  </si>
  <si>
    <t>6824287</t>
  </si>
  <si>
    <t>Men's Apt. 9® Premier Flex Slim-Fit Flannel Button-Down Shirt</t>
  </si>
  <si>
    <t>400505432045</t>
  </si>
  <si>
    <t>50543204</t>
  </si>
  <si>
    <t>XL SLIM</t>
  </si>
  <si>
    <t>400505431659</t>
  </si>
  <si>
    <t>50543165</t>
  </si>
  <si>
    <t>400505432373</t>
  </si>
  <si>
    <t>50543237</t>
  </si>
  <si>
    <t>400505432656</t>
  </si>
  <si>
    <t>50543265</t>
  </si>
  <si>
    <t>400505432168</t>
  </si>
  <si>
    <t>50543216</t>
  </si>
  <si>
    <t>XXL SLIM</t>
  </si>
  <si>
    <t>400505431772</t>
  </si>
  <si>
    <t>50543177</t>
  </si>
  <si>
    <t>400505432946</t>
  </si>
  <si>
    <t>50543294</t>
  </si>
  <si>
    <t>400505432052</t>
  </si>
  <si>
    <t>50543205</t>
  </si>
  <si>
    <t>400505431666</t>
  </si>
  <si>
    <t>50543166</t>
  </si>
  <si>
    <t>400505432441</t>
  </si>
  <si>
    <t>50543244</t>
  </si>
  <si>
    <t>400459939317</t>
  </si>
  <si>
    <t>45993931</t>
  </si>
  <si>
    <t>400459939362</t>
  </si>
  <si>
    <t>45993936</t>
  </si>
  <si>
    <t>400505432779</t>
  </si>
  <si>
    <t>50543277</t>
  </si>
  <si>
    <t>Sea Pine</t>
  </si>
  <si>
    <t>400505431949</t>
  </si>
  <si>
    <t>50543194</t>
  </si>
  <si>
    <t>Emerson Blue</t>
  </si>
  <si>
    <t>400459939218</t>
  </si>
  <si>
    <t>45993921</t>
  </si>
  <si>
    <t>400459939263</t>
  </si>
  <si>
    <t>45993926</t>
  </si>
  <si>
    <t>400505432274</t>
  </si>
  <si>
    <t>50543227</t>
  </si>
  <si>
    <t>400505432663</t>
  </si>
  <si>
    <t>50543266</t>
  </si>
  <si>
    <t>848601039216</t>
  </si>
  <si>
    <t>58975859</t>
  </si>
  <si>
    <t>6540435</t>
  </si>
  <si>
    <t>Sonoma Goods For Life® Silver Tone Wrinkle Hoop Earrings</t>
  </si>
  <si>
    <t>400651607205</t>
  </si>
  <si>
    <t>65160720</t>
  </si>
  <si>
    <t>6252423</t>
  </si>
  <si>
    <t>Girls 4-12 Little Co. by Lauren Conrad Organic Plaid Dress</t>
  </si>
  <si>
    <t>400651607212</t>
  </si>
  <si>
    <t>65160721</t>
  </si>
  <si>
    <t>Baby Boy Carter's Zip-Up Fleece Hoodie</t>
  </si>
  <si>
    <t>Brown Print</t>
  </si>
  <si>
    <t>195861985136</t>
  </si>
  <si>
    <t>81865816</t>
  </si>
  <si>
    <t>6048689</t>
  </si>
  <si>
    <t>Girls 4-14 Carter's Mockneck Top &amp; Houndstooth Dress Set</t>
  </si>
  <si>
    <t>Black Gold</t>
  </si>
  <si>
    <t>195861985150</t>
  </si>
  <si>
    <t>81865824</t>
  </si>
  <si>
    <t>195861985143</t>
  </si>
  <si>
    <t>81865817</t>
  </si>
  <si>
    <t>400701273848</t>
  </si>
  <si>
    <t>70127384</t>
  </si>
  <si>
    <t>6141750</t>
  </si>
  <si>
    <t>Girls 4-12 Jumping Beans® Two Tier Skirt</t>
  </si>
  <si>
    <t>Berry Unicorn</t>
  </si>
  <si>
    <t>400701273855</t>
  </si>
  <si>
    <t>70127385</t>
  </si>
  <si>
    <t>Rachel Shoes Harmoni Girls' Winter Boots</t>
  </si>
  <si>
    <t>700030295147</t>
  </si>
  <si>
    <t>29094029</t>
  </si>
  <si>
    <t>Black Suede</t>
  </si>
  <si>
    <t>700030295154</t>
  </si>
  <si>
    <t>29094030</t>
  </si>
  <si>
    <t>700030295161</t>
  </si>
  <si>
    <t>29094031</t>
  </si>
  <si>
    <t>700030295178</t>
  </si>
  <si>
    <t>29094032</t>
  </si>
  <si>
    <t>400651859611</t>
  </si>
  <si>
    <t>65185961</t>
  </si>
  <si>
    <t>6269490</t>
  </si>
  <si>
    <t>Crayola® X Kohl's Kids 1/4-Zip High Pile Fleece Pullover</t>
  </si>
  <si>
    <t>Eden</t>
  </si>
  <si>
    <t>400651859697</t>
  </si>
  <si>
    <t>65185969</t>
  </si>
  <si>
    <t>196095218403</t>
  </si>
  <si>
    <t>18431514</t>
  </si>
  <si>
    <t>5588399</t>
  </si>
  <si>
    <t>Juniors' SO® Cropped Keyhole Tank Top</t>
  </si>
  <si>
    <t>Coral Ditsy Floral</t>
  </si>
  <si>
    <t>196095218465</t>
  </si>
  <si>
    <t>18431520</t>
  </si>
  <si>
    <t>Green Check</t>
  </si>
  <si>
    <t>196095219080</t>
  </si>
  <si>
    <t>75495145</t>
  </si>
  <si>
    <t>Cinnamon Rose</t>
  </si>
  <si>
    <t>196095218656</t>
  </si>
  <si>
    <t>18431541</t>
  </si>
  <si>
    <t>Tan Check</t>
  </si>
  <si>
    <t>196095219141</t>
  </si>
  <si>
    <t>75495156</t>
  </si>
  <si>
    <t>Ozark Blue</t>
  </si>
  <si>
    <t>196095218410</t>
  </si>
  <si>
    <t>18431515</t>
  </si>
  <si>
    <t>196095218533</t>
  </si>
  <si>
    <t>18431528</t>
  </si>
  <si>
    <t>Medium Blue Floral</t>
  </si>
  <si>
    <t>196095218472</t>
  </si>
  <si>
    <t>18431521</t>
  </si>
  <si>
    <t>196095218595</t>
  </si>
  <si>
    <t>18431535</t>
  </si>
  <si>
    <t>Pink Wave Print</t>
  </si>
  <si>
    <t>196095219097</t>
  </si>
  <si>
    <t>75495146</t>
  </si>
  <si>
    <t>196095218663</t>
  </si>
  <si>
    <t>18431543</t>
  </si>
  <si>
    <t>196095219158</t>
  </si>
  <si>
    <t>75495158</t>
  </si>
  <si>
    <t>196095218427</t>
  </si>
  <si>
    <t>18431516</t>
  </si>
  <si>
    <t>196095218540</t>
  </si>
  <si>
    <t>18431529</t>
  </si>
  <si>
    <t>196095218489</t>
  </si>
  <si>
    <t>18431523</t>
  </si>
  <si>
    <t>196095218601</t>
  </si>
  <si>
    <t>18431536</t>
  </si>
  <si>
    <t>196095219103</t>
  </si>
  <si>
    <t>75495148</t>
  </si>
  <si>
    <t>196095218670</t>
  </si>
  <si>
    <t>18431544</t>
  </si>
  <si>
    <t>196095218434</t>
  </si>
  <si>
    <t>18431517</t>
  </si>
  <si>
    <t>196095218496</t>
  </si>
  <si>
    <t>18431524</t>
  </si>
  <si>
    <t>196095218618</t>
  </si>
  <si>
    <t>18431537</t>
  </si>
  <si>
    <t>196095218557</t>
  </si>
  <si>
    <t>18431530</t>
  </si>
  <si>
    <t>713610129756</t>
  </si>
  <si>
    <t>71124557</t>
  </si>
  <si>
    <t>6376214</t>
  </si>
  <si>
    <t>Women's Grand Slam Airflow Tummy Control 16&amp;#34; Golf Skort</t>
  </si>
  <si>
    <t>Women's Miss Elaine Essentials Printed Knit Short Snap Robe</t>
  </si>
  <si>
    <t>Black Tropical</t>
  </si>
  <si>
    <t>400728774793</t>
  </si>
  <si>
    <t>72877479</t>
  </si>
  <si>
    <t>6635466</t>
  </si>
  <si>
    <t>Baby &amp; Toddler Girl Jumping Beans® Adaptive Double Layer Bodysuit</t>
  </si>
  <si>
    <t>400728774496</t>
  </si>
  <si>
    <t>72877449</t>
  </si>
  <si>
    <t>Hudson Water</t>
  </si>
  <si>
    <t>400728774199</t>
  </si>
  <si>
    <t>72877419</t>
  </si>
  <si>
    <t>400728774809</t>
  </si>
  <si>
    <t>72877480</t>
  </si>
  <si>
    <t>400728774502</t>
  </si>
  <si>
    <t>72877450</t>
  </si>
  <si>
    <t>400728774205</t>
  </si>
  <si>
    <t>72877420</t>
  </si>
  <si>
    <t>400728774816</t>
  </si>
  <si>
    <t>72877481</t>
  </si>
  <si>
    <t>400728774519</t>
  </si>
  <si>
    <t>72877451</t>
  </si>
  <si>
    <t>400728774212</t>
  </si>
  <si>
    <t>72877421</t>
  </si>
  <si>
    <t>400728774823</t>
  </si>
  <si>
    <t>72877482</t>
  </si>
  <si>
    <t>400728774526</t>
  </si>
  <si>
    <t>72877452</t>
  </si>
  <si>
    <t>400728774229</t>
  </si>
  <si>
    <t>72877422</t>
  </si>
  <si>
    <t>400728774892</t>
  </si>
  <si>
    <t>72877489</t>
  </si>
  <si>
    <t>400728774595</t>
  </si>
  <si>
    <t>72877459</t>
  </si>
  <si>
    <t>400728774298</t>
  </si>
  <si>
    <t>72877429</t>
  </si>
  <si>
    <t>400728774908</t>
  </si>
  <si>
    <t>72877490</t>
  </si>
  <si>
    <t>400728774601</t>
  </si>
  <si>
    <t>72877460</t>
  </si>
  <si>
    <t>400728774304</t>
  </si>
  <si>
    <t>72877430</t>
  </si>
  <si>
    <t>400728774915</t>
  </si>
  <si>
    <t>72877491</t>
  </si>
  <si>
    <t>400728774618</t>
  </si>
  <si>
    <t>72877461</t>
  </si>
  <si>
    <t>400728774311</t>
  </si>
  <si>
    <t>72877431</t>
  </si>
  <si>
    <t>400728774922</t>
  </si>
  <si>
    <t>72877492</t>
  </si>
  <si>
    <t>400728774625</t>
  </si>
  <si>
    <t>72877462</t>
  </si>
  <si>
    <t>400728774328</t>
  </si>
  <si>
    <t>72877432</t>
  </si>
  <si>
    <t>196978725899</t>
  </si>
  <si>
    <t>29298647</t>
  </si>
  <si>
    <t>6478353</t>
  </si>
  <si>
    <t>Men's Levi's® Relaxed Fit Graphic Hoodie</t>
  </si>
  <si>
    <t>Poster Caviar</t>
  </si>
  <si>
    <t>196978725905</t>
  </si>
  <si>
    <t>29298649</t>
  </si>
  <si>
    <t>196978725912</t>
  </si>
  <si>
    <t>29298650</t>
  </si>
  <si>
    <t>642447715651</t>
  </si>
  <si>
    <t>18988593</t>
  </si>
  <si>
    <t>6807985</t>
  </si>
  <si>
    <t>Nine West Silver Tone Crystal Paperclip Hoop Earrings</t>
  </si>
  <si>
    <t>400688250184</t>
  </si>
  <si>
    <t>68825018</t>
  </si>
  <si>
    <t>5574760</t>
  </si>
  <si>
    <t>Baby &amp; Toddler Girl Jumping Beans® Basic Long Sleeve Tee</t>
  </si>
  <si>
    <t>197026348596</t>
  </si>
  <si>
    <t>37932685</t>
  </si>
  <si>
    <t>6426619</t>
  </si>
  <si>
    <t>Girls 4-12 Jumping Beans® L.O.L. Surprise! Graphic Tee</t>
  </si>
  <si>
    <t>197117339878</t>
  </si>
  <si>
    <t>37847034</t>
  </si>
  <si>
    <t>939</t>
  </si>
  <si>
    <t>6132496</t>
  </si>
  <si>
    <t>Big &amp; Tall Jammies For Your Families® Papa Elf Top &amp; Bottoms Pajama Set by Cuddl Duds®</t>
  </si>
  <si>
    <t>197117339885</t>
  </si>
  <si>
    <t>37847035</t>
  </si>
  <si>
    <t>740</t>
  </si>
  <si>
    <t>197117339915</t>
  </si>
  <si>
    <t>37847044</t>
  </si>
  <si>
    <t>197117339892</t>
  </si>
  <si>
    <t>37847036</t>
  </si>
  <si>
    <t>197117339922</t>
  </si>
  <si>
    <t>37847045</t>
  </si>
  <si>
    <t>639</t>
  </si>
  <si>
    <t>197117339908</t>
  </si>
  <si>
    <t>37847037</t>
  </si>
  <si>
    <t>197117339939</t>
  </si>
  <si>
    <t>37847046</t>
  </si>
  <si>
    <t>400867696697</t>
  </si>
  <si>
    <t>86769669</t>
  </si>
  <si>
    <t>6372141</t>
  </si>
  <si>
    <t>Girls 4-12 Jumping Beans® Long Sleeve Ribbed Velour Dress</t>
  </si>
  <si>
    <t>Peri Cheetah Heart</t>
  </si>
  <si>
    <t>400652234905</t>
  </si>
  <si>
    <t>65223490</t>
  </si>
  <si>
    <t>6304131</t>
  </si>
  <si>
    <t>LC Lauren Conrad Women's Metallic Faux Fur-Lined Clog Slippers</t>
  </si>
  <si>
    <t>400820692858</t>
  </si>
  <si>
    <t>82069285</t>
  </si>
  <si>
    <t>6270053</t>
  </si>
  <si>
    <t>Women's Tek Gear® Cargo Hoodie</t>
  </si>
  <si>
    <t>400820692865</t>
  </si>
  <si>
    <t>82069286</t>
  </si>
  <si>
    <t>400820693046</t>
  </si>
  <si>
    <t>82069304</t>
  </si>
  <si>
    <t>400820693053</t>
  </si>
  <si>
    <t>82069305</t>
  </si>
  <si>
    <t>400820692872</t>
  </si>
  <si>
    <t>82069287</t>
  </si>
  <si>
    <t>195566597917</t>
  </si>
  <si>
    <t>19689210</t>
  </si>
  <si>
    <t>5662250</t>
  </si>
  <si>
    <t>Men's Grogu Give Me Some Space Hoodie</t>
  </si>
  <si>
    <t>Moss</t>
  </si>
  <si>
    <t>400805480920</t>
  </si>
  <si>
    <t>80548092</t>
  </si>
  <si>
    <t>6478</t>
  </si>
  <si>
    <t>6316562</t>
  </si>
  <si>
    <t>St. Nicholas Square Mini Gnome Stocking</t>
  </si>
  <si>
    <t>194808757355</t>
  </si>
  <si>
    <t>46833549</t>
  </si>
  <si>
    <t>6452413</t>
  </si>
  <si>
    <t>Juniors' Lily Rose Sleeveless Tiered Molded Cup Skater Dress</t>
  </si>
  <si>
    <t>194808757362</t>
  </si>
  <si>
    <t>46833550</t>
  </si>
  <si>
    <t>Boys 4-14 Carter's Video Game Top &amp; Bottoms Pajama Set</t>
  </si>
  <si>
    <t>Blue Gamer Print</t>
  </si>
  <si>
    <t>825664345263</t>
  </si>
  <si>
    <t>50939402</t>
  </si>
  <si>
    <t>6250978</t>
  </si>
  <si>
    <t>Boys 8-20 Levi's® Flannel One Pocket Shirt</t>
  </si>
  <si>
    <t>Iced Coffee</t>
  </si>
  <si>
    <t>197026344574</t>
  </si>
  <si>
    <t>86593335</t>
  </si>
  <si>
    <t>6217855</t>
  </si>
  <si>
    <t>Girls 4-12 Jumping Beans Rainbow Paw Patrol Short Sleeve Tee</t>
  </si>
  <si>
    <t>Pink Veranda</t>
  </si>
  <si>
    <t>197026344581</t>
  </si>
  <si>
    <t>86593336</t>
  </si>
  <si>
    <t>196385023663</t>
  </si>
  <si>
    <t>75220831</t>
  </si>
  <si>
    <t>6489648</t>
  </si>
  <si>
    <t>Plus Size Freshwater Banded Swim Bottom</t>
  </si>
  <si>
    <t>Boho Babe</t>
  </si>
  <si>
    <t>196385023670</t>
  </si>
  <si>
    <t>75220832</t>
  </si>
  <si>
    <t>196385023687</t>
  </si>
  <si>
    <t>75220833</t>
  </si>
  <si>
    <t>193671534377</t>
  </si>
  <si>
    <t>80606437</t>
  </si>
  <si>
    <t>6373832</t>
  </si>
  <si>
    <t>Men's Dockers® Woven Windowpane Check Scarf</t>
  </si>
  <si>
    <t>Dockers</t>
  </si>
  <si>
    <t>400201233090</t>
  </si>
  <si>
    <t>20123309</t>
  </si>
  <si>
    <t>6303242</t>
  </si>
  <si>
    <t>Juniors' SO® Zip Front Cord Skirt</t>
  </si>
  <si>
    <t>Macy Maroon</t>
  </si>
  <si>
    <t>400201233106</t>
  </si>
  <si>
    <t>20123310</t>
  </si>
  <si>
    <t>400201233113</t>
  </si>
  <si>
    <t>20123311</t>
  </si>
  <si>
    <t>400201233304</t>
  </si>
  <si>
    <t>20123330</t>
  </si>
  <si>
    <t>400293707110</t>
  </si>
  <si>
    <t>29370711</t>
  </si>
  <si>
    <t>6261332</t>
  </si>
  <si>
    <t>Juniors' Plus Size SO® High Rise Knit Flare Pants</t>
  </si>
  <si>
    <t>Brighton Beige</t>
  </si>
  <si>
    <t>400293707172</t>
  </si>
  <si>
    <t>29370717</t>
  </si>
  <si>
    <t>400293707189</t>
  </si>
  <si>
    <t>29370718</t>
  </si>
  <si>
    <t>190917466683</t>
  </si>
  <si>
    <t>65960297</t>
  </si>
  <si>
    <t>6494256</t>
  </si>
  <si>
    <t>Plus Size INTEMPO Long-Sleeve Cropped Shirt</t>
  </si>
  <si>
    <t>190917466744</t>
  </si>
  <si>
    <t>65960305</t>
  </si>
  <si>
    <t>190917466751</t>
  </si>
  <si>
    <t>65960306</t>
  </si>
  <si>
    <t>190917466690</t>
  </si>
  <si>
    <t>65960303</t>
  </si>
  <si>
    <t>190917466768</t>
  </si>
  <si>
    <t>65960307</t>
  </si>
  <si>
    <t>190917466706</t>
  </si>
  <si>
    <t>65960304</t>
  </si>
  <si>
    <t>Columbia Bugaboot™ Celsius Toddler Waterproof Snow Boots</t>
  </si>
  <si>
    <t>195861902072</t>
  </si>
  <si>
    <t>58224891</t>
  </si>
  <si>
    <t>5979007</t>
  </si>
  <si>
    <t>Baby Boy Carter's Long Sleeve Jersey Henley</t>
  </si>
  <si>
    <t>Gray Burg</t>
  </si>
  <si>
    <t>195861833499</t>
  </si>
  <si>
    <t>55598532</t>
  </si>
  <si>
    <t>5932840</t>
  </si>
  <si>
    <t>Toddler Boy Carter's 1-Piece Mustard Long Sleeve Jumpsuit</t>
  </si>
  <si>
    <t>Mustard Stripe</t>
  </si>
  <si>
    <t>195861833451</t>
  </si>
  <si>
    <t>55598533</t>
  </si>
  <si>
    <t>096303407998</t>
  </si>
  <si>
    <t>70316679</t>
  </si>
  <si>
    <t>6861693</t>
  </si>
  <si>
    <t>Sterling Silver Crystal &amp; Mother of Pearl Mother Mary Cameo Pendant Necklace</t>
  </si>
  <si>
    <t>729367674692</t>
  </si>
  <si>
    <t>71751297</t>
  </si>
  <si>
    <t>6861691</t>
  </si>
  <si>
    <t>Sterling Silver 1/10 Carat T.W. Diamond Border Rope Chain Heart Pendant Necklace</t>
  </si>
  <si>
    <t>400540097001</t>
  </si>
  <si>
    <t>54009700</t>
  </si>
  <si>
    <t>5580467</t>
  </si>
  <si>
    <t>Baby &amp; Toddler Girl Jumping Beans® Cozy Lined Leggings</t>
  </si>
  <si>
    <t>886144307331</t>
  </si>
  <si>
    <t>64163764</t>
  </si>
  <si>
    <t>2265</t>
  </si>
  <si>
    <t>4413178</t>
  </si>
  <si>
    <t>Kohl's Cares® Disney Classics Plush - Bambi</t>
  </si>
  <si>
    <t>Bambi</t>
  </si>
  <si>
    <t>840038290505</t>
  </si>
  <si>
    <t>29771618</t>
  </si>
  <si>
    <t>6513304</t>
  </si>
  <si>
    <t>Woof &amp;#34;You Want A Peep of Me&amp;#34; Bandana and Toy Set</t>
  </si>
  <si>
    <t>840038290512</t>
  </si>
  <si>
    <t>18713321</t>
  </si>
  <si>
    <t>Men's Levi's® 517™ Bootcut Jeans</t>
  </si>
  <si>
    <t>Medium Indigo Worn In</t>
  </si>
  <si>
    <t>29X34</t>
  </si>
  <si>
    <t>30X34</t>
  </si>
  <si>
    <t>400590579311</t>
  </si>
  <si>
    <t>59057931</t>
  </si>
  <si>
    <t>7081227</t>
  </si>
  <si>
    <t>Women's FLX High-Rise 7/8 Brushed Performance Leggings</t>
  </si>
  <si>
    <t>Women's Columbia Holly Hideaway™ Cotton Flannel Shirt</t>
  </si>
  <si>
    <t>Faded Peach Ombre</t>
  </si>
  <si>
    <t>197117634508</t>
  </si>
  <si>
    <t>37573336</t>
  </si>
  <si>
    <t>6719816</t>
  </si>
  <si>
    <t>Disney's Nightmare Before Christmas Women's &amp;#34;Best Nightmare Ever&amp;#34; Long Sleeve Pajama Top &amp; Joggers Sleep Set</t>
  </si>
  <si>
    <t>Nbc</t>
  </si>
  <si>
    <t>197117634515</t>
  </si>
  <si>
    <t>37573337</t>
  </si>
  <si>
    <t>655209396821</t>
  </si>
  <si>
    <t>76796824</t>
  </si>
  <si>
    <t>6351419</t>
  </si>
  <si>
    <t>Girls SO® Pompom Beanie &amp; Gloves Set</t>
  </si>
  <si>
    <t>400332679972</t>
  </si>
  <si>
    <t>33267997</t>
  </si>
  <si>
    <t>6303172</t>
  </si>
  <si>
    <t>Juniors' Plus Size SO® Long Sleeve Mini Skater Dress</t>
  </si>
  <si>
    <t>400690459834</t>
  </si>
  <si>
    <t>69045983</t>
  </si>
  <si>
    <t>400332679989</t>
  </si>
  <si>
    <t>33267998</t>
  </si>
  <si>
    <t>400332680015</t>
  </si>
  <si>
    <t>33268001</t>
  </si>
  <si>
    <t>400690459841</t>
  </si>
  <si>
    <t>69045984</t>
  </si>
  <si>
    <t>400690459858</t>
  </si>
  <si>
    <t>69045985</t>
  </si>
  <si>
    <t>Women's Cuddl Duds® Lined Stretch Fabric Gloves</t>
  </si>
  <si>
    <t>196385010458</t>
  </si>
  <si>
    <t>55058377</t>
  </si>
  <si>
    <t>5503007</t>
  </si>
  <si>
    <t>Juniors' Plus Size Ninety-Nine° Front-Tie Ruffled Trim Bralette Swim Top</t>
  </si>
  <si>
    <t>Terry Texture Orchid B</t>
  </si>
  <si>
    <t>196385010465</t>
  </si>
  <si>
    <t>55058378</t>
  </si>
  <si>
    <t>Women's Skechers® Softknit Ottoman Ribbed Pullover</t>
  </si>
  <si>
    <t>197117330448</t>
  </si>
  <si>
    <t>77053641</t>
  </si>
  <si>
    <t>6131592</t>
  </si>
  <si>
    <t>Plus Size Jammies For Your Families® Sweater Knit Mama Elf Top &amp; Bottoms Pajama Set by Cuddl Duds®</t>
  </si>
  <si>
    <t>196497113771</t>
  </si>
  <si>
    <t>65869429</t>
  </si>
  <si>
    <t>6214593</t>
  </si>
  <si>
    <t>Caterpillar Cat Urban Passage Shirt Jacket</t>
  </si>
  <si>
    <t>Caterpillar</t>
  </si>
  <si>
    <t>196497113764</t>
  </si>
  <si>
    <t>65869430</t>
  </si>
  <si>
    <t>196407543971</t>
  </si>
  <si>
    <t>70379095</t>
  </si>
  <si>
    <t>5203186</t>
  </si>
  <si>
    <t>Big &amp; Tall IZOD Saltwater Classic-Fit Performance Beach Button-Down Shirt</t>
  </si>
  <si>
    <t>Chambray Blue</t>
  </si>
  <si>
    <t>196407544084</t>
  </si>
  <si>
    <t>28873384</t>
  </si>
  <si>
    <t>196407544749</t>
  </si>
  <si>
    <t>73163142</t>
  </si>
  <si>
    <t>196407568851</t>
  </si>
  <si>
    <t>44191995</t>
  </si>
  <si>
    <t>196407593181</t>
  </si>
  <si>
    <t>44192011</t>
  </si>
  <si>
    <t>madden girl Ease-Hr Women's Tan Faux-Fur Boots</t>
  </si>
  <si>
    <t>400466254632</t>
  </si>
  <si>
    <t>46625463</t>
  </si>
  <si>
    <t>6933377</t>
  </si>
  <si>
    <t>Cinnamon</t>
  </si>
  <si>
    <t>197026812820</t>
  </si>
  <si>
    <t>30884800</t>
  </si>
  <si>
    <t>6619593</t>
  </si>
  <si>
    <t>Girls 4-12 Jumping Beans® Sanrio Gudetama Happy Easter Graphic Tee</t>
  </si>
  <si>
    <t>Yellow Bloom</t>
  </si>
  <si>
    <t>197026812837</t>
  </si>
  <si>
    <t>30884801</t>
  </si>
  <si>
    <t>197026812844</t>
  </si>
  <si>
    <t>30884807</t>
  </si>
  <si>
    <t>197026812851</t>
  </si>
  <si>
    <t>30884808</t>
  </si>
  <si>
    <t>197026812868</t>
  </si>
  <si>
    <t>30884809</t>
  </si>
  <si>
    <t>197026812882</t>
  </si>
  <si>
    <t>30884810</t>
  </si>
  <si>
    <t>197026812899</t>
  </si>
  <si>
    <t>30884811</t>
  </si>
  <si>
    <t>197026812905</t>
  </si>
  <si>
    <t>30884817</t>
  </si>
  <si>
    <t>400379126972</t>
  </si>
  <si>
    <t>37912697</t>
  </si>
  <si>
    <t>6173271</t>
  </si>
  <si>
    <t>Disney's Minnie Mouse Girls 4-12 Graphic Tee by Jumping Beans®</t>
  </si>
  <si>
    <t>Floral Minnie Ivory</t>
  </si>
  <si>
    <t>840132330329</t>
  </si>
  <si>
    <t>50659707</t>
  </si>
  <si>
    <t>6617211</t>
  </si>
  <si>
    <t>Men's Caliville Stretch Quarter-Zip Pullover</t>
  </si>
  <si>
    <t>840132330374</t>
  </si>
  <si>
    <t>50659724</t>
  </si>
  <si>
    <t>840132330336</t>
  </si>
  <si>
    <t>50659706</t>
  </si>
  <si>
    <t>840132330381</t>
  </si>
  <si>
    <t>50659717</t>
  </si>
  <si>
    <t>193671503571</t>
  </si>
  <si>
    <t>76788080</t>
  </si>
  <si>
    <t>6425107</t>
  </si>
  <si>
    <t>Men's Levi's® Jersey Lined Rib Knit Beanie with Woven Logo Patch</t>
  </si>
  <si>
    <t>196095219202</t>
  </si>
  <si>
    <t>29239472</t>
  </si>
  <si>
    <t>5589773</t>
  </si>
  <si>
    <t>Juniors' Plus Size SO® Cropped Keyhole Tank Top</t>
  </si>
  <si>
    <t>196095219417</t>
  </si>
  <si>
    <t>47820957</t>
  </si>
  <si>
    <t>196095219325</t>
  </si>
  <si>
    <t>29239532</t>
  </si>
  <si>
    <t>196095219295</t>
  </si>
  <si>
    <t>29239502</t>
  </si>
  <si>
    <t>196095219387</t>
  </si>
  <si>
    <t>47820954</t>
  </si>
  <si>
    <t>196095219219</t>
  </si>
  <si>
    <t>29239482</t>
  </si>
  <si>
    <t>196095219332</t>
  </si>
  <si>
    <t>29239542</t>
  </si>
  <si>
    <t>196095219301</t>
  </si>
  <si>
    <t>29239512</t>
  </si>
  <si>
    <t>196095219394</t>
  </si>
  <si>
    <t>47820955</t>
  </si>
  <si>
    <t>196095219424</t>
  </si>
  <si>
    <t>47820964</t>
  </si>
  <si>
    <t>196095219226</t>
  </si>
  <si>
    <t>29239492</t>
  </si>
  <si>
    <t>196095219349</t>
  </si>
  <si>
    <t>29239552</t>
  </si>
  <si>
    <t>196095219318</t>
  </si>
  <si>
    <t>29239522</t>
  </si>
  <si>
    <t>196095219400</t>
  </si>
  <si>
    <t>47820956</t>
  </si>
  <si>
    <t>196095219431</t>
  </si>
  <si>
    <t>47820965</t>
  </si>
  <si>
    <t>195862111855</t>
  </si>
  <si>
    <t>20307495</t>
  </si>
  <si>
    <t>6185579</t>
  </si>
  <si>
    <t>Baby Carter's &amp;#34;My First St. Patrick's Day&amp;#34; Teething Bib</t>
  </si>
  <si>
    <t>826422734688</t>
  </si>
  <si>
    <t>53912075</t>
  </si>
  <si>
    <t>5744310</t>
  </si>
  <si>
    <t>Girls 7-16 Plus Knit Works Floral Dress &amp; Suede Jacket Set</t>
  </si>
  <si>
    <t>826422734695</t>
  </si>
  <si>
    <t>53912076</t>
  </si>
  <si>
    <t>716825622036</t>
  </si>
  <si>
    <t>69683819</t>
  </si>
  <si>
    <t>6858450</t>
  </si>
  <si>
    <t>Rhodium-Plated Sterling Silver Butterfly Cuff Bangle Bracelet</t>
  </si>
  <si>
    <t>096303408018</t>
  </si>
  <si>
    <t>75529800</t>
  </si>
  <si>
    <t>6861698</t>
  </si>
  <si>
    <t>Sterling Silver Cubic Zirconia Baguette Cross Pendant Necklace</t>
  </si>
  <si>
    <t>734815077659</t>
  </si>
  <si>
    <t>69817011</t>
  </si>
  <si>
    <t>6858928</t>
  </si>
  <si>
    <t>Sterling Silver Diamond Accent Wedding Band Ring</t>
  </si>
  <si>
    <t>193506103310</t>
  </si>
  <si>
    <t>30952819</t>
  </si>
  <si>
    <t>6860562</t>
  </si>
  <si>
    <t>Sterling Silver Clear &amp; Rainbow Cubic Zirconia Drop Earrings</t>
  </si>
  <si>
    <t>193506103204</t>
  </si>
  <si>
    <t>73137473</t>
  </si>
  <si>
    <t>6860561</t>
  </si>
  <si>
    <t>14k Gold Over Sterling Silver Cubic Zirconia Clover Drop Earrings</t>
  </si>
  <si>
    <t>886440742386</t>
  </si>
  <si>
    <t>65211220</t>
  </si>
  <si>
    <t>6345090</t>
  </si>
  <si>
    <t>Doggy Parton Red Gingham Overalls Dress</t>
  </si>
  <si>
    <t>Doggy Parton</t>
  </si>
  <si>
    <t>196989273648</t>
  </si>
  <si>
    <t>20499225</t>
  </si>
  <si>
    <t>6056674</t>
  </si>
  <si>
    <t>Women's Skechers® GOSCULPT™ Python Print Tank Top Top</t>
  </si>
  <si>
    <t>Python Print</t>
  </si>
  <si>
    <t>196989273655</t>
  </si>
  <si>
    <t>20499226</t>
  </si>
  <si>
    <t>196989273662</t>
  </si>
  <si>
    <t>20499227</t>
  </si>
  <si>
    <t>196989273679</t>
  </si>
  <si>
    <t>20499228</t>
  </si>
  <si>
    <t>196989273693</t>
  </si>
  <si>
    <t>20499230</t>
  </si>
  <si>
    <t>196989273709</t>
  </si>
  <si>
    <t>20499231</t>
  </si>
  <si>
    <t>400596135368</t>
  </si>
  <si>
    <t>59613536</t>
  </si>
  <si>
    <t>6165920</t>
  </si>
  <si>
    <t>Big &amp; Tall Jammies For Your Families® Doodle Santa Cozy Microfleece Top &amp; Bottom Pajama Set</t>
  </si>
  <si>
    <t>Doodle Santa Clusters</t>
  </si>
  <si>
    <t>400596135375</t>
  </si>
  <si>
    <t>59613537</t>
  </si>
  <si>
    <t>400596135443</t>
  </si>
  <si>
    <t>59613544</t>
  </si>
  <si>
    <t>400596135450</t>
  </si>
  <si>
    <t>59613545</t>
  </si>
  <si>
    <t>196385016375</t>
  </si>
  <si>
    <t>71111035</t>
  </si>
  <si>
    <t>5611962</t>
  </si>
  <si>
    <t>Juniors' Ninety-Nine Degrees° High Leg V-Hem Cheeky Swim Bottoms</t>
  </si>
  <si>
    <t>196385016382</t>
  </si>
  <si>
    <t>71111036</t>
  </si>
  <si>
    <t>196385016399</t>
  </si>
  <si>
    <t>71111037</t>
  </si>
  <si>
    <t>196385016405</t>
  </si>
  <si>
    <t>71111043</t>
  </si>
  <si>
    <t>196385016412</t>
  </si>
  <si>
    <t>71111044</t>
  </si>
  <si>
    <t>196385016429</t>
  </si>
  <si>
    <t>71111045</t>
  </si>
  <si>
    <t>196327204211</t>
  </si>
  <si>
    <t>50745986</t>
  </si>
  <si>
    <t>Girls 7-16 Levi's® Flannel Hooded Top</t>
  </si>
  <si>
    <t>196327204228</t>
  </si>
  <si>
    <t>50745987</t>
  </si>
  <si>
    <t>196327204235</t>
  </si>
  <si>
    <t>50745994</t>
  </si>
  <si>
    <t>400561110048</t>
  </si>
  <si>
    <t>56111004</t>
  </si>
  <si>
    <t>6302281</t>
  </si>
  <si>
    <t>Plus Size Nine West V-Neck Trapunto Tunic</t>
  </si>
  <si>
    <t>400303400468</t>
  </si>
  <si>
    <t>30340046</t>
  </si>
  <si>
    <t>6115555</t>
  </si>
  <si>
    <t>Baby &amp; Toddler Boy Little Co. by Lauren Conrad Organic Long-Sleeve Henley</t>
  </si>
  <si>
    <t>Almost Olive</t>
  </si>
  <si>
    <t>400303400048</t>
  </si>
  <si>
    <t>30340004</t>
  </si>
  <si>
    <t>Soft Blue Stripe</t>
  </si>
  <si>
    <t>400303400253</t>
  </si>
  <si>
    <t>30340025</t>
  </si>
  <si>
    <t>Ivory Stripe</t>
  </si>
  <si>
    <t>400303400260</t>
  </si>
  <si>
    <t>30340026</t>
  </si>
  <si>
    <t>400303400529</t>
  </si>
  <si>
    <t>30340052</t>
  </si>
  <si>
    <t>400303400536</t>
  </si>
  <si>
    <t>30340053</t>
  </si>
  <si>
    <t>400303400543</t>
  </si>
  <si>
    <t>30340054</t>
  </si>
  <si>
    <t>Rachel Shoes Lil Leanna Toddler Girls' Combat Boots</t>
  </si>
  <si>
    <t>652874723112</t>
  </si>
  <si>
    <t>46822416</t>
  </si>
  <si>
    <t>6372145</t>
  </si>
  <si>
    <t>Juniors' Speechless Halter Neck Lace Back Mini Dress</t>
  </si>
  <si>
    <t>652874723044</t>
  </si>
  <si>
    <t>46822410</t>
  </si>
  <si>
    <t>197117365242</t>
  </si>
  <si>
    <t>29161578</t>
  </si>
  <si>
    <t>6197033</t>
  </si>
  <si>
    <t>Men's Cuddl Duds® Heavyweight Far-Infrared Enhance Performance Base Layer Pants</t>
  </si>
  <si>
    <t>197117365297</t>
  </si>
  <si>
    <t>29161588</t>
  </si>
  <si>
    <t>Ebony</t>
  </si>
  <si>
    <t>197026813803</t>
  </si>
  <si>
    <t>20483047</t>
  </si>
  <si>
    <t>6619653</t>
  </si>
  <si>
    <t>Baby &amp; Toddler Girl Jumping Beans® Gudetama Cartoon &amp;#34;Happy Easter&amp;#34; Graphic Tee</t>
  </si>
  <si>
    <t>Yellow Heather</t>
  </si>
  <si>
    <t>197026813810</t>
  </si>
  <si>
    <t>20483048</t>
  </si>
  <si>
    <t>197026813834</t>
  </si>
  <si>
    <t>20483050</t>
  </si>
  <si>
    <t>197026813841</t>
  </si>
  <si>
    <t>20483051</t>
  </si>
  <si>
    <t>197026813858</t>
  </si>
  <si>
    <t>20483052</t>
  </si>
  <si>
    <t>197026813865</t>
  </si>
  <si>
    <t>20483053</t>
  </si>
  <si>
    <t>729367808295</t>
  </si>
  <si>
    <t>71804869</t>
  </si>
  <si>
    <t>6861704</t>
  </si>
  <si>
    <t>10k Gold MAMA Engraved Necklace</t>
  </si>
  <si>
    <t>193506103013</t>
  </si>
  <si>
    <t>38523900</t>
  </si>
  <si>
    <t>6860565</t>
  </si>
  <si>
    <t>Sterling Silver Blue Cubic Zirconia Pave Ring</t>
  </si>
  <si>
    <t>734815077451</t>
  </si>
  <si>
    <t>69683820</t>
  </si>
  <si>
    <t>6858950</t>
  </si>
  <si>
    <t>Diamond Accent Leaf Band Ring</t>
  </si>
  <si>
    <t>734815077413</t>
  </si>
  <si>
    <t>71477365</t>
  </si>
  <si>
    <t>400546092345</t>
  </si>
  <si>
    <t>54609234</t>
  </si>
  <si>
    <t>5642350</t>
  </si>
  <si>
    <t>Big &amp; Tall Sonoma Goods For Life® Fleece Vest</t>
  </si>
  <si>
    <t>400591534050</t>
  </si>
  <si>
    <t>59153405</t>
  </si>
  <si>
    <t>716838355983</t>
  </si>
  <si>
    <t>28279752</t>
  </si>
  <si>
    <t>4626823</t>
  </si>
  <si>
    <t>14k Gold Over Sterling Silver Glitter Drop Earrings</t>
  </si>
  <si>
    <t>14k Gold Square Tube Rope Twist Drop Earrings</t>
  </si>
  <si>
    <t>madden girl Picadilly Women's Shoes</t>
  </si>
  <si>
    <t>642447709131</t>
  </si>
  <si>
    <t>47524247</t>
  </si>
  <si>
    <t>6644412</t>
  </si>
  <si>
    <t>Simply Vera Vera Wang Silver Tone Stone &amp; Ribbon Linear Drop Earrings</t>
  </si>
  <si>
    <t>197772005453</t>
  </si>
  <si>
    <t>58092852</t>
  </si>
  <si>
    <t>6408477</t>
  </si>
  <si>
    <t>Juniors' Elf Holiday Long Sleeve Graphic Tee</t>
  </si>
  <si>
    <t>400782095834</t>
  </si>
  <si>
    <t>78209583</t>
  </si>
  <si>
    <t>6304573</t>
  </si>
  <si>
    <t>Jammies For Your Families Family Bears Kid's Slippers</t>
  </si>
  <si>
    <t>400782095841</t>
  </si>
  <si>
    <t>78209584</t>
  </si>
  <si>
    <t>400782095766</t>
  </si>
  <si>
    <t>78209576</t>
  </si>
  <si>
    <t>400782095780</t>
  </si>
  <si>
    <t>78209578</t>
  </si>
  <si>
    <t>Women's adidas Textured Full-Zip Jacket</t>
  </si>
  <si>
    <t>196153468726</t>
  </si>
  <si>
    <t>80698149</t>
  </si>
  <si>
    <t>5828752</t>
  </si>
  <si>
    <t>Boys 8-20 Nike Dri-FIT Multi+ Printed Training Shorts</t>
  </si>
  <si>
    <t>196753802722</t>
  </si>
  <si>
    <t>63578586</t>
  </si>
  <si>
    <t>6132501</t>
  </si>
  <si>
    <t>Girls 7-16 Sonoma Community™ La Vida Es Bella Hispanic Heritage Month Short Sleeve Tee</t>
  </si>
  <si>
    <t>La Vida Es Bella</t>
  </si>
  <si>
    <t>196753802739</t>
  </si>
  <si>
    <t>63578587</t>
  </si>
  <si>
    <t>196753802746</t>
  </si>
  <si>
    <t>63578588</t>
  </si>
  <si>
    <t>Men's Adaptive Tommy Hilfiger Drake Straight-Leg Jeans</t>
  </si>
  <si>
    <t>Drake</t>
  </si>
  <si>
    <t>196095460246</t>
  </si>
  <si>
    <t>74386811</t>
  </si>
  <si>
    <t>6286867</t>
  </si>
  <si>
    <t>Baby &amp; Toddler Girls Jumping Beans® Long Sleeve Crewneck Sweater</t>
  </si>
  <si>
    <t>Pink Gold Stripe</t>
  </si>
  <si>
    <t>196095460253</t>
  </si>
  <si>
    <t>74386812</t>
  </si>
  <si>
    <t>196095460260</t>
  </si>
  <si>
    <t>74386819</t>
  </si>
  <si>
    <t>195861980902</t>
  </si>
  <si>
    <t>37211543</t>
  </si>
  <si>
    <t>6060204</t>
  </si>
  <si>
    <t>Baby Girl Carter's 2-Piece Fuzzy Pullover &amp; Legging Set</t>
  </si>
  <si>
    <t>195861980865</t>
  </si>
  <si>
    <t>37211540</t>
  </si>
  <si>
    <t>888435792727</t>
  </si>
  <si>
    <t>30049093</t>
  </si>
  <si>
    <t>6131355</t>
  </si>
  <si>
    <t>Girls 7-16 PUMA Flawless Pack Fleece Pullover Hoodie</t>
  </si>
  <si>
    <t>888435792710</t>
  </si>
  <si>
    <t>30049094</t>
  </si>
  <si>
    <t>888435791966</t>
  </si>
  <si>
    <t>78983038</t>
  </si>
  <si>
    <t>6131708</t>
  </si>
  <si>
    <t>Girls 7-16 PUMA Academy Pack Fleece Joggers</t>
  </si>
  <si>
    <t>888435791904</t>
  </si>
  <si>
    <t>78983035</t>
  </si>
  <si>
    <t>888435791959</t>
  </si>
  <si>
    <t>78983039</t>
  </si>
  <si>
    <t>886440743253</t>
  </si>
  <si>
    <t>65511614</t>
  </si>
  <si>
    <t>6230960</t>
  </si>
  <si>
    <t>Doggy Parton Pink Raised On Dolly Dog Tee</t>
  </si>
  <si>
    <t>886440743260</t>
  </si>
  <si>
    <t>73915851</t>
  </si>
  <si>
    <t>886440743277</t>
  </si>
  <si>
    <t>18828921</t>
  </si>
  <si>
    <t>886440743284</t>
  </si>
  <si>
    <t>58670548</t>
  </si>
  <si>
    <t>197161323731</t>
  </si>
  <si>
    <t>80210506</t>
  </si>
  <si>
    <t>6372542</t>
  </si>
  <si>
    <t>Boys' Seattle Seahawks Pullover Fleece Hoodie</t>
  </si>
  <si>
    <t>Sea Navy</t>
  </si>
  <si>
    <t>197161323748</t>
  </si>
  <si>
    <t>80210507</t>
  </si>
  <si>
    <t>400634778281</t>
  </si>
  <si>
    <t>63477828</t>
  </si>
  <si>
    <t>5523879</t>
  </si>
  <si>
    <t>Juniors' SO® Tie-Front Ruffled Tiered Short</t>
  </si>
  <si>
    <t>Yellow Ditsy Floral</t>
  </si>
  <si>
    <t>195861290742</t>
  </si>
  <si>
    <t>81835150</t>
  </si>
  <si>
    <t>5579509</t>
  </si>
  <si>
    <t>Girls 4-14 Carter's Raglan Graphic Tee</t>
  </si>
  <si>
    <t>Gray Optimist</t>
  </si>
  <si>
    <t>195861290759</t>
  </si>
  <si>
    <t>81835151</t>
  </si>
  <si>
    <t>195861290773</t>
  </si>
  <si>
    <t>81835158</t>
  </si>
  <si>
    <t>195861290780</t>
  </si>
  <si>
    <t>81835159</t>
  </si>
  <si>
    <t>195861290766</t>
  </si>
  <si>
    <t>81835152</t>
  </si>
  <si>
    <t>400718168366</t>
  </si>
  <si>
    <t>71816836</t>
  </si>
  <si>
    <t>6535427</t>
  </si>
  <si>
    <t>Celebrate Together™ Easter Plush Gnome Table Decor</t>
  </si>
  <si>
    <t>091217593744</t>
  </si>
  <si>
    <t>50868968</t>
  </si>
  <si>
    <t>6207055</t>
  </si>
  <si>
    <t>Women's Dearfoams Astrid Sparkle Slide Slippers</t>
  </si>
  <si>
    <t>091217593669</t>
  </si>
  <si>
    <t>50868964</t>
  </si>
  <si>
    <t>Paradise Pink</t>
  </si>
  <si>
    <t>091217593584</t>
  </si>
  <si>
    <t>50868972</t>
  </si>
  <si>
    <t>196407929294</t>
  </si>
  <si>
    <t>52376474</t>
  </si>
  <si>
    <t>6076537</t>
  </si>
  <si>
    <t>Men's IZOD Mountain Twill Button Down Shirt</t>
  </si>
  <si>
    <t>After Dark</t>
  </si>
  <si>
    <t>196407929133</t>
  </si>
  <si>
    <t>18745872</t>
  </si>
  <si>
    <t>Spray Green</t>
  </si>
  <si>
    <t>196407929270</t>
  </si>
  <si>
    <t>52376476</t>
  </si>
  <si>
    <t>Women's Eddie Bauer Quest Plush Fleece 1/4 Zip Pullover</t>
  </si>
  <si>
    <t>Baby Girl Carter's St. Patrick's Day Tutu Dress</t>
  </si>
  <si>
    <t>195862002467</t>
  </si>
  <si>
    <t>20453331</t>
  </si>
  <si>
    <t>6044648</t>
  </si>
  <si>
    <t>Baby Girl Carter's 3-Piece Tee, Cat Jumper, &amp; Tights Set</t>
  </si>
  <si>
    <t>195883322490</t>
  </si>
  <si>
    <t>73662375</t>
  </si>
  <si>
    <t>5089791</t>
  </si>
  <si>
    <t>Boys 4-12 Jumping Beans® Minecraft Costume Fleece Hoodie</t>
  </si>
  <si>
    <t>Classic Green</t>
  </si>
  <si>
    <t>197026801732</t>
  </si>
  <si>
    <t>70383608</t>
  </si>
  <si>
    <t>6600032</t>
  </si>
  <si>
    <t>Girls 4-12 Jumping Beans® Sanrio Gudetama Graphic Tee</t>
  </si>
  <si>
    <t>197026801749</t>
  </si>
  <si>
    <t>70383609</t>
  </si>
  <si>
    <t>197026801756</t>
  </si>
  <si>
    <t>70383610</t>
  </si>
  <si>
    <t>197026801763</t>
  </si>
  <si>
    <t>70383611</t>
  </si>
  <si>
    <t>840202366340</t>
  </si>
  <si>
    <t>47709995</t>
  </si>
  <si>
    <t>5269309</t>
  </si>
  <si>
    <t>Juniors' Ninety-Nine° Colorblock Halter Bikini Top</t>
  </si>
  <si>
    <t>Pink Punch Shine Rib</t>
  </si>
  <si>
    <t>840202366357</t>
  </si>
  <si>
    <t>47709996</t>
  </si>
  <si>
    <t>840202366364</t>
  </si>
  <si>
    <t>47709997</t>
  </si>
  <si>
    <t>840202366371</t>
  </si>
  <si>
    <t>47710004</t>
  </si>
  <si>
    <t>840202366388</t>
  </si>
  <si>
    <t>47710005</t>
  </si>
  <si>
    <t>840202373867</t>
  </si>
  <si>
    <t>47710006</t>
  </si>
  <si>
    <t>655209396678</t>
  </si>
  <si>
    <t>19532106</t>
  </si>
  <si>
    <t>6351421</t>
  </si>
  <si>
    <t>Girls SO® Rhinestone Accent Pompom Beanie &amp; Gloves Set</t>
  </si>
  <si>
    <t>Gray Rhinestone</t>
  </si>
  <si>
    <t>655209396654</t>
  </si>
  <si>
    <t>19532104</t>
  </si>
  <si>
    <t>Black Rhinestone</t>
  </si>
  <si>
    <t>655209396661</t>
  </si>
  <si>
    <t>19532105</t>
  </si>
  <si>
    <t>655209396685</t>
  </si>
  <si>
    <t>19532107</t>
  </si>
  <si>
    <t>197026442454</t>
  </si>
  <si>
    <t>28159962</t>
  </si>
  <si>
    <t>6386440</t>
  </si>
  <si>
    <t>Baby &amp; Toddler Boy Jumping Beans® Marvel Spider-Man &amp;#34;Having a Web-Tastic Birthday&amp;#34; Long Sleeve Graphic Tee</t>
  </si>
  <si>
    <t>197026442461</t>
  </si>
  <si>
    <t>28159963</t>
  </si>
  <si>
    <t>197026442478</t>
  </si>
  <si>
    <t>28159964</t>
  </si>
  <si>
    <t>197117364351</t>
  </si>
  <si>
    <t>58271257</t>
  </si>
  <si>
    <t>6197012</t>
  </si>
  <si>
    <t>Men's Cuddl Duds® Heavyweight ArctiCore Performance Base Layer Mock Neck Top</t>
  </si>
  <si>
    <t>197117364368</t>
  </si>
  <si>
    <t>58271258</t>
  </si>
  <si>
    <t>400293651000</t>
  </si>
  <si>
    <t>29365100</t>
  </si>
  <si>
    <t>7081919</t>
  </si>
  <si>
    <t>Girls 6-20 SO® Adaptive Sensory Leggings in Regular &amp; Plus</t>
  </si>
  <si>
    <t>400293651017</t>
  </si>
  <si>
    <t>29365101</t>
  </si>
  <si>
    <t>190917461312</t>
  </si>
  <si>
    <t>45986316</t>
  </si>
  <si>
    <t>6312164</t>
  </si>
  <si>
    <t>Women's INTEMPO Mockneck Cut-Out Mini Dress</t>
  </si>
  <si>
    <t>Acorn</t>
  </si>
  <si>
    <t>190917461268</t>
  </si>
  <si>
    <t>45986311</t>
  </si>
  <si>
    <t>190917461329</t>
  </si>
  <si>
    <t>45986317</t>
  </si>
  <si>
    <t>400378033769</t>
  </si>
  <si>
    <t>37803376</t>
  </si>
  <si>
    <t>6116158</t>
  </si>
  <si>
    <t>Baby &amp; Toddler Little Co. by Lauren Conrad Organic French Terry Pocket Pants</t>
  </si>
  <si>
    <t>Rose Quartz</t>
  </si>
  <si>
    <t>400378032953</t>
  </si>
  <si>
    <t>37803295</t>
  </si>
  <si>
    <t>400332682996</t>
  </si>
  <si>
    <t>33268299</t>
  </si>
  <si>
    <t>6315769</t>
  </si>
  <si>
    <t>Women's Nine West Turtleneck Tunic Sweater</t>
  </si>
  <si>
    <t>400332683009</t>
  </si>
  <si>
    <t>33268300</t>
  </si>
  <si>
    <t>400786528413</t>
  </si>
  <si>
    <t>78652841</t>
  </si>
  <si>
    <t>6110713</t>
  </si>
  <si>
    <t>Petite Croft &amp; Barrow® The Extra Soft Cabled Crewneck Sweater</t>
  </si>
  <si>
    <t>400786528499</t>
  </si>
  <si>
    <t>78652849</t>
  </si>
  <si>
    <t>400441630727</t>
  </si>
  <si>
    <t>44163072</t>
  </si>
  <si>
    <t>195566847371</t>
  </si>
  <si>
    <t>78558984</t>
  </si>
  <si>
    <t>6183540</t>
  </si>
  <si>
    <t>Girls 6-16 Polaroid Camera Skater Graphic Tee in Regular &amp; Plus Size</t>
  </si>
  <si>
    <t>Blue Polaroid</t>
  </si>
  <si>
    <t>195566847388</t>
  </si>
  <si>
    <t>78558985</t>
  </si>
  <si>
    <t>195566846763</t>
  </si>
  <si>
    <t>81847215</t>
  </si>
  <si>
    <t>195566846770</t>
  </si>
  <si>
    <t>81847216</t>
  </si>
  <si>
    <t>195566846787</t>
  </si>
  <si>
    <t>81847217</t>
  </si>
  <si>
    <t>195566846794</t>
  </si>
  <si>
    <t>81847224</t>
  </si>
  <si>
    <t>886440742393</t>
  </si>
  <si>
    <t>65392235</t>
  </si>
  <si>
    <t>6345091</t>
  </si>
  <si>
    <t>Doggy Parton Black Hard To Be A Diamond T-Shirt</t>
  </si>
  <si>
    <t>886440742409</t>
  </si>
  <si>
    <t>50699567</t>
  </si>
  <si>
    <t>886440742416</t>
  </si>
  <si>
    <t>65019811</t>
  </si>
  <si>
    <t>886440742423</t>
  </si>
  <si>
    <t>50010951</t>
  </si>
  <si>
    <t>195862116171</t>
  </si>
  <si>
    <t>30109369</t>
  </si>
  <si>
    <t>6185692</t>
  </si>
  <si>
    <t>Baby Carter's My First Valentine's Day Bodysuit</t>
  </si>
  <si>
    <t>196325644521</t>
  </si>
  <si>
    <t>76978356</t>
  </si>
  <si>
    <t>5764480</t>
  </si>
  <si>
    <t>Girls 4-12 Jumping Beans® Encanto Sister Goals Graphic Tee</t>
  </si>
  <si>
    <t>Peri Lane</t>
  </si>
  <si>
    <t>400740095999</t>
  </si>
  <si>
    <t>74009599</t>
  </si>
  <si>
    <t>5290975</t>
  </si>
  <si>
    <t>Big &amp; Tall Sonoma Goods For Life® Regular-Fit Tech Cargo Shorts</t>
  </si>
  <si>
    <t>400740096002</t>
  </si>
  <si>
    <t>74009600</t>
  </si>
  <si>
    <t>Women's Parfait Wave Wireless Sports Bra P6052</t>
  </si>
  <si>
    <t>32 E</t>
  </si>
  <si>
    <t>32 F</t>
  </si>
  <si>
    <t>400768051847</t>
  </si>
  <si>
    <t>76805184</t>
  </si>
  <si>
    <t>6131357</t>
  </si>
  <si>
    <t>Juniors' SO® Buttoned Faux Wrap Skirt</t>
  </si>
  <si>
    <t>400768051779</t>
  </si>
  <si>
    <t>76805177</t>
  </si>
  <si>
    <t>Blue Green Plaid</t>
  </si>
  <si>
    <t>400768051786</t>
  </si>
  <si>
    <t>76805178</t>
  </si>
  <si>
    <t>400768051854</t>
  </si>
  <si>
    <t>76805185</t>
  </si>
  <si>
    <t>400768051793</t>
  </si>
  <si>
    <t>76805179</t>
  </si>
  <si>
    <t>400768051861</t>
  </si>
  <si>
    <t>76805186</t>
  </si>
  <si>
    <t>400768051809</t>
  </si>
  <si>
    <t>76805180</t>
  </si>
  <si>
    <t>400768051878</t>
  </si>
  <si>
    <t>76805187</t>
  </si>
  <si>
    <t>400768051816</t>
  </si>
  <si>
    <t>76805181</t>
  </si>
  <si>
    <t>400768051885</t>
  </si>
  <si>
    <t>76805188</t>
  </si>
  <si>
    <t>400768051823</t>
  </si>
  <si>
    <t>76805182</t>
  </si>
  <si>
    <t>400768051892</t>
  </si>
  <si>
    <t>76805189</t>
  </si>
  <si>
    <t>400834311929</t>
  </si>
  <si>
    <t>83431192</t>
  </si>
  <si>
    <t>400834311882</t>
  </si>
  <si>
    <t>83431188</t>
  </si>
  <si>
    <t>400834311936</t>
  </si>
  <si>
    <t>83431193</t>
  </si>
  <si>
    <t>400834311899</t>
  </si>
  <si>
    <t>83431189</t>
  </si>
  <si>
    <t>400834311905</t>
  </si>
  <si>
    <t>83431190</t>
  </si>
  <si>
    <t>400834311967</t>
  </si>
  <si>
    <t>83431196</t>
  </si>
  <si>
    <t>400834311912</t>
  </si>
  <si>
    <t>83431191</t>
  </si>
  <si>
    <t>400834311974</t>
  </si>
  <si>
    <t>83431197</t>
  </si>
  <si>
    <t>191730565904</t>
  </si>
  <si>
    <t>50112552</t>
  </si>
  <si>
    <t>6334525</t>
  </si>
  <si>
    <t>Girls Elli by Capelli Sherpa Earmuff &amp; Glove Set</t>
  </si>
  <si>
    <t>195142149677</t>
  </si>
  <si>
    <t>18775798</t>
  </si>
  <si>
    <t>5818923</t>
  </si>
  <si>
    <t>Disney's Minnie Mouse Little Kid Girls' Slippers</t>
  </si>
  <si>
    <t>195142149684</t>
  </si>
  <si>
    <t>18775799</t>
  </si>
  <si>
    <t>195142149691</t>
  </si>
  <si>
    <t>18775800</t>
  </si>
  <si>
    <t>195142149707</t>
  </si>
  <si>
    <t>18775801</t>
  </si>
  <si>
    <t>195142149714</t>
  </si>
  <si>
    <t>18775803</t>
  </si>
  <si>
    <t>400769027148</t>
  </si>
  <si>
    <t>76902714</t>
  </si>
  <si>
    <t>6225892</t>
  </si>
  <si>
    <t>Sonoma Community™ Hispanic Heritage Month Trucker Cap</t>
  </si>
  <si>
    <t>Fuerte</t>
  </si>
  <si>
    <t>Baby Carter's 2-Piece &amp;#34;My First Christmas&amp;#34; Bodysuit &amp; Leggings Set</t>
  </si>
  <si>
    <t>195862121090</t>
  </si>
  <si>
    <t>65842204</t>
  </si>
  <si>
    <t>6185702</t>
  </si>
  <si>
    <t>Baby Girl 2-Piece Heart Sweatshirt &amp; Pant Set</t>
  </si>
  <si>
    <t>400618687004</t>
  </si>
  <si>
    <t>61868700</t>
  </si>
  <si>
    <t>5561249</t>
  </si>
  <si>
    <t>Juniors' Plus Size SO® Cropped Front Lace-Up Top</t>
  </si>
  <si>
    <t>400618686830</t>
  </si>
  <si>
    <t>61868683</t>
  </si>
  <si>
    <t>Coral Shore</t>
  </si>
  <si>
    <t>400618686922</t>
  </si>
  <si>
    <t>61868692</t>
  </si>
  <si>
    <t>Dynasty Turquoise</t>
  </si>
  <si>
    <t>400618687103</t>
  </si>
  <si>
    <t>61868710</t>
  </si>
  <si>
    <t>Infantry Olive</t>
  </si>
  <si>
    <t>400618687011</t>
  </si>
  <si>
    <t>61868701</t>
  </si>
  <si>
    <t>400618686809</t>
  </si>
  <si>
    <t>61868680</t>
  </si>
  <si>
    <t>Monica Purple</t>
  </si>
  <si>
    <t>400618686939</t>
  </si>
  <si>
    <t>61868693</t>
  </si>
  <si>
    <t>400618686816</t>
  </si>
  <si>
    <t>61868681</t>
  </si>
  <si>
    <t>400618687028</t>
  </si>
  <si>
    <t>61868702</t>
  </si>
  <si>
    <t>400618687110</t>
  </si>
  <si>
    <t>61868711</t>
  </si>
  <si>
    <t>195862003716</t>
  </si>
  <si>
    <t>76595981</t>
  </si>
  <si>
    <t>6051067</t>
  </si>
  <si>
    <t>Baby Girl Carter's Sun Printed Fleece Dress</t>
  </si>
  <si>
    <t>195862003679</t>
  </si>
  <si>
    <t>76595972</t>
  </si>
  <si>
    <t>195862003686</t>
  </si>
  <si>
    <t>76595979</t>
  </si>
  <si>
    <t>195862003693</t>
  </si>
  <si>
    <t>76595980</t>
  </si>
  <si>
    <t>840132330671</t>
  </si>
  <si>
    <t>50215816</t>
  </si>
  <si>
    <t>6619031</t>
  </si>
  <si>
    <t>Men's Caliville Stretch Striped Flannel Shirt</t>
  </si>
  <si>
    <t>840132330626</t>
  </si>
  <si>
    <t>50215811</t>
  </si>
  <si>
    <t>840132330572</t>
  </si>
  <si>
    <t>50215821</t>
  </si>
  <si>
    <t>840132330688</t>
  </si>
  <si>
    <t>50215815</t>
  </si>
  <si>
    <t>840132330633</t>
  </si>
  <si>
    <t>50215810</t>
  </si>
  <si>
    <t>840132330589</t>
  </si>
  <si>
    <t>50215820</t>
  </si>
  <si>
    <t>840132330640</t>
  </si>
  <si>
    <t>50215809</t>
  </si>
  <si>
    <t>840132330596</t>
  </si>
  <si>
    <t>50215819</t>
  </si>
  <si>
    <t>840132330695</t>
  </si>
  <si>
    <t>50215814</t>
  </si>
  <si>
    <t>840132330701</t>
  </si>
  <si>
    <t>50215817</t>
  </si>
  <si>
    <t>840132330657</t>
  </si>
  <si>
    <t>50215812</t>
  </si>
  <si>
    <t>840132330602</t>
  </si>
  <si>
    <t>50215822</t>
  </si>
  <si>
    <t>840132330718</t>
  </si>
  <si>
    <t>50215818</t>
  </si>
  <si>
    <t>840132330664</t>
  </si>
  <si>
    <t>50215813</t>
  </si>
  <si>
    <t>840132330619</t>
  </si>
  <si>
    <t>50215823</t>
  </si>
  <si>
    <t>BigMouth Inc. &amp;#34;Let's Get Elfed Up&amp;#34; Beer Glass</t>
  </si>
  <si>
    <t>BigMouth Inc.</t>
  </si>
  <si>
    <t>196753797882</t>
  </si>
  <si>
    <t>76862541</t>
  </si>
  <si>
    <t>6092730</t>
  </si>
  <si>
    <t>Sonoma Community® Adult Pride Woven Shirt</t>
  </si>
  <si>
    <t>195861294313</t>
  </si>
  <si>
    <t>54693196</t>
  </si>
  <si>
    <t>6524718</t>
  </si>
  <si>
    <t>Baby Boy Carter's &amp;#34;Ready To Play&amp;#34; Active Top &amp; Pants Set - Size: 9 Months</t>
  </si>
  <si>
    <t>Navy Active</t>
  </si>
  <si>
    <t>197117363187</t>
  </si>
  <si>
    <t>80475543</t>
  </si>
  <si>
    <t>6196967</t>
  </si>
  <si>
    <t>Men's Cuddl Duds® Lightweight ModalCore Performance Base Layer Crew Top</t>
  </si>
  <si>
    <t>197117363200</t>
  </si>
  <si>
    <t>80475553</t>
  </si>
  <si>
    <t>027657950168</t>
  </si>
  <si>
    <t>56487652</t>
  </si>
  <si>
    <t>6861609</t>
  </si>
  <si>
    <t>14k Yellow Gold Cubic Zirconium Butterfly Stud Earrings</t>
  </si>
  <si>
    <t>Who Killed Mia? Adult Party Game What Do You Meme?</t>
  </si>
  <si>
    <t>197178400975</t>
  </si>
  <si>
    <t>37790366</t>
  </si>
  <si>
    <t>6568905</t>
  </si>
  <si>
    <t>Juniors' SO® Parachute Skirt</t>
  </si>
  <si>
    <t>400310965950</t>
  </si>
  <si>
    <t>31096595</t>
  </si>
  <si>
    <t>5815711</t>
  </si>
  <si>
    <t>Local</t>
  </si>
  <si>
    <t>400310966148</t>
  </si>
  <si>
    <t>31096614</t>
  </si>
  <si>
    <t>Ivory Stay Golden</t>
  </si>
  <si>
    <t>652874749846</t>
  </si>
  <si>
    <t>82623520</t>
  </si>
  <si>
    <t>6489837</t>
  </si>
  <si>
    <t>Juniors' Plus Size Speechless Long Sleeve Faux Wrap Dress</t>
  </si>
  <si>
    <t>652874749884</t>
  </si>
  <si>
    <t>82623517</t>
  </si>
  <si>
    <t>652874749853</t>
  </si>
  <si>
    <t>82623521</t>
  </si>
  <si>
    <t>652874749891</t>
  </si>
  <si>
    <t>82623518</t>
  </si>
  <si>
    <t>652874749907</t>
  </si>
  <si>
    <t>82623519</t>
  </si>
  <si>
    <t>652874749860</t>
  </si>
  <si>
    <t>82623522</t>
  </si>
  <si>
    <t>400281813731</t>
  </si>
  <si>
    <t>28181373</t>
  </si>
  <si>
    <t>6311383</t>
  </si>
  <si>
    <t>Girls 6-20 SO® Adaptive Faux-Wrap Skort in Regular &amp; Plus Size</t>
  </si>
  <si>
    <t>400804108474</t>
  </si>
  <si>
    <t>80410847</t>
  </si>
  <si>
    <t>400187812289</t>
  </si>
  <si>
    <t>18781228</t>
  </si>
  <si>
    <t>400297068293</t>
  </si>
  <si>
    <t>29706829</t>
  </si>
  <si>
    <t>400297068309</t>
  </si>
  <si>
    <t>29706830</t>
  </si>
  <si>
    <t>400187812296</t>
  </si>
  <si>
    <t>18781229</t>
  </si>
  <si>
    <t>400297068316</t>
  </si>
  <si>
    <t>29706831</t>
  </si>
  <si>
    <t>400187812302</t>
  </si>
  <si>
    <t>18781230</t>
  </si>
  <si>
    <t>400297068323</t>
  </si>
  <si>
    <t>29706832</t>
  </si>
  <si>
    <t>400187812319</t>
  </si>
  <si>
    <t>18781231</t>
  </si>
  <si>
    <t>400297068330</t>
  </si>
  <si>
    <t>29706833</t>
  </si>
  <si>
    <t>400187812326</t>
  </si>
  <si>
    <t>18781232</t>
  </si>
  <si>
    <t>195861423027</t>
  </si>
  <si>
    <t>29506599</t>
  </si>
  <si>
    <t>5611237</t>
  </si>
  <si>
    <t>Girls 4-8 Carter's Flutter Shoulder Sweater Dress</t>
  </si>
  <si>
    <t>195861423003</t>
  </si>
  <si>
    <t>29506608</t>
  </si>
  <si>
    <t>195861423010</t>
  </si>
  <si>
    <t>29506609</t>
  </si>
  <si>
    <t>190917463156</t>
  </si>
  <si>
    <t>65037368</t>
  </si>
  <si>
    <t>6313001</t>
  </si>
  <si>
    <t>Plus Size INTEMPO™ Mock Neck Cold Shoulder Cutout Long Sleeve Top</t>
  </si>
  <si>
    <t>190917463279</t>
  </si>
  <si>
    <t>65037379</t>
  </si>
  <si>
    <t>190917463224</t>
  </si>
  <si>
    <t>65037372</t>
  </si>
  <si>
    <t>190917463163</t>
  </si>
  <si>
    <t>65037369</t>
  </si>
  <si>
    <t>190917463286</t>
  </si>
  <si>
    <t>65037380</t>
  </si>
  <si>
    <t>886440744052</t>
  </si>
  <si>
    <t>74387111</t>
  </si>
  <si>
    <t>6287177</t>
  </si>
  <si>
    <t>886440744069</t>
  </si>
  <si>
    <t>74387109</t>
  </si>
  <si>
    <t>886440744076</t>
  </si>
  <si>
    <t>74387112</t>
  </si>
  <si>
    <t>887863800028</t>
  </si>
  <si>
    <t>71489550</t>
  </si>
  <si>
    <t>6353575</t>
  </si>
  <si>
    <t>Girls 7-16 Knit Works Tie-Front Shrug &amp; Jumpsuit Set in Regular &amp; Plus Size</t>
  </si>
  <si>
    <t>887863799445</t>
  </si>
  <si>
    <t>76797001</t>
  </si>
  <si>
    <t>195861881520</t>
  </si>
  <si>
    <t>54619257</t>
  </si>
  <si>
    <t>5954077</t>
  </si>
  <si>
    <t>Baby Girl Carter's 2-Piece Plaid Top &amp; Knit Denim Leggings Set</t>
  </si>
  <si>
    <t>Multiplaid</t>
  </si>
  <si>
    <t>195861881537</t>
  </si>
  <si>
    <t>54619258</t>
  </si>
  <si>
    <t>Men's Levi's® 512™ Slim-Fit Tapered Stretch Jeans</t>
  </si>
  <si>
    <t>October Love</t>
  </si>
  <si>
    <t>196099538958</t>
  </si>
  <si>
    <t>71129655</t>
  </si>
  <si>
    <t>Gray Stonewash</t>
  </si>
  <si>
    <t>Upbounders A Day at The Barbershop 48-Piece Jumbo Floor Puzzle</t>
  </si>
  <si>
    <t>713610463386</t>
  </si>
  <si>
    <t>29178711</t>
  </si>
  <si>
    <t>6093339</t>
  </si>
  <si>
    <t>Women's Grand Slam Petals Sleeveless Golf Top</t>
  </si>
  <si>
    <t>713610463393</t>
  </si>
  <si>
    <t>29178717</t>
  </si>
  <si>
    <t>713610463409</t>
  </si>
  <si>
    <t>29178718</t>
  </si>
  <si>
    <t>713610463416</t>
  </si>
  <si>
    <t>29178719</t>
  </si>
  <si>
    <t>195862256242</t>
  </si>
  <si>
    <t>66198745</t>
  </si>
  <si>
    <t>6433152</t>
  </si>
  <si>
    <t>Baby Carter's First Easter Teething Bib</t>
  </si>
  <si>
    <t>195365506387</t>
  </si>
  <si>
    <t>79285861</t>
  </si>
  <si>
    <t>541</t>
  </si>
  <si>
    <t>6122992</t>
  </si>
  <si>
    <t>Boys 8-20 ZeroXposur Summit Reversible Beanie Hat &amp; Winter Gloves Set</t>
  </si>
  <si>
    <t>Navy Ocean</t>
  </si>
  <si>
    <t>195365506462</t>
  </si>
  <si>
    <t>79285866</t>
  </si>
  <si>
    <t>197178077405</t>
  </si>
  <si>
    <t>73547627</t>
  </si>
  <si>
    <t>6118808</t>
  </si>
  <si>
    <t>Boys 8-20 Sonoma Community™ Hispanic Heritage Month Short Sleeve Button Down Top</t>
  </si>
  <si>
    <t>197178077382</t>
  </si>
  <si>
    <t>73547628</t>
  </si>
  <si>
    <t>197178077399</t>
  </si>
  <si>
    <t>73547633</t>
  </si>
  <si>
    <t>Rachel Shoes Lil Agatha Toddler Girls' Ankle Boots</t>
  </si>
  <si>
    <t>400807697104</t>
  </si>
  <si>
    <t>80769710</t>
  </si>
  <si>
    <t>5686172</t>
  </si>
  <si>
    <t>Baby &amp; Toddler Girl Jumping Beans® Adaptive Double-Layer Bodysuit</t>
  </si>
  <si>
    <t>400807697135</t>
  </si>
  <si>
    <t>80769713</t>
  </si>
  <si>
    <t>400807697142</t>
  </si>
  <si>
    <t>80769714</t>
  </si>
  <si>
    <t>400807697159</t>
  </si>
  <si>
    <t>80769715</t>
  </si>
  <si>
    <t>400807697166</t>
  </si>
  <si>
    <t>80769716</t>
  </si>
  <si>
    <t>400769330163</t>
  </si>
  <si>
    <t>76933016</t>
  </si>
  <si>
    <t>6115652</t>
  </si>
  <si>
    <t>Baby &amp; Toddler Little Co. by Lauren Conrad Hoodie</t>
  </si>
  <si>
    <t>Faded Lime Peace</t>
  </si>
  <si>
    <t>400769329860</t>
  </si>
  <si>
    <t>76932986</t>
  </si>
  <si>
    <t>Soft Blue Desert</t>
  </si>
  <si>
    <t>400787279888</t>
  </si>
  <si>
    <t>78727988</t>
  </si>
  <si>
    <t>Ivory Multi Stripe</t>
  </si>
  <si>
    <t>400769330170</t>
  </si>
  <si>
    <t>76933017</t>
  </si>
  <si>
    <t>400728774397</t>
  </si>
  <si>
    <t>72877439</t>
  </si>
  <si>
    <t>6588859</t>
  </si>
  <si>
    <t>400728774717</t>
  </si>
  <si>
    <t>72877471</t>
  </si>
  <si>
    <t>086201927209</t>
  </si>
  <si>
    <t>62327653</t>
  </si>
  <si>
    <t>4509825</t>
  </si>
  <si>
    <t>Men's Cuddl Duds® Scrubs Classic Pants</t>
  </si>
  <si>
    <t>086201927216</t>
  </si>
  <si>
    <t>62327660</t>
  </si>
  <si>
    <t>086201927223</t>
  </si>
  <si>
    <t>18940672</t>
  </si>
  <si>
    <t>190917463699</t>
  </si>
  <si>
    <t>44172657</t>
  </si>
  <si>
    <t>6312997</t>
  </si>
  <si>
    <t>Plus Size INTEMPO™ Mockneck Sweater Dress</t>
  </si>
  <si>
    <t>190917463705</t>
  </si>
  <si>
    <t>44172658</t>
  </si>
  <si>
    <t>197505015735</t>
  </si>
  <si>
    <t>37640956</t>
  </si>
  <si>
    <t>6446412</t>
  </si>
  <si>
    <t>Women's Lilac+London Babydoll Chemise &amp; Thong Lingerie Set</t>
  </si>
  <si>
    <t>195883887371</t>
  </si>
  <si>
    <t>64256649</t>
  </si>
  <si>
    <t>5493811</t>
  </si>
  <si>
    <t>Boys 4-12 Jumping Beans® Holiday Long Sleeve Tee</t>
  </si>
  <si>
    <t>195883887388</t>
  </si>
  <si>
    <t>64256650</t>
  </si>
  <si>
    <t>197178331965</t>
  </si>
  <si>
    <t>63174789</t>
  </si>
  <si>
    <t>6483505</t>
  </si>
  <si>
    <t>Juniors' SO® Balloon Leg Denim Jeans</t>
  </si>
  <si>
    <t>197178332016</t>
  </si>
  <si>
    <t>63174797</t>
  </si>
  <si>
    <t>197178332023</t>
  </si>
  <si>
    <t>63174798</t>
  </si>
  <si>
    <t>400304266254</t>
  </si>
  <si>
    <t>30426625</t>
  </si>
  <si>
    <t>5831232</t>
  </si>
  <si>
    <t>Girls 7-20 Tek Gear® Soft Tek Tee in Regular &amp; Plus</t>
  </si>
  <si>
    <t>Tremendous Teal</t>
  </si>
  <si>
    <t>400304266162</t>
  </si>
  <si>
    <t>30426616</t>
  </si>
  <si>
    <t>400394654429</t>
  </si>
  <si>
    <t>39465442</t>
  </si>
  <si>
    <t>400394654337</t>
  </si>
  <si>
    <t>39465433</t>
  </si>
  <si>
    <t>400394654436</t>
  </si>
  <si>
    <t>39465443</t>
  </si>
  <si>
    <t>400394654399</t>
  </si>
  <si>
    <t>39465439</t>
  </si>
  <si>
    <t>400394654498</t>
  </si>
  <si>
    <t>39465449</t>
  </si>
  <si>
    <t>400394654412</t>
  </si>
  <si>
    <t>39465441</t>
  </si>
  <si>
    <t>400394654504</t>
  </si>
  <si>
    <t>39465450</t>
  </si>
  <si>
    <t>713610127448</t>
  </si>
  <si>
    <t>61617118</t>
  </si>
  <si>
    <t>6131073</t>
  </si>
  <si>
    <t>Women's Grand Slam Colorblock Sleeveless Flounce Golf Dress</t>
  </si>
  <si>
    <t>Bluing</t>
  </si>
  <si>
    <t>713610127455</t>
  </si>
  <si>
    <t>61617119</t>
  </si>
  <si>
    <t>713610127462</t>
  </si>
  <si>
    <t>61617121</t>
  </si>
  <si>
    <t>713610127479</t>
  </si>
  <si>
    <t>61617122</t>
  </si>
  <si>
    <t>713610127486</t>
  </si>
  <si>
    <t>61617123</t>
  </si>
  <si>
    <t>056297219576</t>
  </si>
  <si>
    <t>80655372</t>
  </si>
  <si>
    <t>6437825</t>
  </si>
  <si>
    <t>Professor Puzzle Written in the Cards</t>
  </si>
  <si>
    <t>Professor Puzzle USA</t>
  </si>
  <si>
    <t>196407934380</t>
  </si>
  <si>
    <t>37671207</t>
  </si>
  <si>
    <t>6035066</t>
  </si>
  <si>
    <t>Men's IZOD Fleece Quarter-Zip Sweater</t>
  </si>
  <si>
    <t>Light Gray Colorbock</t>
  </si>
  <si>
    <t>196407934335</t>
  </si>
  <si>
    <t>37671224</t>
  </si>
  <si>
    <t>Rock Colorblock</t>
  </si>
  <si>
    <t>196407934373</t>
  </si>
  <si>
    <t>37671214</t>
  </si>
  <si>
    <t>196407934397</t>
  </si>
  <si>
    <t>37671216</t>
  </si>
  <si>
    <t>889260805835</t>
  </si>
  <si>
    <t>46127351</t>
  </si>
  <si>
    <t>5795821</t>
  </si>
  <si>
    <t>totes Tayton Mid Toddler Boys' Waterproof Winter Boots in Tayton Red</t>
  </si>
  <si>
    <t>889260805842</t>
  </si>
  <si>
    <t>46127352</t>
  </si>
  <si>
    <t>889260805859</t>
  </si>
  <si>
    <t>46127353</t>
  </si>
  <si>
    <t>889260805873</t>
  </si>
  <si>
    <t>46127355</t>
  </si>
  <si>
    <t>400626896603</t>
  </si>
  <si>
    <t>62689660</t>
  </si>
  <si>
    <t>6334353</t>
  </si>
  <si>
    <t>Girls 6-20 SO® Sparkle Plaid Top in Regular &amp; Plus Size</t>
  </si>
  <si>
    <t>Holiday Shine</t>
  </si>
  <si>
    <t>400626896108</t>
  </si>
  <si>
    <t>62689610</t>
  </si>
  <si>
    <t>Cream Plaid</t>
  </si>
  <si>
    <t>400820491567</t>
  </si>
  <si>
    <t>82049156</t>
  </si>
  <si>
    <t>196325770831</t>
  </si>
  <si>
    <t>77128174</t>
  </si>
  <si>
    <t>5827332</t>
  </si>
  <si>
    <t>Girls 4-12 Jumping Beans® Short-Sleeve Classic Panther Tee</t>
  </si>
  <si>
    <t>Peach Frenzy Heather</t>
  </si>
  <si>
    <t>196325770848</t>
  </si>
  <si>
    <t>77128179</t>
  </si>
  <si>
    <t>196325770855</t>
  </si>
  <si>
    <t>77128180</t>
  </si>
  <si>
    <t>196325770862</t>
  </si>
  <si>
    <t>77128181</t>
  </si>
  <si>
    <t>196325770879</t>
  </si>
  <si>
    <t>77128182</t>
  </si>
  <si>
    <t>Plus Size Columbia Holly Hideaway™ Plaid Flannel Shirt</t>
  </si>
  <si>
    <t>191730765915</t>
  </si>
  <si>
    <t>69120037</t>
  </si>
  <si>
    <t>6334600</t>
  </si>
  <si>
    <t>Girls Elli by Capelli Sweet Unicorn Earmuff &amp; Glove Set</t>
  </si>
  <si>
    <t>Blue Combo</t>
  </si>
  <si>
    <t>400767345725</t>
  </si>
  <si>
    <t>76734572</t>
  </si>
  <si>
    <t>6168976</t>
  </si>
  <si>
    <t>Kids 4-16 Jammies For Your Families® Doodle Santa Top &amp; Bottom Set</t>
  </si>
  <si>
    <t>400767345664</t>
  </si>
  <si>
    <t>76734566</t>
  </si>
  <si>
    <t>Medium Skin Tone Santa</t>
  </si>
  <si>
    <t>400767345596</t>
  </si>
  <si>
    <t>76734559</t>
  </si>
  <si>
    <t>Deep Skin Tone Santa</t>
  </si>
  <si>
    <t>400767345602</t>
  </si>
  <si>
    <t>76734560</t>
  </si>
  <si>
    <t>Baby Carter's 2-Piece Bodysuit &amp; Bottoms My First Halloween Set</t>
  </si>
  <si>
    <t>Orange My1st Halloween</t>
  </si>
  <si>
    <t>Snoop Doggie Doggs Deluxe Dog T-Shirt</t>
  </si>
  <si>
    <t>197178137109</t>
  </si>
  <si>
    <t>69938133</t>
  </si>
  <si>
    <t>6214986</t>
  </si>
  <si>
    <t>Juniors' Rewind Crochet-Trim Tank Top</t>
  </si>
  <si>
    <t>Rewind</t>
  </si>
  <si>
    <t>197178137307</t>
  </si>
  <si>
    <t>69938143</t>
  </si>
  <si>
    <t>400441902688</t>
  </si>
  <si>
    <t>44190268</t>
  </si>
  <si>
    <t>1101</t>
  </si>
  <si>
    <t>6337852</t>
  </si>
  <si>
    <t>Men's Sonoma Goods For Life® Knit Gloves</t>
  </si>
  <si>
    <t>400441902701</t>
  </si>
  <si>
    <t>44190270</t>
  </si>
  <si>
    <t>400176919371</t>
  </si>
  <si>
    <t>17691937</t>
  </si>
  <si>
    <t>5145387</t>
  </si>
  <si>
    <t>Maternity Sonoma Goods For Life® 2-pack Essential Short Sleeve Tee</t>
  </si>
  <si>
    <t>Grey Black</t>
  </si>
  <si>
    <t>400773196458</t>
  </si>
  <si>
    <t>77319645</t>
  </si>
  <si>
    <t>7081886</t>
  </si>
  <si>
    <t>Baby &amp; Toddler Girl Jumping Beans® Essential Rib Tank Top</t>
  </si>
  <si>
    <t>196385016610</t>
  </si>
  <si>
    <t>18432384</t>
  </si>
  <si>
    <t>5611964</t>
  </si>
  <si>
    <t>Juniors' Ninety-Nine Degrees° Cheeky Hipster Bottoms</t>
  </si>
  <si>
    <t>Multi Coco Floral</t>
  </si>
  <si>
    <t>196385016634</t>
  </si>
  <si>
    <t>18432386</t>
  </si>
  <si>
    <t>196385016641</t>
  </si>
  <si>
    <t>18432387</t>
  </si>
  <si>
    <t>196385016658</t>
  </si>
  <si>
    <t>18432388</t>
  </si>
  <si>
    <t>196385016665</t>
  </si>
  <si>
    <t>18432389</t>
  </si>
  <si>
    <t>400715175350</t>
  </si>
  <si>
    <t>71517535</t>
  </si>
  <si>
    <t>5034879</t>
  </si>
  <si>
    <t>Men's Sonoma Goods For Life® Flannel Pajama Pants</t>
  </si>
  <si>
    <t>Red Black Check</t>
  </si>
  <si>
    <t>400782985067</t>
  </si>
  <si>
    <t>78298506</t>
  </si>
  <si>
    <t>Red Tiny Triangle</t>
  </si>
  <si>
    <t>400834748121</t>
  </si>
  <si>
    <t>83474812</t>
  </si>
  <si>
    <t>6271527</t>
  </si>
  <si>
    <t>Baby &amp; Toddler Boy Jumping Beans® Marvel's Spider-Man Long Sleeve Holiday Graphic Tee</t>
  </si>
  <si>
    <t>JB MARVEL</t>
  </si>
  <si>
    <t>400834748138</t>
  </si>
  <si>
    <t>83474813</t>
  </si>
  <si>
    <t>652874470962</t>
  </si>
  <si>
    <t>58240262</t>
  </si>
  <si>
    <t>5634651</t>
  </si>
  <si>
    <t>Juniors' Plus Size Speechless Back Cutout Lace Skater Dress</t>
  </si>
  <si>
    <t>Black Glitter</t>
  </si>
  <si>
    <t>652874470979</t>
  </si>
  <si>
    <t>58240263</t>
  </si>
  <si>
    <t>Sterling Silver Lab-Created Pink Sapphire &amp; Diamond Accent Mother &amp; Baby Pendant Necklace</t>
  </si>
  <si>
    <t>713610430654</t>
  </si>
  <si>
    <t>61316571</t>
  </si>
  <si>
    <t>6020108</t>
  </si>
  <si>
    <t>Men's Grand SlamPro Ottoman 1/4-Zip Golf Jacket</t>
  </si>
  <si>
    <t>713610430715</t>
  </si>
  <si>
    <t>61316582</t>
  </si>
  <si>
    <t>713610430661</t>
  </si>
  <si>
    <t>61316572</t>
  </si>
  <si>
    <t>713610430722</t>
  </si>
  <si>
    <t>61316583</t>
  </si>
  <si>
    <t>075000775029</t>
  </si>
  <si>
    <t>99350947</t>
  </si>
  <si>
    <t>2161238</t>
  </si>
  <si>
    <t>Tanzanite &amp; White Topaz Sterling Silver Bracelet</t>
  </si>
  <si>
    <t>193506104867</t>
  </si>
  <si>
    <t>78670700</t>
  </si>
  <si>
    <t>6880606</t>
  </si>
  <si>
    <t>14k Gold Tri-Twist Hoop Clasp Earrings</t>
  </si>
  <si>
    <t>14k Tri Tone</t>
  </si>
  <si>
    <t>716825698536</t>
  </si>
  <si>
    <t>67363168</t>
  </si>
  <si>
    <t>6858429</t>
  </si>
  <si>
    <t>Sterling Silver Geometric Double Loop Pendant Necklace</t>
  </si>
  <si>
    <t>716838394302</t>
  </si>
  <si>
    <t>74692196</t>
  </si>
  <si>
    <t>6859537</t>
  </si>
  <si>
    <t>Taylor Grace 10K Gold Cubic Zirconia J Stud Earrings</t>
  </si>
  <si>
    <t>734815077932</t>
  </si>
  <si>
    <t>58582967</t>
  </si>
  <si>
    <t>6858942</t>
  </si>
  <si>
    <t>Men's Black &amp; White Tungsten Step Edge Comfort Fit Band Ring</t>
  </si>
  <si>
    <t>Tungsten</t>
  </si>
  <si>
    <t>400735782187</t>
  </si>
  <si>
    <t>73578218</t>
  </si>
  <si>
    <t>6130341</t>
  </si>
  <si>
    <t>Girls 4-12 Jumping Beans® Adaptive French Terry Pull-On Jeggings</t>
  </si>
  <si>
    <t>400735782255</t>
  </si>
  <si>
    <t>73578225</t>
  </si>
  <si>
    <t>400828635789</t>
  </si>
  <si>
    <t>82863578</t>
  </si>
  <si>
    <t>6651032</t>
  </si>
  <si>
    <t>Juniors' SO® Utility Maxi Skirt</t>
  </si>
  <si>
    <t>400818500943</t>
  </si>
  <si>
    <t>81850094</t>
  </si>
  <si>
    <t>6303638</t>
  </si>
  <si>
    <t>Girls SO® Split Hem Flared Pants in Regular &amp; Plus</t>
  </si>
  <si>
    <t>400818500950</t>
  </si>
  <si>
    <t>81850095</t>
  </si>
  <si>
    <t>400818500851</t>
  </si>
  <si>
    <t>81850085</t>
  </si>
  <si>
    <t>400818500967</t>
  </si>
  <si>
    <t>81850096</t>
  </si>
  <si>
    <t>400818500868</t>
  </si>
  <si>
    <t>81850086</t>
  </si>
  <si>
    <t>400818500974</t>
  </si>
  <si>
    <t>81850097</t>
  </si>
  <si>
    <t>889260805217</t>
  </si>
  <si>
    <t>76008205</t>
  </si>
  <si>
    <t>4538626</t>
  </si>
  <si>
    <t>totes Galaxy Mid Toddler Girls' Waterproof Winter Boots</t>
  </si>
  <si>
    <t>889260805170</t>
  </si>
  <si>
    <t>77146233</t>
  </si>
  <si>
    <t>White Pink</t>
  </si>
  <si>
    <t>033977610347</t>
  </si>
  <si>
    <t>62878591</t>
  </si>
  <si>
    <t>6889952</t>
  </si>
  <si>
    <t>MUK LUKS® Women's Leigh Slipper Boots</t>
  </si>
  <si>
    <t>Black Diamond</t>
  </si>
  <si>
    <t>033977620193</t>
  </si>
  <si>
    <t>62878611</t>
  </si>
  <si>
    <t>197161324011</t>
  </si>
  <si>
    <t>80210536</t>
  </si>
  <si>
    <t>6372550</t>
  </si>
  <si>
    <t>197161324028</t>
  </si>
  <si>
    <t>80210537</t>
  </si>
  <si>
    <t>197161324035</t>
  </si>
  <si>
    <t>80210538</t>
  </si>
  <si>
    <t>191730765977</t>
  </si>
  <si>
    <t>37870459</t>
  </si>
  <si>
    <t>6340009</t>
  </si>
  <si>
    <t>Girls Elli by Capelli Sleepy Fox Earflap Hat &amp; Magic Glove Set</t>
  </si>
  <si>
    <t>Mint Combo</t>
  </si>
  <si>
    <t>191730765984</t>
  </si>
  <si>
    <t>51074558</t>
  </si>
  <si>
    <t>Men's Levi's® 502™ Regular Tapered-Leg Stretch Jeans</t>
  </si>
  <si>
    <t>Caraway</t>
  </si>
  <si>
    <t>Clean Run Adv</t>
  </si>
  <si>
    <t>840202369457</t>
  </si>
  <si>
    <t>30753533</t>
  </si>
  <si>
    <t>6264787</t>
  </si>
  <si>
    <t>Juniors' Ninety-Nine Degrees° Shirred Triangle Swim Top</t>
  </si>
  <si>
    <t>Stripe Splash</t>
  </si>
  <si>
    <t>840202370491</t>
  </si>
  <si>
    <t>30009164</t>
  </si>
  <si>
    <t>Coral Fizz Eyelet</t>
  </si>
  <si>
    <t>840202370507</t>
  </si>
  <si>
    <t>30009166</t>
  </si>
  <si>
    <t>840202370514</t>
  </si>
  <si>
    <t>30009173</t>
  </si>
  <si>
    <t>840202370521</t>
  </si>
  <si>
    <t>30009174</t>
  </si>
  <si>
    <t>400188192380</t>
  </si>
  <si>
    <t>18819238</t>
  </si>
  <si>
    <t>6226898</t>
  </si>
  <si>
    <t>Juniors' SO® Button-Front Pleated Skirt</t>
  </si>
  <si>
    <t>400188192397</t>
  </si>
  <si>
    <t>18819239</t>
  </si>
  <si>
    <t>400188192403</t>
  </si>
  <si>
    <t>18819240</t>
  </si>
  <si>
    <t>400188192410</t>
  </si>
  <si>
    <t>18819241</t>
  </si>
  <si>
    <t>400188192434</t>
  </si>
  <si>
    <t>18819243</t>
  </si>
  <si>
    <t>400188192441</t>
  </si>
  <si>
    <t>18819244</t>
  </si>
  <si>
    <t>400188192458</t>
  </si>
  <si>
    <t>18819245</t>
  </si>
  <si>
    <t>400188192465</t>
  </si>
  <si>
    <t>18819246</t>
  </si>
  <si>
    <t>400188192472</t>
  </si>
  <si>
    <t>18819247</t>
  </si>
  <si>
    <t>195861479321</t>
  </si>
  <si>
    <t>54756244</t>
  </si>
  <si>
    <t>5663207</t>
  </si>
  <si>
    <t>Baby Girl Carter's 3-Piece Tee &amp; Plaid Jumper Set</t>
  </si>
  <si>
    <t>195861479284</t>
  </si>
  <si>
    <t>54756245</t>
  </si>
  <si>
    <t>193506097329</t>
  </si>
  <si>
    <t>80410987</t>
  </si>
  <si>
    <t>6313957</t>
  </si>
  <si>
    <t>14k Gold Cubic Zirconia Snake Huggie Hoop Earrings</t>
  </si>
  <si>
    <t>400375149685</t>
  </si>
  <si>
    <t>37514968</t>
  </si>
  <si>
    <t>6329406</t>
  </si>
  <si>
    <t>Plus Size Croft &amp; Barrow® Knit Crewneck Sweater</t>
  </si>
  <si>
    <t>Red Diamond Fairisle</t>
  </si>
  <si>
    <t>400375149692</t>
  </si>
  <si>
    <t>37514969</t>
  </si>
  <si>
    <t>400375149708</t>
  </si>
  <si>
    <t>37514970</t>
  </si>
  <si>
    <t>400375149616</t>
  </si>
  <si>
    <t>37514961</t>
  </si>
  <si>
    <t>Blueberry Pet Classic Solid Dog Collar</t>
  </si>
  <si>
    <t>084971174427</t>
  </si>
  <si>
    <t>53275523</t>
  </si>
  <si>
    <t>7081559</t>
  </si>
  <si>
    <t>Men's Grand Slam 10&amp;#34; MotionFlow 360 Plaid Golf Shorts</t>
  </si>
  <si>
    <t>840202369655</t>
  </si>
  <si>
    <t>65158177</t>
  </si>
  <si>
    <t>5175503</t>
  </si>
  <si>
    <t>Juniors' Ninety-Nine° Ruched Bikini Top</t>
  </si>
  <si>
    <t>Plaid Party</t>
  </si>
  <si>
    <t>840202369662</t>
  </si>
  <si>
    <t>65158178</t>
  </si>
  <si>
    <t>840202369679</t>
  </si>
  <si>
    <t>65158179</t>
  </si>
  <si>
    <t>400791159008</t>
  </si>
  <si>
    <t>79115900</t>
  </si>
  <si>
    <t>6142077</t>
  </si>
  <si>
    <t>Girls 6-18 SO® Denim Skirt In Regular &amp; Plus Size</t>
  </si>
  <si>
    <t>400791159015</t>
  </si>
  <si>
    <t>79115901</t>
  </si>
  <si>
    <t>780736442985</t>
  </si>
  <si>
    <t>64301703</t>
  </si>
  <si>
    <t>5635365</t>
  </si>
  <si>
    <t>Disney/Pixar Lightyear: The Graphic Novel Children's Book</t>
  </si>
  <si>
    <t>Women's Isotoner Closed Back Slippers</t>
  </si>
  <si>
    <t>Black Brown</t>
  </si>
  <si>
    <t>194194294328</t>
  </si>
  <si>
    <t>73894511</t>
  </si>
  <si>
    <t>Ash</t>
  </si>
  <si>
    <t>Disney's Encanto Kurt Adler Christmas Stocking</t>
  </si>
  <si>
    <t>716838394357</t>
  </si>
  <si>
    <t>66450760</t>
  </si>
  <si>
    <t>6860639</t>
  </si>
  <si>
    <t>Forever 14K 14k Gold Tri Tone Cubic Zirconia Rolling Rings Pendant Necklace</t>
  </si>
  <si>
    <t>193506103075</t>
  </si>
  <si>
    <t>66450755</t>
  </si>
  <si>
    <t>6860569</t>
  </si>
  <si>
    <t>Sterling Silver Multi-Color Spinel Ring</t>
  </si>
  <si>
    <t>400768256341</t>
  </si>
  <si>
    <t>76825634</t>
  </si>
  <si>
    <t>6890121</t>
  </si>
  <si>
    <t>400768256358</t>
  </si>
  <si>
    <t>76825635</t>
  </si>
  <si>
    <t>400768256396</t>
  </si>
  <si>
    <t>76825639</t>
  </si>
  <si>
    <t>729367712295</t>
  </si>
  <si>
    <t>69683839</t>
  </si>
  <si>
    <t>6861665</t>
  </si>
  <si>
    <t>Two-Tone 1/10 Carat T.W. Diamond Claddagh Heart Pendant Necklace</t>
  </si>
  <si>
    <t>734815077635</t>
  </si>
  <si>
    <t>68387509</t>
  </si>
  <si>
    <t>6858930</t>
  </si>
  <si>
    <t>Men's Sterling Silver 1/10 Carat T.W. Diamond Wedding Band</t>
  </si>
  <si>
    <t>716838394654</t>
  </si>
  <si>
    <t>75192620</t>
  </si>
  <si>
    <t>6860262</t>
  </si>
  <si>
    <t>Forever Radiant Rose Gold Over Silver Chocolate Crystal Halo Stud Earrings</t>
  </si>
  <si>
    <t>729367990679</t>
  </si>
  <si>
    <t>71084081</t>
  </si>
  <si>
    <t>6861650</t>
  </si>
  <si>
    <t>Two-Tone Lab-Created White Sapphire &amp; Swiss Blue Topaz Pendant Necklace, Stud Earrings, &amp; Ring Set</t>
  </si>
  <si>
    <t>688018453713</t>
  </si>
  <si>
    <t>80634276</t>
  </si>
  <si>
    <t>6861685</t>
  </si>
  <si>
    <t>14k Gold Over Sterling Silver Mother of Pearl Snake Disk Pendant Necklace</t>
  </si>
  <si>
    <t>716838394623</t>
  </si>
  <si>
    <t>50361482</t>
  </si>
  <si>
    <t>6860268</t>
  </si>
  <si>
    <t>Forever Radiant Sterling Silver Crystal Hoop Earrings</t>
  </si>
  <si>
    <t>027657957389</t>
  </si>
  <si>
    <t>68531992</t>
  </si>
  <si>
    <t>6861610</t>
  </si>
  <si>
    <t>14k Yellow Gold Cubic Zirconium Halo Stud Earrings</t>
  </si>
  <si>
    <t>642447715224</t>
  </si>
  <si>
    <t>66830619</t>
  </si>
  <si>
    <t>6807731</t>
  </si>
  <si>
    <t>Nine West Silver Tone Statement Stud Earrings</t>
  </si>
  <si>
    <t>195157058322</t>
  </si>
  <si>
    <t>49598862</t>
  </si>
  <si>
    <t>6122031</t>
  </si>
  <si>
    <t>Baby &amp; Toddler Little Co. by Lauren Conrad Relaxed Waffle Cardigan</t>
  </si>
  <si>
    <t>Camel Marl</t>
  </si>
  <si>
    <t>195157058216</t>
  </si>
  <si>
    <t>49598851</t>
  </si>
  <si>
    <t>400752188405</t>
  </si>
  <si>
    <t>75218840</t>
  </si>
  <si>
    <t>5586912</t>
  </si>
  <si>
    <t>Juniors' Plus Size SO® Ribbed Cropped Polo</t>
  </si>
  <si>
    <t>Pink Blue Stripe</t>
  </si>
  <si>
    <t>400752188436</t>
  </si>
  <si>
    <t>75218843</t>
  </si>
  <si>
    <t>Red White Stripe</t>
  </si>
  <si>
    <t>400865179307</t>
  </si>
  <si>
    <t>86517930</t>
  </si>
  <si>
    <t>Tahu Tan</t>
  </si>
  <si>
    <t>400540429949</t>
  </si>
  <si>
    <t>54042994</t>
  </si>
  <si>
    <t>Lennon Green</t>
  </si>
  <si>
    <t>400752188412</t>
  </si>
  <si>
    <t>75218841</t>
  </si>
  <si>
    <t>400865179314</t>
  </si>
  <si>
    <t>86517931</t>
  </si>
  <si>
    <t>400540429956</t>
  </si>
  <si>
    <t>54042995</t>
  </si>
  <si>
    <t>Men's Columbia Cornell Woods Fleece Lined Shirt Jacket</t>
  </si>
  <si>
    <t>191730765939</t>
  </si>
  <si>
    <t>65055328</t>
  </si>
  <si>
    <t>6340021</t>
  </si>
  <si>
    <t>Girls Elli by Capelli Spacedye Purple Knit Earflap Hat &amp; Magic Gloves Set</t>
  </si>
  <si>
    <t>Purple Combo</t>
  </si>
  <si>
    <t>191730765946</t>
  </si>
  <si>
    <t>79276036</t>
  </si>
  <si>
    <t>196301098522</t>
  </si>
  <si>
    <t>18413904</t>
  </si>
  <si>
    <t>5601213</t>
  </si>
  <si>
    <t>Nine West Stunnah Women's High-Top Sneakers</t>
  </si>
  <si>
    <t>White Neon Multi</t>
  </si>
  <si>
    <t>196753801756</t>
  </si>
  <si>
    <t>73592483</t>
  </si>
  <si>
    <t>6132504</t>
  </si>
  <si>
    <t>Big Kids Sonoma Community™ Blue Beetle Hispanic Heritage Month Short Sleeve Tee</t>
  </si>
  <si>
    <t>196753801763</t>
  </si>
  <si>
    <t>73592484</t>
  </si>
  <si>
    <t>400377146132</t>
  </si>
  <si>
    <t>37714613</t>
  </si>
  <si>
    <t>5674205</t>
  </si>
  <si>
    <t>Girls 7-20 Tek Gear® Microfleece 1/4-Zip Pullover in Regular &amp; Plus</t>
  </si>
  <si>
    <t>400291286907</t>
  </si>
  <si>
    <t>29128690</t>
  </si>
  <si>
    <t>400291286914</t>
  </si>
  <si>
    <t>29128691</t>
  </si>
  <si>
    <t>400291286815</t>
  </si>
  <si>
    <t>29128681</t>
  </si>
  <si>
    <t>400291286877</t>
  </si>
  <si>
    <t>29128687</t>
  </si>
  <si>
    <t>400291286778</t>
  </si>
  <si>
    <t>29128677</t>
  </si>
  <si>
    <t>Women's Andrew Marc Marc New York Chevron Quilted Asymmetrical Puffer Coat</t>
  </si>
  <si>
    <t>195157064194</t>
  </si>
  <si>
    <t>80476523</t>
  </si>
  <si>
    <t>6302496</t>
  </si>
  <si>
    <t>Plus Size Nine West Dolman Ribbed Sweater</t>
  </si>
  <si>
    <t>716838333448</t>
  </si>
  <si>
    <t>51699041</t>
  </si>
  <si>
    <t>3746881</t>
  </si>
  <si>
    <t>10k Gold &amp;#34;Love&amp;#34; Bar Necklace</t>
  </si>
  <si>
    <t>713610127820</t>
  </si>
  <si>
    <t>28128243</t>
  </si>
  <si>
    <t>6131050</t>
  </si>
  <si>
    <t>Women's Grand Slam Sleeveless Golf Shirt With Overlapping Back Detail</t>
  </si>
  <si>
    <t>713610127837</t>
  </si>
  <si>
    <t>28128244</t>
  </si>
  <si>
    <t>713610127844</t>
  </si>
  <si>
    <t>28128245</t>
  </si>
  <si>
    <t>713610127851</t>
  </si>
  <si>
    <t>28128246</t>
  </si>
  <si>
    <t>713610127868</t>
  </si>
  <si>
    <t>28128247</t>
  </si>
  <si>
    <t>086201927469</t>
  </si>
  <si>
    <t>69128288</t>
  </si>
  <si>
    <t>4509828</t>
  </si>
  <si>
    <t>Men's Cuddl Duds® Scrubs Jogger Pants With 3 Pockets</t>
  </si>
  <si>
    <t>889602768668</t>
  </si>
  <si>
    <t>65223199</t>
  </si>
  <si>
    <t>6289220</t>
  </si>
  <si>
    <t>Juniors' Plus Size SO® Crewneck Sweater</t>
  </si>
  <si>
    <t>889602768675</t>
  </si>
  <si>
    <t>65223200</t>
  </si>
  <si>
    <t>889602768682</t>
  </si>
  <si>
    <t>65223201</t>
  </si>
  <si>
    <t>781947971530</t>
  </si>
  <si>
    <t>46970479</t>
  </si>
  <si>
    <t>5770461</t>
  </si>
  <si>
    <t>Lil' Libros The Life of / La vida de Pelé Board Book</t>
  </si>
  <si>
    <t>Lil' Libros</t>
  </si>
  <si>
    <t>197026813087</t>
  </si>
  <si>
    <t>29827430</t>
  </si>
  <si>
    <t>6619592</t>
  </si>
  <si>
    <t>Girls 4-12 Jumping Beans® Paw Patrol Skye &amp; Rocky Rainbow Pups Graphic Tee</t>
  </si>
  <si>
    <t>Glze Green</t>
  </si>
  <si>
    <t>400671735223</t>
  </si>
  <si>
    <t>67173522</t>
  </si>
  <si>
    <t>5233793</t>
  </si>
  <si>
    <t>Juniors' Plus Size SO® Seamless Short Sleeve Bodysuit</t>
  </si>
  <si>
    <t>400468905518</t>
  </si>
  <si>
    <t>46890551</t>
  </si>
  <si>
    <t>6890233</t>
  </si>
  <si>
    <t>Nile Lilly</t>
  </si>
  <si>
    <t>400468905525</t>
  </si>
  <si>
    <t>46890552</t>
  </si>
  <si>
    <t>400468905501</t>
  </si>
  <si>
    <t>46890550</t>
  </si>
  <si>
    <t>696514164675</t>
  </si>
  <si>
    <t>76283654</t>
  </si>
  <si>
    <t>3504177</t>
  </si>
  <si>
    <t>Giorgio di Vicenza Men's Sterling Silver Herringbone Chain</t>
  </si>
  <si>
    <t>Giorgio di Vicenza</t>
  </si>
  <si>
    <t>22\</t>
  </si>
  <si>
    <t>696514164668</t>
  </si>
  <si>
    <t>33637574</t>
  </si>
  <si>
    <t>193506001944</t>
  </si>
  <si>
    <t>37206844</t>
  </si>
  <si>
    <t>20\</t>
  </si>
  <si>
    <t>193506001913</t>
  </si>
  <si>
    <t>81049359</t>
  </si>
  <si>
    <t>193506001951</t>
  </si>
  <si>
    <t>81049360</t>
  </si>
  <si>
    <t>24\</t>
  </si>
  <si>
    <t>193506001920</t>
  </si>
  <si>
    <t>20861663</t>
  </si>
  <si>
    <t>193506001937</t>
  </si>
  <si>
    <t>75847485</t>
  </si>
  <si>
    <t>30\</t>
  </si>
  <si>
    <t>193506001968</t>
  </si>
  <si>
    <t>81049357</t>
  </si>
  <si>
    <t>195862002382</t>
  </si>
  <si>
    <t>79092026</t>
  </si>
  <si>
    <t>6051150</t>
  </si>
  <si>
    <t>Baby Girl Carter's Plaid Button Front Shirtdress</t>
  </si>
  <si>
    <t>Pink Flannel</t>
  </si>
  <si>
    <t>195862002344</t>
  </si>
  <si>
    <t>79092022</t>
  </si>
  <si>
    <t>195862002351</t>
  </si>
  <si>
    <t>79092024</t>
  </si>
  <si>
    <t>195862002368</t>
  </si>
  <si>
    <t>79092025</t>
  </si>
  <si>
    <t>195883107370</t>
  </si>
  <si>
    <t>29083154</t>
  </si>
  <si>
    <t>5089360</t>
  </si>
  <si>
    <t>Boys 4-12 Jumping Beans® Star Wars Camo Active Tee</t>
  </si>
  <si>
    <t>Kale Green Camo Aop</t>
  </si>
  <si>
    <t>400469482506</t>
  </si>
  <si>
    <t>46948250</t>
  </si>
  <si>
    <t>6150536</t>
  </si>
  <si>
    <t>Girls 6-16 SO® Cropped Pullover Graphic Sweatshirt in Regular &amp; Plus Size</t>
  </si>
  <si>
    <t>Gray South Bay</t>
  </si>
  <si>
    <t>400469482513</t>
  </si>
  <si>
    <t>46948251</t>
  </si>
  <si>
    <t>400719707038</t>
  </si>
  <si>
    <t>71970703</t>
  </si>
  <si>
    <t>6663157</t>
  </si>
  <si>
    <t>LC Lauren Conrad Lindy Women's Knee-High Boots</t>
  </si>
  <si>
    <t>5 W WC</t>
  </si>
  <si>
    <t>019669014686</t>
  </si>
  <si>
    <t>58946037</t>
  </si>
  <si>
    <t>6502465</t>
  </si>
  <si>
    <t>Wabash Valley Farms Retro Tin Holiday Gift Set</t>
  </si>
  <si>
    <t>Wabash Valley Farms</t>
  </si>
  <si>
    <t>Women's Skechers® GOWALK™ GODRI™ SWIFT Tunic</t>
  </si>
  <si>
    <t>197026559862</t>
  </si>
  <si>
    <t>19464506</t>
  </si>
  <si>
    <t>6422689</t>
  </si>
  <si>
    <t>Men's Making Spirits Bright Graphic Tee</t>
  </si>
  <si>
    <t>197026309207</t>
  </si>
  <si>
    <t>44165946</t>
  </si>
  <si>
    <t>6192781</t>
  </si>
  <si>
    <t>Baby &amp; Toddler Girl Jumping Beans® Spirit &amp;#34;Run Wild&amp;#34; Graphic Tee</t>
  </si>
  <si>
    <t>400505439143</t>
  </si>
  <si>
    <t>50543914</t>
  </si>
  <si>
    <t>6261456</t>
  </si>
  <si>
    <t>Crayola® X Kohl's Big &amp; Tall Reversible Puffer Vest</t>
  </si>
  <si>
    <t>400188127399</t>
  </si>
  <si>
    <t>18812739</t>
  </si>
  <si>
    <t>6304565</t>
  </si>
  <si>
    <t>Jammies For Your Families Family Bears Baby Slippers</t>
  </si>
  <si>
    <t>400188127405</t>
  </si>
  <si>
    <t>18812740</t>
  </si>
  <si>
    <t>400188127412</t>
  </si>
  <si>
    <t>18812741</t>
  </si>
  <si>
    <t>191170794988</t>
  </si>
  <si>
    <t>44199047</t>
  </si>
  <si>
    <t>6352900</t>
  </si>
  <si>
    <t>Girls 7-16 Three Pink Hearts Long Sleeve Jumpsuit</t>
  </si>
  <si>
    <t>191170794278</t>
  </si>
  <si>
    <t>76796951</t>
  </si>
  <si>
    <t>729367766403</t>
  </si>
  <si>
    <t>66662195</t>
  </si>
  <si>
    <t>6861668</t>
  </si>
  <si>
    <t>14k Gold Over Sterling 1/10 Carat T.W. Diamond Butterfly Disc Pendant Necklace</t>
  </si>
  <si>
    <t>196900117334</t>
  </si>
  <si>
    <t>62998891</t>
  </si>
  <si>
    <t>6217143</t>
  </si>
  <si>
    <t>Girls 4-16 Bonnie Jean Jumper &amp; Bell Sleeve Pullover Set</t>
  </si>
  <si>
    <t>196900117341</t>
  </si>
  <si>
    <t>62998892</t>
  </si>
  <si>
    <t>196900117365</t>
  </si>
  <si>
    <t>62998900</t>
  </si>
  <si>
    <t>196900117327</t>
  </si>
  <si>
    <t>62998912</t>
  </si>
  <si>
    <t>716838394388</t>
  </si>
  <si>
    <t>74692213</t>
  </si>
  <si>
    <t>6860640</t>
  </si>
  <si>
    <t>Forever 14K 14k Gold Tri Tone Diamond Cut Hoop Earrings</t>
  </si>
  <si>
    <t>734815077901</t>
  </si>
  <si>
    <t>69939816</t>
  </si>
  <si>
    <t>6858946</t>
  </si>
  <si>
    <t>Men's Stainless Steel &amp; Cable Inlay Band Ring</t>
  </si>
  <si>
    <t>Stainless</t>
  </si>
  <si>
    <t>734815077086</t>
  </si>
  <si>
    <t>29872979</t>
  </si>
  <si>
    <t>6858917</t>
  </si>
  <si>
    <t>Sterling Silver 1/10 Carat T.W. Diamond Peace Sign Pendant Necklace</t>
  </si>
  <si>
    <t>716825680883</t>
  </si>
  <si>
    <t>49673279</t>
  </si>
  <si>
    <t>6858457</t>
  </si>
  <si>
    <t>Rhodium-Plated Sterling Silver Synthetic Spinel &amp; Cubic Zirconia Tennis Necklace</t>
  </si>
  <si>
    <t>716838351183</t>
  </si>
  <si>
    <t>75693639</t>
  </si>
  <si>
    <t>4429933</t>
  </si>
  <si>
    <t>Forever 14K Freshwater Cultured Pearl Hoop Earrings</t>
  </si>
  <si>
    <t>400459399081</t>
  </si>
  <si>
    <t>45939908</t>
  </si>
  <si>
    <t>6138986</t>
  </si>
  <si>
    <t>Celebrate Together™ Halloween Grogu So Cute Sign Decor</t>
  </si>
  <si>
    <t>Celebrate Together Halloween</t>
  </si>
  <si>
    <t>195157068949</t>
  </si>
  <si>
    <t>30467051</t>
  </si>
  <si>
    <t>6495267</t>
  </si>
  <si>
    <t>Women's Simply Vera Vera Wang Sweater Pencil Skirt</t>
  </si>
  <si>
    <t>195157068956</t>
  </si>
  <si>
    <t>30467061</t>
  </si>
  <si>
    <t>197282385014</t>
  </si>
  <si>
    <t>62879951</t>
  </si>
  <si>
    <t>6360175</t>
  </si>
  <si>
    <t>Women's Levi's® Zenda Blouse</t>
  </si>
  <si>
    <t>Kitty Floral Lilac</t>
  </si>
  <si>
    <t>400740494297</t>
  </si>
  <si>
    <t>74049429</t>
  </si>
  <si>
    <t>6169493</t>
  </si>
  <si>
    <t>Women's Croft &amp; Barrow® Textured Stitch Pullover Sweater</t>
  </si>
  <si>
    <t>Cream Nep</t>
  </si>
  <si>
    <t>400734699684</t>
  </si>
  <si>
    <t>73469968</t>
  </si>
  <si>
    <t>6115477</t>
  </si>
  <si>
    <t>Girls 7-20 Tek Gear® Fleece Skirt in Regular &amp; Plus</t>
  </si>
  <si>
    <t>Adoring Lilac</t>
  </si>
  <si>
    <t>400734699783</t>
  </si>
  <si>
    <t>73469978</t>
  </si>
  <si>
    <t>400618909717</t>
  </si>
  <si>
    <t>61890971</t>
  </si>
  <si>
    <t>5953917</t>
  </si>
  <si>
    <t>Women's Tek Gear® Muevete Hispanic Heritage Tank Top</t>
  </si>
  <si>
    <t>Muevete Graphic</t>
  </si>
  <si>
    <t>400618909724</t>
  </si>
  <si>
    <t>61890972</t>
  </si>
  <si>
    <t>400618909731</t>
  </si>
  <si>
    <t>61890973</t>
  </si>
  <si>
    <t>400618909809</t>
  </si>
  <si>
    <t>61890980</t>
  </si>
  <si>
    <t>400618909816</t>
  </si>
  <si>
    <t>61890981</t>
  </si>
  <si>
    <t>400618909823</t>
  </si>
  <si>
    <t>61890982</t>
  </si>
  <si>
    <t>Kurt Adler Baby Shark Christmas Stocking</t>
  </si>
  <si>
    <t>197571061223</t>
  </si>
  <si>
    <t>65462624</t>
  </si>
  <si>
    <t>6431187</t>
  </si>
  <si>
    <t>Girls 4-14 Blueberi Boulevard 2-pc. Sparkle Red Fit and Flare Dress &amp; Ribbon Bow Swing Jacket Set</t>
  </si>
  <si>
    <t>400550613635</t>
  </si>
  <si>
    <t>55061363</t>
  </si>
  <si>
    <t>765</t>
  </si>
  <si>
    <t>6860887</t>
  </si>
  <si>
    <t>18K Yellow Gold Plated Blue Topaz and Created White Sapphire Cocktail Ring</t>
  </si>
  <si>
    <t>195861982111</t>
  </si>
  <si>
    <t>56109190</t>
  </si>
  <si>
    <t>6066029</t>
  </si>
  <si>
    <t>Baby Girl Carter's Reindeer Fleece Top &amp; Leggings Set</t>
  </si>
  <si>
    <t>Red Deer</t>
  </si>
  <si>
    <t>195861982074</t>
  </si>
  <si>
    <t>56109187</t>
  </si>
  <si>
    <t>716825672369</t>
  </si>
  <si>
    <t>64914899</t>
  </si>
  <si>
    <t>6858434</t>
  </si>
  <si>
    <t>Dynasty Jade Rhodium-Plated Sterling Silver Dyed Purple Jade Rooster Pendant Necklace</t>
  </si>
  <si>
    <t>Dynasty Jade</t>
  </si>
  <si>
    <t>400744064854</t>
  </si>
  <si>
    <t>74406485</t>
  </si>
  <si>
    <t>6265806</t>
  </si>
  <si>
    <t>Maternity Sonoma Goods For Life® Long Sleeve Surplice Midi Dress</t>
  </si>
  <si>
    <t>197232811822</t>
  </si>
  <si>
    <t>72341688</t>
  </si>
  <si>
    <t>6584848</t>
  </si>
  <si>
    <t>Men's Tommy Hilfiger Ditsy Floral Print Short Sleeve Button-Down Shirt</t>
  </si>
  <si>
    <t>Champagne Floral</t>
  </si>
  <si>
    <t>197232811891</t>
  </si>
  <si>
    <t>72341738</t>
  </si>
  <si>
    <t>197232811815</t>
  </si>
  <si>
    <t>72341698</t>
  </si>
  <si>
    <t>197232811884</t>
  </si>
  <si>
    <t>72341748</t>
  </si>
  <si>
    <t>197232811877</t>
  </si>
  <si>
    <t>72341758</t>
  </si>
  <si>
    <t>197232811600</t>
  </si>
  <si>
    <t>72341708</t>
  </si>
  <si>
    <t>197232811907</t>
  </si>
  <si>
    <t>72341768</t>
  </si>
  <si>
    <t>197232811839</t>
  </si>
  <si>
    <t>72341718</t>
  </si>
  <si>
    <t>197232812324</t>
  </si>
  <si>
    <t>72341778</t>
  </si>
  <si>
    <t>197232811853</t>
  </si>
  <si>
    <t>72341728</t>
  </si>
  <si>
    <t>848601039360</t>
  </si>
  <si>
    <t>71634953</t>
  </si>
  <si>
    <t>6540444</t>
  </si>
  <si>
    <t>Sonoma Goods For Life® Silver Tone Diamond Cut Hoop Earrings</t>
  </si>
  <si>
    <t>400648053923</t>
  </si>
  <si>
    <t>64805392</t>
  </si>
  <si>
    <t>6545517</t>
  </si>
  <si>
    <t>Juniors' Plus Size SO® High-Rise Faux Leather Flare-Leg Pants</t>
  </si>
  <si>
    <t>400648053985</t>
  </si>
  <si>
    <t>64805398</t>
  </si>
  <si>
    <t>400648053992</t>
  </si>
  <si>
    <t>64805399</t>
  </si>
  <si>
    <t>400807543111</t>
  </si>
  <si>
    <t>80754311</t>
  </si>
  <si>
    <t>5585499</t>
  </si>
  <si>
    <t>Juniors' Plus Size SO® Cinch Front Cropped Top</t>
  </si>
  <si>
    <t>400807543043</t>
  </si>
  <si>
    <t>80754304</t>
  </si>
  <si>
    <t>400807543159</t>
  </si>
  <si>
    <t>80754315</t>
  </si>
  <si>
    <t>Copper Rose</t>
  </si>
  <si>
    <t>400807543098</t>
  </si>
  <si>
    <t>80754309</t>
  </si>
  <si>
    <t>Lemon Mist</t>
  </si>
  <si>
    <t>400807543203</t>
  </si>
  <si>
    <t>80754320</t>
  </si>
  <si>
    <t>Grape Frosting</t>
  </si>
  <si>
    <t>400807543128</t>
  </si>
  <si>
    <t>80754312</t>
  </si>
  <si>
    <t>400807543050</t>
  </si>
  <si>
    <t>80754305</t>
  </si>
  <si>
    <t>400807543135</t>
  </si>
  <si>
    <t>80754313</t>
  </si>
  <si>
    <t>400807543104</t>
  </si>
  <si>
    <t>80754310</t>
  </si>
  <si>
    <t>400807543210</t>
  </si>
  <si>
    <t>80754321</t>
  </si>
  <si>
    <t>196019039916</t>
  </si>
  <si>
    <t>67219520</t>
  </si>
  <si>
    <t>6352962</t>
  </si>
  <si>
    <t>Women's Breaking Waves Tie-Front Crop Swim Cover-Up Shirt</t>
  </si>
  <si>
    <t>Breaking Waves</t>
  </si>
  <si>
    <t>196019039558</t>
  </si>
  <si>
    <t>46624431</t>
  </si>
  <si>
    <t>Pink Multi</t>
  </si>
  <si>
    <t>196019039923</t>
  </si>
  <si>
    <t>67219521</t>
  </si>
  <si>
    <t>196019039565</t>
  </si>
  <si>
    <t>46624432</t>
  </si>
  <si>
    <t>196019039930</t>
  </si>
  <si>
    <t>67219522</t>
  </si>
  <si>
    <t>196019039572</t>
  </si>
  <si>
    <t>46624433</t>
  </si>
  <si>
    <t>196019039589</t>
  </si>
  <si>
    <t>46624434</t>
  </si>
  <si>
    <t>196019039947</t>
  </si>
  <si>
    <t>67219529</t>
  </si>
  <si>
    <t>196019039596</t>
  </si>
  <si>
    <t>46624435</t>
  </si>
  <si>
    <t>196019039954</t>
  </si>
  <si>
    <t>67219530</t>
  </si>
  <si>
    <t>196019039961</t>
  </si>
  <si>
    <t>67219531</t>
  </si>
  <si>
    <t>193712510018</t>
  </si>
  <si>
    <t>45950954</t>
  </si>
  <si>
    <t>6394675</t>
  </si>
  <si>
    <t>Girls 7-16 Vanilla Star High Rise Seam Pull-On Leggings</t>
  </si>
  <si>
    <t>Vanilla Star</t>
  </si>
  <si>
    <t>Locale</t>
  </si>
  <si>
    <t>Sales Rank: 90 days avg.</t>
  </si>
  <si>
    <t>New out of stock percentage: 90 days OOS %</t>
  </si>
  <si>
    <t>Amazon out of stock percentage: 90 days OOS %</t>
  </si>
  <si>
    <t>New Offer Count: 180 days avg.</t>
  </si>
  <si>
    <t>Reviews: Rating</t>
  </si>
  <si>
    <t>Parent ASIN</t>
  </si>
  <si>
    <t>Product Codes: PartNumber</t>
  </si>
  <si>
    <t>Product Codes: EAN</t>
  </si>
  <si>
    <t>Amazon: Availability of the Amazon offer</t>
  </si>
  <si>
    <t>Image</t>
  </si>
  <si>
    <t>Description &amp; Features: Description</t>
  </si>
  <si>
    <t>com</t>
  </si>
  <si>
    <t>B0CCKBHQ78</t>
  </si>
  <si>
    <t>0196739108640</t>
  </si>
  <si>
    <t>no Amazon offer exists</t>
  </si>
  <si>
    <t>https://m.media-amazon.com/images/I/61ObgYGCm-L.jpg;https://m.media-amazon.com/images/I/41sYMbi+GqL.jpg;https://m.media-amazon.com/images/I/51FC4wgx68L.jpg;https://m.media-amazon.com/images/I/51rcc1Do8nL.jpg</t>
  </si>
  <si>
    <t>BACK-TO-BASICS POLO. Classic, meet contemporary. This men's polo T-shirt is made with moisture-wicking fabric that keeps you cooler, drier, and more comfortable during movement. The classic collar elevates this men's T-shirt, while branded buttons are a nod to that century-old name you know and trust. Let-out side seams add mobility to your swing, while the wide variety of colors gives you options for days. The iconic C sits on the sleeve of this polo and the woven taglet adds classic flair.</t>
  </si>
  <si>
    <t>0196739108565</t>
  </si>
  <si>
    <t>XX-Large</t>
  </si>
  <si>
    <t>https://m.media-amazon.com/images/I/71KrC47Wc5L.jpg;https://m.media-amazon.com/images/I/51ApXldzK-L.jpg;https://m.media-amazon.com/images/I/41oTOc0j6KL.jpg;https://m.media-amazon.com/images/I/51hN3sKx0lL.jpg;https://m.media-amazon.com/images/I/41JlC6H5VaL.jpg</t>
  </si>
  <si>
    <t>There's Champion heritage in every detail, our Classic Graphic Tee uses ring-spun, U.S. grown cotton for an ultra-soft feel. Dyed-to-match, embroidered C logo gives a nod to Champion’s athletic heritage while elevating this everyday tee.</t>
  </si>
  <si>
    <t>B0CLKC6SC6</t>
  </si>
  <si>
    <t>0194428896335</t>
  </si>
  <si>
    <t>X-Small</t>
  </si>
  <si>
    <t>https://m.media-amazon.com/images/I/712FxR7eQ9S.jpg;https://m.media-amazon.com/images/I/813H8CaS9eL.jpg;https://m.media-amazon.com/images/I/7137C0pIZEL.jpg;https://m.media-amazon.com/images/I/3118yzRIYEL.jpg;https://m.media-amazon.com/images/I/51pcfPynqiL.jpg</t>
  </si>
  <si>
    <t>Walk further in flexible comfort and style with the Skechers GO WALK Wear Mesh Jacket. This athletic mock neck zip-front jacket features a GO FLEX moisture-wicking nylon and spandex blend fabric, long sleeves with thumbhole detail, back power mesh trim and on-seam concealed zip pockets.</t>
  </si>
  <si>
    <t>B0CJWWBTL4</t>
  </si>
  <si>
    <t>W03JA158-BKCC</t>
  </si>
  <si>
    <t>0196989443140</t>
  </si>
  <si>
    <t>https://m.media-amazon.com/images/I/71c+6nJHxnL.jpg;https://m.media-amazon.com/images/I/716CK6+GGGL.jpg</t>
  </si>
  <si>
    <t>B0CN38Q9MT</t>
  </si>
  <si>
    <t>884851E-042</t>
  </si>
  <si>
    <t>0742728986678</t>
  </si>
  <si>
    <t>Amazon offer is back-ordered</t>
  </si>
  <si>
    <t>https://m.media-amazon.com/images/I/814TDhZQ1NL.jpg;https://m.media-amazon.com/images/I/A115vyfazFL.jpg;https://m.media-amazon.com/images/I/A1TP5LpjckL.jpg;https://m.media-amazon.com/images/I/61GTlWpWz0L.jpg;https://m.media-amazon.com/images/I/81Wg6RN1yxL.jpg;https://m.media-amazon.com/images/I/816yORfY9bL.jpg;https://m.media-amazon.com/images/I/81YRbock9OL.jpg;https://m.media-amazon.com/images/I/71EpPc3KUGL.jpg;https://m.media-amazon.com/images/I/71bKz2+R8rL.jpg;https://m.media-amazon.com/images/I/31-y9ZIRNiL.jpg;https://m.media-amazon.com/images/I/61wvDK8DbVL.jpg;https://m.media-amazon.com/images/I/514n-B4Vr7L.jpg</t>
  </si>
  <si>
    <t>The Hurley H2O-Dri Joggers are made with supersoft French terry and powered with sweat-wicking technology so kids can transition from chill to play in dry comfort.</t>
  </si>
  <si>
    <t>884851E-K08</t>
  </si>
  <si>
    <t>0742728942605</t>
  </si>
  <si>
    <t>https://m.media-amazon.com/images/I/31b+udXZTqL.jpg;https://m.media-amazon.com/images/I/318cyIZYhkL.jpg;https://m.media-amazon.com/images/I/51q6WMzSRbL.jpg;https://m.media-amazon.com/images/I/51JW-TWMBVL.jpg;https://m.media-amazon.com/images/I/412nIfb8bnL.jpg;https://m.media-amazon.com/images/I/31+karAfsuL.jpg;https://m.media-amazon.com/images/I/31BNIzJo3IL.jpg;https://m.media-amazon.com/images/I/31eyR4WyjtL.jpg;https://m.media-amazon.com/images/I/318fXaLg8JL.jpg;https://m.media-amazon.com/images/I/51HfDWgG0rL.jpg;https://m.media-amazon.com/images/I/41FJXayeUcL.jpg</t>
  </si>
  <si>
    <t>B0CGTSWRL5</t>
  </si>
  <si>
    <t>188830181</t>
  </si>
  <si>
    <t>0196099064266</t>
  </si>
  <si>
    <t>Amazon offer is in stock and shippable</t>
  </si>
  <si>
    <t>25 Short</t>
  </si>
  <si>
    <t>https://m.media-amazon.com/images/I/81zQypizOkL.jpg;https://m.media-amazon.com/images/I/81ViqoIjN2L.jpg;https://m.media-amazon.com/images/I/41EbZCAez6L.jpg;https://m.media-amazon.com/images/I/41YnMTACyWL.jpg;https://m.media-amazon.com/images/I/51FpB-Cn6gL.jpg</t>
  </si>
  <si>
    <t>Levi's signature 'Lot 700' fits are the ultimate look-amazing jeans, designed to flatter, hold and lift. A versatile fit with a classic high-rise. Flatters your waist and holds you Sculpt with Hypersoft is super-soft for enhanced comfort with supportive stretch.</t>
  </si>
  <si>
    <t>188830153-450</t>
  </si>
  <si>
    <t>0195339903594</t>
  </si>
  <si>
    <t>24 Regular</t>
  </si>
  <si>
    <t>https://m.media-amazon.com/images/I/51SJXuGQDkS.jpg;https://m.media-amazon.com/images/I/517xbvaTyMS.jpg;https://m.media-amazon.com/images/I/51iMbrfYLyS.jpg;https://m.media-amazon.com/images/I/51FpB-Cn6gL.jpg</t>
  </si>
  <si>
    <t>0196099064259</t>
  </si>
  <si>
    <t>0195339903631</t>
  </si>
  <si>
    <t>25 Regular</t>
  </si>
  <si>
    <t>10878210</t>
  </si>
  <si>
    <t>0195861998921</t>
  </si>
  <si>
    <t>3 Months</t>
  </si>
  <si>
    <t>https://m.media-amazon.com/images/I/81VSBbpqbiL.jpg;https://m.media-amazon.com/images/I/81ThFq6S8CL.jpg;https://m.media-amazon.com/images/I/41GPalFTLeL.jpg</t>
  </si>
  <si>
    <t>Crafted in cozy sherpa, this jumpsuit is perfect for baby.</t>
  </si>
  <si>
    <t>0195861998938</t>
  </si>
  <si>
    <t>6 Months</t>
  </si>
  <si>
    <t>0195861998945</t>
  </si>
  <si>
    <t>9 Months</t>
  </si>
  <si>
    <t>B074HVVZKX</t>
  </si>
  <si>
    <t>1637873-513-4 Regular US Toddler</t>
  </si>
  <si>
    <t>0192660473871</t>
  </si>
  <si>
    <t>4 Toddler</t>
  </si>
  <si>
    <t>https://m.media-amazon.com/images/I/413K4vgfG4L.jpg;https://m.media-amazon.com/images/I/41CQojq3jKL.jpg;https://m.media-amazon.com/images/I/41Zi7Roh2qL.jpg;https://m.media-amazon.com/images/I/410KFMf-P3L.jpg;https://m.media-amazon.com/images/I/4164-yitpqL.jpg;https://m.media-amazon.com/images/I/41VxA1-AzmL.jpg;https://m.media-amazon.com/images/I/41Y1V2pYg1L.jpg;https://m.media-amazon.com/images/I/51r2yhpwjgL.jpg</t>
  </si>
  <si>
    <t>A winter warrior — fortified with warm felt insulation, and waterproof construction, this child’s boot is perfect for sledding, inner-tubing, or making igloos. The Youth Powderbug Plus II Snow Boot will keep little feet happy and warm for hours of fun and play. These winter snow boots feature a synthetic leather and nylon textile that's seam-sealed and waterproof. Simple entry with hook and loop ankle fit and adjustment, combine with a drawcord adjustable gaiter cuff, all come together to make for a comfortable fitting winter boot that will keep their feet dry, warm, and happy in the white winter fluff. Columbia offers these youth winter snow boots in multiple colors, with true-to-size fit.</t>
  </si>
  <si>
    <t>1637873-513-5 Regular US Toddler</t>
  </si>
  <si>
    <t>0192660473888</t>
  </si>
  <si>
    <t>5 Toddler</t>
  </si>
  <si>
    <t>B0C8F6GMD9</t>
  </si>
  <si>
    <t>0721357002379</t>
  </si>
  <si>
    <t>Terramar</t>
  </si>
  <si>
    <t>Large</t>
  </si>
  <si>
    <t>https://m.media-amazon.com/images/I/51DaJB+oiXL.jpg;https://m.media-amazon.com/images/I/41Yy0cpXWbL.jpg;https://m.media-amazon.com/images/I/41wEtW8UEnL.jpg;https://m.media-amazon.com/images/I/512kKvCWxWL.jpg;https://m.media-amazon.com/images/I/51E6d5Ak7FL.jpg;https://m.media-amazon.com/images/I/61q5KzUxkeL.jpg</t>
  </si>
  <si>
    <t>Cloud nine is the Terramar product where form perfectly meets function. The midweight fabric is ultra-soft and features climasense thermoregulation technology that automatically adjusts to your body temperature. When you are cool it traps air to maintain warmth. When aerobic activity rises and the surface temperature increases the fabric allows moisture vapor to Escape to maintain comfort. Whether skiing, snowshoeing or mountaineering, this Cloud nine top is functional performance at its best</t>
  </si>
  <si>
    <t>0196027315149</t>
  </si>
  <si>
    <t>Harry Potter</t>
  </si>
  <si>
    <t>https://m.media-amazon.com/images/I/61d-kwwcVEL.jpg</t>
  </si>
  <si>
    <t>B09JNSP9F5</t>
  </si>
  <si>
    <t>0195253803178</t>
  </si>
  <si>
    <t>Small</t>
  </si>
  <si>
    <t>https://m.media-amazon.com/images/I/31CnShHzeEL.jpg;https://m.media-amazon.com/images/I/31aeWFzGbPL.jpg;https://m.media-amazon.com/images/I/31zoAwXZx6L.jpg;https://m.media-amazon.com/images/I/31v9pnBBWJL.jpg;https://m.media-amazon.com/images/I/31AH1kYhumL.jpg;https://m.media-amazon.com/images/I/31nBmiCgnuL.jpg</t>
  </si>
  <si>
    <t>Armour Fleece® is light, breathable &amp; stretchy for warmth that still lets you move . Soft inner layer traps heat to keep you warm &amp; comfortable. Open hand pockets. 100% Polyester .</t>
  </si>
  <si>
    <t>0195253803420</t>
  </si>
  <si>
    <t>B09KMWDR74</t>
  </si>
  <si>
    <t>0194895411147</t>
  </si>
  <si>
    <t>https://m.media-amazon.com/images/I/613yDMMlZbL.jpg;https://m.media-amazon.com/images/I/51vSaks4-iL.jpg;https://m.media-amazon.com/images/I/61Si9NFUvoL.jpg;https://m.media-amazon.com/images/I/61UY-dSX33L.jpg;https://m.media-amazon.com/images/I/71qhWZCIAbL.jpg;https://m.media-amazon.com/images/I/61NKpvCEAbL.jpg;https://m.media-amazon.com/images/I/61w2kEoavVL.jpg;https://m.media-amazon.com/images/I/61wLziigVBL.jpg</t>
  </si>
  <si>
    <t>When you need top-level warmth and waterproof breathability, zip into this jacket. It includes 85% recycled down-like insulation and thermal-reflective tech inside, plus critical seam sealing—so you can keep moving in comfort, all season long. High functionality includes a drawcord adjustable hood, zippered hand pockets, adjustable comfort cuffs with thumb holes, and a drop tail for maximum shielding from the elements. Columbia offers this jacket in multiple colors and sizes. Regular Fit. Extended sizing available. Regular Fit. To ensure the size you choose is right, utilize our sizing chart and the following measurement instructions: For the sleeves, start at the center back of your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</si>
  <si>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0195979402341</t>
  </si>
  <si>
    <t>https://m.media-amazon.com/images/I/617eW68mmuL.jpg;https://m.media-amazon.com/images/I/61UccVP91vL.jpg;https://m.media-amazon.com/images/I/617pC-aQvgL.jpg;https://m.media-amazon.com/images/I/61P4a97HOML.jpg;https://m.media-amazon.com/images/I/71DUBPVXe4L.jpg;https://m.media-amazon.com/images/I/716IvCc75IL.jpg;https://m.media-amazon.com/images/I/61Y4SVHsaBL.jpg;https://m.media-amazon.com/images/I/61uejWSKhsL.jpg;https://m.media-amazon.com/images/I/610t9AXfn1L.jpg</t>
  </si>
  <si>
    <t>B0C648GT1F</t>
  </si>
  <si>
    <t>0196099206444</t>
  </si>
  <si>
    <t>28W x 30L</t>
  </si>
  <si>
    <t>https://m.media-amazon.com/images/I/51RCpUwbjoL.jpg;https://m.media-amazon.com/images/I/41kRS8SJEEL.jpg;https://m.media-amazon.com/images/I/41EIlbktxHL.jpg</t>
  </si>
  <si>
    <t>These look like skinny jeans—without feeling like them. And the best part? Our 510™ Skinny has an ultra-streamlined fit designed to highlight your shoes. We're talking combat boots, sneakers, hi-tops—you name it.</t>
  </si>
  <si>
    <t>055101249-020</t>
  </si>
  <si>
    <t>0196099206451</t>
  </si>
  <si>
    <t>28W x 32L</t>
  </si>
  <si>
    <t>0196099206512</t>
  </si>
  <si>
    <t>30W x 32L</t>
  </si>
  <si>
    <t>0196099206543</t>
  </si>
  <si>
    <t>31W x 32L</t>
  </si>
  <si>
    <t>0196099206581</t>
  </si>
  <si>
    <t>32W x 34L</t>
  </si>
  <si>
    <t>0196099206628</t>
  </si>
  <si>
    <t>33W x 34L</t>
  </si>
  <si>
    <t>https://m.media-amazon.com/images/I/310cL68N1tL.jpg;https://m.media-amazon.com/images/I/31vh7D9wbiL.jpg;https://m.media-amazon.com/images/I/31NfzDUGPAL.jpg</t>
  </si>
  <si>
    <t>0196099206734</t>
  </si>
  <si>
    <t>36W x 32L</t>
  </si>
  <si>
    <t>Slant front pockets, pocket divider in right front pocket</t>
  </si>
  <si>
    <t>0196099206741</t>
  </si>
  <si>
    <t>36W x 34L</t>
  </si>
  <si>
    <t>0196099206765</t>
  </si>
  <si>
    <t>38W x 30L</t>
  </si>
  <si>
    <t>0196099206789</t>
  </si>
  <si>
    <t>38W x 34L</t>
  </si>
  <si>
    <t>0196099206796</t>
  </si>
  <si>
    <t>40W x 30L</t>
  </si>
  <si>
    <t>0196099206826</t>
  </si>
  <si>
    <t>42W x 32L</t>
  </si>
  <si>
    <t>B0BCZ4HVV5</t>
  </si>
  <si>
    <t>LAUBRI-001</t>
  </si>
  <si>
    <t>0700030296076</t>
  </si>
  <si>
    <t>6 Toddler</t>
  </si>
  <si>
    <t>https://m.media-amazon.com/images/I/61o3ZTz+n4L.jpg;https://m.media-amazon.com/images/I/51jrpXUdwWL.jpg;https://m.media-amazon.com/images/I/71pBiQ4aI6L.jpg;https://m.media-amazon.com/images/I/71QPwtMt01L.jpg;https://m.media-amazon.com/images/I/61mdoWgK49L.jpg</t>
  </si>
  <si>
    <t>LAUBRI-200</t>
  </si>
  <si>
    <t>0700030296144</t>
  </si>
  <si>
    <t>https://m.media-amazon.com/images/I/61GOJWYH2rL.jpg;https://m.media-amazon.com/images/I/61WwqBqaw-L.jpg;https://m.media-amazon.com/images/I/71ttAAwRspL.jpg;https://m.media-amazon.com/images/I/71kv7FWvgYL.jpg;https://m.media-amazon.com/images/I/61qK7QTEQ2L.jpg</t>
  </si>
  <si>
    <t>0700030296083</t>
  </si>
  <si>
    <t>7 Toddler</t>
  </si>
  <si>
    <t>https://m.media-amazon.com/images/I/31dHK1OQ5XL.jpg;https://m.media-amazon.com/images/I/21m7Z0se+oL.jpg;https://m.media-amazon.com/images/I/41ZVNZRA0oL.jpg;https://m.media-amazon.com/images/I/311NdkHqVUL.jpg;https://m.media-amazon.com/images/I/21GhPdN7frL.jpg</t>
  </si>
  <si>
    <t>0700030296151</t>
  </si>
  <si>
    <t>0700030296168</t>
  </si>
  <si>
    <t>8 Toddler</t>
  </si>
  <si>
    <t>0700030296090</t>
  </si>
  <si>
    <t>0700030296175</t>
  </si>
  <si>
    <t>9 Toddler</t>
  </si>
  <si>
    <t>B0CLMCJ6PS</t>
  </si>
  <si>
    <t>0195737741910</t>
  </si>
  <si>
    <t>(XX-Small) D</t>
  </si>
  <si>
    <t>https://m.media-amazon.com/images/I/81-dFSjNS0L.jpg;https://m.media-amazon.com/images/I/817dEZqfmXL.jpg</t>
  </si>
  <si>
    <t>adidas womens Training Medium Support Good Level Bra Padded</t>
  </si>
  <si>
    <t>0195737741729</t>
  </si>
  <si>
    <t>(X-Small) DD</t>
  </si>
  <si>
    <t>0195736790209</t>
  </si>
  <si>
    <t>https://m.media-amazon.com/images/I/715GvHTE+0L.jpg;https://m.media-amazon.com/images/I/814L9tF5gCL.jpg</t>
  </si>
  <si>
    <t>0195737742344</t>
  </si>
  <si>
    <t>https://m.media-amazon.com/images/I/71TKLg2ueBL.jpg;https://m.media-amazon.com/images/I/8160++IVpJL.jpg;https://m.media-amazon.com/images/I/811jKur-FbL.jpg</t>
  </si>
  <si>
    <t>0195737742368</t>
  </si>
  <si>
    <t>0195736794023</t>
  </si>
  <si>
    <t>0195736790223</t>
  </si>
  <si>
    <t>(Small) DD</t>
  </si>
  <si>
    <t>B0BM22J6NM</t>
  </si>
  <si>
    <t>D20156-CH-S</t>
  </si>
  <si>
    <t>0194381191232</t>
  </si>
  <si>
    <t>Small (Up to 15 lbs.)</t>
  </si>
  <si>
    <t>https://m.media-amazon.com/images/I/711pgRcSHZL.jpg;https://m.media-amazon.com/images/I/81OSk5EteeL.jpg;https://m.media-amazon.com/images/I/81eAns-vObL.jpg;https://m.media-amazon.com/images/I/91VIO+RMOSL.jpg;https://m.media-amazon.com/images/I/81T1cCmCFZL.jpg;https://m.media-amazon.com/images/I/712ZhaZnK7L.jpg;https://m.media-amazon.com/images/I/710O3PbtV0L.jpg;https://m.media-amazon.com/images/I/71V0GiPoa4L.jpg</t>
  </si>
  <si>
    <t>D20156-PK-S</t>
  </si>
  <si>
    <t>0194381191287</t>
  </si>
  <si>
    <t>https://m.media-amazon.com/images/I/81BY4inc8jL.jpg;https://m.media-amazon.com/images/I/81OSk5EteeL.jpg;https://m.media-amazon.com/images/I/81pYPkRaitL.jpg;https://m.media-amazon.com/images/I/91e6OyJExHL.jpg;https://m.media-amazon.com/images/I/91uqR6GBAvL.jpg;https://m.media-amazon.com/images/I/71P+iJqatSL.jpg;https://m.media-amazon.com/images/I/71IqBCUlj7L.jpg;https://m.media-amazon.com/images/I/61jff8RJ68L.jpg</t>
  </si>
  <si>
    <t>D20156-PK-M</t>
  </si>
  <si>
    <t>0194381191270</t>
  </si>
  <si>
    <t>Medium (Up to 25 lbs.)</t>
  </si>
  <si>
    <t>D20156-CH-M</t>
  </si>
  <si>
    <t>0194381191225</t>
  </si>
  <si>
    <t>https://m.media-amazon.com/images/I/711pgRcSHZL.jpg;https://m.media-amazon.com/images/I/81eAns-vObL.jpg;https://m.media-amazon.com/images/I/91VIO+RMOSL.jpg;https://m.media-amazon.com/images/I/81T1cCmCFZL.jpg;https://m.media-amazon.com/images/I/712ZhaZnK7L.jpg;https://m.media-amazon.com/images/I/710O3PbtV0L.jpg;https://m.media-amazon.com/images/I/81OSk5EteeL.jpg;https://m.media-amazon.com/images/I/71V0GiPoa4L.jpg</t>
  </si>
  <si>
    <t>D20156-CH-L</t>
  </si>
  <si>
    <t>0194381191218</t>
  </si>
  <si>
    <t>Large (Up to 40 lbs.)</t>
  </si>
  <si>
    <t>https://m.media-amazon.com/images/I/41yE-QJFvXL.jpg;https://m.media-amazon.com/images/I/41gQJqDPlfL.jpg;https://m.media-amazon.com/images/I/51dc+3jnkKL.jpg;https://m.media-amazon.com/images/I/51IxM0df0yL.jpg;https://m.media-amazon.com/images/I/41MYlvJD1+L.jpg;https://m.media-amazon.com/images/I/41mOL9yXU-L.jpg;https://m.media-amazon.com/images/I/41hX7aO8DWL.jpg;https://m.media-amazon.com/images/I/413hZu6JpCL.jpg</t>
  </si>
  <si>
    <t>D20156-PK-L</t>
  </si>
  <si>
    <t>0194381191263</t>
  </si>
  <si>
    <t>D20156-PK-XL</t>
  </si>
  <si>
    <t>0194381191294</t>
  </si>
  <si>
    <t>X-Large (Up to 55 lbs.)</t>
  </si>
  <si>
    <t>D20156-CH-XL</t>
  </si>
  <si>
    <t>0194381191249</t>
  </si>
  <si>
    <t>B0BQ9CFNST</t>
  </si>
  <si>
    <t>0195979225933</t>
  </si>
  <si>
    <t>https://m.media-amazon.com/images/I/71OdCv9zM9L.jpg;https://m.media-amazon.com/images/I/71AMzCdky6L.jpg;https://m.media-amazon.com/images/I/618f5NmoQ-L.jpg;https://m.media-amazon.com/images/I/81mMk87fyAL.jpg;https://m.media-amazon.com/images/I/717lS4JWmpL.jpg;https://m.media-amazon.com/images/I/71nV0brRqlL.jpg</t>
  </si>
  <si>
    <t>The Columbia Men’s Cornell Woods™ Flannel Long Sleeve Shirt brings classic, workwear style to your outdoor wardrobe. A perfect long sleeve for a casual hike, ride, or just everyday office wear. The versatile style features a cotton blend fabric with a hint of give, excellent to wear on its own, or perfect with other base layers to keep your warmth dialed in. Available in a range of modern to robust buffalo plaid prints. Designed for a lightly relaxed fit, this mid-weight, long sleeve flannel will keep you warm on fall and winter days. These shirts are created with an all-over, filament-dyed contemporary plaid patterns. Fold-over collar. Button-up placket. Long sleeves with adjustable cuffs. Chest pocket. Straight back yoke with box pleat and shirttail hemline. Columbia offers this men’s long sleeve shirt in multiple patterns, and sizes. Available in extended sizing. Regular Fit. To ensure the size you choose is right, utilize our sizing chart and the following measurement instructions: For the sleeves, start at the center back of your neck and measure across the shoulder and down to the sleeve. If you come up with a partial number, round up to the next even number. For the chest, measure at the fullest part of the chest, under the armpits and over the shoulder blades, keeping the tape measure firm and level. Imported Made from 98% cotton, 2% elastane. Button closure Machine wash.</t>
  </si>
  <si>
    <t>0195979225964</t>
  </si>
  <si>
    <t>https://m.media-amazon.com/images/I/71sy0bIpmlL.jpg;https://m.media-amazon.com/images/I/71tG22zmotL.jpg;https://m.media-amazon.com/images/I/61OusAWHusL.jpg;https://m.media-amazon.com/images/I/81CSbbrRPDL.jpg;https://m.media-amazon.com/images/I/71KlA2Bh6bL.jpg;https://m.media-amazon.com/images/I/71nV0brRqlL.jpg</t>
  </si>
  <si>
    <t>0195979225896</t>
  </si>
  <si>
    <t>0194004504241</t>
  </si>
  <si>
    <t>https://m.media-amazon.com/images/I/4110NNwKc0L.jpg;https://m.media-amazon.com/images/I/413+9BED-XL.jpg;https://m.media-amazon.com/images/I/41Rrj5G9u9S.jpg;https://m.media-amazon.com/images/I/41YnXmWgZ1L.jpg;https://m.media-amazon.com/images/I/41u6F0MPw6L.jpg;https://m.media-amazon.com/images/I/41AH1jKD8sS.jpg;https://m.media-amazon.com/images/I/41FilbwAWXS.jpg;https://m.media-amazon.com/images/I/317I2U4DigL.jpg;https://m.media-amazon.com/images/I/51PVC0KnF8L.jpg</t>
  </si>
  <si>
    <t>Constructed from a soft cotton flannel with built-in stretch, this button-down adeptly transitions from dinner to day job to the outdoor activity of your choosing. Cut for a classic fit with several plaid prints to choose from, it’s an essential for fall, winter, and beyond. Columbia offers this long sleeve shirt in multiple colors and sizes. Extended sizing available. Regular Fit.</t>
  </si>
  <si>
    <t>B0D3QGSS9W</t>
  </si>
  <si>
    <t>0091217595144</t>
  </si>
  <si>
    <t>https://m.media-amazon.com/images/I/718tfSSbpPL.jpg;https://m.media-amazon.com/images/I/81tLBoUfi3L.jpg;https://m.media-amazon.com/images/I/21Y0XoB1jzL.jpg;https://m.media-amazon.com/images/I/31PI1CAxTBL.jpg;https://m.media-amazon.com/images/I/41JlrOnzXHL.jpg;https://m.media-amazon.com/images/I/314QAxQafhL.jpg;https://m.media-amazon.com/images/I/31Ha-VPrQ3L.jpg</t>
  </si>
  <si>
    <t>Dearfoams womens Wren High Vamp Clog Indoor/Outdoor Memory Foam House Shoe</t>
  </si>
  <si>
    <t>0091217595106</t>
  </si>
  <si>
    <t>https://m.media-amazon.com/images/I/81aN3YByGaL.jpg;https://m.media-amazon.com/images/I/81h5GyZcH3L.jpg;https://m.media-amazon.com/images/I/31Awl4Vl6UL.jpg;https://m.media-amazon.com/images/I/31XHQHLUzrL.jpg;https://m.media-amazon.com/images/I/418OLnr6mdL.jpg;https://m.media-amazon.com/images/I/31zIvHv00DL.jpg;https://m.media-amazon.com/images/I/411Tuetv7DL.jpg</t>
  </si>
  <si>
    <t>Complete with unique, temperature regulating designs, these machine washable slippers are the perfect pick no matter the weather; and are easy to keep fresh for the long haul. Durable outsoles let you relax on the go with your easy on/off, indoor/outdoor slippers, while our classic memory foam insoles cradle your feet with every step.</t>
  </si>
  <si>
    <t>B0CBXNPQZY</t>
  </si>
  <si>
    <t>0195979248291</t>
  </si>
  <si>
    <t>X-Large</t>
  </si>
  <si>
    <t>https://m.media-amazon.com/images/I/71nR8KyAAML.jpg;https://m.media-amazon.com/images/I/61SeGeEvUIL.jpg;https://m.media-amazon.com/images/I/61479uT0f8L.jpg;https://m.media-amazon.com/images/I/71CO3Bd07gL.jpg;https://m.media-amazon.com/images/I/71mYL4YUrmL.jpg;https://m.media-amazon.com/images/I/716IvCc75IL.jpg;https://m.media-amazon.com/images/I/71VH7qhRDkL.jpg;https://m.media-amazon.com/images/I/71bKqZIrzNL.jpg;https://m.media-amazon.com/images/I/61E-adr-uyL.jpg</t>
  </si>
  <si>
    <t>A lightweight puffer you can wear year-round, this cotton-blend jacket is warm, water-resistant, and ready for adventure. Columbia offers this jacket in multiple colors and sizes. Extended sizing available. Relaxed fit and regular fit.</t>
  </si>
  <si>
    <t>0195979248253</t>
  </si>
  <si>
    <t>B0CZRXDCCW</t>
  </si>
  <si>
    <t>0196470703258</t>
  </si>
  <si>
    <t>https://m.media-amazon.com/images/I/41xSCFOyWKL.jpg;https://m.media-amazon.com/images/I/51ORW1Y6ZQL.jpg;https://m.media-amazon.com/images/I/51GP2DmWGiL.jpg;https://m.media-amazon.com/images/I/41RjCPD5EbL.jpg;https://m.media-amazon.com/images/I/416RT1YhasL.jpg;https://m.media-amazon.com/images/I/51L31K7VdwL.jpg;https://m.media-amazon.com/images/I/61nfV9EeV8L.jpg;https://m.media-amazon.com/images/I/61K1vDgMcCL.jpg;https://m.media-amazon.com/images/I/21aKhjPoZsL.jpg</t>
  </si>
  <si>
    <t>Stay ready for warm days on the course in this women's golf polo shirt. It's made of soft and breathable jacquard that has a bit of stretch. The sleeveless design lets you move freely, and the curved hem keeps you covered as you bend and swing. Made with a series of recycled materials, and at least 70% recycled content, this product represents just one of our solutions to help end plastic waste.</t>
  </si>
  <si>
    <t>0196470703296</t>
  </si>
  <si>
    <t>0196470703302</t>
  </si>
  <si>
    <t>0196470699889</t>
  </si>
  <si>
    <t>0196470703333</t>
  </si>
  <si>
    <t>0195862000784</t>
  </si>
  <si>
    <t>newborn</t>
  </si>
  <si>
    <t>https://m.media-amazon.com/images/I/51nnoNti44L.jpg;https://m.media-amazon.com/images/I/61g-GSUjSjL.jpg;https://m.media-amazon.com/images/I/51Lx1Oc7LWL.jpg</t>
  </si>
  <si>
    <t>Give baby's look a boost with these coveralls from Carter's! Carter's coveralls Cotton construction Graphic applique Easy-change snap closure 100% cotton Machine wash cold Made in China</t>
  </si>
  <si>
    <t>B0CKFHW1D4</t>
  </si>
  <si>
    <t>0196739276776</t>
  </si>
  <si>
    <t>https://m.media-amazon.com/images/I/61IuTd3CDyL.jpg;https://m.media-amazon.com/images/I/91lWrD071UL.jpg;https://m.media-amazon.com/images/I/71zeUObilEL.jpg;https://m.media-amazon.com/images/I/81Y8cd-oAgL.jpg;https://m.media-amazon.com/images/I/71pu6G01KEL.jpg;https://m.media-amazon.com/images/I/71XIfmjoCGL.jpg</t>
  </si>
  <si>
    <t>THE ORIGINAL MESH SHORTS. Reach for Champion's long mesh shorts for the light, airy comfort you need for sports, training, or relaxing. The classic style is made from airy mesh with smooth tricot lining that feels amazing against your skin. Designed for comfort and convenience, these gym shorts have an elasticized waistband with an inside drawstring to adjust for a perfect fit. A standard fit and side vents at the hem help create easy movement, while convenient side pockets are perfect for stashing essentials. The longer length with a 9" inseam hits just at the knee, with the iconic script logo screen-printed at the left hem.</t>
  </si>
  <si>
    <t>0196739276738</t>
  </si>
  <si>
    <t>B097LJ1K4F</t>
  </si>
  <si>
    <t>BK21304-001</t>
  </si>
  <si>
    <t>0840140214635</t>
  </si>
  <si>
    <t>11 Little Kid</t>
  </si>
  <si>
    <t>https://m.media-amazon.com/images/I/71shhxKwhSL.jpg;https://m.media-amazon.com/images/I/71Smzb3qdOL.jpg;https://m.media-amazon.com/images/I/71uEo3cA4sL.jpg;https://m.media-amazon.com/images/I/71bZ-R8VO4L.jpg;https://m.media-amazon.com/images/I/61SBFxAPiiL.jpg;https://m.media-amazon.com/images/I/61ADcBlE3nL.jpg</t>
  </si>
  <si>
    <t>0840140214642</t>
  </si>
  <si>
    <t>12 Little Kid</t>
  </si>
  <si>
    <t>https://m.media-amazon.com/images/I/31bVNMH1LdL.jpg;https://m.media-amazon.com/images/I/31ZNrmYSfRL.jpg;https://m.media-amazon.com/images/I/41-5Kpt0ncL.jpg;https://m.media-amazon.com/images/I/312-Ymj5gkL.jpg;https://m.media-amazon.com/images/I/31AS8VxOiML.jpg;https://m.media-amazon.com/images/I/21Y0qQTO1-L.jpg</t>
  </si>
  <si>
    <t>BK21304-250</t>
  </si>
  <si>
    <t>0840140214543</t>
  </si>
  <si>
    <t>https://m.media-amazon.com/images/I/8126+5AVbyL.jpg;https://m.media-amazon.com/images/I/71EZEf64sUL.jpg;https://m.media-amazon.com/images/I/714Xi0EXsAL.jpg;https://m.media-amazon.com/images/I/71TI8C2hpPL.jpg;https://m.media-amazon.com/images/I/719TW-pVIAL.jpg;https://m.media-amazon.com/images/I/71EmUZmOiUL.jpg</t>
  </si>
  <si>
    <t>B0CV7FJVM2</t>
  </si>
  <si>
    <t>0196469240214</t>
  </si>
  <si>
    <t>XX-Small-X-Small</t>
  </si>
  <si>
    <t>https://m.media-amazon.com/images/I/41woDfNReSL.jpg;https://m.media-amazon.com/images/I/41SMLdiltkL.jpg</t>
  </si>
  <si>
    <t>adidas womens Essentials 3-Stripes Oversized Fleece Sweatshirt</t>
  </si>
  <si>
    <t>0196469240245</t>
  </si>
  <si>
    <t>https://m.media-amazon.com/images/I/81WS+sgPZTL.jpg;https://m.media-amazon.com/images/I/81m6ggrA+DL.jpg</t>
  </si>
  <si>
    <t>0196524357635</t>
  </si>
  <si>
    <t>https://m.media-amazon.com/images/I/61EgvT1TKvL.jpg;https://m.media-amazon.com/images/I/61I9Lp7dLLL.jpg;https://m.media-amazon.com/images/I/31TMrJPY53L.jpg;https://m.media-amazon.com/images/I/51IkcKxkAZL.jpg</t>
  </si>
  <si>
    <t>0196524357680</t>
  </si>
  <si>
    <t>29W x 30L</t>
  </si>
  <si>
    <t>B0CL21BDSD</t>
  </si>
  <si>
    <t>0196978671332</t>
  </si>
  <si>
    <t>38W x 32L</t>
  </si>
  <si>
    <t>https://m.media-amazon.com/images/I/61T6BqFyQUL.jpg;https://m.media-amazon.com/images/I/61X+wQ8pXUL.jpg;https://m.media-amazon.com/images/I/61CkEFWutEL.jpg</t>
  </si>
  <si>
    <t>Take your style to the next level with Levi's 510 Skinny jeans. The 510 sports a skinny fit through the seat and thigh. Cut skinny and narrow through the leg. Low rise sits below the waist. Wider belt loops to accommodate all types of belts. Classic, five-pocket design with signature arcuate stitch at back. Leather brand patch at back waist. Belt loop waistband. Zip fly and button closure. 98% cotton, 2% elastane except on noted washes. Biscuits, Commando, Reznor, Wicked Too Stretch: 99% cotton, 1% elastane. Night Shift: 95% cotton, 4% polyester, 1% elastane. Ball Point Stretch: 75% cotton, 24% polyester, 1% elastane. Noise Addict: 67% cotton, 31% polyester, 2% elastane. Fonzie Stretch: 66% cotton, 33% polyester, 1% elastane. Machine wash cold, tumble dry low.</t>
  </si>
  <si>
    <t>B0BST96WV1</t>
  </si>
  <si>
    <t>0825664787407</t>
  </si>
  <si>
    <t>https://m.media-amazon.com/images/I/41eNeNMgYLL.jpg;https://m.media-amazon.com/images/I/41vq65Jf5GL.jpg;https://m.media-amazon.com/images/I/41vXWhz0hdL.jpg;https://m.media-amazon.com/images/I/419Gtn9hybL.jpg;https://m.media-amazon.com/images/I/41qzIQUaD4L.jpg;https://m.media-amazon.com/images/I/41VMHqWkgxL.jpg</t>
  </si>
  <si>
    <t>Enjoy playing at the beach or taking a dip in the water donning the super comfy Hurley Kids Checkered Shark Boardshorts. Supersuede fabric. Pull-on style. Elasticized waistband with drawcord closure. Sewn fly. One back flap pocket. Brand logo print on the left leg. Allover shark print. 100% polyester. Machine washable.</t>
  </si>
  <si>
    <t>B0CPNRWFGS</t>
  </si>
  <si>
    <t>0652874875118</t>
  </si>
  <si>
    <t>https://m.media-amazon.com/images/I/41vSGvomYCL.jpg</t>
  </si>
  <si>
    <t>This party dress from Speechless girls is the perfect addition to her wardrobe. On trend and always appropriate, Speechless girls designs styles that she will love</t>
  </si>
  <si>
    <t>0652874882741</t>
  </si>
  <si>
    <t>https://m.media-amazon.com/images/I/41RznzurbVL.jpg</t>
  </si>
  <si>
    <t>0195861476450</t>
  </si>
  <si>
    <t>https://m.media-amazon.com/images/I/81mogpu0JsL.jpg</t>
  </si>
  <si>
    <t>Designed with three cute pieces in one, this set is complete with a zip-up vest, long-sleeve bodysuit and a pair of easy on pants.</t>
  </si>
  <si>
    <t>0195861476443</t>
  </si>
  <si>
    <t>https://m.media-amazon.com/images/I/51oBZpYA0NL.jpg</t>
  </si>
  <si>
    <t>0195861476467</t>
  </si>
  <si>
    <t>B0CZRVPX65</t>
  </si>
  <si>
    <t>0196470696499</t>
  </si>
  <si>
    <t>https://m.media-amazon.com/images/I/31tOPvyiP3L.jpg;https://m.media-amazon.com/images/I/3139atNqUgL.jpg;https://m.media-amazon.com/images/I/319t2hXmN2L.jpg;https://m.media-amazon.com/images/I/313k6a-EpBL.jpg;https://m.media-amazon.com/images/I/31e+VCCMPZL.jpg;https://m.media-amazon.com/images/I/31tOPvyiP3L.jpg;https://m.media-amazon.com/images/I/41GLyd2OJZL.jpg;https://m.media-amazon.com/images/I/41ZZDdOsNrL.jpg;https://m.media-amazon.com/images/I/31nigPYbeNL.jpg</t>
  </si>
  <si>
    <t>From long drives to short putts, keep the focus on your game in this women's adidas golf polo shirt. The curved hem and low collar give it modern course style. Made with 100% recycled materials, this product represents just one of our solutions to help end plastic waste.</t>
  </si>
  <si>
    <t>0196470699667</t>
  </si>
  <si>
    <t>https://m.media-amazon.com/images/I/51ELM-LEDFL.jpg;https://m.media-amazon.com/images/I/51acGnQKRkL.jpg;https://m.media-amazon.com/images/I/51oWwFTb3nL.jpg;https://m.media-amazon.com/images/I/51kQciS3kTL.jpg;https://m.media-amazon.com/images/I/51z1P-VSv8L.jpg;https://m.media-amazon.com/images/I/61arMlA-dwL.jpg;https://m.media-amazon.com/images/I/61RluciwWrL.jpg;https://m.media-amazon.com/images/I/61jrFu-qQnL.jpg;https://m.media-amazon.com/images/I/31nigPYbeNL.jpg</t>
  </si>
  <si>
    <t>0196470699704</t>
  </si>
  <si>
    <t>0196470696482</t>
  </si>
  <si>
    <t>Looking good on the green has never been easier with this women's golf polo shirt. It's made with soft jacquard to keep you comfortable during your swing. The lively allover print gives it a bright look from the moment you tee off until the last hole. Made with a series of recycled materials, and at least 70% recycled content, this product represents just one of our solutions to help end plastic waste.</t>
  </si>
  <si>
    <t>0196470699674</t>
  </si>
  <si>
    <t>0086131616129</t>
  </si>
  <si>
    <t>Kurt S. Adler</t>
  </si>
  <si>
    <t>19in</t>
  </si>
  <si>
    <t>https://m.media-amazon.com/images/I/41pGew9E2lL.jpg;https://m.media-amazon.com/images/I/41uNp+vJ8JL.jpg;https://m.media-amazon.com/images/I/31Avog73JgL.jpg;https://m.media-amazon.com/images/I/3102M1jn-hL.jpg;https://m.media-amazon.com/images/I/3161Hz2OqPL.jpg;https://m.media-amazon.com/images/I/51+611inchL.jpg</t>
  </si>
  <si>
    <t>Feel the great spirit of the holidays with this Harry Potter™ 4 houses of Hogwarts stocking from Kurt Adler. The colorful stocking features the names of each of the four houses: Gryffindor, Slytherin, Ravenclaw and Hufflepuff. Officially-licensed Harry Potter™ stocking | Made of polyester | Hangs from black loop | Perfect for Gryffindor's of all ages More Information UPC 086131616129 Split 4 Case 12 Color Multicolor Item Size 19in Packaging Hang Tag</t>
  </si>
  <si>
    <t>B084QYQG45</t>
  </si>
  <si>
    <t>0627574478129</t>
  </si>
  <si>
    <t>7 Big Kid</t>
  </si>
  <si>
    <t>https://m.media-amazon.com/images/I/41EaKXPBX-L.jpg;https://m.media-amazon.com/images/I/41ZqZfBbIzL.jpg;https://m.media-amazon.com/images/I/41kBiVftdAL.jpg;https://m.media-amazon.com/images/I/4140qG4JMQL.jpg;https://m.media-amazon.com/images/I/41hhsvUmltL.jpg</t>
  </si>
  <si>
    <t>Watch your little one run through around the sprinkler in total comfort. After all, these Crab sandal for kids feature a waterproof upper and a quick-drying, moisture-wicking lining!</t>
  </si>
  <si>
    <t>B0CTS9JGW8</t>
  </si>
  <si>
    <t>0713610136969</t>
  </si>
  <si>
    <t>https://m.media-amazon.com/images/I/810izu8ynaL.jpg;https://m.media-amazon.com/images/I/713TE9mvzUL.jpg</t>
  </si>
  <si>
    <t>B0CCXJV69J</t>
  </si>
  <si>
    <t>0713610137140</t>
  </si>
  <si>
    <t>https://m.media-amazon.com/images/I/71bIej3V5NL.jpg;https://m.media-amazon.com/images/I/71VHqqaJpQL.jpg</t>
  </si>
  <si>
    <t>0713610136976</t>
  </si>
  <si>
    <t>0713610136983</t>
  </si>
  <si>
    <t>This women's tennis t-shirt from Grand Slam truly is an essential for your tennis wardrobe. The solid-colored tennis shirt pairs well with just about any skort or short and features mesh trim for breathability and a flattering fit. Moisture-wicking technology moves perspiration away from your skin to keep you feeling dry while sun protection blocks out damaging UV rays.</t>
  </si>
  <si>
    <t>0713610137171</t>
  </si>
  <si>
    <t>0713610136990</t>
  </si>
  <si>
    <t>0713610137003</t>
  </si>
  <si>
    <t>0713610137188</t>
  </si>
  <si>
    <t>B0CJZT252G</t>
  </si>
  <si>
    <t>0196099436995</t>
  </si>
  <si>
    <t>https://m.media-amazon.com/images/I/51DCsCfIhjL.jpg;https://m.media-amazon.com/images/I/31ipdCSaGwL.jpg;https://m.media-amazon.com/images/I/41xNWO9EtoL.jpg;https://m.media-amazon.com/images/I/51FpB-Cn6gL.jpg</t>
  </si>
  <si>
    <t>A vintage fit made for modern times. Our Low Pro Jeans have the same mid rise and classic straight leg silhouette from your favorite '90s denim for a perfect lived-in look.</t>
  </si>
  <si>
    <t>0196099437008</t>
  </si>
  <si>
    <t>https://m.media-amazon.com/images/I/51JBRUK+J2L.jpg;https://m.media-amazon.com/images/I/31ipdCSaGwL.jpg;https://m.media-amazon.com/images/I/41xNWO9EtoL.jpg;https://m.media-amazon.com/images/I/51FpB-Cn6gL.jpg</t>
  </si>
  <si>
    <t>0196099437015</t>
  </si>
  <si>
    <t>26 Regular</t>
  </si>
  <si>
    <t>0196099153717</t>
  </si>
  <si>
    <t>27 Regular</t>
  </si>
  <si>
    <t>0196099437022</t>
  </si>
  <si>
    <t>28 Regular</t>
  </si>
  <si>
    <t>B0D44J5X17</t>
  </si>
  <si>
    <t>TW2MP277</t>
  </si>
  <si>
    <t>0196701942906</t>
  </si>
  <si>
    <t>https://m.media-amazon.com/images/I/71DLpIKnYlL.jpg;https://m.media-amazon.com/images/I/61EESeKvKjL.jpg;https://m.media-amazon.com/images/I/71mPT4dt2ML.jpg;https://m.media-amazon.com/images/I/31aSC-5HGJL.jpg;https://m.media-amazon.com/images/I/41mxmOg53kL.jpg</t>
  </si>
  <si>
    <t>This TOMMY HILFIGER WOMENS OW JACKET is a Cold Weather Weather resistant Fur Trim</t>
  </si>
  <si>
    <t>0196701942890</t>
  </si>
  <si>
    <t>0850004887455</t>
  </si>
  <si>
    <t>https://m.media-amazon.com/images/I/71Hz6AUZyjL.jpg;https://m.media-amazon.com/images/I/81GyCZ2TEfL.jpg;https://m.media-amazon.com/images/I/81aOM11xYgL.jpg;https://m.media-amazon.com/images/I/81C+RcC-d0L.jpg;https://m.media-amazon.com/images/I/91pLa0ptzIL.jpg</t>
  </si>
  <si>
    <t>Upbounders Birthday Balloons puzzle captures every detail of a most epic backyard birthday party. A sweet gift as a birthday present or any occasion. About Upbounders The world belongs to kids. They need to feel they belong in the world. This is why at Upbounders everything we do promotes belonging. With high-quality products, we support all families in making sure all our future minds are seen and loved. Our products, for kids ages 6 and under, celebrate cultural and ethnic differences accurately in ways that are relatable, inspiring and transformative. From award-winning puzzles, to board games to flash cards, we are a small MBE (Minority Business Enterprise) with a big ambition: to enable how children get to understand the world and each other.</t>
  </si>
  <si>
    <t>B0B6KNVH75</t>
  </si>
  <si>
    <t>0191900490715</t>
  </si>
  <si>
    <t>https://m.media-amazon.com/images/I/71biE9PSqXL.jpg;https://m.media-amazon.com/images/I/613JCXGUFBL.jpg;https://m.media-amazon.com/images/I/71qzbQuUzLL.jpg;https://m.media-amazon.com/images/I/41FKVtmjRTL.jpg;https://m.media-amazon.com/images/I/4186yQ6tlvL.jpg</t>
  </si>
  <si>
    <t>Add a vegan leather puffer to your rotation with Levi’s Vegan Leather Quilted Puffer, featuring a quilted exterior fabric, stand collar, dual center front closure and two lower pockets.</t>
  </si>
  <si>
    <t>0191900490418</t>
  </si>
  <si>
    <t>https://m.media-amazon.com/images/I/81-L0YQawgL.jpg;https://m.media-amazon.com/images/I/31n9h4QO+RL.jpg;https://m.media-amazon.com/images/I/41qHIkeY7gL.jpg;https://m.media-amazon.com/images/I/413qnkOHsfL.jpg</t>
  </si>
  <si>
    <t>0191900490708</t>
  </si>
  <si>
    <t>0191900490401</t>
  </si>
  <si>
    <t>0191900490692</t>
  </si>
  <si>
    <t>0191900490395</t>
  </si>
  <si>
    <t>0191900490685</t>
  </si>
  <si>
    <t>0191900490388</t>
  </si>
  <si>
    <t>B0CLSYHKNY</t>
  </si>
  <si>
    <t>W03LG30B-GYS-3XL</t>
  </si>
  <si>
    <t>0194880805906</t>
  </si>
  <si>
    <t>3X-Large</t>
  </si>
  <si>
    <t>https://m.media-amazon.com/images/I/71MahHthUtL.jpg;https://m.media-amazon.com/images/I/71ZNC5wZeaL.jpg;https://m.media-amazon.com/images/I/710TyEwys-L.jpg;https://m.media-amazon.com/images/I/71xUMOG3OjL.jpg</t>
  </si>
  <si>
    <t>Start the day in comfort and stylish versatility, perfect for every workout in the Skechers GOWALK moisture-wicking nylon and spandex blend fabric, chafe-free seams for total comfort and exterior side pockets.</t>
  </si>
  <si>
    <t>B0CM3V8ZSN</t>
  </si>
  <si>
    <t>0756571661743</t>
  </si>
  <si>
    <t>UNIONBAY</t>
  </si>
  <si>
    <t>https://m.media-amazon.com/images/I/71ldAAhWLHL.jpg;https://m.media-amazon.com/images/I/712po84pM-L.jpg;https://m.media-amazon.com/images/I/319XvNFlE2L.jpg;https://m.media-amazon.com/images/I/418lbYBv+eL.jpg</t>
  </si>
  <si>
    <t>This pant is made from a comfortable fabric and features a removable web belt, front slash pockets, and a front hook closure with zipper fly. The faux back pockets add a touch of style, while the two side cargo patch pockets with flap and hidden snap closure are perfect for carrying all your essentials.</t>
  </si>
  <si>
    <t>0756571661668</t>
  </si>
  <si>
    <t>https://m.media-amazon.com/images/I/719nXCIpaiL.jpg;https://m.media-amazon.com/images/I/71TlXnxfqkL.jpg;https://m.media-amazon.com/images/I/31hr9o1HYnL.jpg;https://m.media-amazon.com/images/I/414MmbVWyIL.jpg</t>
  </si>
  <si>
    <t>0756571661774</t>
  </si>
  <si>
    <t>0756571661781</t>
  </si>
  <si>
    <t>B0BG3DGYFV</t>
  </si>
  <si>
    <t>0191900561675</t>
  </si>
  <si>
    <t>Andrew Marc</t>
  </si>
  <si>
    <t>https://m.media-amazon.com/images/I/91SwMPq5v7L.jpg;https://m.media-amazon.com/images/I/81qsyNft2gL.jpg;https://m.media-amazon.com/images/I/61joP7D7XbL.jpg;https://m.media-amazon.com/images/I/61288vfLGFL.jpg;https://m.media-amazon.com/images/I/61Z19j4rygL.jpg;https://m.media-amazon.com/images/I/61RMgTkfsCL.jpg</t>
  </si>
  <si>
    <t>This ANDREW MARC womens Quilted crinkle nylon midweight jacket with our signature lava-quilted design with tonal taping details</t>
  </si>
  <si>
    <t>B0CW7C7Y74</t>
  </si>
  <si>
    <t>0191900561750</t>
  </si>
  <si>
    <t>https://m.media-amazon.com/images/I/41HQgEI285L.jpg;https://m.media-amazon.com/images/I/41dGZ4MsT1L.jpg;https://m.media-amazon.com/images/I/31dOLe-CKAL.jpg;https://m.media-amazon.com/images/I/319v6qkv1RL.jpg;https://m.media-amazon.com/images/I/31WBNBJcRzL.jpg</t>
  </si>
  <si>
    <t>0191900561712</t>
  </si>
  <si>
    <t>https://m.media-amazon.com/images/I/51iWY8mEV7L.jpg;https://m.media-amazon.com/images/I/51iRny+Or9L.jpg;https://m.media-amazon.com/images/I/41eocfKDB4L.jpg;https://m.media-amazon.com/images/I/410jhoQ-WaL.jpg;https://m.media-amazon.com/images/I/41xLVQ6rZuL.jpg</t>
  </si>
  <si>
    <t>0191900565208</t>
  </si>
  <si>
    <t>https://m.media-amazon.com/images/I/81fxPrvZJ9L.jpg;https://m.media-amazon.com/images/I/81+aKNazYfL.jpg;https://m.media-amazon.com/images/I/61Pusp6+UEL.jpg;https://m.media-amazon.com/images/I/617CTBZpE3L.jpg;https://m.media-amazon.com/images/I/613zsPD73BL.jpg</t>
  </si>
  <si>
    <t>0191900565192</t>
  </si>
  <si>
    <t>https://m.media-amazon.com/images/I/91hqxfWNpzL.jpg;https://m.media-amazon.com/images/I/915-HTOj9KL.jpg;https://m.media-amazon.com/images/I/61p43ouH6kL.jpg;https://m.media-amazon.com/images/I/71Cy2obMHBL.jpg;https://m.media-amazon.com/images/I/61SfTkPXpmL.jpg</t>
  </si>
  <si>
    <t>0191900565185</t>
  </si>
  <si>
    <t>0191900561705</t>
  </si>
  <si>
    <t>0191900561743</t>
  </si>
  <si>
    <t>0191900561668</t>
  </si>
  <si>
    <t>0191900561736</t>
  </si>
  <si>
    <t>0191900561651</t>
  </si>
  <si>
    <t>https://m.media-amazon.com/images/I/91SwMPq5v7L.jpg;https://m.media-amazon.com/images/I/81qsyNft2gL.jpg</t>
  </si>
  <si>
    <t>0810816034584</t>
  </si>
  <si>
    <t>WHAT DO YOU MEME?</t>
  </si>
  <si>
    <t>https://m.media-amazon.com/images/I/41qLxJ1AC0L.jpg;https://m.media-amazon.com/images/I/518ga8mxtpL.jpg;https://m.media-amazon.com/images/I/51cKOwL9lbL.jpg;https://m.media-amazon.com/images/I/41j0-xqTQOL.jpg;https://m.media-amazon.com/images/I/41bafBXBRGL.jpg;https://m.media-amazon.com/images/I/41eypou2h-L.jpg;https://m.media-amazon.com/images/I/41e9ziffqEL.jpg;https://m.media-amazon.com/images/I/41m9HWKnW5L.jpg;https://m.media-amazon.com/images/I/41K2h1+kwSL.jpg;https://m.media-amazon.com/images/I/41aKvF3dNLL.jpg</t>
  </si>
  <si>
    <t>0194004650993</t>
  </si>
  <si>
    <t>https://m.media-amazon.com/images/I/31aUIMY0NHL.jpg;https://m.media-amazon.com/images/I/41ghyUJ9ZIL.jpg;https://m.media-amazon.com/images/I/41AHReM+f7L.jpg;https://m.media-amazon.com/images/I/31mIBY0jV5L.jpg;https://m.media-amazon.com/images/I/31CuLbMB2nL.jpg;https://m.media-amazon.com/images/I/31SjHvpNzaL.jpg;https://m.media-amazon.com/images/I/41YN8+CnE8L.jpg;https://m.media-amazon.com/images/I/41CkGlnh9KL.jpg</t>
  </si>
  <si>
    <t>DR9651-100</t>
  </si>
  <si>
    <t>0195871691584</t>
  </si>
  <si>
    <t>https://m.media-amazon.com/images/I/41TYmirwZNL.jpg;https://m.media-amazon.com/images/I/41+yMscV9dL.jpg;https://m.media-amazon.com/images/I/41XsW0jyOIL.jpg;https://m.media-amazon.com/images/I/31K6iKagHZL.jpg</t>
  </si>
  <si>
    <t>Meet a long-sleeve tee that looks as bold as it is awesome. Made from soft cotton, it easily fits into any adventure you might plan-from the playground to the park to your next hike. Everyday cotton fabric feels soft and lightweight. Ribbed cuffs help keep your sleeves in place. Standard fit for a relaxed, easy feel. 100% cotton. Machine wash. Measurements: Length: 21 in Chest Measurement: 13 in Sleeve Length: 20 in Product measurements were taken using size SM (8 Big Kid). Please note that measurements may vary by size.</t>
  </si>
  <si>
    <t>B01NCEHBLG</t>
  </si>
  <si>
    <t>0195862116560</t>
  </si>
  <si>
    <t>Newborn</t>
  </si>
  <si>
    <t>https://m.media-amazon.com/images/I/91APxQtE4BL.jpg;https://m.media-amazon.com/images/I/81ad3AMbrDL.jpg;https://m.media-amazon.com/images/I/416z2cGZi6L.jpg</t>
  </si>
  <si>
    <t>0195862116522</t>
  </si>
  <si>
    <t>0195862116546</t>
  </si>
  <si>
    <t>https://m.media-amazon.com/images/I/91ekV-7IjTL.jpg;https://m.media-amazon.com/images/I/91n6EziDqEL.jpg;https://m.media-amazon.com/images/I/416z2cGZi6L.jpg</t>
  </si>
  <si>
    <t>0195862116492</t>
  </si>
  <si>
    <t>12 Months</t>
  </si>
  <si>
    <t>S17 ST pad white my first ST PADDYS. Long sleeves. Nickel-Free snaps on reinforced panel. Expandable shoulders. Embroidered "first St. Patrick's day" slogan.</t>
  </si>
  <si>
    <t>0195862116508</t>
  </si>
  <si>
    <t>18 Months</t>
  </si>
  <si>
    <t>Crafted in super soft cotton with a sweet slogan, this bodysuit is perfect for your little cutie.</t>
  </si>
  <si>
    <t>B0CKLZMWGB</t>
  </si>
  <si>
    <t>0196457295752</t>
  </si>
  <si>
    <t>24 Plus</t>
  </si>
  <si>
    <t>https://m.media-amazon.com/images/I/31QrOlxSTsL.jpg;https://m.media-amazon.com/images/I/314Hk0J7WEL.jpg;https://m.media-amazon.com/images/I/31zmfw9974L.jpg;https://m.media-amazon.com/images/I/41kZncb3zDL.jpg;https://m.media-amazon.com/images/I/41xaF2aaZcL.jpg;https://m.media-amazon.com/images/I/5179L-FlNiL.jpg</t>
  </si>
  <si>
    <t>Lee is an iconic American denim and casual apparel brand that's been making legendary product for legendary people since 1889. With over 125 years of purposeful design and craftsmanship, we know a thing or two about style. Fueled by our core values of authenticity, integrity, and drive, we create products our customers love, time and time again. From uniquely styled jeans, pants, and shorts to on-trend shirts and jackets, our movement-inspired innovations, versatile styling, and superior fit have inspired generations.</t>
  </si>
  <si>
    <t>B08HMFX4R8</t>
  </si>
  <si>
    <t>0729881413067, 0716825125407</t>
  </si>
  <si>
    <t>MORGAN &amp; PAIGE</t>
  </si>
  <si>
    <t>https://m.media-amazon.com/images/I/71KXGHEPq0L.jpg;https://m.media-amazon.com/images/I/61eCIZy3cVL.jpg;https://m.media-amazon.com/images/I/71--jm5Gr-S.jpg;https://m.media-amazon.com/images/I/81zlZbPwrsL.jpg;https://m.media-amazon.com/images/I/81eRkzW427L.jpg</t>
  </si>
  <si>
    <t>Product description
The perfect way to express your individualistic personality, we love the way oxidized silver makes a bold statement. Feminine and sophisticated, this pendant is the perfect gift for you or for the special woman in your life. The necklace is crafted in oxidized 925 sterling silver, for durability and luxurious, tarnish-free shine, and is shaped into a circle decorated with an ornated openwork celtic knot. The pendant glides along a rolo chain finished with a spring ring clasp
Amazon.com
This beautiful sterling silver pendant features an intricate looping Celtic knot, symbolizing interconnectedness and eternity. The openwork knot design is set inside a silver circle frame, and the pendant is showcased on an 18-inch sterling silver rolo link chain. Whether you're celebrating an Irish heritage or simply love the timeless beauty of Celtic design, this pendant is a fine addition to your collection.
Brand Story
The Amazon Curated Collection
Discover the Amazon Curated Collection of fine and fashion jewelry. The expansive selection of high-quality jewelry featured in the Amazon Curated Collection offers everyday values that range from precious gemstone and diamond pieces to the latest fashion designs.
This hand-selected assortment features an array of diamond, gemstone, and precious metal designs that receive a quality inspection, including from Amazon’s staff graduate gemologist, to ensure they meet Amazon’s high standards. All diamonds featured in the Amazon Curated Collection are certified by our suppliers to be conflict free, and IGI, GIA, or AGS certifications are provided on white diamonds of .75 carats or larger on all stud earrings, rings, and pendant necklaces.
Pieces from the Amazon Curated Collection come packaged in a custom box, making them wonderful gifts. In addition, we offer free one-day shipping within the continental U.S. on items over $500. International shipping options for friends and family overseas are available for an additional fee.
The Amazon Curated Collection offers a specialized customer service team that is available seven days a week to answer any product questions before, during or after the purchase. If you’re not satisfied for any reason, you will receive a full refund and free return shipping within the U.S. if you return your purchase within 30 days.
Find a special gift for a loved one or a beautiful piece that complements your personal style with jewelry from the Amazon Curated Collection.</t>
  </si>
  <si>
    <t>B0CB1FTDYB</t>
  </si>
  <si>
    <t>41J154F-P8M</t>
  </si>
  <si>
    <t>0196327198169</t>
  </si>
  <si>
    <t>https://m.media-amazon.com/images/I/81knldfmqxL.jpg</t>
  </si>
  <si>
    <t>B003LVYFUG</t>
  </si>
  <si>
    <t>0196524381159</t>
  </si>
  <si>
    <t>https://m.media-amazon.com/images/I/5186ZeuGASL.jpg</t>
  </si>
  <si>
    <t>Product Description
A modern, slim fit bootcut jean. Wide leg opening to fit over boots. Amazon.com
More than 140 years after inventing the blue jean, one thing is clear: Levi’s clothes are loved by the people who wear them - from presidents to movie stars, farmers to fashion icons, entrepreneurs to the everyman. 'Live in Levi’s’ asserts with confidence and pride that Levi’s clothes are indeed for everybody who’s not just anybody.</t>
  </si>
  <si>
    <t>0195339558305, 0195901028519</t>
  </si>
  <si>
    <t>44W x 30L</t>
  </si>
  <si>
    <t>https://m.media-amazon.com/images/I/819ib6fDzpL.jpg;https://m.media-amazon.com/images/I/81founhkWqL.jpg;https://m.media-amazon.com/images/I/91PZDXmkTCL.jpg</t>
  </si>
  <si>
    <t>0195901028526, 0195339558312</t>
  </si>
  <si>
    <t>44W x 32L</t>
  </si>
  <si>
    <t>B0CMRVRDTX</t>
  </si>
  <si>
    <t>0196884160876</t>
  </si>
  <si>
    <t>One Size</t>
  </si>
  <si>
    <t>https://m.media-amazon.com/images/I/61ACMsfdmmL.jpg</t>
  </si>
  <si>
    <t>Durable, soft knit fabric with interior flat elastic is comfortable &amp; stays put with secure grip. 3 per pack with mix of solids &amp; prints. Width: 3"". 100% Polyester.</t>
  </si>
  <si>
    <t>0195862128679</t>
  </si>
  <si>
    <t>https://m.media-amazon.com/images/I/41lOWaBExqL.jpg</t>
  </si>
  <si>
    <t>B0BS42LKC4</t>
  </si>
  <si>
    <t>GB9027_425</t>
  </si>
  <si>
    <t>0196219547686</t>
  </si>
  <si>
    <t>Adidas</t>
  </si>
  <si>
    <t>https://m.media-amazon.com/images/I/31DBv+XJgRL.jpg;https://m.media-amazon.com/images/I/41qrjYPtSSL.jpg;https://m.media-amazon.com/images/I/41uI-JYMWML.jpg;https://m.media-amazon.com/images/I/41GlEAejZsL.jpg;https://m.media-amazon.com/images/I/418bAXhr9VL.jpg;https://m.media-amazon.com/images/I/41dOhgNNftL.jpg</t>
  </si>
  <si>
    <t>Enjoy whatever the day brings in this juniors' adidas t-shirt. Soft cotton and a loose fit give it a casual ease. It has a pretty graphic done in soft pastels that can be dressed up or down. Our cotton products support more sustainable cotton farming.</t>
  </si>
  <si>
    <t>B0CZS1YJ8Z</t>
  </si>
  <si>
    <t>0196469864236</t>
  </si>
  <si>
    <t>https://m.media-amazon.com/images/I/71jPftwruOL.jpg;https://m.media-amazon.com/images/I/91CqwF1VxeL.jpg;https://m.media-amazon.com/images/I/A13rXVqm+WL.jpg;https://m.media-amazon.com/images/I/61J5fdx3bkL.jpg;https://m.media-amazon.com/images/I/61fNviVw1YL.jpg</t>
  </si>
  <si>
    <t>Stay locked in on the course in this adidas golf skort. It's made of soft, stretchy fabric with a bit of swing to it. It has a flattering fit with a wide power-mesh waist and liner shorts to let you move and bend comfortably for those long drives. The lively print nods to seasonal flowers around the course. Made with a series of recycled materials, and at least 70% recycled content, this product represents just one of our solutions to help end plastic waste.</t>
  </si>
  <si>
    <t>0196469864212</t>
  </si>
  <si>
    <t>0196469864243</t>
  </si>
  <si>
    <t>0196469864274</t>
  </si>
  <si>
    <t>Exported on 2024-06-03 12:18 (UTC) by ✜ Keepa.com</t>
  </si>
  <si>
    <t>0196469864182</t>
  </si>
  <si>
    <t>0196884269678</t>
  </si>
  <si>
    <t>https://m.media-amazon.com/images/I/41JU6t7s4+L.jpg</t>
  </si>
  <si>
    <t>B0D5BTFN5L</t>
  </si>
  <si>
    <t>WFULTRAFIT</t>
  </si>
  <si>
    <t>0193769409136</t>
  </si>
  <si>
    <t>0 Long</t>
  </si>
  <si>
    <t>https://m.media-amazon.com/images/I/71rA6uwBTRL.jpg;https://m.media-amazon.com/images/I/81Gz1ZzfYZL.jpg;https://m.media-amazon.com/images/I/81GW8pJ3zCL.jpg;https://m.media-amazon.com/images/I/91PH7v2RzDL.jpg;https://m.media-amazon.com/images/I/81jgsZuIXTL.jpg;https://m.media-amazon.com/images/I/918VzZ8xoHL.jpg;https://m.media-amazon.com/images/I/814WLJmzZeL.jpg;https://m.media-amazon.com/images/I/91k-kLIv2yL.jpg;https://m.media-amazon.com/images/I/91IlCs1PWQL.jpg</t>
  </si>
  <si>
    <t>Our Ultra Skinny is super soft, super comfy, super you! Whether you’re looking for your go to jeans in a fresh wash or you want to try a new fit entirely, WallFlower has a little something for everyone! We are size inclusive (standard, curvy and plus), which means – great jeans for all women. Period</t>
  </si>
  <si>
    <t>B0821QPQ5T</t>
  </si>
  <si>
    <t>0195862118984</t>
  </si>
  <si>
    <t>https://m.media-amazon.com/images/I/91dC1dAG-cL.jpg;https://m.media-amazon.com/images/I/81t9JUqunDL.jpg;https://m.media-amazon.com/images/I/419JRCPaYuL.jpg</t>
  </si>
  <si>
    <t>0195862118953</t>
  </si>
  <si>
    <t>0195862118946</t>
  </si>
  <si>
    <t>0195862118960</t>
  </si>
  <si>
    <t>0195862118915</t>
  </si>
  <si>
    <t>Designed to be all day comfort from sleeping to playing, this cuddly and super soft 1-piece is perfect for playtime, tummy time or anytime!</t>
  </si>
  <si>
    <t>B09KMPQLVW</t>
  </si>
  <si>
    <t>0194895268550</t>
  </si>
  <si>
    <t>https://m.media-amazon.com/images/I/41sS2SkYq4L.jpg;https://m.media-amazon.com/images/I/314rXNbBxSL.jpg;https://m.media-amazon.com/images/I/41LAwFmlqGL.jpg;https://m.media-amazon.com/images/I/4190iVnGZ9L.jpg;https://m.media-amazon.com/images/I/41wzckv8hhL.jpg;https://m.media-amazon.com/images/I/41lCUKAOvUL.jpg;https://m.media-amazon.com/images/I/41ojBmzjBEL.jpg;https://m.media-amazon.com/images/I/41IuTeSfWNL.jpg</t>
  </si>
  <si>
    <t>When you need top-level warmth and waterproof breathability, zip into this jacket. It includes 85% recycled down-like insulation and thermal-reflective tech inside, plus critical seam sealing—so you can keep moving in comfort, all season long. High functionality includes a drawcord-adjustable hood, zippered chest pocket, interior security pocket, zippered hand pockets, adjustable cuffs, drawcord adjustable hem, and a drop tail for maximum shielding from the elements. Columbia offers this garment in multiple colors and sizes. Extended sizing available. Regular Fit. To ensure the size you choose is right, utilize our sizing chart and the following measurement instructions: For the sleeves, start at the center back of your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</si>
  <si>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B0CM4R9GDK</t>
  </si>
  <si>
    <t>1357129-001-Small</t>
  </si>
  <si>
    <t>0194512217206</t>
  </si>
  <si>
    <t>https://m.media-amazon.com/images/I/21E3rZuPmyL.jpg;https://m.media-amazon.com/images/I/21fYmX-2Z-L.jpg</t>
  </si>
  <si>
    <t>Ultra-soft, mid-weight cotton-blend fleece with brushed interior for extra warmth. Encased elastic waistband with external drawcord. Open hand pockets with right-side internal phone pocket.</t>
  </si>
  <si>
    <t>B0CJSNYK92</t>
  </si>
  <si>
    <t>K269799SH4</t>
  </si>
  <si>
    <t>0000716863098</t>
  </si>
  <si>
    <t>Komar Kids</t>
  </si>
  <si>
    <t>https://m.media-amazon.com/images/I/51H26SSMdUL.jpg;https://m.media-amazon.com/images/I/51mwmnK7SdL.jpg;https://m.media-amazon.com/images/I/515GhnzEtsL.jpg;https://m.media-amazon.com/images/I/51lAPr03XoL.jpg;https://m.media-amazon.com/images/I/51JZw9oCfAL.jpg;https://m.media-amazon.com/images/I/51bpi0J0GAL.jpg</t>
  </si>
  <si>
    <t>B01L9KBAFI</t>
  </si>
  <si>
    <t>0195861294375</t>
  </si>
  <si>
    <t>https://m.media-amazon.com/images/I/71uyUOMT4DL.jpg;https://m.media-amazon.com/images/I/61yV2ezh3LL.jpg;https://m.media-amazon.com/images/I/81GWpUISl5L.jpg</t>
  </si>
  <si>
    <t>B09QHJ6FKC</t>
  </si>
  <si>
    <t>0091217512202</t>
  </si>
  <si>
    <t>Fireside by Dearfoams</t>
  </si>
  <si>
    <t>3 Big Kid</t>
  </si>
  <si>
    <t>https://m.media-amazon.com/images/I/91paw+9D1YL.jpg;https://m.media-amazon.com/images/I/71ov5dOwIEL.jpg;https://m.media-amazon.com/images/I/31TQtt9177L.jpg;https://m.media-amazon.com/images/I/310+mqe7-uL.jpg;https://m.media-amazon.com/images/I/41wLXnQMgWL.jpg;https://m.media-amazon.com/images/I/31pg8cPUBdL.jpg;https://m.media-amazon.com/images/I/41n74xBk9pL.jpg;https://m.media-amazon.com/images/I/51ZAhCkZnbL.jpg</t>
  </si>
  <si>
    <t>Little ones are sure to love our extra-cozy Bunbury bootie slippers! All-over shearling lining cradles their feet with comfort, while the handy heel tabs make pulling their slippers on and off a breeze. Natural moisture-wicking properties ensure they stay dry all day alongside a pair of durable indoor/outdoor outsoles crafted with playtime in mind!</t>
  </si>
  <si>
    <t>B0B9SSZTMS</t>
  </si>
  <si>
    <t>NATI-955</t>
  </si>
  <si>
    <t>0700030294980</t>
  </si>
  <si>
    <t>https://m.media-amazon.com/images/I/516d6kKW2zL.jpg;https://m.media-amazon.com/images/I/41uqHUmEkIL.jpg;https://m.media-amazon.com/images/I/51pxksaL0OL.jpg;https://m.media-amazon.com/images/I/510FC8Tt7tL.jpg;https://m.media-amazon.com/images/I/41oqUJj2O8L.jpg;https://m.media-amazon.com/images/I/41qFUoy7sGL.jpg</t>
  </si>
  <si>
    <t>Stay stylish in comfort with Rachel Shoes Natilee boots. Man-made upper, lining, insole, and outsole. Lace-up and side zipper closure. Round-toe silhouette.</t>
  </si>
  <si>
    <t>0700030294997</t>
  </si>
  <si>
    <t>NATI-988</t>
  </si>
  <si>
    <t>0700030296540</t>
  </si>
  <si>
    <t>0700030295000</t>
  </si>
  <si>
    <t>B0CLTFD2LP</t>
  </si>
  <si>
    <t>0191900561590</t>
  </si>
  <si>
    <t>https://m.media-amazon.com/images/I/71Qch1dlfUL.jpg;https://m.media-amazon.com/images/I/711QCtz07IL.jpg;https://m.media-amazon.com/images/I/618FbQSt88L.jpg;https://m.media-amazon.com/images/I/61mLSk+JKhL.jpg</t>
  </si>
  <si>
    <t>This ANDREW MARC womens Quilted crinkle nylon midweight anorak with our signature lava-quilt design paried with tonal trimming with attached convertible hood and exposed drawcord</t>
  </si>
  <si>
    <t>0191900561637</t>
  </si>
  <si>
    <t>https://m.media-amazon.com/images/I/71Ah01ZzUzL.jpg;https://m.media-amazon.com/images/I/71cmOjXTw1L.jpg;https://m.media-amazon.com/images/I/61+k1iFvflL.jpg;https://m.media-amazon.com/images/I/61MKJ7lpggL.jpg</t>
  </si>
  <si>
    <t>0191900565178</t>
  </si>
  <si>
    <t>0191900565161</t>
  </si>
  <si>
    <t>0191900561620</t>
  </si>
  <si>
    <t>0191900561583</t>
  </si>
  <si>
    <t>0191900561613</t>
  </si>
  <si>
    <t>https://m.media-amazon.com/images/I/31igZIDGwPL.jpg;https://m.media-amazon.com/images/I/31fSng34LxL.jpg;https://m.media-amazon.com/images/I/31WnFPIB34L.jpg;https://m.media-amazon.com/images/I/31dvNoYvz2L.jpg</t>
  </si>
  <si>
    <t>0191900561576</t>
  </si>
  <si>
    <t>0195861969860</t>
  </si>
  <si>
    <t>https://m.media-amazon.com/images/I/81kXpLqYt7L.jpg;https://m.media-amazon.com/images/I/81K1nHO1KzL.jpg;https://m.media-amazon.com/images/I/41ymbIqFLeL.jpg</t>
  </si>
  <si>
    <t>Crafted in snuggly fleece, this 1-piece takes him from playtime to bedtime in no time! Zip-up design makes for quick changes and easy dressing. Chemically treated? No way! Carter's polyester is flame resistant... Phew!</t>
  </si>
  <si>
    <t>B07BVCBPM7</t>
  </si>
  <si>
    <t>0195861969877</t>
  </si>
  <si>
    <t>0889273584451</t>
  </si>
  <si>
    <t>Aoniss</t>
  </si>
  <si>
    <t>https://m.media-amazon.com/images/I/51CXdtAG8VL.jpg;https://m.media-amazon.com/images/I/51arWX8RE6L.jpg;https://m.media-amazon.com/images/I/51emYc07XGL.jpg;https://m.media-amazon.com/images/I/611LR-MqB-L.jpg;https://m.media-amazon.com/images/I/61C5C-ffGyL.jpg;https://m.media-amazon.com/images/I/51lfHCrK7VL.jpg</t>
  </si>
  <si>
    <t>B0CVL12SWG</t>
  </si>
  <si>
    <t>20541918498492XL</t>
  </si>
  <si>
    <t>0195979121815</t>
  </si>
  <si>
    <t>https://m.media-amazon.com/images/I/51WZacS88KL.jpg</t>
  </si>
  <si>
    <t>B0B2VQMYMZ</t>
  </si>
  <si>
    <t>WFM14082B-Z329-0</t>
  </si>
  <si>
    <t>0193769941803</t>
  </si>
  <si>
    <t>https://m.media-amazon.com/images/I/41voRYYIuTL.jpg;https://m.media-amazon.com/images/I/41x9QtRev-L.jpg;https://m.media-amazon.com/images/I/41IU0Ej99oL.jpg;https://m.media-amazon.com/images/I/51JvdWGKo6L.jpg;https://m.media-amazon.com/images/I/51GSFPMTVYL.jpg;https://m.media-amazon.com/images/I/51vsC9espfL.jpg;https://m.media-amazon.com/images/I/51biBEbVjsL.jpg;https://m.media-amazon.com/images/I/51RjKc6ej1L.jpg;https://m.media-amazon.com/images/I/51DUDv0e3AL.jpg</t>
  </si>
  <si>
    <t>The Luscious Curvy Bootcut is our throwback inspired mid rise fit in soft stretch denim. The forever flattering fit that takes you from season to season! Whether you’re looking for your go to jeans in a fresh wash or you want to try a new fit entirely, WallFlower has a little something for everyone! We are size inclusive (standard, curvy and plus), which means – great jeans for all women. Period</t>
  </si>
  <si>
    <t>B0C3WGMSTY</t>
  </si>
  <si>
    <t>0652874719030</t>
  </si>
  <si>
    <t>https://m.media-amazon.com/images/I/71I-pDBXhTL.jpg;https://m.media-amazon.com/images/I/710Yd89YGdL.jpg;https://m.media-amazon.com/images/I/31k+jNLm9iL.jpg;https://m.media-amazon.com/images/I/41-dioD+6oL.jpg</t>
  </si>
  <si>
    <t>This 7-16 party dress from Speechless girls is the perfect addition to your wardrobe. On trend and always appropriate, Speechless girls designs styles that she will love.</t>
  </si>
  <si>
    <t>0652874682570</t>
  </si>
  <si>
    <t>https://m.media-amazon.com/images/I/61yOrZVn9QL.jpg;https://m.media-amazon.com/images/I/61RUtiq5L5L.jpg</t>
  </si>
  <si>
    <t>0652874719047</t>
  </si>
  <si>
    <t>0652874682587</t>
  </si>
  <si>
    <t>https://m.media-amazon.com/images/I/316dG60la5L.jpg;https://m.media-amazon.com/images/I/31ayhPavM-L.jpg</t>
  </si>
  <si>
    <t>1637871010-010</t>
  </si>
  <si>
    <t>0888664575504</t>
  </si>
  <si>
    <t>https://m.media-amazon.com/images/I/31lfbr+KG9L.jpg;https://m.media-amazon.com/images/I/31bQ2K1wshL.jpg;https://m.media-amazon.com/images/I/31uhxdLwXpL.jpg;https://m.media-amazon.com/images/I/31+XRCj1G-L.jpg;https://m.media-amazon.com/images/I/31qEdxwYfGL.jpg;https://m.media-amazon.com/images/I/41+HWCCBI0L.jpg;https://m.media-amazon.com/images/I/41zZcE-5o2L.jpg;https://m.media-amazon.com/images/I/41q-B-HEqkL.jpg</t>
  </si>
  <si>
    <t>1637873-464-Clgt Nvy, Chl-4 M US Toddler</t>
  </si>
  <si>
    <t>0888664575443</t>
  </si>
  <si>
    <t>https://m.media-amazon.com/images/I/41c-NtCTThL.jpg;https://m.media-amazon.com/images/I/41FniLRng5L.jpg;https://m.media-amazon.com/images/I/31jBwF5RCvL.jpg;https://m.media-amazon.com/images/I/31pn0YW0pLL.jpg;https://m.media-amazon.com/images/I/41xye4zq0fL.jpg;https://m.media-amazon.com/images/I/411N4u0BLbL.jpg;https://m.media-amazon.com/images/I/417U4LEd+pL.jpg;https://m.media-amazon.com/images/I/316LYDjrHjL.jpg;https://m.media-amazon.com/images/I/41EeXKiOrlL.jpg;https://m.media-amazon.com/images/I/31FwSbQjiLL.jpg;https://m.media-amazon.com/images/I/31f6MM1DyqL.jpg;https://m.media-amazon.com/images/I/31Hl6ApvmHL.jpg;https://m.media-amazon.com/images/I/41un+hkzq4L.jpg;https://m.media-amazon.com/images/I/31zdPU1VuBL.jpg</t>
  </si>
  <si>
    <t>0888664575511</t>
  </si>
  <si>
    <t>1637873-464-Clgt Nvy, Chl-5 M US Toddler</t>
  </si>
  <si>
    <t>0888664575450</t>
  </si>
  <si>
    <t>1637873-464-Clgt Nvy, Chl-6 M US Toddler</t>
  </si>
  <si>
    <t>0888664575467</t>
  </si>
  <si>
    <t>985986E-X58</t>
  </si>
  <si>
    <t>0825663532770</t>
  </si>
  <si>
    <t>https://m.media-amazon.com/images/I/61VM2xsdvkL.jpg;https://m.media-amazon.com/images/I/81CxamNrnVL.jpg</t>
  </si>
  <si>
    <t>Look cool and stay warm wearing the Hurley Kids Graphic Pullover Hoodie. Regular fit. Long sleeves and hooded neck. Kangaroo pocket on the front. Multicolored graphic print on the front and at one sleeve. Pullover style with straight hemline. Ribbed hemline and cuffs. 60% cotton, 40% polyester. Machine wash, tumble dry.</t>
  </si>
  <si>
    <t>B0D3V1HBSB</t>
  </si>
  <si>
    <t>78C4170-281-38</t>
  </si>
  <si>
    <t>0715676491990, 0196038293870</t>
  </si>
  <si>
    <t>https://m.media-amazon.com/images/I/71jKg4-pvZL.jpg;https://m.media-amazon.com/images/I/81ldHO6EpSL.jpg;https://m.media-amazon.com/images/I/81qRfIL7ZeL.jpg;https://m.media-amazon.com/images/I/61EiEwLi2tL.jpg;https://m.media-amazon.com/images/I/41SUExsgfPL.jpg;https://m.media-amazon.com/images/I/41p-SCDUFVL.jpg;https://m.media-amazon.com/images/I/41ZbRe1Gm9L.jpg;https://m.media-amazon.com/images/I/51WLxKbZ8+L.jpg</t>
  </si>
  <si>
    <t>Tommy Hilfiger Adaptive Chino Pants With Adjustable Waist And Magnets Mens</t>
  </si>
  <si>
    <t>78C4170-281-40</t>
  </si>
  <si>
    <t>0196038293894, 0715676492003</t>
  </si>
  <si>
    <t>https://m.media-amazon.com/images/I/31DntxTSmKL.jpg;https://m.media-amazon.com/images/I/31T0uDwZmnL.jpg;https://m.media-amazon.com/images/I/41JQiiNANML.jpg;https://m.media-amazon.com/images/I/51dIeDljCSL.jpg;https://m.media-amazon.com/images/I/41SUExsgfPL.jpg;https://m.media-amazon.com/images/I/41p-SCDUFVL.jpg;https://m.media-amazon.com/images/I/41ZbRe1Gm9L.jpg;https://m.media-amazon.com/images/I/51WLxKbZ8+L.jpg</t>
  </si>
  <si>
    <t>0843401052236</t>
  </si>
  <si>
    <t>ALDER CREEK GIFTS</t>
  </si>
  <si>
    <t>https://m.media-amazon.com/images/I/41ha0qVvj-L.jpg;https://m.media-amazon.com/images/I/61AlHFdiqsL.jpg;https://m.media-amazon.com/images/I/6101B5pl4YL.jpg;https://m.media-amazon.com/images/I/610akU98gSL.jpg</t>
  </si>
  <si>
    <t>Description
This Alder Creek Gift Baskets Egg-cellent Easter Gift Tower is stacked high and filled to the very top with spectacular and delicious, yummy treats in every box! This gift is perfect for sharing with friends and family this spring. Festive pastel patterns cover each one of the five keepsake boxes in this special tower.</t>
  </si>
  <si>
    <t>0889260953130</t>
  </si>
  <si>
    <t>GanCheng</t>
  </si>
  <si>
    <t>https://m.media-amazon.com/images/I/517YnebOsgL.jpg;https://m.media-amazon.com/images/I/31OtNusy3HL.jpg</t>
  </si>
  <si>
    <t>0194381191119</t>
  </si>
  <si>
    <t>https://m.media-amazon.com/images/I/51Awa35yKlL.jpg;https://m.media-amazon.com/images/I/411oWpL9GIL.jpg;https://m.media-amazon.com/images/I/41nQM9k5XNL.jpg</t>
  </si>
  <si>
    <t>B09JNR8WYY</t>
  </si>
  <si>
    <t>0196039138163</t>
  </si>
  <si>
    <t>https://m.media-amazon.com/images/I/31dOBWEj3kL.jpg;https://m.media-amazon.com/images/I/31a1nbFPWeL.jpg;https://m.media-amazon.com/images/I/41rbSY1gTrL.jpg;https://m.media-amazon.com/images/I/31V1HDxCI+L.jpg;https://m.media-amazon.com/images/I/61OWajnSGoL.jpg;https://m.media-amazon.com/images/I/514ovUi5ahL.jpg;https://m.media-amazon.com/images/I/31anR0GSt6L.jpg</t>
  </si>
  <si>
    <t>Armour Fleece® is light, breathable &amp; stretchy for warmth that still lets you move . Soft inner layer traps heat to keep you warm &amp; comfortable. Front kangaroo pocket. 100% Polyester .</t>
  </si>
  <si>
    <t>B0BM1WNLRR</t>
  </si>
  <si>
    <t>D20170-CH-S</t>
  </si>
  <si>
    <t>0194381184821</t>
  </si>
  <si>
    <t>Small (Chest: 14")</t>
  </si>
  <si>
    <t>https://m.media-amazon.com/images/I/518Uhc81BcL.jpg;https://m.media-amazon.com/images/I/51SVqoSJO1L.jpg;https://m.media-amazon.com/images/I/51kxJsYZhiL.jpg;https://m.media-amazon.com/images/I/61lOWfD0BKL.jpg;https://m.media-amazon.com/images/I/51J6SC041zL.jpg;https://m.media-amazon.com/images/I/51K0ljOtJWL.jpg;https://m.media-amazon.com/images/I/51BKHrsXwJL.jpg</t>
  </si>
  <si>
    <t>D20170-CH-L</t>
  </si>
  <si>
    <t>0194381184807</t>
  </si>
  <si>
    <t>Large (Chest: 21")</t>
  </si>
  <si>
    <t>D20170-PK-L</t>
  </si>
  <si>
    <t>0194381191737</t>
  </si>
  <si>
    <t>https://m.media-amazon.com/images/I/51HvBpza-pL.jpg;https://m.media-amazon.com/images/I/51SVqoSJO1L.jpg;https://m.media-amazon.com/images/I/51FZYxMXQXL.jpg;https://m.media-amazon.com/images/I/61uu73o3ytL.jpg;https://m.media-amazon.com/images/I/6113k0DLo-L.jpg;https://m.media-amazon.com/images/I/618NlkpPmYL.jpg;https://m.media-amazon.com/images/I/51O19-oFeGL.jpg</t>
  </si>
  <si>
    <t>D20170-PK-XL</t>
  </si>
  <si>
    <t>0194381191768</t>
  </si>
  <si>
    <t>X-Large (Chest: 24")</t>
  </si>
  <si>
    <t>D20170-CH-XL</t>
  </si>
  <si>
    <t>0194381184838</t>
  </si>
  <si>
    <t>B07YFBGW53</t>
  </si>
  <si>
    <t>SC224D19H908-RDSLV-7</t>
  </si>
  <si>
    <t>0747941465177</t>
  </si>
  <si>
    <t>https://m.media-amazon.com/images/I/51HpRZOnFcL.jpg</t>
  </si>
  <si>
    <t>This high neck maxi romper dress from Speechless girls is a beautiful dress for that special occasion. It perfectly blends sparkle and style. A beautiful dress for your beautiful girl.</t>
  </si>
  <si>
    <t>B0BF3JQZFF</t>
  </si>
  <si>
    <t>0888681254529</t>
  </si>
  <si>
    <t>Parfait by Affinitas</t>
  </si>
  <si>
    <t>30GG</t>
  </si>
  <si>
    <t>https://m.media-amazon.com/images/I/81WfPhHHXjL.jpg;https://m.media-amazon.com/images/I/81jrkiNBrLL.jpg;https://m.media-amazon.com/images/I/81+O72Z400L.jpg;https://m.media-amazon.com/images/I/81IvUq3tYML.jpg;https://m.media-amazon.com/images/I/81NKvrHfM4L.jpg;https://m.media-amazon.com/images/I/71OLJszcFGL.jpg;https://m.media-amazon.com/images/I/41R6q0WvTEL.jpg</t>
  </si>
  <si>
    <t>Feel supported in this strapless longline T-shirt bra, All-over modern mosaic print adds a fashion flair. Seamless, foam-lined underwire cups for shape, Silicone lining along edge of cup &amp; band to stay in place. Constructed with boning for extra support Brand: Parfait, Style Number: P50117. Body: 84% Nylon, 16% Elastane.</t>
  </si>
  <si>
    <t>0888681254536</t>
  </si>
  <si>
    <t>30H</t>
  </si>
  <si>
    <t>https://m.media-amazon.com/images/I/71oLIlnPbvL.jpg;https://m.media-amazon.com/images/I/71qi6L7mpqL.jpg;https://m.media-amazon.com/images/I/71XSsyypLKL.jpg;https://m.media-amazon.com/images/I/81S4tBGQcTL.jpg;https://m.media-amazon.com/images/I/71JApUPZEoL.jpg;https://m.media-amazon.com/images/I/710VHFFU+PL.jpg;https://m.media-amazon.com/images/I/61WRvMC1qFL.jpg</t>
  </si>
  <si>
    <t>Marissa is a classic wardrobe staple with a twist! Our brand new, elegant black Mosaic print makes this strapless bra as beautiful as it is functional. This strapless longline bra has silicone elastic along the neckline and top of the back, supporting smooth, light foam cups. With a full back and multiple hook and eye closure, Marissa provides ultimate support for full figured and full busted women. Adorned with pretty black buttons and an elegant tuxedo bow, this strapless bra is functional but stylish.</t>
  </si>
  <si>
    <t>0888681254611</t>
  </si>
  <si>
    <t>32GG</t>
  </si>
  <si>
    <t>B09DKHLBV6</t>
  </si>
  <si>
    <t>0888681250552</t>
  </si>
  <si>
    <t>PARFAIT</t>
  </si>
  <si>
    <t>30E</t>
  </si>
  <si>
    <t>https://m.media-amazon.com/images/I/81uuXU7lQfL.jpg;https://m.media-amazon.com/images/I/71jh0UohC4L.jpg;https://m.media-amazon.com/images/I/81Uy9rkf-fL.jpg;https://m.media-amazon.com/images/I/81HEy3Pc-uL.jpg;https://m.media-amazon.com/images/I/71g3UyVWupL.jpg;https://m.media-amazon.com/images/I/71OLJszcFGL.jpg</t>
  </si>
  <si>
    <t>0888681250569</t>
  </si>
  <si>
    <t>30F</t>
  </si>
  <si>
    <t>0888681250576</t>
  </si>
  <si>
    <t>30FF</t>
  </si>
  <si>
    <t>0888681250583</t>
  </si>
  <si>
    <t>30G</t>
  </si>
  <si>
    <t>0888681250590</t>
  </si>
  <si>
    <t>0888681250651</t>
  </si>
  <si>
    <t>32FF</t>
  </si>
  <si>
    <t>0888681250675</t>
  </si>
  <si>
    <t>0888681250682</t>
  </si>
  <si>
    <t>32H</t>
  </si>
  <si>
    <t>B0CMJ28KXV</t>
  </si>
  <si>
    <t>0195979487799</t>
  </si>
  <si>
    <t>https://m.media-amazon.com/images/I/61LAc0cT4UL.jpg;https://m.media-amazon.com/images/I/51tGjdFEQ0L.jpg;https://m.media-amazon.com/images/I/616hjABZ+GL.jpg;https://m.media-amazon.com/images/I/61nkuCGYVyL.jpg;https://m.media-amazon.com/images/I/61mf+HfHkgL.jpg</t>
  </si>
  <si>
    <t>With a timeless look and durable warmth, you'll get years of wear from this quilted pullover. Columbia offers this jacket in multiple colors and sizes. Extended sizing available. Regular fit.</t>
  </si>
  <si>
    <t>0195979487430</t>
  </si>
  <si>
    <t>https://m.media-amazon.com/images/I/71kD9DbLaxL.jpg;https://m.media-amazon.com/images/I/71+fEuaU5aL.jpg;https://m.media-amazon.com/images/I/61Gmq3I7g5L.jpg;https://m.media-amazon.com/images/I/812nxw1D+xL.jpg;https://m.media-amazon.com/images/I/71b2H6IvsHL.jpg;https://m.media-amazon.com/images/I/71t3GjDijoL.jpg;https://m.media-amazon.com/images/I/71MZI04XEzL.jpg;https://m.media-amazon.com/images/I/71AXU6Tn5JL.jpg;https://m.media-amazon.com/images/I/61z-Fz4jqTL.jpg</t>
  </si>
  <si>
    <t>0195979487447</t>
  </si>
  <si>
    <t>https://m.media-amazon.com/images/I/615s1hZlHsL.jpg;https://m.media-amazon.com/images/I/611JSLfp3nL.jpg;https://m.media-amazon.com/images/I/61Vx7z2TDzL.jpg;https://m.media-amazon.com/images/I/71vu5+8j56L.jpg;https://m.media-amazon.com/images/I/61PTtAZgBYL.jpg;https://m.media-amazon.com/images/I/71t3GjDijoL.jpg;https://m.media-amazon.com/images/I/71AgVayHsXL.jpg;https://m.media-amazon.com/images/I/71eToPh-jHL.jpg;https://m.media-amazon.com/images/I/61Bce2rjBpL.jpg</t>
  </si>
  <si>
    <t>B0CZRWNS46</t>
  </si>
  <si>
    <t>0196468455329</t>
  </si>
  <si>
    <t>https://m.media-amazon.com/images/I/3176YUuhpNL.jpg;https://m.media-amazon.com/images/I/31FF2tZzMYL.jpg;https://m.media-amazon.com/images/I/416baUDVqzL.jpg;https://m.media-amazon.com/images/I/41azVV5nPKL.jpg;https://m.media-amazon.com/images/I/31DnHX7aDlL.jpg</t>
  </si>
  <si>
    <t>This women's golf polo is designed for warm-weather rounds. The sleeveless top allows for unrestricted arm movement with four-way stretch to match every swing and bend while on course. It is made from recycled materials, part of the adidas commitment to ending plastic waste.</t>
  </si>
  <si>
    <t>B08VRCSWBP</t>
  </si>
  <si>
    <t>NW20200203</t>
  </si>
  <si>
    <t>0191170788932</t>
  </si>
  <si>
    <t>Voge</t>
  </si>
  <si>
    <t>https://m.media-amazon.com/images/I/71-iwQ7odiL.jpg;https://m.media-amazon.com/images/I/71s82UnUXEL.jpg;https://m.media-amazon.com/images/I/71dCao9QzKL.jpg;https://m.media-amazon.com/images/I/714cg63pwTL.jpg;https://m.media-amazon.com/images/I/71gadg0JYsL.jpg</t>
  </si>
  <si>
    <t>0191170788918</t>
  </si>
  <si>
    <t>https://m.media-amazon.com/images/I/417i7EziMOL.jpg;https://m.media-amazon.com/images/I/41eL+g1PJ9L.jpg;https://m.media-amazon.com/images/I/41zeI-llaWL.jpg;https://m.media-amazon.com/images/I/41dxk8Q2U+L.jpg;https://m.media-amazon.com/images/I/31oFZ0J9FdL.jpg</t>
  </si>
  <si>
    <t>0191170788925</t>
  </si>
  <si>
    <t>https://m.media-amazon.com/images/I/71GX6l1hEeL.jpg;https://m.media-amazon.com/images/I/71zaiXeHS5L.jpg;https://m.media-amazon.com/images/I/71nki0tEscL.jpg;https://m.media-amazon.com/images/I/71COS4kBELL.jpg;https://m.media-amazon.com/images/I/713eacM2gRL.jpg;https://m.media-amazon.com/images/I/71Bbd4XJrEL.jpg</t>
  </si>
  <si>
    <t>B0CJRXSRKL</t>
  </si>
  <si>
    <t>0000716860707</t>
  </si>
  <si>
    <t>https://m.media-amazon.com/images/I/41-JsKdPX4L.jpg;https://m.media-amazon.com/images/I/41-JsKdPX4L.jpg;https://m.media-amazon.com/images/I/71WQ3T1pbGL.jpg</t>
  </si>
  <si>
    <t>Perfect for every Blue Beetle fan! These 100% cotton pajamas for boys feature 2 pair of pajamas, 4 pieces total from the DC Comics legacy. One pair is designed to look like Blue Beetle's superhero suit. The other pair has an all over print. These all cotton pajamas are designed to be snug fitting to comply with safety regulations.</t>
  </si>
  <si>
    <t>B076P1ZGHP</t>
  </si>
  <si>
    <t>0195861922643</t>
  </si>
  <si>
    <t>https://m.media-amazon.com/images/I/41BK+vNJ2QL.jpg;https://m.media-amazon.com/images/I/517Q0B9WAKL.jpg;https://m.media-amazon.com/images/I/41BK+vNJ2QL.jpg</t>
  </si>
  <si>
    <t>Crafted in cozy fleece and featuring side-entry pockets, this hoodie is perfect for chilly days and nights!</t>
  </si>
  <si>
    <t>0195861922605</t>
  </si>
  <si>
    <t>https://m.media-amazon.com/images/I/718xpOgBydL.jpg;https://m.media-amazon.com/images/I/81VhKkf8c6L.jpg;https://m.media-amazon.com/images/I/41BK+vNJ2QL.jpg</t>
  </si>
  <si>
    <t>B0BCZ5K16B</t>
  </si>
  <si>
    <t>HRMNI-748</t>
  </si>
  <si>
    <t>0700030296809</t>
  </si>
  <si>
    <t>https://m.media-amazon.com/images/I/61Ffdvw03QL.jpg;https://m.media-amazon.com/images/I/61up0II+HmL.jpg;https://m.media-amazon.com/images/I/61G72gcYz3L.jpg</t>
  </si>
  <si>
    <t>Give her extra glitz with these boots by Rachel Shoes! Rachel shoes boots Faux-leather construction Faux-fur accents Bejeweled accent Grippy sole Synthetic upper Made in China</t>
  </si>
  <si>
    <t>0700030296816</t>
  </si>
  <si>
    <t>0700030296823</t>
  </si>
  <si>
    <t>BF1348-SP</t>
  </si>
  <si>
    <t>0028266901206</t>
  </si>
  <si>
    <t>Baldwin Filters</t>
  </si>
  <si>
    <t>https://m.media-amazon.com/images/I/71pVdNZjZvL.jpg</t>
  </si>
  <si>
    <t>This fuel filter can help protect engines and fuel system components from the damaging effects of contaminants such as water, fungus and bacteria, precipitates, particulates, and wax. This listing is for each. Technical Specification Item Fuel Filter Filter Design Spin-On Description/Special Features Fuel/Water Separator Spin-On with Drain and Sensor Port Micron Rating 40 Height 6 25/32 in Length 6 25/32 in Width 4 5/16 in Outside Dia. 4 5/16 in Includes Drain, Gasket Included, I. Gasket, Integral Post Seal, Sensor Port Thread: 1/2-20</t>
  </si>
  <si>
    <t>0195861981008</t>
  </si>
  <si>
    <t>https://m.media-amazon.com/images/I/718FDGxQv3L.jpg;https://m.media-amazon.com/images/I/71D6vKWq1SL.jpg;https://m.media-amazon.com/images/I/71mfIACIRPL.jpg</t>
  </si>
  <si>
    <t>B0BQ1HFB6F</t>
  </si>
  <si>
    <t>0194895752042</t>
  </si>
  <si>
    <t>https://m.media-amazon.com/images/I/7134Cf-UlKL.jpg;https://m.media-amazon.com/images/I/719FBseqvwL.jpg;https://m.media-amazon.com/images/I/61wySrnIv0L.jpg;https://m.media-amazon.com/images/I/61093HIeqhL.jpg;https://m.media-amazon.com/images/I/61C7l5xDd+L.jpg;https://m.media-amazon.com/images/I/71Dk8+Y1hdL.jpg;https://m.media-amazon.com/images/I/714IYK41inL.jpg;https://m.media-amazon.com/images/I/61ZO1OqVciL.jpg;https://m.media-amazon.com/images/I/61bakS2JLeL.jpg</t>
  </si>
  <si>
    <t>Look and feel good whatever the weather with our latest clothing and gear built to keep you comfortable and protected throughout the season.</t>
  </si>
  <si>
    <t>B0CMQ7G3PV</t>
  </si>
  <si>
    <t>0196099208622</t>
  </si>
  <si>
    <t>https://m.media-amazon.com/images/I/51IHCxjNkkL.jpg;https://m.media-amazon.com/images/I/5192bN8hqkL.jpg;https://m.media-amazon.com/images/I/513306nHcLL.jpg;https://m.media-amazon.com/images/I/51PWouaS4TL.jpg;https://m.media-amazon.com/images/I/61I9Lp7dLLL.jpg</t>
  </si>
  <si>
    <t>Authentic bootcut jeans that fit over your boots. Durable, quality jeans.</t>
  </si>
  <si>
    <t>0196099208646</t>
  </si>
  <si>
    <t>29W x 34L</t>
  </si>
  <si>
    <t>0196099208677</t>
  </si>
  <si>
    <t>30W x 34L</t>
  </si>
  <si>
    <t>0196099208684</t>
  </si>
  <si>
    <t>31W x 30L</t>
  </si>
  <si>
    <t>0196099208691</t>
  </si>
  <si>
    <t>0196099208721</t>
  </si>
  <si>
    <t>32W x 30L</t>
  </si>
  <si>
    <t>0196099150686, 0196279592183</t>
  </si>
  <si>
    <t>32W x 32L</t>
  </si>
  <si>
    <t>0196099209490</t>
  </si>
  <si>
    <t>42W x 34L</t>
  </si>
  <si>
    <t>https://m.media-amazon.com/images/I/41aZBOTjAnL.jpg;https://m.media-amazon.com/images/I/41ST33cWxZL.jpg;https://m.media-amazon.com/images/I/4148EvSgvRL.jpg;https://m.media-amazon.com/images/I/51PWouaS4TL.jpg;https://m.media-amazon.com/images/I/61I9Lp7dLLL.jpg</t>
  </si>
  <si>
    <t>B09KPBZM4H</t>
  </si>
  <si>
    <t>0195979512156</t>
  </si>
  <si>
    <t>https://m.media-amazon.com/images/I/71FqurkrG1L.jpg;https://m.media-amazon.com/images/I/81XTiDZHs2L.jpg;https://m.media-amazon.com/images/I/71bh1xOwVHL.jpg;https://m.media-amazon.com/images/I/81AbdXFcpZL.jpg;https://m.media-amazon.com/images/I/81N1KJWbhnL.jpg;https://m.media-amazon.com/images/I/71DZROf532L.jpg;https://m.media-amazon.com/images/I/717s4pL7WmL.jpg</t>
  </si>
  <si>
    <t>0195979512538</t>
  </si>
  <si>
    <t>https://m.media-amazon.com/images/I/61KGthr39FL.jpg;https://m.media-amazon.com/images/I/61xavfHgxOL.jpg;https://m.media-amazon.com/images/I/61UlzJMGLvL.jpg;https://m.media-amazon.com/images/I/71iVU8kz0iL.jpg;https://m.media-amazon.com/images/I/71S3r0M-64L.jpg;https://m.media-amazon.com/images/I/71DZROf532L.jpg;https://m.media-amazon.com/images/I/61O1iAG3pKL.jpg;https://m.media-amazon.com/images/I/61XFXyRVdtL.jpg;https://m.media-amazon.com/images/I/61tkLyovzlL.jpg</t>
  </si>
  <si>
    <t>0195979512149</t>
  </si>
  <si>
    <t>0191459027530</t>
  </si>
  <si>
    <t>#: 17329</t>
  </si>
  <si>
    <t>https://m.media-amazon.com/images/I/81RYy53NDxL.jpg</t>
  </si>
  <si>
    <t>#17329 Description Our FlexFit Glove with Faux Fur Lining is designed with moisture-wicking technology to help keep your hands nice and dry. Soft micro fur lining provides optimal warmth and comfort. Touch screen compatible. Features Moisture-wicking technology Touch screen compatible Faux fur lining Fabric Shell: 88% Polyester, 12% Spandex Faux Fur Lining: 100% Polyester Care Hand wash cold. Use only non-chlorine bleach when needed. Reshape and dry flat.</t>
  </si>
  <si>
    <t>B0D36YBLQM</t>
  </si>
  <si>
    <t>0196989262659</t>
  </si>
  <si>
    <t>Stay warm and comfortable during your outdoor workouts wearing Skechers Ottoman 1/4 Zip. This earth-friendly pullover features a quarter zip front with long sleeves, a mock neck, and an on-seam security pocket with invisible zipper.</t>
  </si>
  <si>
    <t>0196989262925</t>
  </si>
  <si>
    <t>B0BXR462XK</t>
  </si>
  <si>
    <t>EASE01J1-280</t>
  </si>
  <si>
    <t>0197524004390</t>
  </si>
  <si>
    <t>Madden Girl</t>
  </si>
  <si>
    <t>https://m.media-amazon.com/images/I/91haBGCaZyL.jpg;https://m.media-amazon.com/images/I/81g8OGod7UL.jpg;https://m.media-amazon.com/images/I/31l+bTv+ksL.jpg;https://m.media-amazon.com/images/I/41pc3ocFdUL.jpg;https://m.media-amazon.com/images/I/410yHRCL8iL.jpg;https://m.media-amazon.com/images/I/41Dwi846tAL.jpg;https://m.media-amazon.com/images/I/41NW7+6QkWL.jpg</t>
  </si>
  <si>
    <t>Add a bit of shimmer to their chilly day look while ensuring that their feet get the desired warmth and comfort by choosing the Madden Girl® Ease-HR Boots. Sporting a lightweight construction, these stylish and cozy boots are defined by a rhinestone-encrusted PU upper coordinated with a breathable PU lining and insole. With the pull-on style, the boots can be worn with ease and convenience.</t>
  </si>
  <si>
    <t>B0CHBGC9K1</t>
  </si>
  <si>
    <t>0196327204310</t>
  </si>
  <si>
    <t>https://m.media-amazon.com/images/I/71c5o+v7MjL.jpg;https://m.media-amazon.com/images/I/7105ahNg67L.jpg</t>
  </si>
  <si>
    <t>This winter season, take the casual fashion style to the next level wearing Levi's Kids Long Sleeve Hooded Flannel Top that comes with an attached terry cloth hood, button-up closure, long sleeves, and patch pocket on the left chest to store your essentails. It is designed to offer a relaxed fit and comes with striking flannel pattern allover. 60% cotton, 40% polyester. Machine washable.</t>
  </si>
  <si>
    <t>B0B9NKBBV7</t>
  </si>
  <si>
    <t>LLEANA-001</t>
  </si>
  <si>
    <t>0700030290128</t>
  </si>
  <si>
    <t>https://m.media-amazon.com/images/I/61bp+hl2odL.jpg;https://m.media-amazon.com/images/I/61nd2foYPsL.jpg;https://m.media-amazon.com/images/I/61mO2rG4zBL.jpg;https://m.media-amazon.com/images/I/7146ZsMQXvL.jpg;https://m.media-amazon.com/images/I/611PFjGyfmL.jpg</t>
  </si>
  <si>
    <t>0700030290135</t>
  </si>
  <si>
    <t>0729367701633</t>
  </si>
  <si>
    <t>Welry</t>
  </si>
  <si>
    <t>https://m.media-amazon.com/images/I/614g6rHwxVS.jpg;https://m.media-amazon.com/images/I/71MzmZNorWL.jpg</t>
  </si>
  <si>
    <t>B0BZ64M6BY</t>
  </si>
  <si>
    <t>0197524028792</t>
  </si>
  <si>
    <t>Madden Girl Loafer</t>
  </si>
  <si>
    <t>0197524028235</t>
  </si>
  <si>
    <t>B0D1YR1D46</t>
  </si>
  <si>
    <t>0195745462777</t>
  </si>
  <si>
    <t>https://m.media-amazon.com/images/I/71qvV-63GnL.jpg;https://m.media-amazon.com/images/I/81VeW8s1MHL.jpg</t>
  </si>
  <si>
    <t>Bring some style to your cool-weather round. This women's adidas golf jacket is made from a blend of materials that ensures comfortable warmth and an iconic look. This garment is made with high-performance recycled materials and contains a minimum of 60% recycled content.</t>
  </si>
  <si>
    <t>B0BLPD52QL</t>
  </si>
  <si>
    <t>78D0797-409-40</t>
  </si>
  <si>
    <t>0715676492546</t>
  </si>
  <si>
    <t>https://m.media-amazon.com/images/I/418OxiMyXQL.jpg;https://m.media-amazon.com/images/I/41Mhn6FnruL.jpg;https://m.media-amazon.com/images/I/61QpNPw4aaL.jpg;https://m.media-amazon.com/images/I/41p-SCDUFVL.jpg;https://m.media-amazon.com/images/I/41UyLtKjX2L.jpg</t>
  </si>
  <si>
    <t>Tommy Hilfiger men's jean. Cut straight for wear-with-anything versatility, our classic, inky jean is extra comfortable thanks to an added hint of stretch. Adjust them in several ways: nip or extend the waist with internal button tabs, and raise the hem up to four inches via hidden button loops. For maximum on-and-off ease, we've swapped the traditional zipper placket with a velcro brand closure and magnetic fly. Button and loop adjustable waist, 2 -4 adjustable button and loop inside hem for variations in height. Velcro brand closure and magnetic fly, designed to appear as a traditional button/zip fly. These adaptive jeans for men and more adaptive clothing for men are available from tommy adaptive men.</t>
  </si>
  <si>
    <t>B0CP8PPF8G</t>
  </si>
  <si>
    <t>0196953105487</t>
  </si>
  <si>
    <t>https://m.media-amazon.com/images/I/31sJZdx4oQL.jpg;https://m.media-amazon.com/images/I/31TLe4Bo0BL.jpg</t>
  </si>
  <si>
    <t>Part of our softest, coziest fleece collection, the Quest Plush 1/4-Zip Fleece is built to keep you warm during colder months. Relaxed and casual styling makes this a versatile layer you can pair with just about anything.</t>
  </si>
  <si>
    <t>B083F9QHNK</t>
  </si>
  <si>
    <t>0195862120390</t>
  </si>
  <si>
    <t>https://m.media-amazon.com/images/I/4137eYNtzDL.jpg;https://m.media-amazon.com/images/I/51bitGEeRRL.jpg;https://m.media-amazon.com/images/I/31YnPoPbtvL.jpg;https://m.media-amazon.com/images/I/41VgQ5SY6XL.jpg;https://m.media-amazon.com/images/I/4137eYNtzDL.jpg</t>
  </si>
  <si>
    <t>She is St. Paddy's Day ready in this long-sleeve tutu skirt.</t>
  </si>
  <si>
    <t>0195862120352</t>
  </si>
  <si>
    <t>0195862120376</t>
  </si>
  <si>
    <t>B09QPRSN2V</t>
  </si>
  <si>
    <t>0888681240218</t>
  </si>
  <si>
    <t>32E</t>
  </si>
  <si>
    <t>https://m.media-amazon.com/images/I/81QfmNOe1XL.jpg;https://m.media-amazon.com/images/I/71ez4o7ZJHL.jpg;https://m.media-amazon.com/images/I/81xSbY5EoAL.jpg;https://m.media-amazon.com/images/I/81f5TPKoH8L.jpg;https://m.media-amazon.com/images/I/71ag5ZS+XSL.jpg;https://m.media-amazon.com/images/I/71OLJszcFGL.jpg</t>
  </si>
  <si>
    <t>Introducing Wave, our new, wire-free, sports bra with a sporty zipper front closure and internal hooks for ease of fit and wearing. The moisture wicking and cooling fabric offers the ultimate comfort while exercising. The lightly padded inner slings along with a wide elastic band provide comfort, shape, and support. Subtle, tonal wave patterned front fabric trimmed with contrast, cooling, and perforated performance mesh, add fashion flare to any workout. The extra mesh cross back support lining helps smooth and lessens stress on the shoulders. Wide and adjustable ladder straps add extra comfort and support.</t>
  </si>
  <si>
    <t>0888681240225</t>
  </si>
  <si>
    <t>32F</t>
  </si>
  <si>
    <t>0195862018338</t>
  </si>
  <si>
    <t>https://m.media-amazon.com/images/I/61hPg2HdknL.jpg</t>
  </si>
  <si>
    <t>Perfect for baby's first Christmas, this set is complete with a long-sleeve bodysuit and a pair of easy on pants to match.</t>
  </si>
  <si>
    <t>0817742024832</t>
  </si>
  <si>
    <t>BigMouth</t>
  </si>
  <si>
    <t>https://m.media-amazon.com/images/I/61oQvN7Ne5L.jpg;https://m.media-amazon.com/images/I/61pFw+Ty90L.jpg;https://m.media-amazon.com/images/I/51CYlWxJqbL.jpg;https://m.media-amazon.com/images/I/5192GcrYw1L.jpg;https://m.media-amazon.com/images/I/51opImJ0+9L.jpg;https://m.media-amazon.com/images/I/81NXREEY48L.jpg</t>
  </si>
  <si>
    <t>The holidays mean it's time to break out the good beer and deck the halls with boughs of jolly. Our new Elfed Up beer glass will get you "in the spirits".. it holds 16 oz of your favorite brewski to get you fired up for the gift swap. It's made of high quality glass so you can make it a part of your holiday tradition, year after year.</t>
  </si>
  <si>
    <t>0810816034522</t>
  </si>
  <si>
    <t>https://m.media-amazon.com/images/I/51vIlg4ugnL.jpg;https://m.media-amazon.com/images/I/518UMgGFmxL.jpg;https://m.media-amazon.com/images/I/51WlJdROdML.jpg;https://m.media-amazon.com/images/I/5107RAYsYHL.jpg;https://m.media-amazon.com/images/I/51VJ3nBaZkL.jpg;https://m.media-amazon.com/images/I/51O8VhZXFxL.jpg;https://m.media-amazon.com/images/I/518MpEhJbeL.jpg;https://m.media-amazon.com/images/I/5101fyfdDnL.jpg;https://m.media-amazon.com/images/I/51atOGc5PnL.jpg</t>
  </si>
  <si>
    <t>On the night of a major awards show, influencer Mia Star is murdered during a livestream by a mysterious suspect in a bunny costume. Now it's up to you to figure out who did it—and fast. In this murder mystery game, you'll watch social media videos, hack into phones, piece together puzzles, and more. Full of interesting finds, twists, and turns, this mystery box for adults is the perfect game for a mystery party. If you love unsolved case files, this is for you -- It's a modern murder mystery box for the true crime and pop culture obsessed. Find out whether you have what it takes to discover Who Killed Mia.</t>
  </si>
  <si>
    <t>B0CJ1J1CGV</t>
  </si>
  <si>
    <t>0196978676092</t>
  </si>
  <si>
    <t>https://m.media-amazon.com/images/I/51NkaTYEgnL.jpg;https://m.media-amazon.com/images/I/51ncpD10nCL.jpg;https://m.media-amazon.com/images/I/5141IMkbJUL.jpg</t>
  </si>
  <si>
    <t>Our 512™ Slim Taper sits at the sweet spot between a skinny and a regular taper. These jeans are part of our most versatile family of fits and are a go-to for every occasion. As you probably guessed from the name, they feature a slim fit through the thigh that tapers down to the ankle. The end result? A seemingly tailor-made pair of jeans you can style any which way.</t>
  </si>
  <si>
    <t>0196978676375</t>
  </si>
  <si>
    <t>40W x 32L</t>
  </si>
  <si>
    <t>https://m.media-amazon.com/images/I/81ApLpv1WAL.jpg;https://m.media-amazon.com/images/I/81YfVvrxg8L.jpg;https://m.media-amazon.com/images/I/A1bDA6+PDAL.jpg</t>
  </si>
  <si>
    <t>0196978676382</t>
  </si>
  <si>
    <t>42W x 30L</t>
  </si>
  <si>
    <t>https://m.media-amazon.com/images/I/819yG1Uo9iL.jpg;https://m.media-amazon.com/images/I/61I9Lp7dLLL.jpg;https://m.media-amazon.com/images/I/31d4ROIsRGL.jpg</t>
  </si>
  <si>
    <t>0196978676399</t>
  </si>
  <si>
    <t>0850004887172</t>
  </si>
  <si>
    <t>https://m.media-amazon.com/images/I/51vARkc6RPL.jpg;https://m.media-amazon.com/images/I/51yg2qs2JEL.jpg;https://m.media-amazon.com/images/I/51lAjY5F3FL.jpg;https://m.media-amazon.com/images/I/51oj2kIMQkL.jpg;https://m.media-amazon.com/images/I/51gaHOW18fL.jpg;https://m.media-amazon.com/images/I/51L8xzFkiFL.jpg;https://m.media-amazon.com/images/I/5151IymFv6L.jpg;https://m.media-amazon.com/images/I/51U1xRaK2ML.jpg</t>
  </si>
  <si>
    <t>Educational toys that represent cultural and ethnic differences to children accurately and clearly can be hard to find. That is why Little Likes Kids has made it their mission to provide fun, interactive, and colorful toys that represent boys and girls of all backgrounds interacting and playing together. This powerful message is communicated through the eye-catching original artwork we use to create each of our unique puzzles and matching games. Our A Day at the Barbershop represents what might be a familiar scene for some children, while it might be an uneasy place for others. It’s a great way to introduce children to parts of the barbershop and help them grow more comfortable with regular haircuts. Although this 48-piece educational tool is intended for preschool-age children (ages 4–5), it works for all kids above age 4. In addition, it conforms to US ATSM safety standards. Jigsaw floor puzzles are a great way to get children excited about and engaged in their own education from a young age. This package contains 48 extra-thick puzzle pieces—easy for little hands to manage—and comes in a sturdy, rope-handled box. Each of our jumbo puzzles is eco-friendly and printed with nontoxic inks. Little Likes Kids is a women-owned, certified-minority business—founded by a mother who wanted toy options for her son that reflected his friends' and his experiences. Each unique puzzle's design uses bright and playful images to represent diversity, fun, and love, making them excellent classroom supplies for preschool and kindergarten teachers. Our puzzles for kids are designed to teach in a visual-spatial manner, specifically catering to hands-on learners and providing children from an early age a clear picture of what families are like and how each one is different in its own unique way.</t>
  </si>
  <si>
    <t>B0B9Y63XR7</t>
  </si>
  <si>
    <t>0700030295321</t>
  </si>
  <si>
    <t>https://m.media-amazon.com/images/I/71FfYnDazML.jpg;https://m.media-amazon.com/images/I/61pg-4mI95L.jpg;https://m.media-amazon.com/images/I/71LAluF5i5L.jpg;https://m.media-amazon.com/images/I/717qCl5tXVL.jpg;https://m.media-amazon.com/images/I/613DbbeXgCL.jpg</t>
  </si>
  <si>
    <t>Rachel Kids Lil Agatha Boots offer a cute style and an elevated comfort that your little one will surely love. Man-made upper, lining, and insole. Zippered side closure with dual hook-and-loop straps. Pull loop on the back for easy on and off. Round toe silhouette. Man-made outsole.</t>
  </si>
  <si>
    <t>0700030295338</t>
  </si>
  <si>
    <t>0195979517700</t>
  </si>
  <si>
    <t>0195861918899</t>
  </si>
  <si>
    <t>https://m.media-amazon.com/images/I/61gZ1a9x8hL.jpg;https://m.media-amazon.com/images/I/61GPGOSk6yL.jpg;https://m.media-amazon.com/images/I/617WBuohPEL.jpg</t>
  </si>
  <si>
    <t>Perfect for baby's first Halloween, this set is complete with a long-sleeve bodysuit and a pair of easy on pants to match.</t>
  </si>
  <si>
    <t>B0BLZTSRZD</t>
  </si>
  <si>
    <t>D20171-PK-S</t>
  </si>
  <si>
    <t>0194381191386</t>
  </si>
  <si>
    <t>Small (Chest: 17")</t>
  </si>
  <si>
    <t>https://m.media-amazon.com/images/I/71n2pr-Pm9L.jpg;https://m.media-amazon.com/images/I/71-S47lME8L.jpg;https://m.media-amazon.com/images/I/71itlc+nOxL.jpg;https://m.media-amazon.com/images/I/91piEabzAKL.jpg;https://m.media-amazon.com/images/I/71E29N1J7mL.jpg;https://m.media-amazon.com/images/I/71L4UFiAPvL.jpg;https://m.media-amazon.com/images/I/719LOEYZ6RL.jpg</t>
  </si>
  <si>
    <t>D20171-PK-M</t>
  </si>
  <si>
    <t>0194381191379</t>
  </si>
  <si>
    <t>Medium (Chest: 21")</t>
  </si>
  <si>
    <t>https://m.media-amazon.com/images/I/71zStb0dwrL.jpg;https://m.media-amazon.com/images/I/71-S47lME8L.jpg;https://m.media-amazon.com/images/I/91piEabzAKL.jpg;https://m.media-amazon.com/images/I/71itlc+nOxL.jpg;https://m.media-amazon.com/images/I/71L4UFiAPvL.jpg;https://m.media-amazon.com/images/I/719LOEYZ6RL.jpg;https://m.media-amazon.com/images/I/71E29N1J7mL.jpg</t>
  </si>
  <si>
    <t>D20171-PK-L</t>
  </si>
  <si>
    <t>0194381191362</t>
  </si>
  <si>
    <t>Large (Chest: 25")</t>
  </si>
  <si>
    <t>D20171-PK-XL</t>
  </si>
  <si>
    <t>0194381191393</t>
  </si>
  <si>
    <t>X-Large (Chest: 28")</t>
  </si>
  <si>
    <t>0729367634405</t>
  </si>
  <si>
    <t>Finecraft</t>
  </si>
  <si>
    <t>https://m.media-amazon.com/images/I/31e0bfEa0nL.jpg;https://m.media-amazon.com/images/I/31Exj34DQ3L.jpg;https://m.media-amazon.com/images/I/31M3hcyh7qL.jpg;https://m.media-amazon.com/images/I/31KXByVWHwL.jpg;https://m.media-amazon.com/images/I/31TLfBGo8nL.jpg;https://m.media-amazon.com/images/I/31NV+9q8IWL.jpg;https://m.media-amazon.com/images/I/31JIWx9qdRL.jpg</t>
  </si>
  <si>
    <t>Give mom this meaningful pendant for Mother's Day - or any time of year! A heart-cut stone is offset by a singular round-cut diamond, all crafted in sleek sterling silver. Piece measures 7/8 by 5/8 inches. Comes with a sterling silver 18-inch cable chain with a spring ring clasp.</t>
  </si>
  <si>
    <t>B0BGMDTYYJ</t>
  </si>
  <si>
    <t>0191291437993</t>
  </si>
  <si>
    <t>https://m.media-amazon.com/images/I/51IZ7iD6moL.jpg;https://m.media-amazon.com/images/I/41NFjuMlHHL.jpg;https://m.media-amazon.com/images/I/51GmwsiP2-L.jpg;https://m.media-amazon.com/images/I/51AcjO7QNGL.jpg;https://m.media-amazon.com/images/I/61I9Lp7dLLL.jpg;https://m.media-amazon.com/images/I/61SRdF44JbL.jpg</t>
  </si>
  <si>
    <t>A classic taper for every day. Made with extra room for comfort. A refined, modern alternative to straight jeans. Made with + Warm Technology: Insulated fibers woven into every inch keep you warm when it's cold.</t>
  </si>
  <si>
    <t>0195339265340</t>
  </si>
  <si>
    <t>https://m.media-amazon.com/images/I/61zlJ3k-uwL.jpg;https://m.media-amazon.com/images/I/71AQSwpKdCL.jpg;https://m.media-amazon.com/images/I/711s1TP+aRL.jpg</t>
  </si>
  <si>
    <t>Levi's Size ChartThe Levi's® 502™ Regular Taper Fit is a classic silhouette that will be an instant favorite. The five-pocket jean sits below the waist, has extra room in the thigh, and is finished with a subtle tapered leg. Washes notated with Levi's® Flex are crafted on denim with elevated stretch technology engineered to deliver maximum flex and optimum comfort.Signature arcuate stitch at back pockets.Belt loop waistband with leather brand patch at back waist.Zipper fly closure.Material breakdown for washes are listed highest to lowest based on cotton percentage.Rigid Envy: 100% cotton.Blue Stone, Dark Hollow Levi's® Flex, Goldenrod Overdye, Native Cali Levi's® Flex, Sinaloa: 99% cotton, 1% elastane.Caraway Slub Stretch Twill, Caraway Soft Twill, Rosefinch, True Chino Bull Denim, Tanager: 98% cotton, 2% elastane.Castilleja Levi's® Flex, Harvest Gold Stretch: 97% cotton, 3% elastane.Davie Ivy Levi's® Flex, Myers Day Levi's® Flex: 92% cotton, 6% eme, 2% elastane. Panda Levi's® Flex: 81.5% cotton, 17% polyester. 1.5% elastane.Kota Sorong - 79% cotton, 20% polyester, 1% elastane. Cholla All Seasons Tech, Cholla Black Overdye, Manzanita: 78% cotton, 21% polyester, 1% elastane. Bass Super Light Tencel™, Blue Comet Tencel™: 75% cotton, 24% lyocell, 1% elastane. Bay Tint, Harvest Gold Stretch - All Season Tech, Opal Grey: 67% cotton, 31% polyester, 2% elastane. Imported.Measurements:  Waist Measurement: 32 in Outseam: 41 in Inseam: 31 in Front Rise: 10 3⁄4 in Back Rise: 15 in Leg Opening: 14 1⁄2 inProduct measurements were taken using size 32, inseam 32. Please note that measurements may vary by size.</t>
  </si>
  <si>
    <t>0810104240956</t>
  </si>
  <si>
    <t>https://m.media-amazon.com/images/I/81tS-OGcLgL.jpg;https://m.media-amazon.com/images/I/91TxbOAXrGL.jpg;https://m.media-amazon.com/images/I/91gC13O9weL.jpg;https://m.media-amazon.com/images/I/7168dXuRf-L.jpg;https://m.media-amazon.com/images/I/A1NkzViPEoL.jpg;https://m.media-amazon.com/images/I/51uUgXuOy0L.jpg</t>
  </si>
  <si>
    <t>0810104241137</t>
  </si>
  <si>
    <t>https://m.media-amazon.com/images/I/81GCErYfofL.jpg;https://m.media-amazon.com/images/I/91TxbOAXrGL.jpg;https://m.media-amazon.com/images/I/91gC13O9weL.jpg;https://m.media-amazon.com/images/I/7168dXuRf-L.jpg;https://m.media-amazon.com/images/I/A1NkzViPEoL.jpg;https://m.media-amazon.com/images/I/51uUgXuOy0L.jpg</t>
  </si>
  <si>
    <t>0810104240963</t>
  </si>
  <si>
    <t>0810104241144</t>
  </si>
  <si>
    <t>0810104241151</t>
  </si>
  <si>
    <t>USPT48-103-461</t>
  </si>
  <si>
    <t>0810104240970</t>
  </si>
  <si>
    <t>https://m.media-amazon.com/images/I/41fhZT2WJxL.jpg;https://m.media-amazon.com/images/I/51HySbiYr0L.jpg;https://m.media-amazon.com/images/I/51uVwx3cfEL.jpg;https://m.media-amazon.com/images/I/51UR8UFzAvL.jpg;https://m.media-amazon.com/images/I/51PabjfoU2L.jpg;https://m.media-amazon.com/images/I/41L8LlEYwoL.jpg</t>
  </si>
  <si>
    <t>0194194180676</t>
  </si>
  <si>
    <t>Sunny Rainy Day</t>
  </si>
  <si>
    <t>https://m.media-amazon.com/images/I/71c432oFO-L.jpg;https://m.media-amazon.com/images/I/71WIjUxHu4L.jpg;https://m.media-amazon.com/images/I/61BMZBT2c6L.jpg;https://m.media-amazon.com/images/I/71BPri6zxsL.jpg;https://m.media-amazon.com/images/I/815xajZjOEL.jpg;https://m.media-amazon.com/images/I/71QTT9yUugL.jpg</t>
  </si>
  <si>
    <t>0086131705403</t>
  </si>
  <si>
    <t>19"</t>
  </si>
  <si>
    <t>https://m.media-amazon.com/images/I/41c03PaysjL.jpg</t>
  </si>
  <si>
    <t>The Kurt Adler 19 Inch Encanto Stocking by Disney features Mirabel front and center with a glowing butterfly with other characters and movie elements in the background behind her. It also features a soft purple cuff.</t>
  </si>
  <si>
    <t>B0CP823XT8</t>
  </si>
  <si>
    <t>0195979240387</t>
  </si>
  <si>
    <t>https://m.media-amazon.com/images/I/710IDsKsSVL.jpg;https://m.media-amazon.com/images/I/71ggUHiIjNL.jpg;https://m.media-amazon.com/images/I/71S9pxiKrUL.jpg;https://m.media-amazon.com/images/I/811ngG6SgrL.jpg;https://m.media-amazon.com/images/I/811sOWOQWPL.jpg;https://m.media-amazon.com/images/I/71YsAnis3fL.jpg</t>
  </si>
  <si>
    <t>Constructed from a soft cotton flannel with built-in stretch, this fleece-lined shirt jacket adeptly transitions from dinner to day job to the outdoor activity of your choosing. Columbia offers this shirt jacket in multiple colors and sizes. Extended sizing available. Regular fit.</t>
  </si>
  <si>
    <t>0195979238292</t>
  </si>
  <si>
    <t>https://m.media-amazon.com/images/I/71oIAaYto6L.jpg;https://m.media-amazon.com/images/I/71NGq2SUlaL.jpg;https://m.media-amazon.com/images/I/61fwcOs+FoL.jpg;https://m.media-amazon.com/images/I/81NiwPDfFNL.jpg;https://m.media-amazon.com/images/I/71SB9T72q7L.jpg;https://m.media-amazon.com/images/I/71nV0brRqlL.jpg;https://m.media-amazon.com/images/I/71fXA9gv8fL.jpg</t>
  </si>
  <si>
    <t>B0BG3H24NV</t>
  </si>
  <si>
    <t>0191900561910</t>
  </si>
  <si>
    <t>https://m.media-amazon.com/images/I/61+Pj7buSLL.jpg;https://m.media-amazon.com/images/I/61p61oy6CzL.jpg;https://m.media-amazon.com/images/I/61Zqt0zrF8L.jpg;https://m.media-amazon.com/images/I/61g-2Ljp1QL.jpg</t>
  </si>
  <si>
    <t>This ANDREW MARC womens Quilted mid-length cire puffer has a mix of matte and shine with asymmetrical closure with faux sherpa at the collar</t>
  </si>
  <si>
    <t>0191900562030</t>
  </si>
  <si>
    <t>https://m.media-amazon.com/images/I/517wDgyszEL.jpg;https://m.media-amazon.com/images/I/51PVunjgT4L.jpg;https://m.media-amazon.com/images/I/51HzTKq48uL.jpg;https://m.media-amazon.com/images/I/61msehiiVfL.jpg</t>
  </si>
  <si>
    <t>0191900561958</t>
  </si>
  <si>
    <t>https://m.media-amazon.com/images/I/61vzOEkBb4L.jpg;https://m.media-amazon.com/images/I/61mY3T+tEHL.jpg;https://m.media-amazon.com/images/I/616K9KkqRBL.jpg;https://m.media-amazon.com/images/I/61b1e4dLcDL.jpg</t>
  </si>
  <si>
    <t>0191900565215</t>
  </si>
  <si>
    <t>0191900565246</t>
  </si>
  <si>
    <t>0191900565222</t>
  </si>
  <si>
    <t>0191900565253</t>
  </si>
  <si>
    <t>https://m.media-amazon.com/images/I/51y1hqEHT7L.jpg;https://m.media-amazon.com/images/I/51imne3QVsL.jpg;https://m.media-amazon.com/images/I/51zzgPrRHjL.jpg;https://m.media-amazon.com/images/I/61I3ROtRIpL.jpg</t>
  </si>
  <si>
    <t>0191900561903</t>
  </si>
  <si>
    <t>0191900561941</t>
  </si>
  <si>
    <t>0191900561897</t>
  </si>
  <si>
    <t>0191900562016</t>
  </si>
  <si>
    <t>0191900561934</t>
  </si>
  <si>
    <t>B0D326D8DK</t>
  </si>
  <si>
    <t>0196642552707</t>
  </si>
  <si>
    <t>https://m.media-amazon.com/images/I/51liz9J6YkL.jpg;https://m.media-amazon.com/images/I/51+SRB8zZ3L.jpg;https://m.media-amazon.com/images/I/51GTPbEVFqL.jpg</t>
  </si>
  <si>
    <t>The Skechers GO WALK Wear GO DRI SWIFT Tunic Tee will be your favorite go-to staple, perfect for mindful yoga sessions and laid-back weekends. This tunic tee features a soft moisture-wicking and quick-drying GO DRI SWIFT brushed fabric, round neckline and a high-low hem.</t>
  </si>
  <si>
    <t>0196311522888</t>
  </si>
  <si>
    <t>https://m.media-amazon.com/images/I/41gosMl-GML.jpg;https://m.media-amazon.com/images/I/41aZge4iYcL.jpg;https://m.media-amazon.com/images/I/41IAbPfPSWL.jpg</t>
  </si>
  <si>
    <t>0086131826603</t>
  </si>
  <si>
    <t>https://m.media-amazon.com/images/I/41DQk8LyHGL.jpg</t>
  </si>
  <si>
    <t>The Kurt Adler Baby Shark 19 Inch Ollie and Family Printed Stocking is a cute combination of Baby Shark and Christmas. The stocking has a blue background with a decorated Christmas tree with presents around it. Ollie and family are swimming alongside the Christmas tree.</t>
  </si>
  <si>
    <t>0194953017649</t>
  </si>
  <si>
    <t>https://m.media-amazon.com/images/I/51A1j8YtKuL.jpg;https://m.media-amazon.com/images/I/61HI7ciZUcL.jpg;https://m.media-amazon.com/images/I/61GPs1SHoAL.jpg;https://m.media-amazon.com/images/I/71Osdh8UjAL.jpg;https://m.media-amazon.com/images/I/61b48lYFD7L.jpg;https://m.media-amazon.com/images/I/51S467LvqEL.jpg</t>
  </si>
  <si>
    <t>The Nike Sportswear Club Fleece Shorts are made with a soft, brushed-back fleece that provides a comfortable feel ready for everyday wear</t>
  </si>
  <si>
    <t>B09PJV7ZHQ</t>
  </si>
  <si>
    <t>0194953017656</t>
  </si>
  <si>
    <t>https://m.media-amazon.com/images/I/419UbzKtsBL.jpg;https://m.media-amazon.com/images/I/41WwFwOGOTL.jpg;https://m.media-amazon.com/images/I/51QXAzVxOYL.jpg;https://m.media-amazon.com/images/I/51ZSx6RzWvL.jpg;https://m.media-amazon.com/images/I/51gY6dTadeL.jpg;https://m.media-amazon.com/images/I/31sQNv+Kp8L.jpg</t>
  </si>
  <si>
    <t>The Nike Sportswear Club Fleece Shorts are made with a soft, brushed-back fleece that provides a comfortable feel ready for everyday wear. cz-9956-690</t>
  </si>
  <si>
    <t>CZ9956-410</t>
  </si>
  <si>
    <t>0194953017779</t>
  </si>
  <si>
    <t>https://m.media-amazon.com/images/I/41vq-L9wDsL.jpg;https://m.media-amazon.com/images/I/312GpOCnzmL.jpg;https://m.media-amazon.com/images/I/31+VNYYsZIL.jpg;https://m.media-amazon.com/images/I/31ep343cKOL.jpg;https://m.media-amazon.com/images/I/41oW1nGL7uL.jpg;https://m.media-amazon.com/images/I/41T66+SAq2L.jpg;https://m.media-amazon.com/images/I/51ZhOJJFv1L.jpg</t>
  </si>
  <si>
    <t>0194953017663</t>
  </si>
  <si>
    <t>0194953017786</t>
  </si>
  <si>
    <t>https://m.media-amazon.com/images/I/519HCSUwlUL.jpg;https://m.media-amazon.com/images/I/51wtZe9vBiL.jpg;https://m.media-amazon.com/images/I/41C6RPUOpWL.jpg;https://m.media-amazon.com/images/I/414xgOaQrBL.jpg;https://m.media-amazon.com/images/I/61CSF16-riL.jpg;https://m.media-amazon.com/images/I/611om0b35QL.jpg;https://m.media-amazon.com/images/I/61lrKCsUUNL.jpg</t>
  </si>
  <si>
    <t>0194953017670</t>
  </si>
  <si>
    <t>B0D2DLYCDY</t>
  </si>
  <si>
    <t>0196469131321</t>
  </si>
  <si>
    <t>https://m.media-amazon.com/images/I/41NJ05ajcwL.jpg;https://m.media-amazon.com/images/I/31KH98pYv4L.jpg;https://m.media-amazon.com/images/I/51Dx-Hiys-L.jpg</t>
  </si>
  <si>
    <t>Unlock the joys of loungewear in these men's adidas open-hem pants. The soft cotton-blend fleece keeps you cozy, while side pockets and a drawcord-adjustable elastic waist add practical touches. 3-Stripes down the legs and an adidas Badge of Sport shout your brand pride.</t>
  </si>
  <si>
    <t>0196469135206</t>
  </si>
  <si>
    <t>https://m.media-amazon.com/images/I/614Tw-FfFnL.jpg;https://m.media-amazon.com/images/I/61xm-nkQ7lL.jpg;https://m.media-amazon.com/images/I/616cloSRxSL.jpg;https://m.media-amazon.com/images/I/712MP5fmOsL.jpg;https://m.media-amazon.com/images/I/71jmpxb-BFL.jpg</t>
  </si>
  <si>
    <t>0196469127430</t>
  </si>
  <si>
    <t>https://m.media-amazon.com/images/I/61SqQwuCdbL.jpg;https://m.media-amazon.com/images/I/61JMEkzm6WL.jpg</t>
  </si>
  <si>
    <t>0196469135176</t>
  </si>
  <si>
    <t>https://m.media-amazon.com/images/I/41WJ2pFXyQL.jpg;https://m.media-amazon.com/images/I/31wZ-JrXE6L.jpg;https://m.media-amazon.com/images/I/31pTFqLyUNL.jpg;https://m.media-amazon.com/images/I/41pFKDG-aUL.jpg;https://m.media-amazon.com/images/I/41HCH16VpWL.jpg</t>
  </si>
  <si>
    <t>0196469131307</t>
  </si>
  <si>
    <t>0196469131130</t>
  </si>
  <si>
    <t>https://m.media-amazon.com/images/I/31IRN9gOoxL.jpg;https://m.media-amazon.com/images/I/41hMlqjOGcL.jpg</t>
  </si>
  <si>
    <t>0196469138900</t>
  </si>
  <si>
    <t>IJ8888</t>
  </si>
  <si>
    <t>0196469135022</t>
  </si>
  <si>
    <t>https://m.media-amazon.com/images/I/718BLHSz2nL.jpg;https://m.media-amazon.com/images/I/71tm6hmGF-L.jpg;https://m.media-amazon.com/images/I/91TfSK71PUL.jpg</t>
  </si>
  <si>
    <t>0196469127416</t>
  </si>
  <si>
    <t>0196469135121</t>
  </si>
  <si>
    <t>0196469131178</t>
  </si>
  <si>
    <t>0196469131260</t>
  </si>
  <si>
    <t>0196469135183</t>
  </si>
  <si>
    <t>0196469127485</t>
  </si>
  <si>
    <t>0196469131314</t>
  </si>
  <si>
    <t>B0BJ7DKBCL</t>
  </si>
  <si>
    <t>0196570651398</t>
  </si>
  <si>
    <t>https://m.media-amazon.com/images/I/41pBSTSkdWL.jpg;https://m.media-amazon.com/images/I/41BV-3xZWyL.jpg;https://m.media-amazon.com/images/I/41lE2NwqFQL.jpg;https://m.media-amazon.com/images/I/41EMM7d1VaL.jpg;https://m.media-amazon.com/images/I/41l+6-Zt3-L.jpg;https://m.media-amazon.com/images/I/415SI0j4hiL.jpg</t>
  </si>
  <si>
    <t>Inspired by Vans Classic Sk8-Hi Stackform, the Filmore Hi Tapered Platform ST is a high top, vulcanized lace up style with Vans signature side stripe, a round toe, elevated platform height, a slim deconstructed collar and a sawtooth rubber outsole.</t>
  </si>
  <si>
    <t>0196570651435</t>
  </si>
  <si>
    <t>0196570651473</t>
  </si>
  <si>
    <t>0196570651718</t>
  </si>
  <si>
    <t>0196570651756</t>
  </si>
  <si>
    <t>0196570651794</t>
  </si>
  <si>
    <t>0196570652036</t>
  </si>
  <si>
    <t>0196570652074</t>
  </si>
  <si>
    <t>0196570652302</t>
  </si>
  <si>
    <t>B0CZ7GGLBG</t>
  </si>
  <si>
    <t>0196884202262</t>
  </si>
  <si>
    <t>https://m.media-amazon.com/images/I/31EDtLYY2RL.jpg;https://m.media-amazon.com/images/I/41-chwCf+CL.jpg;https://m.media-amazon.com/images/I/31QkbvFEkmL.jpg;https://m.media-amazon.com/images/I/41Nyk+mrTDL.jpg;https://m.media-amazon.com/images/I/3181MEDgiDL.jpg;https://m.media-amazon.com/images/I/21z3qYmO09L.jpg;https://m.media-amazon.com/images/I/21otD9NtIeL.jpg</t>
  </si>
  <si>
    <t>Ultra-soft cotton-blend fleece with brushed inside for extra warmth. Encased elastic waistband with external drawcord. Open hand pockets &amp; secure snap back pocket. Inseam: 31"". Pockets: Yes. Tapered leg fit with ribbed cuffs. 80% Cotton/20% Polyester.</t>
  </si>
  <si>
    <t>0196884792503</t>
  </si>
  <si>
    <t>https://m.media-amazon.com/images/I/41V0lX0jdpL.jpg;https://m.media-amazon.com/images/I/41-QixJGmUL.jpg;https://m.media-amazon.com/images/I/41H0kdjjqdL.jpg;https://m.media-amazon.com/images/I/51gk8MHL8FL.jpg;https://m.media-amazon.com/images/I/61g4VTWIQGL.jpg;https://m.media-amazon.com/images/I/419mUynjkhL.jpg;https://m.media-amazon.com/images/I/41vsNV0-EaL.jpg</t>
  </si>
  <si>
    <t>These are your new favorite lightweight joggers. Men's favorites for pretty much everything—they're light, comfy, and are super-soft on the inside. Ultra-soft, mid-weight cotton-blend fleece with brushed interior for extra warmth. Encased elastic waistband with external drawcord. Open hand pockets &amp; secure, snap back pocket. Ribbed cuffs. Inseam: 31"". Tapered leg fit. Brushed interior for extra warmth. Loose: Fuller cut for complete comfort. 80% Cotton/20% Polyester.</t>
  </si>
  <si>
    <t>0196884792541</t>
  </si>
  <si>
    <t>0196884792817</t>
  </si>
  <si>
    <t>0196884792626</t>
  </si>
  <si>
    <t>0196884202286</t>
  </si>
  <si>
    <t>0196884202316</t>
  </si>
  <si>
    <t>https://m.media-amazon.com/images/I/71tntbAjOaL.jpg;https://m.media-amazon.com/images/I/81QupntwpkL.jpg;https://m.media-amazon.com/images/I/71AeZzUNn3L.jpg;https://m.media-amazon.com/images/I/91YxyFq-L+L.jpg;https://m.media-amazon.com/images/I/51wr+e4d+kL.jpg;https://m.media-amazon.com/images/I/41MMwlfvvbL.jpg;https://m.media-amazon.com/images/I/41WYbOJp5VL.jpg</t>
  </si>
  <si>
    <t>0196884792602</t>
  </si>
  <si>
    <t>B0BTNBCNQK</t>
  </si>
  <si>
    <t>P0893-G61-S</t>
  </si>
  <si>
    <t>0090563296101</t>
  </si>
  <si>
    <t>https://m.media-amazon.com/images/I/31zg0ZqxmdL.jpg;https://m.media-amazon.com/images/I/31Jb5x6NxNL.jpg;https://m.media-amazon.com/images/I/31DtF4sL1XL.jpg;https://m.media-amazon.com/images/I/51ekwttthBL.jpg;https://m.media-amazon.com/images/I/31t1gSMByUL.jpg;https://m.media-amazon.com/images/I/31uAsvCRfsL.jpg;https://m.media-amazon.com/images/I/41SnmQ+v8KL.jpg</t>
  </si>
  <si>
    <t>VERSATILE FLEECE. These Powerblend® Open-Bottom Sweatpants for men offer the best warmth and sturdiness without the extra weight. Exceptionally soft, these comfortable sweatpants have the feel you need, and they are made with low-pill, low-shrinkage fabrication for a fit that can withstand the test of time. The open-bottom hem streamlines your look with tees and sweatshirts, while the side pockets store light tech. They have extra stitch details for sturdiness, finished with an elastic waistband and inner drawcord for flexibility. The soft, brushed interior feels great against the skin.</t>
  </si>
  <si>
    <t>P0893-003-S</t>
  </si>
  <si>
    <t>0090563296057</t>
  </si>
  <si>
    <t>https://m.media-amazon.com/images/I/31gUtUC5TNL.jpg;https://m.media-amazon.com/images/I/31sqgXR5B3L.jpg;https://m.media-amazon.com/images/I/41ekt3O9X7L.jpg;https://m.media-amazon.com/images/I/31XI88AAJ0L.jpg;https://m.media-amazon.com/images/I/310zjtaPTsL.jpg;https://m.media-amazon.com/images/I/418uUIBRgbL.jpg;https://m.media-amazon.com/images/I/31dABjn8EML.jpg</t>
  </si>
  <si>
    <t>P0893-003-M</t>
  </si>
  <si>
    <t>0090563296064</t>
  </si>
  <si>
    <t>P0893-G61-M</t>
  </si>
  <si>
    <t>0090563296118</t>
  </si>
  <si>
    <t>P0893-G61-L</t>
  </si>
  <si>
    <t>0090563296125</t>
  </si>
  <si>
    <t>P0893-003-XL</t>
  </si>
  <si>
    <t>0090563296088</t>
  </si>
  <si>
    <t>P0893-G61-XL</t>
  </si>
  <si>
    <t>0090563296132</t>
  </si>
  <si>
    <t>https://m.media-amazon.com/images/I/41mK0sDtaKL.jpg;https://m.media-amazon.com/images/I/519GKK6LaxL.jpg;https://m.media-amazon.com/images/I/518zmMsFisL.jpg;https://m.media-amazon.com/images/I/71piOqNHt3L.jpg;https://m.media-amazon.com/images/I/51o3C7ZNoKL.jpg;https://m.media-amazon.com/images/I/51HhYpO5-XL.jpg;https://m.media-amazon.com/images/I/61B+QtUtCML.jpg</t>
  </si>
  <si>
    <t>P0893-003-XXL</t>
  </si>
  <si>
    <t>0090563296095</t>
  </si>
  <si>
    <t>P0893-G61-XXL</t>
  </si>
  <si>
    <t>0090563296149</t>
  </si>
  <si>
    <t>B01681N47A</t>
  </si>
  <si>
    <t>0196884158279</t>
  </si>
  <si>
    <t>https://m.media-amazon.com/images/I/31kJooaHM8L.jpg;https://m.media-amazon.com/images/I/317n-W7mbcL.jpg;https://m.media-amazon.com/images/I/31icRMMRk4L.jpg;https://m.media-amazon.com/images/I/41+5S49H8JL.jpg;https://m.media-amazon.com/images/I/31j1cbloo2L.jpg;https://m.media-amazon.com/images/I/31qET+0YmpL.jpg</t>
  </si>
  <si>
    <t>Midweight, 280g durable cotton-blend fleece. Soft, brushed inside traps warmth. Breathable mesh hood liner. Front kangaroo pocket. Contrast cover stitching.</t>
  </si>
  <si>
    <t>0826422972585</t>
  </si>
  <si>
    <t>A. Byer</t>
  </si>
  <si>
    <t>https://m.media-amazon.com/images/I/81GDYTp9SML.jpg</t>
  </si>
  <si>
    <t>0826422972592</t>
  </si>
  <si>
    <t>0826422972608</t>
  </si>
  <si>
    <t>B0CLN2MGDT</t>
  </si>
  <si>
    <t>979395-001-2XL B&amp;T (Waist Size 46-48)</t>
  </si>
  <si>
    <t>0888254107528</t>
  </si>
  <si>
    <t>XX-Large Big Tall</t>
  </si>
  <si>
    <t>https://m.media-amazon.com/images/I/819UG0ZMQOL.jpg;https://m.media-amazon.com/images/I/71boByt9b-L.jpg;https://m.media-amazon.com/images/I/81-OSywLC3L.jpg;https://m.media-amazon.com/images/I/71yQzS4aaKL.jpg;https://m.media-amazon.com/images/I/81xShw1Cb5L.jpg;https://m.media-amazon.com/images/I/81jFdLOJQUL.jpg;https://m.media-amazon.com/images/I/910j6IgOBzL.jpg;https://m.media-amazon.com/images/I/71WYDn3XXvL.jpg;https://m.media-amazon.com/images/I/81-iMxuPGiL.jpg</t>
  </si>
  <si>
    <t>The ultimate in everyday comfort with a performance edge, adidas stretch cotton 3-pack underwear features our proven soft, moisture-wicking stretch cotton fabric, an easy fit through the pouch, functional no-gap fly, soft stitching, tagless waistband and no-ride-up construction.</t>
  </si>
  <si>
    <t>979395-420-2XL B&amp;T (Waist Size 46-48)</t>
  </si>
  <si>
    <t>0888254107023</t>
  </si>
  <si>
    <t>https://m.media-amazon.com/images/I/41LjAkCq6BL.jpg;https://m.media-amazon.com/images/I/41Fr9H7b75L.jpg;https://m.media-amazon.com/images/I/511mVhe9KOL.jpg;https://m.media-amazon.com/images/I/41P3tf1Nd+L.jpg;https://m.media-amazon.com/images/I/41MvFVy-OhL.jpg;https://m.media-amazon.com/images/I/51vUyXAjrzL.jpg;https://m.media-amazon.com/images/I/51U-5-zAmpL.jpg;https://m.media-amazon.com/images/I/41+hMJzfRGL.jpg;https://m.media-amazon.com/images/I/51-EaZfwfZL.jpg</t>
  </si>
  <si>
    <t>979395-420-3XL B&amp;T (Waist Size 48-50)</t>
  </si>
  <si>
    <t>0888254107030</t>
  </si>
  <si>
    <t>3X-Large Big Tall</t>
  </si>
  <si>
    <t>979395-001-3XL B&amp;T (Waist Size 48-50)</t>
  </si>
  <si>
    <t>0888254107535</t>
  </si>
  <si>
    <t>979395-420-4XL B&amp;T (Waist Size 52-54)</t>
  </si>
  <si>
    <t>0888254107047</t>
  </si>
  <si>
    <t>4X-Large Big Tall</t>
  </si>
  <si>
    <t>979395-001-4XL B&amp;T (Waist Size 52-54)</t>
  </si>
  <si>
    <t>0888254107542</t>
  </si>
  <si>
    <t>0196565706928</t>
  </si>
  <si>
    <t>0196565706874</t>
  </si>
  <si>
    <t>GU2677_495</t>
  </si>
  <si>
    <t>0194829442995</t>
  </si>
  <si>
    <t>https://m.media-amazon.com/images/I/41WJDa379HL.jpg;https://m.media-amazon.com/images/I/41pb89Y9zSL.jpg</t>
  </si>
  <si>
    <t>GU2677_510</t>
  </si>
  <si>
    <t>0194829442926</t>
  </si>
  <si>
    <t>Bring simple, sleek style to your game in these adidas golf pants. The tapered fit keeps your look on point, and the comfortable, lightweight feel lets you play through with no distractions. Signature 3-Stripes above the back pocket add the finishing touch. This product is made with recycled content as part of our ambition to end plastic waste.</t>
  </si>
  <si>
    <t>B08LPSY986</t>
  </si>
  <si>
    <t>0195251347810</t>
  </si>
  <si>
    <t>X-Large Tall</t>
  </si>
  <si>
    <t>https://m.media-amazon.com/images/I/31LB4mRsfKL.jpg;https://m.media-amazon.com/images/I/31vGdYvtnTL.jpg;https://m.media-amazon.com/images/I/31yvoN3XARL.jpg;https://m.media-amazon.com/images/I/31H0Z6gb+CL.jpg;https://m.media-amazon.com/images/I/31DfTfujimL.jpg;https://m.media-amazon.com/images/I/41Nq8UaZlxL.jpg</t>
  </si>
  <si>
    <t>These are your new favorite warm-up pants for pretty much everything you do—they're light, comfy, and have a tapered fit for a clean look. Smooth tricot knit exterior with a brushed interior for soft comfort &amp; warmth. Material wicks sweat &amp; dries really fast. Encased elastic waistband with external drawcord. Open hand pockets. Inseam: 31"". Tapered leg fit with ribbed cuffs. 100% Polyester.</t>
  </si>
  <si>
    <t>0195251343508</t>
  </si>
  <si>
    <t>https://m.media-amazon.com/images/I/31fUjOVSioL.jpg;https://m.media-amazon.com/images/I/31h6bLPU1wL.jpg;https://m.media-amazon.com/images/I/51avflK-A4L.jpg;https://m.media-amazon.com/images/I/31bmhhTnzXL.jpg;https://m.media-amazon.com/images/I/31fUjOVSioL.jpg</t>
  </si>
  <si>
    <t>0195251343539</t>
  </si>
  <si>
    <t>XX-Large Tall</t>
  </si>
  <si>
    <t>0195251347186</t>
  </si>
  <si>
    <t>3X-Large Big</t>
  </si>
  <si>
    <t>https://m.media-amazon.com/images/I/51H3iGXgwTL.jpg;https://m.media-amazon.com/images/I/415bO+c4yWL.jpg;https://m.media-amazon.com/images/I/412o+vPKD0L.jpg;https://m.media-amazon.com/images/I/41nAxfLE8-L.jpg;https://m.media-amazon.com/images/I/41Pl3O+WCPL.jpg;https://m.media-amazon.com/images/I/61kRXiVRuxL.jpg</t>
  </si>
  <si>
    <t>0195251343140</t>
  </si>
  <si>
    <t>https://m.media-amazon.com/images/I/51o2D4akYoL.jpg;https://m.media-amazon.com/images/I/510-QQoBjbL.jpg;https://m.media-amazon.com/images/I/71v0FrrkG8L.jpg;https://m.media-amazon.com/images/I/41gHW3fAggL.jpg;https://m.media-amazon.com/images/I/31fUjOVSioL.jpg</t>
  </si>
  <si>
    <t>0195251343300</t>
  </si>
  <si>
    <t>4X-Large</t>
  </si>
  <si>
    <t>0195251347537</t>
  </si>
  <si>
    <t>B0D2JJ3D3B</t>
  </si>
  <si>
    <t>WBM09485B-Z552-0</t>
  </si>
  <si>
    <t>0098713857080</t>
  </si>
  <si>
    <t>https://m.media-amazon.com/images/I/41zQg4EGjtL.jpg;https://m.media-amazon.com/images/I/41Li-jkaWCL.jpg;https://m.media-amazon.com/images/I/41TLlVqNSnL.jpg;https://m.media-amazon.com/images/I/51fVj5ZLuaL.jpg;https://m.media-amazon.com/images/I/51qA7VFECDL.jpg;https://m.media-amazon.com/images/I/51aUFGUWtqL.jpg;https://m.media-amazon.com/images/I/51RI4ezrruL.jpg;https://m.media-amazon.com/images/I/51PiMwiqxEL.jpg;https://m.media-amazon.com/images/I/51j4PWjw+EL.jpg</t>
  </si>
  <si>
    <t>The Luscious Curvy Bootcut is our throwback inspired mid rise fit in soft stretch denim. The forever flattering fit from season to season! Whether you’re looking for your go to jeans in a fresh wash or you want to try a new fit entirely, WallFlower has a little something for everyone! We are size inclusive (standard, curvy and plus), which means – great jeans for all women. Period</t>
  </si>
  <si>
    <t>WBM10427B-Z540-0</t>
  </si>
  <si>
    <t>0098713813918</t>
  </si>
  <si>
    <t>https://m.media-amazon.com/images/I/41NEfwTDeUL.jpg;https://m.media-amazon.com/images/I/41ZAARnHKlL.jpg;https://m.media-amazon.com/images/I/41srtHSJgiL.jpg;https://m.media-amazon.com/images/I/51JvdWGKo6L.jpg;https://m.media-amazon.com/images/I/51GSFPMTVYL.jpg;https://m.media-amazon.com/images/I/51vsC9espfL.jpg;https://m.media-amazon.com/images/I/51tFqRuxPPL.jpg;https://m.media-amazon.com/images/I/51RjKc6ej1L.jpg;https://m.media-amazon.com/images/I/51DUDv0e3AL.jpg</t>
  </si>
  <si>
    <t>WBM08234B-Z070-0</t>
  </si>
  <si>
    <t>0098713857196</t>
  </si>
  <si>
    <t>https://m.media-amazon.com/images/I/81XysUSHTcL.jpg;https://m.media-amazon.com/images/I/71Hv64NCiEL.jpg;https://m.media-amazon.com/images/I/71WfrUFwTsL.jpg;https://m.media-amazon.com/images/I/91uzUkjDhmL.jpg;https://m.media-amazon.com/images/I/81VOrgjMIaL.jpg;https://m.media-amazon.com/images/I/91q3MdKuhBL.jpg;https://m.media-amazon.com/images/I/81HRmXEOi3L.jpg;https://m.media-amazon.com/images/I/91OwMQ00cCL.jpg;https://m.media-amazon.com/images/I/91kbefCEJaL.jpg</t>
  </si>
  <si>
    <t>WBM08234B-A834-0</t>
  </si>
  <si>
    <t>0193769483686</t>
  </si>
  <si>
    <t>https://m.media-amazon.com/images/I/31wuEnfQJAL.jpg;https://m.media-amazon.com/images/I/41ABp7LbEgL.jpg;https://m.media-amazon.com/images/I/31yi2zX7fxL.jpg;https://m.media-amazon.com/images/I/51fVj5ZLuaL.jpg;https://m.media-amazon.com/images/I/51qA7VFECDL.jpg;https://m.media-amazon.com/images/I/51aUFGUWtqL.jpg;https://m.media-amazon.com/images/I/51RI4ezrruL.jpg;https://m.media-amazon.com/images/I/51PiMwiqxEL.jpg;https://m.media-amazon.com/images/I/51j4PWjw+EL.jpg</t>
  </si>
  <si>
    <t>WBM09485B-Z304-0</t>
  </si>
  <si>
    <t>0098713856984</t>
  </si>
  <si>
    <t>https://m.media-amazon.com/images/I/41YlpGdjTjL.jpg;https://m.media-amazon.com/images/I/41q44crdrTL.jpg;https://m.media-amazon.com/images/I/41YzQ-Xg-dL.jpg;https://m.media-amazon.com/images/I/51fVj5ZLuaL.jpg;https://m.media-amazon.com/images/I/51qA7VFECDL.jpg;https://m.media-amazon.com/images/I/51aUFGUWtqL.jpg;https://m.media-amazon.com/images/I/51RI4ezrruL.jpg;https://m.media-amazon.com/images/I/51PiMwiqxEL.jpg;https://m.media-amazon.com/images/I/51j4PWjw+EL.jpg</t>
  </si>
  <si>
    <t>WBM13278B-Z557-0</t>
  </si>
  <si>
    <t>0193769685400</t>
  </si>
  <si>
    <t>https://m.media-amazon.com/images/I/71T4od+2poL.jpg;https://m.media-amazon.com/images/I/71boOMSnhgL.jpg;https://m.media-amazon.com/images/I/71hwOBB4QSL.jpg;https://m.media-amazon.com/images/I/912GP9ByZQL.jpg;https://m.media-amazon.com/images/I/81OFkNEW+wL.jpg;https://m.media-amazon.com/images/I/91zwRbzduML.jpg;https://m.media-amazon.com/images/I/81d0rmn-IhL.jpg;https://m.media-amazon.com/images/I/91jkKS24vrL.jpg;https://m.media-amazon.com/images/I/91cWqc6hVWL.jpg</t>
  </si>
  <si>
    <t>WBM08234B-J076-0</t>
  </si>
  <si>
    <t>0098713857301</t>
  </si>
  <si>
    <t>https://m.media-amazon.com/images/I/71yiU+vrYVL.jpg;https://m.media-amazon.com/images/I/71dNEFI2niL.jpg;https://m.media-amazon.com/images/I/61iwnau8ZuL.jpg;https://m.media-amazon.com/images/I/91uzUkjDhmL.jpg;https://m.media-amazon.com/images/I/81VOrgjMIaL.jpg;https://m.media-amazon.com/images/I/91q3MdKuhBL.jpg;https://m.media-amazon.com/images/I/81HRmXEOi3L.jpg;https://m.media-amazon.com/images/I/91OwMQ00cCL.jpg;https://m.media-amazon.com/images/I/91kbefCEJaL.jpg</t>
  </si>
  <si>
    <t>WFM08234B-Z542-0</t>
  </si>
  <si>
    <t>0193769327850</t>
  </si>
  <si>
    <t>https://m.media-amazon.com/images/I/41WVJppr1YL.jpg;https://m.media-amazon.com/images/I/41gBw3tBv7L.jpg;https://m.media-amazon.com/images/I/419xs1rS3tL.jpg;https://m.media-amazon.com/images/I/51IYGyIX73L.jpg;https://m.media-amazon.com/images/I/51GSFPMTVYL.jpg;https://m.media-amazon.com/images/I/51vsC9espfL.jpg;https://m.media-amazon.com/images/I/51biBEbVjsL.jpg;https://m.media-amazon.com/images/I/51RjKc6ej1L.jpg;https://m.media-amazon.com/images/I/51DUDv0e3AL.jpg</t>
  </si>
  <si>
    <t>WBM10962B-Z948-0</t>
  </si>
  <si>
    <t>0098713932046</t>
  </si>
  <si>
    <t>https://m.media-amazon.com/images/I/41RZWmwLKpL.jpg;https://m.media-amazon.com/images/I/41wANBbzNfL.jpg;https://m.media-amazon.com/images/I/41xK11YDY6L.jpg;https://m.media-amazon.com/images/I/51fVj5ZLuaL.jpg;https://m.media-amazon.com/images/I/51qA7VFECDL.jpg;https://m.media-amazon.com/images/I/51aUFGUWtqL.jpg;https://m.media-amazon.com/images/I/51RI4ezrruL.jpg;https://m.media-amazon.com/images/I/51PiMwiqxEL.jpg;https://m.media-amazon.com/images/I/51j4PWjw+EL.jpg</t>
  </si>
  <si>
    <t>WBM10427B-Z540-1</t>
  </si>
  <si>
    <t>0098713813925</t>
  </si>
  <si>
    <t>WBM08234B-Z070-1</t>
  </si>
  <si>
    <t>0098713857202</t>
  </si>
  <si>
    <t>WBM13278B-Z557-1</t>
  </si>
  <si>
    <t>0193769685417</t>
  </si>
  <si>
    <t>https://m.media-amazon.com/images/I/31pVx7uKeBL.jpg;https://m.media-amazon.com/images/I/31BLS01LDML.jpg;https://m.media-amazon.com/images/I/31hX4MBs79L.jpg;https://m.media-amazon.com/images/I/51JvdWGKo6L.jpg;https://m.media-amazon.com/images/I/51GSFPMTVYL.jpg;https://m.media-amazon.com/images/I/51vsC9espfL.jpg;https://m.media-amazon.com/images/I/51tFqRuxPPL.jpg;https://m.media-amazon.com/images/I/51RjKc6ej1L.jpg;https://m.media-amazon.com/images/I/51DUDv0e3AL.jpg</t>
  </si>
  <si>
    <t>WBM09485B-Z304-1</t>
  </si>
  <si>
    <t>0098713856991</t>
  </si>
  <si>
    <t>WBM09485B-Z552-1</t>
  </si>
  <si>
    <t>0098713857097</t>
  </si>
  <si>
    <t>https://m.media-amazon.com/images/I/71WOZpR-wVL.jpg;https://m.media-amazon.com/images/I/71uxYP+f4KL.jpg;https://m.media-amazon.com/images/I/91uzUkjDhmL.jpg;https://m.media-amazon.com/images/I/81VOrgjMIaL.jpg;https://m.media-amazon.com/images/I/91q3MdKuhBL.jpg;https://m.media-amazon.com/images/I/81HRmXEOi3L.jpg;https://m.media-amazon.com/images/I/91OwMQ00cCL.jpg;https://m.media-amazon.com/images/I/91kbefCEJaL.jpg;https://m.media-amazon.com/images/I/51j4PWjw+EL.jpg</t>
  </si>
  <si>
    <t>WBM08234B-J076-1</t>
  </si>
  <si>
    <t>0098713857318</t>
  </si>
  <si>
    <t>https://m.media-amazon.com/images/I/414otougQcL.jpg;https://m.media-amazon.com/images/I/41O+NkETb7L.jpg;https://m.media-amazon.com/images/I/31BiTfO+x+L.jpg;https://m.media-amazon.com/images/I/51fVj5ZLuaL.jpg;https://m.media-amazon.com/images/I/51qA7VFECDL.jpg;https://m.media-amazon.com/images/I/51aUFGUWtqL.jpg;https://m.media-amazon.com/images/I/51RI4ezrruL.jpg;https://m.media-amazon.com/images/I/51PiMwiqxEL.jpg;https://m.media-amazon.com/images/I/51j4PWjw+EL.jpg</t>
  </si>
  <si>
    <t>WBM08234B-A834-1</t>
  </si>
  <si>
    <t>0193769483693</t>
  </si>
  <si>
    <t>https://m.media-amazon.com/images/I/81Kz-e4D4GL.jpg;https://m.media-amazon.com/images/I/81REsmTIBiL.jpg;https://m.media-amazon.com/images/I/81QZ4gSjm8L.jpg;https://m.media-amazon.com/images/I/91uzUkjDhmL.jpg;https://m.media-amazon.com/images/I/81VOrgjMIaL.jpg;https://m.media-amazon.com/images/I/91q3MdKuhBL.jpg;https://m.media-amazon.com/images/I/81HRmXEOi3L.jpg;https://m.media-amazon.com/images/I/91OwMQ00cCL.jpg;https://m.media-amazon.com/images/I/91kbefCEJaL.jpg</t>
  </si>
  <si>
    <t>WBM10962B-Z948-1</t>
  </si>
  <si>
    <t>0098713932053</t>
  </si>
  <si>
    <t>https://m.media-amazon.com/images/I/71G6RZcsA5L.jpg;https://m.media-amazon.com/images/I/711BXf6P+uL.jpg;https://m.media-amazon.com/images/I/81hG3PrbDiL.jpg;https://m.media-amazon.com/images/I/91uzUkjDhmL.jpg;https://m.media-amazon.com/images/I/81VOrgjMIaL.jpg;https://m.media-amazon.com/images/I/91q3MdKuhBL.jpg;https://m.media-amazon.com/images/I/81HRmXEOi3L.jpg;https://m.media-amazon.com/images/I/91OwMQ00cCL.jpg;https://m.media-amazon.com/images/I/91kbefCEJaL.jpg</t>
  </si>
  <si>
    <t>B0BGY22PNB</t>
  </si>
  <si>
    <t>0196884781484</t>
  </si>
  <si>
    <t>https://m.media-amazon.com/images/I/31LEw3CxYwL.jpg;https://m.media-amazon.com/images/I/31+fern8-DL.jpg;https://m.media-amazon.com/images/I/31GaCXQF-+L.jpg;https://m.media-amazon.com/images/I/417RE2gyV8L.jpg;https://m.media-amazon.com/images/I/31DvRLfeWML.jpg;https://m.media-amazon.com/images/I/31jCVhZvCqL.jpg</t>
  </si>
  <si>
    <t>0196884776718</t>
  </si>
  <si>
    <t>https://m.media-amazon.com/images/I/31CNzrRye0L.jpg;https://m.media-amazon.com/images/I/31AX8AkJVnL.jpg;https://m.media-amazon.com/images/I/31X++Rce3rL.jpg;https://m.media-amazon.com/images/I/31CmlDsL06L.jpg;https://m.media-amazon.com/images/I/319e-7KYY5L.jpg;https://m.media-amazon.com/images/I/41TtJXFImCL.jpg</t>
  </si>
  <si>
    <t>0196884767150</t>
  </si>
  <si>
    <t>https://m.media-amazon.com/images/I/410KXTXdAIL.jpg;https://m.media-amazon.com/images/I/411BMeZJueL.jpg</t>
  </si>
  <si>
    <t>0196884776572</t>
  </si>
  <si>
    <t>0196884767174</t>
  </si>
  <si>
    <t>0196884776534</t>
  </si>
  <si>
    <t>0196884767389</t>
  </si>
  <si>
    <t>0196884767310</t>
  </si>
  <si>
    <t>0196884767303</t>
  </si>
  <si>
    <t>B0CZS9CSBP</t>
  </si>
  <si>
    <t>TM1377S21H-033-Small</t>
  </si>
  <si>
    <t>0191985758243</t>
  </si>
  <si>
    <t>https://m.media-amazon.com/images/I/41shVbR3K0L.jpg;https://m.media-amazon.com/images/I/41iY4Bjr54L.jpg;https://m.media-amazon.com/images/I/41ze0ZmR9pL.jpg;https://m.media-amazon.com/images/I/51h0onJioPL.jpg;https://m.media-amazon.com/images/I/512oB8PAq5L.jpg</t>
  </si>
  <si>
    <t>Rib knit collar, UPF+30 protection. Lightweight jersey fabric for moisture wicking comfort and breathability. Made with Primegreen recycled materials, part of adidas' commitment to ending plastic waste.</t>
  </si>
  <si>
    <t>0195738333442</t>
  </si>
  <si>
    <t>https://m.media-amazon.com/images/I/412GHQelLoL.jpg</t>
  </si>
  <si>
    <t>Stay focused and stylish on the golf course with the adidas Performance Golf Mens Polo. Designed to eliminate distractions, this polo shirt features a soft and stretchy pique fabric that moves with you through every swing. The classic three-button polo collar adds a touch of timeless style. Made with Primegreen, this polo is also environmentally friendly.</t>
  </si>
  <si>
    <t>TM1377S21H-462-Small</t>
  </si>
  <si>
    <t>0191985716717</t>
  </si>
  <si>
    <t>https://m.media-amazon.com/images/I/414xpdVcZeL.jpg;https://m.media-amazon.com/images/I/41MhqmtV7XL.jpg</t>
  </si>
  <si>
    <t>TM1377S21H-033-Large</t>
  </si>
  <si>
    <t>0191985758328</t>
  </si>
  <si>
    <t>TM1377S21H-033-Extra Large</t>
  </si>
  <si>
    <t>0191985758311</t>
  </si>
  <si>
    <t>TM1377S21H-033-XX-Large</t>
  </si>
  <si>
    <t>0191985758236</t>
  </si>
  <si>
    <t>B091F4LQWS</t>
  </si>
  <si>
    <t>0195253814228</t>
  </si>
  <si>
    <t>https://m.media-amazon.com/images/I/71k3aD8OHYL.jpg;https://m.media-amazon.com/images/I/71Z4G2c7GML.jpg;https://m.media-amazon.com/images/I/81gsP2KVsEL.jpg;https://m.media-amazon.com/images/I/71Wm3jn5+qL.jpg;https://m.media-amazon.com/images/I/71Nin3mTpjL.jpg;https://m.media-amazon.com/images/I/61u3QRYhR5L.jpg</t>
  </si>
  <si>
    <t>UA Tech fabric is quick-drying, ultra-soft &amp; has a more natural feel. Material wicks sweat &amp; dries really fast. New, streamlined fit &amp; shaped hem. UA Tech™ is our original go-to training gear: loose, light, and it keeps you cool. That's why this men's training T-shirt is everything you need. Loose: Fuller cut for complete comfort. TALL Sizes: All tall sizes are 2”/ 5 cm longer than regular sizes. Sleeve lengths are adjusted proportionately depending on silhouette.Stretchy, anti-odor fabric is built to last.</t>
  </si>
  <si>
    <t>B0BKV59QXM</t>
  </si>
  <si>
    <t>0195979101053</t>
  </si>
  <si>
    <t>https://m.media-amazon.com/images/I/71XJIKOfxfL.jpg;https://m.media-amazon.com/images/I/61n-NnnHaqL.jpg;https://m.media-amazon.com/images/I/61v4e0w0pNL.jpg;https://m.media-amazon.com/images/I/71u5HP88K0L.jpg;https://m.media-amazon.com/images/I/71OO+gOohpL.jpg;https://m.media-amazon.com/images/I/71t3GjDijoL.jpg;https://m.media-amazon.com/images/I/71W3WfOmLhL.jpg;https://m.media-amazon.com/images/I/61lIlndnRZL.jpg;https://m.media-amazon.com/images/I/61Aj5-9Ba8L.jpg</t>
  </si>
  <si>
    <t>A seriously warm layer you can rely on, this parka combines cozy insulation and a thermal-reflective lining that helps hold heat. It’s water-resistant and protective, with comfort cuffs, plenty of pockets, and removable faux fur trim. Columbia offers this parka in multiple colors and sizes. Extended and tall sizing available. Regular fit.</t>
  </si>
  <si>
    <t>0195979100971</t>
  </si>
  <si>
    <t>https://m.media-amazon.com/images/I/61YqpGbYrcL.jpg;https://m.media-amazon.com/images/I/515dWOlpzJL.jpg;https://m.media-amazon.com/images/I/618BGsfmi1L.jpg;https://m.media-amazon.com/images/I/61ueX6JT4VL.jpg;https://m.media-amazon.com/images/I/71Pm-jj7HAL.jpg;https://m.media-amazon.com/images/I/71t3GjDijoL.jpg;https://m.media-amazon.com/images/I/61UR8zquayL.jpg;https://m.media-amazon.com/images/I/61SWMkl4EJL.jpg;https://m.media-amazon.com/images/I/61jNoWqXTOL.jpg</t>
  </si>
  <si>
    <t>0195979100865</t>
  </si>
  <si>
    <t>https://m.media-amazon.com/images/I/61hxd9hpqDL.jpg;https://m.media-amazon.com/images/I/61rxhIvVEjL.jpg;https://m.media-amazon.com/images/I/61JIDz5GMLL.jpg;https://m.media-amazon.com/images/I/71Ge5hB9hYL.jpg;https://m.media-amazon.com/images/I/71ZMSwU2O4L.jpg;https://m.media-amazon.com/images/I/71t3GjDijoL.jpg;https://m.media-amazon.com/images/I/71-vqKPUEbL.jpg;https://m.media-amazon.com/images/I/61b-JKO0q-L.jpg;https://m.media-amazon.com/images/I/611q19HzX2L.jpg</t>
  </si>
  <si>
    <t>0195979101008</t>
  </si>
  <si>
    <t>https://m.media-amazon.com/images/I/61CoXVDvsnL.jpg;https://m.media-amazon.com/images/I/51wGeCXyTpL.jpg;https://m.media-amazon.com/images/I/61wb0MOAs9L.jpg;https://m.media-amazon.com/images/I/71wp+WwCEbL.jpg;https://m.media-amazon.com/images/I/71UZVvKwXWL.jpg;https://m.media-amazon.com/images/I/71t3GjDijoL.jpg;https://m.media-amazon.com/images/I/618g7uA0+OL.jpg;https://m.media-amazon.com/images/I/61qtwZ12VaL.jpg;https://m.media-amazon.com/images/I/61pM152YhLL.jpg</t>
  </si>
  <si>
    <t>0195979101091</t>
  </si>
  <si>
    <t>0195979100964</t>
  </si>
  <si>
    <t>https://m.media-amazon.com/images/I/41qcT9RAa7L.jpg;https://m.media-amazon.com/images/I/31b6FmTUQ7L.jpg;https://m.media-amazon.com/images/I/31m7NQbHILL.jpg;https://m.media-amazon.com/images/I/41Wx6D2XXML.jpg;https://m.media-amazon.com/images/I/41Jo2lq7y8L.jpg;https://m.media-amazon.com/images/I/51FYYq4BWPL.jpg;https://m.media-amazon.com/images/I/41h-feLfyoL.jpg;https://m.media-amazon.com/images/I/41GNtXdfrVL.jpg;https://m.media-amazon.com/images/I/41DAoDGWohL.jpg</t>
  </si>
  <si>
    <t>0195979100841</t>
  </si>
  <si>
    <t>0195979101084</t>
  </si>
  <si>
    <t>0195979100889</t>
  </si>
  <si>
    <t>https://m.media-amazon.com/images/I/41G-KfrcEhL.jpg;https://m.media-amazon.com/images/I/41Xdn+RbZsL.jpg;https://m.media-amazon.com/images/I/413n1f+njwL.jpg;https://m.media-amazon.com/images/I/51VzLgJbr0L.jpg;https://m.media-amazon.com/images/I/51GKjZ5XjRL.jpg;https://m.media-amazon.com/images/I/51FYYq4BWPL.jpg;https://m.media-amazon.com/images/I/41hIu+46DAL.jpg;https://m.media-amazon.com/images/I/41OSF78A2DL.jpg;https://m.media-amazon.com/images/I/41lHsofdxpL.jpg</t>
  </si>
  <si>
    <t>0195979100957</t>
  </si>
  <si>
    <t>0195979101060</t>
  </si>
  <si>
    <t>https://m.media-amazon.com/images/I/418Jbu793jL.jpg;https://m.media-amazon.com/images/I/41oabmnRbyL.jpg;https://m.media-amazon.com/images/I/41SDulVkgKL.jpg;https://m.media-amazon.com/images/I/51moSIWWwOL.jpg;https://m.media-amazon.com/images/I/51YFQ3kRXNL.jpg;https://m.media-amazon.com/images/I/51FYYq4BWPL.jpg;https://m.media-amazon.com/images/I/41audacFAdL.jpg;https://m.media-amazon.com/images/I/41V7p4C3wHL.jpg;https://m.media-amazon.com/images/I/41esQXQo0pL.jpg</t>
  </si>
  <si>
    <t>0195979100872</t>
  </si>
  <si>
    <t>0195979101015</t>
  </si>
  <si>
    <t>https://m.media-amazon.com/images/I/41q4OTSD9oL.jpg;https://m.media-amazon.com/images/I/311myMLBV+L.jpg;https://m.media-amazon.com/images/I/41foSM81cML.jpg;https://m.media-amazon.com/images/I/41qYNBGMCpL.jpg;https://m.media-amazon.com/images/I/51Y6C5rg12L.jpg;https://m.media-amazon.com/images/I/51FYYq4BWPL.jpg;https://m.media-amazon.com/images/I/41L0w0yJ++L.jpg;https://m.media-amazon.com/images/I/41oUNOHF-wL.jpg;https://m.media-amazon.com/images/I/41XO5cScFTL.jpg</t>
  </si>
  <si>
    <t>0195979100988</t>
  </si>
  <si>
    <t>0195979101046</t>
  </si>
  <si>
    <t>0195979101077</t>
  </si>
  <si>
    <t>0195979100995</t>
  </si>
  <si>
    <t>0195979100858</t>
  </si>
  <si>
    <t>0196884797881</t>
  </si>
  <si>
    <t>https://m.media-amazon.com/images/I/51X9sYvL77L.jpg;https://m.media-amazon.com/images/I/51TxN77HqiL.jpg;https://m.media-amazon.com/images/I/71cH99xwwDL.jpg;https://m.media-amazon.com/images/I/51ldRc2M2nL.jpg;https://m.media-amazon.com/images/I/51Vl0dZqSHL.jpg;https://m.media-amazon.com/images/I/41Y4X1ZxDPL.jpg</t>
  </si>
  <si>
    <t>0196884198268</t>
  </si>
  <si>
    <t>https://m.media-amazon.com/images/I/31i4Uq2lCAL.jpg;https://m.media-amazon.com/images/I/311rPOgopDL.jpg;https://m.media-amazon.com/images/I/31cXtpEze4L.jpg</t>
  </si>
  <si>
    <t>0196884198244</t>
  </si>
  <si>
    <t>0196884797904</t>
  </si>
  <si>
    <t>https://m.media-amazon.com/images/I/41RVRKEJ0aL.jpg;https://m.media-amazon.com/images/I/41dk4C8klPL.jpg;https://m.media-amazon.com/images/I/41nGMEiW7YL.jpg;https://m.media-amazon.com/images/I/61Rz9PWhNDL.jpg;https://m.media-amazon.com/images/I/41gefQYfhyL.jpg;https://m.media-amazon.com/images/I/41Y4X1ZxDPL.jpg</t>
  </si>
  <si>
    <t>0196884798512</t>
  </si>
  <si>
    <t>0196884797942</t>
  </si>
  <si>
    <t>0196884797935</t>
  </si>
  <si>
    <t>B0BGMKBC9M</t>
  </si>
  <si>
    <t>20FZ151-001-15"-15.5"Nck34"-35"Slv(M)</t>
  </si>
  <si>
    <t>0194916059389</t>
  </si>
  <si>
    <t>15"-15.5" Neck 34"-35" Sleeve</t>
  </si>
  <si>
    <t>https://m.media-amazon.com/images/I/311zo+PDaRL.jpg;https://m.media-amazon.com/images/I/31jx0+LjRgL.jpg;https://m.media-amazon.com/images/I/314obwi1nTL.jpg;https://m.media-amazon.com/images/I/51Quwup6r0L.jpg;https://m.media-amazon.com/images/I/411eDtv5kxL.jpg;https://m.media-amazon.com/images/I/4133Lxq+6pL.jpg</t>
  </si>
  <si>
    <t>Block tough stains before they start with Van Heusen Stain Shield dress shirts. Designed for extreme stain defense even against tough water- and oil-based spills, this innovative button-up will quickly become your new go-to style at work, home, or out to dinner. When accidents happen, just rinse with running water and watch the mess roll off. The quick-drying, soft fabric also has natural stretch for added all-day comfort. The machine washable style is easy to wear right out of the dryer.</t>
  </si>
  <si>
    <t>20FZ152-060-15"-15.5"Nck34"-35"Sleeve(M)</t>
  </si>
  <si>
    <t>0016722991861</t>
  </si>
  <si>
    <t>https://m.media-amazon.com/images/I/A1Nsp61FFpL.jpg;https://m.media-amazon.com/images/I/91Xc-Tei-BL.jpg;https://m.media-amazon.com/images/I/61iLUnHul0L.jpg;https://m.media-amazon.com/images/I/61u0-6gA9bL.jpg</t>
  </si>
  <si>
    <t>20FZ151-001-16"-16.5"Nck32"-33"Slv(L)</t>
  </si>
  <si>
    <t>0194916059341</t>
  </si>
  <si>
    <t>16"-16.5" Neck 32"-33" Sleeve</t>
  </si>
  <si>
    <t>20FZ151-001-16"-16.5"Nck34"-35"Slv(L)</t>
  </si>
  <si>
    <t>0194916059396</t>
  </si>
  <si>
    <t>16"-16.5" Neck 34"-35" Sleeve</t>
  </si>
  <si>
    <t>20FZ151-001-17"-17.5"Nck34"-35"Slv(XL)</t>
  </si>
  <si>
    <t>0194916059402</t>
  </si>
  <si>
    <t>17"-17.5" Neck 34"-35" Sleeve</t>
  </si>
  <si>
    <t>https://m.media-amazon.com/images/I/91rspIfT43L.jpg;https://m.media-amazon.com/images/I/71-qg-YbXZL.jpg;https://m.media-amazon.com/images/I/71UoeCOOUCL.jpg;https://m.media-amazon.com/images/I/91Xc-Tei-BL.jpg;https://m.media-amazon.com/images/I/61iLUnHul0L.jpg;https://m.media-amazon.com/images/I/61u0-6gA9bL.jpg</t>
  </si>
  <si>
    <t>20FZ151-001-16"-16.5"Nck36"-37"Slv(L)</t>
  </si>
  <si>
    <t>0194916059433</t>
  </si>
  <si>
    <t>16"-16.5" Neck 36"-37" Sleeve</t>
  </si>
  <si>
    <t>B0CLL1XWZS</t>
  </si>
  <si>
    <t>IB8481</t>
  </si>
  <si>
    <t>0195744566407</t>
  </si>
  <si>
    <t>https://m.media-amazon.com/images/I/21mxcZfDhOL.jpg;https://m.media-amazon.com/images/I/415ahba9KJL.jpg;https://m.media-amazon.com/images/I/21rEVmfYXnL.jpg;https://m.media-amazon.com/images/I/31IcHmG8caL.jpg;https://m.media-amazon.com/images/I/21mxcZfDhOL.jpg;https://m.media-amazon.com/images/I/31cx5RxcZJL.jpg;https://m.media-amazon.com/images/I/41LrH9xDzML.jpg;https://m.media-amazon.com/images/I/51u-LvjfFKL.jpg</t>
  </si>
  <si>
    <t>Made for the beautiful game. Part of the Tiro 23 League range, these juniors' adidas soccer pants use AEROREADY to channel moisture away from your skin and keep you firing on all cylinders. Ankle zips mean they're easy to slide on and off over your shoes.</t>
  </si>
  <si>
    <t>B0CLT1J3T8</t>
  </si>
  <si>
    <t>0195746866468</t>
  </si>
  <si>
    <t>https://m.media-amazon.com/images/I/31zsHsNhScL.jpg;https://m.media-amazon.com/images/I/31YNsHzc5HL.jpg</t>
  </si>
  <si>
    <t>Right in the sweet spot between outdoorsy and couch-ready, you'll find these adidas cargo pants. They have a mid-rise elastic waist and tapered legs, for a streamlined look with just the right amount of roominess. Made from soft fleece, they're perfect for winter walks. Tuck them into your boots, and stick your gloves in the extra pockets. Made in part with recycled content generated from production waste, eg. cutting scraps, and post-consumer household waste to avoid the larger environmental impact of producing virgin content.</t>
  </si>
  <si>
    <t>B0CTRHNHNB</t>
  </si>
  <si>
    <t>0195746866529</t>
  </si>
  <si>
    <t>0195746862781</t>
  </si>
  <si>
    <t>0195746866550</t>
  </si>
  <si>
    <t>0195746862750</t>
  </si>
  <si>
    <t>B09PMPBJFP</t>
  </si>
  <si>
    <t>0887961975871</t>
  </si>
  <si>
    <t>https://m.media-amazon.com/images/I/61j5su4B7YL.jpg;https://m.media-amazon.com/images/I/71cXK4LrqqL.jpg;https://m.media-amazon.com/images/I/81Db76Dc3gL.jpg;https://m.media-amazon.com/images/I/712GgzhV0LL.jpg;https://m.media-amazon.com/images/I/51S9lBDE05L.jpg;https://m.media-amazon.com/images/I/71ih+i5tnhL.jpg</t>
  </si>
  <si>
    <t>The Fisher-Price B.B. Hoopster electronic basketball toy is an awesome b-ballin' buddy for little athletes. With 4 interactive play modes and a motorized base that moves the hoop forward and backward, the B.B. Hoopster game challenges young players' skills and celebrates every swish of the basket with cool lights, sounds and narration. Kids can practice solo or challenge a friend (or the whole family!) to an epic shootout.</t>
  </si>
  <si>
    <t>80423C</t>
  </si>
  <si>
    <t>0028266900537</t>
  </si>
  <si>
    <t>Truck-Lite</t>
  </si>
  <si>
    <t>https://m.media-amazon.com/images/I/41D1IqaDwAL.jpg</t>
  </si>
  <si>
    <t>LIGHT BULB</t>
  </si>
  <si>
    <t>B019K3Q4DY</t>
  </si>
  <si>
    <t>0028266900681, 0735111143086</t>
  </si>
  <si>
    <t>2-Ounce</t>
  </si>
  <si>
    <t>https://m.media-amazon.com/images/I/71cPzHx2i2L.jpg</t>
  </si>
  <si>
    <t>0028266900582</t>
  </si>
  <si>
    <t>https://m.media-amazon.com/images/I/31T05dnhvBL.jpg</t>
  </si>
  <si>
    <t>Ground - 4.5" - #6 ring terminal - White M/C - 5" - .180 molded bullet - Black</t>
  </si>
  <si>
    <t>0028266900599</t>
  </si>
  <si>
    <t>https://m.media-amazon.com/images/I/31HsAPMUZ-L.jpg</t>
  </si>
  <si>
    <t>0735111042815, 0028266900551</t>
  </si>
  <si>
    <t>https://m.media-amazon.com/images/I/71da47G-mvL.jpg</t>
  </si>
  <si>
    <t>94932</t>
  </si>
  <si>
    <t>0028266900605</t>
  </si>
  <si>
    <t>https://m.media-amazon.com/images/I/31EPTK2EBkL.jpg</t>
  </si>
  <si>
    <t>94853 - "Y" adapter plug used to accommodate additional side marker requirements
Designed to adapt with Truck-Lite jumper harness part numbers 50321, 50322, 50331 &amp; 50350
16 gauge GPT wire
94760 - "Y" adapter plug used to accommodate two additional side marker requirements
Designed to adapt with the 88 series harness
16 gauge GPT wire
94932 - Converts one stop/turn/tail plug into two
16 gauge GPT wire
94865 - Converts single plug female harness into a conventional two plug male harness to mate with most incandescent stop/turn/tail lamps
16 gauge GPT wire
94868 - 16 gauge GPT wire
94897 - Converts single plug female harness into a conventional single plug male harness which mate with most incandescent stop/turn/tail lamps
16 gauge GPT wire
94751 - Converts one stop/turn/tail plug into one stop/turn/tail plug &amp; one marker clearance plug
16 gauge GPT wire</t>
  </si>
  <si>
    <t>94727</t>
  </si>
  <si>
    <t>0028266900568</t>
  </si>
  <si>
    <t>https://m.media-amazon.com/images/I/41VSBr+e62L.jpg</t>
  </si>
  <si>
    <t>For use with Model 19 incadescent lamps 16 gauge GPT wire</t>
  </si>
  <si>
    <t>B0D2VB946N</t>
  </si>
  <si>
    <t>0194959151552</t>
  </si>
  <si>
    <t>https://m.media-amazon.com/images/I/61qf0ApuyeL.jpg;https://m.media-amazon.com/images/I/61MZ0fwFp9L.jpg;https://m.media-amazon.com/images/I/61g9Q2i1yOS.jpg;https://m.media-amazon.com/images/I/51cFjH1UsqS.jpg</t>
  </si>
  <si>
    <t>Hanes Total Support PouchBoxer Briefs have an innovative breathable mesh liner that separates and supports for the ultimate in all-day comfort. Comfort Flex Fitstretchable fabric moves with you and is made with ultra soft, smooth and sustainable TENCELLyocell fibers.</t>
  </si>
  <si>
    <t>0194959151026</t>
  </si>
  <si>
    <t>https://m.media-amazon.com/images/I/71d-0FsKYiL.jpg</t>
  </si>
  <si>
    <t>A multicolored design with soft fabric construction, the Hanes Total Support Pouch Boxer Briefs are the comfiest pair of bottoms. Elasticized waistband with brand detailing. Pull-on style. Intended to hit at the thighs. Main: 76% recycled polyester, 19% Tencel Lyocell, 5% spandex;Mesh insert: 88% polyester, 12% spandex. Hand wash.</t>
  </si>
  <si>
    <t>https://m.media-amazon.com/images/I/71Aa6-bGL8L.jpg;https://m.media-amazon.com/images/I/61TDRJ6bHAL.jpg;https://m.media-amazon.com/images/I/61g9Q2i1yOS.jpg;https://m.media-amazon.com/images/I/51cFjH1UsqS.jpg</t>
  </si>
  <si>
    <t>Hanes Total Support Pouch Boxer Briefs have an innovative breathable mesh liner that separates and supports for the ultimate in all-day comfort. Comfort Flex Fit stretchable fabric moves with you and is made with ultra soft, smooth and sustainable TENCEL Lyocell fibers.</t>
  </si>
  <si>
    <t>B0CR6DPJV2</t>
  </si>
  <si>
    <t>0194959151569</t>
  </si>
  <si>
    <t>https://m.media-amazon.com/images/I/81Wveev3JCL.jpg;https://m.media-amazon.com/images/I/815GXjmiRyL.jpg;https://m.media-amazon.com/images/I/815VQGTmNIL.jpg;https://m.media-amazon.com/images/I/81CmSrHeFlL.jpg;https://m.media-amazon.com/images/I/712Kvb3PmBL.jpg;https://m.media-amazon.com/images/I/61soKoqenCL.jpg;https://m.media-amazon.com/images/I/611CVJSa0RL.jpg;https://m.media-amazon.com/images/I/51eD-eCZT+L.jpg</t>
  </si>
  <si>
    <t>Hanes Ultimate Total Support Pouch Boxer Brief
Hanes Ultimate - Calzoncillos tipo bóxer de soporte total
Hanes Ultimate Total Support Pouch Boxershorts
תחתוני בוקסר של Hanes Ultimate Total Support
سروال داخلي بوكسر فائق الدعم من هانز
Cueca boxer Hanes Ultimate Total Support
Hanes Ultimate Total Support Pouch 平角内裤
Hanes Ultimate Total Support Bag 四角褲
Hanes Ultimate Total Support 파우치 복서 브리프</t>
  </si>
  <si>
    <t>0194959151033</t>
  </si>
  <si>
    <t>0194959151576</t>
  </si>
  <si>
    <t>0194959151040</t>
  </si>
  <si>
    <t>https://m.media-amazon.com/images/I/31cJ0aZGdFL.jpg;https://m.media-amazon.com/images/I/41AmIGDLM0L.jpg;https://m.media-amazon.com/images/I/41JvLETs8QL.jpg;https://m.media-amazon.com/images/I/41VSQAZ+9uL.jpg;https://m.media-amazon.com/images/I/41klyF+cofL.jpg;https://m.media-amazon.com/images/I/31sDJGFQvFL.jpg;https://m.media-amazon.com/images/I/31HLHSVy6dL.jpg;https://m.media-amazon.com/images/I/51eD-eCZT+L.jpg</t>
  </si>
  <si>
    <t>0194959151583</t>
  </si>
  <si>
    <t>https://m.media-amazon.com/images/I/31VOwBu5eXL.jpg;https://m.media-amazon.com/images/I/41bYb2jD79L.jpg;https://m.media-amazon.com/images/I/41kC4erNyuL.jpg;https://m.media-amazon.com/images/I/41Sc0cNbOzL.jpg;https://m.media-amazon.com/images/I/41klyF+cofL.jpg;https://m.media-amazon.com/images/I/31sDJGFQvFL.jpg;https://m.media-amazon.com/images/I/31HLHSVy6dL.jpg;https://m.media-amazon.com/images/I/51eD-eCZT+L.jpg</t>
  </si>
  <si>
    <t>0194959151057</t>
  </si>
  <si>
    <t>0825663979971</t>
  </si>
  <si>
    <t>0 - 3 Months</t>
  </si>
  <si>
    <t>https://m.media-amazon.com/images/I/41JN+A+llYL.jpg;https://m.media-amazon.com/images/I/31Ak96Et77L.jpg;https://m.media-amazon.com/images/I/51VNzpkaUnL.jpg;https://m.media-amazon.com/images/I/51IXzRQKoFL.jpg;https://m.media-amazon.com/images/I/41J8FuEKTeL.jpg;https://m.media-amazon.com/images/I/41mu8juyyuL.jpg;https://m.media-amazon.com/images/I/51RNrgqMP7L.jpg;https://m.media-amazon.com/images/I/51ASKDD-zVL.jpg</t>
  </si>
  <si>
    <t>Nike Air Jordan 3pack Bodysuits Baby-boys .These everyday essentials are made with soft fabric for casual comfort.</t>
  </si>
  <si>
    <t>0012655035283</t>
  </si>
  <si>
    <t>https://m.media-amazon.com/images/I/31VaIuUct-L.jpg;https://m.media-amazon.com/images/I/51rEqIKxF9L.jpg;https://m.media-amazon.com/images/I/51AfxX5iwfL.jpg;https://m.media-amazon.com/images/I/41GaYZJlu6L.jpg;https://m.media-amazon.com/images/I/516m8fySysL.jpg</t>
  </si>
  <si>
    <t>0196311899805</t>
  </si>
  <si>
    <t>https://m.media-amazon.com/images/I/61GasRo7iHL.jpg;https://m.media-amazon.com/images/I/61jCcpsHhsL.jpg;https://m.media-amazon.com/images/I/616n285kOIL.jpg;https://m.media-amazon.com/images/I/61yXgbwCSCL.jpg;https://m.media-amazon.com/images/I/610IkcYYT0L.jpg</t>
  </si>
  <si>
    <t>Be a model for the ideal combination of style and comfort with the SKECHERS Relaxed Fit®: Breathe Easy - Kindred shoe. Soft RF Suede &amp; Gore Scooped slip on with Air Cooled Memory Foam insole.</t>
  </si>
  <si>
    <t>0196311899812</t>
  </si>
  <si>
    <t>0196311899829</t>
  </si>
  <si>
    <t>Women's Skechers, Relaxed Fit: Breathe-Easy - Kindred Slip-On - Wide Width. Looking for the perfect casual slip-on shoe? Our comfy low profile slip-on design features a pig suede and stretch gore upper, plus a cushioned Skechers Air-Cooled Memory Foam insole making it perfect for all day wear. Suede and stretch gore upper Slip on style with a Relaxed Fit for a roomy feel Memory foam cushioned footbed for added comfort Textured outsole for added traction</t>
  </si>
  <si>
    <t>0196311899836</t>
  </si>
  <si>
    <t>B0C88RJNVR</t>
  </si>
  <si>
    <t>0196562293100</t>
  </si>
  <si>
    <t>https://m.media-amazon.com/images/I/41jOQTiMpRL.jpg;https://m.media-amazon.com/images/I/31yGVhX3-yL.jpg;https://m.media-amazon.com/images/I/31u+WaBL0OL.jpg;https://m.media-amazon.com/images/I/31gaE5DXrwL.jpg;https://m.media-amazon.com/images/I/31HpH4QJSqL.jpg;https://m.media-amazon.com/images/I/411p8rWljuL.jpg</t>
  </si>
  <si>
    <t>There are many ways to kick the day into gear (high-stakes game of freeze tag, anyone?) But without a doubt, the comfiest way to go about it is slipping on our casual Freddie Boots, made in an everyday easy-on style. The high-traction outsole safeguards against slips and trips, while an effortless hook-and-loop closure sets the get-ready routine to warp speed.</t>
  </si>
  <si>
    <t>0196562293117</t>
  </si>
  <si>
    <t>https://m.media-amazon.com/images/I/61PLr-FD6yL.jpg;https://m.media-amazon.com/images/I/71Kb4AbbEoL.jpg;https://m.media-amazon.com/images/I/31u+WaBL0OL.jpg;https://m.media-amazon.com/images/I/31gaE5DXrwL.jpg;https://m.media-amazon.com/images/I/31HpH4QJSqL.jpg;https://m.media-amazon.com/images/I/411p8rWljuL.jpg</t>
  </si>
  <si>
    <t>0196562293124</t>
  </si>
  <si>
    <t>0196562293131</t>
  </si>
  <si>
    <t>0196562293148</t>
  </si>
  <si>
    <t>0196562293155</t>
  </si>
  <si>
    <t>0196562293162</t>
  </si>
  <si>
    <t>10 Toddler</t>
  </si>
  <si>
    <t>0196562293179</t>
  </si>
  <si>
    <t>11 Toddler</t>
  </si>
  <si>
    <t>0196562293186</t>
  </si>
  <si>
    <t>12 Toddler</t>
  </si>
  <si>
    <t>B0CTL2CVFH</t>
  </si>
  <si>
    <t>0196562048540</t>
  </si>
  <si>
    <t>OshKosh B'Gosh</t>
  </si>
  <si>
    <t>https://m.media-amazon.com/images/I/61QDFMTzjIL.jpg;https://m.media-amazon.com/images/I/61nPrxq44hL.jpg;https://m.media-amazon.com/images/I/511L67mrg0L.jpg;https://m.media-amazon.com/images/I/61FwvSQvmlL.jpg;https://m.media-amazon.com/images/I/71APjUP9sTL.jpg;https://m.media-amazon.com/images/I/61sRlTUZqSL.jpg</t>
  </si>
  <si>
    <t>Kick-up the classic jeans and sweater combo with a little help from our Estell Booties. The neutral color palette plays well with pretty much any outfit imaginable, while a textured insert accent gives these basics un-boring appeal. (Did we mention how super-comfy they were, too?)</t>
  </si>
  <si>
    <t>0196562049936</t>
  </si>
  <si>
    <t>0196562048557</t>
  </si>
  <si>
    <t>0196562048564</t>
  </si>
  <si>
    <t>0196562051267</t>
  </si>
  <si>
    <t>0196562048571</t>
  </si>
  <si>
    <t>B0CZRVTWY8</t>
  </si>
  <si>
    <t>0196470216949</t>
  </si>
  <si>
    <t>https://m.media-amazon.com/images/I/41Wn5qUCrZL.jpg;https://m.media-amazon.com/images/I/41ZW+xnBHsL.jpg;https://m.media-amazon.com/images/I/318L9Rnx7LL.jpg;https://m.media-amazon.com/images/I/51EU4BsRlnL.jpg;https://m.media-amazon.com/images/I/519sQKU4Q4L.jpg</t>
  </si>
  <si>
    <t>Look sharp and play sharper. This men's adidas golf polo shirt has a contrast-color design for a distinctive look. It's made from soft doubleknit fabric that feels smooth to the touch and comfortable when you swing. Three buttons on the collar let you adjust the right fit. Made with 100% recycled materials, this product represents just one of our solutions to help end plastic waste.</t>
  </si>
  <si>
    <t>0196470196029</t>
  </si>
  <si>
    <t>https://m.media-amazon.com/images/I/61DvM7Hew2L.jpg;https://m.media-amazon.com/images/I/71VDQbQ6ceL.jpg;https://m.media-amazon.com/images/I/71h2JanwdFL.jpg;https://m.media-amazon.com/images/I/71DaIs7M6lL.jpg</t>
  </si>
  <si>
    <t>0196470196067</t>
  </si>
  <si>
    <t>0196470217755</t>
  </si>
  <si>
    <t>0196470196036</t>
  </si>
  <si>
    <t>0196470217731</t>
  </si>
  <si>
    <t>https://m.media-amazon.com/images/I/71vApEcTLAL.jpg;https://m.media-amazon.com/images/I/91Y6RPkK5bL.jpg;https://m.media-amazon.com/images/I/91+DK5VLudL.jpg;https://m.media-amazon.com/images/I/51EU4BsRlnL.jpg;https://m.media-amazon.com/images/I/519sQKU4Q4L.jpg</t>
  </si>
  <si>
    <t>0196470198603</t>
  </si>
  <si>
    <t>https://m.media-amazon.com/images/I/412iu9YEjVL.jpg;https://m.media-amazon.com/images/I/41q2uUxMOZL.jpg;https://m.media-amazon.com/images/I/410SPyVNOXL.jpg;https://m.media-amazon.com/images/I/61KfW0iXRvL.jpg;https://m.media-amazon.com/images/I/616-Hr-QkjL.jpg</t>
  </si>
  <si>
    <t>0196470198641</t>
  </si>
  <si>
    <t>0196470196005</t>
  </si>
  <si>
    <t>https://m.media-amazon.com/images/I/4123fyYHwXL.jpg;https://m.media-amazon.com/images/I/51pz8YSluEL.jpg;https://m.media-amazon.com/images/I/51j1JdFKymL.jpg;https://m.media-amazon.com/images/I/512kP9X0emL.jpg</t>
  </si>
  <si>
    <t>0196470216956</t>
  </si>
  <si>
    <t>B0CMMHFP2H</t>
  </si>
  <si>
    <t>1020172-670</t>
  </si>
  <si>
    <t>0196565697332</t>
  </si>
  <si>
    <t>3 Little Kid</t>
  </si>
  <si>
    <t>https://m.media-amazon.com/images/I/61OMIwsUx9L.jpg;https://m.media-amazon.com/images/I/51myeUs5dnL.jpg;https://m.media-amazon.com/images/I/61kG8mjPz-L.jpg;https://m.media-amazon.com/images/I/61EUCoLEs-L.jpg;https://m.media-amazon.com/images/I/61iJ33VlUhL.jpg;https://m.media-amazon.com/images/I/61Zi+lMDyWL.jpg</t>
  </si>
  <si>
    <t>Koolaburra by UGG unisex-child Koola Tall (Little Kid/Big Kid)</t>
  </si>
  <si>
    <t>0196565697288</t>
  </si>
  <si>
    <t>4 Big Kid</t>
  </si>
  <si>
    <t>0196565697226</t>
  </si>
  <si>
    <t>5 Big Kid</t>
  </si>
  <si>
    <t>B0CR864J26</t>
  </si>
  <si>
    <t>0196156348896</t>
  </si>
  <si>
    <t>https://m.media-amazon.com/images/I/319g8W0FDgL.jpg;https://m.media-amazon.com/images/I/41VirJdS0sL.jpg;https://m.media-amazon.com/images/I/41DE6FONe8L.jpg;https://m.media-amazon.com/images/I/41ha0tNuu7L.jpg;https://m.media-amazon.com/images/I/51Q8mngD8rL.jpg;https://m.media-amazon.com/images/I/417YsdG585L.jpg;https://m.media-amazon.com/images/I/415z-gfi6XL.jpg;https://m.media-amazon.com/images/I/31hLMuRRSlL.jpg;https://m.media-amazon.com/images/I/51Smw9QFxpL.jpg</t>
  </si>
  <si>
    <t>Rise to the occasion in style that soars. This shoe reworks an icon's original magic with a platform sole and low cut silhouette. Air cushioning keeps you lifted, and sleek leather in contrasting colors adds visual interest.</t>
  </si>
  <si>
    <t>4006408670162, 0400640867016</t>
  </si>
  <si>
    <t>CAPRICCIO.</t>
  </si>
  <si>
    <t>https://m.media-amazon.com/images/I/31zMd62JpyL.jpg;https://m.media-amazon.com/images/I/51sHZQq8xqL.jpg</t>
  </si>
  <si>
    <t>B0D5VSYK71</t>
  </si>
  <si>
    <t>0197235169524</t>
  </si>
  <si>
    <t>0196155076301</t>
  </si>
  <si>
    <t>https://m.media-amazon.com/images/I/61PiMHO2NpL.jpg;https://m.media-amazon.com/images/I/61b4kGaVuYL.jpg;https://m.media-amazon.com/images/I/713I5T8AWmL.jpg;https://m.media-amazon.com/images/I/71J5OxCVXkL.jpg;https://m.media-amazon.com/images/I/51dH0vaW61L.jpg</t>
  </si>
  <si>
    <t>Made for layering, this full-zip top combines breathable fabric with sweat-wicking and UV-blocking tech to keep you comfortable and protected on the course. Its slim, tailored fit won't hold you back while you power through your swing. Benefits Nike Dri-FIT technology moves sweat away from your skin for quicker evaporation, helping you stay dry and comfortable. Side pockets allow you to easily store your phone, wallet or keys. Product Details 100% polyester Machine wash Imported This product provides UVA and UVB protection from the sun only in the areas covered by the garment. To protect exposed areas, the use of good quality sunscreen is recommended. Shown: White/Black</t>
  </si>
  <si>
    <t>B0BKTYZJLX</t>
  </si>
  <si>
    <t>0195979524937</t>
  </si>
  <si>
    <t>https://m.media-amazon.com/images/I/7112RsvvzML.jpg;https://m.media-amazon.com/images/I/61+evJuPUkL.jpg;https://m.media-amazon.com/images/I/61VFQXogOsL.jpg;https://m.media-amazon.com/images/I/71OcSOLHVhL.jpg;https://m.media-amazon.com/images/I/7146zZZg4ML.jpg;https://m.media-amazon.com/images/I/716IvCc75IL.jpg;https://m.media-amazon.com/images/I/710nhpvuYAL.jpg;https://m.media-amazon.com/images/I/61yy4y-kdSL.jpg;https://m.media-amazon.com/images/I/61TxI3gXYvL.jpg</t>
  </si>
  <si>
    <t>This wonderfully warm jacket has down-like insulation, a thermal-reflective lining, and a sherpa-lined hood. It’s made from water-resistant fabric for coverage in light snow, with removable faux fur trim at the hood. Columbia offers this jacket in multiple colors and sizes. Extended sizing available. Regular fit.</t>
  </si>
  <si>
    <t>0195979524456</t>
  </si>
  <si>
    <t>https://m.media-amazon.com/images/I/71KIUDvT2hL.jpg;https://m.media-amazon.com/images/I/61CdYdT3pcL.jpg;https://m.media-amazon.com/images/I/61yNfXCnggL.jpg;https://m.media-amazon.com/images/I/71L-zXBGJUL.jpg;https://m.media-amazon.com/images/I/71tXge0UbnL.jpg;https://m.media-amazon.com/images/I/716IvCc75IL.jpg;https://m.media-amazon.com/images/I/71mKX142QSL.jpg;https://m.media-amazon.com/images/I/61LmReI+k3L.jpg;https://m.media-amazon.com/images/I/61zCxTrDZiL.jpg</t>
  </si>
  <si>
    <t>0195979524944</t>
  </si>
  <si>
    <t>0195979524920</t>
  </si>
  <si>
    <t>B0D4813GZR</t>
  </si>
  <si>
    <t>0195612268327</t>
  </si>
  <si>
    <t>18" Neck 35"-36" Sleeve</t>
  </si>
  <si>
    <t>https://m.media-amazon.com/images/I/61piZh7WHRL.jpg;https://m.media-amazon.com/images/I/61M7UjPCmnL.jpg;https://m.media-amazon.com/images/I/61Hsyeuq1CL.jpg;https://m.media-amazon.com/images/I/71g-BJds6ZL.jpg;https://m.media-amazon.com/images/I/71ziTPOAVhL.jpg;https://m.media-amazon.com/images/I/41Eujc9aABL.jpg</t>
  </si>
  <si>
    <t>This wardrobe essential by Haggar is bound to be your new favorite dress shirt. Designed with a classic fit, this shirt effortlessly combines elegance with comfort in big and tall sizes, thanks to its innovative stretch technology and a wrinkle-resistant fabric that ensures you look polished throughout the day. With the added convenience of a machine-washable feature and a comfort collar, this shirt is the epitome of modern sophistication for the discerning individual.</t>
  </si>
  <si>
    <t>B0CF26PHH5</t>
  </si>
  <si>
    <t>0195612270122</t>
  </si>
  <si>
    <t>https://m.media-amazon.com/images/I/41-YLAVQ6oL.jpg;https://m.media-amazon.com/images/I/4111IKcSwjL.jpg;https://m.media-amazon.com/images/I/41CYUyzd79L.jpg;https://m.media-amazon.com/images/I/41bV-lGZU7L.jpg;https://m.media-amazon.com/images/I/41V9kpFkw3L.jpg;https://m.media-amazon.com/images/I/51RHoMm4gZL.jpg;https://m.media-amazon.com/images/I/41SHO1sfyVL.jpg</t>
  </si>
  <si>
    <t>A simpler and smarter way to care for your dress shirts. Machine wash and tumble dry!</t>
  </si>
  <si>
    <t>0195612271020</t>
  </si>
  <si>
    <t>https://m.media-amazon.com/images/I/61vFgnv8lAL.jpg;https://m.media-amazon.com/images/I/61qFhU7Pd5L.jpg;https://m.media-amazon.com/images/I/81FZuASQu9L.jpg;https://m.media-amazon.com/images/I/71g-BJds6ZL.jpg;https://m.media-amazon.com/images/I/71ziTPOAVhL.jpg;https://m.media-amazon.com/images/I/41Eujc9aABL.jpg</t>
  </si>
  <si>
    <t>0195612269225</t>
  </si>
  <si>
    <t>https://m.media-amazon.com/images/I/41Kr7wzXjgL.jpg;https://m.media-amazon.com/images/I/41+K0M8g7jL.jpg;https://m.media-amazon.com/images/I/41u-UrJ2sBL.jpg;https://m.media-amazon.com/images/I/41PzzxAoAhL.jpg;https://m.media-amazon.com/images/I/41V9kpFkw3L.jpg;https://m.media-amazon.com/images/I/51RHoMm4gZL.jpg;https://m.media-amazon.com/images/I/41SHO1sfyVL.jpg</t>
  </si>
  <si>
    <t>B0CF28QKLF</t>
  </si>
  <si>
    <t>0195612267702</t>
  </si>
  <si>
    <t>18" Neck 37"-38" Sleeve</t>
  </si>
  <si>
    <t>https://m.media-amazon.com/images/I/71YFyo1eCpL.jpg;https://m.media-amazon.com/images/I/61DcCYveLNL.jpg;https://m.media-amazon.com/images/I/51G-O7uaY-L.jpg;https://m.media-amazon.com/images/I/41cTmhWB-4L.jpg;https://m.media-amazon.com/images/I/41V9kpFkw3L.jpg;https://m.media-amazon.com/images/I/41SHO1sfyVL.jpg</t>
  </si>
  <si>
    <t>0195612257802</t>
  </si>
  <si>
    <t>18.5" Neck 34"-35" Sleeve</t>
  </si>
  <si>
    <t>https://m.media-amazon.com/images/I/41Y1uFTytIL.jpg;https://m.media-amazon.com/images/I/41VJG+0rZJL.jpg;https://m.media-amazon.com/images/I/31lkKp2xGiL.jpg;https://m.media-amazon.com/images/I/31Vcg5K8i2L.jpg;https://m.media-amazon.com/images/I/41V9kpFkw3L.jpg;https://m.media-amazon.com/images/I/51RHoMm4gZL.jpg;https://m.media-amazon.com/images/I/41SHO1sfyVL.jpg</t>
  </si>
  <si>
    <t>0195612258441</t>
  </si>
  <si>
    <t>0195612259080</t>
  </si>
  <si>
    <t>0195612259721</t>
  </si>
  <si>
    <t>0195612270139</t>
  </si>
  <si>
    <t>18.5" Neck 35"-36" Sleeve</t>
  </si>
  <si>
    <t>0195612271037</t>
  </si>
  <si>
    <t>0195612269232</t>
  </si>
  <si>
    <t>0195612257819</t>
  </si>
  <si>
    <t>19" Neck 34"-35" Sleeve</t>
  </si>
  <si>
    <t>0195612259097</t>
  </si>
  <si>
    <t>https://m.media-amazon.com/images/I/41-YLAVQ6oL.jpg;https://m.media-amazon.com/images/I/4111IKcSwjL.jpg;https://m.media-amazon.com/images/I/41CYUyzd79L.jpg;https://m.media-amazon.com/images/I/41bV-lGZU7L.jpg;https://m.media-amazon.com/images/I/41V9kpFkw3L.jpg;https://m.media-amazon.com/images/I/51RHoMm4gZL.jpg</t>
  </si>
  <si>
    <t>0195612259738</t>
  </si>
  <si>
    <t>0195612270146</t>
  </si>
  <si>
    <t>19" Neck 35"-36" Sleeve</t>
  </si>
  <si>
    <t>B0CTSD1J36</t>
  </si>
  <si>
    <t>0195612271044</t>
  </si>
  <si>
    <t>https://m.media-amazon.com/images/I/41OfrNvoW5L.jpg;https://m.media-amazon.com/images/I/41TYh4bqUaL.jpg;https://m.media-amazon.com/images/I/31uGw6Hj6UL.jpg;https://m.media-amazon.com/images/I/41IWIG2u7wL.jpg;https://m.media-amazon.com/images/I/41V9kpFkw3L.jpg;https://m.media-amazon.com/images/I/51RHoMm4gZL.jpg</t>
  </si>
  <si>
    <t>0195612269249</t>
  </si>
  <si>
    <t>0195612271327</t>
  </si>
  <si>
    <t>19" Neck 37"-38" Sleeve</t>
  </si>
  <si>
    <t>0195612257840</t>
  </si>
  <si>
    <t>20" Neck 34"-35" Sleeve</t>
  </si>
  <si>
    <t>0195612259127</t>
  </si>
  <si>
    <t>0195612259769</t>
  </si>
  <si>
    <t>0195612271075</t>
  </si>
  <si>
    <t>20" Neck 35"-36" Sleeve</t>
  </si>
  <si>
    <t>0195612270177</t>
  </si>
  <si>
    <t>0195612269270</t>
  </si>
  <si>
    <t>0195612258496</t>
  </si>
  <si>
    <t>22" Neck 34"-35" Sleeve</t>
  </si>
  <si>
    <t>0195612259776</t>
  </si>
  <si>
    <t>0195612259134</t>
  </si>
  <si>
    <t>0195612268389</t>
  </si>
  <si>
    <t>22" Neck 35"-36" Sleeve</t>
  </si>
  <si>
    <t>0195612270184</t>
  </si>
  <si>
    <t>0195612269287</t>
  </si>
  <si>
    <t>B08LPW3DZP</t>
  </si>
  <si>
    <t>0196884218133</t>
  </si>
  <si>
    <t>https://m.media-amazon.com/images/I/31GXbeMvu+L.jpg;https://m.media-amazon.com/images/I/31GRNiXqV2L.jpg;https://m.media-amazon.com/images/I/313jQknz0ZL.jpg;https://m.media-amazon.com/images/I/41Toph7+L2L.jpg;https://m.media-amazon.com/images/I/312wnyiFIPL.jpg;https://m.media-amazon.com/images/I/31no2AgRPBL.jpg</t>
  </si>
  <si>
    <t>Ultra-soft double-knit fabric is breathable &amp; comfortable. 4-way stretch construction moves better in every direction. Under Armour’s mission is simple: to make you better. . Wide, flat waistband with side drop-in pocket. .</t>
  </si>
  <si>
    <t>0196884218317</t>
  </si>
  <si>
    <t>https://m.media-amazon.com/images/I/31Sdckks+dL.jpg</t>
  </si>
  <si>
    <t>0196884218126</t>
  </si>
  <si>
    <t>0196884218300</t>
  </si>
  <si>
    <t>0196884218140</t>
  </si>
  <si>
    <t>https://m.media-amazon.com/images/I/411bpnb1vjL.jpg;https://m.media-amazon.com/images/I/51ZbIwx2xEL.jpg;https://m.media-amazon.com/images/I/51YhYql62RL.jpg;https://m.media-amazon.com/images/I/41vKRLkkFEL.jpg;https://m.media-amazon.com/images/I/41JQfUERgvL.jpg;https://m.media-amazon.com/images/I/31no2AgRPBL.jpg</t>
  </si>
  <si>
    <t>0196884218324</t>
  </si>
  <si>
    <t>B09KMTFVND</t>
  </si>
  <si>
    <t>0194895395331</t>
  </si>
  <si>
    <t>https://m.media-amazon.com/images/I/61q-+FrxJIL.jpg;https://m.media-amazon.com/images/I/61-DUslAwbL.jpg;https://m.media-amazon.com/images/I/61mO41hV36L.jpg;https://m.media-amazon.com/images/I/81HHyrck9qL.jpg;https://m.media-amazon.com/images/I/71g29K8ZpPL.jpg;https://m.media-amazon.com/images/I/71lSUOZiGsL.jpg;https://m.media-amazon.com/images/I/61WuU5bXlpL.jpg</t>
  </si>
  <si>
    <t>A versatile, warm, and rain-resistant jacket designed for active use. It’s made of durable canvas, lined with soft fleece, and filled with 85% recycled Microtemp XF II insulation for low-bulk warmth and easy layering. It’s a jacket you can feel good about wearing, with adjustable cuffs that help seal out the cold, zippered hand and chest pockets, and an interior security pocket for stashing valuables. Columbia offers this jacket in multiple colors and sizes. Extended sizing available. Regular Fit. To ensure the size you choose is right, utilize our sizing chart and the following measurement instructions: For the sleeves, start at the center back of the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</si>
  <si>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0194895395324</t>
  </si>
  <si>
    <t>https://m.media-amazon.com/images/I/71CnTWT8MvL.jpg;https://m.media-amazon.com/images/I/61FkD1tT-XL.jpg;https://m.media-amazon.com/images/I/61Grz0u8YFL.jpg;https://m.media-amazon.com/images/I/714nESpGsuL.jpg;https://m.media-amazon.com/images/I/718mI-Fv1GL.jpg;https://m.media-amazon.com/images/I/711B3M0kd8L.jpg;https://m.media-amazon.com/images/I/71f5HAA48oL.jpg;https://m.media-amazon.com/images/I/61WacmeCIjL.jpg</t>
  </si>
  <si>
    <t>0195979477431</t>
  </si>
  <si>
    <t>https://m.media-amazon.com/images/I/61eHcb2r4yL.jpg;https://m.media-amazon.com/images/I/61G2w-c0WaL.jpg;https://m.media-amazon.com/images/I/61LvRZ6xqgL.jpg;https://m.media-amazon.com/images/I/81vzp+TBHyL.jpg;https://m.media-amazon.com/images/I/71vnT8WN5eL.jpg;https://m.media-amazon.com/images/I/71t3GjDijoL.jpg;https://m.media-amazon.com/images/I/71ErnBV1s4L.jpg;https://m.media-amazon.com/images/I/61WxFZCpF3L.jpg;https://m.media-amazon.com/images/I/61Kq3YL6QRL.jpg</t>
  </si>
  <si>
    <t>0195979477448</t>
  </si>
  <si>
    <t>https://m.media-amazon.com/images/I/417UcawwMdL.jpg;https://m.media-amazon.com/images/I/41I88sE61qL.jpg;https://m.media-amazon.com/images/I/41YiaYtmUwL.jpg;https://m.media-amazon.com/images/I/413tqwb9bZL.jpg;https://m.media-amazon.com/images/I/41H8VZVhl1L.jpg;https://m.media-amazon.com/images/I/51FYYq4BWPL.jpg;https://m.media-amazon.com/images/I/418leKJS-2L.jpg;https://m.media-amazon.com/images/I/41Xfr7GRDaL.jpg;https://m.media-amazon.com/images/I/41CKV-0yXtL.jpg</t>
  </si>
  <si>
    <t>0194895395362</t>
  </si>
  <si>
    <t>0194895395317</t>
  </si>
  <si>
    <t>0194895395294</t>
  </si>
  <si>
    <t>0194895395379</t>
  </si>
  <si>
    <t>0194895395348</t>
  </si>
  <si>
    <t>0194895395355</t>
  </si>
  <si>
    <t>B0BPMVR2G7</t>
  </si>
  <si>
    <t>0194895611141</t>
  </si>
  <si>
    <t>https://m.media-amazon.com/images/I/61oZZyRxtsL.jpg;https://m.media-amazon.com/images/I/51triqI6vdL.jpg;https://m.media-amazon.com/images/I/51krk6dUTAL.jpg;https://m.media-amazon.com/images/I/61KyIZmKtoL.jpg;https://m.media-amazon.com/images/I/71dFkNHwEBL.jpg;https://m.media-amazon.com/images/I/61027T8KKJL.jpg;https://m.media-amazon.com/images/I/51yx1hNVnML.jpg;https://m.media-amazon.com/images/I/516tI80aRBL.jpg;https://m.media-amazon.com/images/I/61E5jzlhmxL.jpg</t>
  </si>
  <si>
    <t>A casual jacket that comes prepared, featuring a weather-resistant shell and a warm fleece liner that can be worn together or on their own. Dialed details include multifunctional zippered pockets, and an adjustable hem and cuffs.The cotton and canvas blend shell has a protective hood with drawcord adjustment, while the linter is crafted from super-soft and deep 250g MTR fleece. Zip them together for a double layer of style, coverage, and cozy. Columbia offers this jacket in multiple colors and sizes. Regular Fit. Extended sizing available. To ensure the size you choose is right, utilize our sizing chart and the following measurement instructions: For the sleeves, start at the center back of the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</si>
  <si>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0194895611035</t>
  </si>
  <si>
    <t>https://m.media-amazon.com/images/I/413DWIhtCFL.jpg;https://m.media-amazon.com/images/I/31YF+7-JmxL.jpg;https://m.media-amazon.com/images/I/31jonFjkkYL.jpg;https://m.media-amazon.com/images/I/41qKYLnRKJL.jpg;https://m.media-amazon.com/images/I/41fXc5wKGPL.jpg;https://m.media-amazon.com/images/I/41EwA6QmsxL.jpg;https://m.media-amazon.com/images/I/41USGt9KdXL.jpg;https://m.media-amazon.com/images/I/31Di3ST4-HL.jpg;https://m.media-amazon.com/images/I/31Iemy+OolL.jpg</t>
  </si>
  <si>
    <t>0195979191672</t>
  </si>
  <si>
    <t>https://m.media-amazon.com/images/I/71KiP7oRPNL.jpg;https://m.media-amazon.com/images/I/61PLxTKNBdL.jpg;https://m.media-amazon.com/images/I/615IbbnElSL.jpg;https://m.media-amazon.com/images/I/81xLc6wR0IL.jpg;https://m.media-amazon.com/images/I/71CPpnxmKHL.jpg;https://m.media-amazon.com/images/I/71t3GjDijoL.jpg;https://m.media-amazon.com/images/I/7182U+HI8pL.jpg;https://m.media-amazon.com/images/I/71iayWJMHdL.jpg;https://m.media-amazon.com/images/I/71fQn-pqhTL.jpg</t>
  </si>
  <si>
    <t>0195979191641</t>
  </si>
  <si>
    <t>https://m.media-amazon.com/images/I/61Q8SzNPbBL.jpg;https://m.media-amazon.com/images/I/51Nz2oZrVuL.jpg;https://m.media-amazon.com/images/I/51D6KzTwY4L.jpg;https://m.media-amazon.com/images/I/71dwtt4aHmL.jpg;https://m.media-amazon.com/images/I/71mdtiIkcCL.jpg;https://m.media-amazon.com/images/I/71t3GjDijoL.jpg;https://m.media-amazon.com/images/I/61S8AV7qdbL.jpg;https://m.media-amazon.com/images/I/618geVe1t+L.jpg;https://m.media-amazon.com/images/I/61Jm9BVKC2L.jpg</t>
  </si>
  <si>
    <t>0195979191566</t>
  </si>
  <si>
    <t>https://m.media-amazon.com/images/I/61vy5PAFuvL.jpg;https://m.media-amazon.com/images/I/51+1cQ2qpcL.jpg;https://m.media-amazon.com/images/I/61be96GK4jL.jpg;https://m.media-amazon.com/images/I/719p+eNCS5L.jpg;https://m.media-amazon.com/images/I/71TVrh36jXL.jpg;https://m.media-amazon.com/images/I/71t3GjDijoL.jpg;https://m.media-amazon.com/images/I/711yiVQQ1aL.jpg;https://m.media-amazon.com/images/I/71CKtOl4jiL.jpg;https://m.media-amazon.com/images/I/71NUp34YlbL.jpg</t>
  </si>
  <si>
    <t>0194895611042</t>
  </si>
  <si>
    <t>https://m.media-amazon.com/images/I/61J1-b62s0L.jpg;https://m.media-amazon.com/images/I/61vA2S5ElkL.jpg;https://m.media-amazon.com/images/I/61ZI4q9MHqL.jpg;https://m.media-amazon.com/images/I/71dDG3RFXGL.jpg;https://m.media-amazon.com/images/I/71AS67M3F2L.jpg;https://m.media-amazon.com/images/I/71YyeFe1jTL.jpg;https://m.media-amazon.com/images/I/612h3bX8kfL.jpg;https://m.media-amazon.com/images/I/61ZI8ipATHL.jpg;https://m.media-amazon.com/images/I/614-Wmbb9jL.jpg</t>
  </si>
  <si>
    <t>0194895611134</t>
  </si>
  <si>
    <t>0195979191702</t>
  </si>
  <si>
    <t>0195979191665</t>
  </si>
  <si>
    <t>0195979191542</t>
  </si>
  <si>
    <t>0194895611028</t>
  </si>
  <si>
    <t>0195979191719</t>
  </si>
  <si>
    <t>0195979191627</t>
  </si>
  <si>
    <t>0194895611066</t>
  </si>
  <si>
    <t>0195979191696</t>
  </si>
  <si>
    <t>0195979191658</t>
  </si>
  <si>
    <t>0194895611059</t>
  </si>
  <si>
    <t>0195979191634</t>
  </si>
  <si>
    <t>0195979191689</t>
  </si>
  <si>
    <t>B0BDH69M4P</t>
  </si>
  <si>
    <t>WFM11553B-Z513-0</t>
  </si>
  <si>
    <t>0193769455492</t>
  </si>
  <si>
    <t>https://m.media-amazon.com/images/I/812tHJvAB5L.jpg;https://m.media-amazon.com/images/I/81cKbmVhLmL.jpg;https://m.media-amazon.com/images/I/81FOa0tBi4L.jpg;https://m.media-amazon.com/images/I/81CJkDu6TzL.jpg;https://m.media-amazon.com/images/I/81Qy0hoRVoL.jpg;https://m.media-amazon.com/images/I/81edrEoMVCL.jpg;https://m.media-amazon.com/images/I/815rcxNQaxL.jpg;https://m.media-amazon.com/images/I/91cgXGIU3KL.jpg</t>
  </si>
  <si>
    <t>The Legendary Belted Slim Bootcut is our throwback inspired mid rise fit in stretch denim. Whether you’re looking for your go to jeans in a fresh wash or you want to try a new fit entirely, WallFlower has a little something for everyone! We are size inclusive (standard, curvy and plus), which means – great jeans for all women. Period</t>
  </si>
  <si>
    <t>WFM14083B-Z628-0</t>
  </si>
  <si>
    <t>0193769941964</t>
  </si>
  <si>
    <t>https://m.media-amazon.com/images/I/41td4rMz5pL.jpg;https://m.media-amazon.com/images/I/41-dbagULhL.jpg;https://m.media-amazon.com/images/I/41pLXv7F-gL.jpg;https://m.media-amazon.com/images/I/51lThP3t4cL.jpg;https://m.media-amazon.com/images/I/51DIYxvsVgL.jpg;https://m.media-amazon.com/images/I/51CU4fubCjL.jpg;https://m.media-amazon.com/images/I/51FQ0OuhhFL.jpg;https://m.media-amazon.com/images/I/51+RhcihYML.jpg</t>
  </si>
  <si>
    <t>WFM14083B-Z628-1</t>
  </si>
  <si>
    <t>0193769941971</t>
  </si>
  <si>
    <t>WFM11553B-Z513-15</t>
  </si>
  <si>
    <t>0193769455539</t>
  </si>
  <si>
    <t>https://m.media-amazon.com/images/I/31UIQFb3jML.jpg;https://m.media-amazon.com/images/I/31qP9wHkf7L.jpg;https://m.media-amazon.com/images/I/311qQtd0UUL.jpg;https://m.media-amazon.com/images/I/51ZPi+xBQoL.jpg;https://m.media-amazon.com/images/I/51asiXsfNSL.jpg;https://m.media-amazon.com/images/I/516K-MSstHL.jpg;https://m.media-amazon.com/images/I/51+ylCBsBRL.jpg;https://m.media-amazon.com/images/I/511mcVPhxAL.jpg</t>
  </si>
  <si>
    <t>WFM11553B-Z513-17</t>
  </si>
  <si>
    <t>0193769455546</t>
  </si>
  <si>
    <t>B07N7MQ2R1</t>
  </si>
  <si>
    <t>N7GTS404SVP-Rd-S-R 32/33</t>
  </si>
  <si>
    <t>0192576006569</t>
  </si>
  <si>
    <t>S-R 32/33</t>
  </si>
  <si>
    <t>https://m.media-amazon.com/images/I/912PbUQUtRL.jpg</t>
  </si>
  <si>
    <t>At Nick Graham we don't want you to get bored, so that's why we launch new products all the time. Our influences come from everywhere, because the world is more transparent and connected than ever. Creating a new dynamic - both recognizable and refreshing - Nick Graham is a mix of tradition, attitude and pure fun, taking menswear just a little further stylistically than where it's been. We know you are your our own personal brand, and we hope our products allow you to express it in a way that is all your own. Thank you for letting us be part of your style.</t>
  </si>
  <si>
    <t>N7GTS404SVP-Rd-M-L 34/35</t>
  </si>
  <si>
    <t>0192576006590</t>
  </si>
  <si>
    <t>N7GTS404SVP-Rd-L-R 32/33</t>
  </si>
  <si>
    <t>0192576006606</t>
  </si>
  <si>
    <t>B0D3269L39</t>
  </si>
  <si>
    <t>0196642243643</t>
  </si>
  <si>
    <t>https://m.media-amazon.com/images/I/31nfCGOszyL.jpg;https://m.media-amazon.com/images/I/31eCKvE+y3L.jpg;https://m.media-amazon.com/images/I/41vKW1lE3HL.jpg</t>
  </si>
  <si>
    <t>Skechers Mens Go Walk Slip Ins Stretchable Straight Leg Pintuck Zip Fly Pants</t>
  </si>
  <si>
    <t>0196642243582</t>
  </si>
  <si>
    <t>https://m.media-amazon.com/images/I/617OlvRbPaL.jpg;https://m.media-amazon.com/images/I/61hPTHm6wEL.jpg;https://m.media-amazon.com/images/I/81V0gP4wTrL.jpg</t>
  </si>
  <si>
    <t>0196642243605</t>
  </si>
  <si>
    <t>0196642243612</t>
  </si>
  <si>
    <t>https://m.media-amazon.com/images/I/318bcnqou9L.jpg;https://m.media-amazon.com/images/I/313SJ1JGUqL.jpg;https://m.media-amazon.com/images/I/31LOnQaMLTL.jpg</t>
  </si>
  <si>
    <t>Just Slip-in to our new Skechers GO WALK Slip-ins Pant Hybrid Classic. Our pull on stretch waistband combined with an internal drawcord allows you to personalize the fit for all day comfort</t>
  </si>
  <si>
    <t>0195862021314</t>
  </si>
  <si>
    <t>https://m.media-amazon.com/images/I/71ECYNdjIpL.jpg;https://m.media-amazon.com/images/I/71LxrsLStzL.jpg;https://m.media-amazon.com/images/I/71rUvQRdJKL.jpg;https://m.media-amazon.com/images/I/316xWiuTQzL.jpg</t>
  </si>
  <si>
    <t>Crafted in cozy sherpa with a hood and footies, this pram is perfect for baby.</t>
  </si>
  <si>
    <t>0195862021260</t>
  </si>
  <si>
    <t>https://m.media-amazon.com/images/I/51HM+JHHtRL.jpg;https://m.media-amazon.com/images/I/61IzqczMCeL.jpg;https://m.media-amazon.com/images/I/614L1Ku-zmL.jpg;https://m.media-amazon.com/images/I/31FQPa5GgpL.jpg</t>
  </si>
  <si>
    <t>0195862021130</t>
  </si>
  <si>
    <t>https://m.media-amazon.com/images/I/81h2RExi5-L.jpg;https://m.media-amazon.com/images/I/81xbI6Ot3vL.jpg;https://m.media-amazon.com/images/I/8106JFZopZL.jpg;https://m.media-amazon.com/images/I/414GgdMdLWL.jpg</t>
  </si>
  <si>
    <t>B0CXN97T8F</t>
  </si>
  <si>
    <t>0195862021284</t>
  </si>
  <si>
    <t>https://m.media-amazon.com/images/I/71ueHiiEL8L.jpg;https://m.media-amazon.com/images/I/71Zzyo013ML.jpg;https://m.media-amazon.com/images/I/71cMMdPqyJL.jpg;https://m.media-amazon.com/images/I/31GXE5y5DWL.jpg</t>
  </si>
  <si>
    <t>ORTCI</t>
  </si>
  <si>
    <t>0195862021222</t>
  </si>
  <si>
    <t>https://m.media-amazon.com/images/I/31FQPa5GgpL.jpg;https://m.media-amazon.com/images/I/31CLhsMy3OL.jpg;https://m.media-amazon.com/images/I/41HuGOctUCL.jpg;https://m.media-amazon.com/images/I/31FQPa5GgpL.jpg</t>
  </si>
  <si>
    <t>Crafted in cozy sherpa with a hood and footies, this jumpsuit is perfect for baby.</t>
  </si>
  <si>
    <t>0195862021277</t>
  </si>
  <si>
    <t>Bundle baby up in the snow with this cozy pram, complete with built-in footies and an easy zip up the front.</t>
  </si>
  <si>
    <t>0195862021093</t>
  </si>
  <si>
    <t>https://m.media-amazon.com/images/I/414GgdMdLWL.jpg;https://m.media-amazon.com/images/I/41OBtT0heeL.jpg;https://m.media-amazon.com/images/I/51j0y9ZS4xL.jpg;https://m.media-amazon.com/images/I/414GgdMdLWL.jpg</t>
  </si>
  <si>
    <t>0195862021291</t>
  </si>
  <si>
    <t>B0D45NNBM6</t>
  </si>
  <si>
    <t>0888807288605</t>
  </si>
  <si>
    <t>https://m.media-amazon.com/images/I/31Scsj1AYAL.jpg;https://m.media-amazon.com/images/I/31nVMWw+EcL.jpg;https://m.media-amazon.com/images/I/319VOfKGJHL.jpg;https://m.media-amazon.com/images/I/31wlHk5F3lL.jpg</t>
  </si>
  <si>
    <t>The quilted artic cloth snorkel puffer is your perfect jacket for the winter. The detachable faux fur collar will keep you warm and the wind and water resistant fabric will help keep you dry.</t>
  </si>
  <si>
    <t>0729391976366</t>
  </si>
  <si>
    <t>https://m.media-amazon.com/images/I/71iR5F7XldL.jpg;https://m.media-amazon.com/images/I/71G6W4onuHL.jpg;https://m.media-amazon.com/images/I/31+YrbzqIJL.jpg;https://m.media-amazon.com/images/I/31CE6V0Qj9L.jpg;https://m.media-amazon.com/images/I/31aivmm-81L.jpg</t>
  </si>
  <si>
    <t>0888807288506</t>
  </si>
  <si>
    <t>https://m.media-amazon.com/images/I/71G59lI7JdL.jpg;https://m.media-amazon.com/images/I/71Dozj-dOgL.jpg;https://m.media-amazon.com/images/I/318Jo834HBL.jpg;https://m.media-amazon.com/images/I/31P4JDQymWL.jpg;https://m.media-amazon.com/images/I/31p2Ynoi47L.jpg</t>
  </si>
  <si>
    <t>0888807288599</t>
  </si>
  <si>
    <t>https://m.media-amazon.com/images/I/71BjlbLMvEL.jpg;https://m.media-amazon.com/images/I/71AhlP56IoL.jpg;https://m.media-amazon.com/images/I/319VOfKGJHL.jpg;https://m.media-amazon.com/images/I/31wlHk5F3lL.jpg</t>
  </si>
  <si>
    <t>0888807288544</t>
  </si>
  <si>
    <t>https://m.media-amazon.com/images/I/71LFI6IekzL.jpg;https://m.media-amazon.com/images/I/71wl8tiiqnL.jpg;https://m.media-amazon.com/images/I/31f3DMpG2OL.jpg;https://m.media-amazon.com/images/I/31SWwMexq7L.jpg;https://m.media-amazon.com/images/I/31qVUdO8IiL.jpg</t>
  </si>
  <si>
    <t>0729391976359</t>
  </si>
  <si>
    <t>0888807288490</t>
  </si>
  <si>
    <t>https://m.media-amazon.com/images/I/31yjvVmAgLL.jpg;https://m.media-amazon.com/images/I/31hEL1RwkPL.jpg;https://m.media-amazon.com/images/I/318Jo834HBL.jpg;https://m.media-amazon.com/images/I/31P4JDQymWL.jpg;https://m.media-amazon.com/images/I/31p2Ynoi47L.jpg</t>
  </si>
  <si>
    <t>0888807288643</t>
  </si>
  <si>
    <t>https://m.media-amazon.com/images/I/71w6nUrdDDL.jpg;https://m.media-amazon.com/images/I/71-GOsCOXPL.jpg;https://m.media-amazon.com/images/I/31Y+5fFpETL.jpg;https://m.media-amazon.com/images/I/31TPpoKXnPL.jpg</t>
  </si>
  <si>
    <t>88807288</t>
  </si>
  <si>
    <t>0888807288483</t>
  </si>
  <si>
    <t>0888807288520</t>
  </si>
  <si>
    <t>0888807288575</t>
  </si>
  <si>
    <t>0888807288629</t>
  </si>
  <si>
    <t>0888807288476</t>
  </si>
  <si>
    <t>0888807288612</t>
  </si>
  <si>
    <t>0888807288469</t>
  </si>
  <si>
    <t>0195862081738</t>
  </si>
  <si>
    <t>https://m.media-amazon.com/images/I/91pMfeUpiyL.jpg</t>
  </si>
  <si>
    <t>From classroom to playground, French terry pants and a hooded button-front are a classic combo.</t>
  </si>
  <si>
    <t>0195862081745</t>
  </si>
  <si>
    <t>0195862081752</t>
  </si>
  <si>
    <t>0195862118168</t>
  </si>
  <si>
    <t>https://m.media-amazon.com/images/I/71tFsF6h6lL.jpg;https://m.media-amazon.com/images/I/418snYCSefL.jpg</t>
  </si>
  <si>
    <t>Designed with three cute pieces in one, this set is complete with a zip-up cardigan, matching pants and a short-sleeve bodysuit.</t>
  </si>
  <si>
    <t>B07YSVGKQZ</t>
  </si>
  <si>
    <t>0195862118137</t>
  </si>
  <si>
    <t>0195862118120</t>
  </si>
  <si>
    <t>0195862118144</t>
  </si>
  <si>
    <t>0195862118090</t>
  </si>
  <si>
    <t>0195862118106</t>
  </si>
  <si>
    <t>https://m.media-amazon.com/images/I/418snYCSefL.jpg;https://m.media-amazon.com/images/I/418snYCSefL.jpg</t>
  </si>
  <si>
    <t>B0CP8XL3C3</t>
  </si>
  <si>
    <t>0193855254732</t>
  </si>
  <si>
    <t>https://m.media-amazon.com/images/I/51z2Y9ZrI0L.jpg;https://m.media-amazon.com/images/I/51mY8v-gTbL.jpg;https://m.media-amazon.com/images/I/51IBMcqPjkL.jpg;https://m.media-amazon.com/images/I/71OUoymNklL.jpg;https://m.media-amazon.com/images/I/61dT7l0ydPL.jpg;https://m.media-amazon.com/images/I/51Vnua26RSL.jpg;https://m.media-amazon.com/images/I/7198bTvjHVL.jpg;https://m.media-amazon.com/images/I/714WQdvQchL.jpg;https://m.media-amazon.com/images/I/71uOHy-FBeL.jpg</t>
  </si>
  <si>
    <t>The latest twist on a Columbia classic is an ideal addition to your outdoor arsenal, made of soft, durable fleece. It provides lightweight warmth whenever you need it, and comes in a variety of prints and patterns to choose from. The regular fit is cut for a classic look that fits in anywhere. Columbia offers this jacket in multiple colors and sizes. Extended sizing available. Regular Fit.</t>
  </si>
  <si>
    <t>0193855254756</t>
  </si>
  <si>
    <t>0194895237785</t>
  </si>
  <si>
    <t>https://m.media-amazon.com/images/I/71IJbMBxMtL.jpg;https://m.media-amazon.com/images/I/71o0QzpElqL.jpg;https://m.media-amazon.com/images/I/61bFyOZYHyL.jpg;https://m.media-amazon.com/images/I/71xpeWBGouL.jpg;https://m.media-amazon.com/images/I/61yjxBcyBUL.jpg;https://m.media-amazon.com/images/I/71WzZfu6snL.jpg;https://m.media-amazon.com/images/I/7109R9xlDhL.jpg</t>
  </si>
  <si>
    <t>0193855254725</t>
  </si>
  <si>
    <t>https://m.media-amazon.com/images/I/41wK4RblHIL.jpg;https://m.media-amazon.com/images/I/41LMmFg3IgL.jpg;https://m.media-amazon.com/images/I/31s1+6l-N7L.jpg;https://m.media-amazon.com/images/I/51xrIQwAd9L.jpg;https://m.media-amazon.com/images/I/41QchFIQoWL.jpg;https://m.media-amazon.com/images/I/41lemBep1TL.jpg;https://m.media-amazon.com/images/I/4191BQwM3zL.jpg;https://m.media-amazon.com/images/I/41RteuHVleL.jpg;https://m.media-amazon.com/images/I/51MeKIvBw+L.jpg</t>
  </si>
  <si>
    <t>0194895237792</t>
  </si>
  <si>
    <t>https://m.media-amazon.com/images/I/51q8jAYcqgL.jpg;https://m.media-amazon.com/images/I/51FtGbEkXtL.jpg;https://m.media-amazon.com/images/I/51IHQdtmhBL.jpg;https://m.media-amazon.com/images/I/51Bp9w4YohL.jpg;https://m.media-amazon.com/images/I/41eSPzz3mgL.jpg;https://m.media-amazon.com/images/I/51v34LFVLtL.jpg;https://m.media-amazon.com/images/I/514V+9qfe5L.jpg</t>
  </si>
  <si>
    <t>0193855254763</t>
  </si>
  <si>
    <t>0194895237761</t>
  </si>
  <si>
    <t>0193855254749</t>
  </si>
  <si>
    <t>0194895237754</t>
  </si>
  <si>
    <t>https://m.media-amazon.com/images/I/71IJbMBxMtL.jpg;https://m.media-amazon.com/images/I/71dORyAvSWL.jpg;https://m.media-amazon.com/images/I/61bFyOZYHyL.jpg;https://m.media-amazon.com/images/I/71xpeWBGouL.jpg;https://m.media-amazon.com/images/I/61yjxBcyBUL.jpg;https://m.media-amazon.com/images/I/71WzZfu6snL.jpg;https://m.media-amazon.com/images/I/714aukpkdkL.jpg</t>
  </si>
  <si>
    <t>B09KSWRFTF</t>
  </si>
  <si>
    <t>GL0649</t>
  </si>
  <si>
    <t>0194817945200</t>
  </si>
  <si>
    <t>https://m.media-amazon.com/images/I/31zfhM3iGHL.jpg;https://m.media-amazon.com/images/I/31Iw8P+GW4L.jpg;https://m.media-amazon.com/images/I/41V-IVZ9wjL.jpg;https://m.media-amazon.com/images/I/31LEbi5HuJL.jpg;https://m.media-amazon.com/images/I/31iCZjSyckL.jpg;https://m.media-amazon.com/images/I/31t0FF5IEKL.jpg</t>
  </si>
  <si>
    <t>Classic design with comfort to match. This women's adidas t-shirt is made of comfy cotton and features a crewneck to help it hold its shape. An adidas Badge of Sport on the chest completes the look.</t>
  </si>
  <si>
    <t>GL0722</t>
  </si>
  <si>
    <t>0194817917481</t>
  </si>
  <si>
    <t>https://m.media-amazon.com/images/I/31+0Se45dWL.jpg;https://m.media-amazon.com/images/I/41SWW+oWxoL.jpg;https://m.media-amazon.com/images/I/41jYhmwkC5L.jpg;https://m.media-amazon.com/images/I/416xcrYL4EL.jpg;https://m.media-amazon.com/images/I/41jPZz3bh2L.jpg;https://m.media-amazon.com/images/I/41qRnhpINzL.jpg</t>
  </si>
  <si>
    <t>0194817944449</t>
  </si>
  <si>
    <t>0194817917504</t>
  </si>
  <si>
    <t>B0C1JJ6MGH</t>
  </si>
  <si>
    <t>0195333899893</t>
  </si>
  <si>
    <t>Reef</t>
  </si>
  <si>
    <t>10 Little Kid</t>
  </si>
  <si>
    <t>https://m.media-amazon.com/images/I/61SzbjveZ1L.jpg;https://m.media-amazon.com/images/I/61rpB5YWbLL.jpg;https://m.media-amazon.com/images/I/61FLLP20pnL.jpg;https://m.media-amazon.com/images/I/61iYYpZMMXL.jpg;https://m.media-amazon.com/images/I/61Z5bGNjpYL.jpg;https://m.media-amazon.com/images/I/61usDVJhY1L.jpg;https://m.media-amazon.com/images/I/71JWVElD5VL.jpg</t>
  </si>
  <si>
    <t>Avoid the break-in blisters and watch your little slip into the “ahhh” of the Ahi, our #1 sandal made just for minis. Soft, cushiony EVA has a gasket on top to hold little feet in place, and comfy synthetic straps in front and back keep these beach-and-water-friendlies from slipping off to land of the lost.</t>
  </si>
  <si>
    <t>0195333899909</t>
  </si>
  <si>
    <t>https://m.media-amazon.com/images/I/41Nto5HoJKL.jpg;https://m.media-amazon.com/images/I/51DfAW0rHlL.jpg;https://m.media-amazon.com/images/I/51AmeRNIdZL.jpg;https://m.media-amazon.com/images/I/41-+-fhsUdL.jpg;https://m.media-amazon.com/images/I/41TkfVIwY4L.jpg;https://m.media-amazon.com/images/I/410-yeLC7WL.jpg;https://m.media-amazon.com/images/I/41d+WxKzHiL.jpg</t>
  </si>
  <si>
    <t>0195333897219</t>
  </si>
  <si>
    <t>https://m.media-amazon.com/images/I/41kolDNvQ2L.jpg;https://m.media-amazon.com/images/I/41QBOPUc92L.jpg;https://m.media-amazon.com/images/I/510Y7s8y2jL.jpg;https://m.media-amazon.com/images/I/41Us9G7OXDL.jpg;https://m.media-amazon.com/images/I/41zcIRZKbZL.jpg;https://m.media-amazon.com/images/I/4159+aULepL.jpg;https://m.media-amazon.com/images/I/41GcwUbIwlL.jpg</t>
  </si>
  <si>
    <t>0195333899916</t>
  </si>
  <si>
    <t>0195333897226</t>
  </si>
  <si>
    <t>https://m.media-amazon.com/images/I/61CvHThSeEL.jpg;https://m.media-amazon.com/images/I/61t8TQDyw1L.jpg;https://m.media-amazon.com/images/I/61KSZpGRQGL.jpg;https://m.media-amazon.com/images/I/71qVuwYRGDL.jpg;https://m.media-amazon.com/images/I/71u+1kJcnqL.jpg;https://m.media-amazon.com/images/I/71E5wwLDmoL.jpg;https://m.media-amazon.com/images/I/61ylKw9XNNL.jpg</t>
  </si>
  <si>
    <t>B0872FMKR8</t>
  </si>
  <si>
    <t>1365335-001-X-Small</t>
  </si>
  <si>
    <t>0194514374617</t>
  </si>
  <si>
    <t>https://m.media-amazon.com/images/I/41jSnMJUPeL.jpg;https://m.media-amazon.com/images/I/41ZbxKbdemL.jpg;https://m.media-amazon.com/images/I/51TOt1ox99L.jpg;https://m.media-amazon.com/images/I/311h-pxUWuL.jpg;https://m.media-amazon.com/images/I/31bhUSKHaaL.jpg</t>
  </si>
  <si>
    <t>Our Most Legendary: Super-light HeatGear® fabric delivers superior coverage without weighing you down.Under Armour’s mission is to make all athletes better through passion, design and the relentless pursuit of innovation.Where we started? It all started with an idea to build a superior T-shirt.The technology behind Under Armour's diverse product assortment for men, women and youth is complex, but the program for reaping the benefits is simple: wear HeatGear when it's hot, ColdGear when it's cold, and AllSeasonGear between the extremes...</t>
  </si>
  <si>
    <t>1365335-410-X-Small</t>
  </si>
  <si>
    <t>0194514375126</t>
  </si>
  <si>
    <t>https://m.media-amazon.com/images/I/31GwPCM1vzL.jpg;https://m.media-amazon.com/images/I/312Fo9IctQL.jpg;https://m.media-amazon.com/images/I/31yHY+9BLjL.jpg;https://m.media-amazon.com/images/I/31ysl0YOcWL.jpg;https://m.media-amazon.com/images/I/21nkOIs-0hL.jpg;https://m.media-amazon.com/images/I/410aE4+UqXL.jpg</t>
  </si>
  <si>
    <t>B0BMVNJLTX</t>
  </si>
  <si>
    <t>0195979391850</t>
  </si>
  <si>
    <t>https://m.media-amazon.com/images/I/61zhCRKY5lL.jpg;https://m.media-amazon.com/images/I/61tlEPks3hL.jpg;https://m.media-amazon.com/images/I/615SFy-3b2L.jpg;https://m.media-amazon.com/images/I/71TI21PDctL.jpg;https://m.media-amazon.com/images/I/71z8sgFQf8L.jpg;https://m.media-amazon.com/images/I/71t3GjDijoL.jpg;https://m.media-amazon.com/images/I/71DJGMoniLL.jpg</t>
  </si>
  <si>
    <t>A cozy solution to winter, this water-resistant puffer has zippered hand pockets, a super soft chin guard, and is filled with down-like Thermarator Insulation. Columbia offers this jacket in multiple colors and sizes. Extended sizing available. Regular fit.</t>
  </si>
  <si>
    <t>0195979392208</t>
  </si>
  <si>
    <t>https://m.media-amazon.com/images/I/41OgdzdRpiL.jpg;https://m.media-amazon.com/images/I/415LSeWJ3cL.jpg;https://m.media-amazon.com/images/I/41OzhSUBwtL.jpg;https://m.media-amazon.com/images/I/51h4uXdrvAL.jpg;https://m.media-amazon.com/images/I/51oGJVcVUXL.jpg;https://m.media-amazon.com/images/I/51FYYq4BWPL.jpg;https://m.media-amazon.com/images/I/41P5UaFJCnL.jpg;https://m.media-amazon.com/images/I/41V6-W2kVwL.jpg;https://m.media-amazon.com/images/I/51RO9IbZ9bL.jpg</t>
  </si>
  <si>
    <t>0195979392222</t>
  </si>
  <si>
    <t>https://m.media-amazon.com/images/I/41Zuih8v8XL.jpg;https://m.media-amazon.com/images/I/41MeYN2tLrL.jpg;https://m.media-amazon.com/images/I/419td9IwZgL.jpg;https://m.media-amazon.com/images/I/51zDLTp2d-L.jpg;https://m.media-amazon.com/images/I/41VBm7zQlWL.jpg;https://m.media-amazon.com/images/I/51FYYq4BWPL.jpg;https://m.media-amazon.com/images/I/41-Ec7zVKnL.jpg;https://m.media-amazon.com/images/I/41qxiOdrwWL.jpg;https://m.media-amazon.com/images/I/417bg1gAjBL.jpg</t>
  </si>
  <si>
    <t>0195979391874</t>
  </si>
  <si>
    <t>https://m.media-amazon.com/images/I/71w9fEId70L.jpg;https://m.media-amazon.com/images/I/71eQZP-R9JL.jpg;https://m.media-amazon.com/images/I/61LZvL-nuLL.jpg;https://m.media-amazon.com/images/I/71UexGb3cWL.jpg;https://m.media-amazon.com/images/I/71AuAdElHbL.jpg;https://m.media-amazon.com/images/I/71t3GjDijoL.jpg;https://m.media-amazon.com/images/I/712gtTaiG4L.jpg;https://m.media-amazon.com/images/I/71y2AfgqwkL.jpg;https://m.media-amazon.com/images/I/71u33ubfbhL.jpg</t>
  </si>
  <si>
    <t>0195979392253</t>
  </si>
  <si>
    <t>https://m.media-amazon.com/images/I/71rRps2ZTdL.jpg;https://m.media-amazon.com/images/I/71vq7hOo8cL.jpg;https://m.media-amazon.com/images/I/61FHUnZT7iL.jpg;https://m.media-amazon.com/images/I/71fditf8XHL.jpg;https://m.media-amazon.com/images/I/71bl9RB20GL.jpg;https://m.media-amazon.com/images/I/71t3GjDijoL.jpg;https://m.media-amazon.com/images/I/714tH7b3Z3L.jpg;https://m.media-amazon.com/images/I/71FWhFNCvcL.jpg;https://m.media-amazon.com/images/I/71c0ZnAtGBL.jpg</t>
  </si>
  <si>
    <t>0195979391898</t>
  </si>
  <si>
    <t>0195979391881</t>
  </si>
  <si>
    <t>0195979392246</t>
  </si>
  <si>
    <t>0195979392277</t>
  </si>
  <si>
    <t>https://m.media-amazon.com/images/I/61IVYT04WIL.jpg;https://m.media-amazon.com/images/I/61rd26lPChL.jpg;https://m.media-amazon.com/images/I/61Th384hjzL.jpg;https://m.media-amazon.com/images/I/61AN0iMCpeL.jpg;https://m.media-amazon.com/images/I/61qTe7c5uFL.jpg;https://m.media-amazon.com/images/I/71t3GjDijoL.jpg;https://m.media-amazon.com/images/I/61vUVhznNML.jpg;https://m.media-amazon.com/images/I/61Ia4n71pQL.jpg;https://m.media-amazon.com/images/I/611zAzmWXrL.jpg</t>
  </si>
  <si>
    <t>0195979392215</t>
  </si>
  <si>
    <t>0195979392239</t>
  </si>
  <si>
    <t>0195979392307</t>
  </si>
  <si>
    <t>B0CLD8FDFJ</t>
  </si>
  <si>
    <t>HQ3561</t>
  </si>
  <si>
    <t>0195743062641</t>
  </si>
  <si>
    <t>https://m.media-amazon.com/images/I/41QSME3T5VL.jpg;https://m.media-amazon.com/images/I/41UavcwuvoL.jpg;https://m.media-amazon.com/images/I/416J3CP20mL.jpg;https://m.media-amazon.com/images/I/212og45c42L.jpg;https://m.media-amazon.com/images/I/31GDpya8OXL.jpg;https://m.media-amazon.com/images/I/31bbU2qDbAL.jpg;https://m.media-amazon.com/images/I/418GzMDoq0L.jpg</t>
  </si>
  <si>
    <t>Take some classic running style and add some modern details and you get these kids' adidas sneakers. Built for cushioned comfort with a Cloudfoam unitsole, these shoes have a soft and flexible upper that conforms to their feet. Heel and tongue pulls make them easy to slip on and off.</t>
  </si>
  <si>
    <t>0195861372790</t>
  </si>
  <si>
    <t>https://m.media-amazon.com/images/I/31M2RMp3NdL.jpg</t>
  </si>
  <si>
    <t>Made to match, this set of three is complete with a zip-up vest, a long-sleeve bodysuit and a pair of easy on pants to complete the look.</t>
  </si>
  <si>
    <t>0195861372769</t>
  </si>
  <si>
    <t>https://m.media-amazon.com/images/I/81HNyQpFReL.jpg</t>
  </si>
  <si>
    <t>0195861372752</t>
  </si>
  <si>
    <t>https://m.media-amazon.com/images/I/51qJoAShZZL.jpg</t>
  </si>
  <si>
    <t>0195861372776</t>
  </si>
  <si>
    <t>https://m.media-amazon.com/images/I/31ZayOyoIuL.jpg</t>
  </si>
  <si>
    <t>0195861372721</t>
  </si>
  <si>
    <t>0195861372738</t>
  </si>
  <si>
    <t>0195861372745</t>
  </si>
  <si>
    <t>WFM12772P-Z416-16</t>
  </si>
  <si>
    <t>0193769466443</t>
  </si>
  <si>
    <t>16 Plus</t>
  </si>
  <si>
    <t>https://m.media-amazon.com/images/I/31OW2jpba4L.jpg;https://m.media-amazon.com/images/I/51vhxXroSxL.jpg;https://m.media-amazon.com/images/I/31CIQqqAOpL.jpg;https://m.media-amazon.com/images/I/31vtPonSxBL.jpg</t>
  </si>
  <si>
    <t>WFM13938P-Z386-16W</t>
  </si>
  <si>
    <t>0193769894260</t>
  </si>
  <si>
    <t>https://m.media-amazon.com/images/I/71rqc-3yJ1L.jpg;https://m.media-amazon.com/images/I/91bSg7etNjL.jpg;https://m.media-amazon.com/images/I/81j67zy0zDL.jpg;https://m.media-amazon.com/images/I/912GP9ByZQL.jpg;https://m.media-amazon.com/images/I/81OFkNEW+wL.jpg;https://m.media-amazon.com/images/I/91zwRbzduML.jpg;https://m.media-amazon.com/images/I/81d0rmn-IhL.jpg;https://m.media-amazon.com/images/I/91jkKS24vrL.jpg;https://m.media-amazon.com/images/I/91cWqc6hVWL.jpg</t>
  </si>
  <si>
    <t>WFM12801P-Z542-16</t>
  </si>
  <si>
    <t>0193769467112</t>
  </si>
  <si>
    <t>https://m.media-amazon.com/images/I/81-g8r0WlOL.jpg;https://m.media-amazon.com/images/I/81RA3RDZBrL.jpg;https://m.media-amazon.com/images/I/810kWonszpL.jpg;https://m.media-amazon.com/images/I/912GP9ByZQL.jpg;https://m.media-amazon.com/images/I/81OFkNEW+wL.jpg;https://m.media-amazon.com/images/I/91zwRbzduML.jpg;https://m.media-amazon.com/images/I/81d0rmn-IhL.jpg;https://m.media-amazon.com/images/I/91jkKS24vrL.jpg;https://m.media-amazon.com/images/I/91cWqc6hVWL.jpg</t>
  </si>
  <si>
    <t>WFM12801P-Z542-18</t>
  </si>
  <si>
    <t>0193769467129</t>
  </si>
  <si>
    <t>18 Plus</t>
  </si>
  <si>
    <t>WFM12772P-Z416-18</t>
  </si>
  <si>
    <t>0193769466450</t>
  </si>
  <si>
    <t>https://m.media-amazon.com/images/I/81D2KlwOkVL.jpg;https://m.media-amazon.com/images/I/A1H9ySWofyL.jpg;https://m.media-amazon.com/images/I/71353utXxgL.jpg;https://m.media-amazon.com/images/I/81AO1ff73cL.jpg</t>
  </si>
  <si>
    <t>WFM13938P-Z386-18W</t>
  </si>
  <si>
    <t>0193769894277</t>
  </si>
  <si>
    <t>WFM12801P-Z542-20</t>
  </si>
  <si>
    <t>0193769467136</t>
  </si>
  <si>
    <t>20 Plus</t>
  </si>
  <si>
    <t>WFM13306P-J112-20</t>
  </si>
  <si>
    <t>0193769693122</t>
  </si>
  <si>
    <t>https://m.media-amazon.com/images/I/81lHaU1LyrL.jpg;https://m.media-amazon.com/images/I/81rgPS6xseL.jpg;https://m.media-amazon.com/images/I/81uUAzw1bEL.jpg;https://m.media-amazon.com/images/I/912GP9ByZQL.jpg;https://m.media-amazon.com/images/I/81OFkNEW+wL.jpg;https://m.media-amazon.com/images/I/91zwRbzduML.jpg;https://m.media-amazon.com/images/I/81d0rmn-IhL.jpg;https://m.media-amazon.com/images/I/91jkKS24vrL.jpg;https://m.media-amazon.com/images/I/91cWqc6hVWL.jpg</t>
  </si>
  <si>
    <t>WFM13938P-Z386-20W</t>
  </si>
  <si>
    <t>0193769894284</t>
  </si>
  <si>
    <t>WFM12772P-Z416-20</t>
  </si>
  <si>
    <t>0193769466467</t>
  </si>
  <si>
    <t>WFM12772P-Z416-22</t>
  </si>
  <si>
    <t>0193769466474</t>
  </si>
  <si>
    <t>22 Plus</t>
  </si>
  <si>
    <t>WFM13938P-Z386-22W</t>
  </si>
  <si>
    <t>0193769894291</t>
  </si>
  <si>
    <t>WFM12801P-Z542-22</t>
  </si>
  <si>
    <t>0193769467143</t>
  </si>
  <si>
    <t>WFM12772P-Z416-24</t>
  </si>
  <si>
    <t>0193769466481</t>
  </si>
  <si>
    <t>WFM13306P-J112-24</t>
  </si>
  <si>
    <t>0193769693146</t>
  </si>
  <si>
    <t>WFM13938P-Z386-24W</t>
  </si>
  <si>
    <t>0193769894307</t>
  </si>
  <si>
    <t>WFM12801P-Z542-24</t>
  </si>
  <si>
    <t>0193769467150</t>
  </si>
  <si>
    <t>B08W3H8TT3</t>
  </si>
  <si>
    <t>0193666646511</t>
  </si>
  <si>
    <t>https://m.media-amazon.com/images/I/51qCH95rxkL.jpg</t>
  </si>
  <si>
    <t>Spalding - a leader in the athletic world for the past several decades has developed a new line of active wear which is, both functional and affordable. We use the most up-to-date yarn technologies available to create items which are perfect for your workouts and trend right fashion, and good for everyday use. Whether it is a trip to the store or a two hour workout, show off your sense of style with Spalding.</t>
  </si>
  <si>
    <t>B0CNDDNWNG</t>
  </si>
  <si>
    <t>0195979510756</t>
  </si>
  <si>
    <t>https://m.media-amazon.com/images/I/416YW-khgkL.jpg;https://m.media-amazon.com/images/I/41irHxVm5aL.jpg;https://m.media-amazon.com/images/I/41aYfq1BdOL.jpg;https://m.media-amazon.com/images/I/51iHPaVtR0L.jpg;https://m.media-amazon.com/images/I/41ZDIAnax1L.jpg;https://m.media-amazon.com/images/I/51Ff-NBDvaL.jpg;https://m.media-amazon.com/images/I/51X-XSTcoeL.jpg;https://m.media-amazon.com/images/I/41v-ndgks2L.jpg;https://m.media-amazon.com/images/I/41uQY9fwasL.jpg</t>
  </si>
  <si>
    <t>With a comfy fit, cozy kangaroo pocket, and blissfully soft fleece fabric, this quarter-zip pullover maximizes statement comfort. Columbia offers this pullover in multiple colors and sizes. Extended sizing available. Regular fit.</t>
  </si>
  <si>
    <t>0195979516413</t>
  </si>
  <si>
    <t>https://m.media-amazon.com/images/I/71TfjTPcYxL.jpg;https://m.media-amazon.com/images/I/817EV9yi7OL.jpg;https://m.media-amazon.com/images/I/71zDtp+LaVL.jpg;https://m.media-amazon.com/images/I/81PEFQs-iuL.jpg;https://m.media-amazon.com/images/I/71L5yJzeM8L.jpg;https://m.media-amazon.com/images/I/716IvCc75IL.jpg;https://m.media-amazon.com/images/I/71PGh10oXjL.jpg;https://m.media-amazon.com/images/I/81ItpwLkhmL.jpg;https://m.media-amazon.com/images/I/71r5lvtdmFL.jpg</t>
  </si>
  <si>
    <t>0195979516437</t>
  </si>
  <si>
    <t>https://m.media-amazon.com/images/I/51MNi18qEZL.jpg;https://m.media-amazon.com/images/I/514XR7PHAEL.jpg;https://m.media-amazon.com/images/I/51uTarPQneL.jpg;https://m.media-amazon.com/images/I/61d7hYCsTkL.jpg;https://m.media-amazon.com/images/I/51ozGomaxqL.jpg;https://m.media-amazon.com/images/I/51Ff-NBDvaL.jpg;https://m.media-amazon.com/images/I/51eZIytm4BL.jpg;https://m.media-amazon.com/images/I/51TZmDTFESL.jpg;https://m.media-amazon.com/images/I/51gEnotnBjL.jpg</t>
  </si>
  <si>
    <t>0195979516451</t>
  </si>
  <si>
    <t>0195979510749</t>
  </si>
  <si>
    <t>https://m.media-amazon.com/images/I/71Y+L66gSDL.jpg;https://m.media-amazon.com/images/I/71bWQ0DNbTL.jpg;https://m.media-amazon.com/images/I/61AtkmXw59L.jpg;https://m.media-amazon.com/images/I/71-o4ackj-L.jpg;https://m.media-amazon.com/images/I/71LGEe0rrcL.jpg;https://m.media-amazon.com/images/I/716IvCc75IL.jpg;https://m.media-amazon.com/images/I/71ablIy20pL.jpg;https://m.media-amazon.com/images/I/71z6G8mNIIL.jpg;https://m.media-amazon.com/images/I/61WrFaMdDfL.jpg</t>
  </si>
  <si>
    <t>0195979516406</t>
  </si>
  <si>
    <t>0195979510725</t>
  </si>
  <si>
    <t>0195979510053</t>
  </si>
  <si>
    <t>https://m.media-amazon.com/images/I/71CrDmtFXRL.jpg;https://m.media-amazon.com/images/I/71PsVRwyXXL.jpg;https://m.media-amazon.com/images/I/71YLgXt0T6L.jpg;https://m.media-amazon.com/images/I/81P+pINxVzL.jpg;https://m.media-amazon.com/images/I/7133-cqaZTL.jpg;https://m.media-amazon.com/images/I/716IvCc75IL.jpg;https://m.media-amazon.com/images/I/81N-Gox9ZwL.jpg;https://m.media-amazon.com/images/I/81tA8sOXYBL.jpg;https://m.media-amazon.com/images/I/71AifKlebbL.jpg</t>
  </si>
  <si>
    <t>0195979510770</t>
  </si>
  <si>
    <t>https://m.media-amazon.com/images/I/516aSsJKMmL.jpg;https://m.media-amazon.com/images/I/51QxVtN3H4L.jpg;https://m.media-amazon.com/images/I/419hA+GMGeL.jpg;https://m.media-amazon.com/images/I/51sGoW6CO3L.jpg;https://m.media-amazon.com/images/I/41ef3aMYNpL.jpg;https://m.media-amazon.com/images/I/51Ff-NBDvaL.jpg;https://m.media-amazon.com/images/I/51p5ZR2ym6L.jpg;https://m.media-amazon.com/images/I/518q65jDKIL.jpg;https://m.media-amazon.com/images/I/51ZDytCXY9L.jpg</t>
  </si>
  <si>
    <t>0195979510077</t>
  </si>
  <si>
    <t>0195979511128</t>
  </si>
  <si>
    <t>https://m.media-amazon.com/images/I/71wi7fuQr0L.jpg;https://m.media-amazon.com/images/I/71Whz5mdmUL.jpg;https://m.media-amazon.com/images/I/716l7lcMAwL.jpg;https://m.media-amazon.com/images/I/71valjlUy+L.jpg;https://m.media-amazon.com/images/I/71bxEAhTLlL.jpg;https://m.media-amazon.com/images/I/716IvCc75IL.jpg;https://m.media-amazon.com/images/I/71nflTdIW0L.jpg;https://m.media-amazon.com/images/I/71dPpeb0GvL.jpg;https://m.media-amazon.com/images/I/71H8xK3OkBL.jpg</t>
  </si>
  <si>
    <t>0195979510718</t>
  </si>
  <si>
    <t>0195979516444</t>
  </si>
  <si>
    <t>B0CLSP8222</t>
  </si>
  <si>
    <t>0756571280036</t>
  </si>
  <si>
    <t>https://m.media-amazon.com/images/I/61aol0ySspS.jpg;https://m.media-amazon.com/images/I/31d17pbBzSS.jpg</t>
  </si>
  <si>
    <t>Karma hyper stretch soft fabric skinny five pocket pant</t>
  </si>
  <si>
    <t>0756571280760</t>
  </si>
  <si>
    <t>https://m.media-amazon.com/images/I/71qkBVtIBnL.jpg;https://m.media-amazon.com/images/I/71LYmcpifPL.jpg;https://m.media-amazon.com/images/I/71JeUiWn+uL.jpg</t>
  </si>
  <si>
    <t>0756571379327</t>
  </si>
  <si>
    <t>https://m.media-amazon.com/images/I/61ksJKnxq-L.jpg;https://m.media-amazon.com/images/I/619PYMXZYTL.jpg</t>
  </si>
  <si>
    <t>0756571280043</t>
  </si>
  <si>
    <t>0756571280777</t>
  </si>
  <si>
    <t>0756571379334</t>
  </si>
  <si>
    <t>0756571280074</t>
  </si>
  <si>
    <t>0756571379389</t>
  </si>
  <si>
    <t>0756571280081</t>
  </si>
  <si>
    <t>0756571379396</t>
  </si>
  <si>
    <t>0756571379402</t>
  </si>
  <si>
    <t>0756571379419</t>
  </si>
  <si>
    <t>0756571379341</t>
  </si>
  <si>
    <t>0756571379358</t>
  </si>
  <si>
    <t>https://m.media-amazon.com/images/I/315mIweuGZL.jpg;https://m.media-amazon.com/images/I/31qj+udT9rL.jpg</t>
  </si>
  <si>
    <t>0756571379365</t>
  </si>
  <si>
    <t>15 Long</t>
  </si>
  <si>
    <t>0756571324068</t>
  </si>
  <si>
    <t>0756571292626</t>
  </si>
  <si>
    <t>17 Long</t>
  </si>
  <si>
    <t>B0CWB22YVJ</t>
  </si>
  <si>
    <t>0196601724442</t>
  </si>
  <si>
    <t>https://m.media-amazon.com/images/I/81X15x2d9XL.jpg;https://m.media-amazon.com/images/I/71icBObJkmL.jpg</t>
  </si>
  <si>
    <t>Fuller cut for complete comfort. Fabrication delivers a brushed inner layer and a quick-drying, lightweight outer layer Soft inner layer traps heat like a champ, keeping you warm and comfortable. Signature Moisture Transport System wicks sweat away from the body</t>
  </si>
  <si>
    <t>0196601724435</t>
  </si>
  <si>
    <t>https://m.media-amazon.com/images/I/51wFv4TvRML.jpg;https://m.media-amazon.com/images/I/51H7c8uRMnL.jpg</t>
  </si>
  <si>
    <t>0196601724428</t>
  </si>
  <si>
    <t>0196601724459</t>
  </si>
  <si>
    <t>B0CTHHSWJ6</t>
  </si>
  <si>
    <t>0742728944425</t>
  </si>
  <si>
    <t>https://m.media-amazon.com/images/I/71HMCM5s2xL.jpg;https://m.media-amazon.com/images/I/71jX-te+TbL.jpg;https://m.media-amazon.com/images/I/615+8wTeqDL.jpg;https://m.media-amazon.com/images/I/61o602ovuPL.jpg;https://m.media-amazon.com/images/I/81n9Q3hXqGL.jpg;https://m.media-amazon.com/images/I/61GTlWpWz0L.jpg;https://m.media-amazon.com/images/I/41Tj5PhQUZL.jpg</t>
  </si>
  <si>
    <t>Stay ready for adventure, the Hurley Twill Joggers are designed with extra durable and stretchy fabric to keep up with all types of play. It's powered with sweat-wicking technology so kids can transition from chill to play in dry comfort.</t>
  </si>
  <si>
    <t>0742728944432</t>
  </si>
  <si>
    <t>https://m.media-amazon.com/images/I/31+AIwJx2YL.jpg;https://m.media-amazon.com/images/I/21iTzWxDN7L.jpg;https://m.media-amazon.com/images/I/31QpoNxbByL.jpg;https://m.media-amazon.com/images/I/316tW2kNWrL.jpg;https://m.media-amazon.com/images/I/3150+YYtIbL.jpg;https://m.media-amazon.com/images/I/318iIw8xpiL.jpg;https://m.media-amazon.com/images/I/41Tj5PhQUZL.jpg</t>
  </si>
  <si>
    <t>0742728944449</t>
  </si>
  <si>
    <t>B0D45QWWJ2</t>
  </si>
  <si>
    <t>TW3MP784-410</t>
  </si>
  <si>
    <t>0196701562258</t>
  </si>
  <si>
    <t>https://m.media-amazon.com/images/I/61uRP2WSMIL.jpg;https://m.media-amazon.com/images/I/41sv-MmgMZL.jpg;https://m.media-amazon.com/images/I/31BGnjBVebL.jpg;https://m.media-amazon.com/images/I/311v-yFtxkL.jpg</t>
  </si>
  <si>
    <t>TW3MP784-302</t>
  </si>
  <si>
    <t>0196701562296</t>
  </si>
  <si>
    <t>https://m.media-amazon.com/images/I/71hIlbExs2L.jpg;https://m.media-amazon.com/images/I/61atOGV4ITL.jpg;https://m.media-amazon.com/images/I/71c4cBck1vL.jpg</t>
  </si>
  <si>
    <t>This Tommy Hilfiger Women's Outerwear Quilted Puffer is a furry lining everyday mid weight Zip Up Gold Hardware</t>
  </si>
  <si>
    <t>TW3MP784-001</t>
  </si>
  <si>
    <t>0196701562371</t>
  </si>
  <si>
    <t>https://m.media-amazon.com/images/I/616ywwY4XrL.jpg;https://m.media-amazon.com/images/I/310xThiHcIL.jpg;https://m.media-amazon.com/images/I/318MDR9wY-L.jpg;https://m.media-amazon.com/images/I/31ILa+1WosL.jpg</t>
  </si>
  <si>
    <t>0196701562289</t>
  </si>
  <si>
    <t>0196701562241</t>
  </si>
  <si>
    <t>0196701562364</t>
  </si>
  <si>
    <t>0196701562272</t>
  </si>
  <si>
    <t>0028266900612, 0735111045885</t>
  </si>
  <si>
    <t>https://m.media-amazon.com/images/I/61BoRn5G0nL.jpg;https://m.media-amazon.com/images/I/61v7lOkyyCL.jpg;https://m.media-amazon.com/images/I/61WagypFF6L.jpg;https://m.media-amazon.com/images/I/61OJFVEZ1qL.jpg</t>
  </si>
  <si>
    <t>Truck-Lite began with an ingenious idea that sparked a revolution in truck and trailer safety lighting. Tackling the problem of the short life of trailer lights, founder George Baldwin designed the first sealed marker light, using his kitchen sink for quality control. That first light was a commercial success, and truck-lite released the industry's first sealed stop/turn/tail light soon after. Since then, truck-lite has grown into an international company with over 3,000 employees. Truck-Lite has a history of firsts, including the first sealed lighting products, the first led s/t/t lamps for commercial vehicles and the first led forward lighting for both military and commercial vehicles. All these firsts represent major industry breakthroughs, but being first isn't enough. Our goal, from design to installation, is to deliver the best. Our products have been copied time and time again, but our superior quality has never been met by others.</t>
  </si>
  <si>
    <t>0735111046073, 0028266900643</t>
  </si>
  <si>
    <t>https://m.media-amazon.com/images/I/71cp2texV4L.jpg</t>
  </si>
  <si>
    <t>R/Ang10. 5" Plug</t>
  </si>
  <si>
    <t>0028266900742</t>
  </si>
  <si>
    <t>Baldwin</t>
  </si>
  <si>
    <t>https://m.media-amazon.com/images/I/31dTzIaujaL.jpg</t>
  </si>
  <si>
    <t>Oil Filter, Filter Design Spin-On, Height 5-11/32 In. , Length 5-11/32 In. , Width 3-11/16 In. , Outside Dia. 3-11/16 In. , Includes Anti-Drain back Valve, (1] I Gasket</t>
  </si>
  <si>
    <t>0028266900650</t>
  </si>
  <si>
    <t>94964</t>
  </si>
  <si>
    <t>0028266900629</t>
  </si>
  <si>
    <t>https://m.media-amazon.com/images/I/41nUaRQWWCL.jpg;https://m.media-amazon.com/images/I/51MEzqoCxbL.jpg;https://m.media-amazon.com/images/I/51Rf7tTNFXL.jpg;https://m.media-amazon.com/images/I/51eSMGbylpL.jpg</t>
  </si>
  <si>
    <t>94964 Ground - 6" - #10 ring terminal - White M/C - 6" - .180 molded bullet - Black</t>
  </si>
  <si>
    <t>0028266900759</t>
  </si>
  <si>
    <t>Description
Oil Filter, Filter Design Spin-On, Height 4-3/32 In. , Length 4-3/32 In. , Width 3 In. , Outside Dia. 3 In. , Includes Anti-Drain back Valve, G449-B I Gasket</t>
  </si>
  <si>
    <t>0028266900766</t>
  </si>
  <si>
    <t>Oil Filter, Filter Design Spin-On, Height 5-5/16 In. , Length 5-5/16 In. , Width 3-11/16 In. , Outside Dia. 3-11/16 In. , Includes Anti-Drain back Valve, 15PSID By-Pass Valve, (1] I Gasket</t>
  </si>
  <si>
    <t>B08GB7Z2J4</t>
  </si>
  <si>
    <t>0195703352690</t>
  </si>
  <si>
    <t>https://m.media-amazon.com/images/I/71d+jcAs7HL.jpg;https://m.media-amazon.com/images/I/61v2Mdoq-wL.jpg;https://m.media-amazon.com/images/I/61Yjs-riveL.jpg;https://m.media-amazon.com/images/I/61464MrelVL.jpg;https://m.media-amazon.com/images/I/51V4YNN3RQL.jpg;https://m.media-amazon.com/images/I/317cGFxed6L.jpg;https://m.media-amazon.com/images/I/41VuGk1nC3L.jpg;https://m.media-amazon.com/images/I/41+gqU8OklL.jpg;https://m.media-amazon.com/images/I/51kYVuVamNL.jpg;https://m.media-amazon.com/images/I/41x0cIJqJxL.jpg;https://m.media-amazon.com/images/I/31TpwiXi0wL.jpg</t>
  </si>
  <si>
    <t>This season TOMS celebrates all the progress that's been made on the path to a better tommorow. One in which humanity thrives through smart, sustainable innovations.</t>
  </si>
  <si>
    <t>DX5121-010</t>
  </si>
  <si>
    <t>0196153466197</t>
  </si>
  <si>
    <t>https://m.media-amazon.com/images/I/71a3DL40ntL.jpg;https://m.media-amazon.com/images/I/718vyVjqxBL.jpg;https://m.media-amazon.com/images/I/61q3eNVaOfL.jpg</t>
  </si>
  <si>
    <t>0196155583069</t>
  </si>
  <si>
    <t>https://m.media-amazon.com/images/I/61QyaMREVWL.jpg;https://m.media-amazon.com/images/I/71zfsHJHHOL.jpg;https://m.media-amazon.com/images/I/71oWrJmr9IL.jpg</t>
  </si>
  <si>
    <t>B0CCCXWTZ8</t>
  </si>
  <si>
    <t>1116770-520</t>
  </si>
  <si>
    <t>0196565698834</t>
  </si>
  <si>
    <t>https://m.media-amazon.com/images/I/61Wf9QN824L.jpg;https://m.media-amazon.com/images/I/61I+ZPSMTaL.jpg;https://m.media-amazon.com/images/I/51fbWm5L-8L.jpg;https://m.media-amazon.com/images/I/61wxDGUAH1L.jpg;https://m.media-amazon.com/images/I/61oHcszQ58L.jpg;https://m.media-amazon.com/images/I/61PEQfDGJfL.jpg</t>
  </si>
  <si>
    <t>The newest addition to our kids’ collection, we’ve reworked the classic Koola Short into a mini iteration for the transitional days of fall. Adored for its toasty warmth and playground-ready profile, this seasonless silhouette sports the same soft suede upper, faux fur lining, and EVA outsole that made the original a cult favorite.</t>
  </si>
  <si>
    <t>0196565698841</t>
  </si>
  <si>
    <t>0196565698803</t>
  </si>
  <si>
    <t>0195979194185</t>
  </si>
  <si>
    <t>https://m.media-amazon.com/images/I/51+-h2GWieL.jpg;https://m.media-amazon.com/images/I/51TmYb6u5gL.jpg;https://m.media-amazon.com/images/I/412A6phREDL.jpg;https://m.media-amazon.com/images/I/51dTzSxvR-L.jpg;https://m.media-amazon.com/images/I/51BQQp4xpzL.jpg;https://m.media-amazon.com/images/I/51vTd5R-R8L.jpg</t>
  </si>
  <si>
    <t>VERSATILE WARMTH Soft, warm, and versatile, this down jacket is a go-to for an easy hike or cold-day errands. BUILT FOR WEATHER Featuring water-resistant fabric and a stitch-less baffled construction for keeping light rain out. MORE GOOD STUFF Zippered hand pockets, chin guard, and binding at collar, hem, and cuffs keep you toasty warm. Heat Seal Construction RDS certified down Water resistant fabric 650 fill power down insulation Binding at collar, cuff, and hem Chin guard Zippered hand pockets Center Back Length: 28" Uses: Hiking Imported Shell: 100% polyesterLining: 100% polyesterInsulation: 650 Fill Power Down Insulation, RDS Certified</t>
  </si>
  <si>
    <t>0195979194178</t>
  </si>
  <si>
    <t>VERSATILE WARMTH Soft, warm, and versatile, this down jacket is a go-to for an easy hike or cold-day errands. BUILT FOR WEATHER Featuring water-resistant fabric and a stitch-less baffled construction for keeping light rain out. MORE GOOD STUFF Zippered hand pockets, chin guard, and binding at collar, hem, and cuffs keep you toasty warm. Heat Seal Construction RDS certified down Water-resistant fabric sheds moisture using materials that repel water, so you stay dry in mildly rainy conditions 650 fill power down insulation Binding at collar, cuff, and hem Chin guard Zippered hand pockets Center Back Length: 28" Uses: Hiking Imported Shell: 100% polyester Lining: 100% polyester Insulation: 650 Fill Power Down Insulation, RDS Certified RN# 69724 Sterilization Permit Number close Prauden: UT 70001 (CN) UT 70033 (VN) Downlite: 70018 (CN) 70034 (CN) Allied: PA 9900 (CN) PA 8811(CA)</t>
  </si>
  <si>
    <t>0195979194192</t>
  </si>
  <si>
    <t>https://m.media-amazon.com/images/I/71pWt5VGDaL.jpg;https://m.media-amazon.com/images/I/71YLQWCdl+L.jpg;https://m.media-amazon.com/images/I/71NQIAHbYAL.jpg;https://m.media-amazon.com/images/I/71yyViKHDBL.jpg;https://m.media-amazon.com/images/I/81UYgpUpRQL.jpg;https://m.media-amazon.com/images/I/71VxpqZ72cL.jpg</t>
  </si>
  <si>
    <t>0195979194161</t>
  </si>
  <si>
    <t>0195979194208</t>
  </si>
  <si>
    <t>B0CTJ91251</t>
  </si>
  <si>
    <t>0033977610460</t>
  </si>
  <si>
    <t>https://m.media-amazon.com/images/I/81w02kaUVaL.jpg;https://m.media-amazon.com/images/I/41srkd0WIUL.jpg;https://m.media-amazon.com/images/I/41drhoZx5JL.jpg;https://m.media-amazon.com/images/I/41mbze7QGbL.jpg;https://m.media-amazon.com/images/I/41QL59bTVHL.jpg;https://m.media-amazon.com/images/I/41jAqK689CL.jpg;https://m.media-amazon.com/images/I/41niSyPC7tL.jpg</t>
  </si>
  <si>
    <t>Plush comfort surrounds your feet in MUK LUKS Melinda Bootie Slippers. These durable slipper boots are crafted with an indoor/outdoor sole and warm faux-fur lining for ultimate coziness.</t>
  </si>
  <si>
    <t>0033977610491</t>
  </si>
  <si>
    <t>B0CKPPDH6X</t>
  </si>
  <si>
    <t>0197232054120</t>
  </si>
  <si>
    <t>TOMMY HILFIGER</t>
  </si>
  <si>
    <t>https://m.media-amazon.com/images/I/317rNmnGe3L.jpg;https://m.media-amazon.com/images/I/31fYr5QWiVL.jpg;https://m.media-amazon.com/images/I/41-Ssfmpd8L.jpg;https://m.media-amazon.com/images/I/31GRTPw5I4L.jpg</t>
  </si>
  <si>
    <t>Tommy Hilfiger men's sweater. Made from premium cotton and styled in an easy fit, our sweaters are soft, comfortable layers.</t>
  </si>
  <si>
    <t>B0CKCLP1SL</t>
  </si>
  <si>
    <t>0195862000869</t>
  </si>
  <si>
    <t>https://m.media-amazon.com/images/I/61DkS557j0L.jpg;https://m.media-amazon.com/images/I/613hDzObWPL.jpg;https://m.media-amazon.com/images/I/61kqJ7M3-wL.jpg</t>
  </si>
  <si>
    <t>Give baby extra warmth with this pram suit by Carter's! Carter's pram suit Cotton construction Graphic applique Zip closure 100% cotton Machine wash cold Made in China</t>
  </si>
  <si>
    <t>0195862000791</t>
  </si>
  <si>
    <t>12 months</t>
  </si>
  <si>
    <t>https://m.media-amazon.com/images/I/31cFjDVLUDL.jpg;https://m.media-amazon.com/images/I/41pQUUtL-AL.jpg;https://m.media-amazon.com/images/I/31SFrmRkWHL.jpg</t>
  </si>
  <si>
    <t>B0BGWCWFNY</t>
  </si>
  <si>
    <t>0196884792190</t>
  </si>
  <si>
    <t>https://m.media-amazon.com/images/I/312p1maKZ2L.jpg;https://m.media-amazon.com/images/I/3134xlHcs2L.jpg;https://m.media-amazon.com/images/I/312vqCZBHEL.jpg;https://m.media-amazon.com/images/I/41FXzFzQ-EL.jpg;https://m.media-amazon.com/images/I/31W+5LyX4QL.jpg;https://m.media-amazon.com/images/I/31nCcqd3ilL.jpg</t>
  </si>
  <si>
    <t>Ultra-soft fabric is breathable &amp; comfortable. 4-way stretch material moves better in every direction. Adjustable side seams for a customized fit &amp; look. Built-in thumbholes help keep sleeves in place. Raglan sleeves. 82% Polyester/18% Elastane.</t>
  </si>
  <si>
    <t>0196883898640</t>
  </si>
  <si>
    <t>https://m.media-amazon.com/images/I/31j3uZkJIXL.jpg;https://m.media-amazon.com/images/I/31f+zLp2blL.jpg;https://m.media-amazon.com/images/I/31XMsgD6A6L.jpg;https://m.media-amazon.com/images/I/31wEWuNrpIL.jpg;https://m.media-amazon.com/images/I/31PeNTlyn3L.jpg;https://m.media-amazon.com/images/I/311kRVbVSnL.jpg</t>
  </si>
  <si>
    <t>0196883898626</t>
  </si>
  <si>
    <t>0196884792152</t>
  </si>
  <si>
    <t>https://m.media-amazon.com/images/I/31YVCGr2tGL.jpg</t>
  </si>
  <si>
    <t>0196883898619</t>
  </si>
  <si>
    <t>https://m.media-amazon.com/images/I/51+qjtW5O+L.jpg;https://m.media-amazon.com/images/I/51FkdtLZ0bL.jpg;https://m.media-amazon.com/images/I/51ZZHzLg1eL.jpg;https://m.media-amazon.com/images/I/51FIkibMdYL.jpg;https://m.media-amazon.com/images/I/51XSGjWD0UL.jpg;https://m.media-amazon.com/images/I/612-A4dvcSL.jpg</t>
  </si>
  <si>
    <t>0196884792145</t>
  </si>
  <si>
    <t>https://m.media-amazon.com/images/I/412yB8SWZQL.jpg;https://m.media-amazon.com/images/I/41VzKjrkC+L.jpg;https://m.media-amazon.com/images/I/51tMwTRZnzL.jpg;https://m.media-amazon.com/images/I/41m+xlA9WgL.jpg;https://m.media-amazon.com/images/I/41viA0SbmcL.jpg;https://m.media-amazon.com/images/I/31nCcqd3ilL.jpg</t>
  </si>
  <si>
    <t>0196883898602</t>
  </si>
  <si>
    <t>0196884792169</t>
  </si>
  <si>
    <t>1379179</t>
  </si>
  <si>
    <t>0196883898633</t>
  </si>
  <si>
    <t>https://m.media-amazon.com/images/I/419cR5SUgML.jpg</t>
  </si>
  <si>
    <t>0196884792176</t>
  </si>
  <si>
    <t>https://m.media-amazon.com/images/I/31YVCGr2tGL.jpg;https://m.media-amazon.com/images/I/410oS3J5CzL.jpg;https://m.media-amazon.com/images/I/51-e7kbeaWL.jpg;https://m.media-amazon.com/images/I/41yzLlIvuWL.jpg;https://m.media-amazon.com/images/I/41Qr+fhvy4L.jpg;https://m.media-amazon.com/images/I/31vsQUB2kcL.jpg</t>
  </si>
  <si>
    <t>0196883898657</t>
  </si>
  <si>
    <t>https://m.media-amazon.com/images/I/717gTeimOUL.jpg;https://m.media-amazon.com/images/I/71YrdNAz46L.jpg</t>
  </si>
  <si>
    <t>0196884792183</t>
  </si>
  <si>
    <t>https://m.media-amazon.com/images/I/31hVuWoOwRL.jpg;https://m.media-amazon.com/images/I/410oS3J5CzL.jpg;https://m.media-amazon.com/images/I/51-e7kbeaWL.jpg;https://m.media-amazon.com/images/I/41yzLlIvuWL.jpg;https://m.media-amazon.com/images/I/41Qr+fhvy4L.jpg;https://m.media-amazon.com/images/I/31vsQUB2kcL.jpg</t>
  </si>
  <si>
    <t>B0CW6JN96K</t>
  </si>
  <si>
    <t>0196601688645</t>
  </si>
  <si>
    <t>https://m.media-amazon.com/images/I/71xbWyI64UL.jpg;https://m.media-amazon.com/images/I/51va9BBqA7L.jpg</t>
  </si>
  <si>
    <t>Fuller cut for complete comfort. Fabric is quick-drying, ultra-soft &amp; has a more natural feel. Moisture Transport System wicks sweat &amp; dries fast</t>
  </si>
  <si>
    <t>0196601688546</t>
  </si>
  <si>
    <t>https://m.media-amazon.com/images/I/71c0nuAipWL.jpg;https://m.media-amazon.com/images/I/51va9BBqA7L.jpg</t>
  </si>
  <si>
    <t>0196601688638</t>
  </si>
  <si>
    <t>0196601688539</t>
  </si>
  <si>
    <t>https://m.media-amazon.com/images/I/41r-fPgItnL.jpg;https://m.media-amazon.com/images/I/51va9BBqA7L.jpg</t>
  </si>
  <si>
    <t>0196601688522</t>
  </si>
  <si>
    <t>0196601688621</t>
  </si>
  <si>
    <t>0196601688553</t>
  </si>
  <si>
    <t>0196601688652</t>
  </si>
  <si>
    <t>https://m.media-amazon.com/images/I/41nvAFwXq7L.jpg;https://m.media-amazon.com/images/I/51va9BBqA7L.jpg</t>
  </si>
  <si>
    <t>B0D1R7VM2G</t>
  </si>
  <si>
    <t>0193671455955</t>
  </si>
  <si>
    <t>Small (30-32)</t>
  </si>
  <si>
    <t>https://m.media-amazon.com/images/I/71fyWt86cgL.jpg;https://m.media-amazon.com/images/I/81-OTBWgM0L.jpg;https://m.media-amazon.com/images/I/71uG9UbnRcL.jpg;https://m.media-amazon.com/images/I/81Tamkx5ISL.jpg;https://m.media-amazon.com/images/I/71X7UYra3tL.jpg;https://m.media-amazon.com/images/I/71v9kfBlg-L.jpg</t>
  </si>
  <si>
    <t>Through its dedication to innovation and continual customer contact, Williamson-Dickie Mfg. Co. has transformed itself from a small bib overall company to the largest workwear manufacturer in the world. Sold in every state in the U.S., Dickies now offers a broad spectrum of work garments ranging from work pants and work shirts to denim jeans and women's workwear. Since its beginnings in 1922, every piece of Dickies workwear has stood for the quality, toughness, and pride that embodies the spirit of the American worker. From its early years, Williamson-Dickie enjoyed steady growth, slowed only by the Great Depression, and during World War II, the company was sequestered to produce millions of uniforms for the nation's armed forces. In converting to civilian production after the war, C. Don Williamson began a strategy of geographical expansion and established new production facilities, warehouses, and sales territories throughout the United States. In the late 1950's, Williamson-Dickie became an international company by expanding into the European market and the Middle Eastern market - where Texas oilmen introduced the Dickies brand to Middle Eastern oil fields.</t>
  </si>
  <si>
    <t>0193671455962</t>
  </si>
  <si>
    <t>Medium (34-36)</t>
  </si>
  <si>
    <t>0196885365720</t>
  </si>
  <si>
    <t>https://m.media-amazon.com/images/I/31JcYfDGefL.jpg;https://m.media-amazon.com/images/I/31+zUGfEEeL.jpg;https://m.media-amazon.com/images/I/31OB7fVMihL.jpg;https://m.media-amazon.com/images/I/41SBjHg-KaL.jpg;https://m.media-amazon.com/images/I/31xgJt448gL.jpg;https://m.media-amazon.com/images/I/31a9jpmdKyL.jpg</t>
  </si>
  <si>
    <t>0196953850042</t>
  </si>
  <si>
    <t>https://m.media-amazon.com/images/I/51H6SCvL3BL.jpg;https://m.media-amazon.com/images/I/516cSoFbO-L.jpg;https://m.media-amazon.com/images/I/81ILV8b7SfL.jpg;https://m.media-amazon.com/images/I/715nWszmPdL.jpg</t>
  </si>
  <si>
    <t>Going from the office to the trailhead is easy with our Voyager Flex button-up shirt, built for comfort during the day and adventure in the evenings. Moisture-wicking fabric and odor control technology keep you feeling fresh on multi-day hikes or excursions.
Models shown are 6'0\ to 6'2\" tall, wearing size M/32x32. "</t>
  </si>
  <si>
    <t>0196953395598</t>
  </si>
  <si>
    <t>https://m.media-amazon.com/images/I/312y+PbUThL.jpg;https://m.media-amazon.com/images/I/312+4AvT6DL.jpg;https://m.media-amazon.com/images/I/519-eWq-LSL.jpg;https://m.media-amazon.com/images/I/519me9vY-tL.jpg</t>
  </si>
  <si>
    <t>WFM14082P-Z329-16W</t>
  </si>
  <si>
    <t>0193769945719</t>
  </si>
  <si>
    <t>https://m.media-amazon.com/images/I/71BCDfLcg8L.jpg;https://m.media-amazon.com/images/I/71BQYjJx+wL.jpg;https://m.media-amazon.com/images/I/7133B75ShAL.jpg;https://m.media-amazon.com/images/I/912GP9ByZQL.jpg;https://m.media-amazon.com/images/I/81OFkNEW+wL.jpg;https://m.media-amazon.com/images/I/91zwRbzduML.jpg;https://m.media-amazon.com/images/I/81d0rmn-IhL.jpg;https://m.media-amazon.com/images/I/91jkKS24vrL.jpg;https://m.media-amazon.com/images/I/91cWqc6hVWL.jpg</t>
  </si>
  <si>
    <t>WFM13879P-Z466-16</t>
  </si>
  <si>
    <t>0193769896073</t>
  </si>
  <si>
    <t>https://m.media-amazon.com/images/I/71Jk8t2twCL.jpg;https://m.media-amazon.com/images/I/81AFzkaWh3L.jpg;https://m.media-amazon.com/images/I/81dDWy8hrYL.jpg;https://m.media-amazon.com/images/I/91ZwvmYEtzL.jpg;https://m.media-amazon.com/images/I/81icbjfU+aL.jpg;https://m.media-amazon.com/images/I/81tr8VT5BpL.jpg;https://m.media-amazon.com/images/I/81y6C+8wnJL.jpg;https://m.media-amazon.com/images/I/91hsqPSVA1L.jpg</t>
  </si>
  <si>
    <t>WFM11553P-Z513-16</t>
  </si>
  <si>
    <t>0193769467174</t>
  </si>
  <si>
    <t>WFM14082P-Z329-18W</t>
  </si>
  <si>
    <t>0193769945726</t>
  </si>
  <si>
    <t>WFM13879P-Z466-18</t>
  </si>
  <si>
    <t>0193769896080</t>
  </si>
  <si>
    <t>WFM11553P-Z513-18</t>
  </si>
  <si>
    <t>0193769467181</t>
  </si>
  <si>
    <t>WFM14082P-Z329-20W</t>
  </si>
  <si>
    <t>0193769945733</t>
  </si>
  <si>
    <t>WFM13879P-Z466-20</t>
  </si>
  <si>
    <t>0193769896097</t>
  </si>
  <si>
    <t>https://m.media-amazon.com/images/I/41GBbk3zBsL.jpg;https://m.media-amazon.com/images/I/41VwIW4t3kL.jpg;https://m.media-amazon.com/images/I/41P9JYmLvNL.jpg;https://m.media-amazon.com/images/I/51lThP3t4cL.jpg;https://m.media-amazon.com/images/I/51DIYxvsVgL.jpg;https://m.media-amazon.com/images/I/51CU4fubCjL.jpg;https://m.media-amazon.com/images/I/51YDtt8OtFL.jpg;https://m.media-amazon.com/images/I/51+RhcihYML.jpg</t>
  </si>
  <si>
    <t>WFM11553P-Z513-20</t>
  </si>
  <si>
    <t>0193769467198</t>
  </si>
  <si>
    <t>WFM14082P-Z329-22W</t>
  </si>
  <si>
    <t>0193769945740</t>
  </si>
  <si>
    <t>WFM11553P-Z513-22</t>
  </si>
  <si>
    <t>0193769467204</t>
  </si>
  <si>
    <t>WFM13879P-Z466-22</t>
  </si>
  <si>
    <t>0193769896103</t>
  </si>
  <si>
    <t>WFM13879P-Z466-24</t>
  </si>
  <si>
    <t>0193769896110</t>
  </si>
  <si>
    <t>WFM11553P-Z513-24</t>
  </si>
  <si>
    <t>0193769467211</t>
  </si>
  <si>
    <t>B0CH53JXYN</t>
  </si>
  <si>
    <t>IR2802_425</t>
  </si>
  <si>
    <t>0197235139107</t>
  </si>
  <si>
    <t>https://m.media-amazon.com/images/I/51GVwejXHcL.jpg;https://m.media-amazon.com/images/I/41ev6i5LADL.jpg;https://m.media-amazon.com/images/I/41JpxNi0bsL.jpg;https://m.media-amazon.com/images/I/51KmxrnAnIL.jpg;https://m.media-amazon.com/images/I/41oyTyoSjDL.jpg</t>
  </si>
  <si>
    <t>0884920369603</t>
  </si>
  <si>
    <t>https://m.media-amazon.com/images/I/A1lFZhJ7fsL.jpg;https://m.media-amazon.com/images/I/81CGUDDo6KL.jpg;https://m.media-amazon.com/images/I/81KD8hb5tqL.jpg;https://m.media-amazon.com/images/I/81WGK3h9WZL.jpg;https://m.media-amazon.com/images/I/81+LaA2J2JL.jpg;https://m.media-amazon.com/images/I/81S-jkIBOaL.jpg;https://m.media-amazon.com/images/I/41dFi4SJhCL.jpg</t>
  </si>
  <si>
    <t>The Disney Encanto Sparkling Jewelry kit from Cra-Z-Art is the perfect DIY jewelry kit for all Encanto fans. Design and create your own Encanto jewelry with Mirabel, Luisa, and Isabela charms and a variety of bright colored beads and mixed embroidery threads. Use the alphabet beads to display any words you want on your bracelets! Use included Encanto themed design mat to help create your colorful bracelets – use the clip to keep your colorful threads in place as your knot or braid then tie your bracelet off and wear it! The kit comes with everything you need to make 25 fun Encanto bracelets, including 6 charms, chain bracelet, wax cords, embroidery thread, elastic cording, hundreds of beads, 3 tassles beads, 4 pom beads, design mat, and instructions. Perfect for children ages 6 and up.</t>
  </si>
  <si>
    <t>0195745969412</t>
  </si>
  <si>
    <t>https://m.media-amazon.com/images/I/31oooSWWu0L.jpg;https://m.media-amazon.com/images/I/41LLn4UTbnL.jpg;https://m.media-amazon.com/images/I/41wJ2oRYHNL.jpg;https://m.media-amazon.com/images/I/41VykG41OiL.jpg;https://m.media-amazon.com/images/I/51fjsz-sVwL.jpg;https://m.media-amazon.com/images/I/61hPM4tWH8L.jpg</t>
  </si>
  <si>
    <t>This colorful t-shirt shows a rocket powered by the BOOST cushioning you'll find in your 3-Stripes running shoes. While adidas tech supports the way you train, the soft cotton fabric of this tee will raise your relaxation game. Our cotton products support more sustainable cotton farming.</t>
  </si>
  <si>
    <t>B09DTY5TJX</t>
  </si>
  <si>
    <t>NS715TR-275-34W x 32L</t>
  </si>
  <si>
    <t>0191057843808</t>
  </si>
  <si>
    <t>ATG by Wrangler</t>
  </si>
  <si>
    <t>34W x 32L</t>
  </si>
  <si>
    <t>https://m.media-amazon.com/images/I/61q38dYm7tL.jpg;https://m.media-amazon.com/images/I/61WGT1rzQrL.jpg;https://m.media-amazon.com/images/I/81i1pr-Y8KL.jpg;https://m.media-amazon.com/images/I/710wma1-ufL.jpg;https://m.media-amazon.com/images/I/71416JHmQSL.jpg;https://m.media-amazon.com/images/I/81Os4ibuy8L.jpg;https://m.media-amazon.com/images/I/41R9aLpU5pL.jpg;https://m.media-amazon.com/images/I/41AGtpkBOTL.jpg</t>
  </si>
  <si>
    <t>ALL TERRAIN GEAR: You’re ready to take on your next great adventure, which is why ATG x Wrangler brings you performance outdoor apparel that’s got you covered. Nature doesn’t hold back, which is why we’ve designed a full collection of tops, pants, shorts, outerwear and more with stretch, moisture-wicking fabric that helps block the sun with UPF protection and keep you dry for comfort that doesn’t quit. The line is packed with innovative outdoor tech features like sunglasses cleaner at the hem of all shirts, durable, reinforced pants with reinforced and lightweight, breathable fabrics. Whether you’re camping at your favorite site, hiking a new trail or even just exploring your own backyard, we’ve got the gear you need. Any destination. Any terrain. Anytime.</t>
  </si>
  <si>
    <t>NS715TR-275-34W x 34L</t>
  </si>
  <si>
    <t>0191057843815</t>
  </si>
  <si>
    <t>34W x 34L</t>
  </si>
  <si>
    <t>NS715TR-275-36W x 30L</t>
  </si>
  <si>
    <t>0191057843822</t>
  </si>
  <si>
    <t>36W x 30L</t>
  </si>
  <si>
    <t>NS715TR-275-36W x 32L</t>
  </si>
  <si>
    <t>0191057843839</t>
  </si>
  <si>
    <t>NS715CV-1-36W x 32L</t>
  </si>
  <si>
    <t>0191057849640</t>
  </si>
  <si>
    <t>https://m.media-amazon.com/images/I/31w0sZjuVUL.jpg;https://m.media-amazon.com/images/I/31ri-hRtUaL.jpg;https://m.media-amazon.com/images/I/31mPbLdfOIL.jpg;https://m.media-amazon.com/images/I/31hHpazn8uL.jpg;https://m.media-amazon.com/images/I/41+a0obqvsL.jpg;https://m.media-amazon.com/images/I/41CqYormv0L.jpg</t>
  </si>
  <si>
    <t>NS715TR-275-36W x 34L</t>
  </si>
  <si>
    <t>0191057843846</t>
  </si>
  <si>
    <t>NS715CV-1-36W x 34L</t>
  </si>
  <si>
    <t>0191057849657</t>
  </si>
  <si>
    <t>https://m.media-amazon.com/images/I/61zwIQmNeDL.jpg;https://m.media-amazon.com/images/I/617y1NgqHJL.jpg;https://m.media-amazon.com/images/I/71kbGkxO-tL.jpg;https://m.media-amazon.com/images/I/81i1pr-Y8KL.jpg;https://m.media-amazon.com/images/I/41+a0obqvsL.jpg;https://m.media-amazon.com/images/I/41CqYormv0L.jpg</t>
  </si>
  <si>
    <t>NS715TR-275-38W x 30L</t>
  </si>
  <si>
    <t>0191057843853</t>
  </si>
  <si>
    <t>NS715CV-1-38W x 32L</t>
  </si>
  <si>
    <t>0191057849671</t>
  </si>
  <si>
    <t>NS715TR-275-38W x 32L</t>
  </si>
  <si>
    <t>0191057843860</t>
  </si>
  <si>
    <t>NS715TR-275-38W x 34L</t>
  </si>
  <si>
    <t>0191057843877</t>
  </si>
  <si>
    <t>NS715TR-275-40W x 32L</t>
  </si>
  <si>
    <t>0191057843891</t>
  </si>
  <si>
    <t>NS715TR-275-40W x 34L</t>
  </si>
  <si>
    <t>0191057843907</t>
  </si>
  <si>
    <t>40W x 34L</t>
  </si>
  <si>
    <t>NS715TR-275-42W x 32L</t>
  </si>
  <si>
    <t>0191057843921</t>
  </si>
  <si>
    <t>NS715TR-275-42W x 34L</t>
  </si>
  <si>
    <t>0191057843938</t>
  </si>
  <si>
    <t>B0BKTXXLZ9</t>
  </si>
  <si>
    <t>0195979586591</t>
  </si>
  <si>
    <t>https://m.media-amazon.com/images/I/41wV5Z8eFAL.jpg;https://m.media-amazon.com/images/I/41VYzV5WReL.jpg;https://m.media-amazon.com/images/I/412TFoAyzDL.jpg;https://m.media-amazon.com/images/I/41gvzgj35eL.jpg;https://m.media-amazon.com/images/I/411PCzEIR7L.jpg;https://m.media-amazon.com/images/I/51FYYq4BWPL.jpg;https://m.media-amazon.com/images/I/41Muk75I8RL.jpg;https://m.media-amazon.com/images/I/415LHn5ckHL.jpg;https://m.media-amazon.com/images/I/41buYNFQpmL.jpg</t>
  </si>
  <si>
    <t>An ultralight insulated jacket that can be worn on its own or layered under a coat. It’s water-resistant and warm, with a thermal-reflective lining that helps hold heat. To ensure a comfortable fit, elastic binding at the collar, hem, and cuffs keeps the wind out. Columbia offers this jacket in multiple colors and sizes. Extended sizing available. Regular fit.</t>
  </si>
  <si>
    <t>0195979586447</t>
  </si>
  <si>
    <t>https://m.media-amazon.com/images/I/41bMSOLZacL.jpg;https://m.media-amazon.com/images/I/41yTGE9q5cL.jpg;https://m.media-amazon.com/images/I/41oVVzGbm0L.jpg;https://m.media-amazon.com/images/I/41UBXlkKCCL.jpg;https://m.media-amazon.com/images/I/41+2TWSYamL.jpg;https://m.media-amazon.com/images/I/51FYYq4BWPL.jpg;https://m.media-amazon.com/images/I/41qz8YZJqCL.jpg;https://m.media-amazon.com/images/I/41qRFyiC1IL.jpg;https://m.media-amazon.com/images/I/417tDbk-9DL.jpg</t>
  </si>
  <si>
    <t>0195979586737</t>
  </si>
  <si>
    <t>https://m.media-amazon.com/images/I/41pIc-DQZPL.jpg;https://m.media-amazon.com/images/I/41PSW5vShLL.jpg;https://m.media-amazon.com/images/I/41gYRC02DWL.jpg;https://m.media-amazon.com/images/I/415a7zvfl5L.jpg;https://m.media-amazon.com/images/I/41JIsI7cXEL.jpg;https://m.media-amazon.com/images/I/51FYYq4BWPL.jpg;https://m.media-amazon.com/images/I/41p3MoqGcEL.jpg;https://m.media-amazon.com/images/I/41gkSm9a5VL.jpg;https://m.media-amazon.com/images/I/31E5pf6N7uL.jpg</t>
  </si>
  <si>
    <t>0195979586416</t>
  </si>
  <si>
    <t>https://m.media-amazon.com/images/I/61NhrS6EgTL.jpg;https://m.media-amazon.com/images/I/61GPJJtBdiL.jpg;https://m.media-amazon.com/images/I/61bev5y4+wL.jpg;https://m.media-amazon.com/images/I/717yY9+VgSL.jpg;https://m.media-amazon.com/images/I/713C58s9W3L.jpg;https://m.media-amazon.com/images/I/71t3GjDijoL.jpg;https://m.media-amazon.com/images/I/71ZCBVAsgyL.jpg;https://m.media-amazon.com/images/I/71stO5KZAuL.jpg;https://m.media-amazon.com/images/I/61hlhbSsBAL.jpg</t>
  </si>
  <si>
    <t>0195979586706</t>
  </si>
  <si>
    <t>0195979586751</t>
  </si>
  <si>
    <t>https://m.media-amazon.com/images/I/618wIILjxAL.jpg;https://m.media-amazon.com/images/I/61Ef1vkDTbL.jpg;https://m.media-amazon.com/images/I/61pDLPTsNzL.jpg;https://m.media-amazon.com/images/I/61-sWhMSdAL.jpg;https://m.media-amazon.com/images/I/71kJoH9eToL.jpg;https://m.media-amazon.com/images/I/71t3GjDijoL.jpg;https://m.media-amazon.com/images/I/611N4hjohSL.jpg;https://m.media-amazon.com/images/I/61vwEP72+ZL.jpg;https://m.media-amazon.com/images/I/61m9DMD0elL.jpg</t>
  </si>
  <si>
    <t>0195979586423</t>
  </si>
  <si>
    <t>0195979586577</t>
  </si>
  <si>
    <t>https://m.media-amazon.com/images/I/61Q-L6G0+6L.jpg;https://m.media-amazon.com/images/I/61IpLKW2mPL.jpg;https://m.media-amazon.com/images/I/61ju2LE94YL.jpg;https://m.media-amazon.com/images/I/61Khd0XOURL.jpg;https://m.media-amazon.com/images/I/71wkw4hgV+L.jpg;https://m.media-amazon.com/images/I/71t3GjDijoL.jpg;https://m.media-amazon.com/images/I/61TBUD0CDoL.jpg;https://m.media-amazon.com/images/I/61UlpPdV5oL.jpg;https://m.media-amazon.com/images/I/61ieaGmq+vL.jpg</t>
  </si>
  <si>
    <t>0195979586713</t>
  </si>
  <si>
    <t>0195979586454</t>
  </si>
  <si>
    <t>0195979586584</t>
  </si>
  <si>
    <t>0195979586744</t>
  </si>
  <si>
    <t>0195979586720</t>
  </si>
  <si>
    <t>0195979586560</t>
  </si>
  <si>
    <t>0195979586430</t>
  </si>
  <si>
    <t>B09JLD1KT2</t>
  </si>
  <si>
    <t>0196039125828</t>
  </si>
  <si>
    <t>https://m.media-amazon.com/images/I/81rHuYVFQeL.jpg;https://m.media-amazon.com/images/I/81mh6tfqkQL.jpg</t>
  </si>
  <si>
    <t>Armour Fleece® is light, breathable &amp; stretchy for warmth that still lets you move . Soft inner layer traps heat to keep you warm &amp; comfortable . ¼ zip front makes for easy layering. 100% Polyester.</t>
  </si>
  <si>
    <t>0196039126689</t>
  </si>
  <si>
    <t>https://m.media-amazon.com/images/I/31HTmaiBKdL.jpg;https://m.media-amazon.com/images/I/31z49cJm1NL.jpg;https://m.media-amazon.com/images/I/31Zzk3yxECL.jpg;https://m.media-amazon.com/images/I/313DOxjqy4L.jpg;https://m.media-amazon.com/images/I/41+FtnpKa0L.jpg;https://m.media-amazon.com/images/I/41U9kKFpSJL.jpg</t>
  </si>
  <si>
    <t>0196039125873</t>
  </si>
  <si>
    <t>B07XFGJVQL</t>
  </si>
  <si>
    <t>0196601688218</t>
  </si>
  <si>
    <t>https://m.media-amazon.com/images/I/71b8Mnbr7RL.jpg;https://m.media-amazon.com/images/I/41tMPwjyMCL.jpg;https://m.media-amazon.com/images/I/51va9BBqA7L.jpg</t>
  </si>
  <si>
    <t>986407E-X58</t>
  </si>
  <si>
    <t>0825663856081</t>
  </si>
  <si>
    <t>https://m.media-amazon.com/images/I/615r-0eeAiL.jpg</t>
  </si>
  <si>
    <t>0825663856098</t>
  </si>
  <si>
    <t>0825663856104</t>
  </si>
  <si>
    <t>0825663856111</t>
  </si>
  <si>
    <t>B0BMXMDS6Z</t>
  </si>
  <si>
    <t>HK8302/HK9302-BLK</t>
  </si>
  <si>
    <t>0627574753103</t>
  </si>
  <si>
    <t>2 Little Kid</t>
  </si>
  <si>
    <t>https://m.media-amazon.com/images/I/71y3JHLNz3L.jpg;https://m.media-amazon.com/images/I/71AkyrtgVyL.jpg;https://m.media-amazon.com/images/I/71MwxtavRRL.jpg;https://m.media-amazon.com/images/I/61qgAbmkX3L.jpg;https://m.media-amazon.com/images/I/71+FEJIq-DL.jpg;https://m.media-amazon.com/images/I/61WXoce-mQL.jpg</t>
  </si>
  <si>
    <t>B0D5Y6ZRDD</t>
  </si>
  <si>
    <t>0195861970507</t>
  </si>
  <si>
    <t>https://m.media-amazon.com/images/I/71eU5xacGwL.jpg;https://m.media-amazon.com/images/I/712fRLEVKKL.jpg;https://m.media-amazon.com/images/I/81TgR3SxLkL.jpg</t>
  </si>
  <si>
    <t>Mix and match for a variety of sleep options, making bedtime extra easy! Carter's cotton PJs are not flame resistant. But don't worry! They're designed with a snug and stretchy fit for safety and comfort.</t>
  </si>
  <si>
    <t>B0CY1C8KW2</t>
  </si>
  <si>
    <t>0195861970514</t>
  </si>
  <si>
    <t>Crafted in soft cotton, this PJ set has your little one ready for bed in no time. Carter's cotton PJs are not flame resistant. But don't worry! They're designed with a snug and stretchy fit for safety and comfort.</t>
  </si>
  <si>
    <t>0195861970521</t>
  </si>
  <si>
    <t>24 Months</t>
  </si>
  <si>
    <t>https://m.media-amazon.com/images/I/51BvuCpbMsL.jpg;https://m.media-amazon.com/images/I/51BOZpyS2GL.jpg;https://m.media-amazon.com/images/I/51cMy7C-SaL.jpg</t>
  </si>
  <si>
    <t>0889260944596</t>
  </si>
  <si>
    <t>https://m.media-amazon.com/images/I/612pqAHLP1L.jpg;https://m.media-amazon.com/images/I/4130EFv0+PL.jpg</t>
  </si>
  <si>
    <t>B0BRBFBRD4</t>
  </si>
  <si>
    <t>0195979365011</t>
  </si>
  <si>
    <t>https://m.media-amazon.com/images/I/71lOuJ9+iZL.jpg;https://m.media-amazon.com/images/I/7103FSjPYiL.jpg;https://m.media-amazon.com/images/I/714NvZpdI0L.jpg;https://m.media-amazon.com/images/I/81Jy3jodpfL.jpg;https://m.media-amazon.com/images/I/71KezXR5v-L.jpg;https://m.media-amazon.com/images/I/716IvCc75IL.jpg;https://m.media-amazon.com/images/I/71nMEcULAaL.jpg;https://m.media-amazon.com/images/I/71PHbeHm0tL.jpg</t>
  </si>
  <si>
    <t>0195979365219</t>
  </si>
  <si>
    <t>https://m.media-amazon.com/images/I/81+S0DJRHvL.jpg;https://m.media-amazon.com/images/I/81FWSxQUz6L.jpg;https://m.media-amazon.com/images/I/81L-qF-ZgBL.jpg;https://m.media-amazon.com/images/I/81hzvJwD+qL.jpg</t>
  </si>
  <si>
    <t>0195979365233</t>
  </si>
  <si>
    <t>0195979828585</t>
  </si>
  <si>
    <t>https://m.media-amazon.com/images/I/41PNiJ-6KXL.jpg;https://m.media-amazon.com/images/I/41iAo6mt9iL.jpg;https://m.media-amazon.com/images/I/41ogZ7L6gqL.jpg;https://m.media-amazon.com/images/I/511Q+lC7tFL.jpg;https://m.media-amazon.com/images/I/417ixWBWccL.jpg;https://m.media-amazon.com/images/I/51Ff-NBDvaL.jpg;https://m.media-amazon.com/images/I/51QH1Gpf8rL.jpg;https://m.media-amazon.com/images/I/41pX4V6SRBL.jpg</t>
  </si>
  <si>
    <t>0195979365004</t>
  </si>
  <si>
    <t>0195979365134</t>
  </si>
  <si>
    <t>https://m.media-amazon.com/images/I/71kcnDDePIL.jpg;https://m.media-amazon.com/images/I/71xKx5xiC6L.jpg;https://m.media-amazon.com/images/I/61ZoWaWSkYL.jpg;https://m.media-amazon.com/images/I/71XG1Cvm7jL.jpg;https://m.media-amazon.com/images/I/7180Ih-XgLL.jpg;https://m.media-amazon.com/images/I/716IvCc75IL.jpg;https://m.media-amazon.com/images/I/71N5Z1eSqnL.jpg;https://m.media-amazon.com/images/I/71e2Q5TUIUL.jpg;https://m.media-amazon.com/images/I/61Fg9knm2SL.jpg</t>
  </si>
  <si>
    <t>0195979365202</t>
  </si>
  <si>
    <t>0195979364991</t>
  </si>
  <si>
    <t>0195979828578</t>
  </si>
  <si>
    <t>https://m.media-amazon.com/images/I/71aN2w77+wL.jpg;https://m.media-amazon.com/images/I/71v7yC-cIPL.jpg;https://m.media-amazon.com/images/I/71Q9o+cIP1L.jpg;https://m.media-amazon.com/images/I/81DVxA+4JjL.jpg;https://m.media-amazon.com/images/I/71BABY+NfOL.jpg;https://m.media-amazon.com/images/I/716IvCc75IL.jpg;https://m.media-amazon.com/images/I/81OMY1p+xaL.jpg;https://m.media-amazon.com/images/I/719SbnuG3WL.jpg</t>
  </si>
  <si>
    <t>0195979365103</t>
  </si>
  <si>
    <t>https://m.media-amazon.com/images/I/41JwRU7ZXqL.jpg;https://m.media-amazon.com/images/I/41xqsbXkcwL.jpg;https://m.media-amazon.com/images/I/41juTi8CUCL.jpg;https://m.media-amazon.com/images/I/51Lil+h+SKL.jpg;https://m.media-amazon.com/images/I/41HOrK6tGWL.jpg;https://m.media-amazon.com/images/I/51Ff-NBDvaL.jpg;https://m.media-amazon.com/images/I/518CY3NCxRL.jpg;https://m.media-amazon.com/images/I/41qcNDaa+zL.jpg;https://m.media-amazon.com/images/I/419V1s3JWAL.jpg</t>
  </si>
  <si>
    <t>0195979364960</t>
  </si>
  <si>
    <t>0195979828608</t>
  </si>
  <si>
    <t>0195979365080</t>
  </si>
  <si>
    <t>0195979365257</t>
  </si>
  <si>
    <t>0195979828622</t>
  </si>
  <si>
    <t>0195979365097</t>
  </si>
  <si>
    <t>0195979365240</t>
  </si>
  <si>
    <t>0195979364977</t>
  </si>
  <si>
    <t>B0B5J21B6W</t>
  </si>
  <si>
    <t>0195861934325</t>
  </si>
  <si>
    <t>little planet by carter's</t>
  </si>
  <si>
    <t>https://m.media-amazon.com/images/I/414ZuSCqOtL.jpg;https://m.media-amazon.com/images/I/41lq9IbVlKL.jpg;https://m.media-amazon.com/images/I/51B8AhSr+LL.jpg;https://m.media-amazon.com/images/I/51WRpEr4iVL.jpg;https://m.media-amazon.com/images/I/41bgzcuDMGL.jpg;https://m.media-amazon.com/images/I/41DRLpS+M1L.jpg</t>
  </si>
  <si>
    <t>A sweet and soft take on classic overalls. Made with a chunky sweater knit design and a kanga pocket big enough to fit all of baby's essentials, this full-length piece is great for coming back to over and over again, and it's perfect for passing on from baby to baby. Crafted in the purest organic fabrics and sustainable materials, Little Planet is a return to simplicity. Thoughtful essentials and timeless pieces to gift or to hold on to.</t>
  </si>
  <si>
    <t>0195861934318</t>
  </si>
  <si>
    <t>0195861934332</t>
  </si>
  <si>
    <t>https://m.media-amazon.com/images/I/91A2vvptx+L.jpg;https://m.media-amazon.com/images/I/91d5Cow0quL.jpg;https://m.media-amazon.com/images/I/81gMJZ5g2JL.jpg;https://m.media-amazon.com/images/I/51WRpEr4iVL.jpg;https://m.media-amazon.com/images/I/41bgzcuDMGL.jpg;https://m.media-amazon.com/images/I/41DRLpS+M1L.jpg</t>
  </si>
  <si>
    <t>0195861934288</t>
  </si>
  <si>
    <t>0195861934295</t>
  </si>
  <si>
    <t>0195861934301</t>
  </si>
  <si>
    <t>B0CMM2VQMK</t>
  </si>
  <si>
    <t>GT23H-granite heather-Medium</t>
  </si>
  <si>
    <t>0192503120450</t>
  </si>
  <si>
    <t>https://m.media-amazon.com/images/I/41HSuW7KbUL.jpg;https://m.media-amazon.com/images/I/41R029YgaPL.jpg;https://m.media-amazon.com/images/I/31zlE1v6wjL.jpg;https://m.media-amazon.com/images/I/41V4rchNbvL.jpg;https://m.media-amazon.com/images/I/31xnXqTBeBL.jpg;https://m.media-amazon.com/images/I/31uAsvCRfsL.jpg;https://m.media-amazon.com/images/I/41-0LbKVksL.jpg</t>
  </si>
  <si>
    <t>Champion mens T-shirt, Classic Tee for Men, Men's T-shirt, Men's Tee (Reg. Or Big &amp; Tall)</t>
  </si>
  <si>
    <t>B0C8FKKDD3</t>
  </si>
  <si>
    <t>0196524362523</t>
  </si>
  <si>
    <t>https://m.media-amazon.com/images/I/71fURWv2c8L.jpg;https://m.media-amazon.com/images/I/71GDnZT29uL.jpg;https://m.media-amazon.com/images/I/81xCaU1It-L.jpg</t>
  </si>
  <si>
    <t>Think of this modern slim as not-so-skinny skinny jeans. (If you want the style, but not the feeling, this is a great alternative.) With a streamlined fit that’s narrow through the seat and thigh, our 511™ Slim is perfectly calibrated to look good with everything—without looking like you’re trying too hard.</t>
  </si>
  <si>
    <t>0196524359585</t>
  </si>
  <si>
    <t>https://m.media-amazon.com/images/I/51rftVmY9GL.jpg;https://m.media-amazon.com/images/I/61I9Lp7dLLL.jpg;https://m.media-amazon.com/images/I/31nCF7dTOoL.jpg;https://m.media-amazon.com/images/I/51IkcKxkAZL.jpg</t>
  </si>
  <si>
    <t>0196524362530</t>
  </si>
  <si>
    <t>0196524359592</t>
  </si>
  <si>
    <t>045115525-400</t>
  </si>
  <si>
    <t>0196524362585</t>
  </si>
  <si>
    <t>0196524359646</t>
  </si>
  <si>
    <t>0196524362592</t>
  </si>
  <si>
    <t>29W x 32L</t>
  </si>
  <si>
    <t>0196524359653</t>
  </si>
  <si>
    <t>0196524363575</t>
  </si>
  <si>
    <t>https://m.media-amazon.com/images/I/619AYdV637L.jpg;https://m.media-amazon.com/images/I/51lV5zUueQL.jpg;https://m.media-amazon.com/images/I/51vuDAYTnvL.jpg</t>
  </si>
  <si>
    <t>0196524359707</t>
  </si>
  <si>
    <t>30W x 30L</t>
  </si>
  <si>
    <t>https://m.media-amazon.com/images/I/61-CfF23ByL.jpg;https://m.media-amazon.com/images/I/31c3D3MMGYL.jpg;https://m.media-amazon.com/images/I/31nCF7dTOoL.jpg;https://m.media-amazon.com/images/I/51IkcKxkAZL.jpg</t>
  </si>
  <si>
    <t>0196524359714</t>
  </si>
  <si>
    <t>0196524359769</t>
  </si>
  <si>
    <t>0196524359776</t>
  </si>
  <si>
    <t>0196524359837</t>
  </si>
  <si>
    <t>0196524240371</t>
  </si>
  <si>
    <t>A modern slim with room to move, the 511 Slim Fit Stretch Jeans are a classic since right now. These jeans sit below the waist with a slim fit from hip to ankle. Made with +Levi's Flex: Our most advanced stretch technology engineered to deliver maximum flex and optimum comfort. Cut close to the body, the 511 Slim is a great alternative to the skinny jeans.</t>
  </si>
  <si>
    <t>0196524359851</t>
  </si>
  <si>
    <t>32W x 36L</t>
  </si>
  <si>
    <t>0196524366712</t>
  </si>
  <si>
    <t>https://m.media-amazon.com/images/I/61GdZ5KyXZL.jpg;https://m.media-amazon.com/images/I/31UqDhk1aVL.jpg;https://m.media-amazon.com/images/I/419SVPbq3AL.jpg;https://m.media-amazon.com/images/I/51XB-eUIkfL.jpg;https://m.media-amazon.com/images/I/51IkcKxkAZL.jpg</t>
  </si>
  <si>
    <t>0196524359912</t>
  </si>
  <si>
    <t>33W x 32L</t>
  </si>
  <si>
    <t>0196524362868</t>
  </si>
  <si>
    <t>https://m.media-amazon.com/images/I/61-CfF23ByL.jpg;https://m.media-amazon.com/images/I/31Viy8A6j2L.jpg;https://m.media-amazon.com/images/I/41yljYJeS1L.jpg</t>
  </si>
  <si>
    <t>0196524359929</t>
  </si>
  <si>
    <t>0196524359950</t>
  </si>
  <si>
    <t>34W x 29L</t>
  </si>
  <si>
    <t>0196524359967</t>
  </si>
  <si>
    <t>34W x 30L</t>
  </si>
  <si>
    <t>0196524359974</t>
  </si>
  <si>
    <t>0196524362936</t>
  </si>
  <si>
    <t>34W x 36L</t>
  </si>
  <si>
    <t>0196524359998</t>
  </si>
  <si>
    <t>0196524366859</t>
  </si>
  <si>
    <t>https://m.media-amazon.com/images/I/61-CfF23ByL.jpg;https://m.media-amazon.com/images/I/31UqDhk1aVL.jpg;https://m.media-amazon.com/images/I/419SVPbq3AL.jpg;https://m.media-amazon.com/images/I/51XB-eUIkfL.jpg;https://m.media-amazon.com/images/I/51IkcKxkAZL.jpg</t>
  </si>
  <si>
    <t>0196524360093</t>
  </si>
  <si>
    <t>0196524360109</t>
  </si>
  <si>
    <t>0196524363049</t>
  </si>
  <si>
    <t>0196524360116</t>
  </si>
  <si>
    <t>36W x 36L</t>
  </si>
  <si>
    <t>0196524363056</t>
  </si>
  <si>
    <t>0196524366972</t>
  </si>
  <si>
    <t>https://m.media-amazon.com/images/I/41vPi27qDEL.jpg;https://m.media-amazon.com/images/I/31UqDhk1aVL.jpg;https://m.media-amazon.com/images/I/419SVPbq3AL.jpg;https://m.media-amazon.com/images/I/51XB-eUIkfL.jpg;https://m.media-amazon.com/images/I/51IkcKxkAZL.jpg</t>
  </si>
  <si>
    <t>0196524360154</t>
  </si>
  <si>
    <t>045115530-401</t>
  </si>
  <si>
    <t>0196524367023</t>
  </si>
  <si>
    <t>0196524360178</t>
  </si>
  <si>
    <t>0196524367030</t>
  </si>
  <si>
    <t>0196099252625</t>
  </si>
  <si>
    <t>https://m.media-amazon.com/images/I/61-CfF23ByL.jpg;https://m.media-amazon.com/images/I/31TT-FqIVaL.jpg;https://m.media-amazon.com/images/I/31gDcXEQqyL.jpg</t>
  </si>
  <si>
    <t>0196524360215</t>
  </si>
  <si>
    <t>0196524363155</t>
  </si>
  <si>
    <t>0196524367078</t>
  </si>
  <si>
    <t>0196524360222</t>
  </si>
  <si>
    <t>0196524367085</t>
  </si>
  <si>
    <t>0196099252649</t>
  </si>
  <si>
    <t>Product Description      A modern slim with room to move, the 511 Slim Fit Stretch Jeans are a classic since right now. These jeans sit below the waist with a slim fit from hip to ankle. Made with +Levi's Flex: Our most advanced stretch technology engineered to deliver maximum flex and optimum comfort. Cut close to the body, the 511 Slim is a great alternative to the skinny jeans.      Amazon.com      More than 140 years after inventing the blue jean, one thing is clear: Levi’s clothes are loved by the people who wear them - from presidents to movie stars, farmers to fashion icons, entrepreneurs to the everyman. 'Live in Levi’s’ asserts with confidence and pride that Levi’s clothes are indeed for everybody who’s not just anybody.</t>
  </si>
  <si>
    <t>0196524360277</t>
  </si>
  <si>
    <t>0196524367139</t>
  </si>
  <si>
    <t>0196524363223</t>
  </si>
  <si>
    <t>0196524360284</t>
  </si>
  <si>
    <t>0196524367146</t>
  </si>
  <si>
    <t>0195861471745</t>
  </si>
  <si>
    <t>https://m.media-amazon.com/images/I/81gg-IvDZKL.jpg</t>
  </si>
  <si>
    <t>0195861471707</t>
  </si>
  <si>
    <t>0195861471721</t>
  </si>
  <si>
    <t>https://m.media-amazon.com/images/I/41-lGOJoE3L.jpg</t>
  </si>
  <si>
    <t>0195861471677</t>
  </si>
  <si>
    <t>https://m.media-amazon.com/images/I/41oOKO6Zz4L.jpg</t>
  </si>
  <si>
    <t>The perfect outfit, this set is complete with a long-sleeve bodysuit, pull-on pants and a fleece vest to complete the look.</t>
  </si>
  <si>
    <t>0196739106295</t>
  </si>
  <si>
    <t>https://m.media-amazon.com/images/I/31xy6fVpGwL.jpg;https://m.media-amazon.com/images/I/31l86WIZF3L.jpg;https://m.media-amazon.com/images/I/3174jl9ADoL.jpg;https://m.media-amazon.com/images/I/31nD31JZJSL.jpg;https://m.media-amazon.com/images/I/31yNBGU5ICL.jpg</t>
  </si>
  <si>
    <t>0196739106219</t>
  </si>
  <si>
    <t>https://m.media-amazon.com/images/I/51YVxcZ5egL.jpg;https://m.media-amazon.com/images/I/61U+fUrtxPL.jpg;https://m.media-amazon.com/images/I/61B4Iz0Wk4L.jpg;https://m.media-amazon.com/images/I/61A+P2QrEHL.jpg;https://m.media-amazon.com/images/I/71Uqw+ukrpL.jpg</t>
  </si>
  <si>
    <t>0196739106301</t>
  </si>
  <si>
    <t>0196739106226</t>
  </si>
  <si>
    <t>https://m.media-amazon.com/images/I/41e3ZNk+NjL.jpg;https://m.media-amazon.com/images/I/71oaDhFmBmL.jpg;https://m.media-amazon.com/images/I/61PPswhRGbL.jpg;https://m.media-amazon.com/images/I/717maCxU7kL.jpg</t>
  </si>
  <si>
    <t>0196739106264</t>
  </si>
  <si>
    <t>B0CZRX3KK8</t>
  </si>
  <si>
    <t>0196470720446</t>
  </si>
  <si>
    <t>https://m.media-amazon.com/images/I/71v4PjC6o2L.jpg;https://m.media-amazon.com/images/I/91hK0e3Yf4L.jpg;https://m.media-amazon.com/images/I/91eoZyUKS-L.jpg;https://m.media-amazon.com/images/I/51AsSmYIdlL.jpg;https://m.media-amazon.com/images/I/41FS+FcwRdL.jpg</t>
  </si>
  <si>
    <t>Add some flair to your look on the course. This women's golf polo shirt has a mock neck and a vibrant floral print. It's made of soft, stretchy fabric so you can move freely with every swing, no matter the distance. Made with a series of recycled materials, and at least 70% recycled content, this product represents just one of our solutions to help end plastic waste.</t>
  </si>
  <si>
    <t>0196470719419</t>
  </si>
  <si>
    <t>https://m.media-amazon.com/images/I/71Ck15uAm5L.jpg;https://m.media-amazon.com/images/I/91dqDiettHL.jpg;https://m.media-amazon.com/images/I/91E441QfSRL.jpg;https://m.media-amazon.com/images/I/51EXTmg1bRL.jpg;https://m.media-amazon.com/images/I/515KXg1LB2L.jpg</t>
  </si>
  <si>
    <t>0196470717583</t>
  </si>
  <si>
    <t>https://m.media-amazon.com/images/I/71lnLXnlklL.jpg;https://m.media-amazon.com/images/I/81LgE3nUZ1L.jpg;https://m.media-amazon.com/images/I/814UdAvqoiL.jpg;https://m.media-amazon.com/images/I/41WaP+vq4FL.jpg;https://m.media-amazon.com/images/I/41951ELk5XL.jpg</t>
  </si>
  <si>
    <t>0196470720385</t>
  </si>
  <si>
    <t>0196470719440</t>
  </si>
  <si>
    <t>0196470717620</t>
  </si>
  <si>
    <t>0196470720484</t>
  </si>
  <si>
    <t>0196470719396</t>
  </si>
  <si>
    <t>0196470717521</t>
  </si>
  <si>
    <t>0196470719488</t>
  </si>
  <si>
    <t>https://m.media-amazon.com/images/I/41OyBQdt-eL.jpg;https://m.media-amazon.com/images/I/412oYYvN0vL.jpg;https://m.media-amazon.com/images/I/419vkl7VJRL.jpg;https://m.media-amazon.com/images/I/51EXTmg1bRL.jpg;https://m.media-amazon.com/images/I/515KXg1LB2L.jpg</t>
  </si>
  <si>
    <t>0196470720507</t>
  </si>
  <si>
    <t>0196470717514</t>
  </si>
  <si>
    <t>0196470719464</t>
  </si>
  <si>
    <t>Exported on 2024-06-03 12:13 (UTC) by ✜ Keepa.com</t>
  </si>
  <si>
    <t>0196470720422</t>
  </si>
  <si>
    <t>0196470717613</t>
  </si>
  <si>
    <t>B0BPZ1BR1D</t>
  </si>
  <si>
    <t>0195142150338</t>
  </si>
  <si>
    <t>https://m.media-amazon.com/images/I/41FLjfWF1LL.jpg;https://m.media-amazon.com/images/I/41YFFNXmGGL.jpg;https://m.media-amazon.com/images/I/413AD8MwPvL.jpg;https://m.media-amazon.com/images/I/41Nyui6j3XL.jpg;https://m.media-amazon.com/images/I/41KZvp0ff+L.jpg;https://m.media-amazon.com/images/I/41Vs8nuCUaL.jpg;https://m.media-amazon.com/images/I/51pYF5MTCcL.jpg</t>
  </si>
  <si>
    <t>Favorite Character
Get your fashion on with these high top lace up athletic sneakers featuring Lilo and Stitch. Each shoe has a vibrant and colorful design with your favorite Lilo and Stitch characters.
Lilo and Stitch
A tale of a young girl's close encounter with the galaxy's most wanted extraterrestrial. Lilo is a lonely Hawaiian girl who adopts a small ugly "dog," whom she names Stitch. Stitch would be the perfect pet if he weren't in reality a genetic experiment who has escaped from an alien planet and crash-landed on Earth.
Officially Licensed Disney Lilo and Stitch Merchandise
Officially licensed merch and high-quality design on these Disney Lilo and Stitch sneakers make it the perfect gift for kids everywhere. Whether it be for and achievement, Halloween, Christmas or a birthday.
Athletic Fashion Shoes
Classic high top lace up style with side gore panels that stretch for easy on/off. A durable canvas upper and rubber outsole ensures long-lasting wear for any adventure. The shoes feature a cushioned footbed which offers added comfort and absorbs shock for a smooth stride.
Girls Sizes
Our stylish and versatile girls' shoes, available in sizes 11, 12, 13, 1, 2, and 3. These shoes are perfect for the young fashionista who wants to stay comfortable while still looking great. Crafted with high-quality materials, these shoes are both durable and fashionable. The sturdy sole offers excellent traction, making them ideal for both indoor and outdoor wear. The sleek design features a secure lace-up closure, ensuring a snug and comfortable fit.
Lilo and Stitch High Top Sneakers For Kids
Officially Licensed
100% Cotton
Machine Washable
Sizes: 11, 12, 13, 1, 2 and 3</t>
  </si>
  <si>
    <t>0195861998563</t>
  </si>
  <si>
    <t>https://m.media-amazon.com/images/I/41mrwbQ6X7L.jpg;https://m.media-amazon.com/images/I/51bxuErqn7L.jpg;https://m.media-amazon.com/images/I/41dwsSt4X0L.jpg;https://m.media-amazon.com/images/I/41mrwbQ6X7L.jpg</t>
  </si>
  <si>
    <t>Stock up on three cute pieces in one, this set is complete with a zip-up vest, long-sleeve bodysuit and a pair of easy on pants.</t>
  </si>
  <si>
    <t>0195861998532</t>
  </si>
  <si>
    <t>0195861998525</t>
  </si>
  <si>
    <t>0195861998549</t>
  </si>
  <si>
    <t>https://m.media-amazon.com/images/I/71zsCRLwokL.jpg;https://m.media-amazon.com/images/I/71sEOE8hfTL.jpg;https://m.media-amazon.com/images/I/71DMW0xQOdL.jpg</t>
  </si>
  <si>
    <t>0195861998495</t>
  </si>
  <si>
    <t>0195861998501</t>
  </si>
  <si>
    <t>0195861998518</t>
  </si>
  <si>
    <t>https://m.media-amazon.com/images/I/71fmnNmtmiL.jpg;https://m.media-amazon.com/images/I/81ZwTN4RHuL.jpg;https://m.media-amazon.com/images/I/813lLR7AJsL.jpg</t>
  </si>
  <si>
    <t>0196953317996</t>
  </si>
  <si>
    <t>https://m.media-amazon.com/images/I/51vIYax7mdL.jpg;https://m.media-amazon.com/images/I/51WH66lZAAL.jpg;https://m.media-amazon.com/images/I/51f1TAO9opL.jpg</t>
  </si>
  <si>
    <t>0196953009006</t>
  </si>
  <si>
    <t>https://m.media-amazon.com/images/I/51YDQSV7eqL.jpg;https://m.media-amazon.com/images/I/41DQPTD3OsL.jpg;https://m.media-amazon.com/images/I/51poCn0DcOL.jpg</t>
  </si>
  <si>
    <t>Lightweight, waterproof, and packable, this insulated parka is built to handle all kinds of weather. The recycled shell is fully seam-sealed for complete protection and keeps you warm with cozy polyfill insulation. You'll also have plenty of pockets for all your essentials.
Models shown are 5'9\ to 5'11\" tall, wearing size S/4 or L/12. "</t>
  </si>
  <si>
    <t>0196953861369</t>
  </si>
  <si>
    <t>https://m.media-amazon.com/images/I/51n7FW-uv1L.jpg;https://m.media-amazon.com/images/I/51Eq0VcRQJL.jpg;https://m.media-amazon.com/images/I/51poCn0DcOL.jpg</t>
  </si>
  <si>
    <t>B0CP8L1V1N</t>
  </si>
  <si>
    <t>0196953626746</t>
  </si>
  <si>
    <t>https://m.media-amazon.com/images/I/3168T02b+YL.jpg;https://m.media-amazon.com/images/I/3117dC5budL.jpg;https://m.media-amazon.com/images/I/41Ae6QkcMPL.jpg</t>
  </si>
  <si>
    <t>0196953558078</t>
  </si>
  <si>
    <t>Lightweight, waterproof, and packable, this insulated parka is built to handle all kinds of weather. The recycled shell is fully seam-sealed for complete protection and keeps you warm with cozy polyfill insulation. You'll also have plenty of pockets for all your essentials.</t>
  </si>
  <si>
    <t>0196953766923</t>
  </si>
  <si>
    <t>https://m.media-amazon.com/images/I/31TOKw1AR4L.jpg;https://m.media-amazon.com/images/I/31xCpcTNOeL.jpg;https://m.media-amazon.com/images/I/41X-HdbuUoL.jpg</t>
  </si>
  <si>
    <t>0196953594823</t>
  </si>
  <si>
    <t>0196953821738</t>
  </si>
  <si>
    <t>https://m.media-amazon.com/images/I/31TOKw1AR4L.jpg;https://m.media-amazon.com/images/I/31xCpcTNOeL.jpg;https://m.media-amazon.com/images/I/41Ae6QkcMPL.jpg</t>
  </si>
  <si>
    <t>0196953782114</t>
  </si>
  <si>
    <t>0196953333576</t>
  </si>
  <si>
    <t>0196953231339</t>
  </si>
  <si>
    <t>0196953473258</t>
  </si>
  <si>
    <t>B0CZTN3VYV</t>
  </si>
  <si>
    <t>0195744580816</t>
  </si>
  <si>
    <t>https://m.media-amazon.com/images/I/51NylyoLxBL.jpg;https://m.media-amazon.com/images/I/510A1R9W7TL.jpg;https://m.media-amazon.com/images/I/51qDb8ZssQL.jpg;https://m.media-amazon.com/images/I/51y3I3uhpUL.jpg;https://m.media-amazon.com/images/I/51Z-mGisijL.jpg;https://m.media-amazon.com/images/I/61z84ltp9JL.jpg;https://m.media-amazon.com/images/I/616muC+qjlL.jpg;https://m.media-amazon.com/images/I/61SE3DDKfsL.jpg;https://m.media-amazon.com/images/I/31SypcneGhL.jpg</t>
  </si>
  <si>
    <t>Show off your love for the game in this men's adidas golf polo shirt. The soft piqué fabric is made for full-round comfort. The allover print keeps your look on point. Made with 100% recycled materials, this product represents just one of our solutions to help end plastic waste.</t>
  </si>
  <si>
    <t>0195744599740</t>
  </si>
  <si>
    <t>https://m.media-amazon.com/images/I/31IB5dXCrNL.jpg;https://m.media-amazon.com/images/I/31i02OTiS+L.jpg;https://m.media-amazon.com/images/I/31yLkV-gWPL.jpg;https://m.media-amazon.com/images/I/31GEHbedwIL.jpg;https://m.media-amazon.com/images/I/31AIo7KeQUL.jpg;https://m.media-amazon.com/images/I/31IB5dXCrNL.jpg;https://m.media-amazon.com/images/I/31YyKDXiuaL.jpg;https://m.media-amazon.com/images/I/411yGSSQz3L.jpg;https://m.media-amazon.com/images/I/31UfvCx5-0L.jpg</t>
  </si>
  <si>
    <t>0195744583398</t>
  </si>
  <si>
    <t>0195744599719</t>
  </si>
  <si>
    <t>B0CVNHDKMR</t>
  </si>
  <si>
    <t>0195861935353</t>
  </si>
  <si>
    <t>https://m.media-amazon.com/images/I/41dIQJwvucL.jpg;https://m.media-amazon.com/images/I/41JDxpiHhWL.jpg;https://m.media-amazon.com/images/I/51qNX2VWRLL.jpg;https://m.media-amazon.com/images/I/51O0Ivtk3rL.jpg;https://m.media-amazon.com/images/I/41bgzcuDMGL.jpg;https://m.media-amazon.com/images/I/41DRLpS+M1L.jpg</t>
  </si>
  <si>
    <t>0195861935322</t>
  </si>
  <si>
    <t>6M</t>
  </si>
  <si>
    <t>https://m.media-amazon.com/images/I/91EN7wIx8KL.jpg;https://m.media-amazon.com/images/I/91jq-5K05rL.jpg;https://m.media-amazon.com/images/I/91ptLLoxxZL.jpg;https://m.media-amazon.com/images/I/81AdyhyiEAL.jpg;https://m.media-amazon.com/images/I/41bgzcuDMGL.jpg;https://m.media-amazon.com/images/I/41DRLpS+M1L.jpg</t>
  </si>
  <si>
    <t>0195861935315</t>
  </si>
  <si>
    <t>3M</t>
  </si>
  <si>
    <t>0195861935339</t>
  </si>
  <si>
    <t>9M</t>
  </si>
  <si>
    <t>0195861935285</t>
  </si>
  <si>
    <t>12M</t>
  </si>
  <si>
    <t>0195861935292</t>
  </si>
  <si>
    <t>18M</t>
  </si>
  <si>
    <t>0195861935308</t>
  </si>
  <si>
    <t>24M</t>
  </si>
  <si>
    <t>B0D4FV1J5J</t>
  </si>
  <si>
    <t>0197016117324</t>
  </si>
  <si>
    <t>https://m.media-amazon.com/images/I/71p55FxD7kL.jpg</t>
  </si>
  <si>
    <t>0092298953885, 0092298953311</t>
  </si>
  <si>
    <t>eKids</t>
  </si>
  <si>
    <t>https://m.media-amazon.com/images/I/711DDPEHPXL.jpg;https://m.media-amazon.com/images/I/71ml7GTcRVL.jpg;https://m.media-amazon.com/images/I/71mV73SGV+L.jpg;https://m.media-amazon.com/images/I/81KXKbI-tAL.jpg;https://m.media-amazon.com/images/I/81IGRDD5MyL.jpg;https://m.media-amazon.com/images/I/81lmeajhoQL.jpg;https://m.media-amazon.com/images/I/81Ca5KHXYBL.jpg</t>
  </si>
  <si>
    <t>The Encanto Karaoke Microphone lets you put on an amazing performance anywhere you go! Use the real working microphone to amplify your voice as you sing along to an extended clip of a karaoke version of the hit song ‘We Don’t Talk About Bruno’, while flashing lights add to the fun. With a cute and kid-friendly design, any fan of Encanto toys can be a karaoke superstar! Karaoke toy microphone for kids Encanto graphics inspired by the popular Disney film Includes extended clip of the song ‘We Don’t Talk About Bruno’ Easy to use, kid-friendly controls for ages 3 and up Portable, durable, and lightweight material</t>
  </si>
  <si>
    <t>B071L5PDBC</t>
  </si>
  <si>
    <t>0195719109516</t>
  </si>
  <si>
    <t>https://m.media-amazon.com/images/I/41qavUN-AVL.jpg;https://m.media-amazon.com/images/I/31tO-7KeN3L.jpg;https://m.media-amazon.com/images/I/31Jk8c8EYmL.jpg;https://m.media-amazon.com/images/I/31gx4og4z0L.jpg;https://m.media-amazon.com/images/I/31Mv0YLrlJL.jpg;https://m.media-amazon.com/images/I/31F5WNZ244L.jpg;https://m.media-amazon.com/images/I/41UlIkVy2CL.jpg;https://m.media-amazon.com/images/I/31k9pwHFwtL.jpg</t>
  </si>
  <si>
    <t>A wear-everywhere wardrobe essential, the koola short is a must-have in any girl’s shoe arsenal. The timeless icon sports a soft suede upper, a combination sheepskin and faux fur interior, cushioning sockliner, and durable eva sole that’ll take you from weekday to weekend in a snap.</t>
  </si>
  <si>
    <t>0195719109523</t>
  </si>
  <si>
    <t>0810009207696, 0810009204121</t>
  </si>
  <si>
    <t>Sunny Days Entertainment</t>
  </si>
  <si>
    <t>https://m.media-amazon.com/images/I/51qrhoIB0UL.jpg;https://m.media-amazon.com/images/I/51S-aWD2GmS.jpg;https://m.media-amazon.com/images/I/51iEIRTwxWL.jpg;https://m.media-amazon.com/images/I/51XdTpSDD2L.jpg;https://m.media-amazon.com/images/I/51bzAWnwYQS.jpg;https://m.media-amazon.com/images/I/51kN9qdE8rS.jpg</t>
  </si>
  <si>
    <t>Kids can get all the learning and playful action of a ball pit right in the middle of their living room with the CoComelon Bath Time Sing Along Play Center. This adorable ball pit is inspired by the nursery rhymes from the educational YouTube series, CoComelon! Toddlers will have a blast playing, exploring and inventing their own games with JJ and TomTom. It comes with 20 soft air-filled balls that look like sudsy bubbles, perfectly sized for little hands to grasp, catch, and throw while improving hand eye coordination. Press on the iconic logo music box and sing along to the full version of the “Bath Song”. Parents will love the simple pop-up design for hassle free assembly, easy storage and on-the-go fun. No need for tools! Just slide in the sturdy poles and you’re ready to go. Play, sing and pretend with CoComelon!</t>
  </si>
  <si>
    <t>B0D3TYYKD2</t>
  </si>
  <si>
    <t>78C2690-281-44X30</t>
  </si>
  <si>
    <t>0719220937712</t>
  </si>
  <si>
    <t>https://m.media-amazon.com/images/I/31dFaqtjx4L.jpg;https://m.media-amazon.com/images/I/310XCkzpEpL.jpg;https://m.media-amazon.com/images/I/5146l7gzUkL.jpg;https://m.media-amazon.com/images/I/41ZCfZBAWCL.jpg;https://m.media-amazon.com/images/I/51tT+KCbbxL.jpg;https://m.media-amazon.com/images/I/41ixWdOBvAL.jpg</t>
  </si>
  <si>
    <t>Tommy Hilfiger Big Tall Stretch Cotton Chino Pants In Classic Fit Mens</t>
  </si>
  <si>
    <t>78C2690-877-44X30</t>
  </si>
  <si>
    <t>0719220938917</t>
  </si>
  <si>
    <t>https://m.media-amazon.com/images/I/31dW7chR0+L.jpg;https://m.media-amazon.com/images/I/31f9SafKxyL.jpg;https://m.media-amazon.com/images/I/31G7CVLiX0L.jpg;https://m.media-amazon.com/images/I/414H44TiyHL.jpg;https://m.media-amazon.com/images/I/41RJd2JxAdL.jpg;https://m.media-amazon.com/images/I/411Nj68t2FL.jpg</t>
  </si>
  <si>
    <t>78C2690-877-44X32</t>
  </si>
  <si>
    <t>0719220939037</t>
  </si>
  <si>
    <t>https://m.media-amazon.com/images/I/51fTJUrKhEL.jpg;https://m.media-amazon.com/images/I/71lcqBVC+RL.jpg;https://m.media-amazon.com/images/I/91eQYxUuWbL.jpg;https://m.media-amazon.com/images/I/414H44TiyHL.jpg;https://m.media-amazon.com/images/I/41RJd2JxAdL.jpg;https://m.media-amazon.com/images/I/411Nj68t2FL.jpg</t>
  </si>
  <si>
    <t>78C2690-281-44X32</t>
  </si>
  <si>
    <t>0719220937835</t>
  </si>
  <si>
    <t>78C2690-281-46X32</t>
  </si>
  <si>
    <t>0719220937842</t>
  </si>
  <si>
    <t>Amazon offer shipping is delayed</t>
  </si>
  <si>
    <t>46W x 32L</t>
  </si>
  <si>
    <t>https://m.media-amazon.com/images/I/710ElbkmaPL.jpg;https://m.media-amazon.com/images/I/713iIseyYvL.jpg;https://m.media-amazon.com/images/I/714vC4zO4ZL.jpg;https://m.media-amazon.com/images/I/71sq5ENwg4L.jpg;https://m.media-amazon.com/images/I/81J+JD6VhaL.jpg;https://m.media-amazon.com/images/I/71w97MQTIhL.jpg</t>
  </si>
  <si>
    <t>78C2690-877-48X32</t>
  </si>
  <si>
    <t>0719220939051</t>
  </si>
  <si>
    <t>48W x 32L</t>
  </si>
  <si>
    <t>Tommy Hilfiger Big and Tall chinos for men featuring a classic fit and stretch construction. These classic fit chinos for men are tailored to hit below the waist and are fitted straight from the thigh to ankle. Mens chinos with mid-rise waist. Button closure with fly zip. Side slant pockets with buttoned slit back pockets. Inseam: 30/32/34/36/38; Leg opening 21.5"; Front rise 14.5". Create a polished, tailored look with these Tommy Hilfiger men's chinos. These Big and Tall chino pants for men will keep you feeling comfortable and casual.</t>
  </si>
  <si>
    <t>78C2690-281-48X32</t>
  </si>
  <si>
    <t>0719220937859</t>
  </si>
  <si>
    <t>1054001-020-XXL</t>
  </si>
  <si>
    <t>0690222116391</t>
  </si>
  <si>
    <t>Louis Garneau</t>
  </si>
  <si>
    <t>https://m.media-amazon.com/images/I/71DfhyvUOCL.jpg;https://m.media-amazon.com/images/I/71ewsrqT+7L.jpg;https://m.media-amazon.com/images/I/71J7Ja0Xg-L.jpg;https://m.media-amazon.com/images/I/71FCU259RDL.jpg;https://m.media-amazon.com/images/I/818BLMdWpBL.jpg</t>
  </si>
  <si>
    <t>Meet the perfect mountain biking short. The Leeway 2 Shorts are made of breathable, stretch fabric with a water repellant treatment and moisture-wicking mesh. It features a removable chamois and removable inner shorts, 2 zippered pockets, a seamless inner leg and an adjustable waist. With a 12 inch inseam, they hit just the right spot and provide UPF/SPF 50 protection.</t>
  </si>
  <si>
    <t>B0C5XQ1J4T</t>
  </si>
  <si>
    <t>0196884848347</t>
  </si>
  <si>
    <t>https://m.media-amazon.com/images/I/71xrqLzRnFL.jpg;https://m.media-amazon.com/images/I/71xVyeAZwhL.jpg</t>
  </si>
  <si>
    <t>Ultra-soft fabric is breathable &amp; comfortable. 4-way stretch material moves better in every direction. Wide, flat waistband.</t>
  </si>
  <si>
    <t>0196884247829</t>
  </si>
  <si>
    <t>https://m.media-amazon.com/images/I/41E579Q2gBL.jpg;https://m.media-amazon.com/images/I/41hIKir7fGL.jpg;https://m.media-amazon.com/images/I/512eTD9Z73L.jpg;https://m.media-amazon.com/images/I/41mxqlm5n6L.jpg;https://m.media-amazon.com/images/I/41Us1vI17AL.jpg;https://m.media-amazon.com/images/I/313VQ0YY-7L.jpg</t>
  </si>
  <si>
    <t>B0CLQ6S9WJ</t>
  </si>
  <si>
    <t>0196953833205</t>
  </si>
  <si>
    <t>https://m.media-amazon.com/images/I/61YQR7rlDyL.jpg;https://m.media-amazon.com/images/I/61tTAYAyCNL.jpg;https://m.media-amazon.com/images/I/81rzdqhZ0uL.jpg</t>
  </si>
  <si>
    <t>The softest, most durable flannel you'll find anywhere. Developed exclusively for us, with 2-ply cotton brushed on both sides for softness and specially treated to prevent shrinking and fading.</t>
  </si>
  <si>
    <t>0196953615504</t>
  </si>
  <si>
    <t>https://m.media-amazon.com/images/I/61agR9WYZCL.jpg;https://m.media-amazon.com/images/I/61ogjCzmW7L.jpg;https://m.media-amazon.com/images/I/81rzdqhZ0uL.jpg</t>
  </si>
  <si>
    <t>0196953892011</t>
  </si>
  <si>
    <t>https://m.media-amazon.com/images/I/612g-ILoGDL.jpg;https://m.media-amazon.com/images/I/61Db4h2g2jL.jpg;https://m.media-amazon.com/images/I/81rzdqhZ0uL.jpg</t>
  </si>
  <si>
    <t>0196953609510</t>
  </si>
  <si>
    <t>https://m.media-amazon.com/images/I/61pBUUKb2iL.jpg;https://m.media-amazon.com/images/I/616FXNFZ98L.jpg;https://m.media-amazon.com/images/I/81rzdqhZ0uL.jpg</t>
  </si>
  <si>
    <t>0196953658136</t>
  </si>
  <si>
    <t>https://m.media-amazon.com/images/I/51qXP9HC3UL.jpg;https://m.media-amazon.com/images/I/51tI+qzVfZL.jpg;https://m.media-amazon.com/images/I/61D8V+ZFCZL.jpg</t>
  </si>
  <si>
    <t>0196953494468</t>
  </si>
  <si>
    <t>0196953295720</t>
  </si>
  <si>
    <t>0196953647628</t>
  </si>
  <si>
    <t>0196953417818</t>
  </si>
  <si>
    <t>0196953752612</t>
  </si>
  <si>
    <t>0196953834714</t>
  </si>
  <si>
    <t>0196953963872</t>
  </si>
  <si>
    <t>0196953751462</t>
  </si>
  <si>
    <t>0196953475450</t>
  </si>
  <si>
    <t>https://m.media-amazon.com/images/I/61MSwdFsw2L.jpg;https://m.media-amazon.com/images/I/61Cb9U145kL.jpg;https://m.media-amazon.com/images/I/81rzdqhZ0uL.jpg</t>
  </si>
  <si>
    <t>0196327459703</t>
  </si>
  <si>
    <t>https://m.media-amazon.com/images/I/71wdhzFPNmL.jpg;https://m.media-amazon.com/images/I/81vfEmkUA9L.jpg;https://m.media-amazon.com/images/I/91ONCORH5jL.jpg;https://m.media-amazon.com/images/I/71XGEnTcqTL.jpg</t>
  </si>
  <si>
    <t>B0BSSBKGMJ</t>
  </si>
  <si>
    <t>0193671456112</t>
  </si>
  <si>
    <t>https://m.media-amazon.com/images/I/318dwTY6oWL.jpg;https://m.media-amazon.com/images/I/31BspjYDkiL.jpg;https://m.media-amazon.com/images/I/31dUctbMKpL.jpg;https://m.media-amazon.com/images/I/31FQj2JE33L.jpg;https://m.media-amazon.com/images/I/31rL-PkGuTL.jpg;https://m.media-amazon.com/images/I/41q1Q+3DscL.jpg</t>
  </si>
  <si>
    <t>The dickie's brand name is synonymous with work wear, being tough, and built to last. This belt lives up to the dickie's name and adds a bit of flair with the extra stitching.</t>
  </si>
  <si>
    <t>0193671456129</t>
  </si>
  <si>
    <t>0193671456136</t>
  </si>
  <si>
    <t>Large (38-40)</t>
  </si>
  <si>
    <t>https://m.media-amazon.com/images/I/7145VM9bueL.jpg;https://m.media-amazon.com/images/I/71vX-S0+LeL.jpg;https://m.media-amazon.com/images/I/61uC0ud9WqL.jpg;https://m.media-amazon.com/images/I/71YcZWS44uL.jpg;https://m.media-amazon.com/images/I/71p2LMcQt9L.jpg;https://m.media-amazon.com/images/I/71v9kfBlg-L.jpg</t>
  </si>
  <si>
    <t>B0C82KN7QY</t>
  </si>
  <si>
    <t>0196524173662</t>
  </si>
  <si>
    <t>https://m.media-amazon.com/images/I/71OLK980VQL.jpg;https://m.media-amazon.com/images/I/61UDd04Z7qL.jpg;https://m.media-amazon.com/images/I/91rt0tqZAhL.jpg</t>
  </si>
  <si>
    <t>It's impossible to get tired of wearing joggers when they're this comfortable. These have a simple, streamlined look that's presentable enough for the outside world. Dress them up or stay casual.</t>
  </si>
  <si>
    <t>0196524257546</t>
  </si>
  <si>
    <t>https://m.media-amazon.com/images/I/515ksf+Q76L.jpg;https://m.media-amazon.com/images/I/61I9Lp7dLLL.jpg;https://m.media-amazon.com/images/I/31Wg5-5PpuL.jpg;https://m.media-amazon.com/images/I/51IkcKxkAZL.jpg</t>
  </si>
  <si>
    <t>0196524257553</t>
  </si>
  <si>
    <t>0196524173686</t>
  </si>
  <si>
    <t>B0CZRXDL6M</t>
  </si>
  <si>
    <t>TW3901S21-100-Extra Small</t>
  </si>
  <si>
    <t>0194818206294</t>
  </si>
  <si>
    <t>https://m.media-amazon.com/images/I/31pPPTi8+qL.jpg;https://m.media-amazon.com/images/I/318f06FdYQL.jpg</t>
  </si>
  <si>
    <t>This women's golf polo is designed for year-round play. Moisture-wicking fabric keeps you feeling dry through drives and high-pressure putts with plenty of stretch for unrestricted movement. It's made from Primegreen recycled materials as part of the adidas commitment to ending plastic waste.</t>
  </si>
  <si>
    <t>B0D1YR4JR8</t>
  </si>
  <si>
    <t>0196468564397</t>
  </si>
  <si>
    <t>https://m.media-amazon.com/images/I/71iPRus4cPL.jpg;https://m.media-amazon.com/images/I/61OGHKFBoTL.jpg</t>
  </si>
  <si>
    <t>This women's adidas golf polo shirt is made of soft fabric for year-round comfort on the course. Four-way stretch offers full mobility, and the curved hem adds extra style. Made with a series of recycled materials, and at least 70% recycled content, this product represents just one of our solutions to help end plastic waste.</t>
  </si>
  <si>
    <t>TW3901S21-100-Small</t>
  </si>
  <si>
    <t>0194818206249</t>
  </si>
  <si>
    <t>https://m.media-amazon.com/images/I/714ZySTfYmL.jpg;https://m.media-amazon.com/images/I/71ZRC3FlhHL.jpg</t>
  </si>
  <si>
    <t>0195745482065</t>
  </si>
  <si>
    <t>https://m.media-amazon.com/images/I/41RJvmEzoBL.jpg;https://m.media-amazon.com/images/I/515pnCIr30L.jpg;https://m.media-amazon.com/images/I/51kuHry2BYL.jpg;https://m.media-amazon.com/images/I/51Dg-YF7XzL.jpg;https://m.media-amazon.com/images/I/41riWCSsPrL.jpg;https://m.media-amazon.com/images/I/51zlGQlN8TL.jpg;https://m.media-amazon.com/images/I/51ayfDcL+iL.jpg;https://m.media-amazon.com/images/I/51jOVz2lfPL.jpg;https://m.media-amazon.com/images/I/21G+eKqe8GL.jpg</t>
  </si>
  <si>
    <t>0196468564380</t>
  </si>
  <si>
    <t>TW3901S21-100-Medium</t>
  </si>
  <si>
    <t>0194818206171</t>
  </si>
  <si>
    <t>0196468567107</t>
  </si>
  <si>
    <t>TW3901S21-100-Large</t>
  </si>
  <si>
    <t>0194818206355</t>
  </si>
  <si>
    <t>0196468567121</t>
  </si>
  <si>
    <t>TW3901S21-100-Extra Large</t>
  </si>
  <si>
    <t>0194818206225</t>
  </si>
  <si>
    <t>0196468564359</t>
  </si>
  <si>
    <t>https://m.media-amazon.com/images/I/41ElXHxJ01L.jpg;https://m.media-amazon.com/images/I/31JkbxJKWkL.jpg</t>
  </si>
  <si>
    <t>0196468564335</t>
  </si>
  <si>
    <t>0195862120000</t>
  </si>
  <si>
    <t>Carter's 3 Piece Layette Set (Baby) - Blue Carter's is the leading brand of children's clothing, gifts and accessories in America, selling more than 10 products for every child born in the U.S. Their designs are based on a heritage of quality and innovation that has earned them the trust of generations of families.Features:Set includes 1 jersey cardigan,1 pointelle bodysuit and 1 pair of canvas pull-on pants. Button-front cardigan features floral lining and rosette applique. Nickel-free snaps on reinforced panel and flutter sleeves on bodysuit. Striped canvas pants feature no-pinch elastic waistband and faux pocket and fly details. Zoom in to see rosette applique, pockets and pointelle details.Machine wash</t>
  </si>
  <si>
    <t>0195862119974</t>
  </si>
  <si>
    <t>https://m.media-amazon.com/images/I/81CR62diXrL.jpg</t>
  </si>
  <si>
    <t>0195862119967</t>
  </si>
  <si>
    <t>https://m.media-amazon.com/images/I/71n1HQvBG6L.jpg</t>
  </si>
  <si>
    <t>0195862119981</t>
  </si>
  <si>
    <t>0195862119936</t>
  </si>
  <si>
    <t>0195862119943</t>
  </si>
  <si>
    <t>0195862116157</t>
  </si>
  <si>
    <t>https://m.media-amazon.com/images/I/817KlrgrX5L.jpg</t>
  </si>
  <si>
    <t>Crafted in cozy fleece with a button-up design, this cardigan pairs with a short-sleeve bodysuit and a pair of easy on leggings.</t>
  </si>
  <si>
    <t>0195862116126</t>
  </si>
  <si>
    <t>https://m.media-amazon.com/images/I/41bEgGz5lBL.jpg</t>
  </si>
  <si>
    <t>0195862116119</t>
  </si>
  <si>
    <t>0195862116133</t>
  </si>
  <si>
    <t>0195862116089</t>
  </si>
  <si>
    <t>https://m.media-amazon.com/images/I/71tcXn3QZXL.jpg</t>
  </si>
  <si>
    <t>0195862116096</t>
  </si>
  <si>
    <t>https://m.media-amazon.com/images/I/415H-M6rUUL.jpg</t>
  </si>
  <si>
    <t>0195862116102</t>
  </si>
  <si>
    <t>B0CFSW9ZZT</t>
  </si>
  <si>
    <t>0196978548122</t>
  </si>
  <si>
    <t>https://m.media-amazon.com/images/I/61IPIdN6K7L.jpg;https://m.media-amazon.com/images/I/61sE1Sf+LYL.jpg</t>
  </si>
  <si>
    <t>The Levi's Mens Classic Worker has the look you love with added features to make your work day worry-free, like a slightly roomier cut and reinforced side hem gussets for durability. Button-up collared shirt with button-through flap chest pockets and shirttail hem. Full-length sleeves with button cuffs. 90% cotton, 10% hemp. Machine wash, tumble dry.</t>
  </si>
  <si>
    <t>0196978549143</t>
  </si>
  <si>
    <t>0196978357519</t>
  </si>
  <si>
    <t>0196978357113</t>
  </si>
  <si>
    <t>https://m.media-amazon.com/images/I/51mbliMUrDL.jpg;https://m.media-amazon.com/images/I/517fCgy-k+L.jpg</t>
  </si>
  <si>
    <t>0196978548139</t>
  </si>
  <si>
    <t>0196978549150</t>
  </si>
  <si>
    <t>0196978405494</t>
  </si>
  <si>
    <t>0196978405098</t>
  </si>
  <si>
    <t>0196978548146</t>
  </si>
  <si>
    <t>https://m.media-amazon.com/images/I/41vrx2VKUpL.jpg;https://m.media-amazon.com/images/I/41I0pFgUxuL.jpg</t>
  </si>
  <si>
    <t>0196978549167</t>
  </si>
  <si>
    <t>B09MD3QJQ4</t>
  </si>
  <si>
    <t>1275487/1353763</t>
  </si>
  <si>
    <t>0889819035324</t>
  </si>
  <si>
    <t>https://m.media-amazon.com/images/I/51b96jDFs3L.jpg;https://m.media-amazon.com/images/I/51unF-cCx5L.jpg;https://m.media-amazon.com/images/I/41gs4l3kcnL.jpg;https://m.media-amazon.com/images/I/51UJC07Al5L.jpg;https://m.media-amazon.com/images/I/41CSnmmP-XL.jpg;https://m.media-amazon.com/images/I/61aqWq65b3L.jpg</t>
  </si>
  <si>
    <t>Super-soft UA Tech fabric delivers incredible all-day comfort.Material wicks sweat &amp; dries really fast.Lightweight stretch construction improves mobility for full range of motion.Classic racer back design.Under Armour’s mission is to make all athletes better through passion, design and the relentless pursuit of innovation.</t>
  </si>
  <si>
    <t>0195862114399</t>
  </si>
  <si>
    <t>https://m.media-amazon.com/images/I/41uW22Nf7xL.jpg</t>
  </si>
  <si>
    <t>0195862114368</t>
  </si>
  <si>
    <t>https://m.media-amazon.com/images/I/415HzifA9NL.jpg;https://m.media-amazon.com/images/I/415HzifA9NL.jpg</t>
  </si>
  <si>
    <t>0195862114351</t>
  </si>
  <si>
    <t>https://m.media-amazon.com/images/I/518S7qys1iL.jpg;https://m.media-amazon.com/images/I/41W9jSg5D0L.jpg</t>
  </si>
  <si>
    <t>0195862114375</t>
  </si>
  <si>
    <t>https://m.media-amazon.com/images/I/71yoMUiVemL.jpg;https://m.media-amazon.com/images/I/415HzifA9NL.jpg</t>
  </si>
  <si>
    <t>0195862114320</t>
  </si>
  <si>
    <t>B01J51F2SY</t>
  </si>
  <si>
    <t>0195862114337</t>
  </si>
  <si>
    <t>0195862114344</t>
  </si>
  <si>
    <t>B0CLL38WJW</t>
  </si>
  <si>
    <t>0195736951426</t>
  </si>
  <si>
    <t>(Medium) DD</t>
  </si>
  <si>
    <t>https://m.media-amazon.com/images/I/71nAjPav3SL.jpg;https://m.media-amazon.com/images/I/61XT6DHRpHL.jpg;https://m.media-amazon.com/images/I/61Xl9DaOw6L.jpg;https://m.media-amazon.com/images/I/71Xqu9u9MgL.jpg;https://m.media-amazon.com/images/I/81izOW525bL.jpg;https://m.media-amazon.com/images/I/81J5alSh+XL.jpg;https://m.media-amazon.com/images/I/71NK7pxUzPL.jpg;https://m.media-amazon.com/images/I/71V+0wYIkkL.jpg;https://m.media-amazon.com/images/I/81riIXwFGmL.jpg</t>
  </si>
  <si>
    <t>It doesn't matter how you feel when you walk into the studio. What matters is how you feel when you walk out. Push the reset button with this adidas low-impact sports bra. The strappy X-back design flashes some skin. Smooth, breathable fabric and power mesh bring in cool relief. Moisture-absorbing AEROREADY technology makes sure you stay dry and comfortable as you extend, flex and tuck.</t>
  </si>
  <si>
    <t>0195736951501</t>
  </si>
  <si>
    <t>(Large) DD</t>
  </si>
  <si>
    <t>https://m.media-amazon.com/images/I/41Z0qU5nLZL.jpg;https://m.media-amazon.com/images/I/31rAF8R07QL.jpg;https://m.media-amazon.com/images/I/31Fbsc+8ijL.jpg;https://m.media-amazon.com/images/I/31sdt6o7t4L.jpg;https://m.media-amazon.com/images/I/31IxFciIf1L.jpg;https://m.media-amazon.com/images/I/4103xE2ebpL.jpg;https://m.media-amazon.com/images/I/51xyGx-WL5L.jpg;https://m.media-amazon.com/images/I/51wgBOdG9XL.jpg;https://m.media-amazon.com/images/I/510fmVa3XmL.jpg</t>
  </si>
  <si>
    <t>0195736951518</t>
  </si>
  <si>
    <t>(X-Large) DD</t>
  </si>
  <si>
    <t>0195736951402</t>
  </si>
  <si>
    <t>0195736947672</t>
  </si>
  <si>
    <t>0195736951372</t>
  </si>
  <si>
    <t>0195736955424</t>
  </si>
  <si>
    <t>https://m.media-amazon.com/images/I/71VETayBBhL.jpg</t>
  </si>
  <si>
    <t>0195736943841</t>
  </si>
  <si>
    <t>https://m.media-amazon.com/images/I/31r06LyrHBL.jpg</t>
  </si>
  <si>
    <t>0195736943926</t>
  </si>
  <si>
    <t>0195736955288</t>
  </si>
  <si>
    <t>https://m.media-amazon.com/images/I/31Wvgw0fNnL.jpg</t>
  </si>
  <si>
    <t>0195736959125</t>
  </si>
  <si>
    <t>0195736943834</t>
  </si>
  <si>
    <t>0195736943902</t>
  </si>
  <si>
    <t>https://m.media-amazon.com/images/I/71FAdLcsVOL.jpg</t>
  </si>
  <si>
    <t>0195736955387</t>
  </si>
  <si>
    <t>0195736943827</t>
  </si>
  <si>
    <t>B0CZZ9TDQ4</t>
  </si>
  <si>
    <t>TW2MP186</t>
  </si>
  <si>
    <t>0196701939425</t>
  </si>
  <si>
    <t>https://m.media-amazon.com/images/I/71+XnzHzoTL.jpg;https://m.media-amazon.com/images/I/81uv5A0udrL.jpg;https://m.media-amazon.com/images/I/31CdWTwG02L.jpg;https://m.media-amazon.com/images/I/41uUbFbUSaL.jpg</t>
  </si>
  <si>
    <t>This Tommy Hilfiger Women's Outerwear Puffer is a faux fur essential cold weather zip up Removable fur</t>
  </si>
  <si>
    <t>0196701939302</t>
  </si>
  <si>
    <t>https://m.media-amazon.com/images/I/41alsqxEgcL.jpg;https://m.media-amazon.com/images/I/31bnyaQVa1L.jpg;https://m.media-amazon.com/images/I/41xy2S4hTjL.jpg;https://m.media-amazon.com/images/I/41RecuA98FL.jpg</t>
  </si>
  <si>
    <t>0196701939418</t>
  </si>
  <si>
    <t>https://m.media-amazon.com/images/I/41iT28JbOvL.jpg;https://m.media-amazon.com/images/I/31cIqGdY98L.jpg;https://m.media-amazon.com/images/I/31CdWTwG02L.jpg;https://m.media-amazon.com/images/I/41uUbFbUSaL.jpg</t>
  </si>
  <si>
    <t>0196701939296</t>
  </si>
  <si>
    <t>https://m.media-amazon.com/images/I/7101PW+9URL.jpg;https://m.media-amazon.com/images/I/81Qtb2MQ+5L.jpg;https://m.media-amazon.com/images/I/41xy2S4hTjL.jpg;https://m.media-amazon.com/images/I/41RecuA98FL.jpg</t>
  </si>
  <si>
    <t>0196701939289</t>
  </si>
  <si>
    <t>0196701939401</t>
  </si>
  <si>
    <t>0196701939272</t>
  </si>
  <si>
    <t>0633731135590</t>
  </si>
  <si>
    <t>https://m.media-amazon.com/images/I/71ieVTx2uuL.jpg;https://m.media-amazon.com/images/I/61ay8doJdKL.jpg;https://m.media-amazon.com/images/I/71op3o-5+IL.jpg</t>
  </si>
  <si>
    <t>1-Piece snowsuit from Nike. Nike 1-piece snowsuit 100% polyester Machine wash cold Made in Vietnam</t>
  </si>
  <si>
    <t>B07ZSZ8DPX</t>
  </si>
  <si>
    <t>0633731135743</t>
  </si>
  <si>
    <t>https://m.media-amazon.com/images/I/416ZFZlkSbL.jpg;https://m.media-amazon.com/images/I/41-jfYDkcgL.jpg;https://m.media-amazon.com/images/I/4137VwhOw1L.jpg;https://m.media-amazon.com/images/I/41TbxuoAlKL.jpg;https://m.media-amazon.com/images/I/51UdERmeIEL.jpg;https://m.media-amazon.com/images/I/51f8fb1ooBL.jpg</t>
  </si>
  <si>
    <t>B000MLAJ4E</t>
  </si>
  <si>
    <t>EK6149_NAK</t>
  </si>
  <si>
    <t>0056551488040</t>
  </si>
  <si>
    <t>https://m.media-amazon.com/images/I/41fV-hws18L.jpg;https://m.media-amazon.com/images/I/31TO59UaeTL.jpg;https://m.media-amazon.com/images/I/319GvDifktL.jpg;https://m.media-amazon.com/images/I/4186hFYzM2L.jpg;https://m.media-amazon.com/images/I/51Sav1pZs5L.jpg;https://m.media-amazon.com/images/I/41LXs0RZolL.jpg;https://m.media-amazon.com/images/I/41BmFmYvKCL.jpg</t>
  </si>
  <si>
    <t>Product Description
This rain boot from Kamik features sturdy tread and a classic look. From the Manufacturer
Let them do all the Stomp-ing around that they want in this durable rainboot from Kamik. The waterproof upper and treaded outsole means that they're staying completely dry even in the wettest of conditions. More puddle-jumping, please! Kamik makes footwear that brings to life its northern origins. Singular. Strong. Simply dependable. The result of all this effort: a complete line of outdoor footwear built to deliver superior comfort and reliable protection in the most extreme conditions.</t>
  </si>
  <si>
    <t>0056551488057</t>
  </si>
  <si>
    <t>EK6149F-NAK</t>
  </si>
  <si>
    <t>0056551488064</t>
  </si>
  <si>
    <t>7T</t>
  </si>
  <si>
    <t>https://m.media-amazon.com/images/I/61KaW514ZuL.jpg;https://m.media-amazon.com/images/I/61Cj-Sp+azL.jpg;https://m.media-amazon.com/images/I/61qPGZgm1hL.jpg;https://m.media-amazon.com/images/I/61tGsoomCGL.jpg;https://m.media-amazon.com/images/I/51+do40mw9L.jpg;https://m.media-amazon.com/images/I/61xiJX3nsHL.jpg;https://m.media-amazon.com/images/I/61YZPDnIa-L.jpg;https://m.media-amazon.com/images/I/616zIn34G8L.jpg;https://m.media-amazon.com/images/I/6146T0IvQCL.jpg</t>
  </si>
  <si>
    <t>Why you'll love it Designed for stomping around in puddles, mud or whatever the day brings, the Stomp is a Kamik classic! These Canadian-made and recyclable boots for kids are available in bright and fun colours to bring out smiles. UPPER 100% waterproof phthalate-free synthetic rubber rainboot INSOLE Removable CushyStep Everyday EVA foam footbed OUTSOLE BLAZER non–marking, synthetic rubber outsole</t>
  </si>
  <si>
    <t>https://m.media-amazon.com/images/I/61YSvn71uvL.jpg;https://m.media-amazon.com/images/I/71y-Q8vuT+L.jpg;https://m.media-amazon.com/images/I/319GvDifktL.jpg;https://m.media-amazon.com/images/I/4186hFYzM2L.jpg;https://m.media-amazon.com/images/I/51Sav1pZs5L.jpg;https://m.media-amazon.com/images/I/41LXs0RZolL.jpg;https://m.media-amazon.com/images/I/41BmFmYvKCL.jpg</t>
  </si>
  <si>
    <t>B0B7849GZN</t>
  </si>
  <si>
    <t>0630996301722</t>
  </si>
  <si>
    <t>https://m.media-amazon.com/images/I/91jaoFwJsUL.jpg;https://m.media-amazon.com/images/I/8104m6RGagL.jpg;https://m.media-amazon.com/images/I/81gvTGEjdFL.jpg;https://m.media-amazon.com/images/I/710cePsClHL.jpg;https://m.media-amazon.com/images/I/81RTA3axH7L.jpg;https://m.media-amazon.com/images/I/713iBfE0b0L.jpg;https://m.media-amazon.com/images/I/71NWENZnjrL.jpg</t>
  </si>
  <si>
    <t>Scruff-a-Luvs Sew Surprise lets you magically create the cutest fashionable outfits for your mystery pup or kitten! Open up the box to find an abandoned scruffy matted ball of fur. Bathe them, then dry, brush, and love them and you will discover what kind of pet they really are! Will you find a puppy or a kitten? Now it's time to reveal some fashionable clothes for your new pet using your magic sewing machine! There are 10 surprises to discover in this amazing unboxing experience. Use one of the three spools of thread to find which fashion item you will reveal in the sewing machine! Will it be a skirt, shorts, bow or a top? Dress your pet in their new outfit and get their style on with some fashionable accessories like a watch and glasses. Your magic toy sewing machine also comes with an awesome sticker sheet, so you can customize and decorate it the way you want. Give your Scruff-a-Luvs a loving home and make them your own! With the Scruff-a-Luvs Sew Surprise you will have the best dressed pet in town! And with love and care they'll be your FFF (Furry Friend Forever).</t>
  </si>
  <si>
    <t>B08MXV96LZ</t>
  </si>
  <si>
    <t>0194895166788</t>
  </si>
  <si>
    <t>https://m.media-amazon.com/images/I/71U1TDxXfGL.jpg;https://m.media-amazon.com/images/I/81m+w6FgwgL.jpg;https://m.media-amazon.com/images/I/71Ru2y3hS1L.jpg;https://m.media-amazon.com/images/I/81BxyXooVDL.jpg;https://m.media-amazon.com/images/I/81hS4ftQ-EL.jpg;https://m.media-amazon.com/images/I/716IvCc75IL.jpg;https://m.media-amazon.com/images/I/71OW2l384wL.jpg;https://m.media-amazon.com/images/I/719G3QhFu8L.jpg;https://m.media-amazon.com/images/I/71sRVrGkIdL.jpg</t>
  </si>
  <si>
    <t>Instant coziness for your next dog walk or coffee run, this zip-up comes equipped with plush sherpa to keep you warm and elastic at the cuffs to keep out cold.   Crafted with rich sherpa, this fleece coat keeps its promise of cozy warm comfort. It includes a full length zipper with a plush stand-up collar, zippered hand pockets, and elastic at the cuffs. The perfect fall and winter solution.  Columbia offers this cuddly sherpa jacket in multiple colors and sizes. Extended sizes available. Active and Regular Fit. To ensure the size you choose is right, utilize our sizing chart and the following measurement instructions: For the sleeves, start at the center back of your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</si>
  <si>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0194895166795</t>
  </si>
  <si>
    <t>0194895166801</t>
  </si>
  <si>
    <t>0194895166825</t>
  </si>
  <si>
    <t>https://m.media-amazon.com/images/I/51Qs+x6wFYL.jpg;https://m.media-amazon.com/images/I/512coDCjf4L.jpg;https://m.media-amazon.com/images/I/41DowLaSmFL.jpg;https://m.media-amazon.com/images/I/51k5Y2PRFtL.jpg;https://m.media-amazon.com/images/I/51ZXHDkEWGL.jpg;https://m.media-amazon.com/images/I/51Ff-NBDvaL.jpg;https://m.media-amazon.com/images/I/51EXsQSweOL.jpg;https://m.media-amazon.com/images/I/51iQY6ShYvL.jpg;https://m.media-amazon.com/images/I/414bJnAVxgL.jpg</t>
  </si>
  <si>
    <t>0633716634728</t>
  </si>
  <si>
    <t>2-4T</t>
  </si>
  <si>
    <t>https://m.media-amazon.com/images/I/41v6t1dyDBL.jpg;https://m.media-amazon.com/images/I/419HEUqP38L.jpg</t>
  </si>
  <si>
    <t>It started with a handshake between two visionary Oregonians - Bowerman &amp; his University of Oregon runner Phil Knight. They &amp; the people they hired evolved &amp; grew the company that became Nike from a U.S. based footwear distributor to a global marketer of athletic footwear, apparel, &amp; equipment that is unrivaled in the world.</t>
  </si>
  <si>
    <t>B0B9PVZNKH</t>
  </si>
  <si>
    <t>LW2RU559-001</t>
  </si>
  <si>
    <t>0191900627753</t>
  </si>
  <si>
    <t>https://m.media-amazon.com/images/I/71OlGn26H1L.jpg;https://m.media-amazon.com/images/I/816amuFAfOL.jpg;https://m.media-amazon.com/images/I/71O8sLvL+VL.jpg;https://m.media-amazon.com/images/I/81-66WIhHXL.jpg</t>
  </si>
  <si>
    <t>STYLISH FEATURES: Plush sherpa lining and trim details on collar, cuffs, and hem. FUNCTIONALITY: Center front zipper closure, two lower pockets, adjustable buckles on collar. VERSATILITY: Great wear from day to night</t>
  </si>
  <si>
    <t>0191900627814</t>
  </si>
  <si>
    <t>https://m.media-amazon.com/images/I/61cleD10ypL.jpg;https://m.media-amazon.com/images/I/31HtGRkpurL.jpg;https://m.media-amazon.com/images/I/41uJHoTqAzL.jpg;https://m.media-amazon.com/images/I/41LswzxbTGL.jpg</t>
  </si>
  <si>
    <t>LW2RS559</t>
  </si>
  <si>
    <t>0191900627807</t>
  </si>
  <si>
    <t>0191900627746</t>
  </si>
  <si>
    <t>0191900627791</t>
  </si>
  <si>
    <t>0191900627739</t>
  </si>
  <si>
    <t>B0CZPG4J9N</t>
  </si>
  <si>
    <t>0195979466893</t>
  </si>
  <si>
    <t>https://m.media-amazon.com/images/I/71fveqTY+uL.jpg;https://m.media-amazon.com/images/I/71Dbj1BV2iL.jpg;https://m.media-amazon.com/images/I/61tqvzgorlL.jpg;https://m.media-amazon.com/images/I/81ggrPa8tKL.jpg;https://m.media-amazon.com/images/I/71ybN6LM4nL.jpg;https://m.media-amazon.com/images/I/71DZROf532L.jpg</t>
  </si>
  <si>
    <t>For all-day comfort, this waffle shirt jacket wears soft on skin, dries fast, and wicks away sweat to keep you dry on the move. It’s an easy favorite, whether you pair it with jeans, hiking pants, or sweats. Columbia offers this shirt in multiple colors and sizes. Extended sizing available. Relaxed fit.</t>
  </si>
  <si>
    <t>B0CS2RJXFG</t>
  </si>
  <si>
    <t>0195979467654</t>
  </si>
  <si>
    <t>https://m.media-amazon.com/images/I/71F98t7lqpL.jpg;https://m.media-amazon.com/images/I/71QC3lt3SgL.jpg;https://m.media-amazon.com/images/I/71Mx6aruUeL.jpg;https://m.media-amazon.com/images/I/81RjlCzjzxL.jpg;https://m.media-amazon.com/images/I/71Wb5WrZg2L.jpg;https://m.media-amazon.com/images/I/71DZROf532L.jpg;https://m.media-amazon.com/images/I/81V1S8eDW9L.jpg;https://m.media-amazon.com/images/I/81Ex17pcnSL.jpg;https://m.media-amazon.com/images/I/71LIQtm4AWL.jpg</t>
  </si>
  <si>
    <t>0195979467692</t>
  </si>
  <si>
    <t>https://m.media-amazon.com/images/I/41YJGsZreRL.jpg;https://m.media-amazon.com/images/I/4188-WZFDGL.jpg;https://m.media-amazon.com/images/I/41OvZPYNEWL.jpg;https://m.media-amazon.com/images/I/51XMvB7MKWL.jpg;https://m.media-amazon.com/images/I/41rfJ7kZlQL.jpg;https://m.media-amazon.com/images/I/51k+PfF2cZL.jpg;https://m.media-amazon.com/images/I/41hoBqZY3-L.jpg;https://m.media-amazon.com/images/I/41MjRYndWwL.jpg;https://m.media-amazon.com/images/I/41C2It2DC3L.jpg</t>
  </si>
  <si>
    <t>0195979467210</t>
  </si>
  <si>
    <t>https://m.media-amazon.com/images/I/41Mf8Rw3m-L.jpg;https://m.media-amazon.com/images/I/4139XTPI1nL.jpg;https://m.media-amazon.com/images/I/41ROD+6YWmL.jpg;https://m.media-amazon.com/images/I/51HKAecLp-L.jpg;https://m.media-amazon.com/images/I/41pTpu765wL.jpg;https://m.media-amazon.com/images/I/51k+PfF2cZL.jpg</t>
  </si>
  <si>
    <t>0195979467661</t>
  </si>
  <si>
    <t>0196739089024</t>
  </si>
  <si>
    <t>https://m.media-amazon.com/images/I/316o1LTsHbL.jpg;https://m.media-amazon.com/images/I/31Bxldfd77L.jpg;https://m.media-amazon.com/images/I/31khQX-8W6L.jpg;https://m.media-amazon.com/images/I/31dDgdO+m4L.jpg</t>
  </si>
  <si>
    <t>0196739100958</t>
  </si>
  <si>
    <t>https://m.media-amazon.com/images/I/31UHc-uT6uL.jpg;https://m.media-amazon.com/images/I/31et3DPXwkL.jpg;https://m.media-amazon.com/images/I/31C4lyHwvdL.jpg;https://m.media-amazon.com/images/I/31B6p3zhElL.jpg;https://m.media-amazon.com/images/I/21bK35YXvzL.jpg</t>
  </si>
  <si>
    <t>0196739089062</t>
  </si>
  <si>
    <t>https://m.media-amazon.com/images/I/51oEW763cvL.jpg;https://m.media-amazon.com/images/I/61zRmrCZ8SL.jpg;https://m.media-amazon.com/images/I/512q+LKNKwL.jpg;https://m.media-amazon.com/images/I/61wBxo8i+rL.jpg</t>
  </si>
  <si>
    <t>BT9362-MPG</t>
  </si>
  <si>
    <t>0028266902005</t>
  </si>
  <si>
    <t>https://m.media-amazon.com/images/I/513RMRV1zxL.jpg</t>
  </si>
  <si>
    <t>Killer Filter products put quality above the rest. Our USA made filters and parts use only the highest quality material available in the market and are manufactured to the highest standards. Each Filter is guaranteed to meet or surpass the original equipment manufacture specifications. All items marked "Replacement" or "Equivalent" are not affiliated with the original manufacture where names and part numbers are for cross reference only.</t>
  </si>
  <si>
    <t>0028266900377</t>
  </si>
  <si>
    <t>https://m.media-amazon.com/images/I/71CLU8xAPRL.jpg;https://m.media-amazon.com/images/I/711hskq9L3L.jpg;https://m.media-amazon.com/images/I/71Q-IhSeUFL.jpg</t>
  </si>
  <si>
    <t>Manufactured by: Truck-Lite Merchant SKU: TL 50842 3/4'' I.D. fitting for 6 &amp; 7 conductor cable Compression Fitting. For use with Junction Box, Part No. 81072. 3-part fitting consisting of a pre-tapped cap, threaded base, and a black PVC grommet. Size: 3/4" inside diameter</t>
  </si>
  <si>
    <t>B0CZN7375K</t>
  </si>
  <si>
    <t>0195746980898</t>
  </si>
  <si>
    <t>https://m.media-amazon.com/images/I/71uxlMts9IL.jpg;https://m.media-amazon.com/images/I/71QrWZeKcRL.jpg;https://m.media-amazon.com/images/I/91u-RBVixOL.jpg;https://m.media-amazon.com/images/I/31qU2MTBP1L.jpg</t>
  </si>
  <si>
    <t>The best athletes know the importance of keeping muscles warm. Pull on these adidas pants for stretch sessions before the game and while you wait to sub in on the sidelines. When you're ready to take your place in the lineup, zip side slits make them easy to pull over your footwear. Made with 100% recycled materials, this product represents just one of our solutions to help end plastic waste.</t>
  </si>
  <si>
    <t>0195746980812</t>
  </si>
  <si>
    <t>0195746946467</t>
  </si>
  <si>
    <t>https://m.media-amazon.com/images/I/81hEySz-J2L.jpg;https://m.media-amazon.com/images/I/81F2ZCcUFRL.jpg;https://m.media-amazon.com/images/I/91Pc6CzLjvL.jpg</t>
  </si>
  <si>
    <t>B0BGZ56YXJ</t>
  </si>
  <si>
    <t>0196883963362</t>
  </si>
  <si>
    <t>https://m.media-amazon.com/images/I/91Njgbou3lL.jpg;https://m.media-amazon.com/images/I/51wKByb5WuL.jpg;https://m.media-amazon.com/images/I/51Dg2uxn0kL.jpg</t>
  </si>
  <si>
    <t>Armour Fleece® is light, breathable &amp; stretchy for warmth that still lets you move. Soft inner layer traps heat to keep you warm &amp; comfortable. Front kangaroo pocket. . .</t>
  </si>
  <si>
    <t>0196883963348</t>
  </si>
  <si>
    <t>0196883963416</t>
  </si>
  <si>
    <t>B0CB9CQM4G</t>
  </si>
  <si>
    <t>0195861936060</t>
  </si>
  <si>
    <t>https://m.media-amazon.com/images/I/81V72vo6OJL.jpg;https://m.media-amazon.com/images/I/81208etvlBL.jpg;https://m.media-amazon.com/images/I/51kpvyUv2JL.jpg;https://m.media-amazon.com/images/I/41bgzcuDMGL.jpg;https://m.media-amazon.com/images/I/41DRLpS+M1L.jpg</t>
  </si>
  <si>
    <t>Little Planet by Carter's Quilted Double Knit Hooded Jumpsuit, Light Grey, 18M</t>
  </si>
  <si>
    <t>0195861936077</t>
  </si>
  <si>
    <t>0195861936022</t>
  </si>
  <si>
    <t>0195861936039</t>
  </si>
  <si>
    <t>0195861936046</t>
  </si>
  <si>
    <t>B0BPFYD91N</t>
  </si>
  <si>
    <t>0195333897349</t>
  </si>
  <si>
    <t>https://m.media-amazon.com/images/I/61BPlcmnlBL.jpg;https://m.media-amazon.com/images/I/61b1GHL8InL.jpg;https://m.media-amazon.com/images/I/61ZRHlJCCEL.jpg;https://m.media-amazon.com/images/I/61ySzMGoI5L.jpg;https://m.media-amazon.com/images/I/61lvIOXfKtL.jpg</t>
  </si>
  <si>
    <t>Because glitter. We could leave it at that, but here are the deets: PVC-free, for eco-friendliness and a footbed made of soft, lightweight EVA. A rubber outsole makes it super flexible, and comfy straps keep this sparkler on little feet. But again, glitter.</t>
  </si>
  <si>
    <t>B0BXZ3TSFH</t>
  </si>
  <si>
    <t>0191726445449</t>
  </si>
  <si>
    <t>Squishville</t>
  </si>
  <si>
    <t>https://m.media-amazon.com/images/I/411pZTCqsxL.jpg;https://m.media-amazon.com/images/I/5106q2HJwOL.jpg;https://m.media-amazon.com/images/I/41e0DWiZ8DL.jpg;https://m.media-amazon.com/images/I/41JNdiH23CL.jpg;https://m.media-amazon.com/images/I/41JHUgN5JyL.jpg;https://m.media-amazon.com/images/I/41DpvvayAML.jpg;https://m.media-amazon.com/images/I/312IX-hllDL.jpg;https://m.media-amazon.com/images/I/41TehC3cMyL.jpg;https://m.media-amazon.com/images/I/411v01uMkmL.jpg;https://m.media-amazon.com/images/I/31PyrzgXGZL.jpg;https://m.media-amazon.com/images/I/31tKlwNBoNL.jpg;https://m.media-amazon.com/images/I/4165uAvR-3L.jpg;https://m.media-amazon.com/images/I/41U-lCFAonL.jpg;https://m.media-amazon.com/images/I/51L-19MnViL.jpg;https://m.media-amazon.com/images/I/51NfE0R8kyL.jpg</t>
  </si>
  <si>
    <t>Mix a pint of plush with that sugar rush at the Squishville Sweet Shop! Featuring three floors of candy-coated galore and two sweet Squishmallows, this powdery playset is filled with an explosion of flavors. Join Priya the Lavender Panda and Tres’zure the Teal Cat at the ice cream counter for some shakes and cake. Then, check out the conveyor belt to see how the chocolate pops get filled. Finally, ”treacle” down to the Swirly Shop and sit down at a bistro table and chair set to enjoy a full selection of scrummy confections. Bring home the Sweet Shop to build out your ultimate world in Squishville!</t>
  </si>
  <si>
    <t>B0CZS1MWDJ</t>
  </si>
  <si>
    <t>0195737806060</t>
  </si>
  <si>
    <t>https://m.media-amazon.com/images/I/31OaAVTDa4L.jpg;https://m.media-amazon.com/images/I/31GZhOVbtCL.jpg;https://m.media-amazon.com/images/I/31uekesYPvL.jpg;https://m.media-amazon.com/images/I/31db8sCI2VL.jpg</t>
  </si>
  <si>
    <t>Spend long days on the golf course in this men's adidas polo shirt. Moisture-absorbing AEROREADY keeps you dry through your round, and the soft piqué fabric features built-in sun protection.</t>
  </si>
  <si>
    <t>HG8824</t>
  </si>
  <si>
    <t>0195737806091</t>
  </si>
  <si>
    <t>https://m.media-amazon.com/images/I/71f3qwD0CLL.jpg;https://m.media-amazon.com/images/I/61n+9WcaFcL.jpg;https://m.media-amazon.com/images/I/31uekesYPvL.jpg;https://m.media-amazon.com/images/I/61G6++rvoyL.jpg</t>
  </si>
  <si>
    <t>0195737806107</t>
  </si>
  <si>
    <t>0195737806114</t>
  </si>
  <si>
    <t>B0C8JJQHZL</t>
  </si>
  <si>
    <t>EK4452N/EK8452N-BLK</t>
  </si>
  <si>
    <t>0627574783582</t>
  </si>
  <si>
    <t>1 Little Kid</t>
  </si>
  <si>
    <t>https://m.media-amazon.com/images/I/61G31N3M+pL.jpg;https://m.media-amazon.com/images/I/719JYDUzJjL.jpg;https://m.media-amazon.com/images/I/61qp4bOKa2L.jpg;https://m.media-amazon.com/images/I/618F5z78X6L.jpg;https://m.media-amazon.com/images/I/61MFdCSWWwL.jpg;https://m.media-amazon.com/images/I/61NtAbZwSqL.jpg;https://m.media-amazon.com/images/I/61e22tLRFDL.jpg;https://m.media-amazon.com/images/I/61R5iVrRQlL.jpg;https://m.media-amazon.com/images/I/61Tk2-vDq7L.jpg</t>
  </si>
  <si>
    <t>Crafted from neoprene and rubber, the Kamik Kids Timber Boots are insulated and fully waterproof for your little one to explore all kinds of harsh elements. This pair comes with a midsole that is made from Bloom EVA foam for added comfort. Rubber and neoprene upper. Removable EVA insole that mould to your feet easily. These boots come with thick insulation that will keep their toes toasty in temperatures as low as -25f so that your little one enjoys the snow a little longer. Pull-tab on the back for easy on and off. Cushystep everyday EVA midsole. Polyester lining. Synthetic rubber outsole.</t>
  </si>
  <si>
    <t>0627574783599</t>
  </si>
  <si>
    <t>https://m.media-amazon.com/images/I/51my6XON84L.jpg;https://m.media-amazon.com/images/I/51X33gGe+zL.jpg;https://m.media-amazon.com/images/I/61xqTsLlwHL.jpg;https://m.media-amazon.com/images/I/517Jhuf-aZL.jpg;https://m.media-amazon.com/images/I/617CK3CXIbL.jpg;https://m.media-amazon.com/images/I/21J6wIOQNsL.jpg;https://m.media-amazon.com/images/I/21c4+J7hl+L.jpg;https://m.media-amazon.com/images/I/21M36p-SuEL.jpg;https://m.media-amazon.com/images/I/21v6Wi21LSL.jpg</t>
  </si>
  <si>
    <t>0627574783612</t>
  </si>
  <si>
    <t>B0BCZ3ZNP4</t>
  </si>
  <si>
    <t>0825663856005</t>
  </si>
  <si>
    <t>https://m.media-amazon.com/images/I/71G83rXok4L.jpg;https://m.media-amazon.com/images/I/61AZtQ5CX1L.jpg</t>
  </si>
  <si>
    <t>Liven up your casual style in the Match Stix Long Sleeve Tee (Big Kids). Round crew neckline. Long set-in sleeves. Branded design printed on front. Flame design printed on sleeves. Classic fit silhouette. Straight hemline. 100% cotton. Machine wash, tumble dry. Imported.</t>
  </si>
  <si>
    <t>0197064522996</t>
  </si>
  <si>
    <t>https://m.media-amazon.com/images/I/41CPxCfAI0L.jpg</t>
  </si>
  <si>
    <t>B0CW6HFC9V</t>
  </si>
  <si>
    <t>0196601689048</t>
  </si>
  <si>
    <t>https://m.media-amazon.com/images/I/41UoLzq3ASL.jpg;https://m.media-amazon.com/images/I/518pcD-GbkL.jpg;https://m.media-amazon.com/images/I/51va9BBqA7L.jpg</t>
  </si>
  <si>
    <t>0196601689031</t>
  </si>
  <si>
    <t>https://m.media-amazon.com/images/I/81kdAIVL5tL.jpg;https://m.media-amazon.com/images/I/518pcD-GbkL.jpg;https://m.media-amazon.com/images/I/51va9BBqA7L.jpg</t>
  </si>
  <si>
    <t>0196601689024</t>
  </si>
  <si>
    <t>0196601689055</t>
  </si>
  <si>
    <t>B0979WSWHD</t>
  </si>
  <si>
    <t>0196667106176</t>
  </si>
  <si>
    <t>https://m.media-amazon.com/images/I/71GOlQRy4WL.jpg;https://m.media-amazon.com/images/I/712TiQ8YagL.jpg;https://m.media-amazon.com/images/I/812mJzL3jeL.jpg;https://m.media-amazon.com/images/I/81KgSQafGmL.jpg;https://m.media-amazon.com/images/I/51r2V20rxoL.jpg</t>
  </si>
  <si>
    <t>Van Heusen's new Ultra Wrinkle Free dress shirts are made from fabric that's been specially treated for advanced wrinkle resistance that allows for less ironing and even easier care at home. This essential style features a Flex collar that gives your neck a break by expanding up to a 1/2 inch, while all-over stretch ensures every move you make is a comfortable one.</t>
  </si>
  <si>
    <t>20FZ334-641-13"-13.5"Nck32"-33"Slv(XS)</t>
  </si>
  <si>
    <t>0194916525723</t>
  </si>
  <si>
    <t>13"-13.5" Neck 32"-33" Sleeve</t>
  </si>
  <si>
    <t>https://m.media-amazon.com/images/I/41KSlenKG7L.jpg;https://m.media-amazon.com/images/I/416YQaM6u7L.jpg;https://m.media-amazon.com/images/I/31DYZwrgE5L.jpg;https://m.media-amazon.com/images/I/41Uawyj9G0L.jpg;https://m.media-amazon.com/images/I/41pKcZMVjjL.jpg</t>
  </si>
  <si>
    <t>20FZ334-641-14"-14.5"Nck34"-35"Slv(S)</t>
  </si>
  <si>
    <t>0194916525785</t>
  </si>
  <si>
    <t>14"-14.5" Neck 34"-35" Sleeve</t>
  </si>
  <si>
    <t>https://m.media-amazon.com/images/I/81vmacZhoGL.jpg;https://m.media-amazon.com/images/I/81OW5+RVVVL.jpg;https://m.media-amazon.com/images/I/510BXJ5aTOL.jpg;https://m.media-amazon.com/images/I/81KgSQafGmL.jpg;https://m.media-amazon.com/images/I/51r2V20rxoL.jpg</t>
  </si>
  <si>
    <t>NBT-001</t>
  </si>
  <si>
    <t>0887863193236</t>
  </si>
  <si>
    <t>Dress-shop Vibrator</t>
  </si>
  <si>
    <t>https://m.media-amazon.com/images/I/51fnqndi+WL.jpg;https://m.media-amazon.com/images/I/51IVWr3cvQL.jpg;https://m.media-amazon.com/images/I/612u8Dki-CL.jpg;https://m.media-amazon.com/images/I/51KEqjI9hBL.jpg;https://m.media-amazon.com/images/I/51gtHQ2aK9L.jpg;https://m.media-amazon.com/images/I/61M5L299uTL.jpg</t>
  </si>
  <si>
    <t>0887863193243</t>
  </si>
  <si>
    <t>https://m.media-amazon.com/images/I/51gtHQ2aK9L.jpg;https://m.media-amazon.com/images/I/51IVWr3cvQL.jpg;https://m.media-amazon.com/images/I/612u8Dki-CL.jpg;https://m.media-amazon.com/images/I/51KEqjI9hBL.jpg;https://m.media-amazon.com/images/I/61M5L299uTL.jpg;https://m.media-amazon.com/images/I/41vsjuAiKBL.jpg</t>
  </si>
  <si>
    <t>B0CMMCFFS5</t>
  </si>
  <si>
    <t>1145870-210</t>
  </si>
  <si>
    <t>0196565706799</t>
  </si>
  <si>
    <t>https://m.media-amazon.com/images/I/61tRtXrEi+L.jpg;https://m.media-amazon.com/images/I/51RBBNbAReL.jpg;https://m.media-amazon.com/images/I/61tLrmsMo0L.jpg;https://m.media-amazon.com/images/I/61lvA7kMsTL.jpg;https://m.media-amazon.com/images/I/61BkzlwlK-L.jpg;https://m.media-amazon.com/images/I/612A3eb6wML.jpg</t>
  </si>
  <si>
    <t>Cute as a button in this new short pull on boot. Offering the same warmth of the original, these boots are backed with big comfort, combining soft suede, faux fur, and an EVA outsole. Available in kid's sizes for a Mommy and me look.</t>
  </si>
  <si>
    <t>1145870-001</t>
  </si>
  <si>
    <t>0196565706638</t>
  </si>
  <si>
    <t>https://m.media-amazon.com/images/I/61oKHB08enL.jpg;https://m.media-amazon.com/images/I/513I7fSngLL.jpg;https://m.media-amazon.com/images/I/61mKx2niJcL.jpg;https://m.media-amazon.com/images/I/61TNRLTsKeL.jpg;https://m.media-amazon.com/images/I/51iQ+XDvbfL.jpg;https://m.media-amazon.com/images/I/61Ad-5GnSAL.jpg</t>
  </si>
  <si>
    <t>0196565706645</t>
  </si>
  <si>
    <t>0196565706744</t>
  </si>
  <si>
    <t>0196565706652</t>
  </si>
  <si>
    <t>https://m.media-amazon.com/images/I/31-7bBv5AkL.jpg;https://m.media-amazon.com/images/I/31HRdWLbSOL.jpg;https://m.media-amazon.com/images/I/41i6VELJSHL.jpg;https://m.media-amazon.com/images/I/31PHy+y+OZL.jpg;https://m.media-amazon.com/images/I/31DhsCof1+L.jpg;https://m.media-amazon.com/images/I/31IBtVu8x1L.jpg</t>
  </si>
  <si>
    <t>0196565706751</t>
  </si>
  <si>
    <t>https://m.media-amazon.com/images/I/31Z6SMVfkgL.jpg;https://m.media-amazon.com/images/I/21-TnmjygqL.jpg;https://m.media-amazon.com/images/I/316m9oKeceL.jpg;https://m.media-amazon.com/images/I/31X2py0pj9L.jpg;https://m.media-amazon.com/images/I/31jJItL0sgL.jpg;https://m.media-amazon.com/images/I/31B02ib4mKL.jpg</t>
  </si>
  <si>
    <t>0196565706843</t>
  </si>
  <si>
    <t>0196565706690</t>
  </si>
  <si>
    <t>0196565706805</t>
  </si>
  <si>
    <t>0196565706706</t>
  </si>
  <si>
    <t>0196565706812</t>
  </si>
  <si>
    <t>0196565706713</t>
  </si>
  <si>
    <t>0196565706829</t>
  </si>
  <si>
    <t>0196565706720</t>
  </si>
  <si>
    <t>B0CW9ZHCCL</t>
  </si>
  <si>
    <t>0196601688591</t>
  </si>
  <si>
    <t>https://m.media-amazon.com/images/I/71uWV71uspL.jpg;https://m.media-amazon.com/images/I/61SSYl5kggL.jpg;https://m.media-amazon.com/images/I/61rexUkodIL.jpg;https://m.media-amazon.com/images/I/51va9BBqA7L.jpg</t>
  </si>
  <si>
    <t>B0CLS3769T</t>
  </si>
  <si>
    <t>MW9AP450-337-S</t>
  </si>
  <si>
    <t>0694414048002</t>
  </si>
  <si>
    <t>https://m.media-amazon.com/images/I/51r3zFLzqPL.jpg;https://m.media-amazon.com/images/I/51cHQCKeDOL.jpg;https://m.media-amazon.com/images/I/51IPM4mqzYL.jpg</t>
  </si>
  <si>
    <t>37" Synthetic down. high quality synthetic down. water resistant Chevron quilting</t>
  </si>
  <si>
    <t>MW9AP450-410-S</t>
  </si>
  <si>
    <t>0694414048057</t>
  </si>
  <si>
    <t>https://m.media-amazon.com/images/I/51Rq81iw2xL.jpg;https://m.media-amazon.com/images/I/51PGJ1lWp0L.jpg;https://m.media-amazon.com/images/I/51+4yT+FekL.jpg</t>
  </si>
  <si>
    <t>MW9AP450-001-M</t>
  </si>
  <si>
    <t>0694414048095</t>
  </si>
  <si>
    <t>https://m.media-amazon.com/images/I/71Vr5JUMbeL.jpg;https://m.media-amazon.com/images/I/71FhTWCLT2L.jpg;https://m.media-amazon.com/images/I/81fhZ2f-yKL.jpg</t>
  </si>
  <si>
    <t>B0CLVLMKYD</t>
  </si>
  <si>
    <t>0196601700323</t>
  </si>
  <si>
    <t>https://m.media-amazon.com/images/I/51dltOeCzeL.jpg;https://m.media-amazon.com/images/I/51VQ+AlD3xL.jpg;https://m.media-amazon.com/images/I/51L9piND6GL.jpg</t>
  </si>
  <si>
    <t>Under Armour little boys' match play fitted active pant</t>
  </si>
  <si>
    <t>0196601700330</t>
  </si>
  <si>
    <t>0196601700347</t>
  </si>
  <si>
    <t>https://m.media-amazon.com/images/I/31flx1MjVHL.jpg;https://m.media-amazon.com/images/I/31I1FyOanXL.jpg;https://m.media-amazon.com/images/I/51L9piND6GL.jpg</t>
  </si>
  <si>
    <t>0195861935438</t>
  </si>
  <si>
    <t>NB</t>
  </si>
  <si>
    <t>https://m.media-amazon.com/images/I/915k2IMd35L.jpg;https://m.media-amazon.com/images/I/41bgzcuDMGL.jpg;https://m.media-amazon.com/images/I/41DRLpS+M1L.jpg</t>
  </si>
  <si>
    <t>0195861935407</t>
  </si>
  <si>
    <t>0195861935391</t>
  </si>
  <si>
    <t>0195861935414</t>
  </si>
  <si>
    <t>0195861935360</t>
  </si>
  <si>
    <t>0195861935377</t>
  </si>
  <si>
    <t>0195861935384</t>
  </si>
  <si>
    <t>JWC1313</t>
  </si>
  <si>
    <t>0191726468509</t>
  </si>
  <si>
    <t>Jazwares</t>
  </si>
  <si>
    <t>https://m.media-amazon.com/images/I/41a2aSobrYL.jpg;https://m.media-amazon.com/images/I/411kHR9-qaL.jpg;https://m.media-amazon.com/images/I/419PWybeSOL.jpg;https://m.media-amazon.com/images/I/31qyKbpLZKL.jpg;https://m.media-amazon.com/images/I/41-DyS9Lo9L.jpg</t>
  </si>
  <si>
    <t>Squad up Squishmallow plush toys are on the way to fill your hearts with love and affection. Since 2017, the Squishmallows collections have offered comfort, support, and warmth as couch companions, pillow pals, bedtime buddies, and travel teammates. No need to feel alone, you’ll have a buddy for the movies, the bedtime stories, the laughs and more! Kellytoy has created a line of loveable buddies made from super soft marshmallow-like texture and polyester (and they’re easily washable). Time to put Squishmallows on your squishlist, because the squad can’t wait for the company and cuddles.</t>
  </si>
  <si>
    <t>B0CJZCQGRN</t>
  </si>
  <si>
    <t>0195901365232, 0800322984060</t>
  </si>
  <si>
    <t>37 Regular</t>
  </si>
  <si>
    <t>https://m.media-amazon.com/images/I/51v4Mq1e-DL.jpg;https://m.media-amazon.com/images/I/51lfsTn9BVL.jpg;https://m.media-amazon.com/images/I/51myadJjc7L.jpg;https://m.media-amazon.com/images/I/71tcnYf6igL.jpg;https://m.media-amazon.com/images/I/71-gbhryFdL.jpg;https://m.media-amazon.com/images/I/71Nc0W7AdbL.jpg</t>
  </si>
  <si>
    <t>Levi's womens 721 High Rise Skinny Jeans (Also Available in Plus)</t>
  </si>
  <si>
    <t>B09PZCDG8L</t>
  </si>
  <si>
    <t>0196258011216</t>
  </si>
  <si>
    <t>https://m.media-amazon.com/images/I/412c5sjizFL.jpg</t>
  </si>
  <si>
    <t>Spalding - a leader in the athletic world for the past several decades has developed a new line of active wear for men and women which is both functional and affordable. Using the most advance yarn technologies available, we created items which are perfect for your workouts, trend right fashion, and good for everyday use. Whether it is a trip to the store or a two hour workout, Spalding is always the right choice.</t>
  </si>
  <si>
    <t>0196258011209</t>
  </si>
  <si>
    <t>0196258011254</t>
  </si>
  <si>
    <t>https://m.media-amazon.com/images/I/51Pj6WBTm1L.jpg</t>
  </si>
  <si>
    <t>0196258011278</t>
  </si>
  <si>
    <t>0196258011285</t>
  </si>
  <si>
    <t>B0CQZ58PWN</t>
  </si>
  <si>
    <t>0196900157750</t>
  </si>
  <si>
    <t>https://m.media-amazon.com/images/I/610pIfutRyL.jpg;https://m.media-amazon.com/images/I/61O4hOswzwL.jpg;https://m.media-amazon.com/images/I/61wRhM8fi6L.jpg;https://m.media-amazon.com/images/I/61hPBtA8cBL.jpg;https://m.media-amazon.com/images/I/6194WPe1EiL.jpg;https://m.media-amazon.com/images/I/61w3nR1D5ZL.jpg;https://m.media-amazon.com/images/I/61yebyzrAOL.jpg</t>
  </si>
  <si>
    <t>0196900157873</t>
  </si>
  <si>
    <t>https://m.media-amazon.com/images/I/71eGX7vHbRL.jpg;https://m.media-amazon.com/images/I/718GVLx1hsL.jpg;https://m.media-amazon.com/images/I/61wRhM8fi6L.jpg;https://m.media-amazon.com/images/I/61hPBtA8cBL.jpg;https://m.media-amazon.com/images/I/6194WPe1EiL.jpg;https://m.media-amazon.com/images/I/61w3nR1D5ZL.jpg;https://m.media-amazon.com/images/I/61yebyzrAOL.jpg</t>
  </si>
  <si>
    <t>Elevate her style with our stunning Tween Girls Ruffle Dress, a perfect blend of chic design and comfort. Crafted from premium Scuba Knit, this sleeveless one shoulder dress features a triple strap detail and an asymmetrical ruffle adorned with a charming bow at the shoulder, adding a touch of whimsy to her look. Scuba Knit fabric is renowned for its easy wearability, making it an ideal choice for spring and summer occasions. Its thick weight and smooth texture offer both durability and a luxuriously soft feel against the skin. Crafted from a blend of polyester and high-stretch spandex, this dress ensures a comfortable and long-lasting fit, allowing her to move with ease and confidence. Whether she's attending a formal event or a casual outing, this versatile skater dress effortlessly transitions from day to night. Machine washable for easy care, simply line dry to maintain its pristine condition. Make a fashion statement with our Tween Ruffle Dress, designed to delight both her and onlookers alike.</t>
  </si>
  <si>
    <t>0196900157767</t>
  </si>
  <si>
    <t>0196900157880</t>
  </si>
  <si>
    <t>0196884135980</t>
  </si>
  <si>
    <t>https://m.media-amazon.com/images/I/411WI77a5CL.jpg;https://m.media-amazon.com/images/I/41DEUDfVIBL.jpg</t>
  </si>
  <si>
    <t>0196884134655</t>
  </si>
  <si>
    <t>https://m.media-amazon.com/images/I/5168m1oGfRL.jpg;https://m.media-amazon.com/images/I/41d5ma+FjiL.jpg;https://m.media-amazon.com/images/I/51nLmhKBW9L.jpg;https://m.media-amazon.com/images/I/51iDK1L0+SL.jpg;https://m.media-amazon.com/images/I/51yN4DT4+HL.jpg;https://m.media-amazon.com/images/I/41X1BXQT9vL.jpg</t>
  </si>
  <si>
    <t>0196884135997</t>
  </si>
  <si>
    <t>0196884134662</t>
  </si>
  <si>
    <t>https://m.media-amazon.com/images/I/31DhIeZSQUL.jpg;https://m.media-amazon.com/images/I/41puR6KN9dL.jpg;https://m.media-amazon.com/images/I/31hHDZHACjL.jpg;https://m.media-amazon.com/images/I/415hpaXOO4L.jpg;https://m.media-amazon.com/images/I/41ncI6ng5oL.jpg;https://m.media-amazon.com/images/I/41X1BXQT9vL.jpg</t>
  </si>
  <si>
    <t>0196884136208</t>
  </si>
  <si>
    <t>0196884134679</t>
  </si>
  <si>
    <t>https://m.media-amazon.com/images/I/41Dr2UsPsmL.jpg;https://m.media-amazon.com/images/I/41gAO9zcHnL.jpg;https://m.media-amazon.com/images/I/61+hUHVHICL.jpg;https://m.media-amazon.com/images/I/41tyh7auqTL.jpg;https://m.media-amazon.com/images/I/418GC1Y9KmL.jpg;https://m.media-amazon.com/images/I/31AIp-yQT1L.jpg</t>
  </si>
  <si>
    <t>B0BNK2RG93</t>
  </si>
  <si>
    <t>0196978460585</t>
  </si>
  <si>
    <t>https://m.media-amazon.com/images/I/61pv8JeETeL.jpg;https://m.media-amazon.com/images/I/6156PdqGpFL.jpg</t>
  </si>
  <si>
    <t>Made to go the distance. For decades, our truckers have been worn and loved by just about everybody. With a versatile silhouette and perfect length, the padded trucker is your new go-to denim jacket</t>
  </si>
  <si>
    <t>0196978697479</t>
  </si>
  <si>
    <t>SONY0297</t>
  </si>
  <si>
    <t>0196587001018</t>
  </si>
  <si>
    <t>Legacy Recordings</t>
  </si>
  <si>
    <t>https://m.media-amazon.com/images/I/51FYxWlhkTL.jpg;https://m.media-amazon.com/images/I/31c1xkrAZXL.jpg</t>
  </si>
  <si>
    <t>Stranger Things: Soundtrack from the Netflix Series, Season 4 will include key music covering various classic eras and styles as featured in "Stranger Things 4." The soundtrack album is conceptualized and produced by The Duffer Brothers and Nora Felder (Grammy and Emmy nominee Nora Felder has served as music supervisor for "Stranger Things" since the show's inception and was nominated for a Music Supervision Grammy the first year the category was recognized by the Academy of Television Arts &amp; Sciences). The compilation album is produced by The Duffer Brothers and 2x Grammy nominee Timothy J. Smith. 2-LP version comes in a gatefold package with a 12” x 12” insert.</t>
  </si>
  <si>
    <t>0195861971832</t>
  </si>
  <si>
    <t>https://m.media-amazon.com/images/I/71Ge24y6LiL.jpg;https://m.media-amazon.com/images/I/716yRLiAccL.jpg;https://m.media-amazon.com/images/I/81QGMrGkagL.jpg;https://m.media-amazon.com/images/I/81EAzJcNIqL.jpg</t>
  </si>
  <si>
    <t>0195861971849</t>
  </si>
  <si>
    <t>https://m.media-amazon.com/images/I/51aU6O5DWRL.jpg;https://m.media-amazon.com/images/I/51CYy15dOeL.jpg;https://m.media-amazon.com/images/I/61ngpo1MNEL.jpg;https://m.media-amazon.com/images/I/51M+fz-TrgL.jpg</t>
  </si>
  <si>
    <t>0195862122059</t>
  </si>
  <si>
    <t>0195862122028</t>
  </si>
  <si>
    <t>https://m.media-amazon.com/images/I/816IKGM-EML.jpg</t>
  </si>
  <si>
    <t>0195862122011</t>
  </si>
  <si>
    <t>0195862122035</t>
  </si>
  <si>
    <t>0195862121984</t>
  </si>
  <si>
    <t>0195862121991</t>
  </si>
  <si>
    <t>IT0284_140</t>
  </si>
  <si>
    <t>0196474720008</t>
  </si>
  <si>
    <t>https://m.media-amazon.com/images/I/51RBJXecieL.jpg;https://m.media-amazon.com/images/I/51T40+xQfdL.jpg;https://m.media-amazon.com/images/I/51NEbI6ywbL.jpg;https://m.media-amazon.com/images/I/61uOKLaLtyL.jpg;https://m.media-amazon.com/images/I/61lKcQrjTSL.jpg;https://m.media-amazon.com/images/I/41cosesQd5L.jpg</t>
  </si>
  <si>
    <t>Bold print, infinite styling options. These high-waisted adidas pants feature animal-print 3-Stripes on the legs for anybody looking to make a statement. They're made of soft cotton French terry and feature ribbed cuffs that offer laid-back comfort whether you're traveling the city or lounging at home. Paired with sneakers or sandals, these versatile pants let you unleash your wild side. The cotton in this product has been sourced through Better Cotton. Better Cotton is sourced via a chain of custody model called mass balance. This means that Better Cotton is not physically traceable to end products. Find out more here: https://bettercotton.org/who-we-are/our-logo/</t>
  </si>
  <si>
    <t>IT0284_150</t>
  </si>
  <si>
    <t>0196474719996</t>
  </si>
  <si>
    <t>https://m.media-amazon.com/images/I/31MEr-C+gOL.jpg;https://m.media-amazon.com/images/I/51T40+xQfdL.jpg;https://m.media-amazon.com/images/I/51NEbI6ywbL.jpg;https://m.media-amazon.com/images/I/61uOKLaLtyL.jpg;https://m.media-amazon.com/images/I/61lKcQrjTSL.jpg;https://m.media-amazon.com/images/I/41cosesQd5L.jpg</t>
  </si>
  <si>
    <t>IT0284_160</t>
  </si>
  <si>
    <t>0196474720022</t>
  </si>
  <si>
    <t>0195861474166</t>
  </si>
  <si>
    <t>https://m.media-amazon.com/images/I/814r+-ZUrdL.jpg;https://m.media-amazon.com/images/I/91wb8smb1fL.jpg;https://m.media-amazon.com/images/I/91KbuQb+j4L.jpg;https://m.media-amazon.com/images/I/81CII0HNUNL.jpg;https://m.media-amazon.com/images/I/81WwE7nNG-L.jpg;https://m.media-amazon.com/images/I/41tbmmTx20L.jpg</t>
  </si>
  <si>
    <t>Crafted in super soft sherpa, this jacket pairs with a striped bodysuit and a pair of easy on pants.</t>
  </si>
  <si>
    <t>0195861474128</t>
  </si>
  <si>
    <t>0195861474142</t>
  </si>
  <si>
    <t>0195861474098</t>
  </si>
  <si>
    <t>0195861474104</t>
  </si>
  <si>
    <t>https://m.media-amazon.com/images/I/41tbmmTx20L.jpg;https://m.media-amazon.com/images/I/51EscV-g3GL.jpg;https://m.media-amazon.com/images/I/51XeW-UruQL.jpg;https://m.media-amazon.com/images/I/51PkDh6VmeL.jpg;https://m.media-amazon.com/images/I/51RSf+HwezL.jpg;https://m.media-amazon.com/images/I/41tbmmTx20L.jpg</t>
  </si>
  <si>
    <t>B0D4GFXW9L</t>
  </si>
  <si>
    <t>WNBLITZ2-110</t>
  </si>
  <si>
    <t>0196301158615</t>
  </si>
  <si>
    <t>https://m.media-amazon.com/images/I/81FyCh9uwZL.jpg;https://m.media-amazon.com/images/I/41yzmjntY5L.jpg;https://m.media-amazon.com/images/I/31kwqm70ihL.jpg;https://m.media-amazon.com/images/I/31eOrgNrgPL.jpg;https://m.media-amazon.com/images/I/41DcSkiMoJL.jpg;https://m.media-amazon.com/images/I/31h2SQ37eHL.jpg;https://m.media-amazon.com/images/I/41R-6y7Qq7L.jpg</t>
  </si>
  <si>
    <t>Dress to impress in the Blitz high heel dress sandal! This sexy strappy sandal features asymmetrical jeweled tubular straps that give an elegant barely there look and feel. The adjustable ankle strap and sculpted high heel make this sandal a musy have.</t>
  </si>
  <si>
    <t>0196301158653</t>
  </si>
  <si>
    <t>B0C5Z1WB4W</t>
  </si>
  <si>
    <t>0195979339685</t>
  </si>
  <si>
    <t>https://m.media-amazon.com/images/I/61PRw54mHsL.jpg;https://m.media-amazon.com/images/I/6102ZZRmHyL.jpg;https://m.media-amazon.com/images/I/61u1GDFM1bL.jpg;https://m.media-amazon.com/images/I/61W3Gr+4bhL.jpg;https://m.media-amazon.com/images/I/71gnAJSKJsL.jpg;https://m.media-amazon.com/images/I/71t3GjDijoL.jpg;https://m.media-amazon.com/images/I/61uJ+Qr-QML.jpg;https://m.media-amazon.com/images/I/61i94xUDAUL.jpg;https://m.media-amazon.com/images/I/61rVTANNYNL.jpg</t>
  </si>
  <si>
    <t>This all-in-one jacket system offers a waterproof shell and an insulating fleece mid layer that can be zipped in on cold days or left at home when it’s warmer. Together, they deliver a great mix of warmth, weather protection, and versatility.    The outer shell is crafted from our signature Omni-Tech polyester, forming a rain jacket that keeps its promise of waterproof protection that breathes. The heavyweight 250g filament fleece inner jacket is made from 80% recycled polyester, and is warm and cozy when worn on its own. Designed as a three point zip-in interchange system, you'll appreciate the adjustable hood, zippered side pockets, an interior security pocket, adjustable cuffs at the sleeves, and a drawcord adjustable hem that seals the cold mix out, and keeps the dry warmth in.   This men’s jacket system is available in multiple colors and sizes. Regular Fit. To ensure the right fit, please utilize our sizing chart and the following measurement instructions: For the sleeves, start at the center back of your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</si>
  <si>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0195979337940</t>
  </si>
  <si>
    <t>https://m.media-amazon.com/images/I/61XB4RylBvL.jpg;https://m.media-amazon.com/images/I/61Px9EO3czL.jpg;https://m.media-amazon.com/images/I/51w4Wz6WjPL.jpg;https://m.media-amazon.com/images/I/617DA15XPyL.jpg;https://m.media-amazon.com/images/I/71DO8UsFrQL.jpg;https://m.media-amazon.com/images/I/71t3GjDijoL.jpg;https://m.media-amazon.com/images/I/618rUq-Y2XL.jpg;https://m.media-amazon.com/images/I/613WHCzuqyL.jpg;https://m.media-amazon.com/images/I/61xGHbr-WbL.jpg</t>
  </si>
  <si>
    <t>0195979339555</t>
  </si>
  <si>
    <t>https://m.media-amazon.com/images/I/61SKnTmGe0L.jpg;https://m.media-amazon.com/images/I/61VxujvQzRL.jpg;https://m.media-amazon.com/images/I/61sCR4h+RHL.jpg;https://m.media-amazon.com/images/I/61eyhQo4xkL.jpg;https://m.media-amazon.com/images/I/71M1XtPkggL.jpg;https://m.media-amazon.com/images/I/71t3GjDijoL.jpg;https://m.media-amazon.com/images/I/618EYB-knCL.jpg;https://m.media-amazon.com/images/I/51M2hCq3OkL.jpg;https://m.media-amazon.com/images/I/61beulLVjdL.jpg</t>
  </si>
  <si>
    <t>0195979339586</t>
  </si>
  <si>
    <t>B09WCVMGVH</t>
  </si>
  <si>
    <t>0196883803002</t>
  </si>
  <si>
    <t>https://m.media-amazon.com/images/I/618DpYgmSvL.jpg;https://m.media-amazon.com/images/I/61M5Hp2n9RL.jpg;https://m.media-amazon.com/images/I/71yPWaF9CUL.jpg;https://m.media-amazon.com/images/I/61UzliKCQpL.jpg;https://m.media-amazon.com/images/I/61gmAIVJKOL.jpg;https://m.media-amazon.com/images/I/61J9NMZvnRL.jpg</t>
  </si>
  <si>
    <t>We brushed the fabric on the outside and kept it smooth on the inside for pants that feel just as good when you're working as they do when you first pull them on. They also wick sweat and stay in place with a smooth, high-rise waist. Ultra-soft fabric is breathable &amp; comfortable. Material wicks sweat &amp; dries really fast. 4-way stretch material moves better in every direction. Wide, flat waistband with side drop-in pocket. Inseam: 8"", Pockets: Yes. 82% Polyester/18% Elastane.</t>
  </si>
  <si>
    <t>0627574822168</t>
  </si>
  <si>
    <t>0627574822175</t>
  </si>
  <si>
    <t>0627574822199</t>
  </si>
  <si>
    <t>0627574822205</t>
  </si>
  <si>
    <t>0195862000906</t>
  </si>
  <si>
    <t>3 months</t>
  </si>
  <si>
    <t>https://m.media-amazon.com/images/I/51xwxnK0U6L.jpg;https://m.media-amazon.com/images/I/51BcwSi7GWL.jpg</t>
  </si>
  <si>
    <t>Give baby extra comfort with these coveralls by Carter's! Carter's coveralls Cotton construction Graphic applique Zip closure 100% cotton Machine wash cold Made in China</t>
  </si>
  <si>
    <t>0195862000913</t>
  </si>
  <si>
    <t>6 months</t>
  </si>
  <si>
    <t>0195862000920</t>
  </si>
  <si>
    <t>9 months</t>
  </si>
  <si>
    <t>0195862000876</t>
  </si>
  <si>
    <t>B0BG3942LX</t>
  </si>
  <si>
    <t>0191900562078</t>
  </si>
  <si>
    <t>https://m.media-amazon.com/images/I/617kpfLU3XL.jpg;https://m.media-amazon.com/images/I/61ltxnZrsML.jpg;https://m.media-amazon.com/images/I/618gTvHVYRL.jpg;https://m.media-amazon.com/images/I/61Q8LOPdCBL.jpg</t>
  </si>
  <si>
    <t>This ANDREW MARC womens Quilted jacket is a mid length and has an attached hood</t>
  </si>
  <si>
    <t>0191900562191</t>
  </si>
  <si>
    <t>https://m.media-amazon.com/images/I/719joySjyiL.jpg;https://m.media-amazon.com/images/I/71gn++Mv9uL.jpg;https://m.media-amazon.com/images/I/61eJhqx4i9L.jpg;https://m.media-amazon.com/images/I/61Z2OBaNenL.jpg;https://m.media-amazon.com/images/I/71KLy4FsIXL.jpg</t>
  </si>
  <si>
    <t>0191900562115</t>
  </si>
  <si>
    <t>https://m.media-amazon.com/images/I/71hYO43UcYL.jpg;https://m.media-amazon.com/images/I/714VVyORlWL.jpg;https://m.media-amazon.com/images/I/618T4ejjVAL.jpg;https://m.media-amazon.com/images/I/61l880JSCKL.jpg</t>
  </si>
  <si>
    <t>0191900564959</t>
  </si>
  <si>
    <t>0191900564966</t>
  </si>
  <si>
    <t>0191900564942</t>
  </si>
  <si>
    <t>B09DH1H99P</t>
  </si>
  <si>
    <t>0194870515983</t>
  </si>
  <si>
    <t>Small Plus</t>
  </si>
  <si>
    <t>https://m.media-amazon.com/images/I/31E+gSEaRiL.jpg;https://m.media-amazon.com/images/I/21FearZKjdL.jpg;https://m.media-amazon.com/images/I/31A0GMC2FbL.jpg;https://m.media-amazon.com/images/I/31-vn12Zz+L.jpg;https://m.media-amazon.com/images/I/31mlouLe+WL.jpg;https://m.media-amazon.com/images/I/41bwnb+i5SL.jpg</t>
  </si>
  <si>
    <t>This short sleeve graphic tee shirts from Adidas brings comfort, Quality and value to your active wardrobe.</t>
  </si>
  <si>
    <t>0194870515990</t>
  </si>
  <si>
    <t>Medium Plus</t>
  </si>
  <si>
    <t>0194870516003</t>
  </si>
  <si>
    <t>Large Plus</t>
  </si>
  <si>
    <t>B0CLPN56ZR</t>
  </si>
  <si>
    <t>0192576886239</t>
  </si>
  <si>
    <t>https://m.media-amazon.com/images/I/81U1PvR1YGL.jpg</t>
  </si>
  <si>
    <t>Nick Graham Long Sleeve Park Ave Paisley Tie Set for Men, Wrinkle Resistant Modern Fit Button Down Shirt with Performance Fabric</t>
  </si>
  <si>
    <t>0196572689511</t>
  </si>
  <si>
    <t>https://m.media-amazon.com/images/I/61bc4FwhJUL.jpg;https://m.media-amazon.com/images/I/61kBNtob4lL.jpg;https://m.media-amazon.com/images/I/61BYRj3hTDL.jpg</t>
  </si>
  <si>
    <t>0196572689627</t>
  </si>
  <si>
    <t>B07HVKCNBJ</t>
  </si>
  <si>
    <t>0195861426035</t>
  </si>
  <si>
    <t>12-14 Years</t>
  </si>
  <si>
    <t>https://m.media-amazon.com/images/I/81+RPuWGHkL.jpg;https://m.media-amazon.com/images/I/81Thuru7YRL.jpg;https://m.media-amazon.com/images/I/418RhWsIWyL.jpg</t>
  </si>
  <si>
    <t>One for her and one for her favorite doll! These nightgowns are crafted in cozy fleece with a festive print.</t>
  </si>
  <si>
    <t>B0BN6XPK98</t>
  </si>
  <si>
    <t>0196457521066</t>
  </si>
  <si>
    <t>https://m.media-amazon.com/images/I/31Y2YdchoyL.jpg;https://m.media-amazon.com/images/I/31LFvnEZxLL.jpg;https://m.media-amazon.com/images/I/31-Zh72KMzL.jpg;https://m.media-amazon.com/images/I/41q3vBcP9CL.jpg;https://m.media-amazon.com/images/I/5179L-FlNiL.jpg</t>
  </si>
  <si>
    <t>0196457453541</t>
  </si>
  <si>
    <t>https://m.media-amazon.com/images/I/31YKr5aNg+L.jpg;https://m.media-amazon.com/images/I/31yglxJiM0L.jpg;https://m.media-amazon.com/images/I/31w0u7caavL.jpg;https://m.media-amazon.com/images/I/411uH50GkXL.jpg;https://m.media-amazon.com/images/I/5179L-FlNiL.jpg</t>
  </si>
  <si>
    <t>0196457452650</t>
  </si>
  <si>
    <t>https://m.media-amazon.com/images/I/31o1frpvKFL.jpg;https://m.media-amazon.com/images/I/31jAndovfXL.jpg;https://m.media-amazon.com/images/I/31B4ey4rrXL.jpg;https://m.media-amazon.com/images/I/41a4jQMgZtL.jpg;https://m.media-amazon.com/images/I/5179L-FlNiL.jpg</t>
  </si>
  <si>
    <t>0196457453398</t>
  </si>
  <si>
    <t>https://m.media-amazon.com/images/I/31lQH6KB5lL.jpg;https://m.media-amazon.com/images/I/31jZz7O8IwL.jpg;https://m.media-amazon.com/images/I/31FJXKpnPzL.jpg;https://m.media-amazon.com/images/I/41yMM3DYyhL.jpg;https://m.media-amazon.com/images/I/5179L-FlNiL.jpg</t>
  </si>
  <si>
    <t>B0CTS7WQR3</t>
  </si>
  <si>
    <t>0191900560517</t>
  </si>
  <si>
    <t>https://m.media-amazon.com/images/I/51e5uIk4UXL.jpg;https://m.media-amazon.com/images/I/61K92K5S5oL.jpg;https://m.media-amazon.com/images/I/51NAuJ+epZL.jpg;https://m.media-amazon.com/images/I/715r3Z3SmrL.jpg;https://m.media-amazon.com/images/I/61cPyoGNHNL.jpg</t>
  </si>
  <si>
    <t>This ANDREW MARC womens faux down filled puffer coat with a matte shell fabric and rib knit trim. The style features a mix of horizontal and chevron quilting, with added waist tabs</t>
  </si>
  <si>
    <t>0191900560555</t>
  </si>
  <si>
    <t>https://m.media-amazon.com/images/I/519SYjbtkkL.jpg;https://m.media-amazon.com/images/I/51HjzuV3J0L.jpg;https://m.media-amazon.com/images/I/61PAG306+2L.jpg;https://m.media-amazon.com/images/I/61A8aGUZHFL.jpg;https://m.media-amazon.com/images/I/619Z41jm3rL.jpg</t>
  </si>
  <si>
    <t>B0BG3G6983</t>
  </si>
  <si>
    <t>0191900564041</t>
  </si>
  <si>
    <t>https://m.media-amazon.com/images/I/51LkPcFKZvL.jpg;https://m.media-amazon.com/images/I/61y8aLzpBwL.jpg;https://m.media-amazon.com/images/I/61pcZWfVkcL.jpg;https://m.media-amazon.com/images/I/516vQe-BFXL.jpg;https://m.media-amazon.com/images/I/51DmZRiqDiL.jpg</t>
  </si>
  <si>
    <t>0191900560470</t>
  </si>
  <si>
    <t>0191900565024</t>
  </si>
  <si>
    <t>https://m.media-amazon.com/images/I/31FIAKsghhL.jpg;https://m.media-amazon.com/images/I/31GIVcm28SL.jpg;https://m.media-amazon.com/images/I/31RIMDMaXnL.jpg;https://m.media-amazon.com/images/I/41gAbJ5F9pL.jpg;https://m.media-amazon.com/images/I/31hW3JHNBDL.jpg</t>
  </si>
  <si>
    <t>0191900565031</t>
  </si>
  <si>
    <t>0191900565017</t>
  </si>
  <si>
    <t>https://m.media-amazon.com/images/I/312CQrndabL.jpg;https://m.media-amazon.com/images/I/31KbNWLsS7L.jpg;https://m.media-amazon.com/images/I/31ZT7B92OPL.jpg;https://m.media-amazon.com/images/I/41uIRy+He5L.jpg;https://m.media-amazon.com/images/I/31uybvX1bQL.jpg</t>
  </si>
  <si>
    <t>0191900565000</t>
  </si>
  <si>
    <t>https://m.media-amazon.com/images/I/31JHvfJjBvL.jpg;https://m.media-amazon.com/images/I/31xpQXhzdaL.jpg;https://m.media-amazon.com/images/I/41rcboJr8FL.jpg;https://m.media-amazon.com/images/I/311esk3c00L.jpg;https://m.media-amazon.com/images/I/31UXi37EHnL.jpg</t>
  </si>
  <si>
    <t>0191900560548</t>
  </si>
  <si>
    <t>https://m.media-amazon.com/images/I/31+FKFOrpmL.jpg;https://m.media-amazon.com/images/I/31cJ0t28njL.jpg;https://m.media-amazon.com/images/I/31HDWEXIj0L.jpg;https://m.media-amazon.com/images/I/31g3cVwCYPL.jpg;https://m.media-amazon.com/images/I/31b5pb1XVHL.jpg</t>
  </si>
  <si>
    <t>0191900560500</t>
  </si>
  <si>
    <t>0191900564034</t>
  </si>
  <si>
    <t>0191900560463</t>
  </si>
  <si>
    <t>0191900560456</t>
  </si>
  <si>
    <t>0196474693258</t>
  </si>
  <si>
    <t>https://m.media-amazon.com/images/I/310JdqpzljL.jpg;https://m.media-amazon.com/images/I/516AEh7DoDL.jpg;https://m.media-amazon.com/images/I/517Jshx1F7L.jpg;https://m.media-amazon.com/images/I/51pv8u53R5L.jpg;https://m.media-amazon.com/images/I/61MSnDGsuHL.jpg;https://m.media-amazon.com/images/I/61zkkSocZlL.jpg;https://m.media-amazon.com/images/I/51Qex9ADQGL.jpg</t>
  </si>
  <si>
    <t>Show your loungy side in this adidas hoodie featuring animal-print 3-Stripes for a touch of wild style. Made from luxurious cotton French terry, it has loose, roomy fit that's all about relaxing or casual exploring. It's cropped for style, with a drawcord-adjustable hood for when you need it. By choosing recycled, we are able to reuse materials that have already been created, which helps to reduce waste. Renewable materials choices will help us to remove our reliance on finite resources. Our products made with a blend of recycled and renewable materials feature at least 70% total of these materials.</t>
  </si>
  <si>
    <t>0196474693241</t>
  </si>
  <si>
    <t>https://m.media-amazon.com/images/I/51bZM9uBFcL.jpg;https://m.media-amazon.com/images/I/516AEh7DoDL.jpg;https://m.media-amazon.com/images/I/517Jshx1F7L.jpg;https://m.media-amazon.com/images/I/51pv8u53R5L.jpg;https://m.media-amazon.com/images/I/61MSnDGsuHL.jpg;https://m.media-amazon.com/images/I/61zkkSocZlL.jpg;https://m.media-amazon.com/images/I/51Qex9ADQGL.jpg</t>
  </si>
  <si>
    <t>IT0287_160</t>
  </si>
  <si>
    <t>0196474693234</t>
  </si>
  <si>
    <t>IT0287_170</t>
  </si>
  <si>
    <t>0196474693265</t>
  </si>
  <si>
    <t>0195253804212</t>
  </si>
  <si>
    <t>https://m.media-amazon.com/images/I/41l57eK9LuL.jpg;https://m.media-amazon.com/images/I/41VgUkHgdUL.jpg;https://m.media-amazon.com/images/I/41hJZz3fIqL.jpg;https://m.media-amazon.com/images/I/51jRxVd20CL.jpg;https://m.media-amazon.com/images/I/411RxLNLU7L.jpg;https://m.media-amazon.com/images/I/41u2nrwh+7L.jpg</t>
  </si>
  <si>
    <t>0195253804236</t>
  </si>
  <si>
    <t>https://m.media-amazon.com/images/I/31lazeCnyZL.jpg;https://m.media-amazon.com/images/I/31kEcLR1DzL.jpg;https://m.media-amazon.com/images/I/31rpbJ9w9CL.jpg;https://m.media-amazon.com/images/I/41HK4Dlm2xL.jpg;https://m.media-amazon.com/images/I/31bdyK+9wmL.jpg;https://m.media-amazon.com/images/I/31+nNn58emL.jpg</t>
  </si>
  <si>
    <t>0195862110278</t>
  </si>
  <si>
    <t>https://m.media-amazon.com/images/I/412KhtvU5qL.jpg;https://m.media-amazon.com/images/I/41dQ+aQN0hL.jpg;https://m.media-amazon.com/images/I/412KhtvU5qL.jpg</t>
  </si>
  <si>
    <t>0195862110247</t>
  </si>
  <si>
    <t>https://m.media-amazon.com/images/I/812IldTvY7L.jpg;https://m.media-amazon.com/images/I/81QZINIMrZL.jpg;https://m.media-amazon.com/images/I/412KhtvU5qL.jpg</t>
  </si>
  <si>
    <t>0195862110230</t>
  </si>
  <si>
    <t>0195862110254</t>
  </si>
  <si>
    <t>0195862110209</t>
  </si>
  <si>
    <t>0195862110216</t>
  </si>
  <si>
    <t>0195862110223</t>
  </si>
  <si>
    <t>B07YXMPW1M</t>
  </si>
  <si>
    <t>0196883878062</t>
  </si>
  <si>
    <t>https://m.media-amazon.com/images/I/41WbpoMFJKL.jpg;https://m.media-amazon.com/images/I/41KUXtkSqML.jpg;https://m.media-amazon.com/images/I/51Y7vwgZ9PL.jpg;https://m.media-amazon.com/images/I/41Mo2imsfTL.jpg;https://m.media-amazon.com/images/I/41q97++wxBL.jpg;https://m.media-amazon.com/images/I/31j3V9pIkkL.jpg</t>
  </si>
  <si>
    <t>Ultra-soft cotton-blend fleece with brushed inside for extra warmth. Front kangaroo pocket. Ribbed cuffs &amp; bottom hem. 80% Cotton/20% Polyester.</t>
  </si>
  <si>
    <t>0195862115013</t>
  </si>
  <si>
    <t>https://m.media-amazon.com/images/I/41ywABXILAL.jpg;https://m.media-amazon.com/images/I/51h0uQyI-sL.jpg;https://m.media-amazon.com/images/I/211TjFlSGrL.jpg;https://m.media-amazon.com/images/I/41ywABXILAL.jpg</t>
  </si>
  <si>
    <t>0195862114986</t>
  </si>
  <si>
    <t>https://m.media-amazon.com/images/I/91tlNwZ2jFL.jpg;https://m.media-amazon.com/images/I/81ulI-CTi1L.jpg;https://m.media-amazon.com/images/I/71GLljzJn5L.jpg;https://m.media-amazon.com/images/I/41ywABXILAL.jpg</t>
  </si>
  <si>
    <t>0195862114979</t>
  </si>
  <si>
    <t>0195862114993</t>
  </si>
  <si>
    <t>0195862114948</t>
  </si>
  <si>
    <t>0195862114955</t>
  </si>
  <si>
    <t>0195862114962</t>
  </si>
  <si>
    <t>B015SLXWN2</t>
  </si>
  <si>
    <t>0196900120167</t>
  </si>
  <si>
    <t>https://m.media-amazon.com/images/I/61az5NH1q4L.jpg;https://m.media-amazon.com/images/I/419UlH84HRL.jpg</t>
  </si>
  <si>
    <t>B08778N72W</t>
  </si>
  <si>
    <t>0196900120310</t>
  </si>
  <si>
    <t>https://m.media-amazon.com/images/I/61gz0KTznaL.jpg;https://m.media-amazon.com/images/I/41Ma2LSUgPL.jpg</t>
  </si>
  <si>
    <t>This beautiful coat and dress set is perfect for the holidays! Red velvet dress has an all over sparkle with an attached white ribbon bow and white tulle underneath. The matching red jacket is trimmed in white . By Bonnie Jean. Available in all Sizes 3-6 months to Size 16</t>
  </si>
  <si>
    <t>0196900120266</t>
  </si>
  <si>
    <t>https://m.media-amazon.com/images/I/71OjuiWQz-L.jpg;https://m.media-amazon.com/images/I/41sf3iX5n3L.jpg</t>
  </si>
  <si>
    <t>0196900120297</t>
  </si>
  <si>
    <t>Long sleeve stretch velvet to paisley taffeta print hipster dress</t>
  </si>
  <si>
    <t>0843401047249</t>
  </si>
  <si>
    <t>https://m.media-amazon.com/images/I/71eu9PKbZCL.jpg;https://m.media-amazon.com/images/I/71ouG4j-PtL.jpg;https://m.media-amazon.com/images/I/61sh3uAu9RL.jpg;https://m.media-amazon.com/images/I/61vU2hIwjNL.jpg</t>
  </si>
  <si>
    <t>0195862113514</t>
  </si>
  <si>
    <t>0195862113484</t>
  </si>
  <si>
    <t>https://m.media-amazon.com/images/I/91zm6e4OU3L.jpg</t>
  </si>
  <si>
    <t>0195862113477</t>
  </si>
  <si>
    <t>https://m.media-amazon.com/images/I/41tJp950+IL.jpg</t>
  </si>
  <si>
    <t>0195862113491</t>
  </si>
  <si>
    <t>0195862113446</t>
  </si>
  <si>
    <t>0195862113453</t>
  </si>
  <si>
    <t>B0D4G6W7ZH</t>
  </si>
  <si>
    <t>0778988345498, 0778988348314</t>
  </si>
  <si>
    <t>https://m.media-amazon.com/images/I/81LuMkzwylL.jpg;https://m.media-amazon.com/images/I/81Qs-c8CA9L.jpg;https://m.media-amazon.com/images/I/71zXRjgZQ1L.jpg;https://m.media-amazon.com/images/I/81xo2+1GiUL.jpg;https://m.media-amazon.com/images/I/71AAfQj-gGL.jpg;https://m.media-amazon.com/images/I/81PhajBBSZL.jpg;https://m.media-amazon.com/images/I/71+Pds2w62L.jpg;https://m.media-amazon.com/images/I/71rpwiFa01L.jpg;https://m.media-amazon.com/images/I/818f0HWxOkL.jpg</t>
  </si>
  <si>
    <t>Get ready for an exciting day of pretend play baking with the Gabby’s Dollhouse, Bakey with Cakey Oven! This super-fun kitchen toy features over 11 play kitchen accessories, so kids can pretend to make all their favorite baked goods, from kitty donuts and kitty croissants to yummy kitty pizza’s, cinnamon paw rolls and more! The Cakey oven also features lights and sounds, so kids can place their treats on the baking rack, then, as they are cooking, press the button to turn on the lights and turn the dial to hear true-to-show sounds, music, and phrases with Cakey Cat! When their goodies are ready, use the kitty spatula to carefully remove the play food from the oven and lay them on the baking tray and use the 4, double-sided, chip-art “toppings” to decorate their yummy creations, before serving them to their friends! Then, for one last surprise, scan the QR code, found on the product packaging, to unlock a special reward in the free Gabbys Dollhouse App (available on iOS and Android). Gabby’s Dollhouse toys, plush toys, toy figures and playsets are educational toys that make great gifts for kids, ages 3 and up, as they help to expand his or her imaginations through exciting and creative pretend play! Dream up endless adventures and delightful delicacies with the Gabby’s Dollhouse, Bakey with Cakey Oven!</t>
  </si>
  <si>
    <t>B0BKTNRM9J</t>
  </si>
  <si>
    <t>0195979218638</t>
  </si>
  <si>
    <t>https://m.media-amazon.com/images/I/71urDPE0OWL.jpg;https://m.media-amazon.com/images/I/71UT4-qFStL.jpg;https://m.media-amazon.com/images/I/71TOXljcY6L.jpg;https://m.media-amazon.com/images/I/81peQmN5vhL.jpg</t>
  </si>
  <si>
    <t>0195979218676</t>
  </si>
  <si>
    <t>https://m.media-amazon.com/images/I/71WomYbGCvL.jpg;https://m.media-amazon.com/images/I/61a+gm9c9CL.jpg;https://m.media-amazon.com/images/I/61Zh-qJiT+L.jpg;https://m.media-amazon.com/images/I/71BtTk4HRGL.jpg;https://m.media-amazon.com/images/I/71LxSnzICTL.jpg;https://m.media-amazon.com/images/I/71mUt-UgkpL.jpg;https://m.media-amazon.com/images/I/71ON++SFdLL.jpg;https://m.media-amazon.com/images/I/61T-BqOX8CL.jpg;https://m.media-amazon.com/images/I/61XhHN3MifL.jpg</t>
  </si>
  <si>
    <t>A silky-soft fleece lining adds plush coziness to this insulated vest. It warms without adding weight, whether worn on its own or under a shell when the weather gets rough. Columbia offers this vest in multiple colors and sizes. Extended sizing available. Regular fit.</t>
  </si>
  <si>
    <t>0195979218614</t>
  </si>
  <si>
    <t>0195979218683</t>
  </si>
  <si>
    <t>0028266900711</t>
  </si>
  <si>
    <t>https://m.media-amazon.com/images/I/31A4RhoPm0L.jpg</t>
  </si>
  <si>
    <t>Manufactured by: Truck-Lite Merchant SKU: TL 99066Y Replacement Lens - Model 26 Beehive 3-9/16" diameter acrylic lens Replacement for our 26760Y lamp</t>
  </si>
  <si>
    <t>0028266900728, 0094704673370</t>
  </si>
  <si>
    <t>Oil Filter, Filter Design Spin-On, Full-Flow, Height 5-5/16 In. , Length 5-5/16 In. , Width 3-3/4 In. , Outside Dia. 3-3/4 In. , Includes Anti-Drain back Valve, 20PSID By-Pass Valve, (1] I-Gasket</t>
  </si>
  <si>
    <t>B0CF918T1S</t>
  </si>
  <si>
    <t>0094704671567, 0028266900735</t>
  </si>
  <si>
    <t>1 Count (Pack of 1)</t>
  </si>
  <si>
    <t>https://m.media-amazon.com/images/I/61FMUUrUOBL.jpg;https://m.media-amazon.com/images/I/61sRfZwf7qL.jpg;https://m.media-amazon.com/images/I/61JYQxA1m6L.jpg</t>
  </si>
  <si>
    <t>Description
Oil Filter, Filter Design Spin-On, Full-Flow, Height 4-1/16 In. , Length 4-1/16 In. , Width 3-1/32 In. , Outside Dia. 3-1/32 In. , Includes Anti-Drain back Valve, (1] I-Gasket</t>
  </si>
  <si>
    <t>B0C5ZR5817</t>
  </si>
  <si>
    <t>857450000-001</t>
  </si>
  <si>
    <t>0194328960532</t>
  </si>
  <si>
    <t>https://m.media-amazon.com/images/I/81K9fqhHCeL.jpg;https://m.media-amazon.com/images/I/71il+ZPWroL.jpg;https://m.media-amazon.com/images/I/810LfdQIc1L.jpg;https://m.media-amazon.com/images/I/519PmRl2f3L.jpg;https://m.media-amazon.com/images/I/51aUPP48s1L.jpg</t>
  </si>
  <si>
    <t>Worn by pioneers and cowboys, our Western Shirts have been loved by generations for a reason: With their durable construction and iconic style, they epitomize rugged Americana. This Classic Western Shirt features distressed detailing for an authentic, lived-in look.</t>
  </si>
  <si>
    <t>0196978547088</t>
  </si>
  <si>
    <t>https://m.media-amazon.com/images/I/61CVopTS2kL.jpg;https://m.media-amazon.com/images/I/6126Ca4-jBL.jpg</t>
  </si>
  <si>
    <t>0196978547774</t>
  </si>
  <si>
    <t>https://m.media-amazon.com/images/I/51LWJApo03L.jpg;https://m.media-amazon.com/images/I/51EoeDsq2PL.jpg</t>
  </si>
  <si>
    <t>Classic long-sleeve, twill Western Shirt. Original western details. Curved shirttail hem. Two snap-pockets at chest.</t>
  </si>
  <si>
    <t>B07GB8PSRK</t>
  </si>
  <si>
    <t>SC428D06J659-BLSIL-7</t>
  </si>
  <si>
    <t>0747941784179</t>
  </si>
  <si>
    <t>https://m.media-amazon.com/images/I/61lGFpYzUYL.jpg;https://m.media-amazon.com/images/I/61lsDY+x9AL.jpg</t>
  </si>
  <si>
    <t>This circle neck party dress with high-low hemline from Speechless girls is a beautiful dress for that special occasion. It perfectly blends sparkle and style. A beautiful dress for your beautiful girl.</t>
  </si>
  <si>
    <t>SC428D06J659-BLSIL-8</t>
  </si>
  <si>
    <t>0747941784308</t>
  </si>
  <si>
    <t>SC428D06J659-BLSIL-10</t>
  </si>
  <si>
    <t>0747941784315</t>
  </si>
  <si>
    <t>https://m.media-amazon.com/images/I/41+SyPd27pL.jpg;https://m.media-amazon.com/images/I/41l-b4f6hsL.jpg</t>
  </si>
  <si>
    <t>SC428D06J659-BLSIL-12</t>
  </si>
  <si>
    <t>0747941784322</t>
  </si>
  <si>
    <t>SC428D06J659-BLSIL-14</t>
  </si>
  <si>
    <t>0747941784339</t>
  </si>
  <si>
    <t>SC428D06J659-BLSIL-16</t>
  </si>
  <si>
    <t>0747941784346</t>
  </si>
  <si>
    <t>0195861919605</t>
  </si>
  <si>
    <t>https://m.media-amazon.com/images/I/813S49IpF3L.jpg;https://m.media-amazon.com/images/I/819N5FDp8qL.jpg;https://m.media-amazon.com/images/I/41IF25h-sDL.jpg</t>
  </si>
  <si>
    <t>Made to match, this set is complete with a zip-up double knit vest, a long-sleeve bodysuit and a pair of pull-on pants.</t>
  </si>
  <si>
    <t>0195861919575</t>
  </si>
  <si>
    <t>0195861919568</t>
  </si>
  <si>
    <t>Designed with a zip-front design, this cute vest pairs with a long-sleeve bodysuit and a pair of coordinating pants.</t>
  </si>
  <si>
    <t>0195861919582</t>
  </si>
  <si>
    <t>https://m.media-amazon.com/images/I/813S49IpF3L.jpg;https://m.media-amazon.com/images/I/819N5FDp8qL.jpg;https://m.media-amazon.com/images/I/81rbA-In7EL.jpg;https://m.media-amazon.com/images/I/81XwZQTMtUL.jpg;https://m.media-amazon.com/images/I/51JpJALuyDL.jpg</t>
  </si>
  <si>
    <t>0195861919537</t>
  </si>
  <si>
    <t>0195861919544</t>
  </si>
  <si>
    <t>https://m.media-amazon.com/images/I/41IF25h-sDL.jpg;https://m.media-amazon.com/images/I/51YdMKW5e6L.jpg;https://m.media-amazon.com/images/I/41IF25h-sDL.jpg;https://m.media-amazon.com/images/I/41uxIRWvPNL.jpg;https://m.media-amazon.com/images/I/51JpJALuyDL.jpg</t>
  </si>
  <si>
    <t>B0CJ1NYT73</t>
  </si>
  <si>
    <t>0627574822281</t>
  </si>
  <si>
    <t>0627574822298</t>
  </si>
  <si>
    <t>0627574822304</t>
  </si>
  <si>
    <t>https://m.media-amazon.com/images/I/716Vu2ONmrL.jpg;https://m.media-amazon.com/images/I/31E4o98nPLL.jpg;https://m.media-amazon.com/images/I/31nf+4dr8EL.jpg;https://m.media-amazon.com/images/I/31nKYXqwF1L.jpg;https://m.media-amazon.com/images/I/31swy0ILEcL.jpg;https://m.media-amazon.com/images/I/31sCe9zYx6L.jpg;https://m.media-amazon.com/images/I/41rRDXaGsTL.jpg</t>
  </si>
  <si>
    <t>Made for the child who loves to climb every snowbank in sight, our Timber kids' neoprene and rubber boots for winter are insulated and fully waterproof to keep them warm and dry all season long. They feature removable EVA insoles that mould to their feet and a midsole made with sustainable BLOOM™ EVA foam for added comfort. These kids' boots with thick insulation will keep their toes toasty in temperatures as low as -25°F, so you can relax inside while you watch them build a snow fort through the window.</t>
  </si>
  <si>
    <t>0627574822311</t>
  </si>
  <si>
    <t>0627574822328</t>
  </si>
  <si>
    <t>B0D3F9Y6SV</t>
  </si>
  <si>
    <t>1365336-001-X-Small</t>
  </si>
  <si>
    <t>0194514366636</t>
  </si>
  <si>
    <t>https://m.media-amazon.com/images/I/412KWGKQRnL.jpg;https://m.media-amazon.com/images/I/41HmtvKtQ3L.jpg;https://m.media-amazon.com/images/I/41ktkBWhh7L.jpg;https://m.media-amazon.com/images/I/51ufAzai4lL.jpg</t>
  </si>
  <si>
    <t>Under Armour womens HeatGear Armour High No-Slip Waistband Pocketed Leggings</t>
  </si>
  <si>
    <t>1365336-410-X-Small</t>
  </si>
  <si>
    <t>0194514382605</t>
  </si>
  <si>
    <t>https://m.media-amazon.com/images/I/31-UeT98yzL.jpg;https://m.media-amazon.com/images/I/31h9JLAjDgL.jpg;https://m.media-amazon.com/images/I/21+RdA0T+iL.jpg</t>
  </si>
  <si>
    <t>0196039029164</t>
  </si>
  <si>
    <t>X-Small Tall</t>
  </si>
  <si>
    <t>https://m.media-amazon.com/images/I/41HVo2Ml6FL.jpg;https://m.media-amazon.com/images/I/41sTTAOMozL.jpg;https://m.media-amazon.com/images/I/611WLJolCfL.jpg;https://m.media-amazon.com/images/I/41rQSDfQ0KL.jpg;https://m.media-amazon.com/images/I/61ZkYeS-WHL.jpg</t>
  </si>
  <si>
    <t>Super-light HeatGear fabric delivers superior coverage without weighing you down. Material wicks sweat &amp; dries really fast. 4-way stretch construction moves better in every direction. Ergonomic flatlock seams deliver a comfortable, chafe-free fit. High-rise waist for optimal coverage &amp; support. Inseam: 28.5".</t>
  </si>
  <si>
    <t>0195861999515</t>
  </si>
  <si>
    <t>https://m.media-amazon.com/images/I/31ZVqn4YR-L.jpg;https://m.media-amazon.com/images/I/31WF9BM4MdL.jpg</t>
  </si>
  <si>
    <t>0195861999461</t>
  </si>
  <si>
    <t>https://m.media-amazon.com/images/I/51muNcsjZaL.jpg;https://m.media-amazon.com/images/I/51OvPEyk5HL.jpg</t>
  </si>
  <si>
    <t>0195861999478</t>
  </si>
  <si>
    <t>18 months</t>
  </si>
  <si>
    <t>0729367607737</t>
  </si>
  <si>
    <t>https://m.media-amazon.com/images/I/71L2gzVydlL.jpg;https://m.media-amazon.com/images/I/71YckAi65rL.jpg;https://m.media-amazon.com/images/I/6167apnHATL.jpg;https://m.media-amazon.com/images/I/81kxXjrK31L.jpg;https://m.media-amazon.com/images/I/71vdmRJvhyL.jpg;https://m.media-amazon.com/images/I/71qwAfEm8-L.jpg</t>
  </si>
  <si>
    <t>Steal the scene at cocktail hour with this shimmering opal pendant. Finished in a diamond-accented frame of sterling silver, a luminous oval-cut created opal is flanked by round-cut baby Swiss blue topaz totaling 1 1/6 carats. The piece measures 3/4 by 1/2 inches and comes with a sterling silver 18-inch box chain.
Opals are known for their breathtaking color play and this piece is no exception—the stone flaunts an array of green and blue undertones for a truly vibrant look. Blue topaz only enhances the shimmer and shine. This dazzling pendant makes a perfect gift for those born in October, with opal being a traditional birthstone for the fall month. It also is also a wonderful present for Mother’s Day, birthdays and more, since it comes with a keepsake box for easy gifting and storage.
The piece is stamped with ‘925’, as proof of its 925 sterling silver quality—a combination of 92.5% silver, with added copper and other alloy metals for durability. Sterling silver is the perfect choice for jewelry, for both its style and quality. For these reasons, you (or someone special) will cherish this pendant for years to come.</t>
  </si>
  <si>
    <t>B0CQDJHD3M</t>
  </si>
  <si>
    <t>ZPM5X4HWBSS</t>
  </si>
  <si>
    <t>0197394092244</t>
  </si>
  <si>
    <t>Bioworld</t>
  </si>
  <si>
    <t>https://m.media-amazon.com/images/I/71S63Le6KZL.jpg;https://m.media-amazon.com/images/I/71wHMG7nUvL.jpg;https://m.media-amazon.com/images/I/71rZ2IPWsYL.jpg;https://m.media-amazon.com/images/I/715G6cC-XcL.jpg;https://m.media-amazon.com/images/I/71yL6oo9CNL.jpg</t>
  </si>
  <si>
    <t>As superfans of all things pop-culture, Bioworld Canada is devoted in bringing connections between fans and the brands they love! We have partnered with the world’s most iconic brands to create officially licensed pop-culture apparel, accessories, and home goods. Our goal is to celebrate the individuality of style as a form of self-expression.</t>
  </si>
  <si>
    <t>B0D4V39Z7G</t>
  </si>
  <si>
    <t>0195333898117</t>
  </si>
  <si>
    <t>7 Little Kid</t>
  </si>
  <si>
    <t>https://m.media-amazon.com/images/I/61hPWFE+X-L.jpg;https://m.media-amazon.com/images/I/41UeaVYIltL.jpg;https://m.media-amazon.com/images/I/41Td-IMLsqL.jpg;https://m.media-amazon.com/images/I/31f+01tBBjL.jpg;https://m.media-amazon.com/images/I/41OxVuPZyJL.jpg;https://m.media-amazon.com/images/I/31VveZzUn4L.jpg;https://m.media-amazon.com/images/I/41d8KMv1+IL.jpg</t>
  </si>
  <si>
    <t>Product Description
Reef kids sandal From the Manufacturer
Reef is surf. They're inspired by water, by the ocean, by perfect waves, and the journey along the way to find them. They are a genuine, global surf brand that harvests the best of the lifestyle and shares it through authentic, innovative and fashionable product. At the core of Reef is their Latin roots and the inherent sensuality of the beach. The Reef team is committed to having fun in and out of the water, as well as giving back to the world that inspires them.</t>
  </si>
  <si>
    <t>0195333898124</t>
  </si>
  <si>
    <t>8 Little Kid</t>
  </si>
  <si>
    <t>0195333881058</t>
  </si>
  <si>
    <t>9 Little Kid</t>
  </si>
  <si>
    <t>0195333898131</t>
  </si>
  <si>
    <t>Reef girls Little Stargazer Prints</t>
  </si>
  <si>
    <t>0195333898148</t>
  </si>
  <si>
    <t>https://m.media-amazon.com/images/I/41HFFU+sujL.jpg;https://m.media-amazon.com/images/I/41UeaVYIltL.jpg;https://m.media-amazon.com/images/I/41Td-IMLsqL.jpg;https://m.media-amazon.com/images/I/31f+01tBBjL.jpg;https://m.media-amazon.com/images/I/41OxVuPZyJL.jpg;https://m.media-amazon.com/images/I/31VveZzUn4L.jpg;https://m.media-amazon.com/images/I/41d8KMv1+IL.jpg</t>
  </si>
  <si>
    <t>0195333898155</t>
  </si>
  <si>
    <t>B0C14WXZ1Z</t>
  </si>
  <si>
    <t>0196575365337</t>
  </si>
  <si>
    <t>https://m.media-amazon.com/images/I/51EiagsC7kL.jpg</t>
  </si>
  <si>
    <t>0196575365306</t>
  </si>
  <si>
    <t>0196575365399</t>
  </si>
  <si>
    <t>B0BHXTWR2Z</t>
  </si>
  <si>
    <t>0713610115872</t>
  </si>
  <si>
    <t>https://m.media-amazon.com/images/I/81lprZMVqcL.jpg;https://m.media-amazon.com/images/I/81rey0hmt7L.jpg</t>
  </si>
  <si>
    <t>Easy to pair with any skort or short, this tennis tank top from Grand Slam is one you'll definitely want in your wardrobe. The solid-colored athletic tank is made with interlock fabric for natural stretch that provides a comfortable fit. A mesh front panel provides breathability to keep you cool as your game heats up.</t>
  </si>
  <si>
    <t>B0CTTSR3FX</t>
  </si>
  <si>
    <t>0713610130547</t>
  </si>
  <si>
    <t>https://m.media-amazon.com/images/I/81PuUGMwo4L.jpg;https://m.media-amazon.com/images/I/81LnVZiP8RL.jpg</t>
  </si>
  <si>
    <t>0713610115896</t>
  </si>
  <si>
    <t>0713610130554</t>
  </si>
  <si>
    <t>0713610115902</t>
  </si>
  <si>
    <t>0713610130561</t>
  </si>
  <si>
    <t>0713610115919</t>
  </si>
  <si>
    <t>B0BGWNK23P</t>
  </si>
  <si>
    <t>1380271-504</t>
  </si>
  <si>
    <t>0196883994878</t>
  </si>
  <si>
    <t>https://m.media-amazon.com/images/I/51NkI5UNzGL.jpg;https://m.media-amazon.com/images/I/51WuKniG-FL.jpg</t>
  </si>
  <si>
    <t>Soft, comfortable sweater-knit fabric provides all-day warmth. Secure, zip sleeve pocket. Binding at cuffs &amp; collar. 100% Polyester.</t>
  </si>
  <si>
    <t>0196883993352</t>
  </si>
  <si>
    <t>https://m.media-amazon.com/images/I/41hxnBkm-+L.jpg;https://m.media-amazon.com/images/I/416peex6aWL.jpg;https://m.media-amazon.com/images/I/61LwIMu4W4L.jpg</t>
  </si>
  <si>
    <t>0196883988266</t>
  </si>
  <si>
    <t>https://m.media-amazon.com/images/I/31k11wF3uWL.jpg;https://m.media-amazon.com/images/I/316DSWSd89L.jpg;https://m.media-amazon.com/images/I/31X4NZsMe+L.jpg</t>
  </si>
  <si>
    <t>0196883984121</t>
  </si>
  <si>
    <t>https://m.media-amazon.com/images/I/41t8+eh8K3L.jpg;https://m.media-amazon.com/images/I/412D1Qm624L.jpg;https://m.media-amazon.com/images/I/61Cewl4wkqL.jpg</t>
  </si>
  <si>
    <t>B0CRFZCDNV</t>
  </si>
  <si>
    <t>0196562267088</t>
  </si>
  <si>
    <t>https://m.media-amazon.com/images/I/31EEpgOntWL.jpg;https://m.media-amazon.com/images/I/31bLbgQbJQL.jpg;https://m.media-amazon.com/images/I/31TnSoOBL4L.jpg;https://m.media-amazon.com/images/I/31WqY4uYXjL.jpg;https://m.media-amazon.com/images/I/31fxnS9jDwL.jpg;https://m.media-amazon.com/images/I/31lG17oix4L.jpg</t>
  </si>
  <si>
    <t>They’re giving fashion. They’re giving function. They’re giving every possible reason to rock them every day. Our forward-thinking Julia Loafers bring the cuteness in textbook style, from the chunky lug sole detail to the sleek high-shine design. Memory foam footbeds add a perfect touch of feel-good factor, while the easy wipe-clean material keeps maintenance at a minimum.</t>
  </si>
  <si>
    <t>0196562270545</t>
  </si>
  <si>
    <t>0196562269334</t>
  </si>
  <si>
    <t>0196562267095</t>
  </si>
  <si>
    <t>https://m.media-amazon.com/images/I/61S--T4GrUL.jpg;https://m.media-amazon.com/images/I/613DgL9yWgL.jpg;https://m.media-amazon.com/images/I/31TnSoOBL4L.jpg;https://m.media-amazon.com/images/I/31WqY4uYXjL.jpg;https://m.media-amazon.com/images/I/31fxnS9jDwL.jpg;https://m.media-amazon.com/images/I/31lG17oix4L.jpg</t>
  </si>
  <si>
    <t>0196562267866</t>
  </si>
  <si>
    <t>0196562267101</t>
  </si>
  <si>
    <t>0196562269655</t>
  </si>
  <si>
    <t>0196562267118</t>
  </si>
  <si>
    <t>0196524365463</t>
  </si>
  <si>
    <t>https://m.media-amazon.com/images/I/61h-M8VmIpL.jpg;https://m.media-amazon.com/images/I/31Q0ID5-mSL.jpg;https://m.media-amazon.com/images/I/31AE1h22tOL.jpg;https://m.media-amazon.com/images/I/51XB-eUIkfL.jpg;https://m.media-amazon.com/images/I/51IkcKxkAZL.jpg</t>
  </si>
  <si>
    <t>0196524365470</t>
  </si>
  <si>
    <t>045115529-450</t>
  </si>
  <si>
    <t>0196524365531</t>
  </si>
  <si>
    <t>0196524365982</t>
  </si>
  <si>
    <t>0196524365999</t>
  </si>
  <si>
    <t>0196524362073</t>
  </si>
  <si>
    <t>https://m.media-amazon.com/images/I/51x+uE6l9qL.jpg;https://m.media-amazon.com/images/I/31zqxD6A1ZL.jpg;https://m.media-amazon.com/images/I/31b4c-TfPdL.jpg;https://m.media-amazon.com/images/I/51XB-eUIkfL.jpg;https://m.media-amazon.com/images/I/51IkcKxkAZL.jpg</t>
  </si>
  <si>
    <t>0196524366057</t>
  </si>
  <si>
    <t>04511-3621-420-42W x 32L</t>
  </si>
  <si>
    <t>0052175196156</t>
  </si>
  <si>
    <t>https://m.media-amazon.com/images/I/411JtXNF0hL.jpg;https://m.media-amazon.com/images/I/51adXhNMsTL.jpg;https://m.media-amazon.com/images/I/41Fimr3IVTL.jpg</t>
  </si>
  <si>
    <t>0196099240141</t>
  </si>
  <si>
    <t>https://m.media-amazon.com/images/I/51nCsEowGqL.jpg;https://m.media-amazon.com/images/I/517UbseeykL.jpg;https://m.media-amazon.com/images/I/51MCrKBx1xL.jpg</t>
  </si>
  <si>
    <t>0196524362240</t>
  </si>
  <si>
    <t>B0D3JCBWDV</t>
  </si>
  <si>
    <t>NS857KL-256-38W x 32L</t>
  </si>
  <si>
    <t>0191057844751</t>
  </si>
  <si>
    <t>https://m.media-amazon.com/images/I/41RfA3l6MbL.jpg;https://m.media-amazon.com/images/I/41YBOla3CeL.jpg;https://m.media-amazon.com/images/I/318QS7zS5-L.jpg;https://m.media-amazon.com/images/I/31XURQC8q0L.jpg;https://m.media-amazon.com/images/I/51ndozzZgWL.jpg;https://m.media-amazon.com/images/I/41jYhwuHkOL.jpg</t>
  </si>
  <si>
    <t>NS857KL-256-40W x 30L</t>
  </si>
  <si>
    <t>0191057844775</t>
  </si>
  <si>
    <t>NS857MR-256-42W x 30L</t>
  </si>
  <si>
    <t>0191057847578</t>
  </si>
  <si>
    <t>https://m.media-amazon.com/images/I/81FdKhJV0XL.jpg;https://m.media-amazon.com/images/I/81i0tMH4hGL.jpg;https://m.media-amazon.com/images/I/71ItcWul5xL.jpg;https://m.media-amazon.com/images/I/71zDTNqNsvL.jpg;https://m.media-amazon.com/images/I/81BXE4SZqGL.jpg;https://m.media-amazon.com/images/I/91kpuptQ2tL.jpg</t>
  </si>
  <si>
    <t>NS857KL-256-42W x 30L</t>
  </si>
  <si>
    <t>0191057844805</t>
  </si>
  <si>
    <t>NS857SR-311-42W x 30L</t>
  </si>
  <si>
    <t>0191057873225</t>
  </si>
  <si>
    <t>https://m.media-amazon.com/images/I/71YipvhEupL.jpg;https://m.media-amazon.com/images/I/71zJFXW34NL.jpg;https://m.media-amazon.com/images/I/71fG2nmDeOL.jpg;https://m.media-amazon.com/images/I/81M6bg7nGRL.jpg;https://m.media-amazon.com/images/I/81gTmW8zpRL.jpg;https://m.media-amazon.com/images/I/81VRN1lngpL.jpg</t>
  </si>
  <si>
    <t>NS857KL-256-42W x 32L</t>
  </si>
  <si>
    <t>0191057844812</t>
  </si>
  <si>
    <t>B0BLXPNPQV</t>
  </si>
  <si>
    <t>1372112</t>
  </si>
  <si>
    <t>0194004341310</t>
  </si>
  <si>
    <t>https://m.media-amazon.com/images/I/31Q321+5mYL.jpg;https://m.media-amazon.com/images/I/31DCCr1gn6L.jpg;https://m.media-amazon.com/images/I/41TUPQ8VGjL.jpg</t>
  </si>
  <si>
    <t>There's nothing more necessary than a fleece layer in a women's outdoor winter wardrobe—that's why the Benton Springs Full Zip Fleece Jacket exists. Columbia's soft, winter-ready jacket is the ultimate warmth provider and the everyday style piece. Crafted of our super-soft 100% polyester MTR filament fleece, this Benton Springs Full Zip Fleece Jacket is the perfect layering piece and first line of defense to combat the cold. It contains a modern classic fit that allows for comfortable movement and zippered side pockets to keep your small items (including your hands) secure. An added bonus is the warm collar that's flexible so you can choose whether you want to wear it up or down, depending on your desired level of toastiness. Our Benton Springs Full Zip Fleece Jacket is available in many accommodating sizes and colors as well. To ensure the size you choose is right, utilize our sizing chart and the following measurement instructions: For the sleeves, start at the center back of your neck and measure across the shoulder and down to the sleeve. If you come up with a partial number, round up to the next even number. For the chest, measure at the fullest part of the chest, under the armpits and over the shoulder blades, keeping the tape measure firm and level.</t>
  </si>
  <si>
    <t>B0CZRVZJRC</t>
  </si>
  <si>
    <t>0196470199211</t>
  </si>
  <si>
    <t>https://m.media-amazon.com/images/I/61mC8vz24uL.jpg;https://m.media-amazon.com/images/I/81Pfz1sRG-L.jpg;https://m.media-amazon.com/images/I/81WzGePMsKL.jpg;https://m.media-amazon.com/images/I/41YGwz+J5uL.jpg;https://m.media-amazon.com/images/I/41aPH11WoTL.jpg</t>
  </si>
  <si>
    <t>0196470199174</t>
  </si>
  <si>
    <t>https://m.media-amazon.com/images/I/71Mz3bjdh9L.jpg;https://m.media-amazon.com/images/I/81QYcNFUtzL.jpg;https://m.media-amazon.com/images/I/81XMCYSfCrL.jpg;https://m.media-amazon.com/images/I/417WV9osPiL.jpg;https://m.media-amazon.com/images/I/41DCYrVmJGL.jpg</t>
  </si>
  <si>
    <t>0196470199136</t>
  </si>
  <si>
    <t>0196470201907</t>
  </si>
  <si>
    <t>0196470199198</t>
  </si>
  <si>
    <t>0196470199167</t>
  </si>
  <si>
    <t>0196470199228</t>
  </si>
  <si>
    <t>0196470199150</t>
  </si>
  <si>
    <t>https://m.media-amazon.com/images/I/41L9m5fS5fL.jpg;https://m.media-amazon.com/images/I/41Mct3RqpQL.jpg;https://m.media-amazon.com/images/I/41FKa8G+r4L.jpg;https://m.media-amazon.com/images/I/417WV9osPiL.jpg;https://m.media-amazon.com/images/I/41DCYrVmJGL.jpg</t>
  </si>
  <si>
    <t>0196470199181</t>
  </si>
  <si>
    <t>0196470199143</t>
  </si>
  <si>
    <t>B0CLTH9WWB</t>
  </si>
  <si>
    <t>0191900561439</t>
  </si>
  <si>
    <t>https://m.media-amazon.com/images/I/51fj-KbIuhL.jpg;https://m.media-amazon.com/images/I/51SMU1tduUL.jpg;https://m.media-amazon.com/images/I/61JdJce683L.jpg;https://m.media-amazon.com/images/I/61xDiYuT4XL.jpg</t>
  </si>
  <si>
    <t>This ANDREW MARC womens down filled long puffer with luxurious DTM faux fur trimmed attached hood and side vent detail</t>
  </si>
  <si>
    <t>0191900561392</t>
  </si>
  <si>
    <t>https://m.media-amazon.com/images/I/71XMTHkT5NL.jpg;https://m.media-amazon.com/images/I/71NUuyxf3IL.jpg;https://m.media-amazon.com/images/I/71VYI5o7Y4L.jpg;https://m.media-amazon.com/images/I/616JR1SvHVL.jpg</t>
  </si>
  <si>
    <t>0191900558668</t>
  </si>
  <si>
    <t>https://m.media-amazon.com/images/I/71n6ApT6qQL.jpg;https://m.media-amazon.com/images/I/71oEw66jeNL.jpg;https://m.media-amazon.com/images/I/71wqGCgdc7L.jpg;https://m.media-amazon.com/images/I/612FonfAEgL.jpg</t>
  </si>
  <si>
    <t>0191900565055</t>
  </si>
  <si>
    <t>0191900565048</t>
  </si>
  <si>
    <t>https://m.media-amazon.com/images/I/41jZ8BBJN1L.jpg;https://m.media-amazon.com/images/I/318wfIprVIL.jpg;https://m.media-amazon.com/images/I/41CKc0EVe2L.jpg;https://m.media-amazon.com/images/I/31G93mPLgvL.jpg</t>
  </si>
  <si>
    <t>0191900558651</t>
  </si>
  <si>
    <t>https://m.media-amazon.com/images/I/41kXHyPwb1L.jpg;https://m.media-amazon.com/images/I/31Vh315jwML.jpg;https://m.media-amazon.com/images/I/41r3JBvr37L.jpg;https://m.media-amazon.com/images/I/311a67D2DdL.jpg</t>
  </si>
  <si>
    <t>0191900561422</t>
  </si>
  <si>
    <t>0191900561385</t>
  </si>
  <si>
    <t>B0C9MLB8CT</t>
  </si>
  <si>
    <t>PT2-GYS</t>
  </si>
  <si>
    <t>0196989272313</t>
  </si>
  <si>
    <t>https://m.media-amazon.com/images/I/71vpaYa4sQL.jpg;https://m.media-amazon.com/images/I/71ULLbghSGL.jpg;https://m.media-amazon.com/images/I/917ONwSATVL.jpg</t>
  </si>
  <si>
    <t>0196989272344</t>
  </si>
  <si>
    <t>0196989272351</t>
  </si>
  <si>
    <t>B08B4WFQ2C</t>
  </si>
  <si>
    <t>TPHE1</t>
  </si>
  <si>
    <t>0191170785429</t>
  </si>
  <si>
    <t>Toplin</t>
  </si>
  <si>
    <t>38mm</t>
  </si>
  <si>
    <t>https://m.media-amazon.com/images/I/41zPTed+VcL.jpg;https://m.media-amazon.com/images/I/41ac0zPCQIL.jpg;https://m.media-amazon.com/images/I/51qJCBkBJeL.jpg;https://m.media-amazon.com/images/I/41DmzkOQ-hL.jpg</t>
  </si>
  <si>
    <t>10 Sets Large Covered Hook &amp; Eye Sewing Closure for Fur Coat Jacket Cape Stole Bracelet Jewelry Books Crafts，Black</t>
  </si>
  <si>
    <t>B0B5BLKL8P</t>
  </si>
  <si>
    <t>0193671456877</t>
  </si>
  <si>
    <t>https://m.media-amazon.com/images/I/71yB749hRmL.jpg;https://m.media-amazon.com/images/I/81d1eus1cpL.jpg;https://m.media-amazon.com/images/I/81c1x0MfjjL.jpg;https://m.media-amazon.com/images/I/71oc-uq8LjL.jpg;https://m.media-amazon.com/images/I/81nKD9bgpWL.jpg;https://m.media-amazon.com/images/I/71v9kfBlg-L.jpg</t>
  </si>
  <si>
    <t>Through its dedication to innovation and continual customer contact, Williamson-Dickie Mfg. Co. has transformed itself from a small bib overall company to the largest workwear manufacturer in the world. Since its beginnings in 1922, every piece of Dickies workwear has stood for the quality, toughness, and pride that embodies the spirit of the American worker.</t>
  </si>
  <si>
    <t>0193671456884</t>
  </si>
  <si>
    <t>0193671456891</t>
  </si>
  <si>
    <t>0193671456907</t>
  </si>
  <si>
    <t>X-Large (42-44)</t>
  </si>
  <si>
    <t>B01D4DDBCS</t>
  </si>
  <si>
    <t>0195862009190</t>
  </si>
  <si>
    <t>https://m.media-amazon.com/images/I/51iw1SyKWQL.jpg;https://m.media-amazon.com/images/I/51xRqEeV83L.jpg;https://m.media-amazon.com/images/I/31H2EGdteCL.jpg;https://m.media-amazon.com/images/I/41h0-87AEqL.jpg;https://m.media-amazon.com/images/I/51m3JJfaQ1L.jpg;https://m.media-amazon.com/images/I/41GoGc1hrsL.jpg</t>
  </si>
  <si>
    <t>0195862009152</t>
  </si>
  <si>
    <t>https://m.media-amazon.com/images/I/81sZ5M51KIL.jpg;https://m.media-amazon.com/images/I/71AoQx-dL9L.jpg;https://m.media-amazon.com/images/I/61ZS9tX-iLL.jpg;https://m.media-amazon.com/images/I/71gRP0psJWL.jpg;https://m.media-amazon.com/images/I/71G-CkPNcnL.jpg;https://m.media-amazon.com/images/I/71mfIACIRPL.jpg</t>
  </si>
  <si>
    <t>0887791751782</t>
  </si>
  <si>
    <t>https://m.media-amazon.com/images/I/71IagQLWxdL.jpg;https://m.media-amazon.com/images/I/715sL3ukAvL.jpg;https://m.media-amazon.com/images/I/816V-naeA1L.jpg</t>
  </si>
  <si>
    <t>Nike Men's Club Fleece Gloves 2.0</t>
  </si>
  <si>
    <t>B07XS2CYKK</t>
  </si>
  <si>
    <t>0887791337467</t>
  </si>
  <si>
    <t>https://m.media-amazon.com/images/I/31WlfFGZ-+L.jpg;https://m.media-amazon.com/images/I/31NbuRtfZ7L.jpg;https://m.media-amazon.com/images/I/51+RMGCxz2L.jpg;https://m.media-amazon.com/images/I/51epkpr-n2L.jpg;https://m.media-amazon.com/images/I/413MKf0DlpL.jpg</t>
  </si>
  <si>
    <t>NIKE BANDANA HEAD TIE BLACK</t>
  </si>
  <si>
    <t>0717312796995</t>
  </si>
  <si>
    <t>https://m.media-amazon.com/images/I/51aP7nqdoSL.jpg</t>
  </si>
  <si>
    <t>B0CM62765J</t>
  </si>
  <si>
    <t>W03PT20B-PUR-XS</t>
  </si>
  <si>
    <t>0193642148732</t>
  </si>
  <si>
    <t>https://m.media-amazon.com/images/I/61hdDAfiyJS.jpg;https://m.media-amazon.com/images/I/61iq7En8aSL.jpg;https://m.media-amazon.com/images/I/31mOujqpoIS.jpg;https://m.media-amazon.com/images/I/41E4xVnT08L.jpg;https://m.media-amazon.com/images/I/41onxwYUhQL.jpg</t>
  </si>
  <si>
    <t>Stay active throughout the day in flexible comfort with Skechers GO WALK Wear OG Pant. This active pant features a GO FLEX moisture-wicking nylon and spandex blend fabric, chafe-free seams for total comfort, exterior side pockets and back pockets. Regular length.</t>
  </si>
  <si>
    <t>HS3137</t>
  </si>
  <si>
    <t>0195745462876</t>
  </si>
  <si>
    <t>https://m.media-amazon.com/images/I/31LQBa4tLrL.jpg;https://m.media-amazon.com/images/I/31wXyyPz23L.jpg</t>
  </si>
  <si>
    <t>0195745466119</t>
  </si>
  <si>
    <t>B0BGWJLSD4</t>
  </si>
  <si>
    <t>0196884844851</t>
  </si>
  <si>
    <t>https://m.media-amazon.com/images/I/813JrnGKBgL.jpg;https://m.media-amazon.com/images/I/81GtYwwyzeL.jpg</t>
  </si>
  <si>
    <t>Ultra-soft fabric is breathable &amp; comfortable. 4-way stretch material moves better in every direction. Machine wash cold with like colors. 82% Polyester/18% Elastane.</t>
  </si>
  <si>
    <t>0196884844875</t>
  </si>
  <si>
    <t>0000772307314</t>
  </si>
  <si>
    <t>Kids</t>
  </si>
  <si>
    <t>https://m.media-amazon.com/images/I/81-Vx3vtcsL.jpg;https://m.media-amazon.com/images/I/819PtHIJdkL.jpg;https://m.media-amazon.com/images/I/81APpI7g5QL.jpg;https://m.media-amazon.com/images/I/81NPC5fGJ5L.jpg;https://m.media-amazon.com/images/I/81OUs7za3jL.jpg;https://m.media-amazon.com/images/I/81RAi+ELVEL.jpg;https://m.media-amazon.com/images/I/81nyl-FrxKL.jpg;https://m.media-amazon.com/images/I/81YL+sJv+gL.jpg;https://m.media-amazon.com/images/I/817aZg8DMhL.jpg</t>
  </si>
  <si>
    <t>Box up and unbox fun multi-textured gifts that delight the senses again and again! Fill the cloth-covered wooden box with an adorable happy-faced bear, a crinkling, multi-textured cloth, a squeezable ball with chime, or a cloth book. Close the flaps and it becomes a beautifully “wrapped” gift with a beautiful bow! Reach in and grasp the items to unbox, and babies will discover their smiling face in the peek-a-boo mirror on the bottom. The Surprise Gift Box is an engaging way to encourage face-relevant stimuli and to help infants six months and older develop important sensory, and fine motor skills. It’s also a fun way to encourage gift-giving and sharing. Melissa &amp; Doug infant and toddler toys inspire “a-ha!” moments of discovery. Adorable, diverse characters and a variety of fun shapes and textures encourage exploratory, skill-building play. This product is certified by the Forest Stewardship Council. FSC certification ensures that products come from responsibly managed forests that provide environmental, social, and economic benefits, and that forests are protected for future generations. Please note that FSC certification applies to new inventory only (FSC C156584).</t>
  </si>
  <si>
    <t>1042177-823-S</t>
  </si>
  <si>
    <t>0690222320972</t>
  </si>
  <si>
    <t>https://m.media-amazon.com/images/I/41L8r8el-kL.jpg;https://m.media-amazon.com/images/I/41y0N5s1MYL.jpg;https://m.media-amazon.com/images/I/31448r4XzGL.jpg</t>
  </si>
  <si>
    <t>The Lemmon jersey is a Garneau essential.</t>
  </si>
  <si>
    <t>B0B1N7P8Q7</t>
  </si>
  <si>
    <t>1042177110S</t>
  </si>
  <si>
    <t>0690222321023</t>
  </si>
  <si>
    <t>https://m.media-amazon.com/images/I/716rObv9OPL.jpg;https://m.media-amazon.com/images/I/716xSZBcS4L.jpg;https://m.media-amazon.com/images/I/71g0Zsi0VbL.jpg</t>
  </si>
  <si>
    <t>1042177-023-S</t>
  </si>
  <si>
    <t>0690222320927</t>
  </si>
  <si>
    <t>https://m.media-amazon.com/images/I/711if3uX1GL.jpg;https://m.media-amazon.com/images/I/71SgnbCW6aL.jpg;https://m.media-amazon.com/images/I/714vTXjjRPL.jpg</t>
  </si>
  <si>
    <t>1042177023M</t>
  </si>
  <si>
    <t>0690222320934</t>
  </si>
  <si>
    <t>1042177-023-L</t>
  </si>
  <si>
    <t>0690222320941</t>
  </si>
  <si>
    <t>B072BQ1PH6</t>
  </si>
  <si>
    <t>AK4458P</t>
  </si>
  <si>
    <t>0194870516287</t>
  </si>
  <si>
    <t>https://m.media-amazon.com/images/I/61HzbhSU3AL.jpg;https://m.media-amazon.com/images/I/61OcqfMAonL.jpg;https://m.media-amazon.com/images/I/61mgWSH1WXL.jpg;https://m.media-amazon.com/images/I/61eXKX0fnYL.jpg;https://m.media-amazon.com/images/I/61IivKszmjL.jpg;https://m.media-amazon.com/images/I/31tAwTaT6bL.jpg</t>
  </si>
  <si>
    <t>The climate super star tight features detached waistband and angled lower leg seams with dazzle applied stripes. Flat seaming on inseam and front and back rises. Screen printed silver foil wrap-around adidas performance logo on left hip. Climate logo on right back hip.</t>
  </si>
  <si>
    <t>0194870516294</t>
  </si>
  <si>
    <t>0194870516300</t>
  </si>
  <si>
    <t>0194870516317</t>
  </si>
  <si>
    <t>X-Large Plus</t>
  </si>
  <si>
    <t>https://m.media-amazon.com/images/I/21W9cqyeG5L.jpg;https://m.media-amazon.com/images/I/21HdKRd+88L.jpg;https://m.media-amazon.com/images/I/31G7UK3jwkL.jpg;https://m.media-amazon.com/images/I/31u4j85Jj8L.jpg;https://m.media-amazon.com/images/I/31A6PnMnEHL.jpg;https://m.media-amazon.com/images/I/31tAwTaT6bL.jpg</t>
  </si>
  <si>
    <t>B0BKT3C6FF</t>
  </si>
  <si>
    <t>0195979503635</t>
  </si>
  <si>
    <t>https://m.media-amazon.com/images/I/41UrJ6TFwuL.jpg;https://m.media-amazon.com/images/I/41XhA4QnkmL.jpg;https://m.media-amazon.com/images/I/418owbOSthL.jpg;https://m.media-amazon.com/images/I/51k+5W8g7zL.jpg;https://m.media-amazon.com/images/I/41wRcn74fVL.jpg;https://m.media-amazon.com/images/I/51k+PfF2cZL.jpg</t>
  </si>
  <si>
    <t>Take this plaid shirt from town to trail and back — it fits in anywhere. The button-up design is ideal for layering over your favorite tee. Columbia offers this shirt in multiple colors and sizes. Extended sizing available. Regular fit.</t>
  </si>
  <si>
    <t>0195979502836</t>
  </si>
  <si>
    <t>https://m.media-amazon.com/images/I/71Qdv8u6RBL.jpg;https://m.media-amazon.com/images/I/71tRdegUr9L.jpg;https://m.media-amazon.com/images/I/61XFxqqzkUL.jpg;https://m.media-amazon.com/images/I/71qpX+cc5BL.jpg;https://m.media-amazon.com/images/I/71ElCvjsWpL.jpg;https://m.media-amazon.com/images/I/71DZROf532L.jpg</t>
  </si>
  <si>
    <t>0195979502843</t>
  </si>
  <si>
    <t>https://m.media-amazon.com/images/I/41QNB8dGZ2L.jpg;https://m.media-amazon.com/images/I/41dRua0ndDL.jpg;https://m.media-amazon.com/images/I/41qL0heTV4L.jpg;https://m.media-amazon.com/images/I/5150WffdIiL.jpg;https://m.media-amazon.com/images/I/41-xXnVtqrL.jpg;https://m.media-amazon.com/images/I/51k+PfF2cZL.jpg</t>
  </si>
  <si>
    <t>0195979503659</t>
  </si>
  <si>
    <t>https://m.media-amazon.com/images/I/71ixSmEpoBL.jpg;https://m.media-amazon.com/images/I/718+k1QRuZL.jpg;https://m.media-amazon.com/images/I/616t1faYirL.jpg;https://m.media-amazon.com/images/I/71c-YnmqNQL.jpg;https://m.media-amazon.com/images/I/71wX6JGb9kL.jpg;https://m.media-amazon.com/images/I/71DZROf532L.jpg</t>
  </si>
  <si>
    <t>0195979502812</t>
  </si>
  <si>
    <t>0195979503680</t>
  </si>
  <si>
    <t>B096FXRC6P</t>
  </si>
  <si>
    <t>BT21310-340</t>
  </si>
  <si>
    <t>0840140217278</t>
  </si>
  <si>
    <t>https://m.media-amazon.com/images/I/81vOxRaXgwL.jpg;https://m.media-amazon.com/images/I/71ey+2Q1wkL.jpg;https://m.media-amazon.com/images/I/71rKHABBQNL.jpg;https://m.media-amazon.com/images/I/81LPYtTZ00L.jpg;https://m.media-amazon.com/images/I/71aIvIHODeL.jpg;https://m.media-amazon.com/images/I/712YPUW+rYL.jpg</t>
  </si>
  <si>
    <t>Elevate their style with adaptive BILLY Kids Footwear Street high top sneakers with side zip entry. Traditional lace-up closure in a round toe silhouette. Removable Insole. AFO Friendly. Upper opens completely allowing for unobstructed entry and visual sizing confirmation. Thick knit polyester fabric upper lining and sock lining for more durable wear and increased tear resistance. Wrap-around zipper closure provides fun and easy entry. Durable insole board and outsole rubber compound help to withstand aggressive toe drag and heel striking. Two removable insoles (3mm each) for adjustable depth and use of custom orthotics. Synthetic upper and lining. Padded synthetic insole. Durable synthetic rubber outsole. Imported. Measurements: Weight: 6 oz Product measurements were taken using size 11 Little Kid, width M. Please note that measurements may vary by size. Weight of footwear is based on a single item, not a pair.</t>
  </si>
  <si>
    <t>B0CKLM6JRR</t>
  </si>
  <si>
    <t>0196040913339</t>
  </si>
  <si>
    <t>https://m.media-amazon.com/images/I/81zneFdZLJL.jpg;https://m.media-amazon.com/images/I/81MhxwmoOxL.jpg</t>
  </si>
  <si>
    <t>If you want to stay comfy, warmed-up, and ready before the game—or after—this is what you wear. We call it "Rival Terry. " You can just call it your new favorite. Lightweight French Terry has a smooth outer layer &amp; a warm, soft inner layer. Material wicks sweat &amp; dries really fast. Dropped hem shoulder for an oversized fit &amp; feel. 70% Polyester/25% Tencel/5% Elastane.</t>
  </si>
  <si>
    <t>0196040916774</t>
  </si>
  <si>
    <t>https://m.media-amazon.com/images/I/31SkH1-djDL.jpg;https://m.media-amazon.com/images/I/31KE63lujoL.jpg</t>
  </si>
  <si>
    <t>0196040913346</t>
  </si>
  <si>
    <t>0196040916781</t>
  </si>
  <si>
    <t>0196040916798</t>
  </si>
  <si>
    <t>https://m.media-amazon.com/images/I/61nPIfgC4ZL.jpg;https://m.media-amazon.com/images/I/81xIVKZ-4ZL.jpg</t>
  </si>
  <si>
    <t>0196040913353</t>
  </si>
  <si>
    <t>0195861935773</t>
  </si>
  <si>
    <t>https://m.media-amazon.com/images/I/41HrdeManZL.jpg;https://m.media-amazon.com/images/I/41bgzcuDMGL.jpg;https://m.media-amazon.com/images/I/41DRLpS+M1L.jpg</t>
  </si>
  <si>
    <t>Crafted in organic cotton, this little dress is so sweet for fall. Cozy ribbed details and warm sweater knit make this piece extra special for those chilly days. Crafted in the purest organic fabrics and sustainable materials, Little Planet is a return to simplicity. Thoughtful essentials and timeless pieces to gift or to hold on to.</t>
  </si>
  <si>
    <t>0195861935742</t>
  </si>
  <si>
    <t>https://m.media-amazon.com/images/I/91RXjyb9UgL.jpg;https://m.media-amazon.com/images/I/41bgzcuDMGL.jpg;https://m.media-amazon.com/images/I/41DRLpS+M1L.jpg</t>
  </si>
  <si>
    <t>0195861935735</t>
  </si>
  <si>
    <t>0195861935759</t>
  </si>
  <si>
    <t>0195861935704</t>
  </si>
  <si>
    <t>0195861935711</t>
  </si>
  <si>
    <t>0195861935728</t>
  </si>
  <si>
    <t>B0BJSB7913</t>
  </si>
  <si>
    <t>1042179-110-S</t>
  </si>
  <si>
    <t>0690222321719</t>
  </si>
  <si>
    <t>https://m.media-amazon.com/images/I/81Gbd5g8-pL.jpg;https://m.media-amazon.com/images/I/81WerPFjkrL.jpg;https://m.media-amazon.com/images/I/81OLQCLiurL.jpg</t>
  </si>
  <si>
    <t>Designed for the cyclist discovering the joys of two wheels, the Connection Jersey offers everything you need to start exploring new roads and developing your passion for the bike.</t>
  </si>
  <si>
    <t>1042179823S</t>
  </si>
  <si>
    <t>0690222321658</t>
  </si>
  <si>
    <t>https://m.media-amazon.com/images/I/71Ri5kSvnML.jpg;https://m.media-amazon.com/images/I/7117emf4wZL.jpg;https://m.media-amazon.com/images/I/71T5GvYuzNL.jpg</t>
  </si>
  <si>
    <t>1042179-020-S</t>
  </si>
  <si>
    <t>0690222321535</t>
  </si>
  <si>
    <t>https://m.media-amazon.com/images/I/71d59pRb3XL.jpg;https://m.media-amazon.com/images/I/71Bnli7akdL.jpg;https://m.media-amazon.com/images/I/71oFDlns4lL.jpg</t>
  </si>
  <si>
    <t>1042179-823-M</t>
  </si>
  <si>
    <t>0690222321665</t>
  </si>
  <si>
    <t>1042179110M</t>
  </si>
  <si>
    <t>0690222321726</t>
  </si>
  <si>
    <t>1042179023M</t>
  </si>
  <si>
    <t>0690222321603</t>
  </si>
  <si>
    <t>https://m.media-amazon.com/images/I/81Kqk6gQctL.jpg;https://m.media-amazon.com/images/I/81-H64mSJTL.jpg;https://m.media-amazon.com/images/I/71U7Eov8N3L.jpg</t>
  </si>
  <si>
    <t>Designed for the cyclist discovering the joys of two wheels, the Garneau Connection 4 Jersey offers everything you need to start exploring new roads and developing your passion for the bike. The semi-opaque structure and lightness of the AirFit fabric provide comfort, flexibility and excellent moisture control. The relaxed fit of the jersey gives the opportunity to everyone to have a cycling jersey without having the body shape of a pro cyclist.AirDry / Highlander Mesh / CozzaQuick-drying and moisture managementMesh at sidesTextured fabricReflective logosSeemless lycra sleeves for great fit in motionand additional comfort3 back pockets with reflective accentItem SpecificationsColorYellowDefined ColorYellowGender/AgeMen'sSizeMedium</t>
  </si>
  <si>
    <t>1042179020M</t>
  </si>
  <si>
    <t>0690222321542</t>
  </si>
  <si>
    <t>1042179-023-XXL</t>
  </si>
  <si>
    <t>0690222321634</t>
  </si>
  <si>
    <t>Our Connection 4 jersey has an new feature this year: a clever eco pocket on each side for your empty wrappings.</t>
  </si>
  <si>
    <t>0195861471998</t>
  </si>
  <si>
    <t>https://m.media-amazon.com/images/I/41iN04+RdWL.jpg;https://m.media-amazon.com/images/I/41NG2cIlV0L.jpg;https://m.media-amazon.com/images/I/516MCE4m0sL.jpg</t>
  </si>
  <si>
    <t>0195861472018</t>
  </si>
  <si>
    <t>https://m.media-amazon.com/images/I/61mxLuAIXcL.jpg;https://m.media-amazon.com/images/I/61VNvcxQT0L.jpg;https://m.media-amazon.com/images/I/71OJtzeisCL.jpg</t>
  </si>
  <si>
    <t>WFASQWA424</t>
  </si>
  <si>
    <t>0195861471967</t>
  </si>
  <si>
    <t>B0CHCDKL3Z</t>
  </si>
  <si>
    <t>0196739241392</t>
  </si>
  <si>
    <t>https://m.media-amazon.com/images/I/51-+rnAgA4L.jpg;https://m.media-amazon.com/images/I/51fTkzJum+L.jpg;https://m.media-amazon.com/images/I/51ByEY7I5IL.jpg;https://m.media-amazon.com/images/I/71P6Tq5oX4L.jpg</t>
  </si>
  <si>
    <t>Stay warm and feel fabulous wearing the loose fit Champion Powerblend Relaxed Crew. This soft pullover features long sleeves, brand name on the front, iconic C logo patch at the left wrist, and ribbed collar, cuffs, and hem for a classic look. Made from high-quality fleece fabrication to reduce pilling and shrinkage. 50% polyester, 50% cotton. Machine wash, tumble dry.</t>
  </si>
  <si>
    <t>0000772307383</t>
  </si>
  <si>
    <t>Child</t>
  </si>
  <si>
    <t>https://m.media-amazon.com/images/I/61RW30WBq7L.jpg;https://m.media-amazon.com/images/I/71-bIz6UQSL.jpg;https://m.media-amazon.com/images/I/71jVOWDXpgL.jpg;https://m.media-amazon.com/images/I/71+ouH1d93L.jpg;https://m.media-amazon.com/images/I/612OLFL0bHL.jpg;https://m.media-amazon.com/images/I/712lj7dWniL.jpg;https://m.media-amazon.com/images/I/71f4Q8E8LDL.jpg;https://m.media-amazon.com/images/I/81qzdXqyk5L.jpg;https://m.media-amazon.com/images/I/714iM1cDXyL.jpg</t>
  </si>
  <si>
    <t>Let’s go play with friends that are fun to roll, stack, and grasp! Three double-sided chunky wooden GO Tots disks (six characters) spin and bounce as the bus rolls! Press the button on top of the sturdy wooden bus and GO Tots roll out the back! Compatible with other GO Tots play sets. With Melissa &amp; Doug GO Tots, toddlers 12 months and older will discover a new kind of kinetic play that offers opportunities to explore cause-and-effect through delightful motion-driven moments. Relatable, diverse characters and appealing shapes and textures encourage connections and exploratory, skill-building play. This product is certified by the Forest Stewardship Council. FSC certification ensures that products come from responsibly managed forests that provide environmental, social, and economic benefits, and that forests are protected for future generations. Please note that FSC certification applies to new inventory only (FSC C156584)</t>
  </si>
  <si>
    <t>B09JLBGV9G</t>
  </si>
  <si>
    <t>0195253822711</t>
  </si>
  <si>
    <t>https://m.media-amazon.com/images/I/31VEuzTGw5L.jpg;https://m.media-amazon.com/images/I/31XuNJuX7mL.jpg;https://m.media-amazon.com/images/I/31IOn6afNtL.jpg;https://m.media-amazon.com/images/I/31cCQeVfqfL.jpg;https://m.media-amazon.com/images/I/51rMCW0aOCL.jpg;https://m.media-amazon.com/images/I/21bZdW+9plL.jpg;https://m.media-amazon.com/images/I/21Zg3LRjmlL.jpg</t>
  </si>
  <si>
    <t>Armour Fleece® is light, breathable &amp; stretchy for warmth that still lets you move. Soft inner layer traps heat to keep you warm &amp; comfortable. Encased elastic waistband with internal drawcord. Open hand pockets &amp; right-side back pocket. 100% Polyester.</t>
  </si>
  <si>
    <t>B0CLL6VP1K</t>
  </si>
  <si>
    <t>AA3136-984</t>
  </si>
  <si>
    <t>0196219875109</t>
  </si>
  <si>
    <t>https://m.media-amazon.com/images/I/71oqOUDPH3L.jpg;https://m.media-amazon.com/images/I/61YSRQnIC7L.jpg;https://m.media-amazon.com/images/I/71PpjYHv08L.jpg;https://m.media-amazon.com/images/I/61BFoBRpRlL.jpg;https://m.media-amazon.com/images/I/71sD4DkLdYL.jpg;https://m.media-amazon.com/images/I/61ogW3Z936L.jpg;https://m.media-amazon.com/images/I/313RtW83EKL.jpg</t>
  </si>
  <si>
    <t>Everyone will know she's an adidas girl when she pops on this long sleeve girls' hoodie. The all-cotton jersey is soft and feels cozy against her skin. She can pop up the hood for extra warmth or to block out the world for a few minutes.</t>
  </si>
  <si>
    <t>0196219875116</t>
  </si>
  <si>
    <t>0196219875123</t>
  </si>
  <si>
    <t>B0C7M1MMDV</t>
  </si>
  <si>
    <t>0196524414611</t>
  </si>
  <si>
    <t>https://m.media-amazon.com/images/I/61OSkvSOnGL.jpg;https://m.media-amazon.com/images/I/51kOZhljEhL.jpg;https://m.media-amazon.com/images/I/51Ok5QEd1fL.jpg;https://m.media-amazon.com/images/I/41enDE4VuvL.jpg;https://m.media-amazon.com/images/I/41g49L42NSL.jpg;https://m.media-amazon.com/images/I/41b3ClGbzML.jpg</t>
  </si>
  <si>
    <t>It's the name you can't forget: Levi's Wedgie Fit. This vintage-inspired style includes special construction to highlight your curves and give your butt an extra lift. Trust us, you need these jeans in your closet.</t>
  </si>
  <si>
    <t>0196524264100</t>
  </si>
  <si>
    <t>0196524414628</t>
  </si>
  <si>
    <t>0196524414635</t>
  </si>
  <si>
    <t>0196524414642</t>
  </si>
  <si>
    <t>1014430</t>
  </si>
  <si>
    <t>0843479153293</t>
  </si>
  <si>
    <t>https://m.media-amazon.com/images/I/81GFliy+UqL.jpg;https://m.media-amazon.com/images/I/81SvFZxCwmL.jpg;https://m.media-amazon.com/images/I/81nBsKKaGdL.jpg;https://m.media-amazon.com/images/I/91XdrD4s3hL.jpg;https://m.media-amazon.com/images/I/918-+wTTm3L.jpg;https://m.media-amazon.com/images/I/81so0ekTMGL.jpg;https://m.media-amazon.com/images/I/71cfl4ba1dL.jpg;https://m.media-amazon.com/images/I/81RYQ8qyY-L.jpg;https://m.media-amazon.com/images/I/714A1rq8XDL.jpg</t>
  </si>
  <si>
    <t>Flip your Opponent
Challenge a friend to battle and try to knock them out! Get underneath your opponent and use the flip ramp to eject them off!
Remote Control
Control your Space Tank using a wireless remote control! Tanks are multi-directional and let you participate in the action cord-free.
Exciting Effects
Increase your speed using turbo boost and challenge your opponent! Add to the drama with fun LED lights and sound effects!
Features: 
Flip ramps eject opponents
Wireless remote control
Multi-directional operation
Turbo boost increased speed
LED lights
Sound effects
Package Includes: 
2 battle tracks
2 wireless remotes
Become a flip ramp champion! Add the Battle Tracks Tank Wars to your cart now and knock out your opponent in no time!</t>
  </si>
  <si>
    <t>0886144985065</t>
  </si>
  <si>
    <t>11 inches</t>
  </si>
  <si>
    <t>https://m.media-amazon.com/images/I/51cNVEvITiL.jpg;https://m.media-amazon.com/images/I/4169zvTlSZL.jpg;https://m.media-amazon.com/images/I/41c1J+F5yVL.jpg;https://m.media-amazon.com/images/I/41ICiYvFLHL.jpg;https://m.media-amazon.com/images/I/51mPJirGcqL.jpg;https://m.media-amazon.com/images/I/51J3w24eqCL.jpg;https://m.media-amazon.com/images/I/51W0BScokxL.jpg</t>
  </si>
  <si>
    <t>Disney Junior Alice’s Wonderland Bakery Chat &amp; Glow Cheshire Cat Plush is no ordinary stuffed animal. It’s a bright burst of purple and pink softness with bright eyes that glow in the dark. Press his belly to light up Cheshire Cat’s face, hear cute sounds, and listen to phrases. Curious kids will have a wonderful time playing with this beloved Disney character. At 12 inches tall, Cheshire Cat is ready to accompany kids on all of life’s biggest adventures. Disney fans of all ages will love playing imaginative light-up games and telling stories about the cat with glowing eyes. Add additional kids’ and toddler toys from Disney Junior’s hit series, Alice’s Wonderland Bakery to make everyone’s day even brighter. Ages 3+</t>
  </si>
  <si>
    <t>B0CHBMSLMB</t>
  </si>
  <si>
    <t>0810022878958</t>
  </si>
  <si>
    <t>https://m.media-amazon.com/images/I/61NWdBJLSpL.jpg;https://m.media-amazon.com/images/I/61MKWd++DQL.jpg;https://m.media-amazon.com/images/I/81Hwv20FteL.jpg;https://m.media-amazon.com/images/I/61cUKIPzvVL.jpg;https://m.media-amazon.com/images/I/61a15mQvNPL.jpg;https://m.media-amazon.com/images/I/91tN-a3mUvL.jpg</t>
  </si>
  <si>
    <t>Carry a little confetti wherever you go thanks to this fanny pack we designed! With an adjustable waistband and perfectly sized pouch packed with our confetti too, this is the ideal accessory for any girl on-the-go. Snag one or a few of these belt bags for your next girl's trip or bachelorette and make the weekend a party with this fun-must have bag built to hold it all.</t>
  </si>
  <si>
    <t>B0BKVGZB95</t>
  </si>
  <si>
    <t>0195979314934</t>
  </si>
  <si>
    <t>https://m.media-amazon.com/images/I/41gj48x6fgL.jpg;https://m.media-amazon.com/images/I/4146LeqC-IL.jpg;https://m.media-amazon.com/images/I/41L+OjIalvL.jpg;https://m.media-amazon.com/images/I/41Q471IRW5L.jpg;https://m.media-amazon.com/images/I/41UyPC5Ej9L.jpg;https://m.media-amazon.com/images/I/31MnRwKOiEL.jpg</t>
  </si>
  <si>
    <t>A fresh take on a Columbia classic, this printed fleece shirt jacket is an ideal addition to your outdoor arsenal. Columbia offers this shirt jacket in multiple colors and sizes. Extended and tall sizing available. Regular fit.</t>
  </si>
  <si>
    <t>B0CQJMXTQM</t>
  </si>
  <si>
    <t>0195979314705</t>
  </si>
  <si>
    <t>https://m.media-amazon.com/images/I/71wY1POUs3L.jpg;https://m.media-amazon.com/images/I/71Bfn0LQ1PL.jpg;https://m.media-amazon.com/images/I/71m7I3NT6jL.jpg;https://m.media-amazon.com/images/I/81tcTKtwSML.jpg;https://m.media-amazon.com/images/I/81Ix8JpFH4L.jpg</t>
  </si>
  <si>
    <t>0195979314682</t>
  </si>
  <si>
    <t>https://m.media-amazon.com/images/I/41ueycSmHOL.jpg;https://m.media-amazon.com/images/I/313-1Hvw31L.jpg;https://m.media-amazon.com/images/I/415EIOOhIQL.jpg;https://m.media-amazon.com/images/I/41QQAYty+LL.jpg;https://m.media-amazon.com/images/I/41L5JYAcXdL.jpg</t>
  </si>
  <si>
    <t>0195979314712</t>
  </si>
  <si>
    <t>0195979314842</t>
  </si>
  <si>
    <t>https://m.media-amazon.com/images/I/71fByEgy-QL.jpg;https://m.media-amazon.com/images/I/71D-FdgD7YL.jpg;https://m.media-amazon.com/images/I/71s530c83EL.jpg;https://m.media-amazon.com/images/I/81ze6d642FL.jpg;https://m.media-amazon.com/images/I/71fYQZ-g5vL.jpg;https://m.media-amazon.com/images/I/71t3GjDijoL.jpg;https://m.media-amazon.com/images/I/71E11MBVbfL.jpg;https://m.media-amazon.com/images/I/71P9T-vH0iL.jpg;https://m.media-amazon.com/images/I/71xooF-nwkL.jpg</t>
  </si>
  <si>
    <t>B0B77HF71S</t>
  </si>
  <si>
    <t>987517-023</t>
  </si>
  <si>
    <t>0196327310219</t>
  </si>
  <si>
    <t>https://m.media-amazon.com/images/I/61bH9Drf+8L.jpg;https://m.media-amazon.com/images/I/61Dn2acSdaL.jpg;https://m.media-amazon.com/images/I/61GxeZFz+CL.jpg</t>
  </si>
  <si>
    <t>Start your chilly weather day in cozy comfort in the laid-back Hurley Long Sleeve Graphic T-Shirt (Little Kids). Ribbed crew neckline. Long sleeve design with ribbed cuffs. Pull-over construction. Graphic screen print on front and left sleeve. Standard straight hemline. 60% cotton, 40% polyester. Machine wash, tumble dry.</t>
  </si>
  <si>
    <t>B0D2VBFNYK</t>
  </si>
  <si>
    <t>HG0013_XBK_41__</t>
  </si>
  <si>
    <t>0196062173049</t>
  </si>
  <si>
    <t>https://m.media-amazon.com/images/I/61ABBVo1pNL.jpg;https://m.media-amazon.com/images/I/71dM1xWpvcL.jpg;https://m.media-amazon.com/images/I/81YJVsl0xTL.jpg;https://m.media-amazon.com/images/I/41ydH9TxD5L.jpg</t>
  </si>
  <si>
    <t>Hanes Womens Ecosmart Diamond Dot Control Top Tight</t>
  </si>
  <si>
    <t>HG0013_XBK_42__</t>
  </si>
  <si>
    <t>0196062173056</t>
  </si>
  <si>
    <t>Crafted with the modern woman in mind, Hanes Hosiery stands at the forefront of comfort, elegance, and durability. This line of premium hosiery offers a seamless blend of style and functionality to meet the diverse needs of your everyday life. Whether you're stepping into the office, enjoying a night out, or simply seeking comfort at home, Hanes Hosiery has got you covered.</t>
  </si>
  <si>
    <t>B0B27NZVMY</t>
  </si>
  <si>
    <t>WFM10481P-Z303-20</t>
  </si>
  <si>
    <t>0193769465194</t>
  </si>
  <si>
    <t>https://m.media-amazon.com/images/I/51fAfp06uVL.jpg;https://m.media-amazon.com/images/I/51TKaM9qn-L.jpg;https://m.media-amazon.com/images/I/51QG2cAEgxL.jpg;https://m.media-amazon.com/images/I/91Zp9kq7nAL.jpg;https://m.media-amazon.com/images/I/81n2tj+8cLL.jpg;https://m.media-amazon.com/images/I/81B7Savw7rL.jpg;https://m.media-amazon.com/images/I/814WLJmzZeL.jpg;https://m.media-amazon.com/images/I/A15ebPS9nBL.jpg;https://m.media-amazon.com/images/I/91Ixw1QLxbL.jpg</t>
  </si>
  <si>
    <t>Our Sassy Skinny is super soft, super comfy, super you! Whether you’re looking for your go to jeans in a fresh wash or you want to try a new fit entirely, WallFlower has a little something for everyone! We are size inclusive (standard, curvy and plus), which means – great jeans for all women. Period</t>
  </si>
  <si>
    <t>WFM10481P-Z303-22</t>
  </si>
  <si>
    <t>0193769465200</t>
  </si>
  <si>
    <t>WFM12396P-Z444-22</t>
  </si>
  <si>
    <t>0193769466849</t>
  </si>
  <si>
    <t>https://m.media-amazon.com/images/I/81QU-x6aQvL.jpg;https://m.media-amazon.com/images/I/71uOCiqdveL.jpg;https://m.media-amazon.com/images/I/61VP-Fboz-L.jpg;https://m.media-amazon.com/images/I/91Zp9kq7nAL.jpg;https://m.media-amazon.com/images/I/81n2tj+8cLL.jpg;https://m.media-amazon.com/images/I/81B7Savw7rL.jpg;https://m.media-amazon.com/images/I/814WLJmzZeL.jpg;https://m.media-amazon.com/images/I/A15ebPS9nBL.jpg;https://m.media-amazon.com/images/I/91Ixw1QLxbL.jpg</t>
  </si>
  <si>
    <t>WFM10481P-Z303-24</t>
  </si>
  <si>
    <t>0193769465217</t>
  </si>
  <si>
    <t>WFM12396P-Z444-24</t>
  </si>
  <si>
    <t>0193769466856</t>
  </si>
  <si>
    <t>WFM10481P-Z196-24</t>
  </si>
  <si>
    <t>0193769466795</t>
  </si>
  <si>
    <t>https://m.media-amazon.com/images/I/71yJ3DuJyiL.jpg;https://m.media-amazon.com/images/I/61iMdmxPCiL.jpg;https://m.media-amazon.com/images/I/61TFuif088L.jpg;https://m.media-amazon.com/images/I/81p67aHkEoL.jpg;https://m.media-amazon.com/images/I/61bsWIz0NFL.jpg</t>
  </si>
  <si>
    <t>B0D4G6862S</t>
  </si>
  <si>
    <t>0197648180000</t>
  </si>
  <si>
    <t>https://m.media-amazon.com/images/I/41ChkhsOLIL.jpg;https://m.media-amazon.com/images/I/41c601s5dWL.jpg;https://m.media-amazon.com/images/I/41rA8SQQB7L.jpg;https://m.media-amazon.com/images/I/51S0iKTZiCL.jpg;https://m.media-amazon.com/images/I/41jD9X5Ny8L.jpg;https://m.media-amazon.com/images/I/516IADml1vL.jpg</t>
  </si>
  <si>
    <t>The Nans over the knee boot is a wardrobe staple! It features a lug sole bottom, round shaped toe and decorative buckle straps. This boot is anything but boring. Founded in 1978, Nine West empowers women to take on the world in style, from day to night.</t>
  </si>
  <si>
    <t>0197648180017</t>
  </si>
  <si>
    <t>0197648180024</t>
  </si>
  <si>
    <t>0197648180031</t>
  </si>
  <si>
    <t>https://m.media-amazon.com/images/I/31hWXRBNzvL.jpg;https://m.media-amazon.com/images/I/31DRI3tSXZL.jpg;https://m.media-amazon.com/images/I/216Vyz+XXvL.jpg;https://m.media-amazon.com/images/I/31EjUSwUsAL.jpg;https://m.media-amazon.com/images/I/31MdPaNMpvL.jpg;https://m.media-amazon.com/images/I/31NzYTnvgdL.jpg</t>
  </si>
  <si>
    <t>0197648180048</t>
  </si>
  <si>
    <t>0197648180055</t>
  </si>
  <si>
    <t>0195861970446</t>
  </si>
  <si>
    <t>https://m.media-amazon.com/images/I/61WSEkt9pWL.jpg;https://m.media-amazon.com/images/I/71fSHT-wzmL.jpg;https://m.media-amazon.com/images/I/71o+Mq3Md0L.jpg;https://m.media-amazon.com/images/I/61fCW7WvPSL.jpg</t>
  </si>
  <si>
    <t>B0B7PXKCTG</t>
  </si>
  <si>
    <t>XEB5020</t>
  </si>
  <si>
    <t>0721357408836</t>
  </si>
  <si>
    <t>https://m.media-amazon.com/images/I/61FH18DuwgL.jpg;https://m.media-amazon.com/images/I/61hEsvk4fyL.jpg;https://m.media-amazon.com/images/I/61t4nhC7qKL.jpg</t>
  </si>
  <si>
    <t>Adventure is inspired, spontaneous, and personal. It’s a journey, a gut check, and a transformative moment. It’s lived at higher ground, beneath canopies of stars, and on well-trodden trails. That’s how we see the world, and it’s shaped our brand since its inception. We blaze trails. We point out secure footing. We provide shelter from the storm. When you seek out wild places and beautiful horizons, Eddie Bauer will be your guide.</t>
  </si>
  <si>
    <t>0721357408829</t>
  </si>
  <si>
    <t>B0BNW93N82</t>
  </si>
  <si>
    <t>0195862017911</t>
  </si>
  <si>
    <t>https://m.media-amazon.com/images/I/81ezGLHrSWL.jpg;https://m.media-amazon.com/images/I/81DR+GrMLcL.jpg;https://m.media-amazon.com/images/I/81ullEmU6zL.jpg;https://m.media-amazon.com/images/I/71KJ-e9qLnL.jpg</t>
  </si>
  <si>
    <t>Designed with a cozy sherpa-lined hood and a button-front design, this classic cardigan is perfect for baby. Lined with cozy sherpa and featuring two cute ears on the hood, this cardigan makes the perfect layer. Carter's Baby sherpa lined jacket is great for layering over bodysuits, shirts, or any fall and winter ensemble. Your baby boy or baby girl will look cute and feel comfortable in this warm, knitted cardigan with attached hood.</t>
  </si>
  <si>
    <t>0195862017874</t>
  </si>
  <si>
    <t>0195861320166</t>
  </si>
  <si>
    <t>14 Years</t>
  </si>
  <si>
    <t>https://m.media-amazon.com/images/I/71KwI9Ivi5L.jpg;https://m.media-amazon.com/images/I/81kE3QfrtiL.jpg;https://m.media-amazon.com/images/I/711gatwVYYL.jpg;https://m.media-amazon.com/images/I/81ZbwMq3u1L.jpg</t>
  </si>
  <si>
    <t>0195862000593</t>
  </si>
  <si>
    <t>https://m.media-amazon.com/images/I/612KmlAAWoL.jpg;https://m.media-amazon.com/images/I/71dPayNjIQL.jpg</t>
  </si>
  <si>
    <t>Cozy and comfy in soft fleece, this zip-front jumpsuit from Carter's features a cool colorblocked design.</t>
  </si>
  <si>
    <t>0195862000555</t>
  </si>
  <si>
    <t>B0CP8L56NK</t>
  </si>
  <si>
    <t>NF9412-NA2</t>
  </si>
  <si>
    <t>0627574676525</t>
  </si>
  <si>
    <t>https://m.media-amazon.com/images/I/61mQuopweXL.jpg;https://m.media-amazon.com/images/I/51ZWrc8z3xL.jpg;https://m.media-amazon.com/images/I/61uXPkZnsyL.jpg</t>
  </si>
  <si>
    <t>Our easy-on Snowbug 5 kids' winter boots are made in USA for toddlers on the go. Foam and faux-fur insulation lock in warmth and waterproof rubber bottoms keep them dry. These boots are ready to play as hard as your kiddo.</t>
  </si>
  <si>
    <t>B0BSJ25W8Y</t>
  </si>
  <si>
    <t>NF9412-CH3</t>
  </si>
  <si>
    <t>0627574676341</t>
  </si>
  <si>
    <t>https://m.media-amazon.com/images/I/7137ivRXg5L.jpg;https://m.media-amazon.com/images/I/61l60nIKo4L.jpg;https://m.media-amazon.com/images/I/81bd7B5ZP8L.jpg;https://m.media-amazon.com/images/I/71PCmrZIbNL.jpg</t>
  </si>
  <si>
    <t>NF9412-BK2</t>
  </si>
  <si>
    <t>0627574676075</t>
  </si>
  <si>
    <t>https://m.media-amazon.com/images/I/713B+NdvFDL.jpg;https://m.media-amazon.com/images/I/71LFbgKHR-L.jpg;https://m.media-amazon.com/images/I/71ZSEJ0jucL.jpg;https://m.media-amazon.com/images/I/71rEic3uN1L.jpg;https://m.media-amazon.com/images/I/71ba8XlZGXL.jpg;https://m.media-amazon.com/images/I/71PgbdCP3VL.jpg;https://m.media-amazon.com/images/I/71WnEA889fL.jpg;https://m.media-amazon.com/images/I/61Y9zBt1paL.jpg;https://m.media-amazon.com/images/I/712uNgSV6JL.jpg</t>
  </si>
  <si>
    <t>0627574676082</t>
  </si>
  <si>
    <t>0627574676532</t>
  </si>
  <si>
    <t>0627574676358</t>
  </si>
  <si>
    <t>0627574676365</t>
  </si>
  <si>
    <t>0627574676372</t>
  </si>
  <si>
    <t>0194916897196</t>
  </si>
  <si>
    <t>https://m.media-amazon.com/images/I/415PmYr6j1L.jpg</t>
  </si>
  <si>
    <t>B0D2Z2MP68</t>
  </si>
  <si>
    <t>0194916897257</t>
  </si>
  <si>
    <t>https://m.media-amazon.com/images/I/41UIWVWva3L.jpg;https://m.media-amazon.com/images/I/41zMlTXHFBL.jpg;https://m.media-amazon.com/images/I/41jZCbGcHKL.jpg;https://m.media-amazon.com/images/I/41Uawyj9G0L.jpg;https://m.media-amazon.com/images/I/41pKcZMVjjL.jpg</t>
  </si>
  <si>
    <t>0086131814594</t>
  </si>
  <si>
    <t>https://m.media-amazon.com/images/I/41wwPpKTFzL.jpg</t>
  </si>
  <si>
    <t>The Kurt Adler 19 Inch Bluey and Family Christmas Party Stocking is a charming and cute portrait of the Bluey family. The red stocking features the entire Bluey family wearing crowns with garland sweeping at the top.</t>
  </si>
  <si>
    <t>B08W9L2FVL</t>
  </si>
  <si>
    <t>0197117345206</t>
  </si>
  <si>
    <t>https://m.media-amazon.com/images/I/41VjiodWeRL.jpg</t>
  </si>
  <si>
    <t>0195861968467</t>
  </si>
  <si>
    <t>https://m.media-amazon.com/images/I/41+EXsqsjRL.jpg;https://m.media-amazon.com/images/I/41GCic2hHxL.jpg;https://m.media-amazon.com/images/I/41+EXsqsjRL.jpg</t>
  </si>
  <si>
    <t>0196469870312</t>
  </si>
  <si>
    <t>https://m.media-amazon.com/images/I/51fdoKSP1vL.jpg;https://m.media-amazon.com/images/I/41c7809+n7L.jpg;https://m.media-amazon.com/images/I/41llr5SeK6L.jpg;https://m.media-amazon.com/images/I/51xh-cx-DfL.jpg;https://m.media-amazon.com/images/I/41VCh1pLVtL.jpg;https://m.media-amazon.com/images/I/51VGmhcn5mL.jpg;https://m.media-amazon.com/images/I/51jclUMWEQL.jpg;https://m.media-amazon.com/images/I/61imOl+a+FL.jpg;https://m.media-amazon.com/images/I/31yAx+xxTCL.jpg</t>
  </si>
  <si>
    <t>0196469870268</t>
  </si>
  <si>
    <t>https://m.media-amazon.com/images/I/31YoFO0Ic8L.jpg;https://m.media-amazon.com/images/I/31l61jMKnBL.jpg;https://m.media-amazon.com/images/I/310BiES2nDL.jpg;https://m.media-amazon.com/images/I/31YU2deJ5VL.jpg;https://m.media-amazon.com/images/I/31YoFO0Ic8L.jpg;https://m.media-amazon.com/images/I/31bBvJ4bJnL.jpg;https://m.media-amazon.com/images/I/31dWu691d8L.jpg;https://m.media-amazon.com/images/I/318R4RtdjvL.jpg;https://m.media-amazon.com/images/I/31yAx+xxTCL.jpg</t>
  </si>
  <si>
    <t>0196469870237</t>
  </si>
  <si>
    <t>0196469870329</t>
  </si>
  <si>
    <t>0196469870367</t>
  </si>
  <si>
    <t>0195979421038</t>
  </si>
  <si>
    <t>0195979420840</t>
  </si>
  <si>
    <t>0195861997993</t>
  </si>
  <si>
    <t>B0CNTB1FV5</t>
  </si>
  <si>
    <t>0196739155941</t>
  </si>
  <si>
    <t>https://m.media-amazon.com/images/I/71RDLhjWiKL.jpg;https://m.media-amazon.com/images/I/712xu8KieyL.jpg;https://m.media-amazon.com/images/I/71G3r9rc8PL.jpg</t>
  </si>
  <si>
    <t>Sport your style wearing the Champion Cozy Shearling Vest. This standard fit vest is crafted with warm and comfortable high pile fleece fabric. It features sleeveless style, zippered front closure, two woven nylon front pockets, and one zippered pocket at the left chest for easy storage. It comes with a rubber badge script logo at the left chest and an iconic C patch at the left wrist. 100% polyester. Machine washable.</t>
  </si>
  <si>
    <t>0196739155958</t>
  </si>
  <si>
    <t>0196739155965</t>
  </si>
  <si>
    <t>0196739155972</t>
  </si>
  <si>
    <t>B0C7M5RZ36</t>
  </si>
  <si>
    <t>0196524432042</t>
  </si>
  <si>
    <t>https://m.media-amazon.com/images/I/61trtkUQssL.jpg;https://m.media-amazon.com/images/I/61i482pbFUL.jpg;https://m.media-amazon.com/images/I/51sQyYCofyL.jpg</t>
  </si>
  <si>
    <t>Some things never go out of style. A button-up shirt is one of them. This Classic Pocket Standard Fit Shirt features a crisp point collar, a single chest pocket (with the Levi's® Red Tab™, naturally) and a familiar silhouette.</t>
  </si>
  <si>
    <t>0196524437788</t>
  </si>
  <si>
    <t>https://m.media-amazon.com/images/I/51bJkkguVgL.jpg;https://m.media-amazon.com/images/I/61QupsWfVWL.jpg;https://m.media-amazon.com/images/I/51Vk4fwFGRL.jpg</t>
  </si>
  <si>
    <t>A timeless button-up shirt. A versatile, easy-to-style fit.</t>
  </si>
  <si>
    <t>0196524263820</t>
  </si>
  <si>
    <t>https://m.media-amazon.com/images/I/410PFP7t7gL.jpg;https://m.media-amazon.com/images/I/318dkC-Jq5L.jpg;https://m.media-amazon.com/images/I/51Vk4fwFGRL.jpg</t>
  </si>
  <si>
    <t>0196524437795</t>
  </si>
  <si>
    <t>0825663858931</t>
  </si>
  <si>
    <t>MD (10/12 Big Kid)</t>
  </si>
  <si>
    <t>https://m.media-amazon.com/images/I/81yOIF3xAbL.jpg;https://m.media-amazon.com/images/I/81c8hPo0NzL.jpg;https://m.media-amazon.com/images/I/91R+P3F0BuL.jpg</t>
  </si>
  <si>
    <t>0825663858948</t>
  </si>
  <si>
    <t>14-16 Big Kid</t>
  </si>
  <si>
    <t>0843401046020</t>
  </si>
  <si>
    <t>https://m.media-amazon.com/images/I/81AuiIm5EiL.jpg;https://m.media-amazon.com/images/I/81MleESLqLL.jpg;https://m.media-amazon.com/images/I/61dbNdnbWoL.jpg</t>
  </si>
  <si>
    <t>Hunting for a great Easter present is stress-free with Alder Creek Gift Baskets Bunny &amp; Friends Spring Crate! Prefilled with everyone’s easter favorites, treat that special loved one to some fun Easter flair delivered right to their doorstep.</t>
  </si>
  <si>
    <t>B0CZTMHHXG</t>
  </si>
  <si>
    <t>LW5RC337-001</t>
  </si>
  <si>
    <t>0694414360005</t>
  </si>
  <si>
    <t>https://m.media-amazon.com/images/I/81aCmmmEN8L.jpg;https://m.media-amazon.com/images/I/81BgRxfGbbL.jpg;https://m.media-amazon.com/images/I/31+mO3D6gCL.jpg;https://m.media-amazon.com/images/I/31mZdFkLouL.jpg;https://m.media-amazon.com/images/I/31iIDxq2VbL.jpg</t>
  </si>
  <si>
    <t>Garment dye cotton four pocket field jacket with attached hood</t>
  </si>
  <si>
    <t>B0BTKVPTGL</t>
  </si>
  <si>
    <t>0886144755460</t>
  </si>
  <si>
    <t>https://m.media-amazon.com/images/I/81FoA9Qr34L.jpg;https://m.media-amazon.com/images/I/71OiTI5TLBL.jpg;https://m.media-amazon.com/images/I/81Rt6JfjFwL.jpg;https://m.media-amazon.com/images/I/81i9tTiBnNL.jpg;https://m.media-amazon.com/images/I/91h7+LrGCwL.jpg</t>
  </si>
  <si>
    <t>Show off your love of sushi and be a ROLL model with the Seriously Super Sized Stuffed Sushi Food Plush. This extra-large, 24-inch squishy plushie comes in a deceptively small bento box. It serves up lots of fun as a (r)awesome addition to sushi lovers’ couches or dorm room. For even more fun, toss one on a desk chair at the office to proclaim, “I’m a RICE person!” A wonderful gift for sushi lovers everywhere, this supersized plush is sure to encourage someone to order takeout! Dish up a food coma and collect all the Seriously Super Sized plushies from Series 1: Sushi, Chicken Drumstick, and Cheeseburger (each sold separately). It’s a perfect gift for foodies ages 3 and up.</t>
  </si>
  <si>
    <t>0195862115723</t>
  </si>
  <si>
    <t>The perfect outfit, this set is complete with a long-sleeve bodysuit, pull-on pants and a soft vest to complete the look.</t>
  </si>
  <si>
    <t>0195862115686</t>
  </si>
  <si>
    <t>https://m.media-amazon.com/images/I/81kX-kjLisL.jpg</t>
  </si>
  <si>
    <t>0195862115709</t>
  </si>
  <si>
    <t>https://m.media-amazon.com/images/I/41tUEVqlIuL.jpg</t>
  </si>
  <si>
    <t>Made for mixing and matching, this set is complete with a zip-up vest, long-sleeve bodysuit and a pair of easy on pants.</t>
  </si>
  <si>
    <t>0887863176574</t>
  </si>
  <si>
    <t>Collocation-Online G Spot Vibrators</t>
  </si>
  <si>
    <t>https://m.media-amazon.com/images/I/51XQag1i5CL.jpg;https://m.media-amazon.com/images/I/61dUJG+xWKL.jpg;https://m.media-amazon.com/images/I/61zFQnWPgLL.jpg;https://m.media-amazon.com/images/I/61Qc25pXKqL.jpg;https://m.media-amazon.com/images/I/51t+QG2X5+L.jpg;https://m.media-amazon.com/images/I/61VFkDkWR4L.jpg</t>
  </si>
  <si>
    <t>0887863176598</t>
  </si>
  <si>
    <t>https://m.media-amazon.com/images/I/71JtobwLUHL.jpg;https://m.media-amazon.com/images/I/61xZuWV4weL.jpg;https://m.media-amazon.com/images/I/514H5M8nG-L.jpg;https://m.media-amazon.com/images/I/61xbvOGuBlL.jpg;https://m.media-amazon.com/images/I/61Xe4XwA8ZL.jpg;https://m.media-amazon.com/images/I/51nA45M8O8L.jpg</t>
  </si>
  <si>
    <t>0195979455828</t>
  </si>
  <si>
    <t>0195979451288</t>
  </si>
  <si>
    <t>https://m.media-amazon.com/images/I/71M+AC4+UrL.jpg;https://m.media-amazon.com/images/I/71mLNhOJ4AL.jpg;https://m.media-amazon.com/images/I/61i4koomV+L.jpg;https://m.media-amazon.com/images/I/71vgBacqOAL.jpg;https://m.media-amazon.com/images/I/71hHQYfsUCL.jpg;https://m.media-amazon.com/images/I/716IvCc75IL.jpg;https://m.media-amazon.com/images/I/714-4ikFYML.jpg;https://m.media-amazon.com/images/I/71AspQwJ-PL.jpg;https://m.media-amazon.com/images/I/71JQNHXNWZL.jpg</t>
  </si>
  <si>
    <t>0195979452681</t>
  </si>
  <si>
    <t>0195979455774</t>
  </si>
  <si>
    <t>0195979451448</t>
  </si>
  <si>
    <t>0195979451295</t>
  </si>
  <si>
    <t>0195979455804</t>
  </si>
  <si>
    <t>0195979452667</t>
  </si>
  <si>
    <t>0195979455781</t>
  </si>
  <si>
    <t>0195979451431</t>
  </si>
  <si>
    <t>0195979451455</t>
  </si>
  <si>
    <t>0195979455811</t>
  </si>
  <si>
    <t>0195979451271</t>
  </si>
  <si>
    <t>0195979452674</t>
  </si>
  <si>
    <t>0195979455798</t>
  </si>
  <si>
    <t>B09PHZ7XHL</t>
  </si>
  <si>
    <t>0196524462964</t>
  </si>
  <si>
    <t>https://m.media-amazon.com/images/I/717c0mRUWKL.jpg;https://m.media-amazon.com/images/I/61i482pbFUL.jpg;https://m.media-amazon.com/images/I/51sQyYCofyL.jpg</t>
  </si>
  <si>
    <t>Casual, but not sloppy. Put-together, but not stuffy. Wear this shirt buttoned to the top for a classic look, or ignore the buttons altogether and wear open, layered over your favorite T-shirt for a more relaxed style. There's no wrong way to wear this timeless staple.</t>
  </si>
  <si>
    <t>0196524462551</t>
  </si>
  <si>
    <t>https://m.media-amazon.com/images/I/81wniAn7LlL.jpg;https://m.media-amazon.com/images/I/61i482pbFUL.jpg;https://m.media-amazon.com/images/I/51sQyYCofyL.jpg</t>
  </si>
  <si>
    <t>0196524581092</t>
  </si>
  <si>
    <t>https://m.media-amazon.com/images/I/81BCfCVo8+L.jpg;https://m.media-amazon.com/images/I/81TNsAVEsaL.jpg;https://m.media-amazon.com/images/I/61i482pbFUL.jpg</t>
  </si>
  <si>
    <t>0196524462353</t>
  </si>
  <si>
    <t>https://m.media-amazon.com/images/I/71FMZtFpLEL.jpg;https://m.media-amazon.com/images/I/71eYDfIjeRL.jpg;https://m.media-amazon.com/images/I/71W7xzqWlWL.jpg</t>
  </si>
  <si>
    <t>Levi's Mens Short Sleeve Classic One-Pocket Standard is a timeless look perfect for any occasion. Whether buttoned up or undone, this look never goes out of style. Single pocket at the chest. Curved shirttail hem. Wing button collar. Non-stretch. Button front. Regular fit. 100% cotton. Machine wash, tumble dry.</t>
  </si>
  <si>
    <t>0196524462407</t>
  </si>
  <si>
    <t>https://m.media-amazon.com/images/I/81dit2lZgKL.jpg;https://m.media-amazon.com/images/I/81DUfUL1jYL.jpg</t>
  </si>
  <si>
    <t>B0CFBFY328</t>
  </si>
  <si>
    <t>0825663528742</t>
  </si>
  <si>
    <t>https://m.media-amazon.com/images/I/91KNJcCQhFL.jpg;https://m.media-amazon.com/images/I/91sPEYj23tL.jpg;https://m.media-amazon.com/images/I/81UBtu7VVbL.jpg;https://m.media-amazon.com/images/I/61GTlWpWz0L.jpg;https://m.media-amazon.com/images/I/41Tj5PhQUZL.jpg</t>
  </si>
  <si>
    <t>For any day, everyday layering, the Hurley Hoodie is the go-to layer for soft and warm comfort. It's made of super cozy fabric for an easy favorite when the weather cools down. The colorblock design offers bold statement-making style while also being casual enough for everyday.</t>
  </si>
  <si>
    <t>0825663528827</t>
  </si>
  <si>
    <t>https://m.media-amazon.com/images/I/81rWz86QkqL.jpg;https://m.media-amazon.com/images/I/91T9KA3hZtL.jpg;https://m.media-amazon.com/images/I/51PdFyrMwaL.jpg;https://m.media-amazon.com/images/I/41XFrUwYWbL.jpg;https://m.media-amazon.com/images/I/41Tj5PhQUZL.jpg</t>
  </si>
  <si>
    <t>0825663528759</t>
  </si>
  <si>
    <t>0825663528766</t>
  </si>
  <si>
    <t>0196570469078</t>
  </si>
  <si>
    <t>The Filmore is a low cut vulcanized lace-up inspired by the original Vans Classic Old Skool. With Skate-influenced design, the Filmore features a double-stitched multi-paneled upper for durability, padded tongue and collar vulcanized construction, original waffle outsole, a smooth lining and a cushioning insole for extra comfort.</t>
  </si>
  <si>
    <t>0098087807568</t>
  </si>
  <si>
    <t>https://m.media-amazon.com/images/I/31FcYFJBpJS.jpg;https://m.media-amazon.com/images/I/31NuWLHjF8S.jpg;https://m.media-amazon.com/images/I/21BxFc9NKGS.jpg;https://m.media-amazon.com/images/I/31UmUsffWsS.jpg;https://m.media-amazon.com/images/I/41M8a-ze5lS.jpg;https://m.media-amazon.com/images/I/31NV+9q8IWL.jpg;https://m.media-amazon.com/images/I/51NLi3T9xNL.jpg;https://m.media-amazon.com/images/I/51rRw4FIlPL.jpg</t>
  </si>
  <si>
    <t>Add some detail to your classic cross pendant! Crafted in 10K gold, this simplistic cross features a ribbed texture with a smaller cross seen on the face. Piece measures 1 7/16 by 3/4 inches. Comes with a gold-filled 18-inch cable chain with a spring ring clasp.</t>
  </si>
  <si>
    <t>0196739116065</t>
  </si>
  <si>
    <t>https://m.media-amazon.com/images/I/61Jnm+V6drL.jpg;https://m.media-amazon.com/images/I/61kzPIBr-9L.jpg</t>
  </si>
  <si>
    <t>He'll be hard to miss wearing this crewneck T-shirt in a hyper camo print. Perfect for his daily rotation, our cotton and cotton-blend T-shirts for boys are lightweight and soft on skin, making them versatile from school to sports. They have a classic silhouette with a standard fit and a ribbed collar that stretches for comfort. Iconic branding in the form of a high-density script logo offers a recognizable look. A heat-sealed tag on the neck ensures an itch-free wear for all-day fun.</t>
  </si>
  <si>
    <t>B0C6RM28DQ</t>
  </si>
  <si>
    <t>0196524312276</t>
  </si>
  <si>
    <t>https://m.media-amazon.com/images/I/61Me-Iq9efL.jpg;https://m.media-amazon.com/images/I/61I9Lp7dLLL.jpg;https://m.media-amazon.com/images/I/51BvUGEL18L.jpg;https://m.media-amazon.com/images/I/51IkcKxkAZL.jpg;https://m.media-amazon.com/images/I/419NDwzF7FL.jpg</t>
  </si>
  <si>
    <t>Levi's® XX Chino—don't call them khakis. They're softer, with just the right amount of stretch. Slightly roomier than our Slim Taper, they have a little more give but look just as clean and contemporary. This pair is garment-dyed for a vintage look and lived-in feel.</t>
  </si>
  <si>
    <t>0196524312337</t>
  </si>
  <si>
    <t>https://m.media-amazon.com/images/I/51oIV3JwK5L.jpg;https://m.media-amazon.com/images/I/41kMjviOgxL.jpg;https://m.media-amazon.com/images/I/51P-rwyZSRL.jpg;https://m.media-amazon.com/images/I/51IkcKxkAZL.jpg;https://m.media-amazon.com/images/I/419NDwzF7FL.jpg</t>
  </si>
  <si>
    <t>0196524312399</t>
  </si>
  <si>
    <t>0196524998609</t>
  </si>
  <si>
    <t>0196524312474</t>
  </si>
  <si>
    <t>0196524312542</t>
  </si>
  <si>
    <t>https://m.media-amazon.com/images/I/41ey2OxtdwL.jpg;https://m.media-amazon.com/images/I/41noRSsLe7L.jpg;https://m.media-amazon.com/images/I/41EWMkHrHmL.jpg;https://m.media-amazon.com/images/I/51IkcKxkAZL.jpg;https://m.media-amazon.com/images/I/419NDwzF7FL.jpg</t>
  </si>
  <si>
    <t>0196524312597</t>
  </si>
  <si>
    <t>0196524312610</t>
  </si>
  <si>
    <t>0196524312689</t>
  </si>
  <si>
    <t>0196524312726</t>
  </si>
  <si>
    <t>B0C7LQMZ99</t>
  </si>
  <si>
    <t>0742797978192</t>
  </si>
  <si>
    <t>12 Inch</t>
  </si>
  <si>
    <t>https://m.media-amazon.com/images/I/41DCDWZrpqL.jpg;https://m.media-amazon.com/images/I/41CBWosnvsL.jpg;https://m.media-amazon.com/images/I/51EpfKaAUCL.jpg;https://m.media-amazon.com/images/I/416RQTgO79L.jpg;https://m.media-amazon.com/images/I/415TnSMsiOL.jpg;https://m.media-amazon.com/images/I/51yCXNCP3gL.jpg</t>
  </si>
  <si>
    <t>The Fisher-Price™ Pets Attack-a-Stack Chase &amp; Toss Toy for dogs is a multifunctional engagement toy to entertain your pup at different stages of growth! We’ve re-imagined the classic Rock-a-Stack toy of our own childhood as a puppy toy that encourages physical activity and mental stimulation. The rings can be removed from the rope holder and tossed for a game of fetch or rolled for your pup to chase. Watch your pup hunt and chase to find these different scattered rings! Roll 1 or 2 for a moderate challenge or roll all 3 for more difficulty! The various ring sizes and materials provide more of a challenge as the puppy grows bigger &amp; stronger. Or encourage individual play by hiding treats in the stacked rings and let your dog figure out how to get to them. Plus, the rope &amp; plush base also double as a toss &amp; tug toy with an internal squeaker as well. After all, we recognize that comfort, interaction, and play are fundamental keystones in the growth and development of a healthy, happy puppy! Fisher-Price Pets serves up playful practicality with a heavy dose of nostalgia in a collection of pet development products that get you right in the feels. The original Fisher-Price™ children’s toys have been inspiring healthy development and play in babies for generations. It’s a name synonymous with childhood itself, and now we’re bringing the same imagination to fur-babies. Pets Fisher-Price are products inspired by Fisher-Price™ classic childhood toys not only in design, but also in application. While good for any size, shape, age, or breed of dog, Pets Fisher-Price focuses on products that aid in puppy development and can grow with your pet as they move through every age and every stage. We believe play, interaction, and comfort are fundamental keystones in the growth and development of a healthy, happy puppy. Look for classic childhood Fisher-Price™ favorites reimagined in the form of puppy teething toys, soothing &amp; calming products, and interactive play products.</t>
  </si>
  <si>
    <t>B0B8K39RQM</t>
  </si>
  <si>
    <t>0195932277702</t>
  </si>
  <si>
    <t>https://m.media-amazon.com/images/I/71EjRcfmmUL.jpg;https://m.media-amazon.com/images/I/61bLZQMvY5L.jpg;https://m.media-amazon.com/images/I/81DqJ5FGi6L.jpg;https://m.media-amazon.com/images/I/71Db5MwVjtL.jpg;https://m.media-amazon.com/images/I/71sAlCcgHmL.jpg</t>
  </si>
  <si>
    <t>Disney Nightmare Before Christmas Jack &amp; Sally Holiday Pullover Sweatshirt FAVORITE CHARACTERS
Let your child represent Disney in this adorable Christmas Holiday Hoodie featuring Jack &amp; Sally .
Fun Stylish Fashion
. COMFORTABLE &amp; EASY CARE
Super soft material provides a great look &amp; feel your little one will love. With easy to care for; whatever your she gets into, simply machine wash and dry!
OFFICIALLY LICENSED DISNEY CLOTHING APPAREL
The perfect gift for any girl; if it's their Birthday, Halloween, Christmas, or you just want to surprise them with a gift!
MULTIPLE SIZES
This Hoodie can come along as your little one grows. Choose from sizes: 4-16 for a soft &amp; comfortable feel, your child will want to wear every day!
Machine Washable / Fabric Care Instructions: Turn garment inside out before washing, Machine wash cold with like colors, only non-chlorine bleach when needed, Tumble Dry Low, Cool iron if needed, do not iron design.</t>
  </si>
  <si>
    <t>B08M3N51QT</t>
  </si>
  <si>
    <t>0810104240987</t>
  </si>
  <si>
    <t>(16.5" - 21.5") Chest Girth (Pack of 1)</t>
  </si>
  <si>
    <t>https://m.media-amazon.com/images/I/718lXEeR6FL.jpg;https://m.media-amazon.com/images/I/91hdEBXwaKL.jpg;https://m.media-amazon.com/images/I/91Xpp2Je3BL.jpg;https://m.media-amazon.com/images/I/81gnnXp7aYL.jpg;https://m.media-amazon.com/images/I/51Q5FbHY5PL.jpg</t>
  </si>
  <si>
    <t>0810104241168</t>
  </si>
  <si>
    <t>https://m.media-amazon.com/images/I/81LKwobKbiL.jpg;https://m.media-amazon.com/images/I/91hdEBXwaKL.jpg;https://m.media-amazon.com/images/I/91kpN5sp8GL.jpg;https://m.media-amazon.com/images/I/81m2kCu4yYL.jpg;https://m.media-amazon.com/images/I/51Q5FbHY5PL.jpg</t>
  </si>
  <si>
    <t>Description
This classic collection from Essentials by Blueberry Pet is perfect for everyday use. Elegant and simple, this harness is made to use all year long. Essentials by Blueberry Pet (EBP) is our basic line, provides the best value for daily must-haves. Material: Harness - high-density nylon webbing Buckle - eco-friendly plastic D Ring - chromed coated metal Care: Wipe to clean</t>
  </si>
  <si>
    <t>0810104240994</t>
  </si>
  <si>
    <t>(20" -26") Chest Girth (Pack of 1)</t>
  </si>
  <si>
    <t>https://m.media-amazon.com/images/I/91ddaTerzmL.jpg;https://m.media-amazon.com/images/I/91hdEBXwaKL.jpg;https://m.media-amazon.com/images/I/91kpN5sp8GL.jpg;https://m.media-amazon.com/images/I/81m2kCu4yYL.jpg;https://m.media-amazon.com/images/I/51Q5FbHY5PL.jpg</t>
  </si>
  <si>
    <t>0810104241175</t>
  </si>
  <si>
    <t>0810104241182</t>
  </si>
  <si>
    <t>(26"-39") Chest Girth (Pack of 1)</t>
  </si>
  <si>
    <t>0810104241007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</si>
</sst>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numFmt numFmtId="165" formatCode="#"/>
  </numFmts>
  <fonts count="6" x14ac:knownFonts="1">
    <font>
      <sz val="11"/>
      <color theme="1"/>
      <name val="Calibri"/>
      <charset val="1"/>
    </font>
    <font>
      <b/>
      <sz val="11"/>
      <color theme="1"/>
      <name val="Calibri"/>
      <family val="2"/>
      <charset val="1"/>
    </font>
    <font>
      <b/>
      <sz val="11"/>
      <color theme="4"/>
      <name val="Calibri"/>
      <family val="2"/>
      <charset val="1"/>
    </font>
    <font>
      <sz val="11"/>
      <color theme="1"/>
      <name val="Calibri"/>
      <family val="2"/>
      <charset val="1"/>
    </font>
    <font>
      <u/>
      <sz val="11"/>
      <color theme="10"/>
      <name val="Calibri"/>
      <family val="2"/>
      <charset val="1"/>
    </font>
    <font>
      <sz val="11"/>
      <color theme="1"/>
      <name val="Calibri"/>
      <charset val="1"/>
    </font>
  </fonts>
  <fills count="3">
    <fill>
      <patternFill patternType="none"/>
    </fill>
    <fill>
      <patternFill patternType="gray125"/>
    </fill>
    <fill>
      <patternFill patternType="solid">
        <fgColor theme="0"/>
        <bgColor rgb="FFFFFFCC"/>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cellStyleXfs>
  <cellXfs count="28">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4" fontId="0" fillId="0" borderId="1" xfId="0" applyNumberFormat="1" applyBorder="1" applyAlignment="1">
      <alignment horizontal="center" vertical="center"/>
    </xf>
    <xf numFmtId="164" fontId="0" fillId="0" borderId="1" xfId="0" applyNumberFormat="1" applyBorder="1" applyAlignment="1">
      <alignment horizontal="center" vertical="center"/>
    </xf>
    <xf numFmtId="10" fontId="0" fillId="0" borderId="1" xfId="0" applyNumberFormat="1" applyBorder="1" applyAlignment="1">
      <alignment horizontal="center" vertical="center"/>
    </xf>
    <xf numFmtId="2" fontId="0" fillId="0" borderId="1" xfId="0" applyNumberFormat="1" applyBorder="1" applyAlignment="1">
      <alignment horizontal="center" vertical="center"/>
    </xf>
    <xf numFmtId="1" fontId="0" fillId="0" borderId="1" xfId="0" applyNumberFormat="1" applyBorder="1" applyAlignment="1">
      <alignment horizontal="center" vertical="center"/>
    </xf>
    <xf numFmtId="0" fontId="0" fillId="0" borderId="1" xfId="0" applyBorder="1"/>
    <xf numFmtId="0" fontId="0" fillId="0" borderId="1" xfId="0" applyBorder="1" applyAlignment="1">
      <alignment vertical="top"/>
    </xf>
    <xf numFmtId="1" fontId="3" fillId="0" borderId="1" xfId="0" applyNumberFormat="1" applyFont="1" applyBorder="1" applyAlignment="1">
      <alignment horizontal="center" vertical="center"/>
    </xf>
    <xf numFmtId="0" fontId="4" fillId="0" borderId="1" xfId="0" applyFont="1" applyBorder="1" applyAlignment="1">
      <alignment horizontal="center" vertical="center"/>
    </xf>
    <xf numFmtId="165" fontId="0" fillId="0" borderId="1" xfId="0" applyNumberForma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64" fontId="3" fillId="0" borderId="1" xfId="0" applyNumberFormat="1" applyFont="1" applyBorder="1" applyAlignment="1">
      <alignment horizontal="center" vertical="center"/>
    </xf>
    <xf numFmtId="10" fontId="3" fillId="0" borderId="1" xfId="0" applyNumberFormat="1" applyFont="1" applyBorder="1" applyAlignment="1">
      <alignment horizontal="center" vertical="center"/>
    </xf>
    <xf numFmtId="2" fontId="3" fillId="0" borderId="1" xfId="0" applyNumberFormat="1" applyFont="1" applyBorder="1" applyAlignment="1">
      <alignment horizontal="center" vertical="center"/>
    </xf>
    <xf numFmtId="165" fontId="3" fillId="0" borderId="1" xfId="0" applyNumberFormat="1" applyFont="1" applyBorder="1" applyAlignment="1">
      <alignment horizontal="center" vertical="center"/>
    </xf>
    <xf numFmtId="1" fontId="1" fillId="0" borderId="1" xfId="0" applyNumberFormat="1" applyFont="1" applyBorder="1" applyAlignment="1">
      <alignment horizontal="center" vertical="center"/>
    </xf>
    <xf numFmtId="0" fontId="1" fillId="0" borderId="1" xfId="0" applyFont="1" applyBorder="1" applyAlignment="1">
      <alignment horizontal="center" vertical="center"/>
    </xf>
    <xf numFmtId="49" fontId="2" fillId="2" borderId="1" xfId="0" applyNumberFormat="1" applyFont="1" applyFill="1" applyBorder="1" applyAlignment="1">
      <alignment horizontal="center" vertical="center"/>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xf>
    <xf numFmtId="164" fontId="1" fillId="0" borderId="1" xfId="0" applyNumberFormat="1" applyFont="1" applyBorder="1" applyAlignment="1">
      <alignment horizontal="center" vertical="center"/>
    </xf>
    <xf numFmtId="10" fontId="1" fillId="0" borderId="1" xfId="0" applyNumberFormat="1" applyFont="1" applyBorder="1" applyAlignment="1">
      <alignment horizontal="center" vertical="center"/>
    </xf>
    <xf numFmtId="2" fontId="1" fillId="0" borderId="1" xfId="0" applyNumberFormat="1" applyFont="1" applyBorder="1" applyAlignment="1">
      <alignment horizontal="center" vertical="center"/>
    </xf>
    <xf numFmtId="0" fontId="0" fillId="0" borderId="0" xfId="0" applyAlignment="1">
      <alignment horizontal="center" vertical="center"/>
    </xf>
  </cellXfs>
  <cellStyles count="2">
    <cellStyle name="Normal" xfId="0" builtinId="0"/>
    <cellStyle name="Normal 2" xfId="1" xr:uid="{00000000-0005-0000-0000-000007000000}"/>
  </cellStyles>
  <dxfs count="18">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61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6EFCE"/>
      <rgbColor rgb="FFFFEB9C"/>
      <rgbColor rgb="FF99CCFF"/>
      <rgbColor rgb="FFFF99CC"/>
      <rgbColor rgb="FFCC99FF"/>
      <rgbColor rgb="FFFFC7CE"/>
      <rgbColor rgb="FF4472C4"/>
      <rgbColor rgb="FF33CCCC"/>
      <rgbColor rgb="FF99CC00"/>
      <rgbColor rgb="FFFFCC00"/>
      <rgbColor rgb="FFFF9900"/>
      <rgbColor rgb="FFFF6600"/>
      <rgbColor rgb="FF666699"/>
      <rgbColor rgb="FF969696"/>
      <rgbColor rgb="FF003366"/>
      <rgbColor rgb="FF339966"/>
      <rgbColor rgb="FF003300"/>
      <rgbColor rgb="FF333300"/>
      <rgbColor rgb="FF9C57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AG1541"/>
  <sheetViews>
    <sheetView tabSelected="1" zoomScale="115" zoomScaleNormal="115" workbookViewId="0">
      <pane ySplit="1" topLeftCell="A3" activePane="bottomLeft" state="frozen"/>
      <selection pane="bottomLeft" activeCell="A3" sqref="A3"/>
    </sheetView>
  </sheetViews>
  <sheetFormatPr defaultColWidth="14.42578125" defaultRowHeight="15" x14ac:dyDescent="0.25"/>
  <cols>
    <col min="1" max="1" width="17.5703125" style="1" customWidth="1"/>
    <col min="2" max="2" width="28.85546875" style="1" hidden="1" customWidth="1"/>
    <col min="3" max="3" width="14.28515625" style="1" customWidth="1"/>
    <col min="4" max="4" width="14.28515625" style="1" hidden="1" customWidth="1"/>
    <col min="5" max="5" width="31.7109375" style="2" hidden="1" customWidth="1"/>
    <col min="6" max="6" width="24.42578125" style="2" customWidth="1"/>
    <col min="7" max="7" width="45.28515625" style="2" hidden="1" customWidth="1"/>
    <col min="8" max="8" width="11.42578125" style="1" hidden="1" customWidth="1"/>
    <col min="9" max="9" width="15" style="1" customWidth="1"/>
    <col min="10" max="10" width="12.7109375" style="1" hidden="1" customWidth="1"/>
    <col min="11" max="11" width="49" style="2" customWidth="1"/>
    <col min="12" max="12" width="10.140625" style="3" customWidth="1"/>
    <col min="13" max="14" width="10.140625" style="4" customWidth="1"/>
    <col min="15" max="15" width="12" style="4" customWidth="1"/>
    <col min="16" max="16" width="17" style="5" customWidth="1"/>
    <col min="17" max="17" width="12" style="1" customWidth="1"/>
    <col min="18" max="18" width="17" style="1" customWidth="1"/>
    <col min="19" max="19" width="17" style="6" customWidth="1"/>
    <col min="20" max="20" width="13.7109375" style="4" customWidth="1"/>
    <col min="21" max="21" width="11.5703125" style="1" customWidth="1"/>
    <col min="22" max="22" width="13.7109375" style="4" customWidth="1"/>
    <col min="23" max="23" width="17.7109375" style="1" customWidth="1"/>
    <col min="24" max="24" width="11.7109375" style="1" customWidth="1"/>
    <col min="25" max="25" width="17" style="7" customWidth="1"/>
    <col min="26" max="27" width="16" style="1" customWidth="1"/>
    <col min="28" max="28" width="13" style="1" customWidth="1"/>
    <col min="29" max="29" width="17" style="1" customWidth="1"/>
    <col min="30" max="31" width="14.42578125" style="1" customWidth="1"/>
    <col min="32" max="33" width="14.42578125" style="4" customWidth="1"/>
    <col min="34" max="34" width="14.42578125" style="8" customWidth="1"/>
    <col min="35" max="16384" width="14.42578125" style="8"/>
  </cols>
  <sheetData>
    <row r="1" spans="1:33" s="9" customFormat="1" ht="15" customHeight="1" x14ac:dyDescent="0.25">
      <c r="A1" s="19" t="s">
        <v>0</v>
      </c>
      <c r="B1" s="20" t="s">
        <v>1</v>
      </c>
      <c r="C1" s="21" t="s">
        <v>2</v>
      </c>
      <c r="D1" s="21" t="s">
        <v>3</v>
      </c>
      <c r="E1" s="20" t="s">
        <v>4</v>
      </c>
      <c r="F1" s="20" t="s">
        <v>5</v>
      </c>
      <c r="G1" s="20" t="s">
        <v>6</v>
      </c>
      <c r="H1" s="20" t="s">
        <v>7</v>
      </c>
      <c r="I1" s="20" t="s">
        <v>6</v>
      </c>
      <c r="J1" s="20" t="s">
        <v>8</v>
      </c>
      <c r="K1" s="22" t="s">
        <v>9</v>
      </c>
      <c r="L1" s="23" t="s">
        <v>10</v>
      </c>
      <c r="M1" s="24" t="s">
        <v>11</v>
      </c>
      <c r="N1" s="24" t="s">
        <v>12</v>
      </c>
      <c r="O1" s="24" t="s">
        <v>13</v>
      </c>
      <c r="P1" s="25" t="s">
        <v>14</v>
      </c>
      <c r="Q1" s="20" t="s">
        <v>15</v>
      </c>
      <c r="R1" s="20" t="s">
        <v>16</v>
      </c>
      <c r="S1" s="26" t="s">
        <v>17</v>
      </c>
      <c r="T1" s="24" t="s">
        <v>18</v>
      </c>
      <c r="U1" s="24" t="s">
        <v>19</v>
      </c>
      <c r="V1" s="24" t="s">
        <v>20</v>
      </c>
      <c r="W1" s="20" t="s">
        <v>21</v>
      </c>
      <c r="X1" s="20" t="s">
        <v>22</v>
      </c>
      <c r="Y1" s="19" t="s">
        <v>23</v>
      </c>
      <c r="Z1" s="20" t="s">
        <v>24</v>
      </c>
      <c r="AA1" s="20" t="s">
        <v>25</v>
      </c>
      <c r="AB1" s="20" t="s">
        <v>26</v>
      </c>
      <c r="AC1" s="20" t="s">
        <v>27</v>
      </c>
      <c r="AD1" s="20" t="s">
        <v>28</v>
      </c>
      <c r="AE1" s="20" t="s">
        <v>29</v>
      </c>
      <c r="AF1" s="24" t="s">
        <v>30</v>
      </c>
      <c r="AG1" s="24" t="s">
        <v>31</v>
      </c>
    </row>
    <row r="2" spans="1:33" ht="47.25" hidden="1" customHeight="1" x14ac:dyDescent="0.25">
      <c r="A2" s="10" t="s">
        <v>4014</v>
      </c>
      <c r="B2" s="11" t="s">
        <v>33</v>
      </c>
      <c r="C2" s="12" t="s">
        <v>4015</v>
      </c>
      <c r="D2" s="27"/>
      <c r="E2" s="14" t="s">
        <v>35</v>
      </c>
      <c r="F2" s="11" t="str">
        <f>HYPERLINK("https://redirect.sdcdeals.com/redirect?destination=https%3A%2F%2Fwww.amazon.com%2Fdp%2FB0BZJXMR8M%3Fth%3D1%26psc%3D1%26tag%3Dsdcdeals03-20", "Amazon Link")</f>
        <v>Amazon Link</v>
      </c>
      <c r="G2" s="11" t="s">
        <v>36</v>
      </c>
      <c r="H2" s="14" t="s">
        <v>4016</v>
      </c>
      <c r="I2" s="11" t="str">
        <f>HYPERLINK("https://redirect.sdcdeals.com/redirect?code=763034&amp;mavely=https://mavely.app.link/e/bhESV2wGrGb&amp;destination=https%3A%2F%2Fwww.kohls.com%2Fsearch.jsp%3Fsubmit-search%3Dweb-regular%26search%3D83030669", "Retail Link")</f>
        <v>Retail Link</v>
      </c>
      <c r="J2" s="14" t="s">
        <v>4017</v>
      </c>
      <c r="K2" s="13" t="s">
        <v>4018</v>
      </c>
      <c r="L2" s="15">
        <v>3.6</v>
      </c>
      <c r="M2" s="15">
        <v>35.130000000000003</v>
      </c>
      <c r="N2" s="15">
        <v>19.660499999999999</v>
      </c>
      <c r="O2" s="15">
        <f>V2-M2</f>
        <v>-2.75</v>
      </c>
      <c r="P2" s="16">
        <f>N2/L2</f>
        <v>5.4612499999999997</v>
      </c>
      <c r="Q2" s="14"/>
      <c r="R2" s="14"/>
      <c r="S2" s="17">
        <v>2.44933282</v>
      </c>
      <c r="T2" s="15">
        <v>21.97</v>
      </c>
      <c r="U2" s="15">
        <v>34.659999999999997</v>
      </c>
      <c r="V2" s="15">
        <v>32.380000000000003</v>
      </c>
      <c r="W2" s="14" t="s">
        <v>2850</v>
      </c>
      <c r="X2" s="14">
        <v>4</v>
      </c>
      <c r="Y2" s="10">
        <f>AC2-AB2</f>
        <v>0</v>
      </c>
      <c r="Z2" s="18">
        <v>0</v>
      </c>
      <c r="AA2" s="18">
        <v>0</v>
      </c>
      <c r="AB2" s="18">
        <v>0</v>
      </c>
      <c r="AC2" s="18"/>
      <c r="AD2" s="1" t="s">
        <v>4019</v>
      </c>
      <c r="AE2" s="1" t="s">
        <v>4020</v>
      </c>
      <c r="AF2" s="4">
        <v>5.98</v>
      </c>
      <c r="AG2" s="4">
        <v>6.6</v>
      </c>
    </row>
    <row r="3" spans="1:33" ht="47.25" customHeight="1" x14ac:dyDescent="0.25">
      <c r="A3" s="10" t="s">
        <v>2392</v>
      </c>
      <c r="B3" s="11" t="s">
        <v>33</v>
      </c>
      <c r="C3" s="12" t="s">
        <v>2393</v>
      </c>
      <c r="D3" s="27"/>
      <c r="E3" s="14" t="s">
        <v>35</v>
      </c>
      <c r="F3" s="11" t="str">
        <f>HYPERLINK("https://redirect.sdcdeals.com/redirect?destination=https%3A%2F%2Fwww.amazon.com%2Fdp%2FB002HC345M%3Fth%3D1%26psc%3D1%26tag%3Dsdcdeals03-20", "Amazon Link")</f>
        <v>Amazon Link</v>
      </c>
      <c r="G3" s="11" t="s">
        <v>36</v>
      </c>
      <c r="H3" s="14" t="s">
        <v>2394</v>
      </c>
      <c r="I3" s="11" t="str">
        <f>HYPERLINK("https://redirect.sdcdeals.com/redirect?code=763034&amp;mavely=https://mavely.app.link/e/bhESV2wGrGb&amp;destination=https%3A%2F%2Fwww.kohls.com%2Fsearch.jsp%3Fsubmit-search%3Dweb-regular%26search%3D76789944", "Retail Link")</f>
        <v>Retail Link</v>
      </c>
      <c r="J3" s="14" t="s">
        <v>2395</v>
      </c>
      <c r="K3" s="13" t="s">
        <v>2396</v>
      </c>
      <c r="L3" s="15">
        <v>10.4</v>
      </c>
      <c r="M3" s="15">
        <v>68.63</v>
      </c>
      <c r="N3" s="15">
        <v>44.165499999999987</v>
      </c>
      <c r="O3" s="15">
        <f>V3-M3</f>
        <v>-4.3100000000000023</v>
      </c>
      <c r="P3" s="16">
        <f>N3/L3</f>
        <v>4.246682692307691</v>
      </c>
      <c r="Q3" s="14">
        <v>2213008</v>
      </c>
      <c r="R3" s="14"/>
      <c r="S3" s="17">
        <v>0.82011864000000001</v>
      </c>
      <c r="T3" s="15">
        <v>68.63</v>
      </c>
      <c r="U3" s="15">
        <v>65.930000000000007</v>
      </c>
      <c r="V3" s="15">
        <v>64.319999999999993</v>
      </c>
      <c r="W3" s="14" t="s">
        <v>100</v>
      </c>
      <c r="X3" s="14">
        <v>2</v>
      </c>
      <c r="Y3" s="10">
        <f>AC3-AB3</f>
        <v>0</v>
      </c>
      <c r="Z3" s="18">
        <v>1</v>
      </c>
      <c r="AA3" s="18">
        <v>1</v>
      </c>
      <c r="AB3" s="18"/>
      <c r="AC3" s="18"/>
      <c r="AF3" s="4">
        <v>8.24</v>
      </c>
      <c r="AG3" s="4">
        <v>3.77</v>
      </c>
    </row>
    <row r="4" spans="1:33" ht="47.25" hidden="1" customHeight="1" x14ac:dyDescent="0.25">
      <c r="A4" s="10" t="s">
        <v>4547</v>
      </c>
      <c r="B4" s="11" t="s">
        <v>33</v>
      </c>
      <c r="C4" s="12" t="s">
        <v>4548</v>
      </c>
      <c r="D4" s="27"/>
      <c r="E4" s="14" t="s">
        <v>35</v>
      </c>
      <c r="F4" s="11" t="str">
        <f>HYPERLINK("https://redirect.sdcdeals.com/redirect?destination=https%3A%2F%2Fwww.amazon.com%2Fdp%2FB0CL5CYPYC%3Fth%3D1%26psc%3D1%26tag%3Dsdcdeals03-20", "Amazon Link")</f>
        <v>Amazon Link</v>
      </c>
      <c r="G4" s="11" t="s">
        <v>36</v>
      </c>
      <c r="H4" s="14" t="s">
        <v>4549</v>
      </c>
      <c r="I4" s="11" t="str">
        <f>HYPERLINK("https://redirect.sdcdeals.com/redirect?code=763034&amp;mavely=https://mavely.app.link/e/bhESV2wGrGb&amp;destination=https%3A%2F%2Fwww.kohls.com%2Fsearch.jsp%3Fsubmit-search%3Dweb-regular%26search%3D28182155", "Retail Link")</f>
        <v>Retail Link</v>
      </c>
      <c r="J4" s="14" t="s">
        <v>4550</v>
      </c>
      <c r="K4" s="13" t="s">
        <v>4551</v>
      </c>
      <c r="L4" s="15">
        <v>6.4</v>
      </c>
      <c r="M4" s="15">
        <v>41.2</v>
      </c>
      <c r="N4" s="15">
        <v>23.95</v>
      </c>
      <c r="O4" s="15">
        <f>V4-M4</f>
        <v>-2.3200000000000003</v>
      </c>
      <c r="P4" s="16">
        <f>N4/L4</f>
        <v>3.7421874999999996</v>
      </c>
      <c r="Q4" s="14"/>
      <c r="R4" s="14"/>
      <c r="S4" s="17">
        <v>0.56217810000000001</v>
      </c>
      <c r="T4" s="15">
        <v>41.2</v>
      </c>
      <c r="U4" s="15">
        <v>41.2</v>
      </c>
      <c r="V4" s="15">
        <v>38.880000000000003</v>
      </c>
      <c r="W4" s="14" t="s">
        <v>60</v>
      </c>
      <c r="X4" s="14">
        <v>1</v>
      </c>
      <c r="Y4" s="10">
        <f>AC4-AB4</f>
        <v>0</v>
      </c>
      <c r="Z4" s="18">
        <v>0</v>
      </c>
      <c r="AA4" s="18">
        <v>0</v>
      </c>
      <c r="AB4" s="18">
        <v>0</v>
      </c>
      <c r="AC4" s="18"/>
      <c r="AG4" s="4">
        <v>4.67</v>
      </c>
    </row>
    <row r="5" spans="1:33" ht="47.25" customHeight="1" x14ac:dyDescent="0.25">
      <c r="A5" s="10" t="s">
        <v>7002</v>
      </c>
      <c r="B5" s="11" t="s">
        <v>33</v>
      </c>
      <c r="C5" s="12" t="s">
        <v>7003</v>
      </c>
      <c r="D5" s="27"/>
      <c r="E5" s="14" t="s">
        <v>35</v>
      </c>
      <c r="F5" s="11" t="str">
        <f>HYPERLINK("https://redirect.sdcdeals.com/redirect?destination=https%3A%2F%2Fwww.amazon.com%2Fdp%2FB09HC3NCC6%3Fth%3D1%26psc%3D1%26tag%3Dsdcdeals03-20", "Amazon Link")</f>
        <v>Amazon Link</v>
      </c>
      <c r="G5" s="11" t="s">
        <v>36</v>
      </c>
      <c r="H5" s="14" t="s">
        <v>7004</v>
      </c>
      <c r="I5" s="11" t="str">
        <f>HYPERLINK("https://redirect.sdcdeals.com/redirect?code=763034&amp;mavely=https://mavely.app.link/e/bhESV2wGrGb&amp;destination=https%3A%2F%2Fwww.kohls.com%2Fsearch.jsp%3Fsubmit-search%3Dweb-regular%26search%3D17920439", "Retail Link")</f>
        <v>Retail Link</v>
      </c>
      <c r="J5" s="14" t="s">
        <v>6990</v>
      </c>
      <c r="K5" s="13" t="s">
        <v>7005</v>
      </c>
      <c r="L5" s="15">
        <v>13.496</v>
      </c>
      <c r="M5" s="15">
        <v>74.95</v>
      </c>
      <c r="N5" s="15">
        <v>46.791499999999999</v>
      </c>
      <c r="O5" s="15">
        <f>V5-M5</f>
        <v>1.9999999999996021E-2</v>
      </c>
      <c r="P5" s="16">
        <f>N5/L5</f>
        <v>3.467064315352697</v>
      </c>
      <c r="Q5" s="14">
        <v>6281581</v>
      </c>
      <c r="R5" s="14"/>
      <c r="S5" s="17">
        <v>0.35053457999999998</v>
      </c>
      <c r="T5" s="15">
        <v>63.58</v>
      </c>
      <c r="U5" s="15">
        <v>74.95</v>
      </c>
      <c r="V5" s="15">
        <v>74.97</v>
      </c>
      <c r="W5" s="14" t="s">
        <v>53</v>
      </c>
      <c r="X5" s="14">
        <v>4</v>
      </c>
      <c r="Y5" s="10">
        <f>AC5-AB5</f>
        <v>0</v>
      </c>
      <c r="Z5" s="18">
        <v>0</v>
      </c>
      <c r="AA5" s="18">
        <v>0</v>
      </c>
      <c r="AB5" s="18">
        <v>0</v>
      </c>
      <c r="AC5" s="18"/>
      <c r="AD5" s="1" t="s">
        <v>7006</v>
      </c>
      <c r="AE5" s="1" t="s">
        <v>6851</v>
      </c>
      <c r="AF5" s="4">
        <v>12.74</v>
      </c>
      <c r="AG5" s="4">
        <v>3.42</v>
      </c>
    </row>
    <row r="6" spans="1:33" ht="47.25" hidden="1" customHeight="1" x14ac:dyDescent="0.25">
      <c r="A6" s="10" t="s">
        <v>6993</v>
      </c>
      <c r="B6" s="11" t="s">
        <v>33</v>
      </c>
      <c r="C6" s="12" t="s">
        <v>6994</v>
      </c>
      <c r="D6" s="27"/>
      <c r="E6" s="14" t="s">
        <v>35</v>
      </c>
      <c r="F6" s="11" t="str">
        <f>HYPERLINK("https://redirect.sdcdeals.com/redirect?destination=https%3A%2F%2Fwww.amazon.com%2Fdp%2FB09HC71L97%3Fth%3D1%26psc%3D1%26tag%3Dsdcdeals03-20", "Amazon Link")</f>
        <v>Amazon Link</v>
      </c>
      <c r="G6" s="11" t="s">
        <v>36</v>
      </c>
      <c r="H6" s="14" t="s">
        <v>6995</v>
      </c>
      <c r="I6" s="11" t="str">
        <f>HYPERLINK("https://redirect.sdcdeals.com/redirect?code=763034&amp;mavely=https://mavely.app.link/e/bhESV2wGrGb&amp;destination=https%3A%2F%2Fwww.kohls.com%2Fsearch.jsp%3Fsubmit-search%3Dweb-regular%26search%3D17920443", "Retail Link")</f>
        <v>Retail Link</v>
      </c>
      <c r="J6" s="14" t="s">
        <v>6990</v>
      </c>
      <c r="K6" s="13" t="s">
        <v>6996</v>
      </c>
      <c r="L6" s="15">
        <v>13.496</v>
      </c>
      <c r="M6" s="15">
        <v>74.989999999999995</v>
      </c>
      <c r="N6" s="15">
        <v>46.665499999999987</v>
      </c>
      <c r="O6" s="15">
        <f>V6-M6</f>
        <v>0</v>
      </c>
      <c r="P6" s="16">
        <f>N6/L6</f>
        <v>3.4577282157676339</v>
      </c>
      <c r="Q6" s="14"/>
      <c r="R6" s="14"/>
      <c r="S6" s="17"/>
      <c r="T6" s="15">
        <v>63.58</v>
      </c>
      <c r="U6" s="15">
        <v>74.989999999999995</v>
      </c>
      <c r="V6" s="15">
        <v>74.989999999999995</v>
      </c>
      <c r="W6" s="14" t="s">
        <v>342</v>
      </c>
      <c r="X6" s="14">
        <v>4</v>
      </c>
      <c r="Y6" s="10">
        <f>AC6-AB6</f>
        <v>0</v>
      </c>
      <c r="Z6" s="18">
        <v>0</v>
      </c>
      <c r="AA6" s="18">
        <v>0</v>
      </c>
      <c r="AB6" s="18"/>
      <c r="AC6" s="18"/>
      <c r="AE6" s="1" t="s">
        <v>6851</v>
      </c>
      <c r="AG6" s="4">
        <v>3.58</v>
      </c>
    </row>
    <row r="7" spans="1:33" ht="47.25" hidden="1" customHeight="1" x14ac:dyDescent="0.25">
      <c r="A7" s="10" t="s">
        <v>7287</v>
      </c>
      <c r="B7" s="11" t="s">
        <v>33</v>
      </c>
      <c r="C7" s="12" t="s">
        <v>7288</v>
      </c>
      <c r="D7" s="27"/>
      <c r="E7" s="14" t="s">
        <v>35</v>
      </c>
      <c r="F7" s="11" t="str">
        <f>HYPERLINK("https://redirect.sdcdeals.com/redirect?destination=https%3A%2F%2Fwww.amazon.com%2Fdp%2FB0CXDW2K6F%3Fth%3D1%26psc%3D1%26tag%3Dsdcdeals03-20", "Amazon Link")</f>
        <v>Amazon Link</v>
      </c>
      <c r="G7" s="11" t="s">
        <v>36</v>
      </c>
      <c r="H7" s="14" t="s">
        <v>7289</v>
      </c>
      <c r="I7" s="11" t="str">
        <f>HYPERLINK("https://redirect.sdcdeals.com/redirect?code=763034&amp;mavely=https://mavely.app.link/e/bhESV2wGrGb&amp;destination=https%3A%2F%2Fwww.kohls.com%2Fsearch.jsp%3Fsubmit-search%3Dweb-regular%26search%3D70990246", "Retail Link")</f>
        <v>Retail Link</v>
      </c>
      <c r="J7" s="14" t="s">
        <v>7290</v>
      </c>
      <c r="K7" s="13" t="s">
        <v>7291</v>
      </c>
      <c r="L7" s="15">
        <v>13</v>
      </c>
      <c r="M7" s="15">
        <v>73.19</v>
      </c>
      <c r="N7" s="15">
        <v>43.071499999999993</v>
      </c>
      <c r="O7" s="15">
        <f>V7-M7</f>
        <v>-43.239999999999995</v>
      </c>
      <c r="P7" s="16">
        <f>N7/L7</f>
        <v>3.3131923076923071</v>
      </c>
      <c r="Q7" s="14"/>
      <c r="R7" s="14"/>
      <c r="S7" s="17">
        <v>0.56217810000000001</v>
      </c>
      <c r="T7" s="15">
        <v>73.19</v>
      </c>
      <c r="U7" s="15">
        <v>29.95</v>
      </c>
      <c r="V7" s="15">
        <v>29.95</v>
      </c>
      <c r="W7" s="14" t="s">
        <v>598</v>
      </c>
      <c r="X7" s="14">
        <v>1</v>
      </c>
      <c r="Y7" s="10">
        <f>AC7-AB7</f>
        <v>0</v>
      </c>
      <c r="Z7" s="18">
        <v>-1</v>
      </c>
      <c r="AA7" s="18">
        <v>-1</v>
      </c>
      <c r="AB7" s="18"/>
      <c r="AC7" s="18"/>
      <c r="AG7" s="4">
        <v>6.14</v>
      </c>
    </row>
    <row r="8" spans="1:33" ht="47.25" customHeight="1" x14ac:dyDescent="0.25">
      <c r="A8" s="10" t="s">
        <v>6864</v>
      </c>
      <c r="B8" s="11" t="s">
        <v>33</v>
      </c>
      <c r="C8" s="12" t="s">
        <v>6865</v>
      </c>
      <c r="D8" s="27"/>
      <c r="E8" s="14" t="s">
        <v>35</v>
      </c>
      <c r="F8" s="11" t="str">
        <f>HYPERLINK("https://redirect.sdcdeals.com/redirect?destination=https%3A%2F%2Fwww.amazon.com%2Fdp%2FB09HC3LPK8%3Fth%3D1%26psc%3D1%26tag%3Dsdcdeals03-20", "Amazon Link")</f>
        <v>Amazon Link</v>
      </c>
      <c r="G8" s="11" t="s">
        <v>36</v>
      </c>
      <c r="H8" s="14" t="s">
        <v>6866</v>
      </c>
      <c r="I8" s="11" t="str">
        <f>HYPERLINK("https://redirect.sdcdeals.com/redirect?code=763034&amp;mavely=https://mavely.app.link/e/bhESV2wGrGb&amp;destination=https%3A%2F%2Fwww.kohls.com%2Fsearch.jsp%3Fsubmit-search%3Dweb-regular%26search%3D49813150", "Retail Link")</f>
        <v>Retail Link</v>
      </c>
      <c r="J8" s="14" t="s">
        <v>6848</v>
      </c>
      <c r="K8" s="13" t="s">
        <v>6867</v>
      </c>
      <c r="L8" s="15">
        <v>14.576000000000001</v>
      </c>
      <c r="M8" s="15">
        <v>79.95</v>
      </c>
      <c r="N8" s="15">
        <v>48.261499999999998</v>
      </c>
      <c r="O8" s="15">
        <f>V8-M8</f>
        <v>-1.6099999999999994</v>
      </c>
      <c r="P8" s="16">
        <f>N8/L8</f>
        <v>3.3110249725576288</v>
      </c>
      <c r="Q8" s="14">
        <v>1218303</v>
      </c>
      <c r="R8" s="14"/>
      <c r="S8" s="17">
        <v>0.39903622</v>
      </c>
      <c r="T8" s="15">
        <v>79.95</v>
      </c>
      <c r="U8" s="15">
        <v>78.25</v>
      </c>
      <c r="V8" s="15">
        <v>78.34</v>
      </c>
      <c r="W8" s="14" t="s">
        <v>342</v>
      </c>
      <c r="X8" s="14">
        <v>2</v>
      </c>
      <c r="Y8" s="10">
        <f>AC8-AB8</f>
        <v>3</v>
      </c>
      <c r="Z8" s="18">
        <v>6</v>
      </c>
      <c r="AA8" s="18">
        <v>17</v>
      </c>
      <c r="AB8" s="18">
        <v>4</v>
      </c>
      <c r="AC8" s="18">
        <v>7</v>
      </c>
      <c r="AD8" s="1" t="s">
        <v>6862</v>
      </c>
      <c r="AE8" s="1" t="s">
        <v>6863</v>
      </c>
      <c r="AF8" s="4">
        <v>13.59</v>
      </c>
      <c r="AG8" s="4">
        <v>5.12</v>
      </c>
    </row>
    <row r="9" spans="1:33" ht="47.25" hidden="1" customHeight="1" x14ac:dyDescent="0.25">
      <c r="A9" s="10" t="s">
        <v>5424</v>
      </c>
      <c r="B9" s="11" t="s">
        <v>33</v>
      </c>
      <c r="C9" s="12" t="s">
        <v>5425</v>
      </c>
      <c r="D9" s="27"/>
      <c r="E9" s="14" t="s">
        <v>35</v>
      </c>
      <c r="F9" s="11" t="str">
        <f>HYPERLINK("https://redirect.sdcdeals.com/redirect?destination=https%3A%2F%2Fwww.amazon.com%2Fdp%2FB0CSPSVRFN%3Fth%3D1%26psc%3D1%26tag%3Dsdcdeals03-20", "Amazon Link")</f>
        <v>Amazon Link</v>
      </c>
      <c r="G9" s="11" t="s">
        <v>36</v>
      </c>
      <c r="H9" s="14" t="s">
        <v>5426</v>
      </c>
      <c r="I9" s="11" t="str">
        <f>HYPERLINK("https://redirect.sdcdeals.com/redirect?code=763034&amp;mavely=https://mavely.app.link/e/bhESV2wGrGb&amp;destination=https%3A%2F%2Fwww.kohls.com%2Fsearch.jsp%3Fsubmit-search%3Dweb-regular%26search%3D79042979", "Retail Link")</f>
        <v>Retail Link</v>
      </c>
      <c r="J9" s="14" t="s">
        <v>5417</v>
      </c>
      <c r="K9" s="13" t="s">
        <v>5427</v>
      </c>
      <c r="L9" s="15">
        <v>4.4000000000000004</v>
      </c>
      <c r="M9" s="15">
        <v>29.99</v>
      </c>
      <c r="N9" s="15">
        <v>14.4915</v>
      </c>
      <c r="O9" s="15">
        <f>V9-M9</f>
        <v>-1.6499999999999986</v>
      </c>
      <c r="P9" s="16">
        <f>N9/L9</f>
        <v>3.2935227272727272</v>
      </c>
      <c r="Q9" s="14"/>
      <c r="R9" s="14"/>
      <c r="S9" s="17">
        <v>0.35273919999999997</v>
      </c>
      <c r="T9" s="15">
        <v>29.99</v>
      </c>
      <c r="U9" s="15">
        <v>27.19</v>
      </c>
      <c r="V9" s="15">
        <v>28.34</v>
      </c>
      <c r="W9" s="14" t="s">
        <v>1536</v>
      </c>
      <c r="X9" s="14">
        <v>2</v>
      </c>
      <c r="Y9" s="10">
        <f>AC9-AB9</f>
        <v>0</v>
      </c>
      <c r="Z9" s="18">
        <v>5</v>
      </c>
      <c r="AA9" s="18">
        <v>49</v>
      </c>
      <c r="AB9" s="18">
        <v>0</v>
      </c>
      <c r="AC9" s="18"/>
      <c r="AF9" s="4">
        <v>5.0999999999999996</v>
      </c>
      <c r="AG9" s="4">
        <v>6.6</v>
      </c>
    </row>
    <row r="10" spans="1:33" ht="47.25" customHeight="1" x14ac:dyDescent="0.25">
      <c r="A10" s="10" t="s">
        <v>6868</v>
      </c>
      <c r="B10" s="11" t="s">
        <v>33</v>
      </c>
      <c r="C10" s="12" t="s">
        <v>6869</v>
      </c>
      <c r="D10" s="27"/>
      <c r="E10" s="14" t="s">
        <v>35</v>
      </c>
      <c r="F10" s="11" t="str">
        <f>HYPERLINK("https://redirect.sdcdeals.com/redirect?destination=https%3A%2F%2Fwww.amazon.com%2Fdp%2FB09HC4JLHD%3Fth%3D1%26psc%3D1%26tag%3Dsdcdeals03-20", "Amazon Link")</f>
        <v>Amazon Link</v>
      </c>
      <c r="G10" s="11" t="s">
        <v>36</v>
      </c>
      <c r="H10" s="14" t="s">
        <v>6870</v>
      </c>
      <c r="I10" s="11" t="str">
        <f>HYPERLINK("https://redirect.sdcdeals.com/redirect?code=763034&amp;mavely=https://mavely.app.link/e/bhESV2wGrGb&amp;destination=https%3A%2F%2Fwww.kohls.com%2Fsearch.jsp%3Fsubmit-search%3Dweb-regular%26search%3D49813151", "Retail Link")</f>
        <v>Retail Link</v>
      </c>
      <c r="J10" s="14" t="s">
        <v>6848</v>
      </c>
      <c r="K10" s="13" t="s">
        <v>6871</v>
      </c>
      <c r="L10" s="15">
        <v>14.576000000000001</v>
      </c>
      <c r="M10" s="15">
        <v>79.95</v>
      </c>
      <c r="N10" s="15">
        <v>47.481499999999997</v>
      </c>
      <c r="O10" s="15">
        <f>V10-M10</f>
        <v>9.9999999999909051E-3</v>
      </c>
      <c r="P10" s="16">
        <f>N10/L10</f>
        <v>3.2575123490669591</v>
      </c>
      <c r="Q10" s="14">
        <v>1242702</v>
      </c>
      <c r="R10" s="14"/>
      <c r="S10" s="17">
        <v>0.39903622</v>
      </c>
      <c r="T10" s="15">
        <v>79.95</v>
      </c>
      <c r="U10" s="15">
        <v>79.95</v>
      </c>
      <c r="V10" s="15">
        <v>79.959999999999994</v>
      </c>
      <c r="W10" s="14" t="s">
        <v>255</v>
      </c>
      <c r="X10" s="14">
        <v>1</v>
      </c>
      <c r="Y10" s="10">
        <f>AC10-AB10</f>
        <v>0</v>
      </c>
      <c r="Z10" s="18">
        <v>6</v>
      </c>
      <c r="AA10" s="18">
        <v>13</v>
      </c>
      <c r="AB10" s="18">
        <v>0</v>
      </c>
      <c r="AC10" s="18"/>
      <c r="AD10" s="1" t="s">
        <v>6862</v>
      </c>
      <c r="AE10" s="1" t="s">
        <v>6863</v>
      </c>
      <c r="AF10" s="4">
        <v>13.59</v>
      </c>
      <c r="AG10" s="4">
        <v>5.9</v>
      </c>
    </row>
    <row r="11" spans="1:33" ht="47.25" customHeight="1" x14ac:dyDescent="0.25">
      <c r="A11" s="10" t="s">
        <v>7007</v>
      </c>
      <c r="B11" s="11" t="s">
        <v>33</v>
      </c>
      <c r="C11" s="12" t="s">
        <v>7008</v>
      </c>
      <c r="D11" s="27"/>
      <c r="E11" s="14" t="s">
        <v>35</v>
      </c>
      <c r="F11" s="11" t="str">
        <f>HYPERLINK("https://redirect.sdcdeals.com/redirect?destination=https%3A%2F%2Fwww.amazon.com%2Fdp%2FB09HC7HHM3%3Fth%3D1%26psc%3D1%26tag%3Dsdcdeals03-20", "Amazon Link")</f>
        <v>Amazon Link</v>
      </c>
      <c r="G11" s="11" t="s">
        <v>36</v>
      </c>
      <c r="H11" s="14" t="s">
        <v>7009</v>
      </c>
      <c r="I11" s="11" t="str">
        <f>HYPERLINK("https://redirect.sdcdeals.com/redirect?code=763034&amp;mavely=https://mavely.app.link/e/bhESV2wGrGb&amp;destination=https%3A%2F%2Fwww.kohls.com%2Fsearch.jsp%3Fsubmit-search%3Dweb-regular%26search%3D29464898", "Retail Link")</f>
        <v>Retail Link</v>
      </c>
      <c r="J11" s="14" t="s">
        <v>6990</v>
      </c>
      <c r="K11" s="13" t="s">
        <v>7010</v>
      </c>
      <c r="L11" s="15">
        <v>13.496</v>
      </c>
      <c r="M11" s="15">
        <v>70.900000000000006</v>
      </c>
      <c r="N11" s="15">
        <v>43.348999999999997</v>
      </c>
      <c r="O11" s="15">
        <f>V11-M11</f>
        <v>2.519999999999996</v>
      </c>
      <c r="P11" s="16">
        <f>N11/L11</f>
        <v>3.2119887374036749</v>
      </c>
      <c r="Q11" s="14">
        <v>5408275</v>
      </c>
      <c r="R11" s="14"/>
      <c r="S11" s="17">
        <v>0.29982831999999998</v>
      </c>
      <c r="T11" s="15">
        <v>65.78</v>
      </c>
      <c r="U11" s="15">
        <v>71.5</v>
      </c>
      <c r="V11" s="15">
        <v>73.42</v>
      </c>
      <c r="W11" s="14" t="s">
        <v>60</v>
      </c>
      <c r="X11" s="14">
        <v>4</v>
      </c>
      <c r="Y11" s="10">
        <f>AC11-AB11</f>
        <v>1</v>
      </c>
      <c r="Z11" s="18">
        <v>0</v>
      </c>
      <c r="AA11" s="18">
        <v>1</v>
      </c>
      <c r="AB11" s="18">
        <v>0</v>
      </c>
      <c r="AC11" s="18">
        <v>1</v>
      </c>
      <c r="AD11" s="1" t="s">
        <v>6992</v>
      </c>
      <c r="AE11" s="1" t="s">
        <v>6857</v>
      </c>
      <c r="AF11" s="4">
        <v>12.05</v>
      </c>
      <c r="AG11" s="4">
        <v>3.42</v>
      </c>
    </row>
    <row r="12" spans="1:33" ht="47.25" hidden="1" customHeight="1" x14ac:dyDescent="0.25">
      <c r="A12" s="10" t="s">
        <v>5838</v>
      </c>
      <c r="B12" s="11" t="s">
        <v>33</v>
      </c>
      <c r="C12" s="12" t="s">
        <v>5839</v>
      </c>
      <c r="D12" s="27"/>
      <c r="E12" s="14" t="s">
        <v>35</v>
      </c>
      <c r="F12" s="11" t="str">
        <f>HYPERLINK("https://redirect.sdcdeals.com/redirect?destination=https%3A%2F%2Fwww.amazon.com%2Fdp%2FB0CL5SF56R%3Fth%3D1%26psc%3D1%26tag%3Dsdcdeals03-20", "Amazon Link")</f>
        <v>Amazon Link</v>
      </c>
      <c r="G12" s="11" t="s">
        <v>36</v>
      </c>
      <c r="H12" s="14" t="s">
        <v>5840</v>
      </c>
      <c r="I12" s="11" t="str">
        <f>HYPERLINK("https://redirect.sdcdeals.com/redirect?code=763034&amp;mavely=https://mavely.app.link/e/bhESV2wGrGb&amp;destination=https%3A%2F%2Fwww.kohls.com%2Fsearch.jsp%3Fsubmit-search%3Dweb-regular%26search%3D37530969", "Retail Link")</f>
        <v>Retail Link</v>
      </c>
      <c r="J12" s="14" t="s">
        <v>5841</v>
      </c>
      <c r="K12" s="13" t="s">
        <v>5842</v>
      </c>
      <c r="L12" s="15">
        <v>6.8000000000000007</v>
      </c>
      <c r="M12" s="15">
        <v>38.549999999999997</v>
      </c>
      <c r="N12" s="15">
        <v>21.297499999999999</v>
      </c>
      <c r="O12" s="15">
        <f>V12-M12</f>
        <v>-7.3099999999999987</v>
      </c>
      <c r="P12" s="16">
        <f>N12/L12</f>
        <v>3.1319852941176465</v>
      </c>
      <c r="Q12" s="14"/>
      <c r="R12" s="14"/>
      <c r="S12" s="17">
        <v>0.56217810000000001</v>
      </c>
      <c r="T12" s="15"/>
      <c r="U12" s="15">
        <v>38.549999999999997</v>
      </c>
      <c r="V12" s="15">
        <v>31.24</v>
      </c>
      <c r="W12" s="14" t="s">
        <v>1143</v>
      </c>
      <c r="X12" s="14">
        <v>1</v>
      </c>
      <c r="Y12" s="10">
        <f>AC12-AB12</f>
        <v>0</v>
      </c>
      <c r="Z12" s="18">
        <v>0</v>
      </c>
      <c r="AA12" s="18">
        <v>0</v>
      </c>
      <c r="AB12" s="18">
        <v>0</v>
      </c>
      <c r="AC12" s="18"/>
      <c r="AE12" s="1" t="s">
        <v>5843</v>
      </c>
      <c r="AG12" s="4">
        <v>4.67</v>
      </c>
    </row>
    <row r="13" spans="1:33" ht="47.25" hidden="1" customHeight="1" x14ac:dyDescent="0.25">
      <c r="A13" s="10" t="s">
        <v>5852</v>
      </c>
      <c r="B13" s="11" t="s">
        <v>33</v>
      </c>
      <c r="C13" s="12" t="s">
        <v>5853</v>
      </c>
      <c r="D13" s="27"/>
      <c r="E13" s="14" t="s">
        <v>35</v>
      </c>
      <c r="F13" s="11" t="str">
        <f>HYPERLINK("https://redirect.sdcdeals.com/redirect?destination=https%3A%2F%2Fwww.amazon.com%2Fdp%2FB0CL5QK45X%3Fth%3D1%26psc%3D1%26tag%3Dsdcdeals03-20", "Amazon Link")</f>
        <v>Amazon Link</v>
      </c>
      <c r="G13" s="11" t="s">
        <v>36</v>
      </c>
      <c r="H13" s="14" t="s">
        <v>5854</v>
      </c>
      <c r="I13" s="11" t="str">
        <f>HYPERLINK("https://redirect.sdcdeals.com/redirect?code=763034&amp;mavely=https://mavely.app.link/e/bhESV2wGrGb&amp;destination=https%3A%2F%2Fwww.kohls.com%2Fsearch.jsp%3Fsubmit-search%3Dweb-regular%26search%3D37530972", "Retail Link")</f>
        <v>Retail Link</v>
      </c>
      <c r="J13" s="14" t="s">
        <v>5841</v>
      </c>
      <c r="K13" s="13" t="s">
        <v>5855</v>
      </c>
      <c r="L13" s="15">
        <v>6.8000000000000007</v>
      </c>
      <c r="M13" s="15">
        <v>38.549999999999997</v>
      </c>
      <c r="N13" s="15">
        <v>21.297499999999999</v>
      </c>
      <c r="O13" s="15">
        <f>V13-M13</f>
        <v>-7.4699999999999989</v>
      </c>
      <c r="P13" s="16">
        <f>N13/L13</f>
        <v>3.1319852941176465</v>
      </c>
      <c r="Q13" s="14"/>
      <c r="R13" s="14"/>
      <c r="S13" s="17">
        <v>0.56217810000000001</v>
      </c>
      <c r="T13" s="15"/>
      <c r="U13" s="15">
        <v>38.549999999999997</v>
      </c>
      <c r="V13" s="15">
        <v>31.08</v>
      </c>
      <c r="W13" s="14" t="s">
        <v>1014</v>
      </c>
      <c r="X13" s="14">
        <v>1</v>
      </c>
      <c r="Y13" s="10">
        <f>AC13-AB13</f>
        <v>0</v>
      </c>
      <c r="Z13" s="18">
        <v>0</v>
      </c>
      <c r="AA13" s="18">
        <v>0</v>
      </c>
      <c r="AB13" s="18">
        <v>0</v>
      </c>
      <c r="AC13" s="18"/>
      <c r="AE13" s="1" t="s">
        <v>5843</v>
      </c>
      <c r="AG13" s="4">
        <v>4.67</v>
      </c>
    </row>
    <row r="14" spans="1:33" ht="47.25" hidden="1" customHeight="1" x14ac:dyDescent="0.25">
      <c r="A14" s="10" t="s">
        <v>5856</v>
      </c>
      <c r="B14" s="11" t="s">
        <v>33</v>
      </c>
      <c r="C14" s="12" t="s">
        <v>5857</v>
      </c>
      <c r="D14" s="27"/>
      <c r="E14" s="14" t="s">
        <v>35</v>
      </c>
      <c r="F14" s="11" t="str">
        <f>HYPERLINK("https://redirect.sdcdeals.com/redirect?destination=https%3A%2F%2Fwww.amazon.com%2Fdp%2FB0CL5RGYYQ%3Fth%3D1%26psc%3D1%26tag%3Dsdcdeals03-20", "Amazon Link")</f>
        <v>Amazon Link</v>
      </c>
      <c r="G14" s="11" t="s">
        <v>36</v>
      </c>
      <c r="H14" s="14" t="s">
        <v>5858</v>
      </c>
      <c r="I14" s="11" t="str">
        <f>HYPERLINK("https://redirect.sdcdeals.com/redirect?code=763034&amp;mavely=https://mavely.app.link/e/bhESV2wGrGb&amp;destination=https%3A%2F%2Fwww.kohls.com%2Fsearch.jsp%3Fsubmit-search%3Dweb-regular%26search%3D37530978", "Retail Link")</f>
        <v>Retail Link</v>
      </c>
      <c r="J14" s="14" t="s">
        <v>5841</v>
      </c>
      <c r="K14" s="13" t="s">
        <v>5859</v>
      </c>
      <c r="L14" s="15">
        <v>6.8000000000000007</v>
      </c>
      <c r="M14" s="15">
        <v>38.549999999999997</v>
      </c>
      <c r="N14" s="15">
        <v>21.297499999999999</v>
      </c>
      <c r="O14" s="15">
        <f>V14-M14</f>
        <v>-7.3499999999999979</v>
      </c>
      <c r="P14" s="16">
        <f>N14/L14</f>
        <v>3.1319852941176465</v>
      </c>
      <c r="Q14" s="14"/>
      <c r="R14" s="14"/>
      <c r="S14" s="17">
        <v>0.56217810000000001</v>
      </c>
      <c r="T14" s="15"/>
      <c r="U14" s="15">
        <v>38.549999999999997</v>
      </c>
      <c r="V14" s="15">
        <v>31.2</v>
      </c>
      <c r="W14" s="14" t="s">
        <v>1847</v>
      </c>
      <c r="X14" s="14">
        <v>1</v>
      </c>
      <c r="Y14" s="10">
        <f>AC14-AB14</f>
        <v>0</v>
      </c>
      <c r="Z14" s="18">
        <v>0</v>
      </c>
      <c r="AA14" s="18">
        <v>0</v>
      </c>
      <c r="AB14" s="18">
        <v>0</v>
      </c>
      <c r="AC14" s="18"/>
      <c r="AE14" s="1" t="s">
        <v>5843</v>
      </c>
      <c r="AG14" s="4">
        <v>4.67</v>
      </c>
    </row>
    <row r="15" spans="1:33" ht="47.25" customHeight="1" x14ac:dyDescent="0.25">
      <c r="A15" s="10" t="s">
        <v>6997</v>
      </c>
      <c r="B15" s="11" t="s">
        <v>33</v>
      </c>
      <c r="C15" s="12" t="s">
        <v>6998</v>
      </c>
      <c r="D15" s="27"/>
      <c r="E15" s="14" t="s">
        <v>35</v>
      </c>
      <c r="F15" s="11" t="str">
        <f>HYPERLINK("https://redirect.sdcdeals.com/redirect?destination=https%3A%2F%2Fwww.amazon.com%2Fdp%2FB09HC4SY41%3Fth%3D1%26psc%3D1%26tag%3Dsdcdeals03-20", "Amazon Link")</f>
        <v>Amazon Link</v>
      </c>
      <c r="G15" s="11" t="s">
        <v>36</v>
      </c>
      <c r="H15" s="14" t="s">
        <v>6999</v>
      </c>
      <c r="I15" s="11" t="str">
        <f>HYPERLINK("https://redirect.sdcdeals.com/redirect?code=763034&amp;mavely=https://mavely.app.link/e/bhESV2wGrGb&amp;destination=https%3A%2F%2Fwww.kohls.com%2Fsearch.jsp%3Fsubmit-search%3Dweb-regular%26search%3D37646428", "Retail Link")</f>
        <v>Retail Link</v>
      </c>
      <c r="J15" s="14" t="s">
        <v>6990</v>
      </c>
      <c r="K15" s="13" t="s">
        <v>7000</v>
      </c>
      <c r="L15" s="15">
        <v>13.496</v>
      </c>
      <c r="M15" s="15">
        <v>69.05</v>
      </c>
      <c r="N15" s="15">
        <v>41.776499999999992</v>
      </c>
      <c r="O15" s="15">
        <f>V15-M15</f>
        <v>5.9399999999999977</v>
      </c>
      <c r="P15" s="16">
        <f>N15/L15</f>
        <v>3.0954727326615288</v>
      </c>
      <c r="Q15" s="14">
        <v>13774998</v>
      </c>
      <c r="R15" s="14"/>
      <c r="S15" s="17">
        <v>0.35053457999999998</v>
      </c>
      <c r="T15" s="15">
        <v>69.05</v>
      </c>
      <c r="U15" s="15">
        <v>74.989999999999995</v>
      </c>
      <c r="V15" s="15">
        <v>74.989999999999995</v>
      </c>
      <c r="W15" s="14" t="s">
        <v>53</v>
      </c>
      <c r="X15" s="14">
        <v>4</v>
      </c>
      <c r="Y15" s="10">
        <f>AC15-AB15</f>
        <v>0</v>
      </c>
      <c r="Z15" s="18">
        <v>0</v>
      </c>
      <c r="AA15" s="18">
        <v>0</v>
      </c>
      <c r="AB15" s="18"/>
      <c r="AC15" s="18"/>
      <c r="AD15" s="1" t="s">
        <v>7001</v>
      </c>
      <c r="AE15" s="1" t="s">
        <v>76</v>
      </c>
      <c r="AF15" s="4">
        <v>11.74</v>
      </c>
      <c r="AG15" s="4">
        <v>3.42</v>
      </c>
    </row>
    <row r="16" spans="1:33" ht="47.25" customHeight="1" x14ac:dyDescent="0.25">
      <c r="A16" s="10" t="s">
        <v>7016</v>
      </c>
      <c r="B16" s="11" t="s">
        <v>33</v>
      </c>
      <c r="C16" s="12" t="s">
        <v>7017</v>
      </c>
      <c r="D16" s="27"/>
      <c r="E16" s="14" t="s">
        <v>35</v>
      </c>
      <c r="F16" s="11" t="str">
        <f>HYPERLINK("https://redirect.sdcdeals.com/redirect?destination=https%3A%2F%2Fwww.amazon.com%2Fdp%2FB09HC25DNL%3Fth%3D1%26psc%3D1%26tag%3Dsdcdeals03-20", "Amazon Link")</f>
        <v>Amazon Link</v>
      </c>
      <c r="G16" s="11" t="s">
        <v>36</v>
      </c>
      <c r="H16" s="14" t="s">
        <v>7018</v>
      </c>
      <c r="I16" s="11" t="str">
        <f>HYPERLINK("https://redirect.sdcdeals.com/redirect?code=763034&amp;mavely=https://mavely.app.link/e/bhESV2wGrGb&amp;destination=https%3A%2F%2Fwww.kohls.com%2Fsearch.jsp%3Fsubmit-search%3Dweb-regular%26search%3D37646429", "Retail Link")</f>
        <v>Retail Link</v>
      </c>
      <c r="J16" s="14" t="s">
        <v>6990</v>
      </c>
      <c r="K16" s="13" t="s">
        <v>7019</v>
      </c>
      <c r="L16" s="15">
        <v>13.496</v>
      </c>
      <c r="M16" s="15">
        <v>69.05</v>
      </c>
      <c r="N16" s="15">
        <v>41.776499999999992</v>
      </c>
      <c r="O16" s="15">
        <f>V16-M16</f>
        <v>-32.89</v>
      </c>
      <c r="P16" s="16">
        <f>N16/L16</f>
        <v>3.0954727326615288</v>
      </c>
      <c r="Q16" s="14">
        <v>4671080</v>
      </c>
      <c r="R16" s="14"/>
      <c r="S16" s="17"/>
      <c r="T16" s="15">
        <v>69.05</v>
      </c>
      <c r="U16" s="15">
        <v>34.119999999999997</v>
      </c>
      <c r="V16" s="15">
        <v>36.159999999999997</v>
      </c>
      <c r="W16" s="14" t="s">
        <v>106</v>
      </c>
      <c r="X16" s="14">
        <v>4</v>
      </c>
      <c r="Y16" s="10">
        <f>AC16-AB16</f>
        <v>1</v>
      </c>
      <c r="Z16" s="18">
        <v>0</v>
      </c>
      <c r="AA16" s="18">
        <v>4</v>
      </c>
      <c r="AB16" s="18"/>
      <c r="AC16" s="18">
        <v>1</v>
      </c>
      <c r="AE16" s="1" t="s">
        <v>76</v>
      </c>
      <c r="AF16" s="4">
        <v>11.74</v>
      </c>
      <c r="AG16" s="4">
        <v>3.42</v>
      </c>
    </row>
    <row r="17" spans="1:33" ht="47.25" customHeight="1" x14ac:dyDescent="0.25">
      <c r="A17" s="10" t="s">
        <v>5320</v>
      </c>
      <c r="B17" s="11" t="s">
        <v>33</v>
      </c>
      <c r="C17" s="12" t="s">
        <v>5321</v>
      </c>
      <c r="D17" s="27"/>
      <c r="E17" s="14" t="s">
        <v>35</v>
      </c>
      <c r="F17" s="11" t="str">
        <f>HYPERLINK("https://redirect.sdcdeals.com/redirect?destination=https%3A%2F%2Fwww.amazon.com%2Fdp%2FB003S8U7BS%3Fth%3D1%26psc%3D1%26tag%3Dsdcdeals03-20", "Amazon Link")</f>
        <v>Amazon Link</v>
      </c>
      <c r="G17" s="11" t="s">
        <v>36</v>
      </c>
      <c r="H17" s="14" t="s">
        <v>5322</v>
      </c>
      <c r="I17" s="11" t="str">
        <f>HYPERLINK("https://redirect.sdcdeals.com/redirect?code=763034&amp;mavely=https://mavely.app.link/e/bhESV2wGrGb&amp;destination=https%3A%2F%2Fwww.kohls.com%2Fsearch.jsp%3Fsubmit-search%3Dweb-regular%26search%3D73123649", "Retail Link")</f>
        <v>Retail Link</v>
      </c>
      <c r="J17" s="14" t="s">
        <v>5312</v>
      </c>
      <c r="K17" s="13" t="s">
        <v>5323</v>
      </c>
      <c r="L17" s="15">
        <v>7.4319999999999986</v>
      </c>
      <c r="M17" s="15">
        <v>39.979999999999997</v>
      </c>
      <c r="N17" s="15">
        <v>22.651</v>
      </c>
      <c r="O17" s="15">
        <f>V17-M17</f>
        <v>0.72000000000000597</v>
      </c>
      <c r="P17" s="16">
        <f>N17/L17</f>
        <v>3.0477664155005386</v>
      </c>
      <c r="Q17" s="14">
        <v>5925164</v>
      </c>
      <c r="R17" s="14"/>
      <c r="S17" s="17">
        <v>0.50044874000000006</v>
      </c>
      <c r="T17" s="15">
        <v>34.99</v>
      </c>
      <c r="U17" s="15">
        <v>40.020000000000003</v>
      </c>
      <c r="V17" s="15">
        <v>40.700000000000003</v>
      </c>
      <c r="W17" s="14" t="s">
        <v>95</v>
      </c>
      <c r="X17" s="14">
        <v>2</v>
      </c>
      <c r="Y17" s="10">
        <f>AC17-AB17</f>
        <v>0</v>
      </c>
      <c r="Z17" s="18">
        <v>2</v>
      </c>
      <c r="AA17" s="18">
        <v>41</v>
      </c>
      <c r="AB17" s="18">
        <v>1</v>
      </c>
      <c r="AC17" s="18">
        <v>1</v>
      </c>
      <c r="AE17" s="1" t="s">
        <v>5315</v>
      </c>
      <c r="AF17" s="4">
        <v>6</v>
      </c>
      <c r="AG17" s="4">
        <v>3.9</v>
      </c>
    </row>
    <row r="18" spans="1:33" ht="47.25" customHeight="1" x14ac:dyDescent="0.25">
      <c r="A18" s="10" t="s">
        <v>7020</v>
      </c>
      <c r="B18" s="11" t="s">
        <v>33</v>
      </c>
      <c r="C18" s="12" t="s">
        <v>7021</v>
      </c>
      <c r="D18" s="27"/>
      <c r="E18" s="14" t="s">
        <v>35</v>
      </c>
      <c r="F18" s="11" t="str">
        <f>HYPERLINK("https://redirect.sdcdeals.com/redirect?destination=https%3A%2F%2Fwww.amazon.com%2Fdp%2FB09HC5Z9RQ%3Fth%3D1%26psc%3D1%26tag%3Dsdcdeals03-20", "Amazon Link")</f>
        <v>Amazon Link</v>
      </c>
      <c r="G18" s="11" t="s">
        <v>36</v>
      </c>
      <c r="H18" s="14" t="s">
        <v>7022</v>
      </c>
      <c r="I18" s="11" t="str">
        <f>HYPERLINK("https://redirect.sdcdeals.com/redirect?code=763034&amp;mavely=https://mavely.app.link/e/bhESV2wGrGb&amp;destination=https%3A%2F%2Fwww.kohls.com%2Fsearch.jsp%3Fsubmit-search%3Dweb-regular%26search%3D61799341", "Retail Link")</f>
        <v>Retail Link</v>
      </c>
      <c r="J18" s="14" t="s">
        <v>6990</v>
      </c>
      <c r="K18" s="13" t="s">
        <v>7023</v>
      </c>
      <c r="L18" s="15">
        <v>13.496</v>
      </c>
      <c r="M18" s="15">
        <v>67.95</v>
      </c>
      <c r="N18" s="15">
        <v>40.841500000000003</v>
      </c>
      <c r="O18" s="15">
        <f>V18-M18</f>
        <v>-35.28</v>
      </c>
      <c r="P18" s="16">
        <f>N18/L18</f>
        <v>3.0261929460580914</v>
      </c>
      <c r="Q18" s="14">
        <v>5013296</v>
      </c>
      <c r="R18" s="14"/>
      <c r="S18" s="17"/>
      <c r="T18" s="15">
        <v>67.95</v>
      </c>
      <c r="U18" s="15">
        <v>37.119999999999997</v>
      </c>
      <c r="V18" s="15">
        <v>32.67</v>
      </c>
      <c r="W18" s="14" t="s">
        <v>53</v>
      </c>
      <c r="X18" s="14">
        <v>2</v>
      </c>
      <c r="Y18" s="10">
        <f>AC18-AB18</f>
        <v>0</v>
      </c>
      <c r="Z18" s="18">
        <v>0</v>
      </c>
      <c r="AA18" s="18">
        <v>7</v>
      </c>
      <c r="AB18" s="18">
        <v>1</v>
      </c>
      <c r="AC18" s="18">
        <v>1</v>
      </c>
      <c r="AD18" s="1" t="s">
        <v>7015</v>
      </c>
      <c r="AE18" s="1" t="s">
        <v>6863</v>
      </c>
      <c r="AG18" s="4">
        <v>3.42</v>
      </c>
    </row>
    <row r="19" spans="1:33" ht="47.25" customHeight="1" x14ac:dyDescent="0.25">
      <c r="A19" s="10" t="s">
        <v>4575</v>
      </c>
      <c r="B19" s="11" t="s">
        <v>33</v>
      </c>
      <c r="C19" s="12" t="s">
        <v>4576</v>
      </c>
      <c r="D19" s="27"/>
      <c r="E19" s="14" t="s">
        <v>35</v>
      </c>
      <c r="F19" s="11" t="str">
        <f>HYPERLINK("https://redirect.sdcdeals.com/redirect?destination=https%3A%2F%2Fwww.amazon.com%2Fdp%2FB0CSPS9DWZ%3Fth%3D1%26psc%3D1%26tag%3Dsdcdeals03-20", "Amazon Link")</f>
        <v>Amazon Link</v>
      </c>
      <c r="G19" s="11" t="s">
        <v>36</v>
      </c>
      <c r="H19" s="14" t="s">
        <v>4577</v>
      </c>
      <c r="I19" s="11" t="str">
        <f>HYPERLINK("https://redirect.sdcdeals.com/redirect?code=763034&amp;mavely=https://mavely.app.link/e/bhESV2wGrGb&amp;destination=https%3A%2F%2Fwww.kohls.com%2Fsearch.jsp%3Fsubmit-search%3Dweb-regular%26search%3D30374004", "Retail Link")</f>
        <v>Retail Link</v>
      </c>
      <c r="J19" s="14" t="s">
        <v>4568</v>
      </c>
      <c r="K19" s="13" t="s">
        <v>4578</v>
      </c>
      <c r="L19" s="15">
        <v>4.68</v>
      </c>
      <c r="M19" s="15">
        <v>29.41</v>
      </c>
      <c r="N19" s="15">
        <v>13.718500000000001</v>
      </c>
      <c r="O19" s="15">
        <f>V19-M19</f>
        <v>0.21000000000000085</v>
      </c>
      <c r="P19" s="16">
        <f>N19/L19</f>
        <v>2.9313034188034193</v>
      </c>
      <c r="Q19" s="14">
        <v>75220</v>
      </c>
      <c r="R19" s="14"/>
      <c r="S19" s="17">
        <v>0.35273919999999997</v>
      </c>
      <c r="T19" s="15"/>
      <c r="U19" s="15">
        <v>29.41</v>
      </c>
      <c r="V19" s="15">
        <v>29.62</v>
      </c>
      <c r="W19" s="14" t="s">
        <v>4579</v>
      </c>
      <c r="X19" s="14">
        <v>1</v>
      </c>
      <c r="Y19" s="10">
        <f>AC19-AB19</f>
        <v>1330</v>
      </c>
      <c r="Z19" s="18">
        <v>20</v>
      </c>
      <c r="AA19" s="18">
        <v>64</v>
      </c>
      <c r="AB19" s="18">
        <v>0</v>
      </c>
      <c r="AC19" s="18">
        <v>1330</v>
      </c>
      <c r="AE19" s="1" t="s">
        <v>47</v>
      </c>
      <c r="AG19" s="4">
        <v>6.6</v>
      </c>
    </row>
    <row r="20" spans="1:33" ht="47.25" hidden="1" customHeight="1" x14ac:dyDescent="0.25">
      <c r="A20" s="10" t="s">
        <v>6429</v>
      </c>
      <c r="B20" s="11" t="s">
        <v>33</v>
      </c>
      <c r="C20" s="12" t="s">
        <v>6430</v>
      </c>
      <c r="D20" s="27"/>
      <c r="E20" s="14" t="s">
        <v>35</v>
      </c>
      <c r="F20" s="11" t="str">
        <f>HYPERLINK("https://redirect.sdcdeals.com/redirect?destination=https%3A%2F%2Fwww.amazon.com%2Fdp%2FB0CKTXG5MZ%3Fth%3D1%26psc%3D1%26tag%3Dsdcdeals03-20", "Amazon Link")</f>
        <v>Amazon Link</v>
      </c>
      <c r="G20" s="11" t="s">
        <v>36</v>
      </c>
      <c r="H20" s="14" t="s">
        <v>6431</v>
      </c>
      <c r="I20" s="11" t="str">
        <f>HYPERLINK("https://redirect.sdcdeals.com/redirect?code=763034&amp;mavely=https://mavely.app.link/e/bhESV2wGrGb&amp;destination=https%3A%2F%2Fwww.kohls.com%2Fsearch.jsp%3Fsubmit-search%3Dweb-regular%26search%3D55691316", "Retail Link")</f>
        <v>Retail Link</v>
      </c>
      <c r="J20" s="14" t="s">
        <v>6421</v>
      </c>
      <c r="K20" s="13" t="s">
        <v>6432</v>
      </c>
      <c r="L20" s="15">
        <v>4.8000000000000007</v>
      </c>
      <c r="M20" s="15">
        <v>27.17</v>
      </c>
      <c r="N20" s="15">
        <v>13.8445</v>
      </c>
      <c r="O20" s="15">
        <f>V20-M20</f>
        <v>0</v>
      </c>
      <c r="P20" s="16">
        <f>N20/L20</f>
        <v>2.8842708333333329</v>
      </c>
      <c r="Q20" s="14"/>
      <c r="R20" s="14"/>
      <c r="S20" s="17">
        <v>0.50044874000000006</v>
      </c>
      <c r="T20" s="15"/>
      <c r="U20" s="15"/>
      <c r="V20" s="15">
        <v>27.17</v>
      </c>
      <c r="W20" s="14" t="s">
        <v>926</v>
      </c>
      <c r="X20" s="14">
        <v>1</v>
      </c>
      <c r="Y20" s="10">
        <f>AC20-AB20</f>
        <v>0</v>
      </c>
      <c r="Z20" s="18">
        <v>-1</v>
      </c>
      <c r="AA20" s="18">
        <v>-1</v>
      </c>
      <c r="AB20" s="18"/>
      <c r="AC20" s="18"/>
      <c r="AE20" s="1" t="s">
        <v>6423</v>
      </c>
      <c r="AG20" s="4">
        <v>4.45</v>
      </c>
    </row>
    <row r="21" spans="1:33" ht="47.25" customHeight="1" x14ac:dyDescent="0.25">
      <c r="A21" s="10" t="s">
        <v>4822</v>
      </c>
      <c r="B21" s="11" t="s">
        <v>33</v>
      </c>
      <c r="C21" s="12" t="s">
        <v>4823</v>
      </c>
      <c r="D21" s="27"/>
      <c r="E21" s="14" t="s">
        <v>35</v>
      </c>
      <c r="F21" s="11" t="str">
        <f>HYPERLINK("https://redirect.sdcdeals.com/redirect?destination=https%3A%2F%2Fwww.amazon.com%2Fdp%2FB08YH7KW8Z%3Fth%3D1%26psc%3D1%26tag%3Dsdcdeals03-20", "Amazon Link")</f>
        <v>Amazon Link</v>
      </c>
      <c r="G21" s="11" t="s">
        <v>36</v>
      </c>
      <c r="H21" s="14" t="s">
        <v>4824</v>
      </c>
      <c r="I21" s="11" t="str">
        <f>HYPERLINK("https://redirect.sdcdeals.com/redirect?code=763034&amp;mavely=https://mavely.app.link/e/bhESV2wGrGb&amp;destination=https%3A%2F%2Fwww.kohls.com%2Fsearch.jsp%3Fsubmit-search%3Dweb-regular%26search%3D77032473", "Retail Link")</f>
        <v>Retail Link</v>
      </c>
      <c r="J21" s="14" t="s">
        <v>4825</v>
      </c>
      <c r="K21" s="13" t="s">
        <v>4826</v>
      </c>
      <c r="L21" s="15">
        <v>13.192</v>
      </c>
      <c r="M21" s="15">
        <v>67.16</v>
      </c>
      <c r="N21" s="15">
        <v>37.844000000000001</v>
      </c>
      <c r="O21" s="15">
        <f>V21-M21</f>
        <v>-9.0699999999999932</v>
      </c>
      <c r="P21" s="16">
        <f>N21/L21</f>
        <v>2.8687083080654943</v>
      </c>
      <c r="Q21" s="14">
        <v>203931</v>
      </c>
      <c r="R21" s="14"/>
      <c r="S21" s="17">
        <v>1.2610426400000001</v>
      </c>
      <c r="T21" s="15">
        <v>67.150000000000006</v>
      </c>
      <c r="U21" s="15">
        <v>60.89</v>
      </c>
      <c r="V21" s="15">
        <v>58.09</v>
      </c>
      <c r="W21" s="14" t="s">
        <v>582</v>
      </c>
      <c r="X21" s="14">
        <v>3</v>
      </c>
      <c r="Y21" s="10">
        <f>AC21-AB21</f>
        <v>2228</v>
      </c>
      <c r="Z21" s="18">
        <v>31</v>
      </c>
      <c r="AA21" s="18">
        <v>60</v>
      </c>
      <c r="AB21" s="18">
        <v>2</v>
      </c>
      <c r="AC21" s="18">
        <v>2230</v>
      </c>
      <c r="AD21" s="1" t="s">
        <v>4827</v>
      </c>
      <c r="AE21" s="1" t="s">
        <v>4828</v>
      </c>
      <c r="AF21" s="4">
        <v>10.07</v>
      </c>
      <c r="AG21" s="4">
        <v>6.05</v>
      </c>
    </row>
    <row r="22" spans="1:33" ht="47.25" customHeight="1" x14ac:dyDescent="0.25">
      <c r="A22" s="10" t="s">
        <v>4984</v>
      </c>
      <c r="B22" s="11" t="s">
        <v>33</v>
      </c>
      <c r="C22" s="12" t="s">
        <v>4985</v>
      </c>
      <c r="D22" s="27"/>
      <c r="E22" s="14" t="s">
        <v>35</v>
      </c>
      <c r="F22" s="11" t="str">
        <f>HYPERLINK("https://redirect.sdcdeals.com/redirect?destination=https%3A%2F%2Fwww.amazon.com%2Fdp%2FB0B5B7R1SY%3Fth%3D1%26psc%3D1%26tag%3Dsdcdeals03-20", "Amazon Link")</f>
        <v>Amazon Link</v>
      </c>
      <c r="G22" s="11" t="s">
        <v>36</v>
      </c>
      <c r="H22" s="14" t="s">
        <v>4986</v>
      </c>
      <c r="I22" s="11" t="str">
        <f>HYPERLINK("https://redirect.sdcdeals.com/redirect?code=763034&amp;mavely=https://mavely.app.link/e/bhESV2wGrGb&amp;destination=https%3A%2F%2Fwww.kohls.com%2Fsearch.jsp%3Fsubmit-search%3Dweb-regular%26search%3D49615996", "Retail Link")</f>
        <v>Retail Link</v>
      </c>
      <c r="J22" s="14" t="s">
        <v>4975</v>
      </c>
      <c r="K22" s="13" t="s">
        <v>4987</v>
      </c>
      <c r="L22" s="15">
        <v>5.4</v>
      </c>
      <c r="M22" s="15">
        <v>30</v>
      </c>
      <c r="N22" s="15">
        <v>15.49</v>
      </c>
      <c r="O22" s="15">
        <f>V22-M22</f>
        <v>-8.4699999999999989</v>
      </c>
      <c r="P22" s="16">
        <f>N22/L22</f>
        <v>2.8685185185185182</v>
      </c>
      <c r="Q22" s="14">
        <v>182</v>
      </c>
      <c r="R22" s="14"/>
      <c r="S22" s="17">
        <v>0.3858085</v>
      </c>
      <c r="T22" s="15">
        <v>30</v>
      </c>
      <c r="U22" s="15">
        <v>20.68</v>
      </c>
      <c r="V22" s="15">
        <v>21.53</v>
      </c>
      <c r="W22" s="14" t="s">
        <v>975</v>
      </c>
      <c r="X22" s="14">
        <v>1</v>
      </c>
      <c r="Y22" s="10">
        <f>AC22-AB22</f>
        <v>56612</v>
      </c>
      <c r="Z22" s="18">
        <v>56</v>
      </c>
      <c r="AA22" s="18">
        <v>78</v>
      </c>
      <c r="AB22" s="18">
        <v>10</v>
      </c>
      <c r="AC22" s="18">
        <v>56622</v>
      </c>
      <c r="AD22" s="1" t="s">
        <v>4988</v>
      </c>
      <c r="AE22" s="1" t="s">
        <v>4978</v>
      </c>
      <c r="AF22" s="4">
        <v>1.51</v>
      </c>
      <c r="AG22" s="4">
        <v>4.6100000000000003</v>
      </c>
    </row>
    <row r="23" spans="1:33" ht="47.25" customHeight="1" x14ac:dyDescent="0.25">
      <c r="A23" s="10" t="s">
        <v>7011</v>
      </c>
      <c r="B23" s="11" t="s">
        <v>33</v>
      </c>
      <c r="C23" s="12" t="s">
        <v>7012</v>
      </c>
      <c r="D23" s="27"/>
      <c r="E23" s="14" t="s">
        <v>35</v>
      </c>
      <c r="F23" s="11" t="str">
        <f>HYPERLINK("https://redirect.sdcdeals.com/redirect?destination=https%3A%2F%2Fwww.amazon.com%2Fdp%2FB09HC6H3X2%3Fth%3D1%26psc%3D1%26tag%3Dsdcdeals03-20", "Amazon Link")</f>
        <v>Amazon Link</v>
      </c>
      <c r="G23" s="11" t="s">
        <v>36</v>
      </c>
      <c r="H23" s="14" t="s">
        <v>7013</v>
      </c>
      <c r="I23" s="11" t="str">
        <f>HYPERLINK("https://redirect.sdcdeals.com/redirect?code=763034&amp;mavely=https://mavely.app.link/e/bhESV2wGrGb&amp;destination=https%3A%2F%2Fwww.kohls.com%2Fsearch.jsp%3Fsubmit-search%3Dweb-regular%26search%3D61799350", "Retail Link")</f>
        <v>Retail Link</v>
      </c>
      <c r="J23" s="14" t="s">
        <v>6990</v>
      </c>
      <c r="K23" s="13" t="s">
        <v>7014</v>
      </c>
      <c r="L23" s="15">
        <v>13.496</v>
      </c>
      <c r="M23" s="15">
        <v>65.41</v>
      </c>
      <c r="N23" s="15">
        <v>38.68249999999999</v>
      </c>
      <c r="O23" s="15">
        <f>V23-M23</f>
        <v>6.0499999999999972</v>
      </c>
      <c r="P23" s="16">
        <f>N23/L23</f>
        <v>2.8662196206283337</v>
      </c>
      <c r="Q23" s="14">
        <v>6674889</v>
      </c>
      <c r="R23" s="14"/>
      <c r="S23" s="17">
        <v>0.29982831999999998</v>
      </c>
      <c r="T23" s="15">
        <v>64.12</v>
      </c>
      <c r="U23" s="15">
        <v>67.930000000000007</v>
      </c>
      <c r="V23" s="15">
        <v>71.459999999999994</v>
      </c>
      <c r="W23" s="14" t="s">
        <v>53</v>
      </c>
      <c r="X23" s="14">
        <v>4</v>
      </c>
      <c r="Y23" s="10">
        <f>AC23-AB23</f>
        <v>0</v>
      </c>
      <c r="Z23" s="18">
        <v>0</v>
      </c>
      <c r="AA23" s="18">
        <v>0</v>
      </c>
      <c r="AB23" s="18">
        <v>0</v>
      </c>
      <c r="AC23" s="18"/>
      <c r="AD23" s="1" t="s">
        <v>7015</v>
      </c>
      <c r="AE23" s="1" t="s">
        <v>6863</v>
      </c>
      <c r="AF23" s="4">
        <v>11.12</v>
      </c>
      <c r="AG23" s="4">
        <v>3.42</v>
      </c>
    </row>
    <row r="24" spans="1:33" ht="47.25" customHeight="1" x14ac:dyDescent="0.25">
      <c r="A24" s="10" t="s">
        <v>1441</v>
      </c>
      <c r="B24" s="11" t="s">
        <v>33</v>
      </c>
      <c r="C24" s="12" t="s">
        <v>1442</v>
      </c>
      <c r="D24" s="27"/>
      <c r="E24" s="14" t="s">
        <v>35</v>
      </c>
      <c r="F24" s="11" t="str">
        <f>HYPERLINK("https://redirect.sdcdeals.com/redirect?destination=https%3A%2F%2Fwww.amazon.com%2Fdp%2FB09NP7JR6Q%3Fth%3D1%26psc%3D1%26tag%3Dsdcdeals03-20", "Amazon Link")</f>
        <v>Amazon Link</v>
      </c>
      <c r="G24" s="11" t="s">
        <v>36</v>
      </c>
      <c r="H24" s="14" t="s">
        <v>1443</v>
      </c>
      <c r="I24" s="11" t="str">
        <f>HYPERLINK("https://redirect.sdcdeals.com/redirect?code=763034&amp;mavely=https://mavely.app.link/e/bhESV2wGrGb&amp;destination=https%3A%2F%2Fwww.kohls.com%2Fsearch.jsp%3Fsubmit-search%3Dweb-regular%26search%3D29058886", "Retail Link")</f>
        <v>Retail Link</v>
      </c>
      <c r="J24" s="14" t="s">
        <v>1437</v>
      </c>
      <c r="K24" s="13" t="s">
        <v>1444</v>
      </c>
      <c r="L24" s="15">
        <v>11.6</v>
      </c>
      <c r="M24" s="15">
        <v>58</v>
      </c>
      <c r="N24" s="15">
        <v>33.029999999999987</v>
      </c>
      <c r="O24" s="15">
        <f>V24-M24</f>
        <v>-14.090000000000003</v>
      </c>
      <c r="P24" s="16">
        <f>N24/L24</f>
        <v>2.8474137931034473</v>
      </c>
      <c r="Q24" s="14">
        <v>635421</v>
      </c>
      <c r="R24" s="14"/>
      <c r="S24" s="17">
        <v>0.26455440000000002</v>
      </c>
      <c r="T24" s="15"/>
      <c r="U24" s="15">
        <v>58</v>
      </c>
      <c r="V24" s="15">
        <v>43.91</v>
      </c>
      <c r="W24" s="14" t="s">
        <v>60</v>
      </c>
      <c r="X24" s="14">
        <v>1</v>
      </c>
      <c r="Y24" s="10">
        <f>AC24-AB24</f>
        <v>22</v>
      </c>
      <c r="Z24" s="18">
        <v>6</v>
      </c>
      <c r="AA24" s="18">
        <v>16</v>
      </c>
      <c r="AB24" s="18">
        <v>1</v>
      </c>
      <c r="AC24" s="18">
        <v>23</v>
      </c>
      <c r="AD24" s="1" t="s">
        <v>1445</v>
      </c>
      <c r="AE24" s="1" t="s">
        <v>1440</v>
      </c>
      <c r="AG24" s="4">
        <v>4.67</v>
      </c>
    </row>
    <row r="25" spans="1:33" ht="47.25" hidden="1" customHeight="1" x14ac:dyDescent="0.25">
      <c r="A25" s="10" t="s">
        <v>895</v>
      </c>
      <c r="B25" s="11" t="s">
        <v>33</v>
      </c>
      <c r="C25" s="12" t="s">
        <v>896</v>
      </c>
      <c r="D25" s="27"/>
      <c r="E25" s="14" t="s">
        <v>35</v>
      </c>
      <c r="F25" s="11" t="str">
        <f>HYPERLINK("https://redirect.sdcdeals.com/redirect?destination=https%3A%2F%2Fwww.amazon.com%2Fdp%2FB0CNS3YRK8%3Fth%3D1%26psc%3D1%26tag%3Dsdcdeals03-20", "Amazon Link")</f>
        <v>Amazon Link</v>
      </c>
      <c r="G25" s="11" t="s">
        <v>36</v>
      </c>
      <c r="H25" s="14" t="s">
        <v>897</v>
      </c>
      <c r="I25" s="11" t="str">
        <f>HYPERLINK("https://redirect.sdcdeals.com/redirect?code=763034&amp;mavely=https://mavely.app.link/e/bhESV2wGrGb&amp;destination=https%3A%2F%2Fwww.kohls.com%2Fsearch.jsp%3Fsubmit-search%3Dweb-regular%26search%3D50696465", "Retail Link")</f>
        <v>Retail Link</v>
      </c>
      <c r="J25" s="14" t="s">
        <v>891</v>
      </c>
      <c r="K25" s="13" t="s">
        <v>898</v>
      </c>
      <c r="L25" s="15">
        <v>5.7600000000000007</v>
      </c>
      <c r="M25" s="15">
        <v>31.28</v>
      </c>
      <c r="N25" s="15">
        <v>16.378</v>
      </c>
      <c r="O25" s="15">
        <f>V25-M25</f>
        <v>0</v>
      </c>
      <c r="P25" s="16">
        <f>N25/L25</f>
        <v>2.8434027777777775</v>
      </c>
      <c r="Q25" s="14"/>
      <c r="R25" s="14"/>
      <c r="S25" s="17">
        <v>2.20462E-3</v>
      </c>
      <c r="T25" s="15"/>
      <c r="U25" s="15"/>
      <c r="V25" s="15">
        <v>31.28</v>
      </c>
      <c r="W25" s="14" t="s">
        <v>311</v>
      </c>
      <c r="X25" s="14">
        <v>1</v>
      </c>
      <c r="Y25" s="10">
        <f>AC25-AB25</f>
        <v>0</v>
      </c>
      <c r="Z25" s="18">
        <v>-1</v>
      </c>
      <c r="AA25" s="18">
        <v>-1</v>
      </c>
      <c r="AB25" s="18"/>
      <c r="AC25" s="18"/>
      <c r="AD25" s="1" t="s">
        <v>893</v>
      </c>
      <c r="AE25" s="1" t="s">
        <v>894</v>
      </c>
      <c r="AG25" s="4">
        <v>4.45</v>
      </c>
    </row>
    <row r="26" spans="1:33" ht="47.25" customHeight="1" x14ac:dyDescent="0.25">
      <c r="A26" s="10" t="s">
        <v>5479</v>
      </c>
      <c r="B26" s="11" t="s">
        <v>33</v>
      </c>
      <c r="C26" s="12" t="s">
        <v>5480</v>
      </c>
      <c r="D26" s="27"/>
      <c r="E26" s="14" t="s">
        <v>35</v>
      </c>
      <c r="F26" s="11" t="str">
        <f>HYPERLINK("https://redirect.sdcdeals.com/redirect?destination=https%3A%2F%2Fwww.amazon.com%2Fdp%2FB0C8BM8JZN%3Fth%3D1%26psc%3D1%26tag%3Dsdcdeals03-20", "Amazon Link")</f>
        <v>Amazon Link</v>
      </c>
      <c r="G26" s="11" t="s">
        <v>36</v>
      </c>
      <c r="H26" s="14" t="s">
        <v>5481</v>
      </c>
      <c r="I26" s="11" t="str">
        <f>HYPERLINK("https://redirect.sdcdeals.com/redirect?code=763034&amp;mavely=https://mavely.app.link/e/bhESV2wGrGb&amp;destination=https%3A%2F%2Fwww.kohls.com%2Fsearch.jsp%3Fsubmit-search%3Dweb-regular%26search%3D61160482", "Retail Link")</f>
        <v>Retail Link</v>
      </c>
      <c r="J26" s="14" t="s">
        <v>5471</v>
      </c>
      <c r="K26" s="13" t="s">
        <v>5482</v>
      </c>
      <c r="L26" s="15">
        <v>7.5439999999999996</v>
      </c>
      <c r="M26" s="15">
        <v>40.99</v>
      </c>
      <c r="N26" s="15">
        <v>21.157499999999999</v>
      </c>
      <c r="O26" s="15">
        <f>V26-M26</f>
        <v>-20.930000000000003</v>
      </c>
      <c r="P26" s="16">
        <f>N26/L26</f>
        <v>2.8045466595970305</v>
      </c>
      <c r="Q26" s="14">
        <v>522210</v>
      </c>
      <c r="R26" s="14"/>
      <c r="S26" s="17">
        <v>0.52249493999999996</v>
      </c>
      <c r="T26" s="15">
        <v>40.99</v>
      </c>
      <c r="U26" s="15">
        <v>21.56</v>
      </c>
      <c r="V26" s="15">
        <v>20.059999999999999</v>
      </c>
      <c r="W26" s="14" t="s">
        <v>2022</v>
      </c>
      <c r="X26" s="14">
        <v>1</v>
      </c>
      <c r="Y26" s="10">
        <f>AC26-AB26</f>
        <v>84</v>
      </c>
      <c r="Z26" s="18">
        <v>8</v>
      </c>
      <c r="AA26" s="18">
        <v>31</v>
      </c>
      <c r="AB26" s="18">
        <v>5</v>
      </c>
      <c r="AC26" s="18">
        <v>89</v>
      </c>
      <c r="AD26" s="1" t="s">
        <v>5473</v>
      </c>
      <c r="AE26" s="1" t="s">
        <v>5474</v>
      </c>
      <c r="AG26" s="4">
        <v>6.14</v>
      </c>
    </row>
    <row r="27" spans="1:33" ht="47.25" hidden="1" customHeight="1" x14ac:dyDescent="0.25">
      <c r="A27" s="10" t="s">
        <v>904</v>
      </c>
      <c r="B27" s="11" t="s">
        <v>33</v>
      </c>
      <c r="C27" s="12" t="s">
        <v>905</v>
      </c>
      <c r="D27" s="27"/>
      <c r="E27" s="14" t="s">
        <v>35</v>
      </c>
      <c r="F27" s="11" t="str">
        <f>HYPERLINK("https://redirect.sdcdeals.com/redirect?destination=https%3A%2F%2Fwww.amazon.com%2Fdp%2FB0CNS4DSWY%3Fth%3D1%26psc%3D1%26tag%3Dsdcdeals03-20", "Amazon Link")</f>
        <v>Amazon Link</v>
      </c>
      <c r="G27" s="11" t="s">
        <v>36</v>
      </c>
      <c r="H27" s="14" t="s">
        <v>906</v>
      </c>
      <c r="I27" s="11" t="str">
        <f>HYPERLINK("https://redirect.sdcdeals.com/redirect?code=763034&amp;mavely=https://mavely.app.link/e/bhESV2wGrGb&amp;destination=https%3A%2F%2Fwww.kohls.com%2Fsearch.jsp%3Fsubmit-search%3Dweb-regular%26search%3D50696466", "Retail Link")</f>
        <v>Retail Link</v>
      </c>
      <c r="J27" s="14" t="s">
        <v>891</v>
      </c>
      <c r="K27" s="13" t="s">
        <v>907</v>
      </c>
      <c r="L27" s="15">
        <v>5.7600000000000007</v>
      </c>
      <c r="M27" s="15">
        <v>30.94</v>
      </c>
      <c r="N27" s="15">
        <v>16.088999999999999</v>
      </c>
      <c r="O27" s="15">
        <f>V27-M27</f>
        <v>0</v>
      </c>
      <c r="P27" s="16">
        <f>N27/L27</f>
        <v>2.793229166666666</v>
      </c>
      <c r="Q27" s="14"/>
      <c r="R27" s="14"/>
      <c r="S27" s="17">
        <v>2.20462E-3</v>
      </c>
      <c r="T27" s="15"/>
      <c r="U27" s="15"/>
      <c r="V27" s="15">
        <v>30.94</v>
      </c>
      <c r="W27" s="14" t="s">
        <v>908</v>
      </c>
      <c r="X27" s="14">
        <v>1</v>
      </c>
      <c r="Y27" s="10">
        <f>AC27-AB27</f>
        <v>0</v>
      </c>
      <c r="Z27" s="18">
        <v>-1</v>
      </c>
      <c r="AA27" s="18">
        <v>-1</v>
      </c>
      <c r="AB27" s="18"/>
      <c r="AC27" s="18"/>
      <c r="AD27" s="1" t="s">
        <v>893</v>
      </c>
      <c r="AE27" s="1" t="s">
        <v>894</v>
      </c>
      <c r="AG27" s="4">
        <v>4.45</v>
      </c>
    </row>
    <row r="28" spans="1:33" ht="47.25" customHeight="1" x14ac:dyDescent="0.25">
      <c r="A28" s="10" t="s">
        <v>7310</v>
      </c>
      <c r="B28" s="11" t="s">
        <v>33</v>
      </c>
      <c r="C28" s="12" t="s">
        <v>7311</v>
      </c>
      <c r="D28" s="27"/>
      <c r="E28" s="14" t="s">
        <v>35</v>
      </c>
      <c r="F28" s="11" t="str">
        <f>HYPERLINK("https://redirect.sdcdeals.com/redirect?destination=https%3A%2F%2Fwww.amazon.com%2Fdp%2FB0CNB2D5Y2%3Fth%3D1%26psc%3D1%26tag%3Dsdcdeals03-20", "Amazon Link")</f>
        <v>Amazon Link</v>
      </c>
      <c r="G28" s="11" t="s">
        <v>36</v>
      </c>
      <c r="H28" s="14" t="s">
        <v>7312</v>
      </c>
      <c r="I28" s="11" t="str">
        <f>HYPERLINK("https://redirect.sdcdeals.com/redirect?code=763034&amp;mavely=https://mavely.app.link/e/bhESV2wGrGb&amp;destination=https%3A%2F%2Fwww.kohls.com%2Fsearch.jsp%3Fsubmit-search%3Dweb-regular%26search%3D81835631", "Retail Link")</f>
        <v>Retail Link</v>
      </c>
      <c r="J28" s="14" t="s">
        <v>7313</v>
      </c>
      <c r="K28" s="13" t="s">
        <v>7314</v>
      </c>
      <c r="L28" s="15">
        <v>6</v>
      </c>
      <c r="M28" s="15">
        <v>33.729999999999997</v>
      </c>
      <c r="N28" s="15">
        <v>16.6205</v>
      </c>
      <c r="O28" s="15">
        <f>V28-M28</f>
        <v>-0.47999999999999687</v>
      </c>
      <c r="P28" s="16">
        <f>N28/L28</f>
        <v>2.7700833333333335</v>
      </c>
      <c r="Q28" s="14">
        <v>313973</v>
      </c>
      <c r="R28" s="14"/>
      <c r="S28" s="17">
        <v>0.65036289999999997</v>
      </c>
      <c r="T28" s="15"/>
      <c r="U28" s="15">
        <v>33.729999999999997</v>
      </c>
      <c r="V28" s="15">
        <v>33.25</v>
      </c>
      <c r="W28" s="14" t="s">
        <v>7315</v>
      </c>
      <c r="X28" s="14">
        <v>1</v>
      </c>
      <c r="Y28" s="10">
        <f>AC28-AB28</f>
        <v>355</v>
      </c>
      <c r="Z28" s="18">
        <v>2</v>
      </c>
      <c r="AA28" s="18">
        <v>20</v>
      </c>
      <c r="AB28" s="18">
        <v>0</v>
      </c>
      <c r="AC28" s="18">
        <v>355</v>
      </c>
      <c r="AE28" s="1" t="s">
        <v>7316</v>
      </c>
      <c r="AG28" s="4">
        <v>6.05</v>
      </c>
    </row>
    <row r="29" spans="1:33" ht="47.25" customHeight="1" x14ac:dyDescent="0.25">
      <c r="A29" s="10" t="s">
        <v>6987</v>
      </c>
      <c r="B29" s="11" t="s">
        <v>33</v>
      </c>
      <c r="C29" s="12" t="s">
        <v>6988</v>
      </c>
      <c r="D29" s="27"/>
      <c r="E29" s="14" t="s">
        <v>35</v>
      </c>
      <c r="F29" s="11" t="str">
        <f>HYPERLINK("https://redirect.sdcdeals.com/redirect?destination=https%3A%2F%2Fwww.amazon.com%2Fdp%2FB09HC4BGVZ%3Fth%3D1%26psc%3D1%26tag%3Dsdcdeals03-20", "Amazon Link")</f>
        <v>Amazon Link</v>
      </c>
      <c r="G29" s="11" t="s">
        <v>36</v>
      </c>
      <c r="H29" s="14" t="s">
        <v>6989</v>
      </c>
      <c r="I29" s="11" t="str">
        <f>HYPERLINK("https://redirect.sdcdeals.com/redirect?code=763034&amp;mavely=https://mavely.app.link/e/bhESV2wGrGb&amp;destination=https%3A%2F%2Fwww.kohls.com%2Fsearch.jsp%3Fsubmit-search%3Dweb-regular%26search%3D29464897", "Retail Link")</f>
        <v>Retail Link</v>
      </c>
      <c r="J29" s="14" t="s">
        <v>6990</v>
      </c>
      <c r="K29" s="13" t="s">
        <v>6991</v>
      </c>
      <c r="L29" s="15">
        <v>13.496</v>
      </c>
      <c r="M29" s="15">
        <v>63.58</v>
      </c>
      <c r="N29" s="15">
        <v>37.127000000000002</v>
      </c>
      <c r="O29" s="15">
        <f>V29-M29</f>
        <v>11.320000000000007</v>
      </c>
      <c r="P29" s="16">
        <f>N29/L29</f>
        <v>2.7509632483698874</v>
      </c>
      <c r="Q29" s="14">
        <v>588617</v>
      </c>
      <c r="R29" s="14"/>
      <c r="S29" s="17">
        <v>0.35053457999999998</v>
      </c>
      <c r="T29" s="15">
        <v>63.58</v>
      </c>
      <c r="U29" s="15">
        <v>74.8</v>
      </c>
      <c r="V29" s="15">
        <v>74.900000000000006</v>
      </c>
      <c r="W29" s="14" t="s">
        <v>60</v>
      </c>
      <c r="X29" s="14">
        <v>4</v>
      </c>
      <c r="Y29" s="10">
        <f>AC29-AB29</f>
        <v>0</v>
      </c>
      <c r="Z29" s="18">
        <v>7</v>
      </c>
      <c r="AA29" s="18">
        <v>13</v>
      </c>
      <c r="AB29" s="18">
        <v>0</v>
      </c>
      <c r="AC29" s="18"/>
      <c r="AD29" s="1" t="s">
        <v>6992</v>
      </c>
      <c r="AE29" s="1" t="s">
        <v>6857</v>
      </c>
      <c r="AG29" s="4">
        <v>3.42</v>
      </c>
    </row>
    <row r="30" spans="1:33" ht="47.25" customHeight="1" x14ac:dyDescent="0.25">
      <c r="A30" s="10" t="s">
        <v>6845</v>
      </c>
      <c r="B30" s="11" t="s">
        <v>33</v>
      </c>
      <c r="C30" s="12" t="s">
        <v>6846</v>
      </c>
      <c r="D30" s="27"/>
      <c r="E30" s="14" t="s">
        <v>35</v>
      </c>
      <c r="F30" s="11" t="str">
        <f>HYPERLINK("https://redirect.sdcdeals.com/redirect?destination=https%3A%2F%2Fwww.amazon.com%2Fdp%2FB09HC6MN8X%3Fth%3D1%26psc%3D1%26tag%3Dsdcdeals03-20", "Amazon Link")</f>
        <v>Amazon Link</v>
      </c>
      <c r="G30" s="11" t="s">
        <v>36</v>
      </c>
      <c r="H30" s="14" t="s">
        <v>6847</v>
      </c>
      <c r="I30" s="11" t="str">
        <f>HYPERLINK("https://redirect.sdcdeals.com/redirect?code=763034&amp;mavely=https://mavely.app.link/e/bhESV2wGrGb&amp;destination=https%3A%2F%2Fwww.kohls.com%2Fsearch.jsp%3Fsubmit-search%3Dweb-regular%26search%3D49813154", "Retail Link")</f>
        <v>Retail Link</v>
      </c>
      <c r="J30" s="14" t="s">
        <v>6848</v>
      </c>
      <c r="K30" s="13" t="s">
        <v>6849</v>
      </c>
      <c r="L30" s="15">
        <v>14.576000000000001</v>
      </c>
      <c r="M30" s="15">
        <v>67.81</v>
      </c>
      <c r="N30" s="15">
        <v>39.642499999999998</v>
      </c>
      <c r="O30" s="15">
        <f>V30-M30</f>
        <v>11.269999999999996</v>
      </c>
      <c r="P30" s="16">
        <f>N30/L30</f>
        <v>2.7197104829857297</v>
      </c>
      <c r="Q30" s="14">
        <v>7589106</v>
      </c>
      <c r="R30" s="14"/>
      <c r="S30" s="17">
        <v>0.35053457999999998</v>
      </c>
      <c r="T30" s="15">
        <v>67.81</v>
      </c>
      <c r="U30" s="15">
        <v>78.540000000000006</v>
      </c>
      <c r="V30" s="15">
        <v>79.08</v>
      </c>
      <c r="W30" s="14" t="s">
        <v>342</v>
      </c>
      <c r="X30" s="14">
        <v>3</v>
      </c>
      <c r="Y30" s="10">
        <f>AC30-AB30</f>
        <v>0</v>
      </c>
      <c r="Z30" s="18">
        <v>0</v>
      </c>
      <c r="AA30" s="18">
        <v>0</v>
      </c>
      <c r="AB30" s="18">
        <v>0</v>
      </c>
      <c r="AC30" s="18"/>
      <c r="AD30" s="1" t="s">
        <v>6850</v>
      </c>
      <c r="AE30" s="1" t="s">
        <v>6851</v>
      </c>
      <c r="AG30" s="4">
        <v>3.42</v>
      </c>
    </row>
    <row r="31" spans="1:33" ht="47.25" customHeight="1" x14ac:dyDescent="0.25">
      <c r="A31" s="10" t="s">
        <v>6858</v>
      </c>
      <c r="B31" s="11" t="s">
        <v>33</v>
      </c>
      <c r="C31" s="12" t="s">
        <v>6859</v>
      </c>
      <c r="D31" s="27"/>
      <c r="E31" s="14" t="s">
        <v>35</v>
      </c>
      <c r="F31" s="11" t="str">
        <f>HYPERLINK("https://redirect.sdcdeals.com/redirect?destination=https%3A%2F%2Fwww.amazon.com%2Fdp%2FB09HC3SWDK%3Fth%3D1%26psc%3D1%26tag%3Dsdcdeals03-20", "Amazon Link")</f>
        <v>Amazon Link</v>
      </c>
      <c r="G31" s="11" t="s">
        <v>36</v>
      </c>
      <c r="H31" s="14" t="s">
        <v>6860</v>
      </c>
      <c r="I31" s="11" t="str">
        <f>HYPERLINK("https://redirect.sdcdeals.com/redirect?code=763034&amp;mavely=https://mavely.app.link/e/bhESV2wGrGb&amp;destination=https%3A%2F%2Fwww.kohls.com%2Fsearch.jsp%3Fsubmit-search%3Dweb-regular%26search%3D49813149", "Retail Link")</f>
        <v>Retail Link</v>
      </c>
      <c r="J31" s="14" t="s">
        <v>6848</v>
      </c>
      <c r="K31" s="13" t="s">
        <v>6861</v>
      </c>
      <c r="L31" s="15">
        <v>14.576000000000001</v>
      </c>
      <c r="M31" s="15">
        <v>67.81</v>
      </c>
      <c r="N31" s="15">
        <v>39.642499999999998</v>
      </c>
      <c r="O31" s="15">
        <f>V31-M31</f>
        <v>7.8100000000000023</v>
      </c>
      <c r="P31" s="16">
        <f>N31/L31</f>
        <v>2.7197104829857297</v>
      </c>
      <c r="Q31" s="14">
        <v>1181584</v>
      </c>
      <c r="R31" s="14"/>
      <c r="S31" s="17">
        <v>0.35053457999999998</v>
      </c>
      <c r="T31" s="15">
        <v>67.81</v>
      </c>
      <c r="U31" s="15">
        <v>69.86</v>
      </c>
      <c r="V31" s="15">
        <v>75.62</v>
      </c>
      <c r="W31" s="14" t="s">
        <v>60</v>
      </c>
      <c r="X31" s="14">
        <v>4</v>
      </c>
      <c r="Y31" s="10">
        <f>AC31-AB31</f>
        <v>7</v>
      </c>
      <c r="Z31" s="18">
        <v>6</v>
      </c>
      <c r="AA31" s="18">
        <v>16</v>
      </c>
      <c r="AB31" s="18">
        <v>0</v>
      </c>
      <c r="AC31" s="18">
        <v>7</v>
      </c>
      <c r="AD31" s="1" t="s">
        <v>6862</v>
      </c>
      <c r="AE31" s="1" t="s">
        <v>6863</v>
      </c>
      <c r="AG31" s="4">
        <v>3.42</v>
      </c>
    </row>
    <row r="32" spans="1:33" ht="47.25" customHeight="1" x14ac:dyDescent="0.25">
      <c r="A32" s="10" t="s">
        <v>1151</v>
      </c>
      <c r="B32" s="11" t="s">
        <v>33</v>
      </c>
      <c r="C32" s="12" t="s">
        <v>1152</v>
      </c>
      <c r="D32" s="27"/>
      <c r="E32" s="14" t="s">
        <v>35</v>
      </c>
      <c r="F32" s="11" t="str">
        <f>HYPERLINK("https://redirect.sdcdeals.com/redirect?destination=https%3A%2F%2Fwww.amazon.com%2Fdp%2FB0BF36YNJK%3Fth%3D1%26psc%3D1%26tag%3Dsdcdeals03-20", "Amazon Link")</f>
        <v>Amazon Link</v>
      </c>
      <c r="G32" s="11" t="s">
        <v>36</v>
      </c>
      <c r="H32" s="14" t="s">
        <v>1153</v>
      </c>
      <c r="I32" s="11" t="str">
        <f>HYPERLINK("https://redirect.sdcdeals.com/redirect?code=763034&amp;mavely=https://mavely.app.link/e/bhESV2wGrGb&amp;destination=https%3A%2F%2Fwww.kohls.com%2Fsearch.jsp%3Fsubmit-search%3Dweb-regular%26search%3D63445348", "Retail Link")</f>
        <v>Retail Link</v>
      </c>
      <c r="J32" s="14" t="s">
        <v>1154</v>
      </c>
      <c r="K32" s="13" t="s">
        <v>1155</v>
      </c>
      <c r="L32" s="15">
        <v>13.2</v>
      </c>
      <c r="M32" s="15">
        <v>66</v>
      </c>
      <c r="N32" s="15">
        <v>35.5</v>
      </c>
      <c r="O32" s="15">
        <f>V32-M32</f>
        <v>-14.549999999999997</v>
      </c>
      <c r="P32" s="16">
        <f>N32/L32</f>
        <v>2.6893939393939394</v>
      </c>
      <c r="Q32" s="14">
        <v>1139559</v>
      </c>
      <c r="R32" s="14"/>
      <c r="S32" s="17">
        <v>0.50706260000000003</v>
      </c>
      <c r="T32" s="15">
        <v>66</v>
      </c>
      <c r="U32" s="15">
        <v>55.66</v>
      </c>
      <c r="V32" s="15">
        <v>51.45</v>
      </c>
      <c r="W32" s="14" t="s">
        <v>342</v>
      </c>
      <c r="X32" s="14">
        <v>1</v>
      </c>
      <c r="Y32" s="10">
        <f>AC32-AB32</f>
        <v>13</v>
      </c>
      <c r="Z32" s="18">
        <v>8</v>
      </c>
      <c r="AA32" s="18">
        <v>13</v>
      </c>
      <c r="AB32" s="18">
        <v>0</v>
      </c>
      <c r="AC32" s="18">
        <v>13</v>
      </c>
      <c r="AE32" s="1" t="s">
        <v>1156</v>
      </c>
      <c r="AG32" s="4">
        <v>7.4</v>
      </c>
    </row>
    <row r="33" spans="1:33" ht="47.25" customHeight="1" x14ac:dyDescent="0.25">
      <c r="A33" s="10" t="s">
        <v>1157</v>
      </c>
      <c r="B33" s="11" t="s">
        <v>33</v>
      </c>
      <c r="C33" s="12" t="s">
        <v>1158</v>
      </c>
      <c r="D33" s="27"/>
      <c r="E33" s="14" t="s">
        <v>35</v>
      </c>
      <c r="F33" s="11" t="str">
        <f>HYPERLINK("https://redirect.sdcdeals.com/redirect?destination=https%3A%2F%2Fwww.amazon.com%2Fdp%2FB0BF31C95P%3Fth%3D1%26psc%3D1%26tag%3Dsdcdeals03-20", "Amazon Link")</f>
        <v>Amazon Link</v>
      </c>
      <c r="G33" s="11" t="s">
        <v>36</v>
      </c>
      <c r="H33" s="14" t="s">
        <v>1159</v>
      </c>
      <c r="I33" s="11" t="str">
        <f>HYPERLINK("https://redirect.sdcdeals.com/redirect?code=763034&amp;mavely=https://mavely.app.link/e/bhESV2wGrGb&amp;destination=https%3A%2F%2Fwww.kohls.com%2Fsearch.jsp%3Fsubmit-search%3Dweb-regular%26search%3D63445357", "Retail Link")</f>
        <v>Retail Link</v>
      </c>
      <c r="J33" s="14" t="s">
        <v>1154</v>
      </c>
      <c r="K33" s="13" t="s">
        <v>1160</v>
      </c>
      <c r="L33" s="15">
        <v>13.2</v>
      </c>
      <c r="M33" s="15">
        <v>66</v>
      </c>
      <c r="N33" s="15">
        <v>35.5</v>
      </c>
      <c r="O33" s="15">
        <f>V33-M33</f>
        <v>-13.909999999999997</v>
      </c>
      <c r="P33" s="16">
        <f>N33/L33</f>
        <v>2.6893939393939394</v>
      </c>
      <c r="Q33" s="14">
        <v>1139559</v>
      </c>
      <c r="R33" s="14"/>
      <c r="S33" s="17">
        <v>0.50706260000000003</v>
      </c>
      <c r="T33" s="15">
        <v>66</v>
      </c>
      <c r="U33" s="15">
        <v>55.72</v>
      </c>
      <c r="V33" s="15">
        <v>52.09</v>
      </c>
      <c r="W33" s="14" t="s">
        <v>342</v>
      </c>
      <c r="X33" s="14">
        <v>1</v>
      </c>
      <c r="Y33" s="10">
        <f>AC33-AB33</f>
        <v>13</v>
      </c>
      <c r="Z33" s="18">
        <v>8</v>
      </c>
      <c r="AA33" s="18">
        <v>13</v>
      </c>
      <c r="AB33" s="18">
        <v>0</v>
      </c>
      <c r="AC33" s="18">
        <v>13</v>
      </c>
      <c r="AE33" s="1" t="s">
        <v>1156</v>
      </c>
      <c r="AG33" s="4">
        <v>7.4</v>
      </c>
    </row>
    <row r="34" spans="1:33" ht="47.25" hidden="1" customHeight="1" x14ac:dyDescent="0.25">
      <c r="A34" s="10" t="s">
        <v>888</v>
      </c>
      <c r="B34" s="11" t="s">
        <v>33</v>
      </c>
      <c r="C34" s="12" t="s">
        <v>889</v>
      </c>
      <c r="D34" s="27"/>
      <c r="E34" s="14" t="s">
        <v>35</v>
      </c>
      <c r="F34" s="11" t="str">
        <f>HYPERLINK("https://redirect.sdcdeals.com/redirect?destination=https%3A%2F%2Fwww.amazon.com%2Fdp%2FB0CNS46YCX%3Fth%3D1%26psc%3D1%26tag%3Dsdcdeals03-20", "Amazon Link")</f>
        <v>Amazon Link</v>
      </c>
      <c r="G34" s="11" t="s">
        <v>36</v>
      </c>
      <c r="H34" s="14" t="s">
        <v>890</v>
      </c>
      <c r="I34" s="11" t="str">
        <f>HYPERLINK("https://redirect.sdcdeals.com/redirect?code=763034&amp;mavely=https://mavely.app.link/e/bhESV2wGrGb&amp;destination=https%3A%2F%2Fwww.kohls.com%2Fsearch.jsp%3Fsubmit-search%3Dweb-regular%26search%3D50696457", "Retail Link")</f>
        <v>Retail Link</v>
      </c>
      <c r="J34" s="14" t="s">
        <v>891</v>
      </c>
      <c r="K34" s="13" t="s">
        <v>892</v>
      </c>
      <c r="L34" s="15">
        <v>5.7600000000000007</v>
      </c>
      <c r="M34" s="15">
        <v>30.12</v>
      </c>
      <c r="N34" s="15">
        <v>15.391999999999999</v>
      </c>
      <c r="O34" s="15">
        <f>V34-M34</f>
        <v>0</v>
      </c>
      <c r="P34" s="16">
        <f>N34/L34</f>
        <v>2.6722222222222216</v>
      </c>
      <c r="Q34" s="14"/>
      <c r="R34" s="14"/>
      <c r="S34" s="17">
        <v>2.20462E-3</v>
      </c>
      <c r="T34" s="15"/>
      <c r="U34" s="15"/>
      <c r="V34" s="15">
        <v>30.12</v>
      </c>
      <c r="W34" s="14" t="s">
        <v>240</v>
      </c>
      <c r="X34" s="14">
        <v>1</v>
      </c>
      <c r="Y34" s="10">
        <f>AC34-AB34</f>
        <v>0</v>
      </c>
      <c r="Z34" s="18">
        <v>-1</v>
      </c>
      <c r="AA34" s="18">
        <v>-1</v>
      </c>
      <c r="AB34" s="18"/>
      <c r="AC34" s="18"/>
      <c r="AD34" s="1" t="s">
        <v>893</v>
      </c>
      <c r="AE34" s="1" t="s">
        <v>894</v>
      </c>
      <c r="AG34" s="4">
        <v>4.45</v>
      </c>
    </row>
    <row r="35" spans="1:33" ht="47.25" hidden="1" customHeight="1" x14ac:dyDescent="0.25">
      <c r="A35" s="10" t="s">
        <v>899</v>
      </c>
      <c r="B35" s="11" t="s">
        <v>33</v>
      </c>
      <c r="C35" s="12" t="s">
        <v>900</v>
      </c>
      <c r="D35" s="27"/>
      <c r="E35" s="14" t="s">
        <v>35</v>
      </c>
      <c r="F35" s="11" t="str">
        <f>HYPERLINK("https://redirect.sdcdeals.com/redirect?destination=https%3A%2F%2Fwww.amazon.com%2Fdp%2FB0CNS41VLZ%3Fth%3D1%26psc%3D1%26tag%3Dsdcdeals03-20", "Amazon Link")</f>
        <v>Amazon Link</v>
      </c>
      <c r="G35" s="11" t="s">
        <v>36</v>
      </c>
      <c r="H35" s="14" t="s">
        <v>901</v>
      </c>
      <c r="I35" s="11" t="str">
        <f>HYPERLINK("https://redirect.sdcdeals.com/redirect?code=763034&amp;mavely=https://mavely.app.link/e/bhESV2wGrGb&amp;destination=https%3A%2F%2Fwww.kohls.com%2Fsearch.jsp%3Fsubmit-search%3Dweb-regular%26search%3D50696464", "Retail Link")</f>
        <v>Retail Link</v>
      </c>
      <c r="J35" s="14" t="s">
        <v>891</v>
      </c>
      <c r="K35" s="13" t="s">
        <v>902</v>
      </c>
      <c r="L35" s="15">
        <v>5.7600000000000007</v>
      </c>
      <c r="M35" s="15">
        <v>30.12</v>
      </c>
      <c r="N35" s="15">
        <v>15.391999999999999</v>
      </c>
      <c r="O35" s="15">
        <f>V35-M35</f>
        <v>0</v>
      </c>
      <c r="P35" s="16">
        <f>N35/L35</f>
        <v>2.6722222222222216</v>
      </c>
      <c r="Q35" s="14"/>
      <c r="R35" s="14"/>
      <c r="S35" s="17">
        <v>2.20462E-3</v>
      </c>
      <c r="T35" s="15"/>
      <c r="U35" s="15"/>
      <c r="V35" s="15">
        <v>30.12</v>
      </c>
      <c r="W35" s="14" t="s">
        <v>903</v>
      </c>
      <c r="X35" s="14">
        <v>1</v>
      </c>
      <c r="Y35" s="10">
        <f>AC35-AB35</f>
        <v>0</v>
      </c>
      <c r="Z35" s="18">
        <v>-1</v>
      </c>
      <c r="AA35" s="18">
        <v>-1</v>
      </c>
      <c r="AB35" s="18"/>
      <c r="AC35" s="18"/>
      <c r="AD35" s="1" t="s">
        <v>893</v>
      </c>
      <c r="AE35" s="1" t="s">
        <v>894</v>
      </c>
      <c r="AG35" s="4">
        <v>4.45</v>
      </c>
    </row>
    <row r="36" spans="1:33" ht="47.25" hidden="1" customHeight="1" x14ac:dyDescent="0.25">
      <c r="A36" s="10" t="s">
        <v>777</v>
      </c>
      <c r="B36" s="11" t="s">
        <v>33</v>
      </c>
      <c r="C36" s="12" t="s">
        <v>778</v>
      </c>
      <c r="D36" s="27"/>
      <c r="E36" s="14" t="s">
        <v>35</v>
      </c>
      <c r="F36" s="11" t="str">
        <f>HYPERLINK("https://redirect.sdcdeals.com/redirect?destination=https%3A%2F%2Fwww.amazon.com%2Fdp%2FB0CNSCJHYT%3Fth%3D1%26psc%3D1%26tag%3Dsdcdeals03-20", "Amazon Link")</f>
        <v>Amazon Link</v>
      </c>
      <c r="G36" s="11" t="s">
        <v>36</v>
      </c>
      <c r="H36" s="14" t="s">
        <v>779</v>
      </c>
      <c r="I36" s="11" t="str">
        <f>HYPERLINK("https://redirect.sdcdeals.com/redirect?code=763034&amp;mavely=https://mavely.app.link/e/bhESV2wGrGb&amp;destination=https%3A%2F%2Fwww.kohls.com%2Fsearch.jsp%3Fsubmit-search%3Dweb-regular%26search%3D80326128", "Retail Link")</f>
        <v>Retail Link</v>
      </c>
      <c r="J36" s="14" t="s">
        <v>769</v>
      </c>
      <c r="K36" s="13" t="s">
        <v>780</v>
      </c>
      <c r="L36" s="15">
        <v>3.36</v>
      </c>
      <c r="M36" s="15">
        <v>18.52</v>
      </c>
      <c r="N36" s="15">
        <v>8.952</v>
      </c>
      <c r="O36" s="15">
        <f>V36-M36</f>
        <v>1.5</v>
      </c>
      <c r="P36" s="16">
        <f>N36/L36</f>
        <v>2.6642857142857146</v>
      </c>
      <c r="Q36" s="14"/>
      <c r="R36" s="14"/>
      <c r="S36" s="17">
        <v>5.0706260000000003E-2</v>
      </c>
      <c r="T36" s="15"/>
      <c r="U36" s="15">
        <v>18.52</v>
      </c>
      <c r="V36" s="15">
        <v>20.02</v>
      </c>
      <c r="W36" s="14" t="s">
        <v>781</v>
      </c>
      <c r="X36" s="14">
        <v>2</v>
      </c>
      <c r="Y36" s="10">
        <f>AC36-AB36</f>
        <v>0</v>
      </c>
      <c r="Z36" s="18">
        <v>-1</v>
      </c>
      <c r="AA36" s="18">
        <v>-1</v>
      </c>
      <c r="AB36" s="18"/>
      <c r="AC36" s="18"/>
      <c r="AE36" s="1" t="s">
        <v>771</v>
      </c>
      <c r="AG36" s="4">
        <v>3.43</v>
      </c>
    </row>
    <row r="37" spans="1:33" ht="47.25" hidden="1" customHeight="1" x14ac:dyDescent="0.25">
      <c r="A37" s="10" t="s">
        <v>787</v>
      </c>
      <c r="B37" s="11" t="s">
        <v>33</v>
      </c>
      <c r="C37" s="12" t="s">
        <v>788</v>
      </c>
      <c r="D37" s="27"/>
      <c r="E37" s="14" t="s">
        <v>35</v>
      </c>
      <c r="F37" s="11" t="str">
        <f>HYPERLINK("https://redirect.sdcdeals.com/redirect?destination=https%3A%2F%2Fwww.amazon.com%2Fdp%2FB0CNSBGMXY%3Fth%3D1%26psc%3D1%26tag%3Dsdcdeals03-20", "Amazon Link")</f>
        <v>Amazon Link</v>
      </c>
      <c r="G37" s="11" t="s">
        <v>36</v>
      </c>
      <c r="H37" s="14" t="s">
        <v>789</v>
      </c>
      <c r="I37" s="11" t="str">
        <f>HYPERLINK("https://redirect.sdcdeals.com/redirect?code=763034&amp;mavely=https://mavely.app.link/e/bhESV2wGrGb&amp;destination=https%3A%2F%2Fwww.kohls.com%2Fsearch.jsp%3Fsubmit-search%3Dweb-regular%26search%3D80326136", "Retail Link")</f>
        <v>Retail Link</v>
      </c>
      <c r="J37" s="14" t="s">
        <v>769</v>
      </c>
      <c r="K37" s="13" t="s">
        <v>790</v>
      </c>
      <c r="L37" s="15">
        <v>3.36</v>
      </c>
      <c r="M37" s="15">
        <v>18.5</v>
      </c>
      <c r="N37" s="15">
        <v>8.9350000000000005</v>
      </c>
      <c r="O37" s="15">
        <f>V37-M37</f>
        <v>3.09</v>
      </c>
      <c r="P37" s="16">
        <f>N37/L37</f>
        <v>2.6592261904761907</v>
      </c>
      <c r="Q37" s="14"/>
      <c r="R37" s="14"/>
      <c r="S37" s="17">
        <v>5.0706260000000003E-2</v>
      </c>
      <c r="T37" s="15"/>
      <c r="U37" s="15">
        <v>18.5</v>
      </c>
      <c r="V37" s="15">
        <v>21.59</v>
      </c>
      <c r="W37" s="14" t="s">
        <v>791</v>
      </c>
      <c r="X37" s="14">
        <v>1</v>
      </c>
      <c r="Y37" s="10">
        <f>AC37-AB37</f>
        <v>0</v>
      </c>
      <c r="Z37" s="18">
        <v>-1</v>
      </c>
      <c r="AA37" s="18">
        <v>-1</v>
      </c>
      <c r="AB37" s="18"/>
      <c r="AC37" s="18"/>
      <c r="AE37" s="1" t="s">
        <v>771</v>
      </c>
      <c r="AG37" s="4">
        <v>3.43</v>
      </c>
    </row>
    <row r="38" spans="1:33" ht="47.25" hidden="1" customHeight="1" x14ac:dyDescent="0.25">
      <c r="A38" s="10" t="s">
        <v>772</v>
      </c>
      <c r="B38" s="11" t="s">
        <v>33</v>
      </c>
      <c r="C38" s="12" t="s">
        <v>773</v>
      </c>
      <c r="D38" s="27"/>
      <c r="E38" s="14" t="s">
        <v>35</v>
      </c>
      <c r="F38" s="11" t="str">
        <f>HYPERLINK("https://redirect.sdcdeals.com/redirect?destination=https%3A%2F%2Fwww.amazon.com%2Fdp%2FB0CNSB94YS%3Fth%3D1%26psc%3D1%26tag%3Dsdcdeals03-20", "Amazon Link")</f>
        <v>Amazon Link</v>
      </c>
      <c r="G38" s="11" t="s">
        <v>36</v>
      </c>
      <c r="H38" s="14" t="s">
        <v>774</v>
      </c>
      <c r="I38" s="11" t="str">
        <f>HYPERLINK("https://redirect.sdcdeals.com/redirect?code=763034&amp;mavely=https://mavely.app.link/e/bhESV2wGrGb&amp;destination=https%3A%2F%2Fwww.kohls.com%2Fsearch.jsp%3Fsubmit-search%3Dweb-regular%26search%3D80326126", "Retail Link")</f>
        <v>Retail Link</v>
      </c>
      <c r="J38" s="14" t="s">
        <v>769</v>
      </c>
      <c r="K38" s="13" t="s">
        <v>775</v>
      </c>
      <c r="L38" s="15">
        <v>3.36</v>
      </c>
      <c r="M38" s="15">
        <v>18.3</v>
      </c>
      <c r="N38" s="15">
        <v>8.9250000000000007</v>
      </c>
      <c r="O38" s="15">
        <f>V38-M38</f>
        <v>1.7199999999999989</v>
      </c>
      <c r="P38" s="16">
        <f>N38/L38</f>
        <v>2.6562500000000004</v>
      </c>
      <c r="Q38" s="14"/>
      <c r="R38" s="14"/>
      <c r="S38" s="17">
        <v>5.0706260000000003E-2</v>
      </c>
      <c r="T38" s="15"/>
      <c r="U38" s="15">
        <v>18.3</v>
      </c>
      <c r="V38" s="15">
        <v>20.02</v>
      </c>
      <c r="W38" s="14" t="s">
        <v>776</v>
      </c>
      <c r="X38" s="14">
        <v>1</v>
      </c>
      <c r="Y38" s="10">
        <f>AC38-AB38</f>
        <v>0</v>
      </c>
      <c r="Z38" s="18">
        <v>-1</v>
      </c>
      <c r="AA38" s="18">
        <v>-1</v>
      </c>
      <c r="AB38" s="18"/>
      <c r="AC38" s="18"/>
      <c r="AE38" s="1" t="s">
        <v>771</v>
      </c>
      <c r="AG38" s="4">
        <v>3.27</v>
      </c>
    </row>
    <row r="39" spans="1:33" ht="47.25" hidden="1" customHeight="1" x14ac:dyDescent="0.25">
      <c r="A39" s="10" t="s">
        <v>782</v>
      </c>
      <c r="B39" s="11" t="s">
        <v>33</v>
      </c>
      <c r="C39" s="12" t="s">
        <v>783</v>
      </c>
      <c r="D39" s="27"/>
      <c r="E39" s="14" t="s">
        <v>35</v>
      </c>
      <c r="F39" s="11" t="str">
        <f>HYPERLINK("https://redirect.sdcdeals.com/redirect?destination=https%3A%2F%2Fwww.amazon.com%2Fdp%2FB0CNSCJ44D%3Fth%3D1%26psc%3D1%26tag%3Dsdcdeals03-20", "Amazon Link")</f>
        <v>Amazon Link</v>
      </c>
      <c r="G39" s="11" t="s">
        <v>36</v>
      </c>
      <c r="H39" s="14" t="s">
        <v>784</v>
      </c>
      <c r="I39" s="11" t="str">
        <f>HYPERLINK("https://redirect.sdcdeals.com/redirect?code=763034&amp;mavely=https://mavely.app.link/e/bhESV2wGrGb&amp;destination=https%3A%2F%2Fwww.kohls.com%2Fsearch.jsp%3Fsubmit-search%3Dweb-regular%26search%3D80326135", "Retail Link")</f>
        <v>Retail Link</v>
      </c>
      <c r="J39" s="14" t="s">
        <v>769</v>
      </c>
      <c r="K39" s="13" t="s">
        <v>785</v>
      </c>
      <c r="L39" s="15">
        <v>3.36</v>
      </c>
      <c r="M39" s="15">
        <v>18.420000000000002</v>
      </c>
      <c r="N39" s="15">
        <v>8.8670000000000027</v>
      </c>
      <c r="O39" s="15">
        <f>V39-M39</f>
        <v>1.5799999999999983</v>
      </c>
      <c r="P39" s="16">
        <f>N39/L39</f>
        <v>2.638988095238096</v>
      </c>
      <c r="Q39" s="14"/>
      <c r="R39" s="14"/>
      <c r="S39" s="17">
        <v>5.0706260000000003E-2</v>
      </c>
      <c r="T39" s="15"/>
      <c r="U39" s="15">
        <v>18.420000000000002</v>
      </c>
      <c r="V39" s="15">
        <v>20</v>
      </c>
      <c r="W39" s="14" t="s">
        <v>786</v>
      </c>
      <c r="X39" s="14">
        <v>2</v>
      </c>
      <c r="Y39" s="10">
        <f>AC39-AB39</f>
        <v>37</v>
      </c>
      <c r="Z39" s="18">
        <v>-1</v>
      </c>
      <c r="AA39" s="18">
        <v>-1</v>
      </c>
      <c r="AB39" s="18"/>
      <c r="AC39" s="18">
        <v>37</v>
      </c>
      <c r="AE39" s="1" t="s">
        <v>771</v>
      </c>
      <c r="AG39" s="4">
        <v>3.43</v>
      </c>
    </row>
    <row r="40" spans="1:33" ht="47.25" customHeight="1" x14ac:dyDescent="0.25">
      <c r="A40" s="10" t="s">
        <v>6852</v>
      </c>
      <c r="B40" s="11" t="s">
        <v>33</v>
      </c>
      <c r="C40" s="12" t="s">
        <v>6853</v>
      </c>
      <c r="D40" s="27"/>
      <c r="E40" s="14" t="s">
        <v>35</v>
      </c>
      <c r="F40" s="11" t="str">
        <f>HYPERLINK("https://redirect.sdcdeals.com/redirect?destination=https%3A%2F%2Fwww.amazon.com%2Fdp%2FB09HC4VWG7%3Fth%3D1%26psc%3D1%26tag%3Dsdcdeals03-20", "Amazon Link")</f>
        <v>Amazon Link</v>
      </c>
      <c r="G40" s="11" t="s">
        <v>36</v>
      </c>
      <c r="H40" s="14" t="s">
        <v>6854</v>
      </c>
      <c r="I40" s="11" t="str">
        <f>HYPERLINK("https://redirect.sdcdeals.com/redirect?code=763034&amp;mavely=https://mavely.app.link/e/bhESV2wGrGb&amp;destination=https%3A%2F%2Fwww.kohls.com%2Fsearch.jsp%3Fsubmit-search%3Dweb-regular%26search%3D49813144", "Retail Link")</f>
        <v>Retail Link</v>
      </c>
      <c r="J40" s="14" t="s">
        <v>6848</v>
      </c>
      <c r="K40" s="13" t="s">
        <v>6855</v>
      </c>
      <c r="L40" s="15">
        <v>14.576000000000001</v>
      </c>
      <c r="M40" s="15">
        <v>69.569999999999993</v>
      </c>
      <c r="N40" s="15">
        <v>38.418499999999987</v>
      </c>
      <c r="O40" s="15">
        <f>V40-M40</f>
        <v>9.8600000000000136</v>
      </c>
      <c r="P40" s="16">
        <f>N40/L40</f>
        <v>2.6357368276619089</v>
      </c>
      <c r="Q40" s="14">
        <v>1242702</v>
      </c>
      <c r="R40" s="14"/>
      <c r="S40" s="17">
        <v>0.50044874000000006</v>
      </c>
      <c r="T40" s="15">
        <v>67.81</v>
      </c>
      <c r="U40" s="15">
        <v>78.88</v>
      </c>
      <c r="V40" s="15">
        <v>79.430000000000007</v>
      </c>
      <c r="W40" s="14" t="s">
        <v>53</v>
      </c>
      <c r="X40" s="14">
        <v>4</v>
      </c>
      <c r="Y40" s="10">
        <f>AC40-AB40</f>
        <v>7</v>
      </c>
      <c r="Z40" s="18">
        <v>5</v>
      </c>
      <c r="AA40" s="18">
        <v>16</v>
      </c>
      <c r="AB40" s="18">
        <v>0</v>
      </c>
      <c r="AC40" s="18">
        <v>7</v>
      </c>
      <c r="AD40" s="1" t="s">
        <v>6856</v>
      </c>
      <c r="AE40" s="1" t="s">
        <v>6857</v>
      </c>
      <c r="AF40" s="4">
        <v>11.83</v>
      </c>
      <c r="AG40" s="4">
        <v>6.14</v>
      </c>
    </row>
    <row r="41" spans="1:33" ht="47.25" customHeight="1" x14ac:dyDescent="0.25">
      <c r="A41" s="10" t="s">
        <v>469</v>
      </c>
      <c r="B41" s="11" t="s">
        <v>33</v>
      </c>
      <c r="C41" s="12" t="s">
        <v>470</v>
      </c>
      <c r="D41" s="27"/>
      <c r="E41" s="14" t="s">
        <v>35</v>
      </c>
      <c r="F41" s="11" t="str">
        <f>HYPERLINK("https://redirect.sdcdeals.com/redirect?destination=https%3A%2F%2Fwww.amazon.com%2Fdp%2FB0BMGT4QY4%3Fth%3D1%26psc%3D1%26tag%3Dsdcdeals03-20", "Amazon Link")</f>
        <v>Amazon Link</v>
      </c>
      <c r="G41" s="11" t="s">
        <v>36</v>
      </c>
      <c r="H41" s="14" t="s">
        <v>471</v>
      </c>
      <c r="I41" s="11" t="str">
        <f>HYPERLINK("https://redirect.sdcdeals.com/redirect?code=763034&amp;mavely=https://mavely.app.link/e/bhESV2wGrGb&amp;destination=https%3A%2F%2Fwww.kohls.com%2Fsearch.jsp%3Fsubmit-search%3Dweb-regular%26search%3D73180795", "Retail Link")</f>
        <v>Retail Link</v>
      </c>
      <c r="J41" s="14" t="s">
        <v>472</v>
      </c>
      <c r="K41" s="13" t="s">
        <v>473</v>
      </c>
      <c r="L41" s="15">
        <v>8</v>
      </c>
      <c r="M41" s="15">
        <v>41</v>
      </c>
      <c r="N41" s="15">
        <v>20.95</v>
      </c>
      <c r="O41" s="15">
        <f>V41-M41</f>
        <v>-24.94</v>
      </c>
      <c r="P41" s="16">
        <f>N41/L41</f>
        <v>2.6187499999999999</v>
      </c>
      <c r="Q41" s="14">
        <v>1424887</v>
      </c>
      <c r="R41" s="14"/>
      <c r="S41" s="17">
        <v>0.29100984000000002</v>
      </c>
      <c r="T41" s="15">
        <v>41</v>
      </c>
      <c r="U41" s="15"/>
      <c r="V41" s="15">
        <v>16.059999999999999</v>
      </c>
      <c r="W41" s="14" t="s">
        <v>330</v>
      </c>
      <c r="X41" s="14">
        <v>1</v>
      </c>
      <c r="Y41" s="10">
        <f>AC41-AB41</f>
        <v>1</v>
      </c>
      <c r="Z41" s="18">
        <v>2</v>
      </c>
      <c r="AA41" s="18">
        <v>9</v>
      </c>
      <c r="AB41" s="18">
        <v>0</v>
      </c>
      <c r="AC41" s="18">
        <v>1</v>
      </c>
      <c r="AD41" s="1" t="s">
        <v>474</v>
      </c>
      <c r="AE41" s="1" t="s">
        <v>76</v>
      </c>
      <c r="AG41" s="4">
        <v>5.9</v>
      </c>
    </row>
    <row r="42" spans="1:33" ht="47.25" customHeight="1" x14ac:dyDescent="0.25">
      <c r="A42" s="10" t="s">
        <v>1098</v>
      </c>
      <c r="B42" s="11" t="s">
        <v>33</v>
      </c>
      <c r="C42" s="12" t="s">
        <v>1099</v>
      </c>
      <c r="D42" s="27"/>
      <c r="E42" s="14" t="s">
        <v>35</v>
      </c>
      <c r="F42" s="11" t="str">
        <f>HYPERLINK("https://redirect.sdcdeals.com/redirect?destination=https%3A%2F%2Fwww.amazon.com%2Fdp%2FB09TCGMQMK%3Fth%3D1%26psc%3D1%26tag%3Dsdcdeals03-20", "Amazon Link")</f>
        <v>Amazon Link</v>
      </c>
      <c r="G42" s="11" t="s">
        <v>36</v>
      </c>
      <c r="H42" s="14" t="s">
        <v>1100</v>
      </c>
      <c r="I42" s="11" t="str">
        <f>HYPERLINK("https://redirect.sdcdeals.com/redirect?code=763034&amp;mavely=https://mavely.app.link/e/bhESV2wGrGb&amp;destination=https%3A%2F%2Fwww.kohls.com%2Fsearch.jsp%3Fsubmit-search%3Dweb-regular%26search%3D50675705", "Retail Link")</f>
        <v>Retail Link</v>
      </c>
      <c r="J42" s="14" t="s">
        <v>1101</v>
      </c>
      <c r="K42" s="13" t="s">
        <v>1102</v>
      </c>
      <c r="L42" s="15">
        <v>6.3920000000000003</v>
      </c>
      <c r="M42" s="15">
        <v>39.99</v>
      </c>
      <c r="N42" s="15">
        <v>16.609500000000001</v>
      </c>
      <c r="O42" s="15">
        <f>V42-M42</f>
        <v>0</v>
      </c>
      <c r="P42" s="16">
        <f>N42/L42</f>
        <v>2.5984824780976221</v>
      </c>
      <c r="Q42" s="14">
        <v>416476</v>
      </c>
      <c r="R42" s="14"/>
      <c r="S42" s="17"/>
      <c r="T42" s="15"/>
      <c r="U42" s="15">
        <v>39.99</v>
      </c>
      <c r="V42" s="15">
        <v>39.99</v>
      </c>
      <c r="W42" s="14" t="s">
        <v>875</v>
      </c>
      <c r="X42" s="14">
        <v>1</v>
      </c>
      <c r="Y42" s="10">
        <f>AC42-AB42</f>
        <v>2</v>
      </c>
      <c r="Z42" s="18">
        <v>0</v>
      </c>
      <c r="AA42" s="18">
        <v>7</v>
      </c>
      <c r="AB42" s="18"/>
      <c r="AC42" s="18">
        <v>2</v>
      </c>
      <c r="AG42" s="4">
        <v>10.99</v>
      </c>
    </row>
    <row r="43" spans="1:33" ht="47.25" customHeight="1" x14ac:dyDescent="0.25">
      <c r="A43" s="10" t="s">
        <v>1161</v>
      </c>
      <c r="B43" s="11" t="s">
        <v>33</v>
      </c>
      <c r="C43" s="12" t="s">
        <v>1162</v>
      </c>
      <c r="D43" s="27"/>
      <c r="E43" s="14" t="s">
        <v>35</v>
      </c>
      <c r="F43" s="11" t="str">
        <f>HYPERLINK("https://redirect.sdcdeals.com/redirect?destination=https%3A%2F%2Fwww.amazon.com%2Fdp%2FB0BF2VJTTB%3Fth%3D1%26psc%3D1%26tag%3Dsdcdeals03-20", "Amazon Link")</f>
        <v>Amazon Link</v>
      </c>
      <c r="G43" s="11" t="s">
        <v>36</v>
      </c>
      <c r="H43" s="14" t="s">
        <v>1163</v>
      </c>
      <c r="I43" s="11" t="str">
        <f>HYPERLINK("https://redirect.sdcdeals.com/redirect?code=763034&amp;mavely=https://mavely.app.link/e/bhESV2wGrGb&amp;destination=https%3A%2F%2Fwww.kohls.com%2Fsearch.jsp%3Fsubmit-search%3Dweb-regular%26search%3D63445349", "Retail Link")</f>
        <v>Retail Link</v>
      </c>
      <c r="J43" s="14" t="s">
        <v>1154</v>
      </c>
      <c r="K43" s="13" t="s">
        <v>1164</v>
      </c>
      <c r="L43" s="15">
        <v>13.2</v>
      </c>
      <c r="M43" s="15">
        <v>64.42</v>
      </c>
      <c r="N43" s="15">
        <v>34.156999999999996</v>
      </c>
      <c r="O43" s="15">
        <f>V43-M43</f>
        <v>-14.340000000000003</v>
      </c>
      <c r="P43" s="16">
        <f>N43/L43</f>
        <v>2.5876515151515149</v>
      </c>
      <c r="Q43" s="14">
        <v>1139559</v>
      </c>
      <c r="R43" s="14"/>
      <c r="S43" s="17">
        <v>0.50706260000000003</v>
      </c>
      <c r="T43" s="15">
        <v>64.42</v>
      </c>
      <c r="U43" s="15">
        <v>50.76</v>
      </c>
      <c r="V43" s="15">
        <v>50.08</v>
      </c>
      <c r="W43" s="14" t="s">
        <v>53</v>
      </c>
      <c r="X43" s="14">
        <v>2</v>
      </c>
      <c r="Y43" s="10">
        <f>AC43-AB43</f>
        <v>13</v>
      </c>
      <c r="Z43" s="18">
        <v>6</v>
      </c>
      <c r="AA43" s="18">
        <v>10</v>
      </c>
      <c r="AB43" s="18">
        <v>0</v>
      </c>
      <c r="AC43" s="18">
        <v>13</v>
      </c>
      <c r="AE43" s="1" t="s">
        <v>1156</v>
      </c>
      <c r="AG43" s="4">
        <v>7.4</v>
      </c>
    </row>
    <row r="44" spans="1:33" ht="47.25" customHeight="1" x14ac:dyDescent="0.25">
      <c r="A44" s="10" t="s">
        <v>2531</v>
      </c>
      <c r="B44" s="11" t="s">
        <v>33</v>
      </c>
      <c r="C44" s="12" t="s">
        <v>2532</v>
      </c>
      <c r="D44" s="27"/>
      <c r="E44" s="14" t="s">
        <v>35</v>
      </c>
      <c r="F44" s="11" t="str">
        <f>HYPERLINK("https://redirect.sdcdeals.com/redirect?destination=https%3A%2F%2Fwww.amazon.com%2Fdp%2FB0C8839P2R%3Fth%3D1%26psc%3D1%26tag%3Dsdcdeals03-20", "Amazon Link")</f>
        <v>Amazon Link</v>
      </c>
      <c r="G44" s="11" t="s">
        <v>36</v>
      </c>
      <c r="H44" s="14" t="s">
        <v>2533</v>
      </c>
      <c r="I44" s="11" t="str">
        <f>HYPERLINK("https://redirect.sdcdeals.com/redirect?code=763034&amp;mavely=https://mavely.app.link/e/bhESV2wGrGb&amp;destination=https%3A%2F%2Fwww.kohls.com%2Fsearch.jsp%3Fsubmit-search%3Dweb-regular%26search%3D29813469", "Retail Link")</f>
        <v>Retail Link</v>
      </c>
      <c r="J44" s="14" t="s">
        <v>2515</v>
      </c>
      <c r="K44" s="13" t="s">
        <v>2534</v>
      </c>
      <c r="L44" s="15">
        <v>7.6959999999999997</v>
      </c>
      <c r="M44" s="15">
        <v>39.99</v>
      </c>
      <c r="N44" s="15">
        <v>18.865500000000001</v>
      </c>
      <c r="O44" s="15">
        <f>V44-M44</f>
        <v>-13.680000000000003</v>
      </c>
      <c r="P44" s="16">
        <f>N44/L44</f>
        <v>2.4513383575883578</v>
      </c>
      <c r="Q44" s="14">
        <v>184803</v>
      </c>
      <c r="R44" s="14"/>
      <c r="S44" s="17">
        <v>1.21033638</v>
      </c>
      <c r="T44" s="15">
        <v>39.99</v>
      </c>
      <c r="U44" s="15">
        <v>18.760000000000002</v>
      </c>
      <c r="V44" s="15">
        <v>26.31</v>
      </c>
      <c r="W44" s="14" t="s">
        <v>2535</v>
      </c>
      <c r="X44" s="14">
        <v>2</v>
      </c>
      <c r="Y44" s="10">
        <f>AC44-AB44</f>
        <v>211</v>
      </c>
      <c r="Z44" s="18">
        <v>20</v>
      </c>
      <c r="AA44" s="18">
        <v>38</v>
      </c>
      <c r="AB44" s="18">
        <v>8</v>
      </c>
      <c r="AC44" s="18">
        <v>219</v>
      </c>
      <c r="AD44" s="1" t="s">
        <v>2536</v>
      </c>
      <c r="AE44" s="1" t="s">
        <v>235</v>
      </c>
      <c r="AG44" s="4">
        <v>7.43</v>
      </c>
    </row>
    <row r="45" spans="1:33" ht="47.25" hidden="1" customHeight="1" x14ac:dyDescent="0.25">
      <c r="A45" s="10" t="s">
        <v>5860</v>
      </c>
      <c r="B45" s="11" t="s">
        <v>33</v>
      </c>
      <c r="C45" s="12" t="s">
        <v>5861</v>
      </c>
      <c r="D45" s="27"/>
      <c r="E45" s="14" t="s">
        <v>35</v>
      </c>
      <c r="F45" s="11" t="str">
        <f>HYPERLINK("https://redirect.sdcdeals.com/redirect?destination=https%3A%2F%2Fwww.amazon.com%2Fdp%2FB0CL5RCQRZ%3Fth%3D1%26psc%3D1%26tag%3Dsdcdeals03-20", "Amazon Link")</f>
        <v>Amazon Link</v>
      </c>
      <c r="G45" s="11" t="s">
        <v>36</v>
      </c>
      <c r="H45" s="14" t="s">
        <v>5862</v>
      </c>
      <c r="I45" s="11" t="str">
        <f>HYPERLINK("https://redirect.sdcdeals.com/redirect?code=763034&amp;mavely=https://mavely.app.link/e/bhESV2wGrGb&amp;destination=https%3A%2F%2Fwww.kohls.com%2Fsearch.jsp%3Fsubmit-search%3Dweb-regular%26search%3D37530979", "Retail Link")</f>
        <v>Retail Link</v>
      </c>
      <c r="J45" s="14" t="s">
        <v>5841</v>
      </c>
      <c r="K45" s="13" t="s">
        <v>5863</v>
      </c>
      <c r="L45" s="15">
        <v>6.8000000000000007</v>
      </c>
      <c r="M45" s="15">
        <v>32.47</v>
      </c>
      <c r="N45" s="15">
        <v>16.1295</v>
      </c>
      <c r="O45" s="15">
        <f>V45-M45</f>
        <v>0</v>
      </c>
      <c r="P45" s="16">
        <f>N45/L45</f>
        <v>2.3719852941176467</v>
      </c>
      <c r="Q45" s="14"/>
      <c r="R45" s="14"/>
      <c r="S45" s="17">
        <v>0.56217810000000001</v>
      </c>
      <c r="T45" s="15"/>
      <c r="U45" s="15"/>
      <c r="V45" s="15">
        <v>32.47</v>
      </c>
      <c r="W45" s="14" t="s">
        <v>316</v>
      </c>
      <c r="X45" s="14">
        <v>1</v>
      </c>
      <c r="Y45" s="10">
        <f>AC45-AB45</f>
        <v>0</v>
      </c>
      <c r="Z45" s="18">
        <v>0</v>
      </c>
      <c r="AA45" s="18">
        <v>0</v>
      </c>
      <c r="AB45" s="18">
        <v>0</v>
      </c>
      <c r="AC45" s="18"/>
      <c r="AE45" s="1" t="s">
        <v>5843</v>
      </c>
      <c r="AG45" s="4">
        <v>4.67</v>
      </c>
    </row>
    <row r="46" spans="1:33" ht="47.25" hidden="1" customHeight="1" x14ac:dyDescent="0.25">
      <c r="A46" s="10" t="s">
        <v>6239</v>
      </c>
      <c r="B46" s="11" t="s">
        <v>33</v>
      </c>
      <c r="C46" s="12" t="s">
        <v>6240</v>
      </c>
      <c r="D46" s="27"/>
      <c r="E46" s="14" t="s">
        <v>35</v>
      </c>
      <c r="F46" s="11" t="str">
        <f>HYPERLINK("https://redirect.sdcdeals.com/redirect?destination=https%3A%2F%2Fwww.amazon.com%2Fdp%2FB0CL5LQ9WM%3Fth%3D1%26psc%3D1%26tag%3Dsdcdeals03-20", "Amazon Link")</f>
        <v>Amazon Link</v>
      </c>
      <c r="G46" s="11" t="s">
        <v>36</v>
      </c>
      <c r="H46" s="14" t="s">
        <v>6241</v>
      </c>
      <c r="I46" s="11" t="str">
        <f>HYPERLINK("https://redirect.sdcdeals.com/redirect?code=763034&amp;mavely=https://mavely.app.link/e/bhESV2wGrGb&amp;destination=https%3A%2F%2Fwww.kohls.com%2Fsearch.jsp%3Fsubmit-search%3Dweb-regular%26search%3D78299448", "Retail Link")</f>
        <v>Retail Link</v>
      </c>
      <c r="J46" s="14" t="s">
        <v>6242</v>
      </c>
      <c r="K46" s="13" t="s">
        <v>6243</v>
      </c>
      <c r="L46" s="15">
        <v>7.6000000000000014</v>
      </c>
      <c r="M46" s="15">
        <v>38</v>
      </c>
      <c r="N46" s="15">
        <v>17.89</v>
      </c>
      <c r="O46" s="15">
        <f>V46-M46</f>
        <v>-5.4099999999999966</v>
      </c>
      <c r="P46" s="16">
        <f>N46/L46</f>
        <v>2.3539473684210521</v>
      </c>
      <c r="Q46" s="14"/>
      <c r="R46" s="14"/>
      <c r="S46" s="17">
        <v>2.7800258200000001</v>
      </c>
      <c r="T46" s="15">
        <v>38</v>
      </c>
      <c r="U46" s="15"/>
      <c r="V46" s="15">
        <v>32.590000000000003</v>
      </c>
      <c r="W46" s="14" t="s">
        <v>2804</v>
      </c>
      <c r="X46" s="14">
        <v>1</v>
      </c>
      <c r="Y46" s="10">
        <f>AC46-AB46</f>
        <v>0</v>
      </c>
      <c r="Z46" s="18">
        <v>0</v>
      </c>
      <c r="AA46" s="18">
        <v>36</v>
      </c>
      <c r="AB46" s="18">
        <v>0</v>
      </c>
      <c r="AC46" s="18"/>
      <c r="AG46" s="4">
        <v>6.81</v>
      </c>
    </row>
    <row r="47" spans="1:33" ht="47.25" customHeight="1" x14ac:dyDescent="0.25">
      <c r="A47" s="10" t="s">
        <v>3928</v>
      </c>
      <c r="B47" s="11" t="s">
        <v>33</v>
      </c>
      <c r="C47" s="12" t="s">
        <v>3929</v>
      </c>
      <c r="D47" s="27"/>
      <c r="E47" s="14" t="s">
        <v>35</v>
      </c>
      <c r="F47" s="11" t="str">
        <f>HYPERLINK("https://redirect.sdcdeals.com/redirect?destination=https%3A%2F%2Fwww.amazon.com%2Fdp%2FB0C42VG64D%3Fth%3D1%26psc%3D1%26tag%3Dsdcdeals03-20", "Amazon Link")</f>
        <v>Amazon Link</v>
      </c>
      <c r="G47" s="11" t="s">
        <v>36</v>
      </c>
      <c r="H47" s="14" t="s">
        <v>3930</v>
      </c>
      <c r="I47" s="11" t="str">
        <f>HYPERLINK("https://redirect.sdcdeals.com/redirect?code=763034&amp;mavely=https://mavely.app.link/e/bhESV2wGrGb&amp;destination=https%3A%2F%2Fwww.kohls.com%2Fsearch.jsp%3Fsubmit-search%3Dweb-regular%26search%3D44163985", "Retail Link")</f>
        <v>Retail Link</v>
      </c>
      <c r="J47" s="14" t="s">
        <v>3931</v>
      </c>
      <c r="K47" s="13" t="s">
        <v>3932</v>
      </c>
      <c r="L47" s="15">
        <v>18</v>
      </c>
      <c r="M47" s="15">
        <v>75</v>
      </c>
      <c r="N47" s="15">
        <v>42.33</v>
      </c>
      <c r="O47" s="15">
        <f>V47-M47</f>
        <v>-9.8100000000000023</v>
      </c>
      <c r="P47" s="16">
        <f>N47/L47</f>
        <v>2.3516666666666666</v>
      </c>
      <c r="Q47" s="14">
        <v>5960518</v>
      </c>
      <c r="R47" s="14"/>
      <c r="S47" s="17">
        <v>0.48722102</v>
      </c>
      <c r="T47" s="15">
        <v>75</v>
      </c>
      <c r="U47" s="15">
        <v>66.010000000000005</v>
      </c>
      <c r="V47" s="15">
        <v>65.19</v>
      </c>
      <c r="W47" s="14" t="s">
        <v>576</v>
      </c>
      <c r="X47" s="14">
        <v>1</v>
      </c>
      <c r="Y47" s="10">
        <f>AC47-AB47</f>
        <v>0</v>
      </c>
      <c r="Z47" s="18">
        <v>0</v>
      </c>
      <c r="AA47" s="18">
        <v>1</v>
      </c>
      <c r="AB47" s="18">
        <v>0</v>
      </c>
      <c r="AC47" s="18"/>
      <c r="AD47" s="1" t="s">
        <v>3933</v>
      </c>
      <c r="AE47" s="1" t="s">
        <v>1490</v>
      </c>
      <c r="AF47" s="4">
        <v>12.75</v>
      </c>
      <c r="AG47" s="4">
        <v>3.42</v>
      </c>
    </row>
    <row r="48" spans="1:33" ht="47.25" hidden="1" customHeight="1" x14ac:dyDescent="0.25">
      <c r="A48" s="10" t="s">
        <v>4966</v>
      </c>
      <c r="B48" s="11" t="s">
        <v>33</v>
      </c>
      <c r="C48" s="12" t="s">
        <v>4967</v>
      </c>
      <c r="D48" s="27"/>
      <c r="E48" s="14" t="s">
        <v>35</v>
      </c>
      <c r="F48" s="11" t="str">
        <f>HYPERLINK("https://redirect.sdcdeals.com/redirect?destination=https%3A%2F%2Fwww.amazon.com%2Fdp%2FB0D2JG7ZBL%3Fth%3D1%26psc%3D1%26tag%3Dsdcdeals03-20", "Amazon Link")</f>
        <v>Amazon Link</v>
      </c>
      <c r="G48" s="11" t="s">
        <v>36</v>
      </c>
      <c r="H48" s="14" t="s">
        <v>4968</v>
      </c>
      <c r="I48" s="11" t="str">
        <f>HYPERLINK("https://redirect.sdcdeals.com/redirect?code=763034&amp;mavely=https://mavely.app.link/e/bhESV2wGrGb&amp;destination=https%3A%2F%2Fwww.kohls.com%2Fsearch.jsp%3Fsubmit-search%3Dweb-regular%26search%3D58310625", "Retail Link")</f>
        <v>Retail Link</v>
      </c>
      <c r="J48" s="14" t="s">
        <v>4969</v>
      </c>
      <c r="K48" s="13" t="s">
        <v>4970</v>
      </c>
      <c r="L48" s="15">
        <v>5.6000000000000014</v>
      </c>
      <c r="M48" s="15">
        <v>28</v>
      </c>
      <c r="N48" s="15">
        <v>13.08</v>
      </c>
      <c r="O48" s="15">
        <f>V48-M48</f>
        <v>0</v>
      </c>
      <c r="P48" s="16">
        <f>N48/L48</f>
        <v>2.335714285714285</v>
      </c>
      <c r="Q48" s="14"/>
      <c r="R48" s="14"/>
      <c r="S48" s="17"/>
      <c r="T48" s="15">
        <v>28</v>
      </c>
      <c r="U48" s="15">
        <v>28</v>
      </c>
      <c r="V48" s="15">
        <v>28</v>
      </c>
      <c r="W48" s="14" t="s">
        <v>4971</v>
      </c>
      <c r="X48" s="14">
        <v>1</v>
      </c>
      <c r="Y48" s="10">
        <f>AC48-AB48</f>
        <v>0</v>
      </c>
      <c r="Z48" s="18">
        <v>-1</v>
      </c>
      <c r="AA48" s="18">
        <v>-1</v>
      </c>
      <c r="AB48" s="18"/>
      <c r="AC48" s="18"/>
      <c r="AF48" s="4">
        <v>4.76</v>
      </c>
      <c r="AG48" s="4">
        <v>5.12</v>
      </c>
    </row>
    <row r="49" spans="1:33" ht="47.25" hidden="1" customHeight="1" x14ac:dyDescent="0.25">
      <c r="A49" s="10" t="s">
        <v>6424</v>
      </c>
      <c r="B49" s="11" t="s">
        <v>33</v>
      </c>
      <c r="C49" s="12" t="s">
        <v>6425</v>
      </c>
      <c r="D49" s="27"/>
      <c r="E49" s="14" t="s">
        <v>35</v>
      </c>
      <c r="F49" s="11" t="str">
        <f>HYPERLINK("https://redirect.sdcdeals.com/redirect?destination=https%3A%2F%2Fwww.amazon.com%2Fdp%2FB0CKCXH82T%3Fth%3D1%26psc%3D1%26tag%3Dsdcdeals03-20", "Amazon Link")</f>
        <v>Amazon Link</v>
      </c>
      <c r="G49" s="11" t="s">
        <v>36</v>
      </c>
      <c r="H49" s="14" t="s">
        <v>6426</v>
      </c>
      <c r="I49" s="11" t="str">
        <f>HYPERLINK("https://redirect.sdcdeals.com/redirect?code=763034&amp;mavely=https://mavely.app.link/e/bhESV2wGrGb&amp;destination=https%3A%2F%2Fwww.kohls.com%2Fsearch.jsp%3Fsubmit-search%3Dweb-regular%26search%3D55691315", "Retail Link")</f>
        <v>Retail Link</v>
      </c>
      <c r="J49" s="14" t="s">
        <v>6421</v>
      </c>
      <c r="K49" s="13" t="s">
        <v>6427</v>
      </c>
      <c r="L49" s="15">
        <v>4.8000000000000007</v>
      </c>
      <c r="M49" s="15">
        <v>24</v>
      </c>
      <c r="N49" s="15">
        <v>11.15</v>
      </c>
      <c r="O49" s="15">
        <f>V49-M49</f>
        <v>-0.32999999999999829</v>
      </c>
      <c r="P49" s="16">
        <f>N49/L49</f>
        <v>2.3229166666666665</v>
      </c>
      <c r="Q49" s="14"/>
      <c r="R49" s="14"/>
      <c r="S49" s="17">
        <v>0.50044874000000006</v>
      </c>
      <c r="T49" s="15">
        <v>24</v>
      </c>
      <c r="U49" s="15">
        <v>24</v>
      </c>
      <c r="V49" s="15">
        <v>23.67</v>
      </c>
      <c r="W49" s="14" t="s">
        <v>6428</v>
      </c>
      <c r="X49" s="14">
        <v>1</v>
      </c>
      <c r="Y49" s="10">
        <f>AC49-AB49</f>
        <v>0</v>
      </c>
      <c r="Z49" s="18">
        <v>-1</v>
      </c>
      <c r="AA49" s="18">
        <v>-1</v>
      </c>
      <c r="AB49" s="18"/>
      <c r="AC49" s="18"/>
      <c r="AE49" s="1" t="s">
        <v>6423</v>
      </c>
      <c r="AF49" s="4">
        <v>4.08</v>
      </c>
      <c r="AG49" s="4">
        <v>4.45</v>
      </c>
    </row>
    <row r="50" spans="1:33" ht="47.25" customHeight="1" x14ac:dyDescent="0.25">
      <c r="A50" s="10" t="s">
        <v>533</v>
      </c>
      <c r="B50" s="11" t="s">
        <v>33</v>
      </c>
      <c r="C50" s="12" t="s">
        <v>534</v>
      </c>
      <c r="D50" s="27"/>
      <c r="E50" s="14" t="s">
        <v>35</v>
      </c>
      <c r="F50" s="11" t="str">
        <f>HYPERLINK("https://redirect.sdcdeals.com/redirect?destination=https%3A%2F%2Fwww.amazon.com%2Fdp%2FB08CRTSKLC%3Fth%3D1%26psc%3D1%26tag%3Dsdcdeals03-20", "Amazon Link")</f>
        <v>Amazon Link</v>
      </c>
      <c r="G50" s="11" t="s">
        <v>36</v>
      </c>
      <c r="H50" s="14" t="s">
        <v>535</v>
      </c>
      <c r="I50" s="11" t="str">
        <f>HYPERLINK("https://redirect.sdcdeals.com/redirect?code=763034&amp;mavely=https://mavely.app.link/e/bhESV2wGrGb&amp;destination=https%3A%2F%2Fwww.kohls.com%2Fsearch.jsp%3Fsubmit-search%3Dweb-regular%26search%3D55125955", "Retail Link")</f>
        <v>Retail Link</v>
      </c>
      <c r="J50" s="14" t="s">
        <v>536</v>
      </c>
      <c r="K50" s="13" t="s">
        <v>537</v>
      </c>
      <c r="L50" s="15">
        <v>10.992000000000001</v>
      </c>
      <c r="M50" s="15">
        <v>49.99</v>
      </c>
      <c r="N50" s="15">
        <v>25.2895</v>
      </c>
      <c r="O50" s="15">
        <f>V50-M50</f>
        <v>-19.910000000000004</v>
      </c>
      <c r="P50" s="16">
        <f>N50/L50</f>
        <v>2.3007187045123723</v>
      </c>
      <c r="Q50" s="14">
        <v>237223</v>
      </c>
      <c r="R50" s="14"/>
      <c r="S50" s="17">
        <v>1.51898318</v>
      </c>
      <c r="T50" s="15">
        <v>49.99</v>
      </c>
      <c r="U50" s="15">
        <v>32.299999999999997</v>
      </c>
      <c r="V50" s="15">
        <v>30.08</v>
      </c>
      <c r="W50" s="14" t="s">
        <v>106</v>
      </c>
      <c r="X50" s="14">
        <v>2</v>
      </c>
      <c r="Y50" s="10">
        <f>AC50-AB50</f>
        <v>112</v>
      </c>
      <c r="Z50" s="18">
        <v>13</v>
      </c>
      <c r="AA50" s="18">
        <v>29</v>
      </c>
      <c r="AB50" s="18">
        <v>0</v>
      </c>
      <c r="AC50" s="18">
        <v>112</v>
      </c>
      <c r="AD50" s="1" t="s">
        <v>538</v>
      </c>
      <c r="AE50" s="1" t="s">
        <v>539</v>
      </c>
      <c r="AG50" s="4">
        <v>6.21</v>
      </c>
    </row>
    <row r="51" spans="1:33" ht="47.25" customHeight="1" x14ac:dyDescent="0.25">
      <c r="A51" s="10" t="s">
        <v>3934</v>
      </c>
      <c r="B51" s="11" t="s">
        <v>33</v>
      </c>
      <c r="C51" s="12" t="s">
        <v>3935</v>
      </c>
      <c r="D51" s="27"/>
      <c r="E51" s="14" t="s">
        <v>35</v>
      </c>
      <c r="F51" s="11" t="str">
        <f>HYPERLINK("https://redirect.sdcdeals.com/redirect?destination=https%3A%2F%2Fwww.amazon.com%2Fdp%2FB0C42VRXMQ%3Fth%3D1%26psc%3D1%26tag%3Dsdcdeals03-20", "Amazon Link")</f>
        <v>Amazon Link</v>
      </c>
      <c r="G51" s="11" t="s">
        <v>36</v>
      </c>
      <c r="H51" s="14" t="s">
        <v>3936</v>
      </c>
      <c r="I51" s="11" t="str">
        <f>HYPERLINK("https://redirect.sdcdeals.com/redirect?code=763034&amp;mavely=https://mavely.app.link/e/bhESV2wGrGb&amp;destination=https%3A%2F%2Fwww.kohls.com%2Fsearch.jsp%3Fsubmit-search%3Dweb-regular%26search%3D44163987", "Retail Link")</f>
        <v>Retail Link</v>
      </c>
      <c r="J51" s="14" t="s">
        <v>3931</v>
      </c>
      <c r="K51" s="13" t="s">
        <v>3937</v>
      </c>
      <c r="L51" s="15">
        <v>18</v>
      </c>
      <c r="M51" s="15">
        <v>75</v>
      </c>
      <c r="N51" s="15">
        <v>41.08</v>
      </c>
      <c r="O51" s="15">
        <f>V51-M51</f>
        <v>-7.2800000000000011</v>
      </c>
      <c r="P51" s="16">
        <f>N51/L51</f>
        <v>2.2822222222222219</v>
      </c>
      <c r="Q51" s="14">
        <v>9507039</v>
      </c>
      <c r="R51" s="14"/>
      <c r="S51" s="17">
        <v>0.54454113999999998</v>
      </c>
      <c r="T51" s="15">
        <v>75</v>
      </c>
      <c r="U51" s="15">
        <v>68.64</v>
      </c>
      <c r="V51" s="15">
        <v>67.72</v>
      </c>
      <c r="W51" s="14" t="s">
        <v>100</v>
      </c>
      <c r="X51" s="14">
        <v>1</v>
      </c>
      <c r="Y51" s="10">
        <f>AC51-AB51</f>
        <v>1</v>
      </c>
      <c r="Z51" s="18">
        <v>0</v>
      </c>
      <c r="AA51" s="18">
        <v>0</v>
      </c>
      <c r="AB51" s="18">
        <v>0</v>
      </c>
      <c r="AC51" s="18">
        <v>1</v>
      </c>
      <c r="AD51" s="1" t="s">
        <v>3938</v>
      </c>
      <c r="AE51" s="1" t="s">
        <v>1490</v>
      </c>
      <c r="AF51" s="4">
        <v>12.75</v>
      </c>
      <c r="AG51" s="4">
        <v>4.67</v>
      </c>
    </row>
    <row r="52" spans="1:33" ht="47.25" customHeight="1" x14ac:dyDescent="0.25">
      <c r="A52" s="10" t="s">
        <v>4197</v>
      </c>
      <c r="B52" s="11" t="s">
        <v>33</v>
      </c>
      <c r="C52" s="12" t="s">
        <v>4198</v>
      </c>
      <c r="D52" s="27"/>
      <c r="E52" s="14" t="s">
        <v>35</v>
      </c>
      <c r="F52" s="11" t="str">
        <f>HYPERLINK("https://redirect.sdcdeals.com/redirect?destination=https%3A%2F%2Fwww.amazon.com%2Fdp%2FB0C4T6SDV9%3Fth%3D1%26psc%3D1%26tag%3Dsdcdeals03-20", "Amazon Link")</f>
        <v>Amazon Link</v>
      </c>
      <c r="G52" s="11" t="s">
        <v>36</v>
      </c>
      <c r="H52" s="14" t="s">
        <v>4199</v>
      </c>
      <c r="I52" s="11" t="str">
        <f>HYPERLINK("https://redirect.sdcdeals.com/redirect?code=763034&amp;mavely=https://mavely.app.link/e/bhESV2wGrGb&amp;destination=https%3A%2F%2Fwww.kohls.com%2Fsearch.jsp%3Fsubmit-search%3Dweb-regular%26search%3D70352860", "Retail Link")</f>
        <v>Retail Link</v>
      </c>
      <c r="J52" s="14" t="s">
        <v>4200</v>
      </c>
      <c r="K52" s="13" t="s">
        <v>4201</v>
      </c>
      <c r="L52" s="15">
        <v>9.8960000000000008</v>
      </c>
      <c r="M52" s="15">
        <v>44.99</v>
      </c>
      <c r="N52" s="15">
        <v>22.575500000000009</v>
      </c>
      <c r="O52" s="15">
        <f>V52-M52</f>
        <v>-10.310000000000002</v>
      </c>
      <c r="P52" s="16">
        <f>N52/L52</f>
        <v>2.281275262732418</v>
      </c>
      <c r="Q52" s="14">
        <v>1492196</v>
      </c>
      <c r="R52" s="14"/>
      <c r="S52" s="17">
        <v>1.06042222</v>
      </c>
      <c r="T52" s="15">
        <v>44.99</v>
      </c>
      <c r="U52" s="15">
        <v>27.9</v>
      </c>
      <c r="V52" s="15">
        <v>34.68</v>
      </c>
      <c r="W52" s="14" t="s">
        <v>53</v>
      </c>
      <c r="X52" s="14">
        <v>1</v>
      </c>
      <c r="Y52" s="10">
        <f>AC52-AB52</f>
        <v>0</v>
      </c>
      <c r="Z52" s="18">
        <v>1</v>
      </c>
      <c r="AA52" s="18">
        <v>1</v>
      </c>
      <c r="AB52" s="18">
        <v>0</v>
      </c>
      <c r="AC52" s="18"/>
      <c r="AE52" s="1" t="s">
        <v>76</v>
      </c>
      <c r="AG52" s="4">
        <v>5.77</v>
      </c>
    </row>
    <row r="53" spans="1:33" ht="47.25" customHeight="1" x14ac:dyDescent="0.25">
      <c r="A53" s="10" t="s">
        <v>7236</v>
      </c>
      <c r="B53" s="11" t="s">
        <v>33</v>
      </c>
      <c r="C53" s="12" t="s">
        <v>7237</v>
      </c>
      <c r="D53" s="27"/>
      <c r="E53" s="14" t="s">
        <v>35</v>
      </c>
      <c r="F53" s="11" t="str">
        <f>HYPERLINK("https://redirect.sdcdeals.com/redirect?destination=https%3A%2F%2Fwww.amazon.com%2Fdp%2FB0CNB3MWSF%3Fth%3D1%26psc%3D1%26tag%3Dsdcdeals03-20", "Amazon Link")</f>
        <v>Amazon Link</v>
      </c>
      <c r="G53" s="11" t="s">
        <v>36</v>
      </c>
      <c r="H53" s="14" t="s">
        <v>7238</v>
      </c>
      <c r="I53" s="11" t="str">
        <f>HYPERLINK("https://redirect.sdcdeals.com/redirect?code=763034&amp;mavely=https://mavely.app.link/e/bhESV2wGrGb&amp;destination=https%3A%2F%2Fwww.kohls.com%2Fsearch.jsp%3Fsubmit-search%3Dweb-regular%26search%3D81948958", "Retail Link")</f>
        <v>Retail Link</v>
      </c>
      <c r="J53" s="14" t="s">
        <v>7239</v>
      </c>
      <c r="K53" s="13" t="s">
        <v>7240</v>
      </c>
      <c r="L53" s="15">
        <v>6</v>
      </c>
      <c r="M53" s="15">
        <v>29.95</v>
      </c>
      <c r="N53" s="15">
        <v>13.407500000000001</v>
      </c>
      <c r="O53" s="15">
        <f>V53-M53</f>
        <v>0.74000000000000199</v>
      </c>
      <c r="P53" s="16">
        <f>N53/L53</f>
        <v>2.2345833333333336</v>
      </c>
      <c r="Q53" s="14">
        <v>431543</v>
      </c>
      <c r="R53" s="14"/>
      <c r="S53" s="17">
        <v>0.65036289999999997</v>
      </c>
      <c r="T53" s="15">
        <v>29.95</v>
      </c>
      <c r="U53" s="15">
        <v>29.95</v>
      </c>
      <c r="V53" s="15">
        <v>30.69</v>
      </c>
      <c r="W53" s="14" t="s">
        <v>296</v>
      </c>
      <c r="X53" s="14">
        <v>2</v>
      </c>
      <c r="Y53" s="10">
        <f>AC53-AB53</f>
        <v>49</v>
      </c>
      <c r="Z53" s="18">
        <v>14</v>
      </c>
      <c r="AA53" s="18">
        <v>45</v>
      </c>
      <c r="AB53" s="18">
        <v>0</v>
      </c>
      <c r="AC53" s="18">
        <v>49</v>
      </c>
      <c r="AE53" s="1" t="s">
        <v>7241</v>
      </c>
      <c r="AF53" s="4">
        <v>5.09</v>
      </c>
      <c r="AG53" s="4">
        <v>6.05</v>
      </c>
    </row>
    <row r="54" spans="1:33" ht="47.25" customHeight="1" x14ac:dyDescent="0.25">
      <c r="A54" s="10" t="s">
        <v>6823</v>
      </c>
      <c r="B54" s="11" t="s">
        <v>33</v>
      </c>
      <c r="C54" s="12" t="s">
        <v>6824</v>
      </c>
      <c r="D54" s="27"/>
      <c r="E54" s="14" t="s">
        <v>35</v>
      </c>
      <c r="F54" s="11" t="str">
        <f>HYPERLINK("https://redirect.sdcdeals.com/redirect?destination=https%3A%2F%2Fwww.amazon.com%2Fdp%2FB09Z38R2DC%3Fth%3D1%26psc%3D1%26tag%3Dsdcdeals03-20", "Amazon Link")</f>
        <v>Amazon Link</v>
      </c>
      <c r="G54" s="11" t="s">
        <v>36</v>
      </c>
      <c r="H54" s="14" t="s">
        <v>6825</v>
      </c>
      <c r="I54" s="11" t="str">
        <f>HYPERLINK("https://redirect.sdcdeals.com/redirect?code=763034&amp;mavely=https://mavely.app.link/e/bhESV2wGrGb&amp;destination=https%3A%2F%2Fwww.kohls.com%2Fsearch.jsp%3Fsubmit-search%3Dweb-regular%26search%3D49650311", "Retail Link")</f>
        <v>Retail Link</v>
      </c>
      <c r="J54" s="14" t="s">
        <v>6821</v>
      </c>
      <c r="K54" s="13" t="s">
        <v>6826</v>
      </c>
      <c r="L54" s="15">
        <v>15.4</v>
      </c>
      <c r="M54" s="15">
        <v>65.260000000000005</v>
      </c>
      <c r="N54" s="15">
        <v>33.470999999999997</v>
      </c>
      <c r="O54" s="15">
        <f>V54-M54</f>
        <v>-23.42</v>
      </c>
      <c r="P54" s="16">
        <f>N54/L54</f>
        <v>2.1734415584415583</v>
      </c>
      <c r="Q54" s="14">
        <v>120493</v>
      </c>
      <c r="R54" s="14"/>
      <c r="S54" s="17">
        <v>0.27557749999999998</v>
      </c>
      <c r="T54" s="15">
        <v>65.260000000000005</v>
      </c>
      <c r="U54" s="15">
        <v>53.3</v>
      </c>
      <c r="V54" s="15">
        <v>41.84</v>
      </c>
      <c r="W54" s="14" t="s">
        <v>53</v>
      </c>
      <c r="X54" s="14">
        <v>2</v>
      </c>
      <c r="Y54" s="10">
        <f>AC54-AB54</f>
        <v>163</v>
      </c>
      <c r="Z54" s="18">
        <v>26</v>
      </c>
      <c r="AA54" s="18">
        <v>59</v>
      </c>
      <c r="AB54" s="18">
        <v>1</v>
      </c>
      <c r="AC54" s="18">
        <v>164</v>
      </c>
      <c r="AD54" s="1" t="s">
        <v>1222</v>
      </c>
      <c r="AE54" s="1" t="s">
        <v>1406</v>
      </c>
      <c r="AG54" s="4">
        <v>6.6</v>
      </c>
    </row>
    <row r="55" spans="1:33" ht="47.25" customHeight="1" x14ac:dyDescent="0.25">
      <c r="A55" s="10" t="s">
        <v>84</v>
      </c>
      <c r="B55" s="11" t="s">
        <v>33</v>
      </c>
      <c r="C55" s="12" t="s">
        <v>85</v>
      </c>
      <c r="D55" s="27"/>
      <c r="E55" s="14" t="s">
        <v>35</v>
      </c>
      <c r="F55" s="11" t="str">
        <f>HYPERLINK("https://redirect.sdcdeals.com/redirect?destination=https%3A%2F%2Fwww.amazon.com%2Fdp%2FB08NV3VRRF%3Fth%3D1%26psc%3D1%26tag%3Dsdcdeals03-20", "Amazon Link")</f>
        <v>Amazon Link</v>
      </c>
      <c r="G55" s="11" t="s">
        <v>36</v>
      </c>
      <c r="H55" s="14" t="s">
        <v>86</v>
      </c>
      <c r="I55" s="11" t="str">
        <f>HYPERLINK("https://redirect.sdcdeals.com/redirect?code=763034&amp;mavely=https://mavely.app.link/e/bhESV2wGrGb&amp;destination=https%3A%2F%2Fwww.kohls.com%2Fsearch.jsp%3Fsubmit-search%3Dweb-regular%26search%3D58046464", "Retail Link")</f>
        <v>Retail Link</v>
      </c>
      <c r="J55" s="14" t="s">
        <v>80</v>
      </c>
      <c r="K55" s="13" t="s">
        <v>87</v>
      </c>
      <c r="L55" s="15">
        <v>13.896000000000001</v>
      </c>
      <c r="M55" s="15">
        <v>59.99</v>
      </c>
      <c r="N55" s="15">
        <v>30.015499999999999</v>
      </c>
      <c r="O55" s="15">
        <f>V55-M55</f>
        <v>-20.690000000000005</v>
      </c>
      <c r="P55" s="16">
        <f>N55/L55</f>
        <v>2.1600100748416811</v>
      </c>
      <c r="Q55" s="14">
        <v>18757</v>
      </c>
      <c r="R55" s="14"/>
      <c r="S55" s="17">
        <v>1.0471945</v>
      </c>
      <c r="T55" s="15">
        <v>59.99</v>
      </c>
      <c r="U55" s="15">
        <v>38.89</v>
      </c>
      <c r="V55" s="15">
        <v>39.299999999999997</v>
      </c>
      <c r="W55" s="14" t="s">
        <v>88</v>
      </c>
      <c r="X55" s="14">
        <v>1</v>
      </c>
      <c r="Y55" s="10">
        <f>AC55-AB55</f>
        <v>8090</v>
      </c>
      <c r="Z55" s="18">
        <v>36</v>
      </c>
      <c r="AA55" s="18">
        <v>126</v>
      </c>
      <c r="AB55" s="18">
        <v>2</v>
      </c>
      <c r="AC55" s="18">
        <v>8092</v>
      </c>
      <c r="AD55" s="1" t="s">
        <v>89</v>
      </c>
      <c r="AE55" s="1" t="s">
        <v>90</v>
      </c>
      <c r="AF55" s="4">
        <v>10.199999999999999</v>
      </c>
      <c r="AG55" s="4">
        <v>7.08</v>
      </c>
    </row>
    <row r="56" spans="1:33" ht="47.25" hidden="1" customHeight="1" x14ac:dyDescent="0.25">
      <c r="A56" s="10" t="s">
        <v>6792</v>
      </c>
      <c r="B56" s="11" t="s">
        <v>33</v>
      </c>
      <c r="C56" s="12" t="s">
        <v>6793</v>
      </c>
      <c r="D56" s="27"/>
      <c r="E56" s="14" t="s">
        <v>35</v>
      </c>
      <c r="F56" s="11" t="str">
        <f>HYPERLINK("https://redirect.sdcdeals.com/redirect?destination=https%3A%2F%2Fwww.amazon.com%2Fdp%2FB0CLS9W5K8%3Fth%3D1%26psc%3D1%26tag%3Dsdcdeals03-20", "Amazon Link")</f>
        <v>Amazon Link</v>
      </c>
      <c r="G56" s="11" t="s">
        <v>36</v>
      </c>
      <c r="H56" s="14" t="s">
        <v>6794</v>
      </c>
      <c r="I56" s="11" t="str">
        <f>HYPERLINK("https://redirect.sdcdeals.com/redirect?code=763034&amp;mavely=https://mavely.app.link/e/bhESV2wGrGb&amp;destination=https%3A%2F%2Fwww.kohls.com%2Fsearch.jsp%3Fsubmit-search%3Dweb-regular%26search%3D65832975", "Retail Link")</f>
        <v>Retail Link</v>
      </c>
      <c r="J56" s="14" t="s">
        <v>6795</v>
      </c>
      <c r="K56" s="13" t="s">
        <v>6796</v>
      </c>
      <c r="L56" s="15">
        <v>7.2</v>
      </c>
      <c r="M56" s="15">
        <v>32</v>
      </c>
      <c r="N56" s="15">
        <v>15.55</v>
      </c>
      <c r="O56" s="15">
        <f>V56-M56</f>
        <v>1.6599999999999966</v>
      </c>
      <c r="P56" s="16">
        <f>N56/L56</f>
        <v>2.1597222222222223</v>
      </c>
      <c r="Q56" s="14"/>
      <c r="R56" s="14"/>
      <c r="S56" s="17">
        <v>0.28660059999999998</v>
      </c>
      <c r="T56" s="15">
        <v>32</v>
      </c>
      <c r="U56" s="15">
        <v>33.659999999999997</v>
      </c>
      <c r="V56" s="15">
        <v>33.659999999999997</v>
      </c>
      <c r="W56" s="14" t="s">
        <v>1134</v>
      </c>
      <c r="X56" s="14">
        <v>3</v>
      </c>
      <c r="Y56" s="10">
        <f>AC56-AB56</f>
        <v>0</v>
      </c>
      <c r="Z56" s="18">
        <v>-1</v>
      </c>
      <c r="AA56" s="18">
        <v>-1</v>
      </c>
      <c r="AB56" s="18"/>
      <c r="AC56" s="18"/>
      <c r="AD56" s="1" t="s">
        <v>6797</v>
      </c>
      <c r="AE56" s="1" t="s">
        <v>6798</v>
      </c>
      <c r="AF56" s="4">
        <v>5.44</v>
      </c>
      <c r="AG56" s="4">
        <v>4.45</v>
      </c>
    </row>
    <row r="57" spans="1:33" ht="47.25" hidden="1" customHeight="1" x14ac:dyDescent="0.25">
      <c r="A57" s="10" t="s">
        <v>405</v>
      </c>
      <c r="B57" s="11" t="s">
        <v>33</v>
      </c>
      <c r="C57" s="12" t="s">
        <v>406</v>
      </c>
      <c r="D57" s="27"/>
      <c r="E57" s="14" t="s">
        <v>35</v>
      </c>
      <c r="F57" s="11" t="str">
        <f>HYPERLINK("https://redirect.sdcdeals.com/redirect?destination=https%3A%2F%2Fwww.amazon.com%2Fdp%2FB0CLZ3S37R%3Fth%3D1%26psc%3D1%26tag%3Dsdcdeals03-20", "Amazon Link")</f>
        <v>Amazon Link</v>
      </c>
      <c r="G57" s="11" t="s">
        <v>36</v>
      </c>
      <c r="H57" s="14" t="s">
        <v>407</v>
      </c>
      <c r="I57" s="11" t="str">
        <f>HYPERLINK("https://redirect.sdcdeals.com/redirect?code=763034&amp;mavely=https://mavely.app.link/e/bhESV2wGrGb&amp;destination=https%3A%2F%2Fwww.kohls.com%2Fsearch.jsp%3Fsubmit-search%3Dweb-regular%26search%3D76398119", "Retail Link")</f>
        <v>Retail Link</v>
      </c>
      <c r="J57" s="14" t="s">
        <v>408</v>
      </c>
      <c r="K57" s="13" t="s">
        <v>409</v>
      </c>
      <c r="L57" s="15">
        <v>4.8000000000000007</v>
      </c>
      <c r="M57" s="15">
        <v>23.04</v>
      </c>
      <c r="N57" s="15">
        <v>10.334</v>
      </c>
      <c r="O57" s="15">
        <f>V57-M57</f>
        <v>0</v>
      </c>
      <c r="P57" s="16">
        <f>N57/L57</f>
        <v>2.1529166666666661</v>
      </c>
      <c r="Q57" s="14"/>
      <c r="R57" s="14"/>
      <c r="S57" s="17">
        <v>0.50044874000000006</v>
      </c>
      <c r="T57" s="15"/>
      <c r="U57" s="15"/>
      <c r="V57" s="15">
        <v>23.04</v>
      </c>
      <c r="W57" s="14" t="s">
        <v>164</v>
      </c>
      <c r="X57" s="14">
        <v>1</v>
      </c>
      <c r="Y57" s="10">
        <f>AC57-AB57</f>
        <v>0</v>
      </c>
      <c r="Z57" s="18">
        <v>0</v>
      </c>
      <c r="AA57" s="18">
        <v>0</v>
      </c>
      <c r="AB57" s="18"/>
      <c r="AC57" s="18"/>
      <c r="AE57" s="1" t="s">
        <v>410</v>
      </c>
      <c r="AG57" s="4">
        <v>4.45</v>
      </c>
    </row>
    <row r="58" spans="1:33" ht="47.25" hidden="1" customHeight="1" x14ac:dyDescent="0.25">
      <c r="A58" s="10" t="s">
        <v>6418</v>
      </c>
      <c r="B58" s="11" t="s">
        <v>33</v>
      </c>
      <c r="C58" s="12" t="s">
        <v>6419</v>
      </c>
      <c r="D58" s="27"/>
      <c r="E58" s="14" t="s">
        <v>35</v>
      </c>
      <c r="F58" s="11" t="str">
        <f>HYPERLINK("https://redirect.sdcdeals.com/redirect?destination=https%3A%2F%2Fwww.amazon.com%2Fdp%2FB0CKCTKKR3%3Fth%3D1%26psc%3D1%26tag%3Dsdcdeals03-20", "Amazon Link")</f>
        <v>Amazon Link</v>
      </c>
      <c r="G58" s="11" t="s">
        <v>36</v>
      </c>
      <c r="H58" s="14" t="s">
        <v>6420</v>
      </c>
      <c r="I58" s="11" t="str">
        <f>HYPERLINK("https://redirect.sdcdeals.com/redirect?code=763034&amp;mavely=https://mavely.app.link/e/bhESV2wGrGb&amp;destination=https%3A%2F%2Fwww.kohls.com%2Fsearch.jsp%3Fsubmit-search%3Dweb-regular%26search%3D55691314", "Retail Link")</f>
        <v>Retail Link</v>
      </c>
      <c r="J58" s="14" t="s">
        <v>6421</v>
      </c>
      <c r="K58" s="13" t="s">
        <v>6422</v>
      </c>
      <c r="L58" s="15">
        <v>4.8000000000000007</v>
      </c>
      <c r="M58" s="15">
        <v>23</v>
      </c>
      <c r="N58" s="15">
        <v>10.3</v>
      </c>
      <c r="O58" s="15">
        <f>V58-M58</f>
        <v>0.10000000000000142</v>
      </c>
      <c r="P58" s="16">
        <f>N58/L58</f>
        <v>2.145833333333333</v>
      </c>
      <c r="Q58" s="14"/>
      <c r="R58" s="14"/>
      <c r="S58" s="17">
        <v>0.50044874000000006</v>
      </c>
      <c r="T58" s="15">
        <v>23</v>
      </c>
      <c r="U58" s="15">
        <v>23.44</v>
      </c>
      <c r="V58" s="15">
        <v>23.1</v>
      </c>
      <c r="W58" s="14" t="s">
        <v>964</v>
      </c>
      <c r="X58" s="14">
        <v>1</v>
      </c>
      <c r="Y58" s="10">
        <f>AC58-AB58</f>
        <v>0</v>
      </c>
      <c r="Z58" s="18">
        <v>-1</v>
      </c>
      <c r="AA58" s="18">
        <v>-1</v>
      </c>
      <c r="AB58" s="18"/>
      <c r="AC58" s="18"/>
      <c r="AE58" s="1" t="s">
        <v>6423</v>
      </c>
      <c r="AF58" s="4">
        <v>3.91</v>
      </c>
      <c r="AG58" s="4">
        <v>4.45</v>
      </c>
    </row>
    <row r="59" spans="1:33" ht="47.25" customHeight="1" x14ac:dyDescent="0.25">
      <c r="A59" s="10" t="s">
        <v>96</v>
      </c>
      <c r="B59" s="11" t="s">
        <v>33</v>
      </c>
      <c r="C59" s="12" t="s">
        <v>97</v>
      </c>
      <c r="D59" s="27"/>
      <c r="E59" s="14" t="s">
        <v>35</v>
      </c>
      <c r="F59" s="11" t="str">
        <f>HYPERLINK("https://redirect.sdcdeals.com/redirect?destination=https%3A%2F%2Fwww.amazon.com%2Fdp%2FB08NV69L53%3Fth%3D1%26psc%3D1%26tag%3Dsdcdeals03-20", "Amazon Link")</f>
        <v>Amazon Link</v>
      </c>
      <c r="G59" s="11" t="s">
        <v>36</v>
      </c>
      <c r="H59" s="14" t="s">
        <v>98</v>
      </c>
      <c r="I59" s="11" t="str">
        <f>HYPERLINK("https://redirect.sdcdeals.com/redirect?code=763034&amp;mavely=https://mavely.app.link/e/bhESV2wGrGb&amp;destination=https%3A%2F%2Fwww.kohls.com%2Fsearch.jsp%3Fsubmit-search%3Dweb-regular%26search%3D58046465", "Retail Link")</f>
        <v>Retail Link</v>
      </c>
      <c r="J59" s="14" t="s">
        <v>80</v>
      </c>
      <c r="K59" s="13" t="s">
        <v>99</v>
      </c>
      <c r="L59" s="15">
        <v>13.896000000000001</v>
      </c>
      <c r="M59" s="15">
        <v>59.99</v>
      </c>
      <c r="N59" s="15">
        <v>29.695499999999999</v>
      </c>
      <c r="O59" s="15">
        <f>V59-M59</f>
        <v>-20</v>
      </c>
      <c r="P59" s="16">
        <f>N59/L59</f>
        <v>2.1369818652849739</v>
      </c>
      <c r="Q59" s="14">
        <v>18757</v>
      </c>
      <c r="R59" s="14"/>
      <c r="S59" s="17">
        <v>1.1508116399999999</v>
      </c>
      <c r="T59" s="15">
        <v>59.99</v>
      </c>
      <c r="U59" s="15">
        <v>38.75</v>
      </c>
      <c r="V59" s="15">
        <v>39.99</v>
      </c>
      <c r="W59" s="14" t="s">
        <v>100</v>
      </c>
      <c r="X59" s="14">
        <v>1</v>
      </c>
      <c r="Y59" s="10">
        <f>AC59-AB59</f>
        <v>8092</v>
      </c>
      <c r="Z59" s="18">
        <v>35</v>
      </c>
      <c r="AA59" s="18">
        <v>117</v>
      </c>
      <c r="AB59" s="18">
        <v>2</v>
      </c>
      <c r="AC59" s="18">
        <v>8094</v>
      </c>
      <c r="AD59" s="1" t="s">
        <v>89</v>
      </c>
      <c r="AE59" s="1" t="s">
        <v>90</v>
      </c>
      <c r="AF59" s="4">
        <v>10.199999999999999</v>
      </c>
      <c r="AG59" s="4">
        <v>7.4</v>
      </c>
    </row>
    <row r="60" spans="1:33" ht="47.25" customHeight="1" x14ac:dyDescent="0.25">
      <c r="A60" s="10" t="s">
        <v>3591</v>
      </c>
      <c r="B60" s="11" t="s">
        <v>33</v>
      </c>
      <c r="C60" s="12" t="s">
        <v>3592</v>
      </c>
      <c r="D60" s="27"/>
      <c r="E60" s="14" t="s">
        <v>35</v>
      </c>
      <c r="F60" s="11" t="str">
        <f>HYPERLINK("https://redirect.sdcdeals.com/redirect?destination=https%3A%2F%2Fwww.amazon.com%2Fdp%2FB01E8O4FK4%3Fth%3D1%26psc%3D1%26tag%3Dsdcdeals03-20", "Amazon Link")</f>
        <v>Amazon Link</v>
      </c>
      <c r="G60" s="11" t="s">
        <v>36</v>
      </c>
      <c r="H60" s="14" t="s">
        <v>3593</v>
      </c>
      <c r="I60" s="11" t="str">
        <f>HYPERLINK("https://redirect.sdcdeals.com/redirect?code=763034&amp;mavely=https://mavely.app.link/e/bhESV2wGrGb&amp;destination=https%3A%2F%2Fwww.kohls.com%2Fsearch.jsp%3Fsubmit-search%3Dweb-regular%26search%3D79369773", "Retail Link")</f>
        <v>Retail Link</v>
      </c>
      <c r="J60" s="14" t="s">
        <v>3555</v>
      </c>
      <c r="K60" s="13" t="s">
        <v>3594</v>
      </c>
      <c r="L60" s="15">
        <v>10.56</v>
      </c>
      <c r="M60" s="15">
        <v>46.54</v>
      </c>
      <c r="N60" s="15">
        <v>22.39899999999999</v>
      </c>
      <c r="O60" s="15">
        <f>V60-M60</f>
        <v>-8.4499999999999957</v>
      </c>
      <c r="P60" s="16">
        <f>N60/L60</f>
        <v>2.1211174242424233</v>
      </c>
      <c r="Q60" s="14">
        <v>1889145</v>
      </c>
      <c r="R60" s="14"/>
      <c r="S60" s="17">
        <v>0.74957079999999998</v>
      </c>
      <c r="T60" s="15">
        <v>38.729999999999997</v>
      </c>
      <c r="U60" s="15">
        <v>38</v>
      </c>
      <c r="V60" s="15">
        <v>38.090000000000003</v>
      </c>
      <c r="W60" s="14" t="s">
        <v>626</v>
      </c>
      <c r="X60" s="14">
        <v>2</v>
      </c>
      <c r="Y60" s="10">
        <f>AC60-AB60</f>
        <v>89</v>
      </c>
      <c r="Z60" s="18">
        <v>2</v>
      </c>
      <c r="AA60" s="18">
        <v>10</v>
      </c>
      <c r="AB60" s="18">
        <v>6</v>
      </c>
      <c r="AC60" s="18">
        <v>95</v>
      </c>
      <c r="AD60" s="1" t="s">
        <v>3557</v>
      </c>
      <c r="AE60" s="1" t="s">
        <v>76</v>
      </c>
      <c r="AF60" s="4">
        <v>7.91</v>
      </c>
      <c r="AG60" s="4">
        <v>6.6</v>
      </c>
    </row>
    <row r="61" spans="1:33" ht="47.25" customHeight="1" x14ac:dyDescent="0.25">
      <c r="A61" s="10" t="s">
        <v>487</v>
      </c>
      <c r="B61" s="11" t="s">
        <v>33</v>
      </c>
      <c r="C61" s="12" t="s">
        <v>488</v>
      </c>
      <c r="D61" s="27"/>
      <c r="E61" s="14" t="s">
        <v>35</v>
      </c>
      <c r="F61" s="11" t="str">
        <f>HYPERLINK("https://redirect.sdcdeals.com/redirect?destination=https%3A%2F%2Fwww.amazon.com%2Fdp%2FB0CL5FMCR5%3Fth%3D1%26psc%3D1%26tag%3Dsdcdeals03-20", "Amazon Link")</f>
        <v>Amazon Link</v>
      </c>
      <c r="G61" s="11" t="s">
        <v>36</v>
      </c>
      <c r="H61" s="14" t="s">
        <v>489</v>
      </c>
      <c r="I61" s="11" t="str">
        <f>HYPERLINK("https://redirect.sdcdeals.com/redirect?code=763034&amp;mavely=https://mavely.app.link/e/bhESV2wGrGb&amp;destination=https%3A%2F%2Fwww.kohls.com%2Fsearch.jsp%3Fsubmit-search%3Dweb-regular%26search%3D68737401", "Retail Link")</f>
        <v>Retail Link</v>
      </c>
      <c r="J61" s="14" t="s">
        <v>490</v>
      </c>
      <c r="K61" s="13" t="s">
        <v>491</v>
      </c>
      <c r="L61" s="15">
        <v>6.4</v>
      </c>
      <c r="M61" s="15">
        <v>28.83</v>
      </c>
      <c r="N61" s="15">
        <v>13.4955</v>
      </c>
      <c r="O61" s="15">
        <f>V61-M61</f>
        <v>-7.27</v>
      </c>
      <c r="P61" s="16">
        <f>N61/L61</f>
        <v>2.1086718749999998</v>
      </c>
      <c r="Q61" s="14">
        <v>2124822</v>
      </c>
      <c r="R61" s="14"/>
      <c r="S61" s="17">
        <v>0.22928048000000001</v>
      </c>
      <c r="T61" s="15">
        <v>28.83</v>
      </c>
      <c r="U61" s="15">
        <v>14.17</v>
      </c>
      <c r="V61" s="15">
        <v>21.56</v>
      </c>
      <c r="W61" s="14" t="s">
        <v>53</v>
      </c>
      <c r="X61" s="14">
        <v>3</v>
      </c>
      <c r="Y61" s="10">
        <f>AC61-AB61</f>
        <v>0</v>
      </c>
      <c r="Z61" s="18">
        <v>3</v>
      </c>
      <c r="AA61" s="18">
        <v>6</v>
      </c>
      <c r="AB61" s="18">
        <v>0</v>
      </c>
      <c r="AC61" s="18"/>
      <c r="AE61" s="1" t="s">
        <v>492</v>
      </c>
      <c r="AF61" s="4">
        <v>4.9000000000000004</v>
      </c>
      <c r="AG61" s="4">
        <v>4.6100000000000003</v>
      </c>
    </row>
    <row r="62" spans="1:33" ht="47.25" customHeight="1" x14ac:dyDescent="0.25">
      <c r="A62" s="10" t="s">
        <v>3759</v>
      </c>
      <c r="B62" s="11" t="s">
        <v>33</v>
      </c>
      <c r="C62" s="12" t="s">
        <v>3760</v>
      </c>
      <c r="D62" s="27"/>
      <c r="E62" s="14" t="s">
        <v>35</v>
      </c>
      <c r="F62" s="11" t="str">
        <f>HYPERLINK("https://redirect.sdcdeals.com/redirect?destination=https%3A%2F%2Fwww.amazon.com%2Fdp%2FB0BRR3HX9J%3Fth%3D1%26psc%3D1%26tag%3Dsdcdeals03-20", "Amazon Link")</f>
        <v>Amazon Link</v>
      </c>
      <c r="G62" s="11" t="s">
        <v>36</v>
      </c>
      <c r="H62" s="14" t="s">
        <v>3761</v>
      </c>
      <c r="I62" s="11" t="str">
        <f>HYPERLINK("https://redirect.sdcdeals.com/redirect?code=763034&amp;mavely=https://mavely.app.link/e/bhESV2wGrGb&amp;destination=https%3A%2F%2Fwww.kohls.com%2Fsearch.jsp%3Fsubmit-search%3Dweb-regular%26search%3D37703769", "Retail Link")</f>
        <v>Retail Link</v>
      </c>
      <c r="J62" s="14" t="s">
        <v>3751</v>
      </c>
      <c r="K62" s="13" t="s">
        <v>3762</v>
      </c>
      <c r="L62" s="15">
        <v>15.391999999999999</v>
      </c>
      <c r="M62" s="15">
        <v>64.459999999999994</v>
      </c>
      <c r="N62" s="15">
        <v>32.068999999999988</v>
      </c>
      <c r="O62" s="15">
        <f>V62-M62</f>
        <v>-7.7099999999999937</v>
      </c>
      <c r="P62" s="16">
        <f>N62/L62</f>
        <v>2.0834849272349265</v>
      </c>
      <c r="Q62" s="14">
        <v>276519</v>
      </c>
      <c r="R62" s="14"/>
      <c r="S62" s="17">
        <v>2.3391018200000002</v>
      </c>
      <c r="T62" s="15">
        <v>64.459999999999994</v>
      </c>
      <c r="U62" s="15">
        <v>63.24</v>
      </c>
      <c r="V62" s="15">
        <v>56.75</v>
      </c>
      <c r="W62" s="14" t="s">
        <v>875</v>
      </c>
      <c r="X62" s="14">
        <v>2</v>
      </c>
      <c r="Y62" s="10">
        <f>AC62-AB62</f>
        <v>1018</v>
      </c>
      <c r="Z62" s="18">
        <v>18</v>
      </c>
      <c r="AA62" s="18">
        <v>52</v>
      </c>
      <c r="AB62" s="18">
        <v>2</v>
      </c>
      <c r="AC62" s="18">
        <v>1020</v>
      </c>
      <c r="AD62" s="1" t="s">
        <v>3753</v>
      </c>
      <c r="AE62" s="1" t="s">
        <v>3754</v>
      </c>
      <c r="AF62" s="4">
        <v>9.67</v>
      </c>
      <c r="AG62" s="4">
        <v>7.33</v>
      </c>
    </row>
    <row r="63" spans="1:33" ht="47.25" customHeight="1" x14ac:dyDescent="0.25">
      <c r="A63" s="10" t="s">
        <v>3573</v>
      </c>
      <c r="B63" s="11" t="s">
        <v>33</v>
      </c>
      <c r="C63" s="12" t="s">
        <v>3574</v>
      </c>
      <c r="D63" s="27"/>
      <c r="E63" s="14" t="s">
        <v>35</v>
      </c>
      <c r="F63" s="11" t="str">
        <f>HYPERLINK("https://redirect.sdcdeals.com/redirect?destination=https%3A%2F%2Fwww.amazon.com%2Fdp%2FB01E8O4J8C%3Fth%3D1%26psc%3D1%26tag%3Dsdcdeals03-20", "Amazon Link")</f>
        <v>Amazon Link</v>
      </c>
      <c r="G63" s="11" t="s">
        <v>36</v>
      </c>
      <c r="H63" s="14" t="s">
        <v>3575</v>
      </c>
      <c r="I63" s="11" t="str">
        <f>HYPERLINK("https://redirect.sdcdeals.com/redirect?code=763034&amp;mavely=https://mavely.app.link/e/bhESV2wGrGb&amp;destination=https%3A%2F%2Fwww.kohls.com%2Fsearch.jsp%3Fsubmit-search%3Dweb-regular%26search%3D49936211", "Retail Link")</f>
        <v>Retail Link</v>
      </c>
      <c r="J63" s="14" t="s">
        <v>3555</v>
      </c>
      <c r="K63" s="13" t="s">
        <v>3576</v>
      </c>
      <c r="L63" s="15">
        <v>10.56</v>
      </c>
      <c r="M63" s="15">
        <v>45.99</v>
      </c>
      <c r="N63" s="15">
        <v>21.9315</v>
      </c>
      <c r="O63" s="15">
        <f>V63-M63</f>
        <v>-6.2800000000000011</v>
      </c>
      <c r="P63" s="16">
        <f>N63/L63</f>
        <v>2.0768465909090907</v>
      </c>
      <c r="Q63" s="14">
        <v>1889145</v>
      </c>
      <c r="R63" s="14"/>
      <c r="S63" s="17">
        <v>0.74957079999999998</v>
      </c>
      <c r="T63" s="15">
        <v>38.729999999999997</v>
      </c>
      <c r="U63" s="15">
        <v>39.99</v>
      </c>
      <c r="V63" s="15">
        <v>39.71</v>
      </c>
      <c r="W63" s="14" t="s">
        <v>3577</v>
      </c>
      <c r="X63" s="14">
        <v>2</v>
      </c>
      <c r="Y63" s="10">
        <f>AC63-AB63</f>
        <v>89</v>
      </c>
      <c r="Z63" s="18">
        <v>3</v>
      </c>
      <c r="AA63" s="18">
        <v>10</v>
      </c>
      <c r="AB63" s="18">
        <v>6</v>
      </c>
      <c r="AC63" s="18">
        <v>95</v>
      </c>
      <c r="AD63" s="1" t="s">
        <v>3557</v>
      </c>
      <c r="AE63" s="1" t="s">
        <v>3562</v>
      </c>
      <c r="AF63" s="4">
        <v>7.82</v>
      </c>
      <c r="AG63" s="4">
        <v>6.6</v>
      </c>
    </row>
    <row r="64" spans="1:33" ht="47.25" customHeight="1" x14ac:dyDescent="0.25">
      <c r="A64" s="10" t="s">
        <v>792</v>
      </c>
      <c r="B64" s="11" t="s">
        <v>33</v>
      </c>
      <c r="C64" s="12" t="s">
        <v>793</v>
      </c>
      <c r="D64" s="27"/>
      <c r="E64" s="14" t="s">
        <v>35</v>
      </c>
      <c r="F64" s="11" t="str">
        <f>HYPERLINK("https://redirect.sdcdeals.com/redirect?destination=https%3A%2F%2Fwww.amazon.com%2Fdp%2FB0BP2G46Y7%3Fth%3D1%26psc%3D1%26tag%3Dsdcdeals03-20", "Amazon Link")</f>
        <v>Amazon Link</v>
      </c>
      <c r="G64" s="11" t="s">
        <v>36</v>
      </c>
      <c r="H64" s="14" t="s">
        <v>794</v>
      </c>
      <c r="I64" s="11" t="str">
        <f>HYPERLINK("https://redirect.sdcdeals.com/redirect?code=763034&amp;mavely=https://mavely.app.link/e/bhESV2wGrGb&amp;destination=https%3A%2F%2Fwww.kohls.com%2Fsearch.jsp%3Fsubmit-search%3Dweb-regular%26search%3D81852222", "Retail Link")</f>
        <v>Retail Link</v>
      </c>
      <c r="J64" s="14" t="s">
        <v>795</v>
      </c>
      <c r="K64" s="13" t="s">
        <v>796</v>
      </c>
      <c r="L64" s="15">
        <v>9.2000000000000011</v>
      </c>
      <c r="M64" s="15">
        <v>39.99</v>
      </c>
      <c r="N64" s="15">
        <v>18.891500000000001</v>
      </c>
      <c r="O64" s="15">
        <f>V64-M64</f>
        <v>-7.3900000000000006</v>
      </c>
      <c r="P64" s="16">
        <f>N64/L64</f>
        <v>2.0534239130434782</v>
      </c>
      <c r="Q64" s="14">
        <v>35962</v>
      </c>
      <c r="R64" s="14"/>
      <c r="S64" s="17">
        <v>0.79366320000000001</v>
      </c>
      <c r="T64" s="15">
        <v>39.99</v>
      </c>
      <c r="U64" s="15">
        <v>32.78</v>
      </c>
      <c r="V64" s="15">
        <v>32.6</v>
      </c>
      <c r="W64" s="14" t="s">
        <v>301</v>
      </c>
      <c r="X64" s="14">
        <v>3</v>
      </c>
      <c r="Y64" s="10">
        <f>AC64-AB64</f>
        <v>1043</v>
      </c>
      <c r="Z64" s="18">
        <v>31</v>
      </c>
      <c r="AA64" s="18">
        <v>99</v>
      </c>
      <c r="AB64" s="18">
        <v>3</v>
      </c>
      <c r="AC64" s="18">
        <v>1046</v>
      </c>
      <c r="AD64" s="1" t="s">
        <v>797</v>
      </c>
      <c r="AE64" s="1" t="s">
        <v>278</v>
      </c>
      <c r="AF64" s="4">
        <v>6.8</v>
      </c>
      <c r="AG64" s="4">
        <v>5.9</v>
      </c>
    </row>
    <row r="65" spans="1:33" ht="47.25" customHeight="1" x14ac:dyDescent="0.25">
      <c r="A65" s="10" t="s">
        <v>3259</v>
      </c>
      <c r="B65" s="11" t="s">
        <v>33</v>
      </c>
      <c r="C65" s="12" t="s">
        <v>3260</v>
      </c>
      <c r="D65" s="27"/>
      <c r="E65" s="14" t="s">
        <v>35</v>
      </c>
      <c r="F65" s="11" t="str">
        <f>HYPERLINK("https://redirect.sdcdeals.com/redirect?destination=https%3A%2F%2Fwww.amazon.com%2Fdp%2FB0893RWLVB%3Fth%3D1%26psc%3D1%26tag%3Dsdcdeals03-20", "Amazon Link")</f>
        <v>Amazon Link</v>
      </c>
      <c r="G65" s="11" t="s">
        <v>36</v>
      </c>
      <c r="H65" s="14" t="s">
        <v>3261</v>
      </c>
      <c r="I65" s="11" t="str">
        <f>HYPERLINK("https://redirect.sdcdeals.com/redirect?code=763034&amp;mavely=https://mavely.app.link/e/bhESV2wGrGb&amp;destination=https%3A%2F%2Fwww.kohls.com%2Fsearch.jsp%3Fsubmit-search%3Dweb-regular%26search%3D54082764", "Retail Link")</f>
        <v>Retail Link</v>
      </c>
      <c r="J65" s="14" t="s">
        <v>3262</v>
      </c>
      <c r="K65" s="13" t="s">
        <v>3263</v>
      </c>
      <c r="L65" s="15">
        <v>8.4</v>
      </c>
      <c r="M65" s="15">
        <v>34</v>
      </c>
      <c r="N65" s="15">
        <v>17.149999999999999</v>
      </c>
      <c r="O65" s="15">
        <f>V65-M65</f>
        <v>-17.78</v>
      </c>
      <c r="P65" s="16">
        <f>N65/L65</f>
        <v>2.0416666666666665</v>
      </c>
      <c r="Q65" s="14">
        <v>29984</v>
      </c>
      <c r="R65" s="14"/>
      <c r="S65" s="17">
        <v>0.28660059999999998</v>
      </c>
      <c r="T65" s="15">
        <v>34</v>
      </c>
      <c r="U65" s="15">
        <v>15.81</v>
      </c>
      <c r="V65" s="15">
        <v>16.22</v>
      </c>
      <c r="W65" s="14" t="s">
        <v>240</v>
      </c>
      <c r="X65" s="14">
        <v>3</v>
      </c>
      <c r="Y65" s="10">
        <f>AC65-AB65</f>
        <v>818</v>
      </c>
      <c r="Z65" s="18">
        <v>97</v>
      </c>
      <c r="AA65" s="18">
        <v>183</v>
      </c>
      <c r="AB65" s="18">
        <v>8</v>
      </c>
      <c r="AC65" s="18">
        <v>826</v>
      </c>
      <c r="AD65" s="1" t="s">
        <v>3264</v>
      </c>
      <c r="AE65" s="1" t="s">
        <v>2681</v>
      </c>
      <c r="AG65" s="4">
        <v>3.35</v>
      </c>
    </row>
    <row r="66" spans="1:33" ht="47.25" customHeight="1" x14ac:dyDescent="0.25">
      <c r="A66" s="10" t="s">
        <v>7275</v>
      </c>
      <c r="B66" s="11" t="s">
        <v>33</v>
      </c>
      <c r="C66" s="12" t="s">
        <v>7276</v>
      </c>
      <c r="D66" s="27"/>
      <c r="E66" s="14" t="s">
        <v>35</v>
      </c>
      <c r="F66" s="11" t="str">
        <f>HYPERLINK("https://redirect.sdcdeals.com/redirect?destination=https%3A%2F%2Fwww.amazon.com%2Fdp%2FB0B97174KV%3Fth%3D1%26psc%3D1%26tag%3Dsdcdeals03-20", "Amazon Link")</f>
        <v>Amazon Link</v>
      </c>
      <c r="G66" s="11" t="s">
        <v>36</v>
      </c>
      <c r="H66" s="14" t="s">
        <v>7277</v>
      </c>
      <c r="I66" s="11" t="str">
        <f>HYPERLINK("https://redirect.sdcdeals.com/redirect?code=763034&amp;mavely=https://mavely.app.link/e/bhESV2wGrGb&amp;destination=https%3A%2F%2Fwww.kohls.com%2Fsearch.jsp%3Fsubmit-search%3Dweb-regular%26search%3D61824570", "Retail Link")</f>
        <v>Retail Link</v>
      </c>
      <c r="J66" s="14" t="s">
        <v>7256</v>
      </c>
      <c r="K66" s="13" t="s">
        <v>7278</v>
      </c>
      <c r="L66" s="15">
        <v>9.9920000000000009</v>
      </c>
      <c r="M66" s="15">
        <v>42.46</v>
      </c>
      <c r="N66" s="15">
        <v>20.329000000000001</v>
      </c>
      <c r="O66" s="15">
        <f>V66-M66</f>
        <v>0.82999999999999829</v>
      </c>
      <c r="P66" s="16">
        <f>N66/L66</f>
        <v>2.034527622097678</v>
      </c>
      <c r="Q66" s="14">
        <v>1548234</v>
      </c>
      <c r="R66" s="14"/>
      <c r="S66" s="17">
        <v>1.1706532199999999</v>
      </c>
      <c r="T66" s="15">
        <v>42.46</v>
      </c>
      <c r="U66" s="15">
        <v>41.53</v>
      </c>
      <c r="V66" s="15">
        <v>43.29</v>
      </c>
      <c r="W66" s="14" t="s">
        <v>742</v>
      </c>
      <c r="X66" s="14">
        <v>5</v>
      </c>
      <c r="Y66" s="10">
        <f>AC66-AB66</f>
        <v>87</v>
      </c>
      <c r="Z66" s="18">
        <v>0</v>
      </c>
      <c r="AA66" s="18">
        <v>4</v>
      </c>
      <c r="AB66" s="18">
        <v>0</v>
      </c>
      <c r="AC66" s="18">
        <v>87</v>
      </c>
      <c r="AD66" s="1" t="s">
        <v>7258</v>
      </c>
      <c r="AE66" s="1" t="s">
        <v>1675</v>
      </c>
      <c r="AF66" s="4">
        <v>6.37</v>
      </c>
      <c r="AG66" s="4">
        <v>5.77</v>
      </c>
    </row>
    <row r="67" spans="1:33" ht="47.25" hidden="1" customHeight="1" x14ac:dyDescent="0.25">
      <c r="A67" s="10" t="s">
        <v>2714</v>
      </c>
      <c r="B67" s="11" t="s">
        <v>33</v>
      </c>
      <c r="C67" s="12" t="s">
        <v>2715</v>
      </c>
      <c r="D67" s="27"/>
      <c r="E67" s="14" t="s">
        <v>35</v>
      </c>
      <c r="F67" s="11" t="str">
        <f>HYPERLINK("https://redirect.sdcdeals.com/redirect?destination=https%3A%2F%2Fwww.amazon.com%2Fdp%2FB0CCBH66WY%3Fth%3D1%26psc%3D1%26tag%3Dsdcdeals03-20", "Amazon Link")</f>
        <v>Amazon Link</v>
      </c>
      <c r="G67" s="11" t="s">
        <v>36</v>
      </c>
      <c r="H67" s="14" t="s">
        <v>2716</v>
      </c>
      <c r="I67" s="11" t="str">
        <f>HYPERLINK("https://redirect.sdcdeals.com/redirect?code=763034&amp;mavely=https://mavely.app.link/e/bhESV2wGrGb&amp;destination=https%3A%2F%2Fwww.kohls.com%2Fsearch.jsp%3Fsubmit-search%3Dweb-regular%26search%3D29746922", "Retail Link")</f>
        <v>Retail Link</v>
      </c>
      <c r="J67" s="14" t="s">
        <v>2705</v>
      </c>
      <c r="K67" s="13" t="s">
        <v>2717</v>
      </c>
      <c r="L67" s="15">
        <v>13.2</v>
      </c>
      <c r="M67" s="15">
        <v>55</v>
      </c>
      <c r="N67" s="15">
        <v>26.72</v>
      </c>
      <c r="O67" s="15">
        <f>V67-M67</f>
        <v>-30.02</v>
      </c>
      <c r="P67" s="16">
        <f>N67/L67</f>
        <v>2.0242424242424244</v>
      </c>
      <c r="Q67" s="14"/>
      <c r="R67" s="14"/>
      <c r="S67" s="17">
        <v>0.88184799999999997</v>
      </c>
      <c r="T67" s="15">
        <v>42.71</v>
      </c>
      <c r="U67" s="15">
        <v>31.96</v>
      </c>
      <c r="V67" s="15">
        <v>24.98</v>
      </c>
      <c r="W67" s="14" t="s">
        <v>164</v>
      </c>
      <c r="X67" s="14">
        <v>2</v>
      </c>
      <c r="Y67" s="10">
        <f>AC67-AB67</f>
        <v>4</v>
      </c>
      <c r="Z67" s="18">
        <v>-1</v>
      </c>
      <c r="AA67" s="18">
        <v>-1</v>
      </c>
      <c r="AB67" s="18">
        <v>0</v>
      </c>
      <c r="AC67" s="18">
        <v>4</v>
      </c>
      <c r="AD67" s="1" t="s">
        <v>2718</v>
      </c>
      <c r="AE67" s="1" t="s">
        <v>2719</v>
      </c>
      <c r="AF67" s="4">
        <v>2.77</v>
      </c>
      <c r="AG67" s="4">
        <v>6.83</v>
      </c>
    </row>
    <row r="68" spans="1:33" ht="47.25" hidden="1" customHeight="1" x14ac:dyDescent="0.25">
      <c r="A68" s="10" t="s">
        <v>2774</v>
      </c>
      <c r="B68" s="11" t="s">
        <v>33</v>
      </c>
      <c r="C68" s="12" t="s">
        <v>2775</v>
      </c>
      <c r="D68" s="27"/>
      <c r="E68" s="14" t="s">
        <v>35</v>
      </c>
      <c r="F68" s="11" t="str">
        <f>HYPERLINK("https://redirect.sdcdeals.com/redirect?destination=https%3A%2F%2Fwww.amazon.com%2Fdp%2FB0CCC1H2S4%3Fth%3D1%26psc%3D1%26tag%3Dsdcdeals03-20", "Amazon Link")</f>
        <v>Amazon Link</v>
      </c>
      <c r="G68" s="11" t="s">
        <v>36</v>
      </c>
      <c r="H68" s="14" t="s">
        <v>2776</v>
      </c>
      <c r="I68" s="11" t="str">
        <f>HYPERLINK("https://redirect.sdcdeals.com/redirect?code=763034&amp;mavely=https://mavely.app.link/e/bhESV2wGrGb&amp;destination=https%3A%2F%2Fwww.kohls.com%2Fsearch.jsp%3Fsubmit-search%3Dweb-regular%26search%3D17927046", "Retail Link")</f>
        <v>Retail Link</v>
      </c>
      <c r="J68" s="14" t="s">
        <v>2705</v>
      </c>
      <c r="K68" s="13" t="s">
        <v>2717</v>
      </c>
      <c r="L68" s="15">
        <v>13.2</v>
      </c>
      <c r="M68" s="15">
        <v>55</v>
      </c>
      <c r="N68" s="15">
        <v>26.72</v>
      </c>
      <c r="O68" s="15">
        <f>V68-M68</f>
        <v>-25.29</v>
      </c>
      <c r="P68" s="16">
        <f>N68/L68</f>
        <v>2.0242424242424244</v>
      </c>
      <c r="Q68" s="14"/>
      <c r="R68" s="14"/>
      <c r="S68" s="17">
        <v>0.95900969999999996</v>
      </c>
      <c r="T68" s="15">
        <v>42.71</v>
      </c>
      <c r="U68" s="15">
        <v>33.92</v>
      </c>
      <c r="V68" s="15">
        <v>29.71</v>
      </c>
      <c r="W68" s="14" t="s">
        <v>865</v>
      </c>
      <c r="X68" s="14">
        <v>2</v>
      </c>
      <c r="Y68" s="10">
        <f>AC68-AB68</f>
        <v>3</v>
      </c>
      <c r="Z68" s="18">
        <v>-1</v>
      </c>
      <c r="AA68" s="18">
        <v>-1</v>
      </c>
      <c r="AB68" s="18">
        <v>0</v>
      </c>
      <c r="AC68" s="18">
        <v>3</v>
      </c>
      <c r="AD68" s="1" t="s">
        <v>2754</v>
      </c>
      <c r="AE68" s="1" t="s">
        <v>2719</v>
      </c>
      <c r="AF68" s="4">
        <v>9.35</v>
      </c>
      <c r="AG68" s="4">
        <v>6.83</v>
      </c>
    </row>
    <row r="69" spans="1:33" ht="47.25" hidden="1" customHeight="1" x14ac:dyDescent="0.25">
      <c r="A69" s="10" t="s">
        <v>2801</v>
      </c>
      <c r="B69" s="11" t="s">
        <v>33</v>
      </c>
      <c r="C69" s="12" t="s">
        <v>2802</v>
      </c>
      <c r="D69" s="27"/>
      <c r="E69" s="14" t="s">
        <v>35</v>
      </c>
      <c r="F69" s="11" t="str">
        <f>HYPERLINK("https://redirect.sdcdeals.com/redirect?destination=https%3A%2F%2Fwww.amazon.com%2Fdp%2FB0CCC1KZJL%3Fth%3D1%26psc%3D1%26tag%3Dsdcdeals03-20", "Amazon Link")</f>
        <v>Amazon Link</v>
      </c>
      <c r="G69" s="11" t="s">
        <v>36</v>
      </c>
      <c r="H69" s="14" t="s">
        <v>2803</v>
      </c>
      <c r="I69" s="11" t="str">
        <f>HYPERLINK("https://redirect.sdcdeals.com/redirect?code=763034&amp;mavely=https://mavely.app.link/e/bhESV2wGrGb&amp;destination=https%3A%2F%2Fwww.kohls.com%2Fsearch.jsp%3Fsubmit-search%3Dweb-regular%26search%3D29746927", "Retail Link")</f>
        <v>Retail Link</v>
      </c>
      <c r="J69" s="14" t="s">
        <v>2705</v>
      </c>
      <c r="K69" s="13" t="s">
        <v>2752</v>
      </c>
      <c r="L69" s="15">
        <v>13.2</v>
      </c>
      <c r="M69" s="15">
        <v>55</v>
      </c>
      <c r="N69" s="15">
        <v>26.72</v>
      </c>
      <c r="O69" s="15">
        <f>V69-M69</f>
        <v>-17.25</v>
      </c>
      <c r="P69" s="16">
        <f>N69/L69</f>
        <v>2.0242424242424244</v>
      </c>
      <c r="Q69" s="14"/>
      <c r="R69" s="14"/>
      <c r="S69" s="17">
        <v>0.95900969999999996</v>
      </c>
      <c r="T69" s="15">
        <v>42.71</v>
      </c>
      <c r="U69" s="15">
        <v>43.61</v>
      </c>
      <c r="V69" s="15">
        <v>37.75</v>
      </c>
      <c r="W69" s="14" t="s">
        <v>2804</v>
      </c>
      <c r="X69" s="14">
        <v>1</v>
      </c>
      <c r="Y69" s="10">
        <f>AC69-AB69</f>
        <v>2</v>
      </c>
      <c r="Z69" s="18">
        <v>-1</v>
      </c>
      <c r="AA69" s="18">
        <v>-1</v>
      </c>
      <c r="AB69" s="18"/>
      <c r="AC69" s="18">
        <v>2</v>
      </c>
      <c r="AD69" s="1" t="s">
        <v>2718</v>
      </c>
      <c r="AE69" s="1" t="s">
        <v>2719</v>
      </c>
      <c r="AF69" s="4">
        <v>9.35</v>
      </c>
      <c r="AG69" s="4">
        <v>6.83</v>
      </c>
    </row>
    <row r="70" spans="1:33" ht="47.25" customHeight="1" x14ac:dyDescent="0.25">
      <c r="A70" s="10" t="s">
        <v>589</v>
      </c>
      <c r="B70" s="11" t="s">
        <v>33</v>
      </c>
      <c r="C70" s="12" t="s">
        <v>590</v>
      </c>
      <c r="D70" s="27"/>
      <c r="E70" s="14" t="s">
        <v>35</v>
      </c>
      <c r="F70" s="11" t="str">
        <f>HYPERLINK("https://redirect.sdcdeals.com/redirect?destination=https%3A%2F%2Fwww.amazon.com%2Fdp%2FB09N5VGRV5%3Fth%3D1%26psc%3D1%26tag%3Dsdcdeals03-20", "Amazon Link")</f>
        <v>Amazon Link</v>
      </c>
      <c r="G70" s="11" t="s">
        <v>36</v>
      </c>
      <c r="H70" s="14" t="s">
        <v>591</v>
      </c>
      <c r="I70" s="11" t="str">
        <f>HYPERLINK("https://redirect.sdcdeals.com/redirect?code=763034&amp;mavely=https://mavely.app.link/e/bhESV2wGrGb&amp;destination=https%3A%2F%2Fwww.kohls.com%2Fsearch.jsp%3Fsubmit-search%3Dweb-regular%26search%3D68728525", "Retail Link")</f>
        <v>Retail Link</v>
      </c>
      <c r="J70" s="14" t="s">
        <v>580</v>
      </c>
      <c r="K70" s="13" t="s">
        <v>592</v>
      </c>
      <c r="L70" s="15">
        <v>11.128</v>
      </c>
      <c r="M70" s="15">
        <v>47.67</v>
      </c>
      <c r="N70" s="15">
        <v>22.311499999999999</v>
      </c>
      <c r="O70" s="15">
        <f>V70-M70</f>
        <v>-4.8100000000000023</v>
      </c>
      <c r="P70" s="16">
        <f>N70/L70</f>
        <v>2.0049874191229331</v>
      </c>
      <c r="Q70" s="14">
        <v>12109</v>
      </c>
      <c r="R70" s="14"/>
      <c r="S70" s="17">
        <v>3.9683160000000002E-2</v>
      </c>
      <c r="T70" s="15"/>
      <c r="U70" s="15">
        <v>47.67</v>
      </c>
      <c r="V70" s="15">
        <v>42.86</v>
      </c>
      <c r="W70" s="14" t="s">
        <v>593</v>
      </c>
      <c r="X70" s="14">
        <v>1</v>
      </c>
      <c r="Y70" s="10">
        <f>AC70-AB70</f>
        <v>3443</v>
      </c>
      <c r="Z70" s="18">
        <v>9</v>
      </c>
      <c r="AA70" s="18">
        <v>45</v>
      </c>
      <c r="AB70" s="18">
        <v>4</v>
      </c>
      <c r="AC70" s="18">
        <v>3447</v>
      </c>
      <c r="AD70" s="1" t="s">
        <v>583</v>
      </c>
      <c r="AE70" s="1" t="s">
        <v>178</v>
      </c>
      <c r="AG70" s="4">
        <v>7.08</v>
      </c>
    </row>
    <row r="71" spans="1:33" ht="47.25" customHeight="1" x14ac:dyDescent="0.25">
      <c r="A71" s="10" t="s">
        <v>5803</v>
      </c>
      <c r="B71" s="11" t="s">
        <v>33</v>
      </c>
      <c r="C71" s="12" t="s">
        <v>5804</v>
      </c>
      <c r="D71" s="27"/>
      <c r="E71" s="14" t="s">
        <v>35</v>
      </c>
      <c r="F71" s="11" t="str">
        <f>HYPERLINK("https://redirect.sdcdeals.com/redirect?destination=https%3A%2F%2Fwww.amazon.com%2Fdp%2FB0BGWG86M2%3Fth%3D1%26psc%3D1%26tag%3Dsdcdeals03-20", "Amazon Link")</f>
        <v>Amazon Link</v>
      </c>
      <c r="G71" s="11" t="s">
        <v>36</v>
      </c>
      <c r="H71" s="14" t="s">
        <v>5805</v>
      </c>
      <c r="I71" s="11" t="str">
        <f>HYPERLINK("https://redirect.sdcdeals.com/redirect?code=763034&amp;mavely=https://mavely.app.link/e/bhESV2wGrGb&amp;destination=https%3A%2F%2Fwww.kohls.com%2Fsearch.jsp%3Fsubmit-search%3Dweb-regular%26search%3D55600953", "Retail Link")</f>
        <v>Retail Link</v>
      </c>
      <c r="J71" s="14" t="s">
        <v>5788</v>
      </c>
      <c r="K71" s="13" t="s">
        <v>5806</v>
      </c>
      <c r="L71" s="15">
        <v>10.8</v>
      </c>
      <c r="M71" s="15">
        <v>45</v>
      </c>
      <c r="N71" s="15">
        <v>21.63</v>
      </c>
      <c r="O71" s="15">
        <f>V71-M71</f>
        <v>-6.4399999999999977</v>
      </c>
      <c r="P71" s="16">
        <f>N71/L71</f>
        <v>2.0027777777777778</v>
      </c>
      <c r="Q71" s="14">
        <v>617311</v>
      </c>
      <c r="R71" s="14"/>
      <c r="S71" s="17">
        <v>0.50706260000000003</v>
      </c>
      <c r="T71" s="15">
        <v>39.1</v>
      </c>
      <c r="U71" s="15">
        <v>43.35</v>
      </c>
      <c r="V71" s="15">
        <v>38.56</v>
      </c>
      <c r="W71" s="14" t="s">
        <v>3409</v>
      </c>
      <c r="X71" s="14">
        <v>3</v>
      </c>
      <c r="Y71" s="10">
        <f>AC71-AB71</f>
        <v>0</v>
      </c>
      <c r="Z71" s="18">
        <v>18</v>
      </c>
      <c r="AA71" s="18">
        <v>55</v>
      </c>
      <c r="AB71" s="18">
        <v>0</v>
      </c>
      <c r="AC71" s="18"/>
      <c r="AD71" s="1" t="s">
        <v>5790</v>
      </c>
      <c r="AE71" s="1" t="s">
        <v>3822</v>
      </c>
      <c r="AF71" s="4">
        <v>7.65</v>
      </c>
      <c r="AG71" s="4">
        <v>5.82</v>
      </c>
    </row>
    <row r="72" spans="1:33" ht="47.25" customHeight="1" x14ac:dyDescent="0.25">
      <c r="A72" s="10" t="s">
        <v>3605</v>
      </c>
      <c r="B72" s="11" t="s">
        <v>33</v>
      </c>
      <c r="C72" s="12" t="s">
        <v>3606</v>
      </c>
      <c r="D72" s="27"/>
      <c r="E72" s="14" t="s">
        <v>35</v>
      </c>
      <c r="F72" s="11" t="str">
        <f>HYPERLINK("https://redirect.sdcdeals.com/redirect?destination=https%3A%2F%2Fwww.amazon.com%2Fdp%2FB0792FRHVS%3Fth%3D1%26psc%3D1%26tag%3Dsdcdeals03-20", "Amazon Link")</f>
        <v>Amazon Link</v>
      </c>
      <c r="G72" s="11" t="s">
        <v>36</v>
      </c>
      <c r="H72" s="14" t="s">
        <v>3607</v>
      </c>
      <c r="I72" s="11" t="str">
        <f>HYPERLINK("https://redirect.sdcdeals.com/redirect?code=763034&amp;mavely=https://mavely.app.link/e/bhESV2wGrGb&amp;destination=https%3A%2F%2Fwww.kohls.com%2Fsearch.jsp%3Fsubmit-search%3Dweb-regular%26search%3D63989894", "Retail Link")</f>
        <v>Retail Link</v>
      </c>
      <c r="J72" s="14" t="s">
        <v>3555</v>
      </c>
      <c r="K72" s="13" t="s">
        <v>3608</v>
      </c>
      <c r="L72" s="15">
        <v>10.56</v>
      </c>
      <c r="M72" s="15">
        <v>44.98</v>
      </c>
      <c r="N72" s="15">
        <v>21.07299999999999</v>
      </c>
      <c r="O72" s="15">
        <f>V72-M72</f>
        <v>0.3300000000000054</v>
      </c>
      <c r="P72" s="16">
        <f>N72/L72</f>
        <v>1.9955492424242414</v>
      </c>
      <c r="Q72" s="14">
        <v>1891609</v>
      </c>
      <c r="R72" s="14"/>
      <c r="S72" s="17">
        <v>0.74957079999999998</v>
      </c>
      <c r="T72" s="15">
        <v>38.729999999999997</v>
      </c>
      <c r="U72" s="15">
        <v>45.31</v>
      </c>
      <c r="V72" s="15">
        <v>45.31</v>
      </c>
      <c r="W72" s="14" t="s">
        <v>2149</v>
      </c>
      <c r="X72" s="14">
        <v>1</v>
      </c>
      <c r="Y72" s="10">
        <f>AC72-AB72</f>
        <v>93</v>
      </c>
      <c r="Z72" s="18">
        <v>4</v>
      </c>
      <c r="AA72" s="18">
        <v>10</v>
      </c>
      <c r="AB72" s="18">
        <v>2</v>
      </c>
      <c r="AC72" s="18">
        <v>95</v>
      </c>
      <c r="AD72" s="1" t="s">
        <v>3557</v>
      </c>
      <c r="AE72" s="1" t="s">
        <v>3567</v>
      </c>
      <c r="AF72" s="4">
        <v>7.65</v>
      </c>
      <c r="AG72" s="4">
        <v>6.6</v>
      </c>
    </row>
    <row r="73" spans="1:33" ht="47.25" hidden="1" customHeight="1" x14ac:dyDescent="0.25">
      <c r="A73" s="10" t="s">
        <v>3776</v>
      </c>
      <c r="B73" s="11" t="s">
        <v>33</v>
      </c>
      <c r="C73" s="12" t="s">
        <v>3777</v>
      </c>
      <c r="D73" s="27"/>
      <c r="E73" s="14" t="s">
        <v>35</v>
      </c>
      <c r="F73" s="11" t="str">
        <f>HYPERLINK("https://redirect.sdcdeals.com/redirect?destination=https%3A%2F%2Fwww.amazon.com%2Fdp%2FB0BQ7HMHZG%3Fth%3D1%26psc%3D1%26tag%3Dsdcdeals03-20", "Amazon Link")</f>
        <v>Amazon Link</v>
      </c>
      <c r="G73" s="11" t="s">
        <v>36</v>
      </c>
      <c r="H73" s="14" t="s">
        <v>3778</v>
      </c>
      <c r="I73" s="11" t="str">
        <f>HYPERLINK("https://redirect.sdcdeals.com/redirect?code=763034&amp;mavely=https://mavely.app.link/e/bhESV2wGrGb&amp;destination=https%3A%2F%2Fwww.kohls.com%2Fsearch.jsp%3Fsubmit-search%3Dweb-regular%26search%3D37802346", "Retail Link")</f>
        <v>Retail Link</v>
      </c>
      <c r="J73" s="14" t="s">
        <v>3766</v>
      </c>
      <c r="K73" s="13" t="s">
        <v>3767</v>
      </c>
      <c r="L73" s="15">
        <v>43.2</v>
      </c>
      <c r="M73" s="15">
        <v>159.99</v>
      </c>
      <c r="N73" s="15">
        <v>86.191500000000005</v>
      </c>
      <c r="O73" s="15">
        <f>V73-M73</f>
        <v>-26.140000000000015</v>
      </c>
      <c r="P73" s="16">
        <f>N73/L73</f>
        <v>1.9951736111111111</v>
      </c>
      <c r="Q73" s="14"/>
      <c r="R73" s="14"/>
      <c r="S73" s="17">
        <v>1.1023099999999999</v>
      </c>
      <c r="T73" s="15">
        <v>111.87</v>
      </c>
      <c r="U73" s="15">
        <v>133.85</v>
      </c>
      <c r="V73" s="15">
        <v>133.85</v>
      </c>
      <c r="W73" s="14" t="s">
        <v>1134</v>
      </c>
      <c r="X73" s="14">
        <v>2</v>
      </c>
      <c r="Y73" s="10">
        <f>AC73-AB73</f>
        <v>0</v>
      </c>
      <c r="Z73" s="18">
        <v>-1</v>
      </c>
      <c r="AA73" s="18">
        <v>-1</v>
      </c>
      <c r="AB73" s="18"/>
      <c r="AC73" s="18"/>
      <c r="AD73" s="1" t="s">
        <v>3768</v>
      </c>
      <c r="AE73" s="1" t="s">
        <v>3769</v>
      </c>
      <c r="AF73" s="4">
        <v>27.2</v>
      </c>
      <c r="AG73" s="4">
        <v>6.6</v>
      </c>
    </row>
    <row r="74" spans="1:33" ht="47.25" customHeight="1" x14ac:dyDescent="0.25">
      <c r="A74" s="10" t="s">
        <v>5795</v>
      </c>
      <c r="B74" s="11" t="s">
        <v>33</v>
      </c>
      <c r="C74" s="12" t="s">
        <v>5796</v>
      </c>
      <c r="D74" s="27"/>
      <c r="E74" s="14" t="s">
        <v>35</v>
      </c>
      <c r="F74" s="11" t="str">
        <f>HYPERLINK("https://redirect.sdcdeals.com/redirect?destination=https%3A%2F%2Fwww.amazon.com%2Fdp%2FB0BGWK3XQJ%3Fth%3D1%26psc%3D1%26tag%3Dsdcdeals03-20", "Amazon Link")</f>
        <v>Amazon Link</v>
      </c>
      <c r="G74" s="11" t="s">
        <v>36</v>
      </c>
      <c r="H74" s="14" t="s">
        <v>5797</v>
      </c>
      <c r="I74" s="11" t="str">
        <f>HYPERLINK("https://redirect.sdcdeals.com/redirect?code=763034&amp;mavely=https://mavely.app.link/e/bhESV2wGrGb&amp;destination=https%3A%2F%2Fwww.kohls.com%2Fsearch.jsp%3Fsubmit-search%3Dweb-regular%26search%3D55600952", "Retail Link")</f>
        <v>Retail Link</v>
      </c>
      <c r="J74" s="14" t="s">
        <v>5788</v>
      </c>
      <c r="K74" s="13" t="s">
        <v>5798</v>
      </c>
      <c r="L74" s="15">
        <v>10.8</v>
      </c>
      <c r="M74" s="15">
        <v>45</v>
      </c>
      <c r="N74" s="15">
        <v>21.4</v>
      </c>
      <c r="O74" s="15">
        <f>V74-M74</f>
        <v>-2.8800000000000026</v>
      </c>
      <c r="P74" s="16">
        <f>N74/L74</f>
        <v>1.9814814814814812</v>
      </c>
      <c r="Q74" s="14">
        <v>617311</v>
      </c>
      <c r="R74" s="14"/>
      <c r="S74" s="17">
        <v>0.45194709999999999</v>
      </c>
      <c r="T74" s="15">
        <v>39.1</v>
      </c>
      <c r="U74" s="15">
        <v>43.23</v>
      </c>
      <c r="V74" s="15">
        <v>42.12</v>
      </c>
      <c r="W74" s="14" t="s">
        <v>3023</v>
      </c>
      <c r="X74" s="14">
        <v>3</v>
      </c>
      <c r="Y74" s="10">
        <f>AC74-AB74</f>
        <v>0</v>
      </c>
      <c r="Z74" s="18">
        <v>10</v>
      </c>
      <c r="AA74" s="18">
        <v>35</v>
      </c>
      <c r="AB74" s="18">
        <v>0</v>
      </c>
      <c r="AC74" s="18"/>
      <c r="AD74" s="1" t="s">
        <v>5790</v>
      </c>
      <c r="AE74" s="1" t="s">
        <v>3822</v>
      </c>
      <c r="AF74" s="4">
        <v>7.65</v>
      </c>
      <c r="AG74" s="4">
        <v>6.05</v>
      </c>
    </row>
    <row r="75" spans="1:33" ht="47.25" customHeight="1" x14ac:dyDescent="0.25">
      <c r="A75" s="10" t="s">
        <v>5834</v>
      </c>
      <c r="B75" s="11" t="s">
        <v>33</v>
      </c>
      <c r="C75" s="12" t="s">
        <v>5835</v>
      </c>
      <c r="D75" s="27"/>
      <c r="E75" s="14" t="s">
        <v>35</v>
      </c>
      <c r="F75" s="11" t="str">
        <f>HYPERLINK("https://redirect.sdcdeals.com/redirect?destination=https%3A%2F%2Fwww.amazon.com%2Fdp%2FB0CGW1GPB3%3Fth%3D1%26psc%3D1%26tag%3Dsdcdeals03-20", "Amazon Link")</f>
        <v>Amazon Link</v>
      </c>
      <c r="G75" s="11" t="s">
        <v>36</v>
      </c>
      <c r="H75" s="14" t="s">
        <v>5836</v>
      </c>
      <c r="I75" s="11" t="str">
        <f>HYPERLINK("https://redirect.sdcdeals.com/redirect?code=763034&amp;mavely=https://mavely.app.link/e/bhESV2wGrGb&amp;destination=https%3A%2F%2Fwww.kohls.com%2Fsearch.jsp%3Fsubmit-search%3Dweb-regular%26search%3D80688240", "Retail Link")</f>
        <v>Retail Link</v>
      </c>
      <c r="J75" s="14" t="s">
        <v>5830</v>
      </c>
      <c r="K75" s="13" t="s">
        <v>5837</v>
      </c>
      <c r="L75" s="15">
        <v>7.6000000000000014</v>
      </c>
      <c r="M75" s="15">
        <v>32</v>
      </c>
      <c r="N75" s="15">
        <v>14.99</v>
      </c>
      <c r="O75" s="15">
        <f>V75-M75</f>
        <v>-3.9899999999999984</v>
      </c>
      <c r="P75" s="16">
        <f>N75/L75</f>
        <v>1.9723684210526313</v>
      </c>
      <c r="Q75" s="14">
        <v>241937</v>
      </c>
      <c r="R75" s="14"/>
      <c r="S75" s="17">
        <v>0.50044874000000006</v>
      </c>
      <c r="T75" s="15">
        <v>32</v>
      </c>
      <c r="U75" s="15">
        <v>29.22</v>
      </c>
      <c r="V75" s="15">
        <v>28.01</v>
      </c>
      <c r="W75" s="14" t="s">
        <v>3203</v>
      </c>
      <c r="X75" s="14">
        <v>2</v>
      </c>
      <c r="Y75" s="10">
        <f>AC75-AB75</f>
        <v>3</v>
      </c>
      <c r="Z75" s="18">
        <v>12</v>
      </c>
      <c r="AA75" s="18">
        <v>33</v>
      </c>
      <c r="AB75" s="18">
        <v>0</v>
      </c>
      <c r="AC75" s="18">
        <v>3</v>
      </c>
      <c r="AE75" s="1" t="s">
        <v>5833</v>
      </c>
      <c r="AF75" s="4">
        <v>5.44</v>
      </c>
      <c r="AG75" s="4">
        <v>4.6100000000000003</v>
      </c>
    </row>
    <row r="76" spans="1:33" ht="47.25" customHeight="1" x14ac:dyDescent="0.25">
      <c r="A76" s="10" t="s">
        <v>6009</v>
      </c>
      <c r="B76" s="11" t="s">
        <v>33</v>
      </c>
      <c r="C76" s="12" t="s">
        <v>6010</v>
      </c>
      <c r="D76" s="27"/>
      <c r="E76" s="14" t="s">
        <v>35</v>
      </c>
      <c r="F76" s="11" t="str">
        <f>HYPERLINK("https://redirect.sdcdeals.com/redirect?destination=https%3A%2F%2Fwww.amazon.com%2Fdp%2FB096YKRBCS%3Fth%3D1%26psc%3D1%26tag%3Dsdcdeals03-20", "Amazon Link")</f>
        <v>Amazon Link</v>
      </c>
      <c r="G76" s="11" t="s">
        <v>36</v>
      </c>
      <c r="H76" s="14" t="s">
        <v>6011</v>
      </c>
      <c r="I76" s="11" t="str">
        <f>HYPERLINK("https://redirect.sdcdeals.com/redirect?code=763034&amp;mavely=https://mavely.app.link/e/bhESV2wGrGb&amp;destination=https%3A%2F%2Fwww.kohls.com%2Fsearch.jsp%3Fsubmit-search%3Dweb-regular%26search%3D62532823", "Retail Link")</f>
        <v>Retail Link</v>
      </c>
      <c r="J76" s="14" t="s">
        <v>6002</v>
      </c>
      <c r="K76" s="13" t="s">
        <v>6012</v>
      </c>
      <c r="L76" s="15">
        <v>5.6000000000000014</v>
      </c>
      <c r="M76" s="15">
        <v>25</v>
      </c>
      <c r="N76" s="15">
        <v>11.04</v>
      </c>
      <c r="O76" s="15">
        <f>V76-M76</f>
        <v>-9</v>
      </c>
      <c r="P76" s="16">
        <f>N76/L76</f>
        <v>1.9714285714285709</v>
      </c>
      <c r="Q76" s="14">
        <v>44131</v>
      </c>
      <c r="R76" s="14"/>
      <c r="S76" s="17">
        <v>0.13889106000000001</v>
      </c>
      <c r="T76" s="15">
        <v>17.05</v>
      </c>
      <c r="U76" s="15">
        <v>16.96</v>
      </c>
      <c r="V76" s="15">
        <v>16</v>
      </c>
      <c r="W76" s="14" t="s">
        <v>1134</v>
      </c>
      <c r="X76" s="14">
        <v>1</v>
      </c>
      <c r="Y76" s="10">
        <f>AC76-AB76</f>
        <v>4286</v>
      </c>
      <c r="Z76" s="18">
        <v>24</v>
      </c>
      <c r="AA76" s="18">
        <v>87</v>
      </c>
      <c r="AB76" s="18">
        <v>20</v>
      </c>
      <c r="AC76" s="18">
        <v>4306</v>
      </c>
      <c r="AD76" s="1" t="s">
        <v>6004</v>
      </c>
      <c r="AE76" s="1" t="s">
        <v>278</v>
      </c>
      <c r="AF76" s="4">
        <v>4.25</v>
      </c>
      <c r="AG76" s="4">
        <v>4.6100000000000003</v>
      </c>
    </row>
    <row r="77" spans="1:33" ht="47.25" customHeight="1" x14ac:dyDescent="0.25">
      <c r="A77" s="10" t="s">
        <v>5999</v>
      </c>
      <c r="B77" s="11" t="s">
        <v>33</v>
      </c>
      <c r="C77" s="12" t="s">
        <v>6000</v>
      </c>
      <c r="D77" s="27"/>
      <c r="E77" s="14" t="s">
        <v>35</v>
      </c>
      <c r="F77" s="11" t="str">
        <f>HYPERLINK("https://redirect.sdcdeals.com/redirect?destination=https%3A%2F%2Fwww.amazon.com%2Fdp%2FB096YKDZF7%3Fth%3D1%26psc%3D1%26tag%3Dsdcdeals03-20", "Amazon Link")</f>
        <v>Amazon Link</v>
      </c>
      <c r="G77" s="11" t="s">
        <v>36</v>
      </c>
      <c r="H77" s="14" t="s">
        <v>6001</v>
      </c>
      <c r="I77" s="11" t="str">
        <f>HYPERLINK("https://redirect.sdcdeals.com/redirect?code=763034&amp;mavely=https://mavely.app.link/e/bhESV2wGrGb&amp;destination=https%3A%2F%2Fwww.kohls.com%2Fsearch.jsp%3Fsubmit-search%3Dweb-regular%26search%3D62532821", "Retail Link")</f>
        <v>Retail Link</v>
      </c>
      <c r="J77" s="14" t="s">
        <v>6002</v>
      </c>
      <c r="K77" s="13" t="s">
        <v>6003</v>
      </c>
      <c r="L77" s="15">
        <v>5.6000000000000014</v>
      </c>
      <c r="M77" s="15">
        <v>25</v>
      </c>
      <c r="N77" s="15">
        <v>10.98</v>
      </c>
      <c r="O77" s="15">
        <f>V77-M77</f>
        <v>-1.0000000000001563E-2</v>
      </c>
      <c r="P77" s="16">
        <f>N77/L77</f>
        <v>1.9607142857142852</v>
      </c>
      <c r="Q77" s="14">
        <v>46776</v>
      </c>
      <c r="R77" s="14"/>
      <c r="S77" s="17">
        <v>0.13889106000000001</v>
      </c>
      <c r="T77" s="15">
        <v>17.05</v>
      </c>
      <c r="U77" s="15">
        <v>24.99</v>
      </c>
      <c r="V77" s="15">
        <v>24.99</v>
      </c>
      <c r="W77" s="14" t="s">
        <v>1621</v>
      </c>
      <c r="X77" s="14">
        <v>1</v>
      </c>
      <c r="Y77" s="10">
        <f>AC77-AB77</f>
        <v>4299</v>
      </c>
      <c r="Z77" s="18">
        <v>27</v>
      </c>
      <c r="AA77" s="18">
        <v>98</v>
      </c>
      <c r="AB77" s="18">
        <v>7</v>
      </c>
      <c r="AC77" s="18">
        <v>4306</v>
      </c>
      <c r="AD77" s="1" t="s">
        <v>6004</v>
      </c>
      <c r="AE77" s="1" t="s">
        <v>278</v>
      </c>
      <c r="AF77" s="4">
        <v>4.25</v>
      </c>
      <c r="AG77" s="4">
        <v>4.67</v>
      </c>
    </row>
    <row r="78" spans="1:33" ht="47.25" customHeight="1" x14ac:dyDescent="0.25">
      <c r="A78" s="10" t="s">
        <v>1016</v>
      </c>
      <c r="B78" s="11" t="s">
        <v>33</v>
      </c>
      <c r="C78" s="12" t="s">
        <v>1017</v>
      </c>
      <c r="D78" s="27"/>
      <c r="E78" s="14" t="s">
        <v>35</v>
      </c>
      <c r="F78" s="11" t="str">
        <f>HYPERLINK("https://redirect.sdcdeals.com/redirect?destination=https%3A%2F%2Fwww.amazon.com%2Fdp%2FB0CNBHK17J%3Fth%3D1%26psc%3D1%26tag%3Dsdcdeals03-20", "Amazon Link")</f>
        <v>Amazon Link</v>
      </c>
      <c r="G78" s="11" t="s">
        <v>36</v>
      </c>
      <c r="H78" s="14" t="s">
        <v>1018</v>
      </c>
      <c r="I78" s="11" t="str">
        <f>HYPERLINK("https://redirect.sdcdeals.com/redirect?code=763034&amp;mavely=https://mavely.app.link/e/bhESV2wGrGb&amp;destination=https%3A%2F%2Fwww.kohls.com%2Fsearch.jsp%3Fsubmit-search%3Dweb-regular%26search%3D65209271", "Retail Link")</f>
        <v>Retail Link</v>
      </c>
      <c r="J78" s="14" t="s">
        <v>1012</v>
      </c>
      <c r="K78" s="13" t="s">
        <v>1019</v>
      </c>
      <c r="L78" s="15">
        <v>6</v>
      </c>
      <c r="M78" s="15">
        <v>27.99</v>
      </c>
      <c r="N78" s="15">
        <v>11.7415</v>
      </c>
      <c r="O78" s="15">
        <f>V78-M78</f>
        <v>-2.2099999999999973</v>
      </c>
      <c r="P78" s="16">
        <f>N78/L78</f>
        <v>1.9569166666666666</v>
      </c>
      <c r="Q78" s="14">
        <v>431543</v>
      </c>
      <c r="R78" s="14"/>
      <c r="S78" s="17">
        <v>0.65036289999999997</v>
      </c>
      <c r="T78" s="15">
        <v>27.99</v>
      </c>
      <c r="U78" s="15">
        <v>27.99</v>
      </c>
      <c r="V78" s="15">
        <v>25.78</v>
      </c>
      <c r="W78" s="14" t="s">
        <v>1020</v>
      </c>
      <c r="X78" s="14">
        <v>1</v>
      </c>
      <c r="Y78" s="10">
        <f>AC78-AB78</f>
        <v>49</v>
      </c>
      <c r="Z78" s="18">
        <v>4</v>
      </c>
      <c r="AA78" s="18">
        <v>25</v>
      </c>
      <c r="AB78" s="18">
        <v>0</v>
      </c>
      <c r="AC78" s="18">
        <v>49</v>
      </c>
      <c r="AE78" s="1" t="s">
        <v>1015</v>
      </c>
      <c r="AF78" s="4">
        <v>4.76</v>
      </c>
      <c r="AG78" s="4">
        <v>6.05</v>
      </c>
    </row>
    <row r="79" spans="1:33" ht="47.25" customHeight="1" x14ac:dyDescent="0.25">
      <c r="A79" s="10" t="s">
        <v>432</v>
      </c>
      <c r="B79" s="11" t="s">
        <v>33</v>
      </c>
      <c r="C79" s="12" t="s">
        <v>433</v>
      </c>
      <c r="D79" s="27"/>
      <c r="E79" s="14" t="s">
        <v>35</v>
      </c>
      <c r="F79" s="11" t="str">
        <f>HYPERLINK("https://redirect.sdcdeals.com/redirect?destination=https%3A%2F%2Fwww.amazon.com%2Fdp%2FB09PDX6BT1%3Fth%3D1%26psc%3D1%26tag%3Dsdcdeals03-20", "Amazon Link")</f>
        <v>Amazon Link</v>
      </c>
      <c r="G79" s="11" t="s">
        <v>36</v>
      </c>
      <c r="H79" s="14" t="s">
        <v>434</v>
      </c>
      <c r="I79" s="11" t="str">
        <f>HYPERLINK("https://redirect.sdcdeals.com/redirect?code=763034&amp;mavely=https://mavely.app.link/e/bhESV2wGrGb&amp;destination=https%3A%2F%2Fwww.kohls.com%2Fsearch.jsp%3Fsubmit-search%3Dweb-regular%26search%3D68693401", "Retail Link")</f>
        <v>Retail Link</v>
      </c>
      <c r="J79" s="14" t="s">
        <v>426</v>
      </c>
      <c r="K79" s="13" t="s">
        <v>435</v>
      </c>
      <c r="L79" s="15">
        <v>12</v>
      </c>
      <c r="M79" s="15">
        <v>50</v>
      </c>
      <c r="N79" s="15">
        <v>23.42</v>
      </c>
      <c r="O79" s="15">
        <f>V79-M79</f>
        <v>0</v>
      </c>
      <c r="P79" s="16">
        <f>N79/L79</f>
        <v>1.9516666666666669</v>
      </c>
      <c r="Q79" s="14">
        <v>1284819</v>
      </c>
      <c r="R79" s="14"/>
      <c r="S79" s="17">
        <v>1.4109567999999999</v>
      </c>
      <c r="T79" s="15"/>
      <c r="U79" s="15">
        <v>50</v>
      </c>
      <c r="V79" s="15">
        <v>50</v>
      </c>
      <c r="W79" s="14" t="s">
        <v>436</v>
      </c>
      <c r="X79" s="14">
        <v>1</v>
      </c>
      <c r="Y79" s="10">
        <f>AC79-AB79</f>
        <v>24</v>
      </c>
      <c r="Z79" s="18">
        <v>1</v>
      </c>
      <c r="AA79" s="18">
        <v>4</v>
      </c>
      <c r="AB79" s="18">
        <v>2</v>
      </c>
      <c r="AC79" s="18">
        <v>26</v>
      </c>
      <c r="AD79" s="1" t="s">
        <v>437</v>
      </c>
      <c r="AE79" s="1" t="s">
        <v>438</v>
      </c>
      <c r="AG79" s="4">
        <v>7.08</v>
      </c>
    </row>
    <row r="80" spans="1:33" ht="47.25" customHeight="1" x14ac:dyDescent="0.25">
      <c r="A80" s="10" t="s">
        <v>5791</v>
      </c>
      <c r="B80" s="11" t="s">
        <v>33</v>
      </c>
      <c r="C80" s="12" t="s">
        <v>5792</v>
      </c>
      <c r="D80" s="27"/>
      <c r="E80" s="14" t="s">
        <v>35</v>
      </c>
      <c r="F80" s="11" t="str">
        <f>HYPERLINK("https://redirect.sdcdeals.com/redirect?destination=https%3A%2F%2Fwww.amazon.com%2Fdp%2FB0BGVSJY1X%3Fth%3D1%26psc%3D1%26tag%3Dsdcdeals03-20", "Amazon Link")</f>
        <v>Amazon Link</v>
      </c>
      <c r="G80" s="11" t="s">
        <v>36</v>
      </c>
      <c r="H80" s="14" t="s">
        <v>5793</v>
      </c>
      <c r="I80" s="11" t="str">
        <f>HYPERLINK("https://redirect.sdcdeals.com/redirect?code=763034&amp;mavely=https://mavely.app.link/e/bhESV2wGrGb&amp;destination=https%3A%2F%2Fwww.kohls.com%2Fsearch.jsp%3Fsubmit-search%3Dweb-regular%26search%3D55600954", "Retail Link")</f>
        <v>Retail Link</v>
      </c>
      <c r="J80" s="14" t="s">
        <v>5788</v>
      </c>
      <c r="K80" s="13" t="s">
        <v>5794</v>
      </c>
      <c r="L80" s="15">
        <v>10.8</v>
      </c>
      <c r="M80" s="15">
        <v>44.52</v>
      </c>
      <c r="N80" s="15">
        <v>20.902000000000001</v>
      </c>
      <c r="O80" s="15">
        <f>V80-M80</f>
        <v>-10.850000000000001</v>
      </c>
      <c r="P80" s="16">
        <f>N80/L80</f>
        <v>1.9353703703703704</v>
      </c>
      <c r="Q80" s="14">
        <v>508841</v>
      </c>
      <c r="R80" s="14"/>
      <c r="S80" s="17">
        <v>0.45194709999999999</v>
      </c>
      <c r="T80" s="15">
        <v>39.1</v>
      </c>
      <c r="U80" s="15">
        <v>31.75</v>
      </c>
      <c r="V80" s="15">
        <v>33.67</v>
      </c>
      <c r="W80" s="14" t="s">
        <v>742</v>
      </c>
      <c r="X80" s="14">
        <v>4</v>
      </c>
      <c r="Y80" s="10">
        <f>AC80-AB80</f>
        <v>0</v>
      </c>
      <c r="Z80" s="18">
        <v>19</v>
      </c>
      <c r="AA80" s="18">
        <v>28</v>
      </c>
      <c r="AB80" s="18">
        <v>0</v>
      </c>
      <c r="AC80" s="18"/>
      <c r="AD80" s="1" t="s">
        <v>5790</v>
      </c>
      <c r="AE80" s="1" t="s">
        <v>4889</v>
      </c>
      <c r="AF80" s="4">
        <v>7.57</v>
      </c>
      <c r="AG80" s="4">
        <v>6.14</v>
      </c>
    </row>
    <row r="81" spans="1:33" ht="47.25" customHeight="1" x14ac:dyDescent="0.25">
      <c r="A81" s="10" t="s">
        <v>6834</v>
      </c>
      <c r="B81" s="11" t="s">
        <v>33</v>
      </c>
      <c r="C81" s="12" t="s">
        <v>6835</v>
      </c>
      <c r="D81" s="27"/>
      <c r="E81" s="14" t="s">
        <v>35</v>
      </c>
      <c r="F81" s="11" t="str">
        <f>HYPERLINK("https://redirect.sdcdeals.com/redirect?destination=https%3A%2F%2Fwww.amazon.com%2Fdp%2FB0BJ7TMVB3%3Fth%3D1%26psc%3D1%26tag%3Dsdcdeals03-20", "Amazon Link")</f>
        <v>Amazon Link</v>
      </c>
      <c r="G81" s="11" t="s">
        <v>36</v>
      </c>
      <c r="H81" s="14" t="s">
        <v>6836</v>
      </c>
      <c r="I81" s="11" t="str">
        <f>HYPERLINK("https://redirect.sdcdeals.com/redirect?code=763034&amp;mavely=https://mavely.app.link/e/bhESV2wGrGb&amp;destination=https%3A%2F%2Fwww.kohls.com%2Fsearch.jsp%3Fsubmit-search%3Dweb-regular%26search%3D81851919", "Retail Link")</f>
        <v>Retail Link</v>
      </c>
      <c r="J81" s="14" t="s">
        <v>6830</v>
      </c>
      <c r="K81" s="13" t="s">
        <v>6837</v>
      </c>
      <c r="L81" s="15">
        <v>8.4</v>
      </c>
      <c r="M81" s="15">
        <v>35</v>
      </c>
      <c r="N81" s="15">
        <v>16.23</v>
      </c>
      <c r="O81" s="15">
        <f>V81-M81</f>
        <v>-8.02</v>
      </c>
      <c r="P81" s="16">
        <f>N81/L81</f>
        <v>1.9321428571428572</v>
      </c>
      <c r="Q81" s="14">
        <v>148818</v>
      </c>
      <c r="R81" s="14"/>
      <c r="S81" s="17">
        <v>0.35053457999999998</v>
      </c>
      <c r="T81" s="15">
        <v>35</v>
      </c>
      <c r="U81" s="15">
        <v>33.46</v>
      </c>
      <c r="V81" s="15">
        <v>26.98</v>
      </c>
      <c r="W81" s="14" t="s">
        <v>301</v>
      </c>
      <c r="X81" s="14">
        <v>2</v>
      </c>
      <c r="Y81" s="10">
        <f>AC81-AB81</f>
        <v>10</v>
      </c>
      <c r="Z81" s="18">
        <v>14</v>
      </c>
      <c r="AA81" s="18">
        <v>47</v>
      </c>
      <c r="AB81" s="18">
        <v>0</v>
      </c>
      <c r="AC81" s="18">
        <v>10</v>
      </c>
      <c r="AD81" s="1" t="s">
        <v>6832</v>
      </c>
      <c r="AE81" s="1" t="s">
        <v>6833</v>
      </c>
      <c r="AF81" s="4">
        <v>5.95</v>
      </c>
      <c r="AG81" s="4">
        <v>5.12</v>
      </c>
    </row>
    <row r="82" spans="1:33" ht="47.25" customHeight="1" x14ac:dyDescent="0.25">
      <c r="A82" s="10" t="s">
        <v>5785</v>
      </c>
      <c r="B82" s="11" t="s">
        <v>33</v>
      </c>
      <c r="C82" s="12" t="s">
        <v>5786</v>
      </c>
      <c r="D82" s="27"/>
      <c r="E82" s="14" t="s">
        <v>35</v>
      </c>
      <c r="F82" s="11" t="str">
        <f>HYPERLINK("https://redirect.sdcdeals.com/redirect?destination=https%3A%2F%2Fwww.amazon.com%2Fdp%2FB0BGVVDWPV%3Fth%3D1%26psc%3D1%26tag%3Dsdcdeals03-20", "Amazon Link")</f>
        <v>Amazon Link</v>
      </c>
      <c r="G82" s="11" t="s">
        <v>36</v>
      </c>
      <c r="H82" s="14" t="s">
        <v>5787</v>
      </c>
      <c r="I82" s="11" t="str">
        <f>HYPERLINK("https://redirect.sdcdeals.com/redirect?code=763034&amp;mavely=https://mavely.app.link/e/bhESV2wGrGb&amp;destination=https%3A%2F%2Fwww.kohls.com%2Fsearch.jsp%3Fsubmit-search%3Dweb-regular%26search%3D55600950", "Retail Link")</f>
        <v>Retail Link</v>
      </c>
      <c r="J82" s="14" t="s">
        <v>5788</v>
      </c>
      <c r="K82" s="13" t="s">
        <v>5789</v>
      </c>
      <c r="L82" s="15">
        <v>10.8</v>
      </c>
      <c r="M82" s="15">
        <v>45</v>
      </c>
      <c r="N82" s="15">
        <v>20.85</v>
      </c>
      <c r="O82" s="15">
        <f>V82-M82</f>
        <v>-7.1300000000000026</v>
      </c>
      <c r="P82" s="16">
        <f>N82/L82</f>
        <v>1.9305555555555556</v>
      </c>
      <c r="Q82" s="14">
        <v>617311</v>
      </c>
      <c r="R82" s="14"/>
      <c r="S82" s="17">
        <v>0.73854770000000003</v>
      </c>
      <c r="T82" s="15">
        <v>39.1</v>
      </c>
      <c r="U82" s="15">
        <v>43.42</v>
      </c>
      <c r="V82" s="15">
        <v>37.869999999999997</v>
      </c>
      <c r="W82" s="14" t="s">
        <v>1097</v>
      </c>
      <c r="X82" s="14">
        <v>3</v>
      </c>
      <c r="Y82" s="10">
        <f>AC82-AB82</f>
        <v>0</v>
      </c>
      <c r="Z82" s="18">
        <v>14</v>
      </c>
      <c r="AA82" s="18">
        <v>45</v>
      </c>
      <c r="AB82" s="18">
        <v>0</v>
      </c>
      <c r="AC82" s="18"/>
      <c r="AD82" s="1" t="s">
        <v>5790</v>
      </c>
      <c r="AE82" s="1" t="s">
        <v>3822</v>
      </c>
      <c r="AF82" s="4">
        <v>7.65</v>
      </c>
      <c r="AG82" s="4">
        <v>6.6</v>
      </c>
    </row>
    <row r="83" spans="1:33" ht="47.25" customHeight="1" x14ac:dyDescent="0.25">
      <c r="A83" s="10" t="s">
        <v>2095</v>
      </c>
      <c r="B83" s="11" t="s">
        <v>33</v>
      </c>
      <c r="C83" s="12" t="s">
        <v>2096</v>
      </c>
      <c r="D83" s="27"/>
      <c r="E83" s="14" t="s">
        <v>35</v>
      </c>
      <c r="F83" s="11" t="str">
        <f>HYPERLINK("https://redirect.sdcdeals.com/redirect?destination=https%3A%2F%2Fwww.amazon.com%2Fdp%2FB07D1NSRM9%3Fth%3D1%26psc%3D1%26tag%3Dsdcdeals03-20", "Amazon Link")</f>
        <v>Amazon Link</v>
      </c>
      <c r="G83" s="11" t="s">
        <v>36</v>
      </c>
      <c r="H83" s="14" t="s">
        <v>2097</v>
      </c>
      <c r="I83" s="11" t="str">
        <f>HYPERLINK("https://redirect.sdcdeals.com/redirect?code=763034&amp;mavely=https://mavely.app.link/e/bhESV2wGrGb&amp;destination=https%3A%2F%2Fwww.kohls.com%2Fsearch.jsp%3Fsubmit-search%3Dweb-regular%26search%3D28149183", "Retail Link")</f>
        <v>Retail Link</v>
      </c>
      <c r="J83" s="14" t="s">
        <v>2048</v>
      </c>
      <c r="K83" s="13" t="s">
        <v>2098</v>
      </c>
      <c r="L83" s="15">
        <v>9.6000000000000014</v>
      </c>
      <c r="M83" s="15">
        <v>39.99</v>
      </c>
      <c r="N83" s="15">
        <v>18.3415</v>
      </c>
      <c r="O83" s="15">
        <f>V83-M83</f>
        <v>-5.2800000000000011</v>
      </c>
      <c r="P83" s="16">
        <f>N83/L83</f>
        <v>1.9105729166666663</v>
      </c>
      <c r="Q83" s="14">
        <v>583</v>
      </c>
      <c r="R83" s="14"/>
      <c r="S83" s="17">
        <v>1.0493991199999999</v>
      </c>
      <c r="T83" s="15">
        <v>39.99</v>
      </c>
      <c r="U83" s="15">
        <v>35.590000000000003</v>
      </c>
      <c r="V83" s="15">
        <v>34.71</v>
      </c>
      <c r="W83" s="14" t="s">
        <v>2099</v>
      </c>
      <c r="X83" s="14">
        <v>1</v>
      </c>
      <c r="Y83" s="10">
        <f>AC83-AB83</f>
        <v>53272</v>
      </c>
      <c r="Z83" s="18">
        <v>70</v>
      </c>
      <c r="AA83" s="18">
        <v>186</v>
      </c>
      <c r="AB83" s="18">
        <v>28</v>
      </c>
      <c r="AC83" s="18">
        <v>53300</v>
      </c>
      <c r="AD83" s="1" t="s">
        <v>2050</v>
      </c>
      <c r="AE83" s="1" t="s">
        <v>2057</v>
      </c>
      <c r="AF83" s="4">
        <v>6.8</v>
      </c>
      <c r="AG83" s="4">
        <v>6.05</v>
      </c>
    </row>
    <row r="84" spans="1:33" ht="47.25" customHeight="1" x14ac:dyDescent="0.25">
      <c r="A84" s="10" t="s">
        <v>6458</v>
      </c>
      <c r="B84" s="11" t="s">
        <v>33</v>
      </c>
      <c r="C84" s="12" t="s">
        <v>6459</v>
      </c>
      <c r="D84" s="27"/>
      <c r="E84" s="14" t="s">
        <v>35</v>
      </c>
      <c r="F84" s="11" t="str">
        <f>HYPERLINK("https://redirect.sdcdeals.com/redirect?destination=https%3A%2F%2Fwww.amazon.com%2Fdp%2FB0BPF1DZ8R%3Fth%3D1%26psc%3D1%26tag%3Dsdcdeals03-20", "Amazon Link")</f>
        <v>Amazon Link</v>
      </c>
      <c r="G84" s="11" t="s">
        <v>36</v>
      </c>
      <c r="H84" s="14" t="s">
        <v>6460</v>
      </c>
      <c r="I84" s="11" t="str">
        <f>HYPERLINK("https://redirect.sdcdeals.com/redirect?code=763034&amp;mavely=https://mavely.app.link/e/bhESV2wGrGb&amp;destination=https%3A%2F%2Fwww.kohls.com%2Fsearch.jsp%3Fsubmit-search%3Dweb-regular%26search%3D74405952", "Retail Link")</f>
        <v>Retail Link</v>
      </c>
      <c r="J84" s="14" t="s">
        <v>6447</v>
      </c>
      <c r="K84" s="13" t="s">
        <v>6461</v>
      </c>
      <c r="L84" s="15">
        <v>4.84</v>
      </c>
      <c r="M84" s="15">
        <v>22.36</v>
      </c>
      <c r="N84" s="15">
        <v>9.1760000000000002</v>
      </c>
      <c r="O84" s="15">
        <f>V84-M84</f>
        <v>-8.82</v>
      </c>
      <c r="P84" s="16">
        <f>N84/L84</f>
        <v>1.8958677685950414</v>
      </c>
      <c r="Q84" s="14">
        <v>93705</v>
      </c>
      <c r="R84" s="14"/>
      <c r="S84" s="17">
        <v>0.28660059999999998</v>
      </c>
      <c r="T84" s="15">
        <v>11.99</v>
      </c>
      <c r="U84" s="15">
        <v>14.92</v>
      </c>
      <c r="V84" s="15">
        <v>13.54</v>
      </c>
      <c r="W84" s="14" t="s">
        <v>269</v>
      </c>
      <c r="X84" s="14">
        <v>3</v>
      </c>
      <c r="Y84" s="10">
        <f>AC84-AB84</f>
        <v>0</v>
      </c>
      <c r="Z84" s="18">
        <v>15</v>
      </c>
      <c r="AA84" s="18">
        <v>46</v>
      </c>
      <c r="AB84" s="18">
        <v>0</v>
      </c>
      <c r="AC84" s="18"/>
      <c r="AD84" s="1" t="s">
        <v>6449</v>
      </c>
      <c r="AE84" s="1" t="s">
        <v>5497</v>
      </c>
      <c r="AF84" s="4">
        <v>3.35</v>
      </c>
      <c r="AG84" s="4">
        <v>4.99</v>
      </c>
    </row>
    <row r="85" spans="1:33" ht="47.25" customHeight="1" x14ac:dyDescent="0.25">
      <c r="A85" s="10" t="s">
        <v>7400</v>
      </c>
      <c r="B85" s="11" t="s">
        <v>33</v>
      </c>
      <c r="C85" s="12" t="s">
        <v>7401</v>
      </c>
      <c r="D85" s="27"/>
      <c r="E85" s="14" t="s">
        <v>35</v>
      </c>
      <c r="F85" s="11" t="str">
        <f>HYPERLINK("https://redirect.sdcdeals.com/redirect?destination=https%3A%2F%2Fwww.amazon.com%2Fdp%2FB0B293KSRX%3Fth%3D1%26psc%3D1%26tag%3Dsdcdeals03-20", "Amazon Link")</f>
        <v>Amazon Link</v>
      </c>
      <c r="G85" s="11" t="s">
        <v>36</v>
      </c>
      <c r="H85" s="14" t="s">
        <v>7402</v>
      </c>
      <c r="I85" s="11" t="str">
        <f>HYPERLINK("https://redirect.sdcdeals.com/redirect?code=763034&amp;mavely=https://mavely.app.link/e/bhESV2wGrGb&amp;destination=https%3A%2F%2Fwww.kohls.com%2Fsearch.jsp%3Fsubmit-search%3Dweb-regular%26search%3D30100069", "Retail Link")</f>
        <v>Retail Link</v>
      </c>
      <c r="J85" s="14" t="s">
        <v>7396</v>
      </c>
      <c r="K85" s="13" t="s">
        <v>7403</v>
      </c>
      <c r="L85" s="15">
        <v>6.76</v>
      </c>
      <c r="M85" s="15">
        <v>29.05</v>
      </c>
      <c r="N85" s="15">
        <v>12.8125</v>
      </c>
      <c r="O85" s="15">
        <f>V85-M85</f>
        <v>8.9499999999999993</v>
      </c>
      <c r="P85" s="16">
        <f>N85/L85</f>
        <v>1.8953402366863905</v>
      </c>
      <c r="Q85" s="14">
        <v>3711169</v>
      </c>
      <c r="R85" s="14"/>
      <c r="S85" s="17">
        <v>0.35053457999999998</v>
      </c>
      <c r="T85" s="15">
        <v>21.1</v>
      </c>
      <c r="U85" s="15">
        <v>38.61</v>
      </c>
      <c r="V85" s="15">
        <v>38</v>
      </c>
      <c r="W85" s="14" t="s">
        <v>1536</v>
      </c>
      <c r="X85" s="14">
        <v>2</v>
      </c>
      <c r="Y85" s="10">
        <f>AC85-AB85</f>
        <v>1</v>
      </c>
      <c r="Z85" s="18">
        <v>1</v>
      </c>
      <c r="AA85" s="18">
        <v>2</v>
      </c>
      <c r="AB85" s="18">
        <v>0</v>
      </c>
      <c r="AC85" s="18">
        <v>1</v>
      </c>
      <c r="AD85" s="1" t="s">
        <v>7398</v>
      </c>
      <c r="AE85" s="1" t="s">
        <v>1675</v>
      </c>
      <c r="AF85" s="4">
        <v>4.9400000000000004</v>
      </c>
      <c r="AG85" s="4">
        <v>5.12</v>
      </c>
    </row>
    <row r="86" spans="1:33" ht="47.25" customHeight="1" x14ac:dyDescent="0.25">
      <c r="A86" s="10" t="s">
        <v>2063</v>
      </c>
      <c r="B86" s="11" t="s">
        <v>33</v>
      </c>
      <c r="C86" s="12" t="s">
        <v>2064</v>
      </c>
      <c r="D86" s="27"/>
      <c r="E86" s="14" t="s">
        <v>35</v>
      </c>
      <c r="F86" s="11" t="str">
        <f>HYPERLINK("https://redirect.sdcdeals.com/redirect?destination=https%3A%2F%2Fwww.amazon.com%2Fdp%2FB09B6962FZ%3Fth%3D1%26psc%3D1%26tag%3Dsdcdeals03-20", "Amazon Link")</f>
        <v>Amazon Link</v>
      </c>
      <c r="G86" s="11" t="s">
        <v>36</v>
      </c>
      <c r="H86" s="14" t="s">
        <v>2065</v>
      </c>
      <c r="I86" s="11" t="str">
        <f>HYPERLINK("https://redirect.sdcdeals.com/redirect?code=763034&amp;mavely=https://mavely.app.link/e/bhESV2wGrGb&amp;destination=https%3A%2F%2Fwww.kohls.com%2Fsearch.jsp%3Fsubmit-search%3Dweb-regular%26search%3D69700395", "Retail Link")</f>
        <v>Retail Link</v>
      </c>
      <c r="J86" s="14" t="s">
        <v>2048</v>
      </c>
      <c r="K86" s="13" t="s">
        <v>2066</v>
      </c>
      <c r="L86" s="15">
        <v>9.6000000000000014</v>
      </c>
      <c r="M86" s="15">
        <v>39.99</v>
      </c>
      <c r="N86" s="15">
        <v>17.9115</v>
      </c>
      <c r="O86" s="15">
        <f>V86-M86</f>
        <v>-3.3400000000000034</v>
      </c>
      <c r="P86" s="16">
        <f>N86/L86</f>
        <v>1.8657812499999997</v>
      </c>
      <c r="Q86" s="14">
        <v>581</v>
      </c>
      <c r="R86" s="14"/>
      <c r="S86" s="17">
        <v>1.2566333999999999</v>
      </c>
      <c r="T86" s="15">
        <v>39.99</v>
      </c>
      <c r="U86" s="15">
        <v>38.86</v>
      </c>
      <c r="V86" s="15">
        <v>36.65</v>
      </c>
      <c r="W86" s="14" t="s">
        <v>835</v>
      </c>
      <c r="X86" s="14">
        <v>1</v>
      </c>
      <c r="Y86" s="10">
        <f>AC86-AB86</f>
        <v>53299</v>
      </c>
      <c r="Z86" s="18">
        <v>51</v>
      </c>
      <c r="AA86" s="18">
        <v>131</v>
      </c>
      <c r="AB86" s="18">
        <v>1</v>
      </c>
      <c r="AC86" s="18">
        <v>53300</v>
      </c>
      <c r="AD86" s="1" t="s">
        <v>2050</v>
      </c>
      <c r="AE86" s="1" t="s">
        <v>2067</v>
      </c>
      <c r="AF86" s="4">
        <v>6.8</v>
      </c>
      <c r="AG86" s="4">
        <v>6.48</v>
      </c>
    </row>
    <row r="87" spans="1:33" ht="47.25" customHeight="1" x14ac:dyDescent="0.25">
      <c r="A87" s="10" t="s">
        <v>7083</v>
      </c>
      <c r="B87" s="11" t="s">
        <v>33</v>
      </c>
      <c r="C87" s="12" t="s">
        <v>7084</v>
      </c>
      <c r="D87" s="27"/>
      <c r="E87" s="14" t="s">
        <v>35</v>
      </c>
      <c r="F87" s="11" t="str">
        <f>HYPERLINK("https://redirect.sdcdeals.com/redirect?destination=https%3A%2F%2Fwww.amazon.com%2Fdp%2FB0B198S3HC%3Fth%3D1%26psc%3D1%26tag%3Dsdcdeals03-20", "Amazon Link")</f>
        <v>Amazon Link</v>
      </c>
      <c r="G87" s="11" t="s">
        <v>36</v>
      </c>
      <c r="H87" s="14" t="s">
        <v>7085</v>
      </c>
      <c r="I87" s="11" t="str">
        <f>HYPERLINK("https://redirect.sdcdeals.com/redirect?code=763034&amp;mavely=https://mavely.app.link/e/bhESV2wGrGb&amp;destination=https%3A%2F%2Fwww.kohls.com%2Fsearch.jsp%3Fsubmit-search%3Dweb-regular%26search%3D55966241", "Retail Link")</f>
        <v>Retail Link</v>
      </c>
      <c r="J87" s="14" t="s">
        <v>7075</v>
      </c>
      <c r="K87" s="13" t="s">
        <v>7086</v>
      </c>
      <c r="L87" s="15">
        <v>14.304</v>
      </c>
      <c r="M87" s="15">
        <v>56.45</v>
      </c>
      <c r="N87" s="15">
        <v>26.598500000000001</v>
      </c>
      <c r="O87" s="15">
        <f>V87-M87</f>
        <v>-8.8800000000000026</v>
      </c>
      <c r="P87" s="16">
        <f>N87/L87</f>
        <v>1.8595148210290828</v>
      </c>
      <c r="Q87" s="14">
        <v>176662</v>
      </c>
      <c r="R87" s="14"/>
      <c r="S87" s="17">
        <v>1.3955244600000001</v>
      </c>
      <c r="T87" s="15">
        <v>56.45</v>
      </c>
      <c r="U87" s="15">
        <v>53.35</v>
      </c>
      <c r="V87" s="15">
        <v>47.57</v>
      </c>
      <c r="W87" s="14" t="s">
        <v>282</v>
      </c>
      <c r="X87" s="14">
        <v>1</v>
      </c>
      <c r="Y87" s="10">
        <f>AC87-AB87</f>
        <v>188</v>
      </c>
      <c r="Z87" s="18">
        <v>22</v>
      </c>
      <c r="AA87" s="18">
        <v>53</v>
      </c>
      <c r="AB87" s="18">
        <v>0</v>
      </c>
      <c r="AC87" s="18">
        <v>188</v>
      </c>
      <c r="AD87" s="1" t="s">
        <v>7077</v>
      </c>
      <c r="AE87" s="1" t="s">
        <v>7078</v>
      </c>
      <c r="AF87" s="4">
        <v>9.6</v>
      </c>
      <c r="AG87" s="4">
        <v>7.08</v>
      </c>
    </row>
    <row r="88" spans="1:33" ht="47.25" customHeight="1" x14ac:dyDescent="0.25">
      <c r="A88" s="10" t="s">
        <v>7087</v>
      </c>
      <c r="B88" s="11" t="s">
        <v>33</v>
      </c>
      <c r="C88" s="12" t="s">
        <v>7088</v>
      </c>
      <c r="D88" s="27"/>
      <c r="E88" s="14" t="s">
        <v>35</v>
      </c>
      <c r="F88" s="11" t="str">
        <f>HYPERLINK("https://redirect.sdcdeals.com/redirect?destination=https%3A%2F%2Fwww.amazon.com%2Fdp%2FB0B195GBFZ%3Fth%3D1%26psc%3D1%26tag%3Dsdcdeals03-20", "Amazon Link")</f>
        <v>Amazon Link</v>
      </c>
      <c r="G88" s="11" t="s">
        <v>36</v>
      </c>
      <c r="H88" s="14" t="s">
        <v>7089</v>
      </c>
      <c r="I88" s="11" t="str">
        <f>HYPERLINK("https://redirect.sdcdeals.com/redirect?code=763034&amp;mavely=https://mavely.app.link/e/bhESV2wGrGb&amp;destination=https%3A%2F%2Fwww.kohls.com%2Fsearch.jsp%3Fsubmit-search%3Dweb-regular%26search%3D55966251", "Retail Link")</f>
        <v>Retail Link</v>
      </c>
      <c r="J88" s="14" t="s">
        <v>7075</v>
      </c>
      <c r="K88" s="13" t="s">
        <v>7090</v>
      </c>
      <c r="L88" s="15">
        <v>14.304</v>
      </c>
      <c r="M88" s="15">
        <v>56.45</v>
      </c>
      <c r="N88" s="15">
        <v>26.598500000000001</v>
      </c>
      <c r="O88" s="15">
        <f>V88-M88</f>
        <v>-9.6000000000000014</v>
      </c>
      <c r="P88" s="16">
        <f>N88/L88</f>
        <v>1.8595148210290828</v>
      </c>
      <c r="Q88" s="14">
        <v>176662</v>
      </c>
      <c r="R88" s="14"/>
      <c r="S88" s="17">
        <v>1.9731349</v>
      </c>
      <c r="T88" s="15">
        <v>56.45</v>
      </c>
      <c r="U88" s="15">
        <v>53.13</v>
      </c>
      <c r="V88" s="15">
        <v>46.85</v>
      </c>
      <c r="W88" s="14" t="s">
        <v>131</v>
      </c>
      <c r="X88" s="14">
        <v>1</v>
      </c>
      <c r="Y88" s="10">
        <f>AC88-AB88</f>
        <v>188</v>
      </c>
      <c r="Z88" s="18">
        <v>19</v>
      </c>
      <c r="AA88" s="18">
        <v>39</v>
      </c>
      <c r="AB88" s="18">
        <v>0</v>
      </c>
      <c r="AC88" s="18">
        <v>188</v>
      </c>
      <c r="AD88" s="1" t="s">
        <v>7077</v>
      </c>
      <c r="AE88" s="1" t="s">
        <v>7078</v>
      </c>
      <c r="AF88" s="4">
        <v>9.6</v>
      </c>
      <c r="AG88" s="4">
        <v>7.08</v>
      </c>
    </row>
    <row r="89" spans="1:33" ht="47.25" customHeight="1" x14ac:dyDescent="0.25">
      <c r="A89" s="10" t="s">
        <v>109</v>
      </c>
      <c r="B89" s="11" t="s">
        <v>33</v>
      </c>
      <c r="C89" s="12" t="s">
        <v>110</v>
      </c>
      <c r="D89" s="27"/>
      <c r="E89" s="14" t="s">
        <v>35</v>
      </c>
      <c r="F89" s="11" t="str">
        <f>HYPERLINK("https://redirect.sdcdeals.com/redirect?destination=https%3A%2F%2Fwww.amazon.com%2Fdp%2FB0CM569TFP%3Fth%3D1%26psc%3D1%26tag%3Dsdcdeals03-20", "Amazon Link")</f>
        <v>Amazon Link</v>
      </c>
      <c r="G89" s="11" t="s">
        <v>36</v>
      </c>
      <c r="H89" s="14" t="s">
        <v>111</v>
      </c>
      <c r="I89" s="11" t="str">
        <f>HYPERLINK("https://redirect.sdcdeals.com/redirect?code=763034&amp;mavely=https://mavely.app.link/e/bhESV2wGrGb&amp;destination=https%3A%2F%2Fwww.kohls.com%2Fsearch.jsp%3Fsubmit-search%3Dweb-regular%26search%3D80688349", "Retail Link")</f>
        <v>Retail Link</v>
      </c>
      <c r="J89" s="14" t="s">
        <v>104</v>
      </c>
      <c r="K89" s="13" t="s">
        <v>112</v>
      </c>
      <c r="L89" s="15">
        <v>4.8000000000000007</v>
      </c>
      <c r="M89" s="15">
        <v>22.99</v>
      </c>
      <c r="N89" s="15">
        <v>8.9214999999999982</v>
      </c>
      <c r="O89" s="15">
        <f>V89-M89</f>
        <v>0.82000000000000028</v>
      </c>
      <c r="P89" s="16">
        <f>N89/L89</f>
        <v>1.8586458333333327</v>
      </c>
      <c r="Q89" s="14">
        <v>11288339</v>
      </c>
      <c r="R89" s="14"/>
      <c r="S89" s="17">
        <v>0.29982831999999998</v>
      </c>
      <c r="T89" s="15">
        <v>22.99</v>
      </c>
      <c r="U89" s="15">
        <v>23.09</v>
      </c>
      <c r="V89" s="15">
        <v>23.81</v>
      </c>
      <c r="W89" s="14" t="s">
        <v>113</v>
      </c>
      <c r="X89" s="14">
        <v>1</v>
      </c>
      <c r="Y89" s="10">
        <f>AC89-AB89</f>
        <v>0</v>
      </c>
      <c r="Z89" s="18">
        <v>4</v>
      </c>
      <c r="AA89" s="18">
        <v>10</v>
      </c>
      <c r="AB89" s="18">
        <v>0</v>
      </c>
      <c r="AC89" s="18"/>
      <c r="AD89" s="1" t="s">
        <v>107</v>
      </c>
      <c r="AE89" s="1" t="s">
        <v>108</v>
      </c>
      <c r="AF89" s="4">
        <v>3.91</v>
      </c>
      <c r="AG89" s="4">
        <v>5.82</v>
      </c>
    </row>
    <row r="90" spans="1:33" ht="47.25" customHeight="1" x14ac:dyDescent="0.25">
      <c r="A90" s="10" t="s">
        <v>114</v>
      </c>
      <c r="B90" s="11" t="s">
        <v>33</v>
      </c>
      <c r="C90" s="12" t="s">
        <v>115</v>
      </c>
      <c r="D90" s="27"/>
      <c r="E90" s="14" t="s">
        <v>35</v>
      </c>
      <c r="F90" s="11" t="str">
        <f>HYPERLINK("https://redirect.sdcdeals.com/redirect?destination=https%3A%2F%2Fwww.amazon.com%2Fdp%2FB0CM579WF6%3Fth%3D1%26psc%3D1%26tag%3Dsdcdeals03-20", "Amazon Link")</f>
        <v>Amazon Link</v>
      </c>
      <c r="G90" s="11" t="s">
        <v>36</v>
      </c>
      <c r="H90" s="14" t="s">
        <v>116</v>
      </c>
      <c r="I90" s="11" t="str">
        <f>HYPERLINK("https://redirect.sdcdeals.com/redirect?code=763034&amp;mavely=https://mavely.app.link/e/bhESV2wGrGb&amp;destination=https%3A%2F%2Fwww.kohls.com%2Fsearch.jsp%3Fsubmit-search%3Dweb-regular%26search%3D80688350", "Retail Link")</f>
        <v>Retail Link</v>
      </c>
      <c r="J90" s="14" t="s">
        <v>104</v>
      </c>
      <c r="K90" s="13" t="s">
        <v>117</v>
      </c>
      <c r="L90" s="15">
        <v>4.8000000000000007</v>
      </c>
      <c r="M90" s="15">
        <v>22.99</v>
      </c>
      <c r="N90" s="15">
        <v>8.9214999999999982</v>
      </c>
      <c r="O90" s="15">
        <f>V90-M90</f>
        <v>0.82000000000000028</v>
      </c>
      <c r="P90" s="16">
        <f>N90/L90</f>
        <v>1.8586458333333327</v>
      </c>
      <c r="Q90" s="14">
        <v>5535372</v>
      </c>
      <c r="R90" s="14"/>
      <c r="S90" s="17">
        <v>0.29982831999999998</v>
      </c>
      <c r="T90" s="15">
        <v>22.99</v>
      </c>
      <c r="U90" s="15">
        <v>23.09</v>
      </c>
      <c r="V90" s="15">
        <v>23.81</v>
      </c>
      <c r="W90" s="14" t="s">
        <v>118</v>
      </c>
      <c r="X90" s="14">
        <v>1</v>
      </c>
      <c r="Y90" s="10">
        <f>AC90-AB90</f>
        <v>0</v>
      </c>
      <c r="Z90" s="18">
        <v>2</v>
      </c>
      <c r="AA90" s="18">
        <v>9</v>
      </c>
      <c r="AB90" s="18">
        <v>0</v>
      </c>
      <c r="AC90" s="18"/>
      <c r="AD90" s="1" t="s">
        <v>107</v>
      </c>
      <c r="AE90" s="1" t="s">
        <v>108</v>
      </c>
      <c r="AF90" s="4">
        <v>3.91</v>
      </c>
      <c r="AG90" s="4">
        <v>5.82</v>
      </c>
    </row>
    <row r="91" spans="1:33" ht="47.25" customHeight="1" x14ac:dyDescent="0.25">
      <c r="A91" s="10" t="s">
        <v>77</v>
      </c>
      <c r="B91" s="11" t="s">
        <v>33</v>
      </c>
      <c r="C91" s="12" t="s">
        <v>78</v>
      </c>
      <c r="D91" s="27"/>
      <c r="E91" s="14" t="s">
        <v>35</v>
      </c>
      <c r="F91" s="11" t="str">
        <f>HYPERLINK("https://redirect.sdcdeals.com/redirect?destination=https%3A%2F%2Fwww.amazon.com%2Fdp%2FB09JBF87BK%3Fth%3D1%26psc%3D1%26tag%3Dsdcdeals03-20", "Amazon Link")</f>
        <v>Amazon Link</v>
      </c>
      <c r="G91" s="11" t="s">
        <v>36</v>
      </c>
      <c r="H91" s="14" t="s">
        <v>79</v>
      </c>
      <c r="I91" s="11" t="str">
        <f>HYPERLINK("https://redirect.sdcdeals.com/redirect?code=763034&amp;mavely=https://mavely.app.link/e/bhESV2wGrGb&amp;destination=https%3A%2F%2Fwww.kohls.com%2Fsearch.jsp%3Fsubmit-search%3Dweb-regular%26search%3D54519949", "Retail Link")</f>
        <v>Retail Link</v>
      </c>
      <c r="J91" s="14" t="s">
        <v>80</v>
      </c>
      <c r="K91" s="13" t="s">
        <v>81</v>
      </c>
      <c r="L91" s="15">
        <v>13.896000000000001</v>
      </c>
      <c r="M91" s="15">
        <v>53.92</v>
      </c>
      <c r="N91" s="15">
        <v>25.795999999999999</v>
      </c>
      <c r="O91" s="15">
        <f>V91-M91</f>
        <v>-8.57</v>
      </c>
      <c r="P91" s="16">
        <f>N91/L91</f>
        <v>1.8563615428900402</v>
      </c>
      <c r="Q91" s="14">
        <v>18757</v>
      </c>
      <c r="R91" s="14"/>
      <c r="S91" s="17">
        <v>1.3492274399999999</v>
      </c>
      <c r="T91" s="15">
        <v>53.92</v>
      </c>
      <c r="U91" s="15">
        <v>43.75</v>
      </c>
      <c r="V91" s="15">
        <v>45.35</v>
      </c>
      <c r="W91" s="14" t="s">
        <v>60</v>
      </c>
      <c r="X91" s="14">
        <v>2</v>
      </c>
      <c r="Y91" s="10">
        <f>AC91-AB91</f>
        <v>8076</v>
      </c>
      <c r="Z91" s="18">
        <v>37</v>
      </c>
      <c r="AA91" s="18">
        <v>119</v>
      </c>
      <c r="AB91" s="18">
        <v>2</v>
      </c>
      <c r="AC91" s="18">
        <v>8078</v>
      </c>
      <c r="AD91" s="1" t="s">
        <v>82</v>
      </c>
      <c r="AE91" s="1" t="s">
        <v>83</v>
      </c>
      <c r="AF91" s="4">
        <v>9.17</v>
      </c>
      <c r="AG91" s="4">
        <v>6.14</v>
      </c>
    </row>
    <row r="92" spans="1:33" ht="47.25" hidden="1" customHeight="1" x14ac:dyDescent="0.25">
      <c r="A92" s="10" t="s">
        <v>5952</v>
      </c>
      <c r="B92" s="11" t="s">
        <v>33</v>
      </c>
      <c r="C92" s="12" t="s">
        <v>5953</v>
      </c>
      <c r="D92" s="27"/>
      <c r="E92" s="14" t="s">
        <v>35</v>
      </c>
      <c r="F92" s="11" t="str">
        <f>HYPERLINK("https://redirect.sdcdeals.com/redirect?destination=https%3A%2F%2Fwww.amazon.com%2Fdp%2FB0CKCPY4HV%3Fth%3D1%26psc%3D1%26tag%3Dsdcdeals03-20", "Amazon Link")</f>
        <v>Amazon Link</v>
      </c>
      <c r="G92" s="11" t="s">
        <v>36</v>
      </c>
      <c r="H92" s="14" t="s">
        <v>5954</v>
      </c>
      <c r="I92" s="11" t="str">
        <f>HYPERLINK("https://redirect.sdcdeals.com/redirect?code=763034&amp;mavely=https://mavely.app.link/e/bhESV2wGrGb&amp;destination=https%3A%2F%2Fwww.kohls.com%2Fsearch.jsp%3Fsubmit-search%3Dweb-regular%26search%3D70298180", "Retail Link")</f>
        <v>Retail Link</v>
      </c>
      <c r="J92" s="14" t="s">
        <v>5955</v>
      </c>
      <c r="K92" s="13" t="s">
        <v>5956</v>
      </c>
      <c r="L92" s="15">
        <v>4.8000000000000007</v>
      </c>
      <c r="M92" s="15">
        <v>23.03</v>
      </c>
      <c r="N92" s="15">
        <v>8.8755000000000006</v>
      </c>
      <c r="O92" s="15">
        <f>V92-M92</f>
        <v>-5.0000000000000711E-2</v>
      </c>
      <c r="P92" s="16">
        <f>N92/L92</f>
        <v>1.8490624999999998</v>
      </c>
      <c r="Q92" s="14"/>
      <c r="R92" s="14"/>
      <c r="S92" s="17">
        <v>0.35053457999999998</v>
      </c>
      <c r="T92" s="15">
        <v>23.02</v>
      </c>
      <c r="U92" s="15">
        <v>23.26</v>
      </c>
      <c r="V92" s="15">
        <v>22.98</v>
      </c>
      <c r="W92" s="14" t="s">
        <v>742</v>
      </c>
      <c r="X92" s="14">
        <v>2</v>
      </c>
      <c r="Y92" s="10">
        <f>AC92-AB92</f>
        <v>0</v>
      </c>
      <c r="Z92" s="18">
        <v>0</v>
      </c>
      <c r="AA92" s="18">
        <v>0</v>
      </c>
      <c r="AB92" s="18">
        <v>0</v>
      </c>
      <c r="AC92" s="18"/>
      <c r="AE92" s="1" t="s">
        <v>5957</v>
      </c>
      <c r="AF92" s="4">
        <v>3.92</v>
      </c>
      <c r="AG92" s="4">
        <v>5.9</v>
      </c>
    </row>
    <row r="93" spans="1:33" ht="47.25" customHeight="1" x14ac:dyDescent="0.25">
      <c r="A93" s="10" t="s">
        <v>2120</v>
      </c>
      <c r="B93" s="11" t="s">
        <v>33</v>
      </c>
      <c r="C93" s="12" t="s">
        <v>2121</v>
      </c>
      <c r="D93" s="27"/>
      <c r="E93" s="14" t="s">
        <v>35</v>
      </c>
      <c r="F93" s="11" t="str">
        <f>HYPERLINK("https://redirect.sdcdeals.com/redirect?destination=https%3A%2F%2Fwww.amazon.com%2Fdp%2FB09B69GXKY%3Fth%3D1%26psc%3D1%26tag%3Dsdcdeals03-20", "Amazon Link")</f>
        <v>Amazon Link</v>
      </c>
      <c r="G93" s="11" t="s">
        <v>36</v>
      </c>
      <c r="H93" s="14" t="s">
        <v>2122</v>
      </c>
      <c r="I93" s="11" t="str">
        <f>HYPERLINK("https://redirect.sdcdeals.com/redirect?code=763034&amp;mavely=https://mavely.app.link/e/bhESV2wGrGb&amp;destination=https%3A%2F%2Fwww.kohls.com%2Fsearch.jsp%3Fsubmit-search%3Dweb-regular%26search%3D69700403", "Retail Link")</f>
        <v>Retail Link</v>
      </c>
      <c r="J93" s="14" t="s">
        <v>2048</v>
      </c>
      <c r="K93" s="13" t="s">
        <v>2123</v>
      </c>
      <c r="L93" s="15">
        <v>9.6000000000000014</v>
      </c>
      <c r="M93" s="15">
        <v>39.99</v>
      </c>
      <c r="N93" s="15">
        <v>17.721499999999999</v>
      </c>
      <c r="O93" s="15">
        <f>V93-M93</f>
        <v>-3.6400000000000006</v>
      </c>
      <c r="P93" s="16">
        <f>N93/L93</f>
        <v>1.8459895833333329</v>
      </c>
      <c r="Q93" s="14">
        <v>581</v>
      </c>
      <c r="R93" s="14"/>
      <c r="S93" s="17">
        <v>0.98326051999999997</v>
      </c>
      <c r="T93" s="15">
        <v>39.99</v>
      </c>
      <c r="U93" s="15">
        <v>37.83</v>
      </c>
      <c r="V93" s="15">
        <v>36.35</v>
      </c>
      <c r="W93" s="14" t="s">
        <v>53</v>
      </c>
      <c r="X93" s="14">
        <v>1</v>
      </c>
      <c r="Y93" s="10">
        <f>AC93-AB93</f>
        <v>53291</v>
      </c>
      <c r="Z93" s="18">
        <v>49</v>
      </c>
      <c r="AA93" s="18">
        <v>161</v>
      </c>
      <c r="AB93" s="18">
        <v>7</v>
      </c>
      <c r="AC93" s="18">
        <v>53298</v>
      </c>
      <c r="AD93" s="1" t="s">
        <v>2050</v>
      </c>
      <c r="AE93" s="1" t="s">
        <v>2067</v>
      </c>
      <c r="AF93" s="4">
        <v>6.8</v>
      </c>
      <c r="AG93" s="4">
        <v>6.67</v>
      </c>
    </row>
    <row r="94" spans="1:33" ht="47.25" customHeight="1" x14ac:dyDescent="0.25">
      <c r="A94" s="10" t="s">
        <v>42</v>
      </c>
      <c r="B94" s="11" t="s">
        <v>33</v>
      </c>
      <c r="C94" s="12" t="s">
        <v>43</v>
      </c>
      <c r="D94" s="27"/>
      <c r="E94" s="14" t="s">
        <v>35</v>
      </c>
      <c r="F94" s="11" t="str">
        <f>HYPERLINK("https://redirect.sdcdeals.com/redirect?destination=https%3A%2F%2Fwww.amazon.com%2Fdp%2FB0CSPQJWC1%3Fth%3D1%26psc%3D1%26tag%3Dsdcdeals03-20", "Amazon Link")</f>
        <v>Amazon Link</v>
      </c>
      <c r="G94" s="11" t="s">
        <v>36</v>
      </c>
      <c r="H94" s="14" t="s">
        <v>44</v>
      </c>
      <c r="I94" s="11" t="str">
        <f>HYPERLINK("https://redirect.sdcdeals.com/redirect?code=763034&amp;mavely=https://mavely.app.link/e/bhESV2wGrGb&amp;destination=https%3A%2F%2Fwww.kohls.com%2Fsearch.jsp%3Fsubmit-search%3Dweb-regular%26search%3D54801848", "Retail Link")</f>
        <v>Retail Link</v>
      </c>
      <c r="J94" s="14" t="s">
        <v>38</v>
      </c>
      <c r="K94" s="13" t="s">
        <v>45</v>
      </c>
      <c r="L94" s="15">
        <v>5.7200000000000006</v>
      </c>
      <c r="M94" s="15">
        <v>23.14</v>
      </c>
      <c r="N94" s="15">
        <v>10.529</v>
      </c>
      <c r="O94" s="15">
        <f>V94-M94</f>
        <v>7.93</v>
      </c>
      <c r="P94" s="16">
        <f>N94/L94</f>
        <v>1.8407342657342656</v>
      </c>
      <c r="Q94" s="14">
        <v>67337</v>
      </c>
      <c r="R94" s="14"/>
      <c r="S94" s="17">
        <v>0.50044874000000006</v>
      </c>
      <c r="T94" s="15">
        <v>15.15</v>
      </c>
      <c r="U94" s="15">
        <v>31.07</v>
      </c>
      <c r="V94" s="15">
        <v>31.07</v>
      </c>
      <c r="W94" s="14" t="s">
        <v>46</v>
      </c>
      <c r="X94" s="14">
        <v>1</v>
      </c>
      <c r="Y94" s="10">
        <f>AC94-AB94</f>
        <v>981</v>
      </c>
      <c r="Z94" s="18">
        <v>25</v>
      </c>
      <c r="AA94" s="18">
        <v>50</v>
      </c>
      <c r="AB94" s="18">
        <v>0</v>
      </c>
      <c r="AC94" s="18">
        <v>981</v>
      </c>
      <c r="AE94" s="1" t="s">
        <v>47</v>
      </c>
      <c r="AF94" s="4">
        <v>3.93</v>
      </c>
      <c r="AG94" s="4">
        <v>3.42</v>
      </c>
    </row>
    <row r="95" spans="1:33" ht="47.25" customHeight="1" x14ac:dyDescent="0.25">
      <c r="A95" s="10" t="s">
        <v>6827</v>
      </c>
      <c r="B95" s="11" t="s">
        <v>33</v>
      </c>
      <c r="C95" s="12" t="s">
        <v>6828</v>
      </c>
      <c r="D95" s="27"/>
      <c r="E95" s="14" t="s">
        <v>35</v>
      </c>
      <c r="F95" s="11" t="str">
        <f>HYPERLINK("https://redirect.sdcdeals.com/redirect?destination=https%3A%2F%2Fwww.amazon.com%2Fdp%2FB0BJ7QNS7G%3Fth%3D1%26psc%3D1%26tag%3Dsdcdeals03-20", "Amazon Link")</f>
        <v>Amazon Link</v>
      </c>
      <c r="G95" s="11" t="s">
        <v>36</v>
      </c>
      <c r="H95" s="14" t="s">
        <v>6829</v>
      </c>
      <c r="I95" s="11" t="str">
        <f>HYPERLINK("https://redirect.sdcdeals.com/redirect?code=763034&amp;mavely=https://mavely.app.link/e/bhESV2wGrGb&amp;destination=https%3A%2F%2Fwww.kohls.com%2Fsearch.jsp%3Fsubmit-search%3Dweb-regular%26search%3D81851918", "Retail Link")</f>
        <v>Retail Link</v>
      </c>
      <c r="J95" s="14" t="s">
        <v>6830</v>
      </c>
      <c r="K95" s="13" t="s">
        <v>6831</v>
      </c>
      <c r="L95" s="15">
        <v>8.4</v>
      </c>
      <c r="M95" s="15">
        <v>35</v>
      </c>
      <c r="N95" s="15">
        <v>15.45</v>
      </c>
      <c r="O95" s="15">
        <f>V95-M95</f>
        <v>-9.0399999999999991</v>
      </c>
      <c r="P95" s="16">
        <f>N95/L95</f>
        <v>1.8392857142857142</v>
      </c>
      <c r="Q95" s="14">
        <v>334434</v>
      </c>
      <c r="R95" s="14"/>
      <c r="S95" s="17">
        <v>0.33069300000000001</v>
      </c>
      <c r="T95" s="15">
        <v>35</v>
      </c>
      <c r="U95" s="15">
        <v>33.72</v>
      </c>
      <c r="V95" s="15">
        <v>25.96</v>
      </c>
      <c r="W95" s="14" t="s">
        <v>849</v>
      </c>
      <c r="X95" s="14">
        <v>2</v>
      </c>
      <c r="Y95" s="10">
        <f>AC95-AB95</f>
        <v>10</v>
      </c>
      <c r="Z95" s="18">
        <v>18</v>
      </c>
      <c r="AA95" s="18">
        <v>52</v>
      </c>
      <c r="AB95" s="18">
        <v>0</v>
      </c>
      <c r="AC95" s="18">
        <v>10</v>
      </c>
      <c r="AD95" s="1" t="s">
        <v>6832</v>
      </c>
      <c r="AE95" s="1" t="s">
        <v>6833</v>
      </c>
      <c r="AF95" s="4">
        <v>5.95</v>
      </c>
      <c r="AG95" s="4">
        <v>5.9</v>
      </c>
    </row>
    <row r="96" spans="1:33" ht="47.25" hidden="1" customHeight="1" x14ac:dyDescent="0.25">
      <c r="A96" s="10" t="s">
        <v>1507</v>
      </c>
      <c r="B96" s="11" t="s">
        <v>33</v>
      </c>
      <c r="C96" s="12" t="s">
        <v>1508</v>
      </c>
      <c r="D96" s="27"/>
      <c r="E96" s="14" t="s">
        <v>35</v>
      </c>
      <c r="F96" s="11" t="str">
        <f>HYPERLINK("https://redirect.sdcdeals.com/redirect?destination=https%3A%2F%2Fwww.amazon.com%2Fdp%2FB0CDCQMV3P%3Fth%3D1%26psc%3D1%26tag%3Dsdcdeals03-20", "Amazon Link")</f>
        <v>Amazon Link</v>
      </c>
      <c r="G96" s="11" t="s">
        <v>36</v>
      </c>
      <c r="H96" s="14" t="s">
        <v>1509</v>
      </c>
      <c r="I96" s="11" t="str">
        <f>HYPERLINK("https://redirect.sdcdeals.com/redirect?code=763034&amp;mavely=https://mavely.app.link/e/bhESV2wGrGb&amp;destination=https%3A%2F%2Fwww.kohls.com%2Fsearch.jsp%3Fsubmit-search%3Dweb-regular%26search%3D76732106", "Retail Link")</f>
        <v>Retail Link</v>
      </c>
      <c r="J96" s="14" t="s">
        <v>1510</v>
      </c>
      <c r="K96" s="13" t="s">
        <v>1511</v>
      </c>
      <c r="L96" s="15">
        <v>3.84</v>
      </c>
      <c r="M96" s="15">
        <v>20</v>
      </c>
      <c r="N96" s="15">
        <v>7.06</v>
      </c>
      <c r="O96" s="15">
        <f>V96-M96</f>
        <v>4.4400000000000013</v>
      </c>
      <c r="P96" s="16">
        <f>N96/L96</f>
        <v>1.8385416666666667</v>
      </c>
      <c r="Q96" s="14"/>
      <c r="R96" s="14"/>
      <c r="S96" s="17">
        <v>0.35053457999999998</v>
      </c>
      <c r="T96" s="15">
        <v>14.5</v>
      </c>
      <c r="U96" s="15">
        <v>21.12</v>
      </c>
      <c r="V96" s="15">
        <v>24.44</v>
      </c>
      <c r="W96" s="14" t="s">
        <v>1512</v>
      </c>
      <c r="X96" s="14">
        <v>3</v>
      </c>
      <c r="Y96" s="10">
        <f>AC96-AB96</f>
        <v>0</v>
      </c>
      <c r="Z96" s="18">
        <v>-1</v>
      </c>
      <c r="AA96" s="18">
        <v>-1</v>
      </c>
      <c r="AB96" s="18">
        <v>0</v>
      </c>
      <c r="AC96" s="18"/>
      <c r="AE96" s="1" t="s">
        <v>1513</v>
      </c>
      <c r="AF96" s="4">
        <v>3.4</v>
      </c>
      <c r="AG96" s="4">
        <v>6.1</v>
      </c>
    </row>
    <row r="97" spans="1:33" ht="47.25" customHeight="1" x14ac:dyDescent="0.25">
      <c r="A97" s="10" t="s">
        <v>3731</v>
      </c>
      <c r="B97" s="11" t="s">
        <v>33</v>
      </c>
      <c r="C97" s="12" t="s">
        <v>3732</v>
      </c>
      <c r="D97" s="27"/>
      <c r="E97" s="14" t="s">
        <v>35</v>
      </c>
      <c r="F97" s="11" t="str">
        <f>HYPERLINK("https://redirect.sdcdeals.com/redirect?destination=https%3A%2F%2Fwww.amazon.com%2Fdp%2FB09Z8HND7P%3Fth%3D1%26psc%3D1%26tag%3Dsdcdeals03-20", "Amazon Link")</f>
        <v>Amazon Link</v>
      </c>
      <c r="G97" s="11" t="s">
        <v>36</v>
      </c>
      <c r="H97" s="14" t="s">
        <v>3733</v>
      </c>
      <c r="I97" s="11" t="str">
        <f>HYPERLINK("https://redirect.sdcdeals.com/redirect?code=763034&amp;mavely=https://mavely.app.link/e/bhESV2wGrGb&amp;destination=https%3A%2F%2Fwww.kohls.com%2Fsearch.jsp%3Fsubmit-search%3Dweb-regular%26search%3D61425460", "Retail Link")</f>
        <v>Retail Link</v>
      </c>
      <c r="J97" s="14" t="s">
        <v>3734</v>
      </c>
      <c r="K97" s="13" t="s">
        <v>3735</v>
      </c>
      <c r="L97" s="15">
        <v>9.0080000000000009</v>
      </c>
      <c r="M97" s="15">
        <v>36.86</v>
      </c>
      <c r="N97" s="15">
        <v>16.553000000000001</v>
      </c>
      <c r="O97" s="15">
        <f>V97-M97</f>
        <v>-1.0600000000000023</v>
      </c>
      <c r="P97" s="16">
        <f>N97/L97</f>
        <v>1.8375888099467139</v>
      </c>
      <c r="Q97" s="14">
        <v>140256</v>
      </c>
      <c r="R97" s="14"/>
      <c r="S97" s="17">
        <v>0.9259404</v>
      </c>
      <c r="T97" s="15">
        <v>36.86</v>
      </c>
      <c r="U97" s="15">
        <v>34.25</v>
      </c>
      <c r="V97" s="15">
        <v>35.799999999999997</v>
      </c>
      <c r="W97" s="14" t="s">
        <v>53</v>
      </c>
      <c r="X97" s="14">
        <v>3</v>
      </c>
      <c r="Y97" s="10">
        <f>AC97-AB97</f>
        <v>1145</v>
      </c>
      <c r="Z97" s="18">
        <v>34</v>
      </c>
      <c r="AA97" s="18">
        <v>78</v>
      </c>
      <c r="AB97" s="18">
        <v>1</v>
      </c>
      <c r="AC97" s="18">
        <v>1146</v>
      </c>
      <c r="AD97" s="1" t="s">
        <v>3736</v>
      </c>
      <c r="AE97" s="1" t="s">
        <v>3737</v>
      </c>
      <c r="AF97" s="4">
        <v>5.53</v>
      </c>
      <c r="AG97" s="4">
        <v>5.77</v>
      </c>
    </row>
    <row r="98" spans="1:33" ht="47.25" customHeight="1" x14ac:dyDescent="0.25">
      <c r="A98" s="10" t="s">
        <v>7267</v>
      </c>
      <c r="B98" s="11" t="s">
        <v>33</v>
      </c>
      <c r="C98" s="12" t="s">
        <v>7268</v>
      </c>
      <c r="D98" s="27"/>
      <c r="E98" s="14" t="s">
        <v>35</v>
      </c>
      <c r="F98" s="11" t="str">
        <f>HYPERLINK("https://redirect.sdcdeals.com/redirect?destination=https%3A%2F%2Fwww.amazon.com%2Fdp%2FB0B8HJFSNG%3Fth%3D1%26psc%3D1%26tag%3Dsdcdeals03-20", "Amazon Link")</f>
        <v>Amazon Link</v>
      </c>
      <c r="G98" s="11" t="s">
        <v>36</v>
      </c>
      <c r="H98" s="14" t="s">
        <v>7269</v>
      </c>
      <c r="I98" s="11" t="str">
        <f>HYPERLINK("https://redirect.sdcdeals.com/redirect?code=763034&amp;mavely=https://mavely.app.link/e/bhESV2wGrGb&amp;destination=https%3A%2F%2Fwww.kohls.com%2Fsearch.jsp%3Fsubmit-search%3Dweb-regular%26search%3D29580932", "Retail Link")</f>
        <v>Retail Link</v>
      </c>
      <c r="J98" s="14" t="s">
        <v>7256</v>
      </c>
      <c r="K98" s="13" t="s">
        <v>7270</v>
      </c>
      <c r="L98" s="15">
        <v>9.9920000000000009</v>
      </c>
      <c r="M98" s="15">
        <v>40.200000000000003</v>
      </c>
      <c r="N98" s="15">
        <v>18.308</v>
      </c>
      <c r="O98" s="15">
        <f>V98-M98</f>
        <v>1.9299999999999997</v>
      </c>
      <c r="P98" s="16">
        <f>N98/L98</f>
        <v>1.8322658126501199</v>
      </c>
      <c r="Q98" s="14">
        <v>623727</v>
      </c>
      <c r="R98" s="14"/>
      <c r="S98" s="17">
        <v>1.2610426400000001</v>
      </c>
      <c r="T98" s="15">
        <v>34.99</v>
      </c>
      <c r="U98" s="15">
        <v>40.47</v>
      </c>
      <c r="V98" s="15">
        <v>42.13</v>
      </c>
      <c r="W98" s="14" t="s">
        <v>100</v>
      </c>
      <c r="X98" s="14">
        <v>6</v>
      </c>
      <c r="Y98" s="10">
        <f>AC98-AB98</f>
        <v>193</v>
      </c>
      <c r="Z98" s="18">
        <v>5</v>
      </c>
      <c r="AA98" s="18">
        <v>26</v>
      </c>
      <c r="AB98" s="18">
        <v>13</v>
      </c>
      <c r="AC98" s="18">
        <v>206</v>
      </c>
      <c r="AD98" s="1" t="s">
        <v>7258</v>
      </c>
      <c r="AE98" s="1" t="s">
        <v>76</v>
      </c>
      <c r="AF98" s="4">
        <v>6.03</v>
      </c>
      <c r="AG98" s="4">
        <v>5.87</v>
      </c>
    </row>
    <row r="99" spans="1:33" ht="47.25" customHeight="1" x14ac:dyDescent="0.25">
      <c r="A99" s="10" t="s">
        <v>7263</v>
      </c>
      <c r="B99" s="11" t="s">
        <v>33</v>
      </c>
      <c r="C99" s="12" t="s">
        <v>7264</v>
      </c>
      <c r="D99" s="27"/>
      <c r="E99" s="14" t="s">
        <v>35</v>
      </c>
      <c r="F99" s="11" t="str">
        <f>HYPERLINK("https://redirect.sdcdeals.com/redirect?destination=https%3A%2F%2Fwww.amazon.com%2Fdp%2FB0B74CG4JF%3Fth%3D1%26psc%3D1%26tag%3Dsdcdeals03-20", "Amazon Link")</f>
        <v>Amazon Link</v>
      </c>
      <c r="G99" s="11" t="s">
        <v>36</v>
      </c>
      <c r="H99" s="14" t="s">
        <v>7265</v>
      </c>
      <c r="I99" s="11" t="str">
        <f>HYPERLINK("https://redirect.sdcdeals.com/redirect?code=763034&amp;mavely=https://mavely.app.link/e/bhESV2wGrGb&amp;destination=https%3A%2F%2Fwww.kohls.com%2Fsearch.jsp%3Fsubmit-search%3Dweb-regular%26search%3D29580929", "Retail Link")</f>
        <v>Retail Link</v>
      </c>
      <c r="J99" s="14" t="s">
        <v>7256</v>
      </c>
      <c r="K99" s="13" t="s">
        <v>7266</v>
      </c>
      <c r="L99" s="15">
        <v>9.9920000000000009</v>
      </c>
      <c r="M99" s="15">
        <v>39.979999999999997</v>
      </c>
      <c r="N99" s="15">
        <v>18.221</v>
      </c>
      <c r="O99" s="15">
        <f>V99-M99</f>
        <v>4.3800000000000026</v>
      </c>
      <c r="P99" s="16">
        <f>N99/L99</f>
        <v>1.823558847077662</v>
      </c>
      <c r="Q99" s="14">
        <v>690855</v>
      </c>
      <c r="R99" s="14"/>
      <c r="S99" s="17">
        <v>1.0802638</v>
      </c>
      <c r="T99" s="15">
        <v>34.99</v>
      </c>
      <c r="U99" s="15">
        <v>40.06</v>
      </c>
      <c r="V99" s="15">
        <v>44.36</v>
      </c>
      <c r="W99" s="14" t="s">
        <v>366</v>
      </c>
      <c r="X99" s="14">
        <v>6</v>
      </c>
      <c r="Y99" s="10">
        <f>AC99-AB99</f>
        <v>198</v>
      </c>
      <c r="Z99" s="18">
        <v>7</v>
      </c>
      <c r="AA99" s="18">
        <v>42</v>
      </c>
      <c r="AB99" s="18">
        <v>8</v>
      </c>
      <c r="AC99" s="18">
        <v>206</v>
      </c>
      <c r="AD99" s="1" t="s">
        <v>7258</v>
      </c>
      <c r="AE99" s="1" t="s">
        <v>76</v>
      </c>
      <c r="AF99" s="4">
        <v>6</v>
      </c>
      <c r="AG99" s="4">
        <v>5.77</v>
      </c>
    </row>
    <row r="100" spans="1:33" ht="47.25" customHeight="1" x14ac:dyDescent="0.25">
      <c r="A100" s="10" t="s">
        <v>4660</v>
      </c>
      <c r="B100" s="11" t="s">
        <v>33</v>
      </c>
      <c r="C100" s="12" t="s">
        <v>4661</v>
      </c>
      <c r="D100" s="27"/>
      <c r="E100" s="14" t="s">
        <v>35</v>
      </c>
      <c r="F100" s="11" t="str">
        <f>HYPERLINK("https://redirect.sdcdeals.com/redirect?destination=https%3A%2F%2Fwww.amazon.com%2Fdp%2FB0CKWHMM51%3Fth%3D1%26psc%3D1%26tag%3Dsdcdeals03-20", "Amazon Link")</f>
        <v>Amazon Link</v>
      </c>
      <c r="G100" s="11" t="s">
        <v>36</v>
      </c>
      <c r="H100" s="14" t="s">
        <v>4662</v>
      </c>
      <c r="I100" s="11" t="str">
        <f>HYPERLINK("https://redirect.sdcdeals.com/redirect?code=763034&amp;mavely=https://mavely.app.link/e/bhESV2wGrGb&amp;destination=https%3A%2F%2Fwww.kohls.com%2Fsearch.jsp%3Fsubmit-search%3Dweb-regular%26search%3D30108385", "Retail Link")</f>
        <v>Retail Link</v>
      </c>
      <c r="J100" s="14" t="s">
        <v>4663</v>
      </c>
      <c r="K100" s="13" t="s">
        <v>4664</v>
      </c>
      <c r="L100" s="15">
        <v>6.8000000000000007</v>
      </c>
      <c r="M100" s="15">
        <v>27.99</v>
      </c>
      <c r="N100" s="15">
        <v>12.381500000000001</v>
      </c>
      <c r="O100" s="15">
        <f>V100-M100</f>
        <v>0</v>
      </c>
      <c r="P100" s="16">
        <f>N100/L100</f>
        <v>1.8208088235294118</v>
      </c>
      <c r="Q100" s="14">
        <v>69499</v>
      </c>
      <c r="R100" s="14"/>
      <c r="S100" s="17">
        <v>0.33069300000000001</v>
      </c>
      <c r="T100" s="15">
        <v>27.99</v>
      </c>
      <c r="U100" s="15">
        <v>27.99</v>
      </c>
      <c r="V100" s="15">
        <v>27.99</v>
      </c>
      <c r="W100" s="14" t="s">
        <v>2910</v>
      </c>
      <c r="X100" s="14">
        <v>1</v>
      </c>
      <c r="Y100" s="10">
        <f>AC100-AB100</f>
        <v>569</v>
      </c>
      <c r="Z100" s="18">
        <v>6</v>
      </c>
      <c r="AA100" s="18">
        <v>6</v>
      </c>
      <c r="AB100" s="18">
        <v>0</v>
      </c>
      <c r="AC100" s="18">
        <v>569</v>
      </c>
      <c r="AD100" s="1" t="s">
        <v>4665</v>
      </c>
      <c r="AE100" s="1" t="s">
        <v>4666</v>
      </c>
      <c r="AF100" s="4">
        <v>4.76</v>
      </c>
      <c r="AG100" s="4">
        <v>4.6100000000000003</v>
      </c>
    </row>
    <row r="101" spans="1:33" ht="47.25" customHeight="1" x14ac:dyDescent="0.25">
      <c r="A101" s="10" t="s">
        <v>4972</v>
      </c>
      <c r="B101" s="11" t="s">
        <v>33</v>
      </c>
      <c r="C101" s="12" t="s">
        <v>4973</v>
      </c>
      <c r="D101" s="27"/>
      <c r="E101" s="14" t="s">
        <v>35</v>
      </c>
      <c r="F101" s="11" t="str">
        <f>HYPERLINK("https://redirect.sdcdeals.com/redirect?destination=https%3A%2F%2Fwww.amazon.com%2Fdp%2FB0B5B7DNF1%3Fth%3D1%26psc%3D1%26tag%3Dsdcdeals03-20", "Amazon Link")</f>
        <v>Amazon Link</v>
      </c>
      <c r="G101" s="11" t="s">
        <v>36</v>
      </c>
      <c r="H101" s="14" t="s">
        <v>4974</v>
      </c>
      <c r="I101" s="11" t="str">
        <f>HYPERLINK("https://redirect.sdcdeals.com/redirect?code=763034&amp;mavely=https://mavely.app.link/e/bhESV2wGrGb&amp;destination=https%3A%2F%2Fwww.kohls.com%2Fsearch.jsp%3Fsubmit-search%3Dweb-regular%26search%3D49615994", "Retail Link")</f>
        <v>Retail Link</v>
      </c>
      <c r="J101" s="14" t="s">
        <v>4975</v>
      </c>
      <c r="K101" s="13" t="s">
        <v>4976</v>
      </c>
      <c r="L101" s="15">
        <v>5.4</v>
      </c>
      <c r="M101" s="15">
        <v>23.33</v>
      </c>
      <c r="N101" s="15">
        <v>9.8204999999999973</v>
      </c>
      <c r="O101" s="15">
        <f>V101-M101</f>
        <v>-3.25</v>
      </c>
      <c r="P101" s="16">
        <f>N101/L101</f>
        <v>1.8186111111111105</v>
      </c>
      <c r="Q101" s="14">
        <v>182</v>
      </c>
      <c r="R101" s="14"/>
      <c r="S101" s="17">
        <v>0.3858085</v>
      </c>
      <c r="T101" s="15">
        <v>23.33</v>
      </c>
      <c r="U101" s="15">
        <v>20.079999999999998</v>
      </c>
      <c r="V101" s="15">
        <v>20.079999999999998</v>
      </c>
      <c r="W101" s="14" t="s">
        <v>582</v>
      </c>
      <c r="X101" s="14">
        <v>1</v>
      </c>
      <c r="Y101" s="10">
        <f>AC101-AB101</f>
        <v>56612</v>
      </c>
      <c r="Z101" s="18">
        <v>63</v>
      </c>
      <c r="AA101" s="18">
        <v>86</v>
      </c>
      <c r="AB101" s="18">
        <v>7</v>
      </c>
      <c r="AC101" s="18">
        <v>56619</v>
      </c>
      <c r="AD101" s="1" t="s">
        <v>4977</v>
      </c>
      <c r="AE101" s="1" t="s">
        <v>4978</v>
      </c>
      <c r="AG101" s="4">
        <v>4.6100000000000003</v>
      </c>
    </row>
    <row r="102" spans="1:33" ht="47.25" customHeight="1" x14ac:dyDescent="0.25">
      <c r="A102" s="10" t="s">
        <v>7259</v>
      </c>
      <c r="B102" s="11" t="s">
        <v>33</v>
      </c>
      <c r="C102" s="12" t="s">
        <v>7260</v>
      </c>
      <c r="D102" s="27"/>
      <c r="E102" s="14" t="s">
        <v>35</v>
      </c>
      <c r="F102" s="11" t="str">
        <f>HYPERLINK("https://redirect.sdcdeals.com/redirect?destination=https%3A%2F%2Fwww.amazon.com%2Fdp%2FB0B7RJHX2K%3Fth%3D1%26psc%3D1%26tag%3Dsdcdeals03-20", "Amazon Link")</f>
        <v>Amazon Link</v>
      </c>
      <c r="G102" s="11" t="s">
        <v>36</v>
      </c>
      <c r="H102" s="14" t="s">
        <v>7261</v>
      </c>
      <c r="I102" s="11" t="str">
        <f>HYPERLINK("https://redirect.sdcdeals.com/redirect?code=763034&amp;mavely=https://mavely.app.link/e/bhESV2wGrGb&amp;destination=https%3A%2F%2Fwww.kohls.com%2Fsearch.jsp%3Fsubmit-search%3Dweb-regular%26search%3D61824563", "Retail Link")</f>
        <v>Retail Link</v>
      </c>
      <c r="J102" s="14" t="s">
        <v>7256</v>
      </c>
      <c r="K102" s="13" t="s">
        <v>7262</v>
      </c>
      <c r="L102" s="15">
        <v>9.9920000000000009</v>
      </c>
      <c r="M102" s="15">
        <v>42.77</v>
      </c>
      <c r="N102" s="15">
        <v>18.162500000000001</v>
      </c>
      <c r="O102" s="15">
        <f>V102-M102</f>
        <v>-0.64000000000000057</v>
      </c>
      <c r="P102" s="16">
        <f>N102/L102</f>
        <v>1.8177041633306645</v>
      </c>
      <c r="Q102" s="14">
        <v>1552230</v>
      </c>
      <c r="R102" s="14"/>
      <c r="S102" s="17">
        <v>2.0943890000000001</v>
      </c>
      <c r="T102" s="15">
        <v>42.46</v>
      </c>
      <c r="U102" s="15">
        <v>41.59</v>
      </c>
      <c r="V102" s="15">
        <v>42.13</v>
      </c>
      <c r="W102" s="14" t="s">
        <v>698</v>
      </c>
      <c r="X102" s="14">
        <v>4</v>
      </c>
      <c r="Y102" s="10">
        <f>AC102-AB102</f>
        <v>87</v>
      </c>
      <c r="Z102" s="18">
        <v>0</v>
      </c>
      <c r="AA102" s="18">
        <v>4</v>
      </c>
      <c r="AB102" s="18">
        <v>0</v>
      </c>
      <c r="AC102" s="18">
        <v>87</v>
      </c>
      <c r="AD102" s="1" t="s">
        <v>7258</v>
      </c>
      <c r="AE102" s="1" t="s">
        <v>1675</v>
      </c>
      <c r="AF102" s="4">
        <v>6.42</v>
      </c>
      <c r="AG102" s="4">
        <v>8.1999999999999993</v>
      </c>
    </row>
    <row r="103" spans="1:33" ht="47.25" hidden="1" customHeight="1" x14ac:dyDescent="0.25">
      <c r="A103" s="10" t="s">
        <v>2798</v>
      </c>
      <c r="B103" s="11" t="s">
        <v>33</v>
      </c>
      <c r="C103" s="12" t="s">
        <v>2799</v>
      </c>
      <c r="D103" s="27"/>
      <c r="E103" s="14" t="s">
        <v>35</v>
      </c>
      <c r="F103" s="11" t="str">
        <f>HYPERLINK("https://redirect.sdcdeals.com/redirect?destination=https%3A%2F%2Fwww.amazon.com%2Fdp%2FB0CCBTLF7M%3Fth%3D1%26psc%3D1%26tag%3Dsdcdeals03-20", "Amazon Link")</f>
        <v>Amazon Link</v>
      </c>
      <c r="G103" s="11" t="s">
        <v>36</v>
      </c>
      <c r="H103" s="14" t="s">
        <v>2800</v>
      </c>
      <c r="I103" s="11" t="str">
        <f>HYPERLINK("https://redirect.sdcdeals.com/redirect?code=763034&amp;mavely=https://mavely.app.link/e/bhESV2wGrGb&amp;destination=https%3A%2F%2Fwww.kohls.com%2Fsearch.jsp%3Fsubmit-search%3Dweb-regular%26search%3D17927047", "Retail Link")</f>
        <v>Retail Link</v>
      </c>
      <c r="J103" s="14" t="s">
        <v>2705</v>
      </c>
      <c r="K103" s="13" t="s">
        <v>2752</v>
      </c>
      <c r="L103" s="15">
        <v>13.2</v>
      </c>
      <c r="M103" s="15">
        <v>51.7</v>
      </c>
      <c r="N103" s="15">
        <v>23.914999999999999</v>
      </c>
      <c r="O103" s="15">
        <f>V103-M103</f>
        <v>-23.340000000000003</v>
      </c>
      <c r="P103" s="16">
        <f>N103/L103</f>
        <v>1.8117424242424243</v>
      </c>
      <c r="Q103" s="14"/>
      <c r="R103" s="14"/>
      <c r="S103" s="17">
        <v>0.88184799999999997</v>
      </c>
      <c r="T103" s="15">
        <v>42.71</v>
      </c>
      <c r="U103" s="15">
        <v>33.93</v>
      </c>
      <c r="V103" s="15">
        <v>28.36</v>
      </c>
      <c r="W103" s="14" t="s">
        <v>2198</v>
      </c>
      <c r="X103" s="14">
        <v>2</v>
      </c>
      <c r="Y103" s="10">
        <f>AC103-AB103</f>
        <v>3</v>
      </c>
      <c r="Z103" s="18">
        <v>-1</v>
      </c>
      <c r="AA103" s="18">
        <v>-1</v>
      </c>
      <c r="AB103" s="18">
        <v>0</v>
      </c>
      <c r="AC103" s="18">
        <v>3</v>
      </c>
      <c r="AD103" s="1" t="s">
        <v>2754</v>
      </c>
      <c r="AE103" s="1" t="s">
        <v>2719</v>
      </c>
      <c r="AF103" s="4">
        <v>8.7899999999999991</v>
      </c>
      <c r="AG103" s="4">
        <v>6.83</v>
      </c>
    </row>
    <row r="104" spans="1:33" ht="47.25" customHeight="1" x14ac:dyDescent="0.25">
      <c r="A104" s="10" t="s">
        <v>909</v>
      </c>
      <c r="B104" s="11" t="s">
        <v>33</v>
      </c>
      <c r="C104" s="12" t="s">
        <v>910</v>
      </c>
      <c r="D104" s="27"/>
      <c r="E104" s="14" t="s">
        <v>35</v>
      </c>
      <c r="F104" s="11" t="str">
        <f>HYPERLINK("https://redirect.sdcdeals.com/redirect?destination=https%3A%2F%2Fwww.amazon.com%2Fdp%2FB0CNS2RTNH%3Fth%3D1%26psc%3D1%26tag%3Dsdcdeals03-20", "Amazon Link")</f>
        <v>Amazon Link</v>
      </c>
      <c r="G104" s="11" t="s">
        <v>36</v>
      </c>
      <c r="H104" s="14" t="s">
        <v>911</v>
      </c>
      <c r="I104" s="11" t="str">
        <f>HYPERLINK("https://redirect.sdcdeals.com/redirect?code=763034&amp;mavely=https://mavely.app.link/e/bhESV2wGrGb&amp;destination=https%3A%2F%2Fwww.kohls.com%2Fsearch.jsp%3Fsubmit-search%3Dweb-regular%26search%3D50696467", "Retail Link")</f>
        <v>Retail Link</v>
      </c>
      <c r="J104" s="14" t="s">
        <v>891</v>
      </c>
      <c r="K104" s="13" t="s">
        <v>912</v>
      </c>
      <c r="L104" s="15">
        <v>5.7600000000000007</v>
      </c>
      <c r="M104" s="15">
        <v>22.99</v>
      </c>
      <c r="N104" s="15">
        <v>10.4315</v>
      </c>
      <c r="O104" s="15">
        <f>V104-M104</f>
        <v>1.3800000000000026</v>
      </c>
      <c r="P104" s="16">
        <f>N104/L104</f>
        <v>1.8110243055555553</v>
      </c>
      <c r="Q104" s="14">
        <v>5032360</v>
      </c>
      <c r="R104" s="14"/>
      <c r="S104" s="17">
        <v>0.29982831999999998</v>
      </c>
      <c r="T104" s="15"/>
      <c r="U104" s="15">
        <v>22.99</v>
      </c>
      <c r="V104" s="15">
        <v>24.37</v>
      </c>
      <c r="W104" s="14" t="s">
        <v>913</v>
      </c>
      <c r="X104" s="14">
        <v>1</v>
      </c>
      <c r="Y104" s="10">
        <f>AC104-AB104</f>
        <v>43</v>
      </c>
      <c r="Z104" s="18">
        <v>0</v>
      </c>
      <c r="AA104" s="18">
        <v>6</v>
      </c>
      <c r="AB104" s="18">
        <v>0</v>
      </c>
      <c r="AC104" s="18">
        <v>43</v>
      </c>
      <c r="AD104" s="1" t="s">
        <v>893</v>
      </c>
      <c r="AE104" s="1" t="s">
        <v>894</v>
      </c>
      <c r="AG104" s="4">
        <v>3.35</v>
      </c>
    </row>
    <row r="105" spans="1:33" ht="47.25" customHeight="1" x14ac:dyDescent="0.25">
      <c r="A105" s="10" t="s">
        <v>3366</v>
      </c>
      <c r="B105" s="11" t="s">
        <v>33</v>
      </c>
      <c r="C105" s="12" t="s">
        <v>3367</v>
      </c>
      <c r="D105" s="27"/>
      <c r="E105" s="14" t="s">
        <v>35</v>
      </c>
      <c r="F105" s="11" t="str">
        <f>HYPERLINK("https://redirect.sdcdeals.com/redirect?destination=https%3A%2F%2Fwww.amazon.com%2Fdp%2FB09KMH7PXK%3Fth%3D1%26psc%3D1%26tag%3Dsdcdeals03-20", "Amazon Link")</f>
        <v>Amazon Link</v>
      </c>
      <c r="G105" s="11" t="s">
        <v>36</v>
      </c>
      <c r="H105" s="14" t="s">
        <v>3368</v>
      </c>
      <c r="I105" s="11" t="str">
        <f>HYPERLINK("https://redirect.sdcdeals.com/redirect?code=763034&amp;mavely=https://mavely.app.link/e/bhESV2wGrGb&amp;destination=https%3A%2F%2Fwww.kohls.com%2Fsearch.jsp%3Fsubmit-search%3Dweb-regular%26search%3D75386324", "Retail Link")</f>
        <v>Retail Link</v>
      </c>
      <c r="J105" s="14" t="s">
        <v>3369</v>
      </c>
      <c r="K105" s="13" t="s">
        <v>3370</v>
      </c>
      <c r="L105" s="15">
        <v>15.6</v>
      </c>
      <c r="M105" s="15">
        <v>60</v>
      </c>
      <c r="N105" s="15">
        <v>28.24</v>
      </c>
      <c r="O105" s="15">
        <f>V105-M105</f>
        <v>-4.18</v>
      </c>
      <c r="P105" s="16">
        <f>N105/L105</f>
        <v>1.8102564102564103</v>
      </c>
      <c r="Q105" s="14">
        <v>20062</v>
      </c>
      <c r="R105" s="14"/>
      <c r="S105" s="17">
        <v>1.4307983799999999</v>
      </c>
      <c r="T105" s="15">
        <v>60</v>
      </c>
      <c r="U105" s="15">
        <v>56.06</v>
      </c>
      <c r="V105" s="15">
        <v>55.82</v>
      </c>
      <c r="W105" s="14" t="s">
        <v>53</v>
      </c>
      <c r="X105" s="14">
        <v>3</v>
      </c>
      <c r="Y105" s="10">
        <f>AC105-AB105</f>
        <v>360</v>
      </c>
      <c r="Z105" s="18">
        <v>41</v>
      </c>
      <c r="AA105" s="18">
        <v>130</v>
      </c>
      <c r="AB105" s="18">
        <v>21</v>
      </c>
      <c r="AC105" s="18">
        <v>381</v>
      </c>
      <c r="AD105" s="1" t="s">
        <v>3371</v>
      </c>
      <c r="AE105" s="1" t="s">
        <v>3372</v>
      </c>
      <c r="AF105" s="4">
        <v>9</v>
      </c>
      <c r="AG105" s="4">
        <v>7.16</v>
      </c>
    </row>
    <row r="106" spans="1:33" ht="47.25" hidden="1" customHeight="1" x14ac:dyDescent="0.25">
      <c r="A106" s="10" t="s">
        <v>101</v>
      </c>
      <c r="B106" s="11" t="s">
        <v>33</v>
      </c>
      <c r="C106" s="12" t="s">
        <v>102</v>
      </c>
      <c r="D106" s="27"/>
      <c r="E106" s="14" t="s">
        <v>35</v>
      </c>
      <c r="F106" s="11" t="str">
        <f>HYPERLINK("https://redirect.sdcdeals.com/redirect?destination=https%3A%2F%2Fwww.amazon.com%2Fdp%2FB0CM4PXH4X%3Fth%3D1%26psc%3D1%26tag%3Dsdcdeals03-20", "Amazon Link")</f>
        <v>Amazon Link</v>
      </c>
      <c r="G106" s="11" t="s">
        <v>36</v>
      </c>
      <c r="H106" s="14" t="s">
        <v>103</v>
      </c>
      <c r="I106" s="11" t="str">
        <f>HYPERLINK("https://redirect.sdcdeals.com/redirect?code=763034&amp;mavely=https://mavely.app.link/e/bhESV2wGrGb&amp;destination=https%3A%2F%2Fwww.kohls.com%2Fsearch.jsp%3Fsubmit-search%3Dweb-regular%26search%3D80688346", "Retail Link")</f>
        <v>Retail Link</v>
      </c>
      <c r="J106" s="14" t="s">
        <v>104</v>
      </c>
      <c r="K106" s="13" t="s">
        <v>105</v>
      </c>
      <c r="L106" s="15">
        <v>4.8000000000000007</v>
      </c>
      <c r="M106" s="15">
        <v>22.99</v>
      </c>
      <c r="N106" s="15">
        <v>8.6414999999999988</v>
      </c>
      <c r="O106" s="15">
        <f>V106-M106</f>
        <v>0.74000000000000199</v>
      </c>
      <c r="P106" s="16">
        <f>N106/L106</f>
        <v>1.8003124999999995</v>
      </c>
      <c r="Q106" s="14"/>
      <c r="R106" s="14"/>
      <c r="S106" s="17">
        <v>0.29982831999999998</v>
      </c>
      <c r="T106" s="15">
        <v>22.99</v>
      </c>
      <c r="U106" s="15">
        <v>22.99</v>
      </c>
      <c r="V106" s="15">
        <v>23.73</v>
      </c>
      <c r="W106" s="14" t="s">
        <v>106</v>
      </c>
      <c r="X106" s="14">
        <v>2</v>
      </c>
      <c r="Y106" s="10">
        <f>AC106-AB106</f>
        <v>6</v>
      </c>
      <c r="Z106" s="18">
        <v>-1</v>
      </c>
      <c r="AA106" s="18">
        <v>-1</v>
      </c>
      <c r="AB106" s="18">
        <v>0</v>
      </c>
      <c r="AC106" s="18">
        <v>6</v>
      </c>
      <c r="AD106" s="1" t="s">
        <v>107</v>
      </c>
      <c r="AE106" s="1" t="s">
        <v>108</v>
      </c>
      <c r="AF106" s="4">
        <v>3.91</v>
      </c>
      <c r="AG106" s="4">
        <v>6.1</v>
      </c>
    </row>
    <row r="107" spans="1:33" ht="47.25" customHeight="1" x14ac:dyDescent="0.25">
      <c r="A107" s="10" t="s">
        <v>1434</v>
      </c>
      <c r="B107" s="11" t="s">
        <v>33</v>
      </c>
      <c r="C107" s="12" t="s">
        <v>1435</v>
      </c>
      <c r="D107" s="27"/>
      <c r="E107" s="14" t="s">
        <v>35</v>
      </c>
      <c r="F107" s="11" t="str">
        <f>HYPERLINK("https://redirect.sdcdeals.com/redirect?destination=https%3A%2F%2Fwww.amazon.com%2Fdp%2FB09NP7PB4T%3Fth%3D1%26psc%3D1%26tag%3Dsdcdeals03-20", "Amazon Link")</f>
        <v>Amazon Link</v>
      </c>
      <c r="G107" s="11" t="s">
        <v>36</v>
      </c>
      <c r="H107" s="14" t="s">
        <v>1436</v>
      </c>
      <c r="I107" s="11" t="str">
        <f>HYPERLINK("https://redirect.sdcdeals.com/redirect?code=763034&amp;mavely=https://mavely.app.link/e/bhESV2wGrGb&amp;destination=https%3A%2F%2Fwww.kohls.com%2Fsearch.jsp%3Fsubmit-search%3Dweb-regular%26search%3D29058881", "Retail Link")</f>
        <v>Retail Link</v>
      </c>
      <c r="J107" s="14" t="s">
        <v>1437</v>
      </c>
      <c r="K107" s="13" t="s">
        <v>1438</v>
      </c>
      <c r="L107" s="15">
        <v>11.6</v>
      </c>
      <c r="M107" s="15">
        <v>43.4</v>
      </c>
      <c r="N107" s="15">
        <v>20.62</v>
      </c>
      <c r="O107" s="15">
        <f>V107-M107</f>
        <v>3.9999999999999147E-2</v>
      </c>
      <c r="P107" s="16">
        <f>N107/L107</f>
        <v>1.7775862068965518</v>
      </c>
      <c r="Q107" s="14">
        <v>635421</v>
      </c>
      <c r="R107" s="14"/>
      <c r="S107" s="17">
        <v>0.26455440000000002</v>
      </c>
      <c r="T107" s="15">
        <v>43.4</v>
      </c>
      <c r="U107" s="15">
        <v>43.45</v>
      </c>
      <c r="V107" s="15">
        <v>43.44</v>
      </c>
      <c r="W107" s="14" t="s">
        <v>53</v>
      </c>
      <c r="X107" s="14">
        <v>2</v>
      </c>
      <c r="Y107" s="10">
        <f>AC107-AB107</f>
        <v>23</v>
      </c>
      <c r="Z107" s="18">
        <v>10</v>
      </c>
      <c r="AA107" s="18">
        <v>20</v>
      </c>
      <c r="AB107" s="18">
        <v>0</v>
      </c>
      <c r="AC107" s="18">
        <v>23</v>
      </c>
      <c r="AD107" s="1" t="s">
        <v>1439</v>
      </c>
      <c r="AE107" s="1" t="s">
        <v>1440</v>
      </c>
      <c r="AF107" s="4">
        <v>7.38</v>
      </c>
      <c r="AG107" s="4">
        <v>4.67</v>
      </c>
    </row>
    <row r="108" spans="1:33" ht="47.25" customHeight="1" x14ac:dyDescent="0.25">
      <c r="A108" s="10" t="s">
        <v>1968</v>
      </c>
      <c r="B108" s="11" t="s">
        <v>33</v>
      </c>
      <c r="C108" s="12" t="s">
        <v>1969</v>
      </c>
      <c r="D108" s="27"/>
      <c r="E108" s="14" t="s">
        <v>35</v>
      </c>
      <c r="F108" s="11" t="str">
        <f>HYPERLINK("https://redirect.sdcdeals.com/redirect?destination=https%3A%2F%2Fwww.amazon.com%2Fdp%2FB0883N2PCV%3Fth%3D1%26psc%3D1%26tag%3Dsdcdeals03-20", "Amazon Link")</f>
        <v>Amazon Link</v>
      </c>
      <c r="G108" s="11" t="s">
        <v>36</v>
      </c>
      <c r="H108" s="14" t="s">
        <v>1970</v>
      </c>
      <c r="I108" s="11" t="str">
        <f>HYPERLINK("https://redirect.sdcdeals.com/redirect?code=763034&amp;mavely=https://mavely.app.link/e/bhESV2wGrGb&amp;destination=https%3A%2F%2Fwww.kohls.com%2Fsearch.jsp%3Fsubmit-search%3Dweb-regular%26search%3D34051297", "Retail Link")</f>
        <v>Retail Link</v>
      </c>
      <c r="J108" s="14" t="s">
        <v>1963</v>
      </c>
      <c r="K108" s="13" t="s">
        <v>1971</v>
      </c>
      <c r="L108" s="15">
        <v>9.6000000000000014</v>
      </c>
      <c r="M108" s="15">
        <v>37.99</v>
      </c>
      <c r="N108" s="15">
        <v>16.791499999999999</v>
      </c>
      <c r="O108" s="15">
        <f>V108-M108</f>
        <v>-8.6600000000000037</v>
      </c>
      <c r="P108" s="16">
        <f>N108/L108</f>
        <v>1.749114583333333</v>
      </c>
      <c r="Q108" s="14">
        <v>36182</v>
      </c>
      <c r="R108" s="14"/>
      <c r="S108" s="17">
        <v>0.70988764000000004</v>
      </c>
      <c r="T108" s="15">
        <v>37.99</v>
      </c>
      <c r="U108" s="15">
        <v>28.7</v>
      </c>
      <c r="V108" s="15">
        <v>29.33</v>
      </c>
      <c r="W108" s="14" t="s">
        <v>1972</v>
      </c>
      <c r="X108" s="14">
        <v>1</v>
      </c>
      <c r="Y108" s="10">
        <f>AC108-AB108</f>
        <v>4877</v>
      </c>
      <c r="Z108" s="18">
        <v>38</v>
      </c>
      <c r="AA108" s="18">
        <v>93</v>
      </c>
      <c r="AB108" s="18">
        <v>14</v>
      </c>
      <c r="AC108" s="18">
        <v>4891</v>
      </c>
      <c r="AD108" s="1" t="s">
        <v>1966</v>
      </c>
      <c r="AE108" s="1" t="s">
        <v>1973</v>
      </c>
      <c r="AF108" s="4">
        <v>6.46</v>
      </c>
      <c r="AG108" s="4">
        <v>5.9</v>
      </c>
    </row>
    <row r="109" spans="1:33" ht="47.25" hidden="1" customHeight="1" x14ac:dyDescent="0.25">
      <c r="A109" s="10" t="s">
        <v>5061</v>
      </c>
      <c r="B109" s="11" t="s">
        <v>33</v>
      </c>
      <c r="C109" s="12" t="s">
        <v>5062</v>
      </c>
      <c r="D109" s="27"/>
      <c r="E109" s="14" t="s">
        <v>35</v>
      </c>
      <c r="F109" s="11" t="str">
        <f>HYPERLINK("https://redirect.sdcdeals.com/redirect?destination=https%3A%2F%2Fwww.amazon.com%2Fdp%2FB0CL5KDZ5J%3Fth%3D1%26psc%3D1%26tag%3Dsdcdeals03-20", "Amazon Link")</f>
        <v>Amazon Link</v>
      </c>
      <c r="G109" s="11" t="s">
        <v>36</v>
      </c>
      <c r="H109" s="14" t="s">
        <v>5063</v>
      </c>
      <c r="I109" s="11" t="str">
        <f>HYPERLINK("https://redirect.sdcdeals.com/redirect?code=763034&amp;mavely=https://mavely.app.link/e/bhESV2wGrGb&amp;destination=https%3A%2F%2Fwww.kohls.com%2Fsearch.jsp%3Fsubmit-search%3Dweb-regular%26search%3D55860560", "Retail Link")</f>
        <v>Retail Link</v>
      </c>
      <c r="J109" s="14" t="s">
        <v>5064</v>
      </c>
      <c r="K109" s="13" t="s">
        <v>5065</v>
      </c>
      <c r="L109" s="15">
        <v>6.8000000000000007</v>
      </c>
      <c r="M109" s="15">
        <v>29.99</v>
      </c>
      <c r="N109" s="15">
        <v>11.881500000000001</v>
      </c>
      <c r="O109" s="15">
        <f>V109-M109</f>
        <v>-8.3199999999999967</v>
      </c>
      <c r="P109" s="16">
        <f>N109/L109</f>
        <v>1.7472794117647059</v>
      </c>
      <c r="Q109" s="14"/>
      <c r="R109" s="14"/>
      <c r="S109" s="17">
        <v>2.7800258200000001</v>
      </c>
      <c r="T109" s="15">
        <v>29.99</v>
      </c>
      <c r="U109" s="15">
        <v>21.5</v>
      </c>
      <c r="V109" s="15">
        <v>21.67</v>
      </c>
      <c r="W109" s="14" t="s">
        <v>671</v>
      </c>
      <c r="X109" s="14">
        <v>2</v>
      </c>
      <c r="Y109" s="10">
        <f>AC109-AB109</f>
        <v>0</v>
      </c>
      <c r="Z109" s="18">
        <v>0</v>
      </c>
      <c r="AA109" s="18">
        <v>72</v>
      </c>
      <c r="AB109" s="18">
        <v>0</v>
      </c>
      <c r="AC109" s="18"/>
      <c r="AF109" s="4">
        <v>5.0999999999999996</v>
      </c>
      <c r="AG109" s="4">
        <v>6.81</v>
      </c>
    </row>
    <row r="110" spans="1:33" ht="47.25" customHeight="1" x14ac:dyDescent="0.25">
      <c r="A110" s="10" t="s">
        <v>3300</v>
      </c>
      <c r="B110" s="11" t="s">
        <v>33</v>
      </c>
      <c r="C110" s="12" t="s">
        <v>3301</v>
      </c>
      <c r="D110" s="27"/>
      <c r="E110" s="14" t="s">
        <v>35</v>
      </c>
      <c r="F110" s="11" t="str">
        <f>HYPERLINK("https://redirect.sdcdeals.com/redirect?destination=https%3A%2F%2Fwww.amazon.com%2Fdp%2FB0BPDXB7RR%3Fth%3D1%26psc%3D1%26tag%3Dsdcdeals03-20", "Amazon Link")</f>
        <v>Amazon Link</v>
      </c>
      <c r="G110" s="11" t="s">
        <v>36</v>
      </c>
      <c r="H110" s="14" t="s">
        <v>3302</v>
      </c>
      <c r="I110" s="11" t="str">
        <f>HYPERLINK("https://redirect.sdcdeals.com/redirect?code=763034&amp;mavely=https://mavely.app.link/e/bhESV2wGrGb&amp;destination=https%3A%2F%2Fwww.kohls.com%2Fsearch.jsp%3Fsubmit-search%3Dweb-regular%26search%3D76909171", "Retail Link")</f>
        <v>Retail Link</v>
      </c>
      <c r="J110" s="14" t="s">
        <v>3281</v>
      </c>
      <c r="K110" s="13" t="s">
        <v>3303</v>
      </c>
      <c r="L110" s="15">
        <v>5.4960000000000004</v>
      </c>
      <c r="M110" s="15">
        <v>24.19</v>
      </c>
      <c r="N110" s="15">
        <v>9.5454999999999988</v>
      </c>
      <c r="O110" s="15">
        <f>V110-M110</f>
        <v>-0.85000000000000142</v>
      </c>
      <c r="P110" s="16">
        <f>N110/L110</f>
        <v>1.7368085880640463</v>
      </c>
      <c r="Q110" s="14">
        <v>57922</v>
      </c>
      <c r="R110" s="14"/>
      <c r="S110" s="17">
        <v>0.33951147999999998</v>
      </c>
      <c r="T110" s="15"/>
      <c r="U110" s="15">
        <v>24.19</v>
      </c>
      <c r="V110" s="15">
        <v>23.34</v>
      </c>
      <c r="W110" s="14" t="s">
        <v>3086</v>
      </c>
      <c r="X110" s="14">
        <v>1</v>
      </c>
      <c r="Y110" s="10">
        <f>AC110-AB110</f>
        <v>120</v>
      </c>
      <c r="Z110" s="18">
        <v>1</v>
      </c>
      <c r="AA110" s="18">
        <v>7</v>
      </c>
      <c r="AB110" s="18">
        <v>0</v>
      </c>
      <c r="AC110" s="18">
        <v>120</v>
      </c>
      <c r="AD110" s="1" t="s">
        <v>3294</v>
      </c>
      <c r="AE110" s="1" t="s">
        <v>3295</v>
      </c>
      <c r="AG110" s="4">
        <v>5.52</v>
      </c>
    </row>
    <row r="111" spans="1:33" ht="47.25" customHeight="1" x14ac:dyDescent="0.25">
      <c r="A111" s="10" t="s">
        <v>2045</v>
      </c>
      <c r="B111" s="11" t="s">
        <v>33</v>
      </c>
      <c r="C111" s="12" t="s">
        <v>2046</v>
      </c>
      <c r="D111" s="27"/>
      <c r="E111" s="14" t="s">
        <v>35</v>
      </c>
      <c r="F111" s="11" t="str">
        <f>HYPERLINK("https://redirect.sdcdeals.com/redirect?destination=https%3A%2F%2Fwww.amazon.com%2Fdp%2FB07D1MZ51W%3Fth%3D1%26psc%3D1%26tag%3Dsdcdeals03-20", "Amazon Link")</f>
        <v>Amazon Link</v>
      </c>
      <c r="G111" s="11" t="s">
        <v>36</v>
      </c>
      <c r="H111" s="14" t="s">
        <v>2047</v>
      </c>
      <c r="I111" s="11" t="str">
        <f>HYPERLINK("https://redirect.sdcdeals.com/redirect?code=763034&amp;mavely=https://mavely.app.link/e/bhESV2wGrGb&amp;destination=https%3A%2F%2Fwww.kohls.com%2Fsearch.jsp%3Fsubmit-search%3Dweb-regular%26search%3D73143102", "Retail Link")</f>
        <v>Retail Link</v>
      </c>
      <c r="J111" s="14" t="s">
        <v>2048</v>
      </c>
      <c r="K111" s="13" t="s">
        <v>2049</v>
      </c>
      <c r="L111" s="15">
        <v>9.6000000000000014</v>
      </c>
      <c r="M111" s="15">
        <v>37.99</v>
      </c>
      <c r="N111" s="15">
        <v>16.641500000000001</v>
      </c>
      <c r="O111" s="15">
        <f>V111-M111</f>
        <v>-4.1400000000000006</v>
      </c>
      <c r="P111" s="16">
        <f>N111/L111</f>
        <v>1.7334895833333333</v>
      </c>
      <c r="Q111" s="14">
        <v>581</v>
      </c>
      <c r="R111" s="14"/>
      <c r="S111" s="17">
        <v>0.90168957999999999</v>
      </c>
      <c r="T111" s="15">
        <v>37.99</v>
      </c>
      <c r="U111" s="15">
        <v>33.42</v>
      </c>
      <c r="V111" s="15">
        <v>33.85</v>
      </c>
      <c r="W111" s="14" t="s">
        <v>705</v>
      </c>
      <c r="X111" s="14">
        <v>1</v>
      </c>
      <c r="Y111" s="10">
        <f>AC111-AB111</f>
        <v>53284</v>
      </c>
      <c r="Z111" s="18">
        <v>66</v>
      </c>
      <c r="AA111" s="18">
        <v>185</v>
      </c>
      <c r="AB111" s="18">
        <v>16</v>
      </c>
      <c r="AC111" s="18">
        <v>53300</v>
      </c>
      <c r="AD111" s="1" t="s">
        <v>2050</v>
      </c>
      <c r="AE111" s="1" t="s">
        <v>2051</v>
      </c>
      <c r="AF111" s="4">
        <v>6.46</v>
      </c>
      <c r="AG111" s="4">
        <v>6.05</v>
      </c>
    </row>
    <row r="112" spans="1:33" ht="47.25" customHeight="1" x14ac:dyDescent="0.25">
      <c r="A112" s="10" t="s">
        <v>2090</v>
      </c>
      <c r="B112" s="11" t="s">
        <v>33</v>
      </c>
      <c r="C112" s="12" t="s">
        <v>2091</v>
      </c>
      <c r="D112" s="27"/>
      <c r="E112" s="14" t="s">
        <v>35</v>
      </c>
      <c r="F112" s="11" t="str">
        <f>HYPERLINK("https://redirect.sdcdeals.com/redirect?destination=https%3A%2F%2Fwww.amazon.com%2Fdp%2FB07GXTC42P%3Fth%3D1%26psc%3D1%26tag%3Dsdcdeals03-20", "Amazon Link")</f>
        <v>Amazon Link</v>
      </c>
      <c r="G112" s="11" t="s">
        <v>36</v>
      </c>
      <c r="H112" s="14" t="s">
        <v>2092</v>
      </c>
      <c r="I112" s="11" t="str">
        <f>HYPERLINK("https://redirect.sdcdeals.com/redirect?code=763034&amp;mavely=https://mavely.app.link/e/bhESV2wGrGb&amp;destination=https%3A%2F%2Fwww.kohls.com%2Fsearch.jsp%3Fsubmit-search%3Dweb-regular%26search%3D81145356", "Retail Link")</f>
        <v>Retail Link</v>
      </c>
      <c r="J112" s="14" t="s">
        <v>2048</v>
      </c>
      <c r="K112" s="13" t="s">
        <v>2093</v>
      </c>
      <c r="L112" s="15">
        <v>9.6000000000000014</v>
      </c>
      <c r="M112" s="15">
        <v>37.99</v>
      </c>
      <c r="N112" s="15">
        <v>16.641500000000001</v>
      </c>
      <c r="O112" s="15">
        <f>V112-M112</f>
        <v>-3.8200000000000003</v>
      </c>
      <c r="P112" s="16">
        <f>N112/L112</f>
        <v>1.7334895833333333</v>
      </c>
      <c r="Q112" s="14">
        <v>581</v>
      </c>
      <c r="R112" s="14"/>
      <c r="S112" s="17">
        <v>1.0493991199999999</v>
      </c>
      <c r="T112" s="15">
        <v>37.99</v>
      </c>
      <c r="U112" s="15">
        <v>33.6</v>
      </c>
      <c r="V112" s="15">
        <v>34.17</v>
      </c>
      <c r="W112" s="14" t="s">
        <v>613</v>
      </c>
      <c r="X112" s="14">
        <v>1</v>
      </c>
      <c r="Y112" s="10">
        <f>AC112-AB112</f>
        <v>53291</v>
      </c>
      <c r="Z112" s="18">
        <v>62</v>
      </c>
      <c r="AA112" s="18">
        <v>163</v>
      </c>
      <c r="AB112" s="18">
        <v>9</v>
      </c>
      <c r="AC112" s="18">
        <v>53300</v>
      </c>
      <c r="AD112" s="1" t="s">
        <v>2050</v>
      </c>
      <c r="AE112" s="1" t="s">
        <v>2094</v>
      </c>
      <c r="AF112" s="4">
        <v>6.46</v>
      </c>
      <c r="AG112" s="4">
        <v>6.05</v>
      </c>
    </row>
    <row r="113" spans="1:33" ht="47.25" customHeight="1" x14ac:dyDescent="0.25">
      <c r="A113" s="10" t="s">
        <v>2112</v>
      </c>
      <c r="B113" s="11" t="s">
        <v>33</v>
      </c>
      <c r="C113" s="12" t="s">
        <v>2113</v>
      </c>
      <c r="D113" s="27"/>
      <c r="E113" s="14" t="s">
        <v>35</v>
      </c>
      <c r="F113" s="11" t="str">
        <f>HYPERLINK("https://redirect.sdcdeals.com/redirect?destination=https%3A%2F%2Fwww.amazon.com%2Fdp%2FB07D1P23FR%3Fth%3D1%26psc%3D1%26tag%3Dsdcdeals03-20", "Amazon Link")</f>
        <v>Amazon Link</v>
      </c>
      <c r="G113" s="11" t="s">
        <v>36</v>
      </c>
      <c r="H113" s="14" t="s">
        <v>2114</v>
      </c>
      <c r="I113" s="11" t="str">
        <f>HYPERLINK("https://redirect.sdcdeals.com/redirect?code=763034&amp;mavely=https://mavely.app.link/e/bhESV2wGrGb&amp;destination=https%3A%2F%2Fwww.kohls.com%2Fsearch.jsp%3Fsubmit-search%3Dweb-regular%26search%3D73143103", "Retail Link")</f>
        <v>Retail Link</v>
      </c>
      <c r="J113" s="14" t="s">
        <v>2048</v>
      </c>
      <c r="K113" s="13" t="s">
        <v>2115</v>
      </c>
      <c r="L113" s="15">
        <v>9.6000000000000014</v>
      </c>
      <c r="M113" s="15">
        <v>37.99</v>
      </c>
      <c r="N113" s="15">
        <v>16.641500000000001</v>
      </c>
      <c r="O113" s="15">
        <f>V113-M113</f>
        <v>-4.2600000000000051</v>
      </c>
      <c r="P113" s="16">
        <f>N113/L113</f>
        <v>1.7334895833333333</v>
      </c>
      <c r="Q113" s="14">
        <v>581</v>
      </c>
      <c r="R113" s="14"/>
      <c r="S113" s="17">
        <v>0.93475887999999996</v>
      </c>
      <c r="T113" s="15">
        <v>37.99</v>
      </c>
      <c r="U113" s="15">
        <v>34.39</v>
      </c>
      <c r="V113" s="15">
        <v>33.729999999999997</v>
      </c>
      <c r="W113" s="14" t="s">
        <v>164</v>
      </c>
      <c r="X113" s="14">
        <v>1</v>
      </c>
      <c r="Y113" s="10">
        <f>AC113-AB113</f>
        <v>53286</v>
      </c>
      <c r="Z113" s="18">
        <v>53</v>
      </c>
      <c r="AA113" s="18">
        <v>166</v>
      </c>
      <c r="AB113" s="18">
        <v>14</v>
      </c>
      <c r="AC113" s="18">
        <v>53300</v>
      </c>
      <c r="AD113" s="1" t="s">
        <v>2050</v>
      </c>
      <c r="AE113" s="1" t="s">
        <v>2051</v>
      </c>
      <c r="AF113" s="4">
        <v>6.46</v>
      </c>
      <c r="AG113" s="4">
        <v>6.05</v>
      </c>
    </row>
    <row r="114" spans="1:33" ht="47.25" customHeight="1" x14ac:dyDescent="0.25">
      <c r="A114" s="10" t="s">
        <v>2124</v>
      </c>
      <c r="B114" s="11" t="s">
        <v>33</v>
      </c>
      <c r="C114" s="12" t="s">
        <v>2125</v>
      </c>
      <c r="D114" s="27"/>
      <c r="E114" s="14" t="s">
        <v>35</v>
      </c>
      <c r="F114" s="11" t="str">
        <f>HYPERLINK("https://redirect.sdcdeals.com/redirect?destination=https%3A%2F%2Fwww.amazon.com%2Fdp%2FB07GY437HM%3Fth%3D1%26psc%3D1%26tag%3Dsdcdeals03-20", "Amazon Link")</f>
        <v>Amazon Link</v>
      </c>
      <c r="G114" s="11" t="s">
        <v>36</v>
      </c>
      <c r="H114" s="14" t="s">
        <v>2126</v>
      </c>
      <c r="I114" s="11" t="str">
        <f>HYPERLINK("https://redirect.sdcdeals.com/redirect?code=763034&amp;mavely=https://mavely.app.link/e/bhESV2wGrGb&amp;destination=https%3A%2F%2Fwww.kohls.com%2Fsearch.jsp%3Fsubmit-search%3Dweb-regular%26search%3D81145358", "Retail Link")</f>
        <v>Retail Link</v>
      </c>
      <c r="J114" s="14" t="s">
        <v>2048</v>
      </c>
      <c r="K114" s="13" t="s">
        <v>2127</v>
      </c>
      <c r="L114" s="15">
        <v>9.6000000000000014</v>
      </c>
      <c r="M114" s="15">
        <v>37.99</v>
      </c>
      <c r="N114" s="15">
        <v>16.641500000000001</v>
      </c>
      <c r="O114" s="15">
        <f>V114-M114</f>
        <v>-3.1499999999999986</v>
      </c>
      <c r="P114" s="16">
        <f>N114/L114</f>
        <v>1.7334895833333333</v>
      </c>
      <c r="Q114" s="14">
        <v>583</v>
      </c>
      <c r="R114" s="14"/>
      <c r="S114" s="17">
        <v>1.0493991199999999</v>
      </c>
      <c r="T114" s="15">
        <v>37.99</v>
      </c>
      <c r="U114" s="15">
        <v>35.799999999999997</v>
      </c>
      <c r="V114" s="15">
        <v>34.840000000000003</v>
      </c>
      <c r="W114" s="14" t="s">
        <v>436</v>
      </c>
      <c r="X114" s="14">
        <v>1</v>
      </c>
      <c r="Y114" s="10">
        <f>AC114-AB114</f>
        <v>53286</v>
      </c>
      <c r="Z114" s="18">
        <v>53</v>
      </c>
      <c r="AA114" s="18">
        <v>137</v>
      </c>
      <c r="AB114" s="18">
        <v>14</v>
      </c>
      <c r="AC114" s="18">
        <v>53300</v>
      </c>
      <c r="AD114" s="1" t="s">
        <v>2050</v>
      </c>
      <c r="AE114" s="1" t="s">
        <v>2094</v>
      </c>
      <c r="AF114" s="4">
        <v>6.46</v>
      </c>
      <c r="AG114" s="4">
        <v>6.05</v>
      </c>
    </row>
    <row r="115" spans="1:33" ht="47.25" customHeight="1" x14ac:dyDescent="0.25">
      <c r="A115" s="10" t="s">
        <v>1086</v>
      </c>
      <c r="B115" s="11" t="s">
        <v>33</v>
      </c>
      <c r="C115" s="12" t="s">
        <v>1087</v>
      </c>
      <c r="D115" s="27"/>
      <c r="E115" s="14" t="s">
        <v>35</v>
      </c>
      <c r="F115" s="11" t="str">
        <f>HYPERLINK("https://redirect.sdcdeals.com/redirect?destination=https%3A%2F%2Fwww.amazon.com%2Fdp%2FB07FZFN4PX%3Fth%3D1%26psc%3D1%26tag%3Dsdcdeals03-20", "Amazon Link")</f>
        <v>Amazon Link</v>
      </c>
      <c r="G115" s="11" t="s">
        <v>36</v>
      </c>
      <c r="H115" s="14" t="s">
        <v>1088</v>
      </c>
      <c r="I115" s="11" t="str">
        <f>HYPERLINK("https://redirect.sdcdeals.com/redirect?code=763034&amp;mavely=https://mavely.app.link/e/bhESV2wGrGb&amp;destination=https%3A%2F%2Fwww.kohls.com%2Fsearch.jsp%3Fsubmit-search%3Dweb-regular%26search%3D59281943", "Retail Link")</f>
        <v>Retail Link</v>
      </c>
      <c r="J115" s="14" t="s">
        <v>1089</v>
      </c>
      <c r="K115" s="13" t="s">
        <v>1090</v>
      </c>
      <c r="L115" s="15">
        <v>19.687999999999999</v>
      </c>
      <c r="M115" s="15">
        <v>69.989999999999995</v>
      </c>
      <c r="N115" s="15">
        <v>33.983499999999992</v>
      </c>
      <c r="O115" s="15">
        <f>V115-M115</f>
        <v>-7.6599999999999966</v>
      </c>
      <c r="P115" s="16">
        <f>N115/L115</f>
        <v>1.7261021942299875</v>
      </c>
      <c r="Q115" s="14">
        <v>250055</v>
      </c>
      <c r="R115" s="14"/>
      <c r="S115" s="17">
        <v>1.2786796</v>
      </c>
      <c r="T115" s="15">
        <v>69.989999999999995</v>
      </c>
      <c r="U115" s="15">
        <v>61.22</v>
      </c>
      <c r="V115" s="15">
        <v>62.33</v>
      </c>
      <c r="W115" s="14" t="s">
        <v>436</v>
      </c>
      <c r="X115" s="14">
        <v>1</v>
      </c>
      <c r="Y115" s="10">
        <f>AC115-AB115</f>
        <v>124</v>
      </c>
      <c r="Z115" s="18">
        <v>17</v>
      </c>
      <c r="AA115" s="18">
        <v>40</v>
      </c>
      <c r="AB115" s="18">
        <v>6</v>
      </c>
      <c r="AC115" s="18">
        <v>130</v>
      </c>
      <c r="AD115" s="1" t="s">
        <v>1091</v>
      </c>
      <c r="AE115" s="1" t="s">
        <v>1092</v>
      </c>
      <c r="AF115" s="4">
        <v>11.9</v>
      </c>
      <c r="AG115" s="4">
        <v>5.82</v>
      </c>
    </row>
    <row r="116" spans="1:33" ht="47.25" customHeight="1" x14ac:dyDescent="0.25">
      <c r="A116" s="10" t="s">
        <v>2052</v>
      </c>
      <c r="B116" s="11" t="s">
        <v>33</v>
      </c>
      <c r="C116" s="12" t="s">
        <v>2053</v>
      </c>
      <c r="D116" s="27"/>
      <c r="E116" s="14" t="s">
        <v>35</v>
      </c>
      <c r="F116" s="11" t="str">
        <f>HYPERLINK("https://redirect.sdcdeals.com/redirect?destination=https%3A%2F%2Fwww.amazon.com%2Fdp%2FB07D1MJWKL%3Fth%3D1%26psc%3D1%26tag%3Dsdcdeals03-20", "Amazon Link")</f>
        <v>Amazon Link</v>
      </c>
      <c r="G116" s="11" t="s">
        <v>36</v>
      </c>
      <c r="H116" s="14" t="s">
        <v>2054</v>
      </c>
      <c r="I116" s="11" t="str">
        <f>HYPERLINK("https://redirect.sdcdeals.com/redirect?code=763034&amp;mavely=https://mavely.app.link/e/bhESV2wGrGb&amp;destination=https%3A%2F%2Fwww.kohls.com%2Fsearch.jsp%3Fsubmit-search%3Dweb-regular%26search%3D28149182", "Retail Link")</f>
        <v>Retail Link</v>
      </c>
      <c r="J116" s="14" t="s">
        <v>2048</v>
      </c>
      <c r="K116" s="13" t="s">
        <v>2055</v>
      </c>
      <c r="L116" s="15">
        <v>9.6000000000000014</v>
      </c>
      <c r="M116" s="15">
        <v>38.39</v>
      </c>
      <c r="N116" s="15">
        <v>16.551500000000001</v>
      </c>
      <c r="O116" s="15">
        <f>V116-M116</f>
        <v>-2.6499999999999986</v>
      </c>
      <c r="P116" s="16">
        <f>N116/L116</f>
        <v>1.7241145833333331</v>
      </c>
      <c r="Q116" s="14">
        <v>581</v>
      </c>
      <c r="R116" s="14"/>
      <c r="S116" s="17">
        <v>0.83996022000000004</v>
      </c>
      <c r="T116" s="15">
        <v>38.39</v>
      </c>
      <c r="U116" s="15">
        <v>36.4</v>
      </c>
      <c r="V116" s="15">
        <v>35.74</v>
      </c>
      <c r="W116" s="14" t="s">
        <v>2056</v>
      </c>
      <c r="X116" s="14">
        <v>1</v>
      </c>
      <c r="Y116" s="10">
        <f>AC116-AB116</f>
        <v>53299</v>
      </c>
      <c r="Z116" s="18">
        <v>68</v>
      </c>
      <c r="AA116" s="18">
        <v>198</v>
      </c>
      <c r="AB116" s="18">
        <v>13</v>
      </c>
      <c r="AC116" s="18">
        <v>53312</v>
      </c>
      <c r="AD116" s="1" t="s">
        <v>2050</v>
      </c>
      <c r="AE116" s="1" t="s">
        <v>2057</v>
      </c>
      <c r="AF116" s="4">
        <v>6.52</v>
      </c>
      <c r="AG116" s="4">
        <v>6.48</v>
      </c>
    </row>
    <row r="117" spans="1:33" ht="47.25" hidden="1" customHeight="1" x14ac:dyDescent="0.25">
      <c r="A117" s="10" t="s">
        <v>5544</v>
      </c>
      <c r="B117" s="11" t="s">
        <v>33</v>
      </c>
      <c r="C117" s="12" t="s">
        <v>5545</v>
      </c>
      <c r="D117" s="27"/>
      <c r="E117" s="14" t="s">
        <v>35</v>
      </c>
      <c r="F117" s="11" t="str">
        <f>HYPERLINK("https://redirect.sdcdeals.com/redirect?destination=https%3A%2F%2Fwww.amazon.com%2Fdp%2FB0D19DYFHM%3Fth%3D1%26psc%3D1%26tag%3Dsdcdeals03-20", "Amazon Link")</f>
        <v>Amazon Link</v>
      </c>
      <c r="G117" s="11" t="s">
        <v>36</v>
      </c>
      <c r="H117" s="14" t="s">
        <v>5546</v>
      </c>
      <c r="I117" s="11" t="str">
        <f>HYPERLINK("https://redirect.sdcdeals.com/redirect?code=763034&amp;mavely=https://mavely.app.link/e/bhESV2wGrGb&amp;destination=https%3A%2F%2Fwww.kohls.com%2Fsearch.jsp%3Fsubmit-search%3Dweb-regular%26search%3D68810835", "Retail Link")</f>
        <v>Retail Link</v>
      </c>
      <c r="J117" s="14" t="s">
        <v>5547</v>
      </c>
      <c r="K117" s="13" t="s">
        <v>5548</v>
      </c>
      <c r="L117" s="15">
        <v>7.48</v>
      </c>
      <c r="M117" s="15">
        <v>29.99</v>
      </c>
      <c r="N117" s="15">
        <v>12.891500000000001</v>
      </c>
      <c r="O117" s="15">
        <f>V117-M117</f>
        <v>-2.9999999999997584E-2</v>
      </c>
      <c r="P117" s="16">
        <f>N117/L117</f>
        <v>1.7234625668449197</v>
      </c>
      <c r="Q117" s="14"/>
      <c r="R117" s="14"/>
      <c r="S117" s="17"/>
      <c r="T117" s="15">
        <v>29.99</v>
      </c>
      <c r="U117" s="15">
        <v>29.96</v>
      </c>
      <c r="V117" s="15">
        <v>29.96</v>
      </c>
      <c r="W117" s="14" t="s">
        <v>88</v>
      </c>
      <c r="X117" s="14">
        <v>1</v>
      </c>
      <c r="Y117" s="10">
        <f>AC117-AB117</f>
        <v>0</v>
      </c>
      <c r="Z117" s="18">
        <v>1</v>
      </c>
      <c r="AA117" s="18">
        <v>4</v>
      </c>
      <c r="AB117" s="18"/>
      <c r="AC117" s="18"/>
      <c r="AE117" s="1" t="s">
        <v>5549</v>
      </c>
      <c r="AF117" s="4">
        <v>5.0999999999999996</v>
      </c>
      <c r="AG117" s="4">
        <v>5.12</v>
      </c>
    </row>
    <row r="118" spans="1:33" ht="47.25" hidden="1" customHeight="1" x14ac:dyDescent="0.25">
      <c r="A118" s="10" t="s">
        <v>7232</v>
      </c>
      <c r="B118" s="11" t="s">
        <v>33</v>
      </c>
      <c r="C118" s="12" t="s">
        <v>7233</v>
      </c>
      <c r="D118" s="27"/>
      <c r="E118" s="14" t="s">
        <v>35</v>
      </c>
      <c r="F118" s="11" t="str">
        <f>HYPERLINK("https://redirect.sdcdeals.com/redirect?destination=https%3A%2F%2Fwww.amazon.com%2Fdp%2FB0CP2VT64Q%3Fth%3D1%26psc%3D1%26tag%3Dsdcdeals03-20", "Amazon Link")</f>
        <v>Amazon Link</v>
      </c>
      <c r="G118" s="11" t="s">
        <v>36</v>
      </c>
      <c r="H118" s="14" t="s">
        <v>7234</v>
      </c>
      <c r="I118" s="11" t="str">
        <f>HYPERLINK("https://redirect.sdcdeals.com/redirect?code=763034&amp;mavely=https://mavely.app.link/e/bhESV2wGrGb&amp;destination=https%3A%2F%2Fwww.kohls.com%2Fsearch.jsp%3Fsubmit-search%3Dweb-regular%26search%3D29846836", "Retail Link")</f>
        <v>Retail Link</v>
      </c>
      <c r="J118" s="14" t="s">
        <v>7230</v>
      </c>
      <c r="K118" s="13" t="s">
        <v>7235</v>
      </c>
      <c r="L118" s="15">
        <v>6.7200000000000006</v>
      </c>
      <c r="M118" s="15">
        <v>28.9</v>
      </c>
      <c r="N118" s="15">
        <v>11.565</v>
      </c>
      <c r="O118" s="15">
        <f>V118-M118</f>
        <v>1.7800000000000011</v>
      </c>
      <c r="P118" s="16">
        <f>N118/L118</f>
        <v>1.7209821428571426</v>
      </c>
      <c r="Q118" s="14"/>
      <c r="R118" s="14"/>
      <c r="S118" s="17">
        <v>0.50044874000000006</v>
      </c>
      <c r="T118" s="15">
        <v>28.8</v>
      </c>
      <c r="U118" s="15">
        <v>30.79</v>
      </c>
      <c r="V118" s="15">
        <v>30.68</v>
      </c>
      <c r="W118" s="14" t="s">
        <v>4270</v>
      </c>
      <c r="X118" s="14">
        <v>2</v>
      </c>
      <c r="Y118" s="10">
        <f>AC118-AB118</f>
        <v>23</v>
      </c>
      <c r="Z118" s="18">
        <v>0</v>
      </c>
      <c r="AA118" s="18">
        <v>0</v>
      </c>
      <c r="AB118" s="18">
        <v>0</v>
      </c>
      <c r="AC118" s="18">
        <v>23</v>
      </c>
      <c r="AE118" s="1" t="s">
        <v>935</v>
      </c>
      <c r="AF118" s="4">
        <v>4.91</v>
      </c>
      <c r="AG118" s="4">
        <v>6.28</v>
      </c>
    </row>
    <row r="119" spans="1:33" ht="47.25" customHeight="1" x14ac:dyDescent="0.25">
      <c r="A119" s="10" t="s">
        <v>4183</v>
      </c>
      <c r="B119" s="11" t="s">
        <v>33</v>
      </c>
      <c r="C119" s="12" t="s">
        <v>4184</v>
      </c>
      <c r="D119" s="27"/>
      <c r="E119" s="14" t="s">
        <v>35</v>
      </c>
      <c r="F119" s="11" t="str">
        <f>HYPERLINK("https://redirect.sdcdeals.com/redirect?destination=https%3A%2F%2Fwww.amazon.com%2Fdp%2FB0B6PP6QMP%3Fth%3D1%26psc%3D1%26tag%3Dsdcdeals03-20", "Amazon Link")</f>
        <v>Amazon Link</v>
      </c>
      <c r="G119" s="11" t="s">
        <v>36</v>
      </c>
      <c r="H119" s="14" t="s">
        <v>4185</v>
      </c>
      <c r="I119" s="11" t="str">
        <f>HYPERLINK("https://redirect.sdcdeals.com/redirect?code=763034&amp;mavely=https://mavely.app.link/e/bhESV2wGrGb&amp;destination=https%3A%2F%2Fwww.kohls.com%2Fsearch.jsp%3Fsubmit-search%3Dweb-regular%26search%3D20144519", "Retail Link")</f>
        <v>Retail Link</v>
      </c>
      <c r="J119" s="14" t="s">
        <v>4180</v>
      </c>
      <c r="K119" s="13" t="s">
        <v>4186</v>
      </c>
      <c r="L119" s="15">
        <v>6.76</v>
      </c>
      <c r="M119" s="15">
        <v>26.96</v>
      </c>
      <c r="N119" s="15">
        <v>11.545999999999999</v>
      </c>
      <c r="O119" s="15">
        <f>V119-M119</f>
        <v>0.89000000000000057</v>
      </c>
      <c r="P119" s="16">
        <f>N119/L119</f>
        <v>1.7079881656804734</v>
      </c>
      <c r="Q119" s="14">
        <v>4507691</v>
      </c>
      <c r="R119" s="14"/>
      <c r="S119" s="17">
        <v>0.33069300000000001</v>
      </c>
      <c r="T119" s="15">
        <v>19.100000000000001</v>
      </c>
      <c r="U119" s="15">
        <v>26.98</v>
      </c>
      <c r="V119" s="15">
        <v>27.85</v>
      </c>
      <c r="W119" s="14" t="s">
        <v>4187</v>
      </c>
      <c r="X119" s="14">
        <v>3</v>
      </c>
      <c r="Y119" s="10">
        <f>AC119-AB119</f>
        <v>0</v>
      </c>
      <c r="Z119" s="18">
        <v>0</v>
      </c>
      <c r="AA119" s="18">
        <v>0</v>
      </c>
      <c r="AB119" s="18">
        <v>1</v>
      </c>
      <c r="AC119" s="18">
        <v>1</v>
      </c>
      <c r="AD119" s="1" t="s">
        <v>4182</v>
      </c>
      <c r="AE119" s="1" t="s">
        <v>1085</v>
      </c>
      <c r="AF119" s="4">
        <v>4.58</v>
      </c>
      <c r="AG119" s="4">
        <v>4.6100000000000003</v>
      </c>
    </row>
    <row r="120" spans="1:33" ht="47.25" hidden="1" customHeight="1" x14ac:dyDescent="0.25">
      <c r="A120" s="10" t="s">
        <v>2814</v>
      </c>
      <c r="B120" s="11" t="s">
        <v>33</v>
      </c>
      <c r="C120" s="12" t="s">
        <v>2815</v>
      </c>
      <c r="D120" s="27"/>
      <c r="E120" s="14" t="s">
        <v>35</v>
      </c>
      <c r="F120" s="11" t="str">
        <f>HYPERLINK("https://redirect.sdcdeals.com/redirect?destination=https%3A%2F%2Fwww.amazon.com%2Fdp%2FB0CCCBFKGP%3Fth%3D1%26psc%3D1%26tag%3Dsdcdeals03-20", "Amazon Link")</f>
        <v>Amazon Link</v>
      </c>
      <c r="G120" s="11" t="s">
        <v>36</v>
      </c>
      <c r="H120" s="14" t="s">
        <v>2816</v>
      </c>
      <c r="I120" s="11" t="str">
        <f>HYPERLINK("https://redirect.sdcdeals.com/redirect?code=763034&amp;mavely=https://mavely.app.link/e/bhESV2wGrGb&amp;destination=https%3A%2F%2Fwww.kohls.com%2Fsearch.jsp%3Fsubmit-search%3Dweb-regular%26search%3D17927048", "Retail Link")</f>
        <v>Retail Link</v>
      </c>
      <c r="J120" s="14" t="s">
        <v>2705</v>
      </c>
      <c r="K120" s="13" t="s">
        <v>2717</v>
      </c>
      <c r="L120" s="15">
        <v>13.2</v>
      </c>
      <c r="M120" s="15">
        <v>50.05</v>
      </c>
      <c r="N120" s="15">
        <v>22.512499999999999</v>
      </c>
      <c r="O120" s="15">
        <f>V120-M120</f>
        <v>-16.47</v>
      </c>
      <c r="P120" s="16">
        <f>N120/L120</f>
        <v>1.7054924242424243</v>
      </c>
      <c r="Q120" s="14"/>
      <c r="R120" s="14"/>
      <c r="S120" s="17">
        <v>0.95900969999999996</v>
      </c>
      <c r="T120" s="15">
        <v>42.71</v>
      </c>
      <c r="U120" s="15">
        <v>40.22</v>
      </c>
      <c r="V120" s="15">
        <v>33.58</v>
      </c>
      <c r="W120" s="14" t="s">
        <v>776</v>
      </c>
      <c r="X120" s="14">
        <v>2</v>
      </c>
      <c r="Y120" s="10">
        <f>AC120-AB120</f>
        <v>4</v>
      </c>
      <c r="Z120" s="18">
        <v>-1</v>
      </c>
      <c r="AA120" s="18">
        <v>-1</v>
      </c>
      <c r="AB120" s="18"/>
      <c r="AC120" s="18">
        <v>4</v>
      </c>
      <c r="AD120" s="1" t="s">
        <v>2754</v>
      </c>
      <c r="AE120" s="1" t="s">
        <v>2719</v>
      </c>
      <c r="AF120" s="4">
        <v>8.51</v>
      </c>
      <c r="AG120" s="4">
        <v>6.83</v>
      </c>
    </row>
    <row r="121" spans="1:33" ht="47.25" customHeight="1" x14ac:dyDescent="0.25">
      <c r="A121" s="10" t="s">
        <v>7603</v>
      </c>
      <c r="B121" s="11" t="s">
        <v>33</v>
      </c>
      <c r="C121" s="12" t="s">
        <v>7604</v>
      </c>
      <c r="D121" s="27"/>
      <c r="E121" s="14" t="s">
        <v>35</v>
      </c>
      <c r="F121" s="11" t="str">
        <f>HYPERLINK("https://redirect.sdcdeals.com/redirect?destination=https%3A%2F%2Fwww.amazon.com%2Fdp%2FB0B1KY9BWB%3Fth%3D1%26psc%3D1%26tag%3Dsdcdeals03-20", "Amazon Link")</f>
        <v>Amazon Link</v>
      </c>
      <c r="G121" s="11" t="s">
        <v>36</v>
      </c>
      <c r="H121" s="14" t="s">
        <v>7605</v>
      </c>
      <c r="I121" s="11" t="str">
        <f>HYPERLINK("https://redirect.sdcdeals.com/redirect?code=763034&amp;mavely=https://mavely.app.link/e/bhESV2wGrGb&amp;destination=https%3A%2F%2Fwww.kohls.com%2Fsearch.jsp%3Fsubmit-search%3Dweb-regular%26search%3D74403520", "Retail Link")</f>
        <v>Retail Link</v>
      </c>
      <c r="J121" s="14" t="s">
        <v>7579</v>
      </c>
      <c r="K121" s="13" t="s">
        <v>7606</v>
      </c>
      <c r="L121" s="15">
        <v>16.68</v>
      </c>
      <c r="M121" s="15">
        <v>59.99</v>
      </c>
      <c r="N121" s="15">
        <v>28.4115</v>
      </c>
      <c r="O121" s="15">
        <f>V121-M121</f>
        <v>-1.730000000000004</v>
      </c>
      <c r="P121" s="16">
        <f>N121/L121</f>
        <v>1.7033273381294964</v>
      </c>
      <c r="Q121" s="14">
        <v>11181</v>
      </c>
      <c r="R121" s="14"/>
      <c r="S121" s="17">
        <v>1.21033638</v>
      </c>
      <c r="T121" s="15">
        <v>59.99</v>
      </c>
      <c r="U121" s="15">
        <v>56.53</v>
      </c>
      <c r="V121" s="15">
        <v>58.26</v>
      </c>
      <c r="W121" s="14" t="s">
        <v>106</v>
      </c>
      <c r="X121" s="14">
        <v>1</v>
      </c>
      <c r="Y121" s="10">
        <f>AC121-AB121</f>
        <v>4353</v>
      </c>
      <c r="Z121" s="18">
        <v>8</v>
      </c>
      <c r="AA121" s="18">
        <v>22</v>
      </c>
      <c r="AB121" s="18">
        <v>0</v>
      </c>
      <c r="AC121" s="18">
        <v>4353</v>
      </c>
      <c r="AD121" s="1" t="s">
        <v>7581</v>
      </c>
      <c r="AE121" s="1" t="s">
        <v>7582</v>
      </c>
      <c r="AF121" s="4">
        <v>10.199999999999999</v>
      </c>
      <c r="AG121" s="4">
        <v>5.9</v>
      </c>
    </row>
    <row r="122" spans="1:33" ht="47.25" customHeight="1" x14ac:dyDescent="0.25">
      <c r="A122" s="10" t="s">
        <v>1823</v>
      </c>
      <c r="B122" s="11" t="s">
        <v>33</v>
      </c>
      <c r="C122" s="12" t="s">
        <v>1824</v>
      </c>
      <c r="D122" s="27"/>
      <c r="E122" s="14" t="s">
        <v>35</v>
      </c>
      <c r="F122" s="11" t="str">
        <f>HYPERLINK("https://redirect.sdcdeals.com/redirect?destination=https%3A%2F%2Fwww.amazon.com%2Fdp%2FB0BJ7CN439%3Fth%3D1%26psc%3D1%26tag%3Dsdcdeals03-20", "Amazon Link")</f>
        <v>Amazon Link</v>
      </c>
      <c r="G122" s="11" t="s">
        <v>36</v>
      </c>
      <c r="H122" s="14" t="s">
        <v>1825</v>
      </c>
      <c r="I122" s="11" t="str">
        <f>HYPERLINK("https://redirect.sdcdeals.com/redirect?code=763034&amp;mavely=https://mavely.app.link/e/bhESV2wGrGb&amp;destination=https%3A%2F%2Fwww.kohls.com%2Fsearch.jsp%3Fsubmit-search%3Dweb-regular%26search%3D82004521", "Retail Link")</f>
        <v>Retail Link</v>
      </c>
      <c r="J122" s="14" t="s">
        <v>1809</v>
      </c>
      <c r="K122" s="13" t="s">
        <v>1826</v>
      </c>
      <c r="L122" s="15">
        <v>23.391999999999999</v>
      </c>
      <c r="M122" s="15">
        <v>83.25</v>
      </c>
      <c r="N122" s="15">
        <v>39.810499999999998</v>
      </c>
      <c r="O122" s="15">
        <f>V122-M122</f>
        <v>3.769999999999996</v>
      </c>
      <c r="P122" s="16">
        <f>N122/L122</f>
        <v>1.7018852599179206</v>
      </c>
      <c r="Q122" s="14">
        <v>325228</v>
      </c>
      <c r="R122" s="14"/>
      <c r="S122" s="17">
        <v>3.0026924400000001</v>
      </c>
      <c r="T122" s="15">
        <v>83.25</v>
      </c>
      <c r="U122" s="15"/>
      <c r="V122" s="15">
        <v>87.02</v>
      </c>
      <c r="W122" s="14" t="s">
        <v>1827</v>
      </c>
      <c r="X122" s="14">
        <v>3</v>
      </c>
      <c r="Y122" s="10">
        <f>AC122-AB122</f>
        <v>110</v>
      </c>
      <c r="Z122" s="18">
        <v>51</v>
      </c>
      <c r="AA122" s="18">
        <v>104</v>
      </c>
      <c r="AB122" s="18">
        <v>14</v>
      </c>
      <c r="AC122" s="18">
        <v>124</v>
      </c>
      <c r="AD122" s="1" t="s">
        <v>1812</v>
      </c>
      <c r="AE122" s="1" t="s">
        <v>1813</v>
      </c>
      <c r="AG122" s="4">
        <v>7.56</v>
      </c>
    </row>
    <row r="123" spans="1:33" ht="47.25" customHeight="1" x14ac:dyDescent="0.25">
      <c r="A123" s="10" t="s">
        <v>5698</v>
      </c>
      <c r="B123" s="11" t="s">
        <v>33</v>
      </c>
      <c r="C123" s="12" t="s">
        <v>5699</v>
      </c>
      <c r="D123" s="27"/>
      <c r="E123" s="14" t="s">
        <v>35</v>
      </c>
      <c r="F123" s="11" t="str">
        <f>HYPERLINK("https://redirect.sdcdeals.com/redirect?destination=https%3A%2F%2Fwww.amazon.com%2Fdp%2FB0C5JWKX4D%3Fth%3D1%26psc%3D1%26tag%3Dsdcdeals03-20", "Amazon Link")</f>
        <v>Amazon Link</v>
      </c>
      <c r="G123" s="11" t="s">
        <v>36</v>
      </c>
      <c r="H123" s="14" t="s">
        <v>5700</v>
      </c>
      <c r="I123" s="11" t="str">
        <f>HYPERLINK("https://redirect.sdcdeals.com/redirect?code=763034&amp;mavely=https://mavely.app.link/e/bhESV2wGrGb&amp;destination=https%3A%2F%2Fwww.kohls.com%2Fsearch.jsp%3Fsubmit-search%3Dweb-regular%26search%3D29315641", "Retail Link")</f>
        <v>Retail Link</v>
      </c>
      <c r="J123" s="14" t="s">
        <v>5691</v>
      </c>
      <c r="K123" s="13" t="s">
        <v>5692</v>
      </c>
      <c r="L123" s="15">
        <v>8.4</v>
      </c>
      <c r="M123" s="15">
        <v>31.99</v>
      </c>
      <c r="N123" s="15">
        <v>14.1815</v>
      </c>
      <c r="O123" s="15">
        <f>V123-M123</f>
        <v>0.23000000000000043</v>
      </c>
      <c r="P123" s="16">
        <f>N123/L123</f>
        <v>1.6882738095238095</v>
      </c>
      <c r="Q123" s="14">
        <v>182282</v>
      </c>
      <c r="R123" s="14"/>
      <c r="S123" s="17">
        <v>0.28660059999999998</v>
      </c>
      <c r="T123" s="15">
        <v>27.8</v>
      </c>
      <c r="U123" s="15">
        <v>31.11</v>
      </c>
      <c r="V123" s="15">
        <v>32.22</v>
      </c>
      <c r="W123" s="14" t="s">
        <v>164</v>
      </c>
      <c r="X123" s="14">
        <v>4</v>
      </c>
      <c r="Y123" s="10">
        <f>AC123-AB123</f>
        <v>90</v>
      </c>
      <c r="Z123" s="18">
        <v>23</v>
      </c>
      <c r="AA123" s="18">
        <v>57</v>
      </c>
      <c r="AB123" s="18">
        <v>0</v>
      </c>
      <c r="AC123" s="18">
        <v>90</v>
      </c>
      <c r="AD123" s="1" t="s">
        <v>5693</v>
      </c>
      <c r="AE123" s="1" t="s">
        <v>5694</v>
      </c>
      <c r="AF123" s="4">
        <v>5.44</v>
      </c>
      <c r="AG123" s="4">
        <v>4.6100000000000003</v>
      </c>
    </row>
    <row r="124" spans="1:33" ht="47.25" customHeight="1" x14ac:dyDescent="0.25">
      <c r="A124" s="10" t="s">
        <v>7583</v>
      </c>
      <c r="B124" s="11" t="s">
        <v>33</v>
      </c>
      <c r="C124" s="12" t="s">
        <v>7584</v>
      </c>
      <c r="D124" s="27"/>
      <c r="E124" s="14" t="s">
        <v>35</v>
      </c>
      <c r="F124" s="11" t="str">
        <f>HYPERLINK("https://redirect.sdcdeals.com/redirect?destination=https%3A%2F%2Fwww.amazon.com%2Fdp%2FB0B1KWN74T%3Fth%3D1%26psc%3D1%26tag%3Dsdcdeals03-20", "Amazon Link")</f>
        <v>Amazon Link</v>
      </c>
      <c r="G124" s="11" t="s">
        <v>36</v>
      </c>
      <c r="H124" s="14" t="s">
        <v>7585</v>
      </c>
      <c r="I124" s="11" t="str">
        <f>HYPERLINK("https://redirect.sdcdeals.com/redirect?code=763034&amp;mavely=https://mavely.app.link/e/bhESV2wGrGb&amp;destination=https%3A%2F%2Fwww.kohls.com%2Fsearch.jsp%3Fsubmit-search%3Dweb-regular%26search%3D74403490", "Retail Link")</f>
        <v>Retail Link</v>
      </c>
      <c r="J124" s="14" t="s">
        <v>7579</v>
      </c>
      <c r="K124" s="13" t="s">
        <v>7586</v>
      </c>
      <c r="L124" s="15">
        <v>16.68</v>
      </c>
      <c r="M124" s="15">
        <v>60.94</v>
      </c>
      <c r="N124" s="15">
        <v>28.039000000000001</v>
      </c>
      <c r="O124" s="15">
        <f>V124-M124</f>
        <v>0</v>
      </c>
      <c r="P124" s="16">
        <f>N124/L124</f>
        <v>1.6809952038369305</v>
      </c>
      <c r="Q124" s="14">
        <v>11973</v>
      </c>
      <c r="R124" s="14"/>
      <c r="S124" s="17">
        <v>1.1309700600000001</v>
      </c>
      <c r="T124" s="15"/>
      <c r="U124" s="15"/>
      <c r="V124" s="15">
        <v>60.94</v>
      </c>
      <c r="W124" s="14" t="s">
        <v>53</v>
      </c>
      <c r="X124" s="14"/>
      <c r="Y124" s="10">
        <f>AC124-AB124</f>
        <v>4155</v>
      </c>
      <c r="Z124" s="18">
        <v>2</v>
      </c>
      <c r="AA124" s="18">
        <v>5</v>
      </c>
      <c r="AB124" s="18">
        <v>0</v>
      </c>
      <c r="AC124" s="18">
        <v>4155</v>
      </c>
      <c r="AD124" s="1" t="s">
        <v>7581</v>
      </c>
      <c r="AE124" s="1" t="s">
        <v>7582</v>
      </c>
      <c r="AG124" s="4">
        <v>7.08</v>
      </c>
    </row>
    <row r="125" spans="1:33" ht="47.25" customHeight="1" x14ac:dyDescent="0.25">
      <c r="A125" s="10" t="s">
        <v>1421</v>
      </c>
      <c r="B125" s="11" t="s">
        <v>33</v>
      </c>
      <c r="C125" s="12" t="s">
        <v>1422</v>
      </c>
      <c r="D125" s="27"/>
      <c r="E125" s="14" t="s">
        <v>35</v>
      </c>
      <c r="F125" s="11" t="str">
        <f>HYPERLINK("https://redirect.sdcdeals.com/redirect?destination=https%3A%2F%2Fwww.amazon.com%2Fdp%2FB0CNS63NWJ%3Fth%3D1%26psc%3D1%26tag%3Dsdcdeals03-20", "Amazon Link")</f>
        <v>Amazon Link</v>
      </c>
      <c r="G125" s="11" t="s">
        <v>36</v>
      </c>
      <c r="H125" s="14" t="s">
        <v>1423</v>
      </c>
      <c r="I125" s="11" t="str">
        <f>HYPERLINK("https://redirect.sdcdeals.com/redirect?code=763034&amp;mavely=https://mavely.app.link/e/bhESV2wGrGb&amp;destination=https%3A%2F%2Fwww.kohls.com%2Fsearch.jsp%3Fsubmit-search%3Dweb-regular%26search%3D80430202", "Retail Link")</f>
        <v>Retail Link</v>
      </c>
      <c r="J125" s="14" t="s">
        <v>1424</v>
      </c>
      <c r="K125" s="13" t="s">
        <v>1425</v>
      </c>
      <c r="L125" s="15">
        <v>6.24</v>
      </c>
      <c r="M125" s="15">
        <v>27.99</v>
      </c>
      <c r="N125" s="15">
        <v>10.471500000000001</v>
      </c>
      <c r="O125" s="15">
        <f>V125-M125</f>
        <v>0</v>
      </c>
      <c r="P125" s="16">
        <f>N125/L125</f>
        <v>1.6781250000000001</v>
      </c>
      <c r="Q125" s="14">
        <v>2481116</v>
      </c>
      <c r="R125" s="14"/>
      <c r="S125" s="17">
        <v>0.39903622</v>
      </c>
      <c r="T125" s="15"/>
      <c r="U125" s="15"/>
      <c r="V125" s="15">
        <v>27.99</v>
      </c>
      <c r="W125" s="14" t="s">
        <v>53</v>
      </c>
      <c r="X125" s="14">
        <v>1</v>
      </c>
      <c r="Y125" s="10">
        <f>AC125-AB125</f>
        <v>43</v>
      </c>
      <c r="Z125" s="18">
        <v>0</v>
      </c>
      <c r="AA125" s="18">
        <v>11</v>
      </c>
      <c r="AB125" s="18">
        <v>0</v>
      </c>
      <c r="AC125" s="18">
        <v>43</v>
      </c>
      <c r="AE125" s="1" t="s">
        <v>410</v>
      </c>
      <c r="AG125" s="4">
        <v>7.08</v>
      </c>
    </row>
    <row r="126" spans="1:33" ht="47.25" customHeight="1" x14ac:dyDescent="0.25">
      <c r="A126" s="10" t="s">
        <v>3015</v>
      </c>
      <c r="B126" s="11" t="s">
        <v>33</v>
      </c>
      <c r="C126" s="12" t="s">
        <v>3016</v>
      </c>
      <c r="D126" s="27"/>
      <c r="E126" s="14" t="s">
        <v>35</v>
      </c>
      <c r="F126" s="11" t="str">
        <f>HYPERLINK("https://redirect.sdcdeals.com/redirect?destination=https%3A%2F%2Fwww.amazon.com%2Fdp%2FB07N7MGTZM%3Fth%3D1%26psc%3D1%26tag%3Dsdcdeals03-20", "Amazon Link")</f>
        <v>Amazon Link</v>
      </c>
      <c r="G126" s="11" t="s">
        <v>36</v>
      </c>
      <c r="H126" s="14" t="s">
        <v>3017</v>
      </c>
      <c r="I126" s="11" t="str">
        <f>HYPERLINK("https://redirect.sdcdeals.com/redirect?code=763034&amp;mavely=https://mavely.app.link/e/bhESV2wGrGb&amp;destination=https%3A%2F%2Fwww.kohls.com%2Fsearch.jsp%3Fsubmit-search%3Dweb-regular%26search%3D49891012", "Retail Link")</f>
        <v>Retail Link</v>
      </c>
      <c r="J126" s="14" t="s">
        <v>3012</v>
      </c>
      <c r="K126" s="13" t="s">
        <v>3018</v>
      </c>
      <c r="L126" s="15">
        <v>10.4</v>
      </c>
      <c r="M126" s="15">
        <v>39.99</v>
      </c>
      <c r="N126" s="15">
        <v>17.451499999999999</v>
      </c>
      <c r="O126" s="15">
        <f>V126-M126</f>
        <v>13.019999999999996</v>
      </c>
      <c r="P126" s="16">
        <f>N126/L126</f>
        <v>1.678028846153846</v>
      </c>
      <c r="Q126" s="14">
        <v>240895</v>
      </c>
      <c r="R126" s="14"/>
      <c r="S126" s="17">
        <v>0.72752459999999997</v>
      </c>
      <c r="T126" s="15">
        <v>39.99</v>
      </c>
      <c r="U126" s="15">
        <v>47.37</v>
      </c>
      <c r="V126" s="15">
        <v>53.01</v>
      </c>
      <c r="W126" s="14" t="s">
        <v>2787</v>
      </c>
      <c r="X126" s="14">
        <v>2</v>
      </c>
      <c r="Y126" s="10">
        <f>AC126-AB126</f>
        <v>237</v>
      </c>
      <c r="Z126" s="18">
        <v>20</v>
      </c>
      <c r="AA126" s="18">
        <v>58</v>
      </c>
      <c r="AB126" s="18">
        <v>11</v>
      </c>
      <c r="AC126" s="18">
        <v>248</v>
      </c>
      <c r="AD126" s="1" t="s">
        <v>3014</v>
      </c>
      <c r="AE126" s="1" t="s">
        <v>935</v>
      </c>
      <c r="AF126" s="4">
        <v>6.8</v>
      </c>
      <c r="AG126" s="4">
        <v>6.14</v>
      </c>
    </row>
    <row r="127" spans="1:33" ht="47.25" customHeight="1" x14ac:dyDescent="0.25">
      <c r="A127" s="10" t="s">
        <v>5491</v>
      </c>
      <c r="B127" s="11" t="s">
        <v>33</v>
      </c>
      <c r="C127" s="12" t="s">
        <v>5492</v>
      </c>
      <c r="D127" s="27"/>
      <c r="E127" s="14" t="s">
        <v>35</v>
      </c>
      <c r="F127" s="11" t="str">
        <f>HYPERLINK("https://redirect.sdcdeals.com/redirect?destination=https%3A%2F%2Fwww.amazon.com%2Fdp%2FB0BPDXVDQ3%3Fth%3D1%26psc%3D1%26tag%3Dsdcdeals03-20", "Amazon Link")</f>
        <v>Amazon Link</v>
      </c>
      <c r="G127" s="11" t="s">
        <v>36</v>
      </c>
      <c r="H127" s="14" t="s">
        <v>5493</v>
      </c>
      <c r="I127" s="11" t="str">
        <f>HYPERLINK("https://redirect.sdcdeals.com/redirect?code=763034&amp;mavely=https://mavely.app.link/e/bhESV2wGrGb&amp;destination=https%3A%2F%2Fwww.kohls.com%2Fsearch.jsp%3Fsubmit-search%3Dweb-regular%26search%3D29857504", "Retail Link")</f>
        <v>Retail Link</v>
      </c>
      <c r="J127" s="14" t="s">
        <v>5494</v>
      </c>
      <c r="K127" s="13" t="s">
        <v>5495</v>
      </c>
      <c r="L127" s="15">
        <v>4.84</v>
      </c>
      <c r="M127" s="15">
        <v>22</v>
      </c>
      <c r="N127" s="15">
        <v>8.11</v>
      </c>
      <c r="O127" s="15">
        <f>V127-M127</f>
        <v>-4.0500000000000007</v>
      </c>
      <c r="P127" s="16">
        <f>N127/L127</f>
        <v>1.6756198347107438</v>
      </c>
      <c r="Q127" s="14">
        <v>194926</v>
      </c>
      <c r="R127" s="14"/>
      <c r="S127" s="17">
        <v>0.37037616000000001</v>
      </c>
      <c r="T127" s="15">
        <v>22</v>
      </c>
      <c r="U127" s="15">
        <v>16.86</v>
      </c>
      <c r="V127" s="15">
        <v>17.95</v>
      </c>
      <c r="W127" s="14" t="s">
        <v>698</v>
      </c>
      <c r="X127" s="14">
        <v>2</v>
      </c>
      <c r="Y127" s="10">
        <f>AC127-AB127</f>
        <v>28</v>
      </c>
      <c r="Z127" s="18">
        <v>24</v>
      </c>
      <c r="AA127" s="18">
        <v>54</v>
      </c>
      <c r="AB127" s="18">
        <v>0</v>
      </c>
      <c r="AC127" s="18">
        <v>28</v>
      </c>
      <c r="AD127" s="1" t="s">
        <v>5496</v>
      </c>
      <c r="AE127" s="1" t="s">
        <v>5497</v>
      </c>
      <c r="AG127" s="4">
        <v>5.75</v>
      </c>
    </row>
    <row r="128" spans="1:33" ht="47.25" customHeight="1" x14ac:dyDescent="0.25">
      <c r="A128" s="10" t="s">
        <v>5414</v>
      </c>
      <c r="B128" s="11" t="s">
        <v>33</v>
      </c>
      <c r="C128" s="12" t="s">
        <v>5415</v>
      </c>
      <c r="D128" s="27"/>
      <c r="E128" s="14" t="s">
        <v>35</v>
      </c>
      <c r="F128" s="11" t="str">
        <f>HYPERLINK("https://redirect.sdcdeals.com/redirect?destination=https%3A%2F%2Fwww.amazon.com%2Fdp%2FB0CSPQRRFX%3Fth%3D1%26psc%3D1%26tag%3Dsdcdeals03-20", "Amazon Link")</f>
        <v>Amazon Link</v>
      </c>
      <c r="G128" s="11" t="s">
        <v>36</v>
      </c>
      <c r="H128" s="14" t="s">
        <v>5416</v>
      </c>
      <c r="I128" s="11" t="str">
        <f>HYPERLINK("https://redirect.sdcdeals.com/redirect?code=763034&amp;mavely=https://mavely.app.link/e/bhESV2wGrGb&amp;destination=https%3A%2F%2Fwww.kohls.com%2Fsearch.jsp%3Fsubmit-search%3Dweb-regular%26search%3D79042975", "Retail Link")</f>
        <v>Retail Link</v>
      </c>
      <c r="J128" s="14" t="s">
        <v>5417</v>
      </c>
      <c r="K128" s="13" t="s">
        <v>5418</v>
      </c>
      <c r="L128" s="15">
        <v>4.4000000000000004</v>
      </c>
      <c r="M128" s="15">
        <v>21.6</v>
      </c>
      <c r="N128" s="15">
        <v>7.3599999999999994</v>
      </c>
      <c r="O128" s="15">
        <f>V128-M128</f>
        <v>6.9799999999999969</v>
      </c>
      <c r="P128" s="16">
        <f>N128/L128</f>
        <v>1.6727272727272724</v>
      </c>
      <c r="Q128" s="14">
        <v>67337</v>
      </c>
      <c r="R128" s="14"/>
      <c r="S128" s="17">
        <v>0.35273919999999997</v>
      </c>
      <c r="T128" s="15">
        <v>13.61</v>
      </c>
      <c r="U128" s="15">
        <v>27.92</v>
      </c>
      <c r="V128" s="15">
        <v>28.58</v>
      </c>
      <c r="W128" s="14" t="s">
        <v>1579</v>
      </c>
      <c r="X128" s="14">
        <v>2</v>
      </c>
      <c r="Y128" s="10">
        <f>AC128-AB128</f>
        <v>979</v>
      </c>
      <c r="Z128" s="18">
        <v>31</v>
      </c>
      <c r="AA128" s="18">
        <v>68</v>
      </c>
      <c r="AB128" s="18">
        <v>2</v>
      </c>
      <c r="AC128" s="18">
        <v>981</v>
      </c>
      <c r="AE128" s="1" t="s">
        <v>5419</v>
      </c>
      <c r="AF128" s="4">
        <v>3.67</v>
      </c>
      <c r="AG128" s="4">
        <v>6.6</v>
      </c>
    </row>
    <row r="129" spans="1:33" ht="47.25" customHeight="1" x14ac:dyDescent="0.25">
      <c r="A129" s="10" t="s">
        <v>7576</v>
      </c>
      <c r="B129" s="11" t="s">
        <v>33</v>
      </c>
      <c r="C129" s="12" t="s">
        <v>7577</v>
      </c>
      <c r="D129" s="27"/>
      <c r="E129" s="14" t="s">
        <v>35</v>
      </c>
      <c r="F129" s="11" t="str">
        <f>HYPERLINK("https://redirect.sdcdeals.com/redirect?destination=https%3A%2F%2Fwww.amazon.com%2Fdp%2FB0B1KNJLLM%3Fth%3D1%26psc%3D1%26tag%3Dsdcdeals03-20", "Amazon Link")</f>
        <v>Amazon Link</v>
      </c>
      <c r="G129" s="11" t="s">
        <v>36</v>
      </c>
      <c r="H129" s="14" t="s">
        <v>7578</v>
      </c>
      <c r="I129" s="11" t="str">
        <f>HYPERLINK("https://redirect.sdcdeals.com/redirect?code=763034&amp;mavely=https://mavely.app.link/e/bhESV2wGrGb&amp;destination=https%3A%2F%2Fwww.kohls.com%2Fsearch.jsp%3Fsubmit-search%3Dweb-regular%26search%3D74403482", "Retail Link")</f>
        <v>Retail Link</v>
      </c>
      <c r="J129" s="14" t="s">
        <v>7579</v>
      </c>
      <c r="K129" s="13" t="s">
        <v>7580</v>
      </c>
      <c r="L129" s="15">
        <v>16.68</v>
      </c>
      <c r="M129" s="15">
        <v>59.99</v>
      </c>
      <c r="N129" s="15">
        <v>27.711500000000001</v>
      </c>
      <c r="O129" s="15">
        <f>V129-M129</f>
        <v>-2.25</v>
      </c>
      <c r="P129" s="16">
        <f>N129/L129</f>
        <v>1.6613609112709833</v>
      </c>
      <c r="Q129" s="14">
        <v>10509</v>
      </c>
      <c r="R129" s="14"/>
      <c r="S129" s="17">
        <v>1.1441977800000001</v>
      </c>
      <c r="T129" s="15"/>
      <c r="U129" s="15">
        <v>58.64</v>
      </c>
      <c r="V129" s="15">
        <v>57.74</v>
      </c>
      <c r="W129" s="14" t="s">
        <v>269</v>
      </c>
      <c r="X129" s="14">
        <v>1</v>
      </c>
      <c r="Y129" s="10">
        <f>AC129-AB129</f>
        <v>4362</v>
      </c>
      <c r="Z129" s="18">
        <v>67</v>
      </c>
      <c r="AA129" s="18">
        <v>155</v>
      </c>
      <c r="AB129" s="18">
        <v>0</v>
      </c>
      <c r="AC129" s="18">
        <v>4362</v>
      </c>
      <c r="AD129" s="1" t="s">
        <v>7581</v>
      </c>
      <c r="AE129" s="1" t="s">
        <v>7582</v>
      </c>
      <c r="AF129" s="4">
        <v>10.199999999999999</v>
      </c>
      <c r="AG129" s="4">
        <v>6.6</v>
      </c>
    </row>
    <row r="130" spans="1:33" ht="47.25" customHeight="1" x14ac:dyDescent="0.25">
      <c r="A130" s="10" t="s">
        <v>7607</v>
      </c>
      <c r="B130" s="11" t="s">
        <v>33</v>
      </c>
      <c r="C130" s="12" t="s">
        <v>7608</v>
      </c>
      <c r="D130" s="27"/>
      <c r="E130" s="14" t="s">
        <v>35</v>
      </c>
      <c r="F130" s="11" t="str">
        <f>HYPERLINK("https://redirect.sdcdeals.com/redirect?destination=https%3A%2F%2Fwww.amazon.com%2Fdp%2FB0B1KSGSZ3%3Fth%3D1%26psc%3D1%26tag%3Dsdcdeals03-20", "Amazon Link")</f>
        <v>Amazon Link</v>
      </c>
      <c r="G130" s="11" t="s">
        <v>36</v>
      </c>
      <c r="H130" s="14" t="s">
        <v>7609</v>
      </c>
      <c r="I130" s="11" t="str">
        <f>HYPERLINK("https://redirect.sdcdeals.com/redirect?code=763034&amp;mavely=https://mavely.app.link/e/bhESV2wGrGb&amp;destination=https%3A%2F%2Fwww.kohls.com%2Fsearch.jsp%3Fsubmit-search%3Dweb-regular%26search%3D74403521", "Retail Link")</f>
        <v>Retail Link</v>
      </c>
      <c r="J130" s="14" t="s">
        <v>7579</v>
      </c>
      <c r="K130" s="13" t="s">
        <v>7610</v>
      </c>
      <c r="L130" s="15">
        <v>16.68</v>
      </c>
      <c r="M130" s="15">
        <v>59.99</v>
      </c>
      <c r="N130" s="15">
        <v>27.711500000000001</v>
      </c>
      <c r="O130" s="15">
        <f>V130-M130</f>
        <v>-3.980000000000004</v>
      </c>
      <c r="P130" s="16">
        <f>N130/L130</f>
        <v>1.6613609112709833</v>
      </c>
      <c r="Q130" s="14">
        <v>11181</v>
      </c>
      <c r="R130" s="14"/>
      <c r="S130" s="17">
        <v>1.2676565</v>
      </c>
      <c r="T130" s="15">
        <v>59.99</v>
      </c>
      <c r="U130" s="15">
        <v>57.95</v>
      </c>
      <c r="V130" s="15">
        <v>56.01</v>
      </c>
      <c r="W130" s="14" t="s">
        <v>277</v>
      </c>
      <c r="X130" s="14">
        <v>1</v>
      </c>
      <c r="Y130" s="10">
        <f>AC130-AB130</f>
        <v>4359</v>
      </c>
      <c r="Z130" s="18">
        <v>50</v>
      </c>
      <c r="AA130" s="18">
        <v>139</v>
      </c>
      <c r="AB130" s="18">
        <v>0</v>
      </c>
      <c r="AC130" s="18">
        <v>4359</v>
      </c>
      <c r="AD130" s="1" t="s">
        <v>7581</v>
      </c>
      <c r="AE130" s="1" t="s">
        <v>7582</v>
      </c>
      <c r="AF130" s="4">
        <v>10.199999999999999</v>
      </c>
      <c r="AG130" s="4">
        <v>6.6</v>
      </c>
    </row>
    <row r="131" spans="1:33" ht="47.25" customHeight="1" x14ac:dyDescent="0.25">
      <c r="A131" s="10" t="s">
        <v>91</v>
      </c>
      <c r="B131" s="11" t="s">
        <v>33</v>
      </c>
      <c r="C131" s="12" t="s">
        <v>92</v>
      </c>
      <c r="D131" s="27"/>
      <c r="E131" s="14" t="s">
        <v>35</v>
      </c>
      <c r="F131" s="11" t="str">
        <f>HYPERLINK("https://redirect.sdcdeals.com/redirect?destination=https%3A%2F%2Fwww.amazon.com%2Fdp%2FB09JBB5Z9B%3Fth%3D1%26psc%3D1%26tag%3Dsdcdeals03-20", "Amazon Link")</f>
        <v>Amazon Link</v>
      </c>
      <c r="G131" s="11" t="s">
        <v>36</v>
      </c>
      <c r="H131" s="14" t="s">
        <v>93</v>
      </c>
      <c r="I131" s="11" t="str">
        <f>HYPERLINK("https://redirect.sdcdeals.com/redirect?code=763034&amp;mavely=https://mavely.app.link/e/bhESV2wGrGb&amp;destination=https%3A%2F%2Fwww.kohls.com%2Fsearch.jsp%3Fsubmit-search%3Dweb-regular%26search%3D54519967", "Retail Link")</f>
        <v>Retail Link</v>
      </c>
      <c r="J131" s="14" t="s">
        <v>80</v>
      </c>
      <c r="K131" s="13" t="s">
        <v>94</v>
      </c>
      <c r="L131" s="15">
        <v>13.896000000000001</v>
      </c>
      <c r="M131" s="15">
        <v>51.22</v>
      </c>
      <c r="N131" s="15">
        <v>23.041</v>
      </c>
      <c r="O131" s="15">
        <f>V131-M131</f>
        <v>0.88000000000000256</v>
      </c>
      <c r="P131" s="16">
        <f>N131/L131</f>
        <v>1.6581030512377661</v>
      </c>
      <c r="Q131" s="14">
        <v>18757</v>
      </c>
      <c r="R131" s="14"/>
      <c r="S131" s="17">
        <v>1.0736499399999999</v>
      </c>
      <c r="T131" s="15">
        <v>51.22</v>
      </c>
      <c r="U131" s="15">
        <v>51.67</v>
      </c>
      <c r="V131" s="15">
        <v>52.1</v>
      </c>
      <c r="W131" s="14" t="s">
        <v>95</v>
      </c>
      <c r="X131" s="14">
        <v>1</v>
      </c>
      <c r="Y131" s="10">
        <f>AC131-AB131</f>
        <v>8078</v>
      </c>
      <c r="Z131" s="18">
        <v>31</v>
      </c>
      <c r="AA131" s="18">
        <v>107</v>
      </c>
      <c r="AB131" s="18">
        <v>0</v>
      </c>
      <c r="AC131" s="18">
        <v>8078</v>
      </c>
      <c r="AD131" s="1" t="s">
        <v>82</v>
      </c>
      <c r="AE131" s="1" t="s">
        <v>83</v>
      </c>
      <c r="AF131" s="4">
        <v>8.7100000000000009</v>
      </c>
      <c r="AG131" s="4">
        <v>6.6</v>
      </c>
    </row>
    <row r="132" spans="1:33" ht="47.25" customHeight="1" x14ac:dyDescent="0.25">
      <c r="A132" s="10" t="s">
        <v>4214</v>
      </c>
      <c r="B132" s="11" t="s">
        <v>33</v>
      </c>
      <c r="C132" s="12" t="s">
        <v>4215</v>
      </c>
      <c r="D132" s="27"/>
      <c r="E132" s="14" t="s">
        <v>35</v>
      </c>
      <c r="F132" s="11" t="str">
        <f>HYPERLINK("https://redirect.sdcdeals.com/redirect?destination=https%3A%2F%2Fwww.amazon.com%2Fdp%2FB0CGW21P59%3Fth%3D1%26psc%3D1%26tag%3Dsdcdeals03-20", "Amazon Link")</f>
        <v>Amazon Link</v>
      </c>
      <c r="G132" s="11" t="s">
        <v>36</v>
      </c>
      <c r="H132" s="14" t="s">
        <v>4216</v>
      </c>
      <c r="I132" s="11" t="str">
        <f>HYPERLINK("https://redirect.sdcdeals.com/redirect?code=763034&amp;mavely=https://mavely.app.link/e/bhESV2wGrGb&amp;destination=https%3A%2F%2Fwww.kohls.com%2Fsearch.jsp%3Fsubmit-search%3Dweb-regular%26search%3D81866575", "Retail Link")</f>
        <v>Retail Link</v>
      </c>
      <c r="J132" s="14" t="s">
        <v>4205</v>
      </c>
      <c r="K132" s="13" t="s">
        <v>4217</v>
      </c>
      <c r="L132" s="15">
        <v>7.6000000000000014</v>
      </c>
      <c r="M132" s="15">
        <v>29.68</v>
      </c>
      <c r="N132" s="15">
        <v>12.577999999999999</v>
      </c>
      <c r="O132" s="15">
        <f>V132-M132</f>
        <v>-2.8099999999999987</v>
      </c>
      <c r="P132" s="16">
        <f>N132/L132</f>
        <v>1.6549999999999996</v>
      </c>
      <c r="Q132" s="14">
        <v>241937</v>
      </c>
      <c r="R132" s="14"/>
      <c r="S132" s="17">
        <v>0.44533324000000002</v>
      </c>
      <c r="T132" s="15">
        <v>29.68</v>
      </c>
      <c r="U132" s="15">
        <v>26.46</v>
      </c>
      <c r="V132" s="15">
        <v>26.87</v>
      </c>
      <c r="W132" s="14" t="s">
        <v>4218</v>
      </c>
      <c r="X132" s="14">
        <v>5</v>
      </c>
      <c r="Y132" s="10">
        <f>AC132-AB132</f>
        <v>2</v>
      </c>
      <c r="Z132" s="18">
        <v>13</v>
      </c>
      <c r="AA132" s="18">
        <v>31</v>
      </c>
      <c r="AB132" s="18">
        <v>1</v>
      </c>
      <c r="AC132" s="18">
        <v>3</v>
      </c>
      <c r="AE132" s="1" t="s">
        <v>4208</v>
      </c>
      <c r="AF132" s="4">
        <v>5.05</v>
      </c>
      <c r="AG132" s="4">
        <v>5.05</v>
      </c>
    </row>
    <row r="133" spans="1:33" ht="47.25" customHeight="1" x14ac:dyDescent="0.25">
      <c r="A133" s="10" t="s">
        <v>4177</v>
      </c>
      <c r="B133" s="11" t="s">
        <v>33</v>
      </c>
      <c r="C133" s="12" t="s">
        <v>4178</v>
      </c>
      <c r="D133" s="27"/>
      <c r="E133" s="14" t="s">
        <v>35</v>
      </c>
      <c r="F133" s="11" t="str">
        <f>HYPERLINK("https://redirect.sdcdeals.com/redirect?destination=https%3A%2F%2Fwww.amazon.com%2Fdp%2FB0B6PP6BBX%3Fth%3D1%26psc%3D1%26tag%3Dsdcdeals03-20", "Amazon Link")</f>
        <v>Amazon Link</v>
      </c>
      <c r="G133" s="11" t="s">
        <v>36</v>
      </c>
      <c r="H133" s="14" t="s">
        <v>4179</v>
      </c>
      <c r="I133" s="11" t="str">
        <f>HYPERLINK("https://redirect.sdcdeals.com/redirect?code=763034&amp;mavely=https://mavely.app.link/e/bhESV2wGrGb&amp;destination=https%3A%2F%2Fwww.kohls.com%2Fsearch.jsp%3Fsubmit-search%3Dweb-regular%26search%3D20144518", "Retail Link")</f>
        <v>Retail Link</v>
      </c>
      <c r="J133" s="14" t="s">
        <v>4180</v>
      </c>
      <c r="K133" s="13" t="s">
        <v>4181</v>
      </c>
      <c r="L133" s="15">
        <v>6.76</v>
      </c>
      <c r="M133" s="15">
        <v>27.05</v>
      </c>
      <c r="N133" s="15">
        <v>11.182499999999999</v>
      </c>
      <c r="O133" s="15">
        <f>V133-M133</f>
        <v>3.5799999999999983</v>
      </c>
      <c r="P133" s="16">
        <f>N133/L133</f>
        <v>1.6542159763313609</v>
      </c>
      <c r="Q133" s="14">
        <v>5776832</v>
      </c>
      <c r="R133" s="14"/>
      <c r="S133" s="17">
        <v>0.29100984000000002</v>
      </c>
      <c r="T133" s="15">
        <v>19.100000000000001</v>
      </c>
      <c r="U133" s="15">
        <v>30.63</v>
      </c>
      <c r="V133" s="15">
        <v>30.63</v>
      </c>
      <c r="W133" s="14" t="s">
        <v>3572</v>
      </c>
      <c r="X133" s="14">
        <v>1</v>
      </c>
      <c r="Y133" s="10">
        <f>AC133-AB133</f>
        <v>0</v>
      </c>
      <c r="Z133" s="18">
        <v>0</v>
      </c>
      <c r="AA133" s="18">
        <v>0</v>
      </c>
      <c r="AB133" s="18">
        <v>0</v>
      </c>
      <c r="AC133" s="18"/>
      <c r="AD133" s="1" t="s">
        <v>4182</v>
      </c>
      <c r="AE133" s="1" t="s">
        <v>1085</v>
      </c>
      <c r="AF133" s="4">
        <v>4.5999999999999996</v>
      </c>
      <c r="AG133" s="4">
        <v>5.05</v>
      </c>
    </row>
    <row r="134" spans="1:33" ht="47.25" customHeight="1" x14ac:dyDescent="0.25">
      <c r="A134" s="10" t="s">
        <v>4193</v>
      </c>
      <c r="B134" s="11" t="s">
        <v>33</v>
      </c>
      <c r="C134" s="12" t="s">
        <v>4194</v>
      </c>
      <c r="D134" s="27"/>
      <c r="E134" s="14" t="s">
        <v>35</v>
      </c>
      <c r="F134" s="11" t="str">
        <f>HYPERLINK("https://redirect.sdcdeals.com/redirect?destination=https%3A%2F%2Fwww.amazon.com%2Fdp%2FB0B6PPJNJP%3Fth%3D1%26psc%3D1%26tag%3Dsdcdeals03-20", "Amazon Link")</f>
        <v>Amazon Link</v>
      </c>
      <c r="G134" s="11" t="s">
        <v>36</v>
      </c>
      <c r="H134" s="14" t="s">
        <v>4195</v>
      </c>
      <c r="I134" s="11" t="str">
        <f>HYPERLINK("https://redirect.sdcdeals.com/redirect?code=763034&amp;mavely=https://mavely.app.link/e/bhESV2wGrGb&amp;destination=https%3A%2F%2Fwww.kohls.com%2Fsearch.jsp%3Fsubmit-search%3Dweb-regular%26search%3D20144521", "Retail Link")</f>
        <v>Retail Link</v>
      </c>
      <c r="J134" s="14" t="s">
        <v>4180</v>
      </c>
      <c r="K134" s="13" t="s">
        <v>4196</v>
      </c>
      <c r="L134" s="15">
        <v>6.76</v>
      </c>
      <c r="M134" s="15">
        <v>27.05</v>
      </c>
      <c r="N134" s="15">
        <v>11.182499999999999</v>
      </c>
      <c r="O134" s="15">
        <f>V134-M134</f>
        <v>0.42999999999999972</v>
      </c>
      <c r="P134" s="16">
        <f>N134/L134</f>
        <v>1.6542159763313609</v>
      </c>
      <c r="Q134" s="14">
        <v>5032085</v>
      </c>
      <c r="R134" s="14"/>
      <c r="S134" s="17">
        <v>0.39903622</v>
      </c>
      <c r="T134" s="15">
        <v>19.100000000000001</v>
      </c>
      <c r="U134" s="15">
        <v>27.51</v>
      </c>
      <c r="V134" s="15">
        <v>27.48</v>
      </c>
      <c r="W134" s="14" t="s">
        <v>124</v>
      </c>
      <c r="X134" s="14">
        <v>1</v>
      </c>
      <c r="Y134" s="10">
        <f>AC134-AB134</f>
        <v>1</v>
      </c>
      <c r="Z134" s="18">
        <v>0</v>
      </c>
      <c r="AA134" s="18">
        <v>0</v>
      </c>
      <c r="AB134" s="18">
        <v>0</v>
      </c>
      <c r="AC134" s="18">
        <v>1</v>
      </c>
      <c r="AD134" s="1" t="s">
        <v>4182</v>
      </c>
      <c r="AE134" s="1" t="s">
        <v>1085</v>
      </c>
      <c r="AF134" s="4">
        <v>4.5999999999999996</v>
      </c>
      <c r="AG134" s="4">
        <v>5.05</v>
      </c>
    </row>
    <row r="135" spans="1:33" ht="47.25" customHeight="1" x14ac:dyDescent="0.25">
      <c r="A135" s="10" t="s">
        <v>7591</v>
      </c>
      <c r="B135" s="11" t="s">
        <v>33</v>
      </c>
      <c r="C135" s="12" t="s">
        <v>7592</v>
      </c>
      <c r="D135" s="27"/>
      <c r="E135" s="14" t="s">
        <v>35</v>
      </c>
      <c r="F135" s="11" t="str">
        <f>HYPERLINK("https://redirect.sdcdeals.com/redirect?destination=https%3A%2F%2Fwww.amazon.com%2Fdp%2FB0B1KLXZ2Z%3Fth%3D1%26psc%3D1%26tag%3Dsdcdeals03-20", "Amazon Link")</f>
        <v>Amazon Link</v>
      </c>
      <c r="G135" s="11" t="s">
        <v>36</v>
      </c>
      <c r="H135" s="14" t="s">
        <v>7593</v>
      </c>
      <c r="I135" s="11" t="str">
        <f>HYPERLINK("https://redirect.sdcdeals.com/redirect?code=763034&amp;mavely=https://mavely.app.link/e/bhESV2wGrGb&amp;destination=https%3A%2F%2Fwww.kohls.com%2Fsearch.jsp%3Fsubmit-search%3Dweb-regular%26search%3D74403501", "Retail Link")</f>
        <v>Retail Link</v>
      </c>
      <c r="J135" s="14" t="s">
        <v>7579</v>
      </c>
      <c r="K135" s="13" t="s">
        <v>7594</v>
      </c>
      <c r="L135" s="15">
        <v>16.68</v>
      </c>
      <c r="M135" s="15">
        <v>59.99</v>
      </c>
      <c r="N135" s="15">
        <v>27.5015</v>
      </c>
      <c r="O135" s="15">
        <f>V135-M135</f>
        <v>-2.3500000000000014</v>
      </c>
      <c r="P135" s="16">
        <f>N135/L135</f>
        <v>1.6487709832134292</v>
      </c>
      <c r="Q135" s="14">
        <v>12238</v>
      </c>
      <c r="R135" s="14"/>
      <c r="S135" s="17">
        <v>1.1706532199999999</v>
      </c>
      <c r="T135" s="15">
        <v>59.99</v>
      </c>
      <c r="U135" s="15">
        <v>58.73</v>
      </c>
      <c r="V135" s="15">
        <v>57.64</v>
      </c>
      <c r="W135" s="14" t="s">
        <v>100</v>
      </c>
      <c r="X135" s="14">
        <v>1</v>
      </c>
      <c r="Y135" s="10">
        <f>AC135-AB135</f>
        <v>4353</v>
      </c>
      <c r="Z135" s="18">
        <v>40</v>
      </c>
      <c r="AA135" s="18">
        <v>89</v>
      </c>
      <c r="AB135" s="18">
        <v>0</v>
      </c>
      <c r="AC135" s="18">
        <v>4353</v>
      </c>
      <c r="AD135" s="1" t="s">
        <v>7581</v>
      </c>
      <c r="AE135" s="1" t="s">
        <v>7582</v>
      </c>
      <c r="AF135" s="4">
        <v>10.199999999999999</v>
      </c>
      <c r="AG135" s="4">
        <v>6.81</v>
      </c>
    </row>
    <row r="136" spans="1:33" ht="47.25" customHeight="1" x14ac:dyDescent="0.25">
      <c r="A136" s="10" t="s">
        <v>3910</v>
      </c>
      <c r="B136" s="11" t="s">
        <v>33</v>
      </c>
      <c r="C136" s="12" t="s">
        <v>3911</v>
      </c>
      <c r="D136" s="27"/>
      <c r="E136" s="14" t="s">
        <v>35</v>
      </c>
      <c r="F136" s="11" t="str">
        <f>HYPERLINK("https://redirect.sdcdeals.com/redirect?destination=https%3A%2F%2Fwww.amazon.com%2Fdp%2FB0B5B8JFHB%3Fth%3D1%26psc%3D1%26tag%3Dsdcdeals03-20", "Amazon Link")</f>
        <v>Amazon Link</v>
      </c>
      <c r="G136" s="11" t="s">
        <v>36</v>
      </c>
      <c r="H136" s="14" t="s">
        <v>3912</v>
      </c>
      <c r="I136" s="11" t="str">
        <f>HYPERLINK("https://redirect.sdcdeals.com/redirect?code=763034&amp;mavely=https://mavely.app.link/e/bhESV2wGrGb&amp;destination=https%3A%2F%2Fwww.kohls.com%2Fsearch.jsp%3Fsubmit-search%3Dweb-regular%26search%3D33265896", "Retail Link")</f>
        <v>Retail Link</v>
      </c>
      <c r="J136" s="14" t="s">
        <v>3913</v>
      </c>
      <c r="K136" s="13" t="s">
        <v>3914</v>
      </c>
      <c r="L136" s="15">
        <v>5.4</v>
      </c>
      <c r="M136" s="15">
        <v>22.82</v>
      </c>
      <c r="N136" s="15">
        <v>8.8769999999999971</v>
      </c>
      <c r="O136" s="15">
        <f>V136-M136</f>
        <v>-2.2800000000000011</v>
      </c>
      <c r="P136" s="16">
        <f>N136/L136</f>
        <v>1.6438888888888883</v>
      </c>
      <c r="Q136" s="14">
        <v>5412</v>
      </c>
      <c r="R136" s="14"/>
      <c r="S136" s="17">
        <v>0.44092399999999998</v>
      </c>
      <c r="T136" s="15">
        <v>22.82</v>
      </c>
      <c r="U136" s="15">
        <v>20.54</v>
      </c>
      <c r="V136" s="15">
        <v>20.54</v>
      </c>
      <c r="W136" s="14" t="s">
        <v>1621</v>
      </c>
      <c r="X136" s="14">
        <v>1</v>
      </c>
      <c r="Y136" s="10">
        <f>AC136-AB136</f>
        <v>38224</v>
      </c>
      <c r="Z136" s="18">
        <v>64</v>
      </c>
      <c r="AA136" s="18">
        <v>84</v>
      </c>
      <c r="AB136" s="18">
        <v>0</v>
      </c>
      <c r="AC136" s="18">
        <v>38224</v>
      </c>
      <c r="AD136" s="1" t="s">
        <v>3915</v>
      </c>
      <c r="AE136" s="1" t="s">
        <v>3916</v>
      </c>
      <c r="AF136" s="4">
        <v>1.1499999999999999</v>
      </c>
      <c r="AG136" s="4">
        <v>5.12</v>
      </c>
    </row>
    <row r="137" spans="1:33" ht="47.25" customHeight="1" x14ac:dyDescent="0.25">
      <c r="A137" s="10" t="s">
        <v>7393</v>
      </c>
      <c r="B137" s="11" t="s">
        <v>33</v>
      </c>
      <c r="C137" s="12" t="s">
        <v>7394</v>
      </c>
      <c r="D137" s="27"/>
      <c r="E137" s="14" t="s">
        <v>35</v>
      </c>
      <c r="F137" s="11" t="str">
        <f>HYPERLINK("https://redirect.sdcdeals.com/redirect?destination=https%3A%2F%2Fwww.amazon.com%2Fdp%2FB0B293P4FK%3Fth%3D1%26psc%3D1%26tag%3Dsdcdeals03-20", "Amazon Link")</f>
        <v>Amazon Link</v>
      </c>
      <c r="G137" s="11" t="s">
        <v>36</v>
      </c>
      <c r="H137" s="14" t="s">
        <v>7395</v>
      </c>
      <c r="I137" s="11" t="str">
        <f>HYPERLINK("https://redirect.sdcdeals.com/redirect?code=763034&amp;mavely=https://mavely.app.link/e/bhESV2wGrGb&amp;destination=https%3A%2F%2Fwww.kohls.com%2Fsearch.jsp%3Fsubmit-search%3Dweb-regular%26search%3D30100068", "Retail Link")</f>
        <v>Retail Link</v>
      </c>
      <c r="J137" s="14" t="s">
        <v>7396</v>
      </c>
      <c r="K137" s="13" t="s">
        <v>7397</v>
      </c>
      <c r="L137" s="15">
        <v>6.76</v>
      </c>
      <c r="M137" s="15">
        <v>27.05</v>
      </c>
      <c r="N137" s="15">
        <v>11.112500000000001</v>
      </c>
      <c r="O137" s="15">
        <f>V137-M137</f>
        <v>0.80000000000000071</v>
      </c>
      <c r="P137" s="16">
        <f>N137/L137</f>
        <v>1.6438609467455623</v>
      </c>
      <c r="Q137" s="14">
        <v>8074036</v>
      </c>
      <c r="R137" s="14"/>
      <c r="S137" s="17">
        <v>0.31085141999999999</v>
      </c>
      <c r="T137" s="15">
        <v>19.100000000000001</v>
      </c>
      <c r="U137" s="15">
        <v>27.51</v>
      </c>
      <c r="V137" s="15">
        <v>27.85</v>
      </c>
      <c r="W137" s="14" t="s">
        <v>3378</v>
      </c>
      <c r="X137" s="14">
        <v>1</v>
      </c>
      <c r="Y137" s="10">
        <f>AC137-AB137</f>
        <v>0</v>
      </c>
      <c r="Z137" s="18">
        <v>0</v>
      </c>
      <c r="AA137" s="18">
        <v>0</v>
      </c>
      <c r="AB137" s="18">
        <v>0</v>
      </c>
      <c r="AC137" s="18"/>
      <c r="AD137" s="1" t="s">
        <v>7398</v>
      </c>
      <c r="AE137" s="1" t="s">
        <v>7399</v>
      </c>
      <c r="AF137" s="4">
        <v>4.5999999999999996</v>
      </c>
      <c r="AG137" s="4">
        <v>5.12</v>
      </c>
    </row>
    <row r="138" spans="1:33" ht="47.25" customHeight="1" x14ac:dyDescent="0.25">
      <c r="A138" s="10" t="s">
        <v>1026</v>
      </c>
      <c r="B138" s="11" t="s">
        <v>33</v>
      </c>
      <c r="C138" s="12" t="s">
        <v>1027</v>
      </c>
      <c r="D138" s="27"/>
      <c r="E138" s="14" t="s">
        <v>35</v>
      </c>
      <c r="F138" s="11" t="str">
        <f>HYPERLINK("https://redirect.sdcdeals.com/redirect?destination=https%3A%2F%2Fwww.amazon.com%2Fdp%2FB0CJ2DNSMJ%3Fth%3D1%26psc%3D1%26tag%3Dsdcdeals03-20", "Amazon Link")</f>
        <v>Amazon Link</v>
      </c>
      <c r="G138" s="11" t="s">
        <v>36</v>
      </c>
      <c r="H138" s="14" t="s">
        <v>1028</v>
      </c>
      <c r="I138" s="11" t="str">
        <f>HYPERLINK("https://redirect.sdcdeals.com/redirect?code=763034&amp;mavely=https://mavely.app.link/e/bhESV2wGrGb&amp;destination=https%3A%2F%2Fwww.kohls.com%2Fsearch.jsp%3Fsubmit-search%3Dweb-regular%26search%3D49546069", "Retail Link")</f>
        <v>Retail Link</v>
      </c>
      <c r="J138" s="14" t="s">
        <v>1029</v>
      </c>
      <c r="K138" s="13" t="s">
        <v>1030</v>
      </c>
      <c r="L138" s="15">
        <v>22.4</v>
      </c>
      <c r="M138" s="15">
        <v>77.319999999999993</v>
      </c>
      <c r="N138" s="15">
        <v>36.721999999999987</v>
      </c>
      <c r="O138" s="15">
        <f>V138-M138</f>
        <v>-1.6699999999999875</v>
      </c>
      <c r="P138" s="16">
        <f>N138/L138</f>
        <v>1.6393749999999996</v>
      </c>
      <c r="Q138" s="14">
        <v>4196475</v>
      </c>
      <c r="R138" s="14"/>
      <c r="S138" s="17">
        <v>2.2046199999999998</v>
      </c>
      <c r="T138" s="15">
        <v>69.349999999999994</v>
      </c>
      <c r="U138" s="15">
        <v>75.650000000000006</v>
      </c>
      <c r="V138" s="15">
        <v>75.650000000000006</v>
      </c>
      <c r="W138" s="14" t="s">
        <v>269</v>
      </c>
      <c r="X138" s="14">
        <v>1</v>
      </c>
      <c r="Y138" s="10">
        <f>AC138-AB138</f>
        <v>0</v>
      </c>
      <c r="Z138" s="18">
        <v>0</v>
      </c>
      <c r="AA138" s="18">
        <v>0</v>
      </c>
      <c r="AB138" s="18"/>
      <c r="AC138" s="18"/>
      <c r="AE138" s="1" t="s">
        <v>1031</v>
      </c>
      <c r="AF138" s="4">
        <v>13.14</v>
      </c>
      <c r="AG138" s="4">
        <v>6.6</v>
      </c>
    </row>
    <row r="139" spans="1:33" ht="47.25" customHeight="1" x14ac:dyDescent="0.25">
      <c r="A139" s="10" t="s">
        <v>7611</v>
      </c>
      <c r="B139" s="11" t="s">
        <v>33</v>
      </c>
      <c r="C139" s="12" t="s">
        <v>7612</v>
      </c>
      <c r="D139" s="27"/>
      <c r="E139" s="14" t="s">
        <v>35</v>
      </c>
      <c r="F139" s="11" t="str">
        <f>HYPERLINK("https://redirect.sdcdeals.com/redirect?destination=https%3A%2F%2Fwww.amazon.com%2Fdp%2FB0B1KT4BPL%3Fth%3D1%26psc%3D1%26tag%3Dsdcdeals03-20", "Amazon Link")</f>
        <v>Amazon Link</v>
      </c>
      <c r="G139" s="11" t="s">
        <v>36</v>
      </c>
      <c r="H139" s="14" t="s">
        <v>7613</v>
      </c>
      <c r="I139" s="11" t="str">
        <f>HYPERLINK("https://redirect.sdcdeals.com/redirect?code=763034&amp;mavely=https://mavely.app.link/e/bhESV2wGrGb&amp;destination=https%3A%2F%2Fwww.kohls.com%2Fsearch.jsp%3Fsubmit-search%3Dweb-regular%26search%3D74403530", "Retail Link")</f>
        <v>Retail Link</v>
      </c>
      <c r="J139" s="14" t="s">
        <v>7579</v>
      </c>
      <c r="K139" s="13" t="s">
        <v>7614</v>
      </c>
      <c r="L139" s="15">
        <v>16.68</v>
      </c>
      <c r="M139" s="15">
        <v>59.86</v>
      </c>
      <c r="N139" s="15">
        <v>27.341000000000001</v>
      </c>
      <c r="O139" s="15">
        <f>V139-M139</f>
        <v>0</v>
      </c>
      <c r="P139" s="16">
        <f>N139/L139</f>
        <v>1.6391486810551559</v>
      </c>
      <c r="Q139" s="14">
        <v>11973</v>
      </c>
      <c r="R139" s="14"/>
      <c r="S139" s="17">
        <v>1.2852934600000001</v>
      </c>
      <c r="T139" s="15"/>
      <c r="U139" s="15"/>
      <c r="V139" s="15">
        <v>59.86</v>
      </c>
      <c r="W139" s="14" t="s">
        <v>100</v>
      </c>
      <c r="X139" s="14"/>
      <c r="Y139" s="10">
        <f>AC139-AB139</f>
        <v>4176</v>
      </c>
      <c r="Z139" s="18">
        <v>1</v>
      </c>
      <c r="AA139" s="18">
        <v>4</v>
      </c>
      <c r="AB139" s="18">
        <v>1</v>
      </c>
      <c r="AC139" s="18">
        <v>4177</v>
      </c>
      <c r="AD139" s="1" t="s">
        <v>7581</v>
      </c>
      <c r="AE139" s="1" t="s">
        <v>7582</v>
      </c>
      <c r="AG139" s="4">
        <v>6.86</v>
      </c>
    </row>
    <row r="140" spans="1:33" ht="47.25" customHeight="1" x14ac:dyDescent="0.25">
      <c r="A140" s="10" t="s">
        <v>7587</v>
      </c>
      <c r="B140" s="11" t="s">
        <v>33</v>
      </c>
      <c r="C140" s="12" t="s">
        <v>7588</v>
      </c>
      <c r="D140" s="27"/>
      <c r="E140" s="14" t="s">
        <v>35</v>
      </c>
      <c r="F140" s="11" t="str">
        <f>HYPERLINK("https://redirect.sdcdeals.com/redirect?destination=https%3A%2F%2Fwww.amazon.com%2Fdp%2FB0B1KH7N4N%3Fth%3D1%26psc%3D1%26tag%3Dsdcdeals03-20", "Amazon Link")</f>
        <v>Amazon Link</v>
      </c>
      <c r="G140" s="11" t="s">
        <v>36</v>
      </c>
      <c r="H140" s="14" t="s">
        <v>7589</v>
      </c>
      <c r="I140" s="11" t="str">
        <f>HYPERLINK("https://redirect.sdcdeals.com/redirect?code=763034&amp;mavely=https://mavely.app.link/e/bhESV2wGrGb&amp;destination=https%3A%2F%2Fwww.kohls.com%2Fsearch.jsp%3Fsubmit-search%3Dweb-regular%26search%3D74403492", "Retail Link")</f>
        <v>Retail Link</v>
      </c>
      <c r="J140" s="14" t="s">
        <v>7579</v>
      </c>
      <c r="K140" s="13" t="s">
        <v>7590</v>
      </c>
      <c r="L140" s="15">
        <v>16.68</v>
      </c>
      <c r="M140" s="15">
        <v>59.99</v>
      </c>
      <c r="N140" s="15">
        <v>27.2315</v>
      </c>
      <c r="O140" s="15">
        <f>V140-M140</f>
        <v>-2.1099999999999994</v>
      </c>
      <c r="P140" s="16">
        <f>N140/L140</f>
        <v>1.6325839328537171</v>
      </c>
      <c r="Q140" s="14">
        <v>11973</v>
      </c>
      <c r="R140" s="14"/>
      <c r="S140" s="17">
        <v>1.1441977800000001</v>
      </c>
      <c r="T140" s="15">
        <v>59.99</v>
      </c>
      <c r="U140" s="15">
        <v>58.71</v>
      </c>
      <c r="V140" s="15">
        <v>57.88</v>
      </c>
      <c r="W140" s="14" t="s">
        <v>342</v>
      </c>
      <c r="X140" s="14">
        <v>1</v>
      </c>
      <c r="Y140" s="10">
        <f>AC140-AB140</f>
        <v>4362</v>
      </c>
      <c r="Z140" s="18">
        <v>48</v>
      </c>
      <c r="AA140" s="18">
        <v>108</v>
      </c>
      <c r="AB140" s="18">
        <v>0</v>
      </c>
      <c r="AC140" s="18">
        <v>4362</v>
      </c>
      <c r="AD140" s="1" t="s">
        <v>7581</v>
      </c>
      <c r="AE140" s="1" t="s">
        <v>7582</v>
      </c>
      <c r="AF140" s="4">
        <v>10.199999999999999</v>
      </c>
      <c r="AG140" s="4">
        <v>7.08</v>
      </c>
    </row>
    <row r="141" spans="1:33" ht="47.25" customHeight="1" x14ac:dyDescent="0.25">
      <c r="A141" s="10" t="s">
        <v>7599</v>
      </c>
      <c r="B141" s="11" t="s">
        <v>33</v>
      </c>
      <c r="C141" s="12" t="s">
        <v>7600</v>
      </c>
      <c r="D141" s="27"/>
      <c r="E141" s="14" t="s">
        <v>35</v>
      </c>
      <c r="F141" s="11" t="str">
        <f>HYPERLINK("https://redirect.sdcdeals.com/redirect?destination=https%3A%2F%2Fwww.amazon.com%2Fdp%2FB0B1KCX42T%3Fth%3D1%26psc%3D1%26tag%3Dsdcdeals03-20", "Amazon Link")</f>
        <v>Amazon Link</v>
      </c>
      <c r="G141" s="11" t="s">
        <v>36</v>
      </c>
      <c r="H141" s="14" t="s">
        <v>7601</v>
      </c>
      <c r="I141" s="11" t="str">
        <f>HYPERLINK("https://redirect.sdcdeals.com/redirect?code=763034&amp;mavely=https://mavely.app.link/e/bhESV2wGrGb&amp;destination=https%3A%2F%2Fwww.kohls.com%2Fsearch.jsp%3Fsubmit-search%3Dweb-regular%26search%3D74403511", "Retail Link")</f>
        <v>Retail Link</v>
      </c>
      <c r="J141" s="14" t="s">
        <v>7579</v>
      </c>
      <c r="K141" s="13" t="s">
        <v>7602</v>
      </c>
      <c r="L141" s="15">
        <v>16.68</v>
      </c>
      <c r="M141" s="15">
        <v>59.99</v>
      </c>
      <c r="N141" s="15">
        <v>27.2315</v>
      </c>
      <c r="O141" s="15">
        <f>V141-M141</f>
        <v>-2.6900000000000048</v>
      </c>
      <c r="P141" s="16">
        <f>N141/L141</f>
        <v>1.6325839328537171</v>
      </c>
      <c r="Q141" s="14">
        <v>11973</v>
      </c>
      <c r="R141" s="14"/>
      <c r="S141" s="17">
        <v>1.2478149199999999</v>
      </c>
      <c r="T141" s="15">
        <v>59.99</v>
      </c>
      <c r="U141" s="15">
        <v>58.42</v>
      </c>
      <c r="V141" s="15">
        <v>57.3</v>
      </c>
      <c r="W141" s="14" t="s">
        <v>342</v>
      </c>
      <c r="X141" s="14">
        <v>1</v>
      </c>
      <c r="Y141" s="10">
        <f>AC141-AB141</f>
        <v>4357</v>
      </c>
      <c r="Z141" s="18">
        <v>35</v>
      </c>
      <c r="AA141" s="18">
        <v>87</v>
      </c>
      <c r="AB141" s="18">
        <v>0</v>
      </c>
      <c r="AC141" s="18">
        <v>4357</v>
      </c>
      <c r="AD141" s="1" t="s">
        <v>7581</v>
      </c>
      <c r="AE141" s="1" t="s">
        <v>7582</v>
      </c>
      <c r="AF141" s="4">
        <v>10.199999999999999</v>
      </c>
      <c r="AG141" s="4">
        <v>7.08</v>
      </c>
    </row>
    <row r="142" spans="1:33" ht="47.25" customHeight="1" x14ac:dyDescent="0.25">
      <c r="A142" s="10" t="s">
        <v>411</v>
      </c>
      <c r="B142" s="11" t="s">
        <v>33</v>
      </c>
      <c r="C142" s="12" t="s">
        <v>412</v>
      </c>
      <c r="D142" s="27"/>
      <c r="E142" s="14" t="s">
        <v>35</v>
      </c>
      <c r="F142" s="11" t="str">
        <f>HYPERLINK("https://redirect.sdcdeals.com/redirect?destination=https%3A%2F%2Fwww.amazon.com%2Fdp%2FB0CSPSLLN9%3Fth%3D1%26psc%3D1%26tag%3Dsdcdeals03-20", "Amazon Link")</f>
        <v>Amazon Link</v>
      </c>
      <c r="G142" s="11" t="s">
        <v>36</v>
      </c>
      <c r="H142" s="14" t="s">
        <v>413</v>
      </c>
      <c r="I142" s="11" t="str">
        <f>HYPERLINK("https://redirect.sdcdeals.com/redirect?code=763034&amp;mavely=https://mavely.app.link/e/bhESV2wGrGb&amp;destination=https%3A%2F%2Fwww.kohls.com%2Fsearch.jsp%3Fsubmit-search%3Dweb-regular%26search%3D70237111", "Retail Link")</f>
        <v>Retail Link</v>
      </c>
      <c r="J142" s="14" t="s">
        <v>414</v>
      </c>
      <c r="K142" s="13" t="s">
        <v>415</v>
      </c>
      <c r="L142" s="15">
        <v>6.8000000000000007</v>
      </c>
      <c r="M142" s="15">
        <v>27.99</v>
      </c>
      <c r="N142" s="15">
        <v>11.0915</v>
      </c>
      <c r="O142" s="15">
        <f>V142-M142</f>
        <v>4.0400000000000027</v>
      </c>
      <c r="P142" s="16">
        <f>N142/L142</f>
        <v>1.6311029411764704</v>
      </c>
      <c r="Q142" s="14">
        <v>188444</v>
      </c>
      <c r="R142" s="14"/>
      <c r="S142" s="17">
        <v>0.50044874000000006</v>
      </c>
      <c r="T142" s="15">
        <v>27.99</v>
      </c>
      <c r="U142" s="15">
        <v>28.22</v>
      </c>
      <c r="V142" s="15">
        <v>32.03</v>
      </c>
      <c r="W142" s="14" t="s">
        <v>416</v>
      </c>
      <c r="X142" s="14">
        <v>2</v>
      </c>
      <c r="Y142" s="10">
        <f>AC142-AB142</f>
        <v>3</v>
      </c>
      <c r="Z142" s="18">
        <v>13</v>
      </c>
      <c r="AA142" s="18">
        <v>35</v>
      </c>
      <c r="AB142" s="18">
        <v>0</v>
      </c>
      <c r="AC142" s="18">
        <v>3</v>
      </c>
      <c r="AE142" s="1" t="s">
        <v>417</v>
      </c>
      <c r="AF142" s="4">
        <v>4.76</v>
      </c>
      <c r="AG142" s="4">
        <v>5.9</v>
      </c>
    </row>
    <row r="143" spans="1:33" ht="47.25" customHeight="1" x14ac:dyDescent="0.25">
      <c r="A143" s="10" t="s">
        <v>2162</v>
      </c>
      <c r="B143" s="11" t="s">
        <v>33</v>
      </c>
      <c r="C143" s="12" t="s">
        <v>2163</v>
      </c>
      <c r="D143" s="27"/>
      <c r="E143" s="14" t="s">
        <v>35</v>
      </c>
      <c r="F143" s="11" t="str">
        <f>HYPERLINK("https://redirect.sdcdeals.com/redirect?destination=https%3A%2F%2Fwww.amazon.com%2Fdp%2FB0BGVVLQ29%3Fth%3D1%26psc%3D1%26tag%3Dsdcdeals03-20", "Amazon Link")</f>
        <v>Amazon Link</v>
      </c>
      <c r="G143" s="11" t="s">
        <v>36</v>
      </c>
      <c r="H143" s="14" t="s">
        <v>2164</v>
      </c>
      <c r="I143" s="11" t="str">
        <f>HYPERLINK("https://redirect.sdcdeals.com/redirect?code=763034&amp;mavely=https://mavely.app.link/e/bhESV2wGrGb&amp;destination=https%3A%2F%2Fwww.kohls.com%2Fsearch.jsp%3Fsubmit-search%3Dweb-regular%26search%3D58732109", "Retail Link")</f>
        <v>Retail Link</v>
      </c>
      <c r="J143" s="14" t="s">
        <v>2131</v>
      </c>
      <c r="K143" s="13" t="s">
        <v>2165</v>
      </c>
      <c r="L143" s="15">
        <v>16.8</v>
      </c>
      <c r="M143" s="15">
        <v>60</v>
      </c>
      <c r="N143" s="15">
        <v>27.39</v>
      </c>
      <c r="O143" s="15">
        <f>V143-M143</f>
        <v>-3.0799999999999983</v>
      </c>
      <c r="P143" s="16">
        <f>N143/L143</f>
        <v>1.6303571428571428</v>
      </c>
      <c r="Q143" s="14">
        <v>59807</v>
      </c>
      <c r="R143" s="14"/>
      <c r="S143" s="17">
        <v>1.0361714</v>
      </c>
      <c r="T143" s="15">
        <v>38.450000000000003</v>
      </c>
      <c r="U143" s="15">
        <v>56.86</v>
      </c>
      <c r="V143" s="15">
        <v>56.92</v>
      </c>
      <c r="W143" s="14" t="s">
        <v>229</v>
      </c>
      <c r="X143" s="14">
        <v>5</v>
      </c>
      <c r="Y143" s="10">
        <f>AC143-AB143</f>
        <v>49</v>
      </c>
      <c r="Z143" s="18">
        <v>28</v>
      </c>
      <c r="AA143" s="18">
        <v>83</v>
      </c>
      <c r="AB143" s="18">
        <v>0</v>
      </c>
      <c r="AC143" s="18">
        <v>49</v>
      </c>
      <c r="AD143" s="1" t="s">
        <v>2133</v>
      </c>
      <c r="AE143" s="1" t="s">
        <v>2144</v>
      </c>
      <c r="AF143" s="4">
        <v>10.199999999999999</v>
      </c>
      <c r="AG143" s="4">
        <v>6.81</v>
      </c>
    </row>
    <row r="144" spans="1:33" ht="47.25" customHeight="1" x14ac:dyDescent="0.25">
      <c r="A144" s="10" t="s">
        <v>7072</v>
      </c>
      <c r="B144" s="11" t="s">
        <v>33</v>
      </c>
      <c r="C144" s="12" t="s">
        <v>7073</v>
      </c>
      <c r="D144" s="27"/>
      <c r="E144" s="14" t="s">
        <v>35</v>
      </c>
      <c r="F144" s="11" t="str">
        <f>HYPERLINK("https://redirect.sdcdeals.com/redirect?destination=https%3A%2F%2Fwww.amazon.com%2Fdp%2FB0B194PTNZ%3Fth%3D1%26psc%3D1%26tag%3Dsdcdeals03-20", "Amazon Link")</f>
        <v>Amazon Link</v>
      </c>
      <c r="G144" s="11" t="s">
        <v>36</v>
      </c>
      <c r="H144" s="14" t="s">
        <v>7074</v>
      </c>
      <c r="I144" s="11" t="str">
        <f>HYPERLINK("https://redirect.sdcdeals.com/redirect?code=763034&amp;mavely=https://mavely.app.link/e/bhESV2wGrGb&amp;destination=https%3A%2F%2Fwww.kohls.com%2Fsearch.jsp%3Fsubmit-search%3Dweb-regular%26search%3D55966221", "Retail Link")</f>
        <v>Retail Link</v>
      </c>
      <c r="J144" s="14" t="s">
        <v>7075</v>
      </c>
      <c r="K144" s="13" t="s">
        <v>7076</v>
      </c>
      <c r="L144" s="15">
        <v>14.304</v>
      </c>
      <c r="M144" s="15">
        <v>52.75</v>
      </c>
      <c r="N144" s="15">
        <v>23.133500000000002</v>
      </c>
      <c r="O144" s="15">
        <f>V144-M144</f>
        <v>-6.1300000000000026</v>
      </c>
      <c r="P144" s="16">
        <f>N144/L144</f>
        <v>1.6172748881431769</v>
      </c>
      <c r="Q144" s="14">
        <v>176662</v>
      </c>
      <c r="R144" s="14"/>
      <c r="S144" s="17">
        <v>1.33159048</v>
      </c>
      <c r="T144" s="15"/>
      <c r="U144" s="15">
        <v>52.75</v>
      </c>
      <c r="V144" s="15">
        <v>46.62</v>
      </c>
      <c r="W144" s="14" t="s">
        <v>131</v>
      </c>
      <c r="X144" s="14">
        <v>1</v>
      </c>
      <c r="Y144" s="10">
        <f>AC144-AB144</f>
        <v>188</v>
      </c>
      <c r="Z144" s="18">
        <v>19</v>
      </c>
      <c r="AA144" s="18">
        <v>50</v>
      </c>
      <c r="AB144" s="18">
        <v>0</v>
      </c>
      <c r="AC144" s="18">
        <v>188</v>
      </c>
      <c r="AD144" s="1" t="s">
        <v>7077</v>
      </c>
      <c r="AE144" s="1" t="s">
        <v>7078</v>
      </c>
      <c r="AG144" s="4">
        <v>7.4</v>
      </c>
    </row>
    <row r="145" spans="1:33" ht="47.25" customHeight="1" x14ac:dyDescent="0.25">
      <c r="A145" s="10" t="s">
        <v>5962</v>
      </c>
      <c r="B145" s="11" t="s">
        <v>33</v>
      </c>
      <c r="C145" s="12" t="s">
        <v>5963</v>
      </c>
      <c r="D145" s="27"/>
      <c r="E145" s="14" t="s">
        <v>35</v>
      </c>
      <c r="F145" s="11" t="str">
        <f>HYPERLINK("https://redirect.sdcdeals.com/redirect?destination=https%3A%2F%2Fwww.amazon.com%2Fdp%2FB0CKCZZKZJ%3Fth%3D1%26psc%3D1%26tag%3Dsdcdeals03-20", "Amazon Link")</f>
        <v>Amazon Link</v>
      </c>
      <c r="G145" s="11" t="s">
        <v>36</v>
      </c>
      <c r="H145" s="14" t="s">
        <v>5964</v>
      </c>
      <c r="I145" s="11" t="str">
        <f>HYPERLINK("https://redirect.sdcdeals.com/redirect?code=763034&amp;mavely=https://mavely.app.link/e/bhESV2wGrGb&amp;destination=https%3A%2F%2Fwww.kohls.com%2Fsearch.jsp%3Fsubmit-search%3Dweb-regular%26search%3D70298182", "Retail Link")</f>
        <v>Retail Link</v>
      </c>
      <c r="J145" s="14" t="s">
        <v>5955</v>
      </c>
      <c r="K145" s="13" t="s">
        <v>5965</v>
      </c>
      <c r="L145" s="15">
        <v>4.8000000000000007</v>
      </c>
      <c r="M145" s="15">
        <v>21.71</v>
      </c>
      <c r="N145" s="15">
        <v>7.7535000000000007</v>
      </c>
      <c r="O145" s="15">
        <f>V145-M145</f>
        <v>0.23000000000000043</v>
      </c>
      <c r="P145" s="16">
        <f>N145/L145</f>
        <v>1.6153124999999999</v>
      </c>
      <c r="Q145" s="14">
        <v>15081281</v>
      </c>
      <c r="R145" s="14"/>
      <c r="S145" s="17">
        <v>0.35053457999999998</v>
      </c>
      <c r="T145" s="15">
        <v>21.71</v>
      </c>
      <c r="U145" s="15">
        <v>22.21</v>
      </c>
      <c r="V145" s="15">
        <v>21.94</v>
      </c>
      <c r="W145" s="14" t="s">
        <v>5966</v>
      </c>
      <c r="X145" s="14">
        <v>3</v>
      </c>
      <c r="Y145" s="10">
        <f>AC145-AB145</f>
        <v>0</v>
      </c>
      <c r="Z145" s="18">
        <v>0</v>
      </c>
      <c r="AA145" s="18">
        <v>0</v>
      </c>
      <c r="AB145" s="18">
        <v>0</v>
      </c>
      <c r="AC145" s="18"/>
      <c r="AE145" s="1" t="s">
        <v>5957</v>
      </c>
      <c r="AF145" s="4">
        <v>3.69</v>
      </c>
      <c r="AG145" s="4">
        <v>5.9</v>
      </c>
    </row>
    <row r="146" spans="1:33" ht="47.25" customHeight="1" x14ac:dyDescent="0.25">
      <c r="A146" s="10" t="s">
        <v>4565</v>
      </c>
      <c r="B146" s="11" t="s">
        <v>33</v>
      </c>
      <c r="C146" s="12" t="s">
        <v>4566</v>
      </c>
      <c r="D146" s="27"/>
      <c r="E146" s="14" t="s">
        <v>35</v>
      </c>
      <c r="F146" s="11" t="str">
        <f>HYPERLINK("https://redirect.sdcdeals.com/redirect?destination=https%3A%2F%2Fwww.amazon.com%2Fdp%2FB0CSPRHMMH%3Fth%3D1%26psc%3D1%26tag%3Dsdcdeals03-20", "Amazon Link")</f>
        <v>Amazon Link</v>
      </c>
      <c r="G146" s="11" t="s">
        <v>36</v>
      </c>
      <c r="H146" s="14" t="s">
        <v>4567</v>
      </c>
      <c r="I146" s="11" t="str">
        <f>HYPERLINK("https://redirect.sdcdeals.com/redirect?code=763034&amp;mavely=https://mavely.app.link/e/bhESV2wGrGb&amp;destination=https%3A%2F%2Fwww.kohls.com%2Fsearch.jsp%3Fsubmit-search%3Dweb-regular%26search%3D30374003", "Retail Link")</f>
        <v>Retail Link</v>
      </c>
      <c r="J146" s="14" t="s">
        <v>4568</v>
      </c>
      <c r="K146" s="13" t="s">
        <v>4569</v>
      </c>
      <c r="L146" s="15">
        <v>4.68</v>
      </c>
      <c r="M146" s="15">
        <v>22.16</v>
      </c>
      <c r="N146" s="15">
        <v>7.5559999999999992</v>
      </c>
      <c r="O146" s="15">
        <f>V146-M146</f>
        <v>6.6999999999999993</v>
      </c>
      <c r="P146" s="16">
        <f>N146/L146</f>
        <v>1.6145299145299143</v>
      </c>
      <c r="Q146" s="14">
        <v>75220</v>
      </c>
      <c r="R146" s="14"/>
      <c r="S146" s="17">
        <v>0.35273919999999997</v>
      </c>
      <c r="T146" s="15">
        <v>14.17</v>
      </c>
      <c r="U146" s="15">
        <v>28.27</v>
      </c>
      <c r="V146" s="15">
        <v>28.86</v>
      </c>
      <c r="W146" s="14" t="s">
        <v>2022</v>
      </c>
      <c r="X146" s="14">
        <v>2</v>
      </c>
      <c r="Y146" s="10">
        <f>AC146-AB146</f>
        <v>980</v>
      </c>
      <c r="Z146" s="18">
        <v>24</v>
      </c>
      <c r="AA146" s="18">
        <v>59</v>
      </c>
      <c r="AB146" s="18">
        <v>0</v>
      </c>
      <c r="AC146" s="18">
        <v>980</v>
      </c>
      <c r="AE146" s="1" t="s">
        <v>47</v>
      </c>
      <c r="AF146" s="4">
        <v>3.77</v>
      </c>
      <c r="AG146" s="4">
        <v>6.6</v>
      </c>
    </row>
    <row r="147" spans="1:33" ht="47.25" customHeight="1" x14ac:dyDescent="0.25">
      <c r="A147" s="10" t="s">
        <v>4570</v>
      </c>
      <c r="B147" s="11" t="s">
        <v>33</v>
      </c>
      <c r="C147" s="12" t="s">
        <v>4571</v>
      </c>
      <c r="D147" s="27"/>
      <c r="E147" s="14" t="s">
        <v>35</v>
      </c>
      <c r="F147" s="11" t="str">
        <f>HYPERLINK("https://redirect.sdcdeals.com/redirect?destination=https%3A%2F%2Fwww.amazon.com%2Fdp%2FB0CSPS4HZN%3Fth%3D1%26psc%3D1%26tag%3Dsdcdeals03-20", "Amazon Link")</f>
        <v>Amazon Link</v>
      </c>
      <c r="G147" s="11" t="s">
        <v>36</v>
      </c>
      <c r="H147" s="14" t="s">
        <v>4572</v>
      </c>
      <c r="I147" s="11" t="str">
        <f>HYPERLINK("https://redirect.sdcdeals.com/redirect?code=763034&amp;mavely=https://mavely.app.link/e/bhESV2wGrGb&amp;destination=https%3A%2F%2Fwww.kohls.com%2Fsearch.jsp%3Fsubmit-search%3Dweb-regular%26search%3D30373994", "Retail Link")</f>
        <v>Retail Link</v>
      </c>
      <c r="J147" s="14" t="s">
        <v>4568</v>
      </c>
      <c r="K147" s="13" t="s">
        <v>4573</v>
      </c>
      <c r="L147" s="15">
        <v>4.68</v>
      </c>
      <c r="M147" s="15">
        <v>22.16</v>
      </c>
      <c r="N147" s="15">
        <v>7.5559999999999992</v>
      </c>
      <c r="O147" s="15">
        <f>V147-M147</f>
        <v>6.3000000000000007</v>
      </c>
      <c r="P147" s="16">
        <f>N147/L147</f>
        <v>1.6145299145299143</v>
      </c>
      <c r="Q147" s="14">
        <v>67337</v>
      </c>
      <c r="R147" s="14"/>
      <c r="S147" s="17">
        <v>0.35273919999999997</v>
      </c>
      <c r="T147" s="15">
        <v>14.17</v>
      </c>
      <c r="U147" s="15">
        <v>27.93</v>
      </c>
      <c r="V147" s="15">
        <v>28.46</v>
      </c>
      <c r="W147" s="14" t="s">
        <v>1143</v>
      </c>
      <c r="X147" s="14">
        <v>2</v>
      </c>
      <c r="Y147" s="10">
        <f>AC147-AB147</f>
        <v>1058</v>
      </c>
      <c r="Z147" s="18">
        <v>23</v>
      </c>
      <c r="AA147" s="18">
        <v>61</v>
      </c>
      <c r="AB147" s="18">
        <v>0</v>
      </c>
      <c r="AC147" s="18">
        <v>1058</v>
      </c>
      <c r="AE147" s="1" t="s">
        <v>4574</v>
      </c>
      <c r="AF147" s="4">
        <v>3.77</v>
      </c>
      <c r="AG147" s="4">
        <v>6.6</v>
      </c>
    </row>
    <row r="148" spans="1:33" ht="47.25" customHeight="1" x14ac:dyDescent="0.25">
      <c r="A148" s="10" t="s">
        <v>4580</v>
      </c>
      <c r="B148" s="11" t="s">
        <v>33</v>
      </c>
      <c r="C148" s="12" t="s">
        <v>4581</v>
      </c>
      <c r="D148" s="27"/>
      <c r="E148" s="14" t="s">
        <v>35</v>
      </c>
      <c r="F148" s="11" t="str">
        <f>HYPERLINK("https://redirect.sdcdeals.com/redirect?destination=https%3A%2F%2Fwww.amazon.com%2Fdp%2FB0CSPPVM63%3Fth%3D1%26psc%3D1%26tag%3Dsdcdeals03-20", "Amazon Link")</f>
        <v>Amazon Link</v>
      </c>
      <c r="G148" s="11" t="s">
        <v>36</v>
      </c>
      <c r="H148" s="14" t="s">
        <v>4582</v>
      </c>
      <c r="I148" s="11" t="str">
        <f>HYPERLINK("https://redirect.sdcdeals.com/redirect?code=763034&amp;mavely=https://mavely.app.link/e/bhESV2wGrGb&amp;destination=https%3A%2F%2Fwww.kohls.com%2Fsearch.jsp%3Fsubmit-search%3Dweb-regular%26search%3D30373995", "Retail Link")</f>
        <v>Retail Link</v>
      </c>
      <c r="J148" s="14" t="s">
        <v>4568</v>
      </c>
      <c r="K148" s="13" t="s">
        <v>4583</v>
      </c>
      <c r="L148" s="15">
        <v>4.68</v>
      </c>
      <c r="M148" s="15">
        <v>22.16</v>
      </c>
      <c r="N148" s="15">
        <v>7.5559999999999992</v>
      </c>
      <c r="O148" s="15">
        <f>V148-M148</f>
        <v>7.1099999999999994</v>
      </c>
      <c r="P148" s="16">
        <f>N148/L148</f>
        <v>1.6145299145299143</v>
      </c>
      <c r="Q148" s="14">
        <v>67337</v>
      </c>
      <c r="R148" s="14"/>
      <c r="S148" s="17">
        <v>0.35273919999999997</v>
      </c>
      <c r="T148" s="15">
        <v>14.17</v>
      </c>
      <c r="U148" s="15">
        <v>28.89</v>
      </c>
      <c r="V148" s="15">
        <v>29.27</v>
      </c>
      <c r="W148" s="14" t="s">
        <v>4584</v>
      </c>
      <c r="X148" s="14">
        <v>2</v>
      </c>
      <c r="Y148" s="10">
        <f>AC148-AB148</f>
        <v>1058</v>
      </c>
      <c r="Z148" s="18">
        <v>22</v>
      </c>
      <c r="AA148" s="18">
        <v>55</v>
      </c>
      <c r="AB148" s="18">
        <v>0</v>
      </c>
      <c r="AC148" s="18">
        <v>1058</v>
      </c>
      <c r="AE148" s="1" t="s">
        <v>4585</v>
      </c>
      <c r="AF148" s="4">
        <v>3.77</v>
      </c>
      <c r="AG148" s="4">
        <v>6.6</v>
      </c>
    </row>
    <row r="149" spans="1:33" ht="47.25" customHeight="1" x14ac:dyDescent="0.25">
      <c r="A149" s="10" t="s">
        <v>4586</v>
      </c>
      <c r="B149" s="11" t="s">
        <v>33</v>
      </c>
      <c r="C149" s="12" t="s">
        <v>4587</v>
      </c>
      <c r="D149" s="27"/>
      <c r="E149" s="14" t="s">
        <v>35</v>
      </c>
      <c r="F149" s="11" t="str">
        <f>HYPERLINK("https://redirect.sdcdeals.com/redirect?destination=https%3A%2F%2Fwww.amazon.com%2Fdp%2FB0CSPRMFHN%3Fth%3D1%26psc%3D1%26tag%3Dsdcdeals03-20", "Amazon Link")</f>
        <v>Amazon Link</v>
      </c>
      <c r="G149" s="11" t="s">
        <v>36</v>
      </c>
      <c r="H149" s="14" t="s">
        <v>4588</v>
      </c>
      <c r="I149" s="11" t="str">
        <f>HYPERLINK("https://redirect.sdcdeals.com/redirect?code=763034&amp;mavely=https://mavely.app.link/e/bhESV2wGrGb&amp;destination=https%3A%2F%2Fwww.kohls.com%2Fsearch.jsp%3Fsubmit-search%3Dweb-regular%26search%3D30374013", "Retail Link")</f>
        <v>Retail Link</v>
      </c>
      <c r="J149" s="14" t="s">
        <v>4568</v>
      </c>
      <c r="K149" s="13" t="s">
        <v>4589</v>
      </c>
      <c r="L149" s="15">
        <v>4.68</v>
      </c>
      <c r="M149" s="15">
        <v>22.16</v>
      </c>
      <c r="N149" s="15">
        <v>7.5559999999999992</v>
      </c>
      <c r="O149" s="15">
        <f>V149-M149</f>
        <v>7.129999999999999</v>
      </c>
      <c r="P149" s="16">
        <f>N149/L149</f>
        <v>1.6145299145299143</v>
      </c>
      <c r="Q149" s="14">
        <v>67337</v>
      </c>
      <c r="R149" s="14"/>
      <c r="S149" s="17">
        <v>0.35273919999999997</v>
      </c>
      <c r="T149" s="15">
        <v>14.17</v>
      </c>
      <c r="U149" s="15">
        <v>28.94</v>
      </c>
      <c r="V149" s="15">
        <v>29.29</v>
      </c>
      <c r="W149" s="14" t="s">
        <v>1949</v>
      </c>
      <c r="X149" s="14">
        <v>2</v>
      </c>
      <c r="Y149" s="10">
        <f>AC149-AB149</f>
        <v>981</v>
      </c>
      <c r="Z149" s="18">
        <v>23</v>
      </c>
      <c r="AA149" s="18">
        <v>61</v>
      </c>
      <c r="AB149" s="18">
        <v>0</v>
      </c>
      <c r="AC149" s="18">
        <v>981</v>
      </c>
      <c r="AE149" s="1" t="s">
        <v>4585</v>
      </c>
      <c r="AF149" s="4">
        <v>3.77</v>
      </c>
      <c r="AG149" s="4">
        <v>6.6</v>
      </c>
    </row>
    <row r="150" spans="1:33" ht="47.25" hidden="1" customHeight="1" x14ac:dyDescent="0.25">
      <c r="A150" s="10" t="s">
        <v>4556</v>
      </c>
      <c r="B150" s="11" t="s">
        <v>33</v>
      </c>
      <c r="C150" s="12" t="s">
        <v>4557</v>
      </c>
      <c r="D150" s="27"/>
      <c r="E150" s="14" t="s">
        <v>35</v>
      </c>
      <c r="F150" s="11" t="str">
        <f>HYPERLINK("https://redirect.sdcdeals.com/redirect?destination=https%3A%2F%2Fwww.amazon.com%2Fdp%2FB0CL5DV735%3Fth%3D1%26psc%3D1%26tag%3Dsdcdeals03-20", "Amazon Link")</f>
        <v>Amazon Link</v>
      </c>
      <c r="G150" s="11" t="s">
        <v>36</v>
      </c>
      <c r="H150" s="14" t="s">
        <v>4558</v>
      </c>
      <c r="I150" s="11" t="str">
        <f>HYPERLINK("https://redirect.sdcdeals.com/redirect?code=763034&amp;mavely=https://mavely.app.link/e/bhESV2wGrGb&amp;destination=https%3A%2F%2Fwww.kohls.com%2Fsearch.jsp%3Fsubmit-search%3Dweb-regular%26search%3D28182158", "Retail Link")</f>
        <v>Retail Link</v>
      </c>
      <c r="J150" s="14" t="s">
        <v>4550</v>
      </c>
      <c r="K150" s="13" t="s">
        <v>4559</v>
      </c>
      <c r="L150" s="15">
        <v>6.4</v>
      </c>
      <c r="M150" s="15">
        <v>24.99</v>
      </c>
      <c r="N150" s="15">
        <v>10.2315</v>
      </c>
      <c r="O150" s="15">
        <f>V150-M150</f>
        <v>4.6000000000000014</v>
      </c>
      <c r="P150" s="16">
        <f>N150/L150</f>
        <v>1.598671875</v>
      </c>
      <c r="Q150" s="14"/>
      <c r="R150" s="14"/>
      <c r="S150" s="17">
        <v>0.22928048000000001</v>
      </c>
      <c r="T150" s="15">
        <v>24.99</v>
      </c>
      <c r="U150" s="15">
        <v>28.07</v>
      </c>
      <c r="V150" s="15">
        <v>29.59</v>
      </c>
      <c r="W150" s="14" t="s">
        <v>875</v>
      </c>
      <c r="X150" s="14">
        <v>2</v>
      </c>
      <c r="Y150" s="10">
        <f>AC150-AB150</f>
        <v>0</v>
      </c>
      <c r="Z150" s="18">
        <v>0</v>
      </c>
      <c r="AA150" s="18">
        <v>0</v>
      </c>
      <c r="AB150" s="18">
        <v>0</v>
      </c>
      <c r="AC150" s="18"/>
      <c r="AE150" s="1" t="s">
        <v>4560</v>
      </c>
      <c r="AF150" s="4">
        <v>4.25</v>
      </c>
      <c r="AG150" s="4">
        <v>4.6100000000000003</v>
      </c>
    </row>
    <row r="151" spans="1:33" ht="47.25" customHeight="1" x14ac:dyDescent="0.25">
      <c r="A151" s="10" t="s">
        <v>4561</v>
      </c>
      <c r="B151" s="11" t="s">
        <v>33</v>
      </c>
      <c r="C151" s="12" t="s">
        <v>4562</v>
      </c>
      <c r="D151" s="27"/>
      <c r="E151" s="14" t="s">
        <v>35</v>
      </c>
      <c r="F151" s="11" t="str">
        <f>HYPERLINK("https://redirect.sdcdeals.com/redirect?destination=https%3A%2F%2Fwww.amazon.com%2Fdp%2FB0CL5CM9D8%3Fth%3D1%26psc%3D1%26tag%3Dsdcdeals03-20", "Amazon Link")</f>
        <v>Amazon Link</v>
      </c>
      <c r="G151" s="11" t="s">
        <v>36</v>
      </c>
      <c r="H151" s="14" t="s">
        <v>4563</v>
      </c>
      <c r="I151" s="11" t="str">
        <f>HYPERLINK("https://redirect.sdcdeals.com/redirect?code=763034&amp;mavely=https://mavely.app.link/e/bhESV2wGrGb&amp;destination=https%3A%2F%2Fwww.kohls.com%2Fsearch.jsp%3Fsubmit-search%3Dweb-regular%26search%3D28182159", "Retail Link")</f>
        <v>Retail Link</v>
      </c>
      <c r="J151" s="14" t="s">
        <v>4550</v>
      </c>
      <c r="K151" s="13" t="s">
        <v>4564</v>
      </c>
      <c r="L151" s="15">
        <v>6.4</v>
      </c>
      <c r="M151" s="15">
        <v>24.99</v>
      </c>
      <c r="N151" s="15">
        <v>10.2315</v>
      </c>
      <c r="O151" s="15">
        <f>V151-M151</f>
        <v>3.9300000000000033</v>
      </c>
      <c r="P151" s="16">
        <f>N151/L151</f>
        <v>1.598671875</v>
      </c>
      <c r="Q151" s="14">
        <v>5610927</v>
      </c>
      <c r="R151" s="14"/>
      <c r="S151" s="17">
        <v>0.22928048000000001</v>
      </c>
      <c r="T151" s="15">
        <v>24.99</v>
      </c>
      <c r="U151" s="15">
        <v>27.87</v>
      </c>
      <c r="V151" s="15">
        <v>28.92</v>
      </c>
      <c r="W151" s="14" t="s">
        <v>250</v>
      </c>
      <c r="X151" s="14">
        <v>4</v>
      </c>
      <c r="Y151" s="10">
        <f>AC151-AB151</f>
        <v>0</v>
      </c>
      <c r="Z151" s="18">
        <v>1</v>
      </c>
      <c r="AA151" s="18">
        <v>31</v>
      </c>
      <c r="AB151" s="18">
        <v>0</v>
      </c>
      <c r="AC151" s="18"/>
      <c r="AE151" s="1" t="s">
        <v>4560</v>
      </c>
      <c r="AF151" s="4">
        <v>4.25</v>
      </c>
      <c r="AG151" s="4">
        <v>4.6100000000000003</v>
      </c>
    </row>
    <row r="152" spans="1:33" ht="47.25" customHeight="1" x14ac:dyDescent="0.25">
      <c r="A152" s="10" t="s">
        <v>3563</v>
      </c>
      <c r="B152" s="11" t="s">
        <v>33</v>
      </c>
      <c r="C152" s="12" t="s">
        <v>3564</v>
      </c>
      <c r="D152" s="27"/>
      <c r="E152" s="14" t="s">
        <v>35</v>
      </c>
      <c r="F152" s="11" t="str">
        <f>HYPERLINK("https://redirect.sdcdeals.com/redirect?destination=https%3A%2F%2Fwww.amazon.com%2Fdp%2FB0792GX74L%3Fth%3D1%26psc%3D1%26tag%3Dsdcdeals03-20", "Amazon Link")</f>
        <v>Amazon Link</v>
      </c>
      <c r="G152" s="11" t="s">
        <v>36</v>
      </c>
      <c r="H152" s="14" t="s">
        <v>3565</v>
      </c>
      <c r="I152" s="11" t="str">
        <f>HYPERLINK("https://redirect.sdcdeals.com/redirect?code=763034&amp;mavely=https://mavely.app.link/e/bhESV2wGrGb&amp;destination=https%3A%2F%2Fwww.kohls.com%2Fsearch.jsp%3Fsubmit-search%3Dweb-regular%26search%3D63989886", "Retail Link")</f>
        <v>Retail Link</v>
      </c>
      <c r="J152" s="14" t="s">
        <v>3555</v>
      </c>
      <c r="K152" s="13" t="s">
        <v>3566</v>
      </c>
      <c r="L152" s="15">
        <v>10.56</v>
      </c>
      <c r="M152" s="15">
        <v>39.979999999999997</v>
      </c>
      <c r="N152" s="15">
        <v>16.82299999999999</v>
      </c>
      <c r="O152" s="15">
        <f>V152-M152</f>
        <v>-2.1499999999999986</v>
      </c>
      <c r="P152" s="16">
        <f>N152/L152</f>
        <v>1.5930871212121203</v>
      </c>
      <c r="Q152" s="14">
        <v>1878941</v>
      </c>
      <c r="R152" s="14"/>
      <c r="S152" s="17">
        <v>0.74957079999999998</v>
      </c>
      <c r="T152" s="15">
        <v>38.729999999999997</v>
      </c>
      <c r="U152" s="15">
        <v>39.700000000000003</v>
      </c>
      <c r="V152" s="15">
        <v>37.83</v>
      </c>
      <c r="W152" s="14" t="s">
        <v>705</v>
      </c>
      <c r="X152" s="14">
        <v>2</v>
      </c>
      <c r="Y152" s="10">
        <f>AC152-AB152</f>
        <v>94</v>
      </c>
      <c r="Z152" s="18">
        <v>2</v>
      </c>
      <c r="AA152" s="18">
        <v>8</v>
      </c>
      <c r="AB152" s="18">
        <v>1</v>
      </c>
      <c r="AC152" s="18">
        <v>95</v>
      </c>
      <c r="AD152" s="1" t="s">
        <v>3557</v>
      </c>
      <c r="AE152" s="1" t="s">
        <v>3567</v>
      </c>
      <c r="AF152" s="4">
        <v>6.8</v>
      </c>
      <c r="AG152" s="4">
        <v>6.6</v>
      </c>
    </row>
    <row r="153" spans="1:33" ht="47.25" customHeight="1" x14ac:dyDescent="0.25">
      <c r="A153" s="10" t="s">
        <v>7079</v>
      </c>
      <c r="B153" s="11" t="s">
        <v>33</v>
      </c>
      <c r="C153" s="12" t="s">
        <v>7080</v>
      </c>
      <c r="D153" s="27"/>
      <c r="E153" s="14" t="s">
        <v>35</v>
      </c>
      <c r="F153" s="11" t="str">
        <f>HYPERLINK("https://redirect.sdcdeals.com/redirect?destination=https%3A%2F%2Fwww.amazon.com%2Fdp%2FB0B1941LKH%3Fth%3D1%26psc%3D1%26tag%3Dsdcdeals03-20", "Amazon Link")</f>
        <v>Amazon Link</v>
      </c>
      <c r="G153" s="11" t="s">
        <v>36</v>
      </c>
      <c r="H153" s="14" t="s">
        <v>7081</v>
      </c>
      <c r="I153" s="11" t="str">
        <f>HYPERLINK("https://redirect.sdcdeals.com/redirect?code=763034&amp;mavely=https://mavely.app.link/e/bhESV2wGrGb&amp;destination=https%3A%2F%2Fwww.kohls.com%2Fsearch.jsp%3Fsubmit-search%3Dweb-regular%26search%3D55966231", "Retail Link")</f>
        <v>Retail Link</v>
      </c>
      <c r="J153" s="14" t="s">
        <v>7075</v>
      </c>
      <c r="K153" s="13" t="s">
        <v>7082</v>
      </c>
      <c r="L153" s="15">
        <v>14.304</v>
      </c>
      <c r="M153" s="15">
        <v>56.45</v>
      </c>
      <c r="N153" s="15">
        <v>22.548500000000001</v>
      </c>
      <c r="O153" s="15">
        <f>V153-M153</f>
        <v>-9.2700000000000031</v>
      </c>
      <c r="P153" s="16">
        <f>N153/L153</f>
        <v>1.5763772371364653</v>
      </c>
      <c r="Q153" s="14">
        <v>151512</v>
      </c>
      <c r="R153" s="14"/>
      <c r="S153" s="17">
        <v>1.3668644000000001</v>
      </c>
      <c r="T153" s="15">
        <v>56.45</v>
      </c>
      <c r="U153" s="15">
        <v>53.05</v>
      </c>
      <c r="V153" s="15">
        <v>47.18</v>
      </c>
      <c r="W153" s="14" t="s">
        <v>342</v>
      </c>
      <c r="X153" s="14">
        <v>1</v>
      </c>
      <c r="Y153" s="10">
        <f>AC153-AB153</f>
        <v>186</v>
      </c>
      <c r="Z153" s="18">
        <v>28</v>
      </c>
      <c r="AA153" s="18">
        <v>69</v>
      </c>
      <c r="AB153" s="18">
        <v>2</v>
      </c>
      <c r="AC153" s="18">
        <v>188</v>
      </c>
      <c r="AD153" s="1" t="s">
        <v>7077</v>
      </c>
      <c r="AE153" s="1" t="s">
        <v>7078</v>
      </c>
      <c r="AF153" s="4">
        <v>9.6</v>
      </c>
      <c r="AG153" s="4">
        <v>11.13</v>
      </c>
    </row>
    <row r="154" spans="1:33" ht="47.25" customHeight="1" x14ac:dyDescent="0.25">
      <c r="A154" s="10" t="s">
        <v>7091</v>
      </c>
      <c r="B154" s="11" t="s">
        <v>33</v>
      </c>
      <c r="C154" s="12" t="s">
        <v>7092</v>
      </c>
      <c r="D154" s="27"/>
      <c r="E154" s="14" t="s">
        <v>35</v>
      </c>
      <c r="F154" s="11" t="str">
        <f>HYPERLINK("https://redirect.sdcdeals.com/redirect?destination=https%3A%2F%2Fwww.amazon.com%2Fdp%2FB0B193TJKM%3Fth%3D1%26psc%3D1%26tag%3Dsdcdeals03-20", "Amazon Link")</f>
        <v>Amazon Link</v>
      </c>
      <c r="G154" s="11" t="s">
        <v>36</v>
      </c>
      <c r="H154" s="14" t="s">
        <v>7093</v>
      </c>
      <c r="I154" s="11" t="str">
        <f>HYPERLINK("https://redirect.sdcdeals.com/redirect?code=763034&amp;mavely=https://mavely.app.link/e/bhESV2wGrGb&amp;destination=https%3A%2F%2Fwww.kohls.com%2Fsearch.jsp%3Fsubmit-search%3Dweb-regular%26search%3D55966261", "Retail Link")</f>
        <v>Retail Link</v>
      </c>
      <c r="J154" s="14" t="s">
        <v>7075</v>
      </c>
      <c r="K154" s="13" t="s">
        <v>7094</v>
      </c>
      <c r="L154" s="15">
        <v>14.304</v>
      </c>
      <c r="M154" s="15">
        <v>56.45</v>
      </c>
      <c r="N154" s="15">
        <v>22.548500000000001</v>
      </c>
      <c r="O154" s="15">
        <f>V154-M154</f>
        <v>-9.36</v>
      </c>
      <c r="P154" s="16">
        <f>N154/L154</f>
        <v>1.5763772371364653</v>
      </c>
      <c r="Q154" s="14">
        <v>176662</v>
      </c>
      <c r="R154" s="14"/>
      <c r="S154" s="17">
        <v>1.4594584399999999</v>
      </c>
      <c r="T154" s="15">
        <v>56.45</v>
      </c>
      <c r="U154" s="15">
        <v>53.37</v>
      </c>
      <c r="V154" s="15">
        <v>47.09</v>
      </c>
      <c r="W154" s="14" t="s">
        <v>277</v>
      </c>
      <c r="X154" s="14">
        <v>1</v>
      </c>
      <c r="Y154" s="10">
        <f>AC154-AB154</f>
        <v>182</v>
      </c>
      <c r="Z154" s="18">
        <v>14</v>
      </c>
      <c r="AA154" s="18">
        <v>30</v>
      </c>
      <c r="AB154" s="18">
        <v>1</v>
      </c>
      <c r="AC154" s="18">
        <v>183</v>
      </c>
      <c r="AD154" s="1" t="s">
        <v>7077</v>
      </c>
      <c r="AE154" s="1" t="s">
        <v>7078</v>
      </c>
      <c r="AF154" s="4">
        <v>9.6</v>
      </c>
      <c r="AG154" s="4">
        <v>11.13</v>
      </c>
    </row>
    <row r="155" spans="1:33" ht="47.25" customHeight="1" x14ac:dyDescent="0.25">
      <c r="A155" s="10" t="s">
        <v>5371</v>
      </c>
      <c r="B155" s="11" t="s">
        <v>33</v>
      </c>
      <c r="C155" s="12" t="s">
        <v>5372</v>
      </c>
      <c r="D155" s="27"/>
      <c r="E155" s="14" t="s">
        <v>35</v>
      </c>
      <c r="F155" s="11" t="str">
        <f>HYPERLINK("https://redirect.sdcdeals.com/redirect?destination=https%3A%2F%2Fwww.amazon.com%2Fdp%2FB0B9PXCZNP%3Fth%3D1%26psc%3D1%26tag%3Dsdcdeals03-20", "Amazon Link")</f>
        <v>Amazon Link</v>
      </c>
      <c r="G155" s="11" t="s">
        <v>36</v>
      </c>
      <c r="H155" s="14" t="s">
        <v>5373</v>
      </c>
      <c r="I155" s="11" t="str">
        <f>HYPERLINK("https://redirect.sdcdeals.com/redirect?code=763034&amp;mavely=https://mavely.app.link/e/bhESV2wGrGb&amp;destination=https%3A%2F%2Fwww.kohls.com%2Fsearch.jsp%3Fsubmit-search%3Dweb-regular%26search%3D70384161", "Retail Link")</f>
        <v>Retail Link</v>
      </c>
      <c r="J155" s="14" t="s">
        <v>5361</v>
      </c>
      <c r="K155" s="13" t="s">
        <v>5374</v>
      </c>
      <c r="L155" s="15">
        <v>36</v>
      </c>
      <c r="M155" s="15">
        <v>129.99</v>
      </c>
      <c r="N155" s="15">
        <v>56.521500000000003</v>
      </c>
      <c r="O155" s="15">
        <f>V155-M155</f>
        <v>-4.9400000000000119</v>
      </c>
      <c r="P155" s="16">
        <f>N155/L155</f>
        <v>1.5700416666666668</v>
      </c>
      <c r="Q155" s="14">
        <v>1680195</v>
      </c>
      <c r="R155" s="14"/>
      <c r="S155" s="17">
        <v>2.9762369999999998</v>
      </c>
      <c r="T155" s="15">
        <v>129.99</v>
      </c>
      <c r="U155" s="15">
        <v>120.12</v>
      </c>
      <c r="V155" s="15">
        <v>125.05</v>
      </c>
      <c r="W155" s="14" t="s">
        <v>1254</v>
      </c>
      <c r="X155" s="14">
        <v>1</v>
      </c>
      <c r="Y155" s="10">
        <f>AC155-AB155</f>
        <v>18</v>
      </c>
      <c r="Z155" s="18">
        <v>2</v>
      </c>
      <c r="AA155" s="18">
        <v>11</v>
      </c>
      <c r="AB155" s="18">
        <v>2</v>
      </c>
      <c r="AC155" s="18">
        <v>20</v>
      </c>
      <c r="AD155" s="1" t="s">
        <v>5375</v>
      </c>
      <c r="AE155" s="1" t="s">
        <v>5370</v>
      </c>
      <c r="AF155" s="4">
        <v>22.1</v>
      </c>
      <c r="AG155" s="4">
        <v>17.97</v>
      </c>
    </row>
    <row r="156" spans="1:33" ht="47.25" customHeight="1" x14ac:dyDescent="0.25">
      <c r="A156" s="10" t="s">
        <v>5381</v>
      </c>
      <c r="B156" s="11" t="s">
        <v>33</v>
      </c>
      <c r="C156" s="12" t="s">
        <v>5382</v>
      </c>
      <c r="D156" s="27"/>
      <c r="E156" s="14" t="s">
        <v>35</v>
      </c>
      <c r="F156" s="11" t="str">
        <f>HYPERLINK("https://redirect.sdcdeals.com/redirect?destination=https%3A%2F%2Fwww.amazon.com%2Fdp%2FB0B9P36MPL%3Fth%3D1%26psc%3D1%26tag%3Dsdcdeals03-20", "Amazon Link")</f>
        <v>Amazon Link</v>
      </c>
      <c r="G156" s="11" t="s">
        <v>36</v>
      </c>
      <c r="H156" s="14" t="s">
        <v>5383</v>
      </c>
      <c r="I156" s="11" t="str">
        <f>HYPERLINK("https://redirect.sdcdeals.com/redirect?code=763034&amp;mavely=https://mavely.app.link/e/bhESV2wGrGb&amp;destination=https%3A%2F%2Fwww.kohls.com%2Fsearch.jsp%3Fsubmit-search%3Dweb-regular%26search%3D70384162", "Retail Link")</f>
        <v>Retail Link</v>
      </c>
      <c r="J156" s="14" t="s">
        <v>5361</v>
      </c>
      <c r="K156" s="13" t="s">
        <v>5384</v>
      </c>
      <c r="L156" s="15">
        <v>36</v>
      </c>
      <c r="M156" s="15">
        <v>129.99</v>
      </c>
      <c r="N156" s="15">
        <v>56.521500000000003</v>
      </c>
      <c r="O156" s="15">
        <f>V156-M156</f>
        <v>-5.0600000000000023</v>
      </c>
      <c r="P156" s="16">
        <f>N156/L156</f>
        <v>1.5700416666666668</v>
      </c>
      <c r="Q156" s="14">
        <v>1678312</v>
      </c>
      <c r="R156" s="14"/>
      <c r="S156" s="17">
        <v>2.5992469800000002</v>
      </c>
      <c r="T156" s="15">
        <v>129.99</v>
      </c>
      <c r="U156" s="15">
        <v>120.26</v>
      </c>
      <c r="V156" s="15">
        <v>124.93</v>
      </c>
      <c r="W156" s="14" t="s">
        <v>4270</v>
      </c>
      <c r="X156" s="14">
        <v>1</v>
      </c>
      <c r="Y156" s="10">
        <f>AC156-AB156</f>
        <v>17</v>
      </c>
      <c r="Z156" s="18">
        <v>2</v>
      </c>
      <c r="AA156" s="18">
        <v>12</v>
      </c>
      <c r="AB156" s="18">
        <v>3</v>
      </c>
      <c r="AC156" s="18">
        <v>20</v>
      </c>
      <c r="AD156" s="1" t="s">
        <v>5385</v>
      </c>
      <c r="AE156" s="1" t="s">
        <v>5370</v>
      </c>
      <c r="AF156" s="4">
        <v>22.1</v>
      </c>
      <c r="AG156" s="4">
        <v>17.97</v>
      </c>
    </row>
    <row r="157" spans="1:33" ht="47.25" customHeight="1" x14ac:dyDescent="0.25">
      <c r="A157" s="10" t="s">
        <v>1833</v>
      </c>
      <c r="B157" s="11" t="s">
        <v>33</v>
      </c>
      <c r="C157" s="12" t="s">
        <v>1834</v>
      </c>
      <c r="D157" s="27"/>
      <c r="E157" s="14" t="s">
        <v>35</v>
      </c>
      <c r="F157" s="11" t="str">
        <f>HYPERLINK("https://redirect.sdcdeals.com/redirect?destination=https%3A%2F%2Fwww.amazon.com%2Fdp%2FB0BJ79K5VM%3Fth%3D1%26psc%3D1%26tag%3Dsdcdeals03-20", "Amazon Link")</f>
        <v>Amazon Link</v>
      </c>
      <c r="G157" s="11" t="s">
        <v>36</v>
      </c>
      <c r="H157" s="14" t="s">
        <v>1835</v>
      </c>
      <c r="I157" s="11" t="str">
        <f>HYPERLINK("https://redirect.sdcdeals.com/redirect?code=763034&amp;mavely=https://mavely.app.link/e/bhESV2wGrGb&amp;destination=https%3A%2F%2Fwww.kohls.com%2Fsearch.jsp%3Fsubmit-search%3Dweb-regular%26search%3D82004528", "Retail Link")</f>
        <v>Retail Link</v>
      </c>
      <c r="J157" s="14" t="s">
        <v>1809</v>
      </c>
      <c r="K157" s="13" t="s">
        <v>1836</v>
      </c>
      <c r="L157" s="15">
        <v>23.391999999999999</v>
      </c>
      <c r="M157" s="15">
        <v>79.5</v>
      </c>
      <c r="N157" s="15">
        <v>36.622999999999998</v>
      </c>
      <c r="O157" s="15">
        <f>V157-M157</f>
        <v>2.1899999999999977</v>
      </c>
      <c r="P157" s="16">
        <f>N157/L157</f>
        <v>1.5656207250341996</v>
      </c>
      <c r="Q157" s="14">
        <v>325228</v>
      </c>
      <c r="R157" s="14"/>
      <c r="S157" s="17">
        <v>3.05780794</v>
      </c>
      <c r="T157" s="15">
        <v>79.5</v>
      </c>
      <c r="U157" s="15"/>
      <c r="V157" s="15">
        <v>81.69</v>
      </c>
      <c r="W157" s="14" t="s">
        <v>1837</v>
      </c>
      <c r="X157" s="14">
        <v>2</v>
      </c>
      <c r="Y157" s="10">
        <f>AC157-AB157</f>
        <v>105</v>
      </c>
      <c r="Z157" s="18">
        <v>41</v>
      </c>
      <c r="AA157" s="18">
        <v>101</v>
      </c>
      <c r="AB157" s="18">
        <v>19</v>
      </c>
      <c r="AC157" s="18">
        <v>124</v>
      </c>
      <c r="AD157" s="1" t="s">
        <v>1812</v>
      </c>
      <c r="AE157" s="1" t="s">
        <v>1813</v>
      </c>
      <c r="AG157" s="4">
        <v>7.56</v>
      </c>
    </row>
    <row r="158" spans="1:33" ht="47.25" customHeight="1" x14ac:dyDescent="0.25">
      <c r="A158" s="10" t="s">
        <v>7379</v>
      </c>
      <c r="B158" s="11" t="s">
        <v>33</v>
      </c>
      <c r="C158" s="12" t="s">
        <v>7380</v>
      </c>
      <c r="D158" s="27"/>
      <c r="E158" s="14" t="s">
        <v>35</v>
      </c>
      <c r="F158" s="11" t="str">
        <f>HYPERLINK("https://redirect.sdcdeals.com/redirect?destination=https%3A%2F%2Fwww.amazon.com%2Fdp%2FB0B1KGXHJ5%3Fth%3D1%26psc%3D1%26tag%3Dsdcdeals03-20", "Amazon Link")</f>
        <v>Amazon Link</v>
      </c>
      <c r="G158" s="11" t="s">
        <v>36</v>
      </c>
      <c r="H158" s="14" t="s">
        <v>7381</v>
      </c>
      <c r="I158" s="11" t="str">
        <f>HYPERLINK("https://redirect.sdcdeals.com/redirect?code=763034&amp;mavely=https://mavely.app.link/e/bhESV2wGrGb&amp;destination=https%3A%2F%2Fwww.kohls.com%2Fsearch.jsp%3Fsubmit-search%3Dweb-regular%26search%3D83402101", "Retail Link")</f>
        <v>Retail Link</v>
      </c>
      <c r="J158" s="14" t="s">
        <v>7375</v>
      </c>
      <c r="K158" s="13" t="s">
        <v>7382</v>
      </c>
      <c r="L158" s="15">
        <v>14.183999999999999</v>
      </c>
      <c r="M158" s="15">
        <v>50.65</v>
      </c>
      <c r="N158" s="15">
        <v>22.198499999999999</v>
      </c>
      <c r="O158" s="15">
        <f>V158-M158</f>
        <v>0</v>
      </c>
      <c r="P158" s="16">
        <f>N158/L158</f>
        <v>1.5650380710659899</v>
      </c>
      <c r="Q158" s="14">
        <v>109227</v>
      </c>
      <c r="R158" s="14"/>
      <c r="S158" s="17">
        <v>0.55776886000000003</v>
      </c>
      <c r="T158" s="15"/>
      <c r="U158" s="15"/>
      <c r="V158" s="15">
        <v>50.65</v>
      </c>
      <c r="W158" s="14" t="s">
        <v>286</v>
      </c>
      <c r="X158" s="14"/>
      <c r="Y158" s="10">
        <f>AC158-AB158</f>
        <v>419</v>
      </c>
      <c r="Z158" s="18">
        <v>1</v>
      </c>
      <c r="AA158" s="18">
        <v>5</v>
      </c>
      <c r="AB158" s="18">
        <v>0</v>
      </c>
      <c r="AC158" s="18">
        <v>419</v>
      </c>
      <c r="AD158" s="1" t="s">
        <v>7383</v>
      </c>
      <c r="AE158" s="1" t="s">
        <v>7384</v>
      </c>
      <c r="AG158" s="4">
        <v>6.67</v>
      </c>
    </row>
    <row r="159" spans="1:33" ht="47.25" customHeight="1" x14ac:dyDescent="0.25">
      <c r="A159" s="10" t="s">
        <v>3220</v>
      </c>
      <c r="B159" s="11" t="s">
        <v>33</v>
      </c>
      <c r="C159" s="12" t="s">
        <v>3221</v>
      </c>
      <c r="D159" s="27"/>
      <c r="E159" s="14" t="s">
        <v>35</v>
      </c>
      <c r="F159" s="11" t="str">
        <f>HYPERLINK("https://redirect.sdcdeals.com/redirect?destination=https%3A%2F%2Fwww.amazon.com%2Fdp%2FB0815HWBV9%3Fth%3D1%26psc%3D1%26tag%3Dsdcdeals03-20", "Amazon Link")</f>
        <v>Amazon Link</v>
      </c>
      <c r="G159" s="11" t="s">
        <v>36</v>
      </c>
      <c r="H159" s="14" t="s">
        <v>3222</v>
      </c>
      <c r="I159" s="11" t="str">
        <f>HYPERLINK("https://redirect.sdcdeals.com/redirect?code=763034&amp;mavely=https://mavely.app.link/e/bhESV2wGrGb&amp;destination=https%3A%2F%2Fwww.kohls.com%2Fsearch.jsp%3Fsubmit-search%3Dweb-regular%26search%3D75883034", "Retail Link")</f>
        <v>Retail Link</v>
      </c>
      <c r="J159" s="14" t="s">
        <v>3216</v>
      </c>
      <c r="K159" s="13" t="s">
        <v>3223</v>
      </c>
      <c r="L159" s="15">
        <v>15.4</v>
      </c>
      <c r="M159" s="15">
        <v>59.99</v>
      </c>
      <c r="N159" s="15">
        <v>24.081500000000009</v>
      </c>
      <c r="O159" s="15">
        <f>V159-M159</f>
        <v>-25.78</v>
      </c>
      <c r="P159" s="16">
        <f>N159/L159</f>
        <v>1.5637337662337667</v>
      </c>
      <c r="Q159" s="14">
        <v>585330</v>
      </c>
      <c r="R159" s="14"/>
      <c r="S159" s="17">
        <v>1.0141252000000001</v>
      </c>
      <c r="T159" s="15">
        <v>59.99</v>
      </c>
      <c r="U159" s="15">
        <v>25</v>
      </c>
      <c r="V159" s="15">
        <v>34.21</v>
      </c>
      <c r="W159" s="14" t="s">
        <v>3224</v>
      </c>
      <c r="X159" s="14">
        <v>1</v>
      </c>
      <c r="Y159" s="10">
        <f>AC159-AB159</f>
        <v>0</v>
      </c>
      <c r="Z159" s="18">
        <v>15</v>
      </c>
      <c r="AA159" s="18">
        <v>31</v>
      </c>
      <c r="AB159" s="18">
        <v>23</v>
      </c>
      <c r="AC159" s="18">
        <v>23</v>
      </c>
      <c r="AD159" s="1" t="s">
        <v>3218</v>
      </c>
      <c r="AE159" s="1" t="s">
        <v>3219</v>
      </c>
      <c r="AG159" s="4">
        <v>11.51</v>
      </c>
    </row>
    <row r="160" spans="1:33" ht="47.25" hidden="1" customHeight="1" x14ac:dyDescent="0.25">
      <c r="A160" s="10" t="s">
        <v>5844</v>
      </c>
      <c r="B160" s="11" t="s">
        <v>33</v>
      </c>
      <c r="C160" s="12" t="s">
        <v>5845</v>
      </c>
      <c r="D160" s="27"/>
      <c r="E160" s="14" t="s">
        <v>35</v>
      </c>
      <c r="F160" s="11" t="str">
        <f>HYPERLINK("https://redirect.sdcdeals.com/redirect?destination=https%3A%2F%2Fwww.amazon.com%2Fdp%2FB0CL5SDZGV%3Fth%3D1%26psc%3D1%26tag%3Dsdcdeals03-20", "Amazon Link")</f>
        <v>Amazon Link</v>
      </c>
      <c r="G160" s="11" t="s">
        <v>36</v>
      </c>
      <c r="H160" s="14" t="s">
        <v>5846</v>
      </c>
      <c r="I160" s="11" t="str">
        <f>HYPERLINK("https://redirect.sdcdeals.com/redirect?code=763034&amp;mavely=https://mavely.app.link/e/bhESV2wGrGb&amp;destination=https%3A%2F%2Fwww.kohls.com%2Fsearch.jsp%3Fsubmit-search%3Dweb-regular%26search%3D37530971", "Retail Link")</f>
        <v>Retail Link</v>
      </c>
      <c r="J160" s="14" t="s">
        <v>5841</v>
      </c>
      <c r="K160" s="13" t="s">
        <v>5847</v>
      </c>
      <c r="L160" s="15">
        <v>6.8000000000000007</v>
      </c>
      <c r="M160" s="15">
        <v>25.99</v>
      </c>
      <c r="N160" s="15">
        <v>10.62149999999999</v>
      </c>
      <c r="O160" s="15">
        <f>V160-M160</f>
        <v>1.0200000000000031</v>
      </c>
      <c r="P160" s="16">
        <f>N160/L160</f>
        <v>1.5619852941176455</v>
      </c>
      <c r="Q160" s="14"/>
      <c r="R160" s="14"/>
      <c r="S160" s="17">
        <v>0.56217810000000001</v>
      </c>
      <c r="T160" s="15">
        <v>25.99</v>
      </c>
      <c r="U160" s="15">
        <v>26.51</v>
      </c>
      <c r="V160" s="15">
        <v>27.01</v>
      </c>
      <c r="W160" s="14" t="s">
        <v>255</v>
      </c>
      <c r="X160" s="14">
        <v>1</v>
      </c>
      <c r="Y160" s="10">
        <f>AC160-AB160</f>
        <v>0</v>
      </c>
      <c r="Z160" s="18">
        <v>0</v>
      </c>
      <c r="AA160" s="18">
        <v>0</v>
      </c>
      <c r="AB160" s="18">
        <v>0</v>
      </c>
      <c r="AC160" s="18"/>
      <c r="AF160" s="4">
        <v>4.42</v>
      </c>
      <c r="AG160" s="4">
        <v>4.67</v>
      </c>
    </row>
    <row r="161" spans="1:33" ht="47.25" hidden="1" customHeight="1" x14ac:dyDescent="0.25">
      <c r="A161" s="10" t="s">
        <v>5848</v>
      </c>
      <c r="B161" s="11" t="s">
        <v>33</v>
      </c>
      <c r="C161" s="12" t="s">
        <v>5849</v>
      </c>
      <c r="D161" s="27"/>
      <c r="E161" s="14" t="s">
        <v>35</v>
      </c>
      <c r="F161" s="11" t="str">
        <f>HYPERLINK("https://redirect.sdcdeals.com/redirect?destination=https%3A%2F%2Fwww.amazon.com%2Fdp%2FB0CL5QYQD1%3Fth%3D1%26psc%3D1%26tag%3Dsdcdeals03-20", "Amazon Link")</f>
        <v>Amazon Link</v>
      </c>
      <c r="G161" s="11" t="s">
        <v>36</v>
      </c>
      <c r="H161" s="14" t="s">
        <v>5850</v>
      </c>
      <c r="I161" s="11" t="str">
        <f>HYPERLINK("https://redirect.sdcdeals.com/redirect?code=763034&amp;mavely=https://mavely.app.link/e/bhESV2wGrGb&amp;destination=https%3A%2F%2Fwww.kohls.com%2Fsearch.jsp%3Fsubmit-search%3Dweb-regular%26search%3D37530970", "Retail Link")</f>
        <v>Retail Link</v>
      </c>
      <c r="J161" s="14" t="s">
        <v>5841</v>
      </c>
      <c r="K161" s="13" t="s">
        <v>5851</v>
      </c>
      <c r="L161" s="15">
        <v>6.8000000000000007</v>
      </c>
      <c r="M161" s="15">
        <v>25.99</v>
      </c>
      <c r="N161" s="15">
        <v>10.62149999999999</v>
      </c>
      <c r="O161" s="15">
        <f>V161-M161</f>
        <v>1.0300000000000011</v>
      </c>
      <c r="P161" s="16">
        <f>N161/L161</f>
        <v>1.5619852941176455</v>
      </c>
      <c r="Q161" s="14"/>
      <c r="R161" s="14"/>
      <c r="S161" s="17">
        <v>0.56217810000000001</v>
      </c>
      <c r="T161" s="15">
        <v>25.99</v>
      </c>
      <c r="U161" s="15">
        <v>26.47</v>
      </c>
      <c r="V161" s="15">
        <v>27.02</v>
      </c>
      <c r="W161" s="14" t="s">
        <v>3577</v>
      </c>
      <c r="X161" s="14">
        <v>2</v>
      </c>
      <c r="Y161" s="10">
        <f>AC161-AB161</f>
        <v>0</v>
      </c>
      <c r="Z161" s="18">
        <v>0</v>
      </c>
      <c r="AA161" s="18">
        <v>0</v>
      </c>
      <c r="AB161" s="18">
        <v>0</v>
      </c>
      <c r="AC161" s="18"/>
      <c r="AE161" s="1" t="s">
        <v>410</v>
      </c>
      <c r="AF161" s="4">
        <v>4.42</v>
      </c>
      <c r="AG161" s="4">
        <v>4.67</v>
      </c>
    </row>
    <row r="162" spans="1:33" ht="47.25" customHeight="1" x14ac:dyDescent="0.25">
      <c r="A162" s="10" t="s">
        <v>2359</v>
      </c>
      <c r="B162" s="11" t="s">
        <v>33</v>
      </c>
      <c r="C162" s="12" t="s">
        <v>2360</v>
      </c>
      <c r="D162" s="27"/>
      <c r="E162" s="14" t="s">
        <v>35</v>
      </c>
      <c r="F162" s="11" t="str">
        <f>HYPERLINK("https://redirect.sdcdeals.com/redirect?destination=https%3A%2F%2Fwww.amazon.com%2Fdp%2FB09KMRYMSK%3Fth%3D1%26psc%3D1%26tag%3Dsdcdeals03-20", "Amazon Link")</f>
        <v>Amazon Link</v>
      </c>
      <c r="G162" s="11" t="s">
        <v>36</v>
      </c>
      <c r="H162" s="14" t="s">
        <v>2361</v>
      </c>
      <c r="I162" s="11" t="str">
        <f>HYPERLINK("https://redirect.sdcdeals.com/redirect?code=763034&amp;mavely=https://mavely.app.link/e/bhESV2wGrGb&amp;destination=https%3A%2F%2Fwww.kohls.com%2Fsearch.jsp%3Fsubmit-search%3Dweb-regular%26search%3D54082535", "Retail Link")</f>
        <v>Retail Link</v>
      </c>
      <c r="J162" s="14" t="s">
        <v>2362</v>
      </c>
      <c r="K162" s="13" t="s">
        <v>2363</v>
      </c>
      <c r="L162" s="15">
        <v>15.4</v>
      </c>
      <c r="M162" s="15">
        <v>54.74</v>
      </c>
      <c r="N162" s="15">
        <v>24.04900000000001</v>
      </c>
      <c r="O162" s="15">
        <f>V162-M162</f>
        <v>-6.6400000000000006</v>
      </c>
      <c r="P162" s="16">
        <f>N162/L162</f>
        <v>1.5616233766233774</v>
      </c>
      <c r="Q162" s="14">
        <v>1560371</v>
      </c>
      <c r="R162" s="14"/>
      <c r="S162" s="17">
        <v>0.6172936</v>
      </c>
      <c r="T162" s="15">
        <v>46.02</v>
      </c>
      <c r="U162" s="15">
        <v>50.4</v>
      </c>
      <c r="V162" s="15">
        <v>48.1</v>
      </c>
      <c r="W162" s="14" t="s">
        <v>2364</v>
      </c>
      <c r="X162" s="14">
        <v>5</v>
      </c>
      <c r="Y162" s="10">
        <f>AC162-AB162</f>
        <v>25</v>
      </c>
      <c r="Z162" s="18">
        <v>1</v>
      </c>
      <c r="AA162" s="18">
        <v>8</v>
      </c>
      <c r="AB162" s="18">
        <v>7</v>
      </c>
      <c r="AC162" s="18">
        <v>32</v>
      </c>
      <c r="AD162" s="1" t="s">
        <v>2365</v>
      </c>
      <c r="AE162" s="1" t="s">
        <v>2366</v>
      </c>
      <c r="AF162" s="4">
        <v>9.31</v>
      </c>
      <c r="AG162" s="4">
        <v>7.08</v>
      </c>
    </row>
    <row r="163" spans="1:33" ht="47.25" customHeight="1" x14ac:dyDescent="0.25">
      <c r="A163" s="10" t="s">
        <v>6470</v>
      </c>
      <c r="B163" s="11" t="s">
        <v>33</v>
      </c>
      <c r="C163" s="12" t="s">
        <v>6471</v>
      </c>
      <c r="D163" s="27"/>
      <c r="E163" s="14" t="s">
        <v>35</v>
      </c>
      <c r="F163" s="11" t="str">
        <f>HYPERLINK("https://redirect.sdcdeals.com/redirect?destination=https%3A%2F%2Fwww.amazon.com%2Fdp%2FB0CS8GRF3V%3Fth%3D1%26psc%3D1%26tag%3Dsdcdeals03-20", "Amazon Link")</f>
        <v>Amazon Link</v>
      </c>
      <c r="G163" s="11" t="s">
        <v>36</v>
      </c>
      <c r="H163" s="14" t="s">
        <v>6472</v>
      </c>
      <c r="I163" s="11" t="str">
        <f>HYPERLINK("https://redirect.sdcdeals.com/redirect?code=763034&amp;mavely=https://mavely.app.link/e/bhESV2wGrGb&amp;destination=https%3A%2F%2Fwww.kohls.com%2Fsearch.jsp%3Fsubmit-search%3Dweb-regular%26search%3D28180715", "Retail Link")</f>
        <v>Retail Link</v>
      </c>
      <c r="J163" s="14" t="s">
        <v>6473</v>
      </c>
      <c r="K163" s="13" t="s">
        <v>6474</v>
      </c>
      <c r="L163" s="15">
        <v>7.8000000000000007</v>
      </c>
      <c r="M163" s="15">
        <v>28.99</v>
      </c>
      <c r="N163" s="15">
        <v>12.1715</v>
      </c>
      <c r="O163" s="15">
        <f>V163-M163</f>
        <v>8.5700000000000038</v>
      </c>
      <c r="P163" s="16">
        <f>N163/L163</f>
        <v>1.5604487179487179</v>
      </c>
      <c r="Q163" s="14">
        <v>1333464</v>
      </c>
      <c r="R163" s="14"/>
      <c r="S163" s="17">
        <v>0.29982831999999998</v>
      </c>
      <c r="T163" s="15">
        <v>24</v>
      </c>
      <c r="U163" s="15">
        <v>36.92</v>
      </c>
      <c r="V163" s="15">
        <v>37.56</v>
      </c>
      <c r="W163" s="14" t="s">
        <v>786</v>
      </c>
      <c r="X163" s="14">
        <v>2</v>
      </c>
      <c r="Y163" s="10">
        <f>AC163-AB163</f>
        <v>3</v>
      </c>
      <c r="Z163" s="18">
        <v>1</v>
      </c>
      <c r="AA163" s="18">
        <v>6</v>
      </c>
      <c r="AB163" s="18">
        <v>0</v>
      </c>
      <c r="AC163" s="18">
        <v>3</v>
      </c>
      <c r="AE163" s="1" t="s">
        <v>6475</v>
      </c>
      <c r="AF163" s="4">
        <v>4.93</v>
      </c>
      <c r="AG163" s="4">
        <v>4.67</v>
      </c>
    </row>
    <row r="164" spans="1:33" ht="47.25" customHeight="1" x14ac:dyDescent="0.25">
      <c r="A164" s="10" t="s">
        <v>3626</v>
      </c>
      <c r="B164" s="11" t="s">
        <v>33</v>
      </c>
      <c r="C164" s="12" t="s">
        <v>3627</v>
      </c>
      <c r="D164" s="27"/>
      <c r="E164" s="14" t="s">
        <v>35</v>
      </c>
      <c r="F164" s="11" t="str">
        <f>HYPERLINK("https://redirect.sdcdeals.com/redirect?destination=https%3A%2F%2Fwww.amazon.com%2Fdp%2FB08LYWRKYV%3Fth%3D1%26psc%3D1%26tag%3Dsdcdeals03-20", "Amazon Link")</f>
        <v>Amazon Link</v>
      </c>
      <c r="G164" s="11" t="s">
        <v>36</v>
      </c>
      <c r="H164" s="14" t="s">
        <v>3628</v>
      </c>
      <c r="I164" s="11" t="str">
        <f>HYPERLINK("https://redirect.sdcdeals.com/redirect?code=763034&amp;mavely=https://mavely.app.link/e/bhESV2wGrGb&amp;destination=https%3A%2F%2Fwww.kohls.com%2Fsearch.jsp%3Fsubmit-search%3Dweb-regular%26search%3D73826063", "Retail Link")</f>
        <v>Retail Link</v>
      </c>
      <c r="J164" s="14" t="s">
        <v>3555</v>
      </c>
      <c r="K164" s="13" t="s">
        <v>3629</v>
      </c>
      <c r="L164" s="15">
        <v>10.56</v>
      </c>
      <c r="M164" s="15">
        <v>38.729999999999997</v>
      </c>
      <c r="N164" s="15">
        <v>16.4605</v>
      </c>
      <c r="O164" s="15">
        <f>V164-M164</f>
        <v>0</v>
      </c>
      <c r="P164" s="16">
        <f>N164/L164</f>
        <v>1.5587594696969695</v>
      </c>
      <c r="Q164" s="14">
        <v>1878941</v>
      </c>
      <c r="R164" s="14"/>
      <c r="S164" s="17">
        <v>1.0780591799999999</v>
      </c>
      <c r="T164" s="15">
        <v>38.729999999999997</v>
      </c>
      <c r="U164" s="15">
        <v>38.729999999999997</v>
      </c>
      <c r="V164" s="15">
        <v>38.729999999999997</v>
      </c>
      <c r="W164" s="14" t="s">
        <v>164</v>
      </c>
      <c r="X164" s="14">
        <v>2</v>
      </c>
      <c r="Y164" s="10">
        <f>AC164-AB164</f>
        <v>94</v>
      </c>
      <c r="Z164" s="18">
        <v>2</v>
      </c>
      <c r="AA164" s="18">
        <v>3</v>
      </c>
      <c r="AB164" s="18">
        <v>1</v>
      </c>
      <c r="AC164" s="18">
        <v>95</v>
      </c>
      <c r="AD164" s="1" t="s">
        <v>3557</v>
      </c>
      <c r="AE164" s="1" t="s">
        <v>76</v>
      </c>
      <c r="AF164" s="4">
        <v>6.58</v>
      </c>
      <c r="AG164" s="4">
        <v>5.9</v>
      </c>
    </row>
    <row r="165" spans="1:33" ht="47.25" customHeight="1" x14ac:dyDescent="0.25">
      <c r="A165" s="10" t="s">
        <v>3578</v>
      </c>
      <c r="B165" s="11" t="s">
        <v>33</v>
      </c>
      <c r="C165" s="12" t="s">
        <v>3579</v>
      </c>
      <c r="D165" s="27"/>
      <c r="E165" s="14" t="s">
        <v>35</v>
      </c>
      <c r="F165" s="11" t="str">
        <f>HYPERLINK("https://redirect.sdcdeals.com/redirect?destination=https%3A%2F%2Fwww.amazon.com%2Fdp%2FB0792R1P22%3Fth%3D1%26psc%3D1%26tag%3Dsdcdeals03-20", "Amazon Link")</f>
        <v>Amazon Link</v>
      </c>
      <c r="G165" s="11" t="s">
        <v>36</v>
      </c>
      <c r="H165" s="14" t="s">
        <v>3580</v>
      </c>
      <c r="I165" s="11" t="str">
        <f>HYPERLINK("https://redirect.sdcdeals.com/redirect?code=763034&amp;mavely=https://mavely.app.link/e/bhESV2wGrGb&amp;destination=https%3A%2F%2Fwww.kohls.com%2Fsearch.jsp%3Fsubmit-search%3Dweb-regular%26search%3D63989885", "Retail Link")</f>
        <v>Retail Link</v>
      </c>
      <c r="J165" s="14" t="s">
        <v>3555</v>
      </c>
      <c r="K165" s="13" t="s">
        <v>3581</v>
      </c>
      <c r="L165" s="15">
        <v>10.56</v>
      </c>
      <c r="M165" s="15">
        <v>39.479999999999997</v>
      </c>
      <c r="N165" s="15">
        <v>16.398</v>
      </c>
      <c r="O165" s="15">
        <f>V165-M165</f>
        <v>5.5</v>
      </c>
      <c r="P165" s="16">
        <f>N165/L165</f>
        <v>1.552840909090909</v>
      </c>
      <c r="Q165" s="14">
        <v>1889145</v>
      </c>
      <c r="R165" s="14"/>
      <c r="S165" s="17">
        <v>0.74957079999999998</v>
      </c>
      <c r="T165" s="15">
        <v>38.729999999999997</v>
      </c>
      <c r="U165" s="15">
        <v>44.98</v>
      </c>
      <c r="V165" s="15">
        <v>44.98</v>
      </c>
      <c r="W165" s="14" t="s">
        <v>3253</v>
      </c>
      <c r="X165" s="14">
        <v>1</v>
      </c>
      <c r="Y165" s="10">
        <f>AC165-AB165</f>
        <v>94</v>
      </c>
      <c r="Z165" s="18">
        <v>2</v>
      </c>
      <c r="AA165" s="18">
        <v>8</v>
      </c>
      <c r="AB165" s="18">
        <v>1</v>
      </c>
      <c r="AC165" s="18">
        <v>95</v>
      </c>
      <c r="AD165" s="1" t="s">
        <v>3557</v>
      </c>
      <c r="AE165" s="1" t="s">
        <v>3567</v>
      </c>
      <c r="AF165" s="4">
        <v>6.72</v>
      </c>
      <c r="AG165" s="4">
        <v>6.6</v>
      </c>
    </row>
    <row r="166" spans="1:33" ht="47.25" customHeight="1" x14ac:dyDescent="0.25">
      <c r="A166" s="10" t="s">
        <v>3019</v>
      </c>
      <c r="B166" s="11" t="s">
        <v>33</v>
      </c>
      <c r="C166" s="12" t="s">
        <v>3020</v>
      </c>
      <c r="D166" s="27"/>
      <c r="E166" s="14" t="s">
        <v>35</v>
      </c>
      <c r="F166" s="11" t="str">
        <f>HYPERLINK("https://redirect.sdcdeals.com/redirect?destination=https%3A%2F%2Fwww.amazon.com%2Fdp%2FB07N7P3ZJQ%3Fth%3D1%26psc%3D1%26tag%3Dsdcdeals03-20", "Amazon Link")</f>
        <v>Amazon Link</v>
      </c>
      <c r="G166" s="11" t="s">
        <v>36</v>
      </c>
      <c r="H166" s="14" t="s">
        <v>3021</v>
      </c>
      <c r="I166" s="11" t="str">
        <f>HYPERLINK("https://redirect.sdcdeals.com/redirect?code=763034&amp;mavely=https://mavely.app.link/e/bhESV2wGrGb&amp;destination=https%3A%2F%2Fwww.kohls.com%2Fsearch.jsp%3Fsubmit-search%3Dweb-regular%26search%3D49891013", "Retail Link")</f>
        <v>Retail Link</v>
      </c>
      <c r="J166" s="14" t="s">
        <v>3012</v>
      </c>
      <c r="K166" s="13" t="s">
        <v>3022</v>
      </c>
      <c r="L166" s="15">
        <v>10.4</v>
      </c>
      <c r="M166" s="15">
        <v>38.35</v>
      </c>
      <c r="N166" s="15">
        <v>16.057500000000001</v>
      </c>
      <c r="O166" s="15">
        <f>V166-M166</f>
        <v>0.44999999999999574</v>
      </c>
      <c r="P166" s="16">
        <f>N166/L166</f>
        <v>1.5439903846153846</v>
      </c>
      <c r="Q166" s="14">
        <v>254478</v>
      </c>
      <c r="R166" s="14"/>
      <c r="S166" s="17">
        <v>0.74957079999999998</v>
      </c>
      <c r="T166" s="15">
        <v>38.35</v>
      </c>
      <c r="U166" s="15">
        <v>40.1</v>
      </c>
      <c r="V166" s="15">
        <v>38.799999999999997</v>
      </c>
      <c r="W166" s="14" t="s">
        <v>3023</v>
      </c>
      <c r="X166" s="14">
        <v>1</v>
      </c>
      <c r="Y166" s="10">
        <f>AC166-AB166</f>
        <v>229</v>
      </c>
      <c r="Z166" s="18">
        <v>13</v>
      </c>
      <c r="AA166" s="18">
        <v>56</v>
      </c>
      <c r="AB166" s="18">
        <v>19</v>
      </c>
      <c r="AC166" s="18">
        <v>248</v>
      </c>
      <c r="AD166" s="1" t="s">
        <v>3014</v>
      </c>
      <c r="AE166" s="1" t="s">
        <v>935</v>
      </c>
      <c r="AF166" s="4">
        <v>6.52</v>
      </c>
      <c r="AG166" s="4">
        <v>6.14</v>
      </c>
    </row>
    <row r="167" spans="1:33" ht="47.25" customHeight="1" x14ac:dyDescent="0.25">
      <c r="A167" s="10" t="s">
        <v>4535</v>
      </c>
      <c r="B167" s="11" t="s">
        <v>33</v>
      </c>
      <c r="C167" s="12" t="s">
        <v>4536</v>
      </c>
      <c r="D167" s="27"/>
      <c r="E167" s="14" t="s">
        <v>35</v>
      </c>
      <c r="F167" s="11" t="str">
        <f>HYPERLINK("https://redirect.sdcdeals.com/redirect?destination=https%3A%2F%2Fwww.amazon.com%2Fdp%2FB0B1JTQ4N2%3Fth%3D1%26psc%3D1%26tag%3Dsdcdeals03-20", "Amazon Link")</f>
        <v>Amazon Link</v>
      </c>
      <c r="G167" s="11" t="s">
        <v>36</v>
      </c>
      <c r="H167" s="14" t="s">
        <v>4537</v>
      </c>
      <c r="I167" s="11" t="str">
        <f>HYPERLINK("https://redirect.sdcdeals.com/redirect?code=763034&amp;mavely=https://mavely.app.link/e/bhESV2wGrGb&amp;destination=https%3A%2F%2Fwww.kohls.com%2Fsearch.jsp%3Fsubmit-search%3Dweb-regular%26search%3D39483099", "Retail Link")</f>
        <v>Retail Link</v>
      </c>
      <c r="J167" s="14" t="s">
        <v>4347</v>
      </c>
      <c r="K167" s="13" t="s">
        <v>4538</v>
      </c>
      <c r="L167" s="15">
        <v>20.847999999999999</v>
      </c>
      <c r="M167" s="15">
        <v>69.5</v>
      </c>
      <c r="N167" s="15">
        <v>32.177</v>
      </c>
      <c r="O167" s="15">
        <f>V167-M167</f>
        <v>-14.54</v>
      </c>
      <c r="P167" s="16">
        <f>N167/L167</f>
        <v>1.5434094397544129</v>
      </c>
      <c r="Q167" s="14">
        <v>846</v>
      </c>
      <c r="R167" s="14"/>
      <c r="S167" s="17">
        <v>1.6997620200000001</v>
      </c>
      <c r="T167" s="15">
        <v>69.5</v>
      </c>
      <c r="U167" s="15">
        <v>57.9</v>
      </c>
      <c r="V167" s="15">
        <v>54.96</v>
      </c>
      <c r="W167" s="14" t="s">
        <v>352</v>
      </c>
      <c r="X167" s="14">
        <v>1</v>
      </c>
      <c r="Y167" s="10">
        <f>AC167-AB167</f>
        <v>47605</v>
      </c>
      <c r="Z167" s="18">
        <v>43</v>
      </c>
      <c r="AA167" s="18">
        <v>111</v>
      </c>
      <c r="AB167" s="18">
        <v>0</v>
      </c>
      <c r="AC167" s="18">
        <v>47605</v>
      </c>
      <c r="AD167" s="1" t="s">
        <v>4349</v>
      </c>
      <c r="AE167" s="1" t="s">
        <v>4350</v>
      </c>
      <c r="AF167" s="4">
        <v>11.82</v>
      </c>
      <c r="AG167" s="4">
        <v>6.05</v>
      </c>
    </row>
    <row r="168" spans="1:33" ht="47.25" customHeight="1" x14ac:dyDescent="0.25">
      <c r="A168" s="10" t="s">
        <v>4344</v>
      </c>
      <c r="B168" s="11" t="s">
        <v>33</v>
      </c>
      <c r="C168" s="12" t="s">
        <v>4345</v>
      </c>
      <c r="D168" s="27"/>
      <c r="E168" s="14" t="s">
        <v>35</v>
      </c>
      <c r="F168" s="11" t="str">
        <f>HYPERLINK("https://redirect.sdcdeals.com/redirect?destination=https%3A%2F%2Fwww.amazon.com%2Fdp%2FB0B1KSQRWH%3Fth%3D1%26psc%3D1%26tag%3Dsdcdeals03-20", "Amazon Link")</f>
        <v>Amazon Link</v>
      </c>
      <c r="G168" s="11" t="s">
        <v>36</v>
      </c>
      <c r="H168" s="14" t="s">
        <v>4346</v>
      </c>
      <c r="I168" s="11" t="str">
        <f>HYPERLINK("https://redirect.sdcdeals.com/redirect?code=763034&amp;mavely=https://mavely.app.link/e/bhESV2wGrGb&amp;destination=https%3A%2F%2Fwww.kohls.com%2Fsearch.jsp%3Fsubmit-search%3Dweb-regular%26search%3D39483043", "Retail Link")</f>
        <v>Retail Link</v>
      </c>
      <c r="J168" s="14" t="s">
        <v>4347</v>
      </c>
      <c r="K168" s="13" t="s">
        <v>4348</v>
      </c>
      <c r="L168" s="15">
        <v>20.847999999999999</v>
      </c>
      <c r="M168" s="15">
        <v>69.5</v>
      </c>
      <c r="N168" s="15">
        <v>32.087000000000003</v>
      </c>
      <c r="O168" s="15">
        <f>V168-M168</f>
        <v>-13.030000000000001</v>
      </c>
      <c r="P168" s="16">
        <f>N168/L168</f>
        <v>1.5390924788948583</v>
      </c>
      <c r="Q168" s="14">
        <v>798</v>
      </c>
      <c r="R168" s="14"/>
      <c r="S168" s="17">
        <v>1.1882901800000001</v>
      </c>
      <c r="T168" s="15">
        <v>69.5</v>
      </c>
      <c r="U168" s="15">
        <v>59.13</v>
      </c>
      <c r="V168" s="15">
        <v>56.47</v>
      </c>
      <c r="W168" s="14" t="s">
        <v>88</v>
      </c>
      <c r="X168" s="14">
        <v>1</v>
      </c>
      <c r="Y168" s="10">
        <f>AC168-AB168</f>
        <v>47596</v>
      </c>
      <c r="Z168" s="18">
        <v>47</v>
      </c>
      <c r="AA168" s="18">
        <v>125</v>
      </c>
      <c r="AB168" s="18">
        <v>0</v>
      </c>
      <c r="AC168" s="18">
        <v>47596</v>
      </c>
      <c r="AD168" s="1" t="s">
        <v>4349</v>
      </c>
      <c r="AE168" s="1" t="s">
        <v>4350</v>
      </c>
      <c r="AF168" s="4">
        <v>11.82</v>
      </c>
      <c r="AG168" s="4">
        <v>6.14</v>
      </c>
    </row>
    <row r="169" spans="1:33" ht="47.25" customHeight="1" x14ac:dyDescent="0.25">
      <c r="A169" s="10" t="s">
        <v>5695</v>
      </c>
      <c r="B169" s="11" t="s">
        <v>33</v>
      </c>
      <c r="C169" s="12" t="s">
        <v>5696</v>
      </c>
      <c r="D169" s="27"/>
      <c r="E169" s="14" t="s">
        <v>35</v>
      </c>
      <c r="F169" s="11" t="str">
        <f>HYPERLINK("https://redirect.sdcdeals.com/redirect?destination=https%3A%2F%2Fwww.amazon.com%2Fdp%2FB0C5JZJQVS%3Fth%3D1%26psc%3D1%26tag%3Dsdcdeals03-20", "Amazon Link")</f>
        <v>Amazon Link</v>
      </c>
      <c r="G169" s="11" t="s">
        <v>36</v>
      </c>
      <c r="H169" s="14" t="s">
        <v>5697</v>
      </c>
      <c r="I169" s="11" t="str">
        <f>HYPERLINK("https://redirect.sdcdeals.com/redirect?code=763034&amp;mavely=https://mavely.app.link/e/bhESV2wGrGb&amp;destination=https%3A%2F%2Fwww.kohls.com%2Fsearch.jsp%3Fsubmit-search%3Dweb-regular%26search%3D29315640", "Retail Link")</f>
        <v>Retail Link</v>
      </c>
      <c r="J169" s="14" t="s">
        <v>5691</v>
      </c>
      <c r="K169" s="13" t="s">
        <v>5692</v>
      </c>
      <c r="L169" s="15">
        <v>8.4</v>
      </c>
      <c r="M169" s="15">
        <v>30.46</v>
      </c>
      <c r="N169" s="15">
        <v>12.881</v>
      </c>
      <c r="O169" s="15">
        <f>V169-M169</f>
        <v>2.8800000000000026</v>
      </c>
      <c r="P169" s="16">
        <f>N169/L169</f>
        <v>1.533452380952381</v>
      </c>
      <c r="Q169" s="14">
        <v>182282</v>
      </c>
      <c r="R169" s="14"/>
      <c r="S169" s="17">
        <v>0.25353130000000001</v>
      </c>
      <c r="T169" s="15">
        <v>21.57</v>
      </c>
      <c r="U169" s="15">
        <v>35.33</v>
      </c>
      <c r="V169" s="15">
        <v>33.340000000000003</v>
      </c>
      <c r="W169" s="14" t="s">
        <v>1852</v>
      </c>
      <c r="X169" s="14">
        <v>4</v>
      </c>
      <c r="Y169" s="10">
        <f>AC169-AB169</f>
        <v>90</v>
      </c>
      <c r="Z169" s="18">
        <v>39</v>
      </c>
      <c r="AA169" s="18">
        <v>84</v>
      </c>
      <c r="AB169" s="18">
        <v>0</v>
      </c>
      <c r="AC169" s="18">
        <v>90</v>
      </c>
      <c r="AD169" s="1" t="s">
        <v>5693</v>
      </c>
      <c r="AE169" s="1" t="s">
        <v>5694</v>
      </c>
      <c r="AF169" s="4">
        <v>5.18</v>
      </c>
      <c r="AG169" s="4">
        <v>4.6100000000000003</v>
      </c>
    </row>
    <row r="170" spans="1:33" ht="47.25" customHeight="1" x14ac:dyDescent="0.25">
      <c r="A170" s="10" t="s">
        <v>6922</v>
      </c>
      <c r="B170" s="11" t="s">
        <v>33</v>
      </c>
      <c r="C170" s="12" t="s">
        <v>6923</v>
      </c>
      <c r="D170" s="27"/>
      <c r="E170" s="14" t="s">
        <v>35</v>
      </c>
      <c r="F170" s="11" t="str">
        <f>HYPERLINK("https://redirect.sdcdeals.com/redirect?destination=https%3A%2F%2Fwww.amazon.com%2Fdp%2FB096B64DLT%3Fth%3D1%26psc%3D1%26tag%3Dsdcdeals03-20", "Amazon Link")</f>
        <v>Amazon Link</v>
      </c>
      <c r="G170" s="11" t="s">
        <v>36</v>
      </c>
      <c r="H170" s="14" t="s">
        <v>6924</v>
      </c>
      <c r="I170" s="11" t="str">
        <f>HYPERLINK("https://redirect.sdcdeals.com/redirect?code=763034&amp;mavely=https://mavely.app.link/e/bhESV2wGrGb&amp;destination=https%3A%2F%2Fwww.kohls.com%2Fsearch.jsp%3Fsubmit-search%3Dweb-regular%26search%3D80326855", "Retail Link")</f>
        <v>Retail Link</v>
      </c>
      <c r="J170" s="14" t="s">
        <v>6925</v>
      </c>
      <c r="K170" s="13" t="s">
        <v>6926</v>
      </c>
      <c r="L170" s="15">
        <v>12</v>
      </c>
      <c r="M170" s="15">
        <v>42</v>
      </c>
      <c r="N170" s="15">
        <v>18.329999999999991</v>
      </c>
      <c r="O170" s="15">
        <f>V170-M170</f>
        <v>1.6700000000000017</v>
      </c>
      <c r="P170" s="16">
        <f>N170/L170</f>
        <v>1.5274999999999992</v>
      </c>
      <c r="Q170" s="14">
        <v>126330</v>
      </c>
      <c r="R170" s="14"/>
      <c r="S170" s="17">
        <v>0.70988764000000004</v>
      </c>
      <c r="T170" s="15">
        <v>42</v>
      </c>
      <c r="U170" s="15">
        <v>39.840000000000003</v>
      </c>
      <c r="V170" s="15">
        <v>43.67</v>
      </c>
      <c r="W170" s="14" t="s">
        <v>742</v>
      </c>
      <c r="X170" s="14">
        <v>1</v>
      </c>
      <c r="Y170" s="10">
        <f>AC170-AB170</f>
        <v>376</v>
      </c>
      <c r="Z170" s="18">
        <v>25</v>
      </c>
      <c r="AA170" s="18">
        <v>55</v>
      </c>
      <c r="AB170" s="18">
        <v>1</v>
      </c>
      <c r="AC170" s="18">
        <v>377</v>
      </c>
      <c r="AD170" s="1" t="s">
        <v>6927</v>
      </c>
      <c r="AE170" s="1" t="s">
        <v>6928</v>
      </c>
      <c r="AF170" s="4">
        <v>6.3</v>
      </c>
      <c r="AG170" s="4">
        <v>5.37</v>
      </c>
    </row>
    <row r="171" spans="1:33" ht="47.25" customHeight="1" x14ac:dyDescent="0.25">
      <c r="A171" s="10" t="s">
        <v>1523</v>
      </c>
      <c r="B171" s="11" t="s">
        <v>33</v>
      </c>
      <c r="C171" s="12" t="s">
        <v>1524</v>
      </c>
      <c r="D171" s="27"/>
      <c r="E171" s="14" t="s">
        <v>35</v>
      </c>
      <c r="F171" s="11" t="str">
        <f>HYPERLINK("https://redirect.sdcdeals.com/redirect?destination=https%3A%2F%2Fwww.amazon.com%2Fdp%2FB0BM1HNCKV%3Fth%3D1%26psc%3D1%26tag%3Dsdcdeals03-20", "Amazon Link")</f>
        <v>Amazon Link</v>
      </c>
      <c r="G171" s="11" t="s">
        <v>36</v>
      </c>
      <c r="H171" s="14" t="s">
        <v>1525</v>
      </c>
      <c r="I171" s="11" t="str">
        <f>HYPERLINK("https://redirect.sdcdeals.com/redirect?code=763034&amp;mavely=https://mavely.app.link/e/bhESV2wGrGb&amp;destination=https%3A%2F%2Fwww.kohls.com%2Fsearch.jsp%3Fsubmit-search%3Dweb-regular%26search%3D18839969", "Retail Link")</f>
        <v>Retail Link</v>
      </c>
      <c r="J171" s="14" t="s">
        <v>1517</v>
      </c>
      <c r="K171" s="13" t="s">
        <v>1526</v>
      </c>
      <c r="L171" s="15">
        <v>5.9920000000000009</v>
      </c>
      <c r="M171" s="15">
        <v>26.98</v>
      </c>
      <c r="N171" s="15">
        <v>9.1409999999999982</v>
      </c>
      <c r="O171" s="15">
        <f>V171-M171</f>
        <v>-6.129999999999999</v>
      </c>
      <c r="P171" s="16">
        <f>N171/L171</f>
        <v>1.525534045393858</v>
      </c>
      <c r="Q171" s="14">
        <v>143809</v>
      </c>
      <c r="R171" s="14"/>
      <c r="S171" s="17">
        <v>0.20062041999999999</v>
      </c>
      <c r="T171" s="15">
        <v>19.989999999999998</v>
      </c>
      <c r="U171" s="15">
        <v>21.72</v>
      </c>
      <c r="V171" s="15">
        <v>20.85</v>
      </c>
      <c r="W171" s="14" t="s">
        <v>245</v>
      </c>
      <c r="X171" s="14">
        <v>2</v>
      </c>
      <c r="Y171" s="10">
        <f>AC171-AB171</f>
        <v>31</v>
      </c>
      <c r="Z171" s="18">
        <v>5</v>
      </c>
      <c r="AA171" s="18">
        <v>20</v>
      </c>
      <c r="AB171" s="18">
        <v>1</v>
      </c>
      <c r="AC171" s="18">
        <v>32</v>
      </c>
      <c r="AE171" s="1" t="s">
        <v>145</v>
      </c>
      <c r="AF171" s="4">
        <v>4.05</v>
      </c>
      <c r="AG171" s="4">
        <v>7.8</v>
      </c>
    </row>
    <row r="172" spans="1:33" ht="47.25" customHeight="1" x14ac:dyDescent="0.25">
      <c r="A172" s="10" t="s">
        <v>5688</v>
      </c>
      <c r="B172" s="11" t="s">
        <v>33</v>
      </c>
      <c r="C172" s="12" t="s">
        <v>5689</v>
      </c>
      <c r="D172" s="27"/>
      <c r="E172" s="14" t="s">
        <v>35</v>
      </c>
      <c r="F172" s="11" t="str">
        <f>HYPERLINK("https://redirect.sdcdeals.com/redirect?destination=https%3A%2F%2Fwww.amazon.com%2Fdp%2FB0C5JWYHFN%3Fth%3D1%26psc%3D1%26tag%3Dsdcdeals03-20", "Amazon Link")</f>
        <v>Amazon Link</v>
      </c>
      <c r="G172" s="11" t="s">
        <v>36</v>
      </c>
      <c r="H172" s="14" t="s">
        <v>5690</v>
      </c>
      <c r="I172" s="11" t="str">
        <f>HYPERLINK("https://redirect.sdcdeals.com/redirect?code=763034&amp;mavely=https://mavely.app.link/e/bhESV2wGrGb&amp;destination=https%3A%2F%2Fwww.kohls.com%2Fsearch.jsp%3Fsubmit-search%3Dweb-regular%26search%3D29315631", "Retail Link")</f>
        <v>Retail Link</v>
      </c>
      <c r="J172" s="14" t="s">
        <v>5691</v>
      </c>
      <c r="K172" s="13" t="s">
        <v>5692</v>
      </c>
      <c r="L172" s="15">
        <v>8.4</v>
      </c>
      <c r="M172" s="15">
        <v>30.36</v>
      </c>
      <c r="N172" s="15">
        <v>12.795999999999999</v>
      </c>
      <c r="O172" s="15">
        <f>V172-M172</f>
        <v>-1.5</v>
      </c>
      <c r="P172" s="16">
        <f>N172/L172</f>
        <v>1.5233333333333332</v>
      </c>
      <c r="Q172" s="14">
        <v>182282</v>
      </c>
      <c r="R172" s="14"/>
      <c r="S172" s="17">
        <v>0.24250820000000001</v>
      </c>
      <c r="T172" s="15">
        <v>21.57</v>
      </c>
      <c r="U172" s="15">
        <v>31.78</v>
      </c>
      <c r="V172" s="15">
        <v>28.86</v>
      </c>
      <c r="W172" s="14" t="s">
        <v>385</v>
      </c>
      <c r="X172" s="14">
        <v>3</v>
      </c>
      <c r="Y172" s="10">
        <f>AC172-AB172</f>
        <v>90</v>
      </c>
      <c r="Z172" s="18">
        <v>29</v>
      </c>
      <c r="AA172" s="18">
        <v>80</v>
      </c>
      <c r="AB172" s="18">
        <v>0</v>
      </c>
      <c r="AC172" s="18">
        <v>90</v>
      </c>
      <c r="AD172" s="1" t="s">
        <v>5693</v>
      </c>
      <c r="AE172" s="1" t="s">
        <v>5694</v>
      </c>
      <c r="AF172" s="4">
        <v>5.16</v>
      </c>
      <c r="AG172" s="4">
        <v>4.6100000000000003</v>
      </c>
    </row>
    <row r="173" spans="1:33" ht="47.25" customHeight="1" x14ac:dyDescent="0.25">
      <c r="A173" s="10" t="s">
        <v>4507</v>
      </c>
      <c r="B173" s="11" t="s">
        <v>33</v>
      </c>
      <c r="C173" s="12" t="s">
        <v>4508</v>
      </c>
      <c r="D173" s="27"/>
      <c r="E173" s="14" t="s">
        <v>35</v>
      </c>
      <c r="F173" s="11" t="str">
        <f>HYPERLINK("https://redirect.sdcdeals.com/redirect?destination=https%3A%2F%2Fwww.amazon.com%2Fdp%2FB0B1KR3QH2%3Fth%3D1%26psc%3D1%26tag%3Dsdcdeals03-20", "Amazon Link")</f>
        <v>Amazon Link</v>
      </c>
      <c r="G173" s="11" t="s">
        <v>36</v>
      </c>
      <c r="H173" s="14" t="s">
        <v>4509</v>
      </c>
      <c r="I173" s="11" t="str">
        <f>HYPERLINK("https://redirect.sdcdeals.com/redirect?code=763034&amp;mavely=https://mavely.app.link/e/bhESV2wGrGb&amp;destination=https%3A%2F%2Fwww.kohls.com%2Fsearch.jsp%3Fsubmit-search%3Dweb-regular%26search%3D39483092", "Retail Link")</f>
        <v>Retail Link</v>
      </c>
      <c r="J173" s="14" t="s">
        <v>4347</v>
      </c>
      <c r="K173" s="13" t="s">
        <v>4510</v>
      </c>
      <c r="L173" s="15">
        <v>20.847999999999999</v>
      </c>
      <c r="M173" s="15">
        <v>69.5</v>
      </c>
      <c r="N173" s="15">
        <v>31.556999999999999</v>
      </c>
      <c r="O173" s="15">
        <f>V173-M173</f>
        <v>-13.799999999999997</v>
      </c>
      <c r="P173" s="16">
        <f>N173/L173</f>
        <v>1.513670376055257</v>
      </c>
      <c r="Q173" s="14">
        <v>846</v>
      </c>
      <c r="R173" s="14"/>
      <c r="S173" s="17">
        <v>1.5410293799999999</v>
      </c>
      <c r="T173" s="15">
        <v>69.5</v>
      </c>
      <c r="U173" s="15">
        <v>58.91</v>
      </c>
      <c r="V173" s="15">
        <v>55.7</v>
      </c>
      <c r="W173" s="14" t="s">
        <v>269</v>
      </c>
      <c r="X173" s="14">
        <v>1</v>
      </c>
      <c r="Y173" s="10">
        <f>AC173-AB173</f>
        <v>47596</v>
      </c>
      <c r="Z173" s="18">
        <v>42</v>
      </c>
      <c r="AA173" s="18">
        <v>116</v>
      </c>
      <c r="AB173" s="18">
        <v>0</v>
      </c>
      <c r="AC173" s="18">
        <v>47596</v>
      </c>
      <c r="AD173" s="1" t="s">
        <v>4349</v>
      </c>
      <c r="AE173" s="1" t="s">
        <v>4350</v>
      </c>
      <c r="AF173" s="4">
        <v>11.82</v>
      </c>
      <c r="AG173" s="4">
        <v>6.67</v>
      </c>
    </row>
    <row r="174" spans="1:33" ht="47.25" customHeight="1" x14ac:dyDescent="0.25">
      <c r="A174" s="10" t="s">
        <v>7227</v>
      </c>
      <c r="B174" s="11" t="s">
        <v>33</v>
      </c>
      <c r="C174" s="12" t="s">
        <v>7228</v>
      </c>
      <c r="D174" s="27"/>
      <c r="E174" s="14" t="s">
        <v>35</v>
      </c>
      <c r="F174" s="11" t="str">
        <f>HYPERLINK("https://redirect.sdcdeals.com/redirect?destination=https%3A%2F%2Fwww.amazon.com%2Fdp%2FB0CP2V5WBW%3Fth%3D1%26psc%3D1%26tag%3Dsdcdeals03-20", "Amazon Link")</f>
        <v>Amazon Link</v>
      </c>
      <c r="G174" s="11" t="s">
        <v>36</v>
      </c>
      <c r="H174" s="14" t="s">
        <v>7229</v>
      </c>
      <c r="I174" s="11" t="str">
        <f>HYPERLINK("https://redirect.sdcdeals.com/redirect?code=763034&amp;mavely=https://mavely.app.link/e/bhESV2wGrGb&amp;destination=https%3A%2F%2Fwww.kohls.com%2Fsearch.jsp%3Fsubmit-search%3Dweb-regular%26search%3D29846866", "Retail Link")</f>
        <v>Retail Link</v>
      </c>
      <c r="J174" s="14" t="s">
        <v>7230</v>
      </c>
      <c r="K174" s="13" t="s">
        <v>7231</v>
      </c>
      <c r="L174" s="15">
        <v>6.7200000000000006</v>
      </c>
      <c r="M174" s="15">
        <v>26.95</v>
      </c>
      <c r="N174" s="15">
        <v>10.137499999999999</v>
      </c>
      <c r="O174" s="15">
        <f>V174-M174</f>
        <v>3.3200000000000003</v>
      </c>
      <c r="P174" s="16">
        <f>N174/L174</f>
        <v>1.5085565476190474</v>
      </c>
      <c r="Q174" s="14">
        <v>1376983</v>
      </c>
      <c r="R174" s="14"/>
      <c r="S174" s="17">
        <v>0.50044874000000006</v>
      </c>
      <c r="T174" s="15">
        <v>26.95</v>
      </c>
      <c r="U174" s="15"/>
      <c r="V174" s="15">
        <v>30.27</v>
      </c>
      <c r="W174" s="14" t="s">
        <v>144</v>
      </c>
      <c r="X174" s="14">
        <v>2</v>
      </c>
      <c r="Y174" s="10">
        <f>AC174-AB174</f>
        <v>23</v>
      </c>
      <c r="Z174" s="18">
        <v>3</v>
      </c>
      <c r="AA174" s="18">
        <v>32</v>
      </c>
      <c r="AB174" s="18">
        <v>0</v>
      </c>
      <c r="AC174" s="18">
        <v>23</v>
      </c>
      <c r="AE174" s="1" t="s">
        <v>935</v>
      </c>
      <c r="AG174" s="4">
        <v>6.05</v>
      </c>
    </row>
    <row r="175" spans="1:33" ht="47.25" customHeight="1" x14ac:dyDescent="0.25">
      <c r="A175" s="10" t="s">
        <v>812</v>
      </c>
      <c r="B175" s="11" t="s">
        <v>33</v>
      </c>
      <c r="C175" s="12" t="s">
        <v>813</v>
      </c>
      <c r="D175" s="27"/>
      <c r="E175" s="14" t="s">
        <v>35</v>
      </c>
      <c r="F175" s="11" t="str">
        <f>HYPERLINK("https://redirect.sdcdeals.com/redirect?destination=https%3A%2F%2Fwww.amazon.com%2Fdp%2FB0B1KW1N4T%3Fth%3D1%26psc%3D1%26tag%3Dsdcdeals03-20", "Amazon Link")</f>
        <v>Amazon Link</v>
      </c>
      <c r="G175" s="11" t="s">
        <v>36</v>
      </c>
      <c r="H175" s="14" t="s">
        <v>814</v>
      </c>
      <c r="I175" s="11" t="str">
        <f>HYPERLINK("https://redirect.sdcdeals.com/redirect?code=763034&amp;mavely=https://mavely.app.link/e/bhESV2wGrGb&amp;destination=https%3A%2F%2Fwww.kohls.com%2Fsearch.jsp%3Fsubmit-search%3Dweb-regular%26search%3D20552257", "Retail Link")</f>
        <v>Retail Link</v>
      </c>
      <c r="J175" s="14" t="s">
        <v>815</v>
      </c>
      <c r="K175" s="13" t="s">
        <v>816</v>
      </c>
      <c r="L175" s="15">
        <v>20.847999999999999</v>
      </c>
      <c r="M175" s="15">
        <v>69.5</v>
      </c>
      <c r="N175" s="15">
        <v>31.416999999999991</v>
      </c>
      <c r="O175" s="15">
        <f>V175-M175</f>
        <v>-13.950000000000003</v>
      </c>
      <c r="P175" s="16">
        <f>N175/L175</f>
        <v>1.5069551036070603</v>
      </c>
      <c r="Q175" s="14">
        <v>5482</v>
      </c>
      <c r="R175" s="14"/>
      <c r="S175" s="17">
        <v>1.6093725999999999</v>
      </c>
      <c r="T175" s="15">
        <v>69.5</v>
      </c>
      <c r="U175" s="15">
        <v>54.19</v>
      </c>
      <c r="V175" s="15">
        <v>55.55</v>
      </c>
      <c r="W175" s="14" t="s">
        <v>255</v>
      </c>
      <c r="X175" s="14">
        <v>1</v>
      </c>
      <c r="Y175" s="10">
        <f>AC175-AB175</f>
        <v>21832</v>
      </c>
      <c r="Z175" s="18">
        <v>53</v>
      </c>
      <c r="AA175" s="18">
        <v>165</v>
      </c>
      <c r="AB175" s="18">
        <v>0</v>
      </c>
      <c r="AC175" s="18">
        <v>21832</v>
      </c>
      <c r="AD175" s="1" t="s">
        <v>817</v>
      </c>
      <c r="AE175" s="1" t="s">
        <v>818</v>
      </c>
      <c r="AF175" s="4">
        <v>11.82</v>
      </c>
      <c r="AG175" s="4">
        <v>6.81</v>
      </c>
    </row>
    <row r="176" spans="1:33" ht="47.25" customHeight="1" x14ac:dyDescent="0.25">
      <c r="A176" s="10" t="s">
        <v>4365</v>
      </c>
      <c r="B176" s="11" t="s">
        <v>33</v>
      </c>
      <c r="C176" s="12" t="s">
        <v>4366</v>
      </c>
      <c r="D176" s="27"/>
      <c r="E176" s="14" t="s">
        <v>35</v>
      </c>
      <c r="F176" s="11" t="str">
        <f>HYPERLINK("https://redirect.sdcdeals.com/redirect?destination=https%3A%2F%2Fwww.amazon.com%2Fdp%2FB0B1KGYDGR%3Fth%3D1%26psc%3D1%26tag%3Dsdcdeals03-20", "Amazon Link")</f>
        <v>Amazon Link</v>
      </c>
      <c r="G176" s="11" t="s">
        <v>36</v>
      </c>
      <c r="H176" s="14" t="s">
        <v>4367</v>
      </c>
      <c r="I176" s="11" t="str">
        <f>HYPERLINK("https://redirect.sdcdeals.com/redirect?code=763034&amp;mavely=https://mavely.app.link/e/bhESV2wGrGb&amp;destination=https%3A%2F%2Fwww.kohls.com%2Fsearch.jsp%3Fsubmit-search%3Dweb-regular%26search%3D39483049", "Retail Link")</f>
        <v>Retail Link</v>
      </c>
      <c r="J176" s="14" t="s">
        <v>4347</v>
      </c>
      <c r="K176" s="13" t="s">
        <v>4368</v>
      </c>
      <c r="L176" s="15">
        <v>20.847999999999999</v>
      </c>
      <c r="M176" s="15">
        <v>69.5</v>
      </c>
      <c r="N176" s="15">
        <v>31.416999999999991</v>
      </c>
      <c r="O176" s="15">
        <f>V176-M176</f>
        <v>-14.549999999999997</v>
      </c>
      <c r="P176" s="16">
        <f>N176/L176</f>
        <v>1.5069551036070603</v>
      </c>
      <c r="Q176" s="14">
        <v>846</v>
      </c>
      <c r="R176" s="14"/>
      <c r="S176" s="17">
        <v>1.2125410000000001</v>
      </c>
      <c r="T176" s="15">
        <v>69.5</v>
      </c>
      <c r="U176" s="15">
        <v>58.94</v>
      </c>
      <c r="V176" s="15">
        <v>54.95</v>
      </c>
      <c r="W176" s="14" t="s">
        <v>282</v>
      </c>
      <c r="X176" s="14">
        <v>1</v>
      </c>
      <c r="Y176" s="10">
        <f>AC176-AB176</f>
        <v>47595</v>
      </c>
      <c r="Z176" s="18">
        <v>48</v>
      </c>
      <c r="AA176" s="18">
        <v>133</v>
      </c>
      <c r="AB176" s="18">
        <v>1</v>
      </c>
      <c r="AC176" s="18">
        <v>47596</v>
      </c>
      <c r="AD176" s="1" t="s">
        <v>4349</v>
      </c>
      <c r="AE176" s="1" t="s">
        <v>4350</v>
      </c>
      <c r="AF176" s="4">
        <v>11.82</v>
      </c>
      <c r="AG176" s="4">
        <v>6.81</v>
      </c>
    </row>
    <row r="177" spans="1:33" ht="47.25" customHeight="1" x14ac:dyDescent="0.25">
      <c r="A177" s="10" t="s">
        <v>7138</v>
      </c>
      <c r="B177" s="11" t="s">
        <v>33</v>
      </c>
      <c r="C177" s="12" t="s">
        <v>7139</v>
      </c>
      <c r="D177" s="27"/>
      <c r="E177" s="14" t="s">
        <v>35</v>
      </c>
      <c r="F177" s="11" t="str">
        <f>HYPERLINK("https://redirect.sdcdeals.com/redirect?destination=https%3A%2F%2Fwww.amazon.com%2Fdp%2FB0C93X5Y18%3Fth%3D1%26psc%3D1%26tag%3Dsdcdeals03-20", "Amazon Link")</f>
        <v>Amazon Link</v>
      </c>
      <c r="G177" s="11" t="s">
        <v>36</v>
      </c>
      <c r="H177" s="14" t="s">
        <v>7140</v>
      </c>
      <c r="I177" s="11" t="str">
        <f>HYPERLINK("https://redirect.sdcdeals.com/redirect?code=763034&amp;mavely=https://mavely.app.link/e/bhESV2wGrGb&amp;destination=https%3A%2F%2Fwww.kohls.com%2Fsearch.jsp%3Fsubmit-search%3Dweb-regular%26search%3D28158019", "Retail Link")</f>
        <v>Retail Link</v>
      </c>
      <c r="J177" s="14" t="s">
        <v>7141</v>
      </c>
      <c r="K177" s="13" t="s">
        <v>7142</v>
      </c>
      <c r="L177" s="15">
        <v>6.76</v>
      </c>
      <c r="M177" s="15">
        <v>27.05</v>
      </c>
      <c r="N177" s="15">
        <v>10.092499999999999</v>
      </c>
      <c r="O177" s="15">
        <f>V177-M177</f>
        <v>-1.2600000000000016</v>
      </c>
      <c r="P177" s="16">
        <f>N177/L177</f>
        <v>1.492973372781065</v>
      </c>
      <c r="Q177" s="14">
        <v>1160188</v>
      </c>
      <c r="R177" s="14"/>
      <c r="S177" s="17">
        <v>0.35053457999999998</v>
      </c>
      <c r="T177" s="15">
        <v>19.100000000000001</v>
      </c>
      <c r="U177" s="15">
        <v>29.01</v>
      </c>
      <c r="V177" s="15">
        <v>25.79</v>
      </c>
      <c r="W177" s="14" t="s">
        <v>742</v>
      </c>
      <c r="X177" s="14">
        <v>1</v>
      </c>
      <c r="Y177" s="10">
        <f>AC177-AB177</f>
        <v>6</v>
      </c>
      <c r="Z177" s="18">
        <v>6</v>
      </c>
      <c r="AA177" s="18">
        <v>11</v>
      </c>
      <c r="AB177" s="18">
        <v>0</v>
      </c>
      <c r="AC177" s="18">
        <v>6</v>
      </c>
      <c r="AE177" s="1" t="s">
        <v>76</v>
      </c>
      <c r="AF177" s="4">
        <v>4.5999999999999996</v>
      </c>
      <c r="AG177" s="4">
        <v>6.14</v>
      </c>
    </row>
    <row r="178" spans="1:33" ht="47.25" customHeight="1" x14ac:dyDescent="0.25">
      <c r="A178" s="10" t="s">
        <v>1838</v>
      </c>
      <c r="B178" s="11" t="s">
        <v>33</v>
      </c>
      <c r="C178" s="12" t="s">
        <v>1839</v>
      </c>
      <c r="D178" s="27"/>
      <c r="E178" s="14" t="s">
        <v>35</v>
      </c>
      <c r="F178" s="11" t="str">
        <f>HYPERLINK("https://redirect.sdcdeals.com/redirect?destination=https%3A%2F%2Fwww.amazon.com%2Fdp%2FB0BJ7B3ZYC%3Fth%3D1%26psc%3D1%26tag%3Dsdcdeals03-20", "Amazon Link")</f>
        <v>Amazon Link</v>
      </c>
      <c r="G178" s="11" t="s">
        <v>36</v>
      </c>
      <c r="H178" s="14" t="s">
        <v>1840</v>
      </c>
      <c r="I178" s="11" t="str">
        <f>HYPERLINK("https://redirect.sdcdeals.com/redirect?code=763034&amp;mavely=https://mavely.app.link/e/bhESV2wGrGb&amp;destination=https%3A%2F%2Fwww.kohls.com%2Fsearch.jsp%3Fsubmit-search%3Dweb-regular%26search%3D82004529", "Retail Link")</f>
        <v>Retail Link</v>
      </c>
      <c r="J178" s="14" t="s">
        <v>1809</v>
      </c>
      <c r="K178" s="13" t="s">
        <v>1841</v>
      </c>
      <c r="L178" s="15">
        <v>23.391999999999999</v>
      </c>
      <c r="M178" s="15">
        <v>77.5</v>
      </c>
      <c r="N178" s="15">
        <v>34.923000000000002</v>
      </c>
      <c r="O178" s="15">
        <f>V178-M178</f>
        <v>1.730000000000004</v>
      </c>
      <c r="P178" s="16">
        <f>N178/L178</f>
        <v>1.4929463064295487</v>
      </c>
      <c r="Q178" s="14">
        <v>325228</v>
      </c>
      <c r="R178" s="14"/>
      <c r="S178" s="17">
        <v>3.07764952</v>
      </c>
      <c r="T178" s="15">
        <v>77.5</v>
      </c>
      <c r="U178" s="15">
        <v>62.95</v>
      </c>
      <c r="V178" s="15">
        <v>79.23</v>
      </c>
      <c r="W178" s="14" t="s">
        <v>1842</v>
      </c>
      <c r="X178" s="14">
        <v>2</v>
      </c>
      <c r="Y178" s="10">
        <f>AC178-AB178</f>
        <v>115</v>
      </c>
      <c r="Z178" s="18">
        <v>53</v>
      </c>
      <c r="AA178" s="18">
        <v>119</v>
      </c>
      <c r="AB178" s="18">
        <v>9</v>
      </c>
      <c r="AC178" s="18">
        <v>124</v>
      </c>
      <c r="AD178" s="1" t="s">
        <v>1812</v>
      </c>
      <c r="AE178" s="1" t="s">
        <v>1813</v>
      </c>
      <c r="AG178" s="4">
        <v>7.56</v>
      </c>
    </row>
    <row r="179" spans="1:33" ht="47.25" customHeight="1" x14ac:dyDescent="0.25">
      <c r="A179" s="10" t="s">
        <v>3552</v>
      </c>
      <c r="B179" s="11" t="s">
        <v>33</v>
      </c>
      <c r="C179" s="12" t="s">
        <v>3553</v>
      </c>
      <c r="D179" s="27"/>
      <c r="E179" s="14" t="s">
        <v>35</v>
      </c>
      <c r="F179" s="11" t="str">
        <f>HYPERLINK("https://redirect.sdcdeals.com/redirect?destination=https%3A%2F%2Fwww.amazon.com%2Fdp%2FB01E8O3GJA%3Fth%3D1%26psc%3D1%26tag%3Dsdcdeals03-20", "Amazon Link")</f>
        <v>Amazon Link</v>
      </c>
      <c r="G179" s="11" t="s">
        <v>36</v>
      </c>
      <c r="H179" s="14" t="s">
        <v>3554</v>
      </c>
      <c r="I179" s="11" t="str">
        <f>HYPERLINK("https://redirect.sdcdeals.com/redirect?code=763034&amp;mavely=https://mavely.app.link/e/bhESV2wGrGb&amp;destination=https%3A%2F%2Fwww.kohls.com%2Fsearch.jsp%3Fsubmit-search%3Dweb-regular%26search%3D79369770", "Retail Link")</f>
        <v>Retail Link</v>
      </c>
      <c r="J179" s="14" t="s">
        <v>3555</v>
      </c>
      <c r="K179" s="13" t="s">
        <v>3556</v>
      </c>
      <c r="L179" s="15">
        <v>10.56</v>
      </c>
      <c r="M179" s="15">
        <v>38.729999999999997</v>
      </c>
      <c r="N179" s="15">
        <v>15.7605</v>
      </c>
      <c r="O179" s="15">
        <f>V179-M179</f>
        <v>-7.269999999999996</v>
      </c>
      <c r="P179" s="16">
        <f>N179/L179</f>
        <v>1.4924715909090909</v>
      </c>
      <c r="Q179" s="14">
        <v>1859453</v>
      </c>
      <c r="R179" s="14"/>
      <c r="S179" s="17">
        <v>0.74957079999999998</v>
      </c>
      <c r="T179" s="15">
        <v>38.729999999999997</v>
      </c>
      <c r="U179" s="15">
        <v>35.14</v>
      </c>
      <c r="V179" s="15">
        <v>31.46</v>
      </c>
      <c r="W179" s="14" t="s">
        <v>296</v>
      </c>
      <c r="X179" s="14">
        <v>1</v>
      </c>
      <c r="Y179" s="10">
        <f>AC179-AB179</f>
        <v>93</v>
      </c>
      <c r="Z179" s="18">
        <v>3</v>
      </c>
      <c r="AA179" s="18">
        <v>6</v>
      </c>
      <c r="AB179" s="18">
        <v>2</v>
      </c>
      <c r="AC179" s="18">
        <v>95</v>
      </c>
      <c r="AD179" s="1" t="s">
        <v>3557</v>
      </c>
      <c r="AE179" s="1" t="s">
        <v>76</v>
      </c>
      <c r="AG179" s="4">
        <v>6.6</v>
      </c>
    </row>
    <row r="180" spans="1:33" ht="47.25" customHeight="1" x14ac:dyDescent="0.25">
      <c r="A180" s="10" t="s">
        <v>3558</v>
      </c>
      <c r="B180" s="11" t="s">
        <v>33</v>
      </c>
      <c r="C180" s="12" t="s">
        <v>3559</v>
      </c>
      <c r="D180" s="27"/>
      <c r="E180" s="14" t="s">
        <v>35</v>
      </c>
      <c r="F180" s="11" t="str">
        <f>HYPERLINK("https://redirect.sdcdeals.com/redirect?destination=https%3A%2F%2Fwww.amazon.com%2Fdp%2FB01E8O4J8W%3Fth%3D1%26psc%3D1%26tag%3Dsdcdeals03-20", "Amazon Link")</f>
        <v>Amazon Link</v>
      </c>
      <c r="G180" s="11" t="s">
        <v>36</v>
      </c>
      <c r="H180" s="14" t="s">
        <v>3560</v>
      </c>
      <c r="I180" s="11" t="str">
        <f>HYPERLINK("https://redirect.sdcdeals.com/redirect?code=763034&amp;mavely=https://mavely.app.link/e/bhESV2wGrGb&amp;destination=https%3A%2F%2Fwww.kohls.com%2Fsearch.jsp%3Fsubmit-search%3Dweb-regular%26search%3D49936212", "Retail Link")</f>
        <v>Retail Link</v>
      </c>
      <c r="J180" s="14" t="s">
        <v>3555</v>
      </c>
      <c r="K180" s="13" t="s">
        <v>3561</v>
      </c>
      <c r="L180" s="15">
        <v>10.56</v>
      </c>
      <c r="M180" s="15">
        <v>38.729999999999997</v>
      </c>
      <c r="N180" s="15">
        <v>15.7605</v>
      </c>
      <c r="O180" s="15">
        <f>V180-M180</f>
        <v>3.8600000000000065</v>
      </c>
      <c r="P180" s="16">
        <f>N180/L180</f>
        <v>1.4924715909090909</v>
      </c>
      <c r="Q180" s="14">
        <v>1870043</v>
      </c>
      <c r="R180" s="14"/>
      <c r="S180" s="17">
        <v>0.74957079999999998</v>
      </c>
      <c r="T180" s="15">
        <v>38.729999999999997</v>
      </c>
      <c r="U180" s="15">
        <v>42.59</v>
      </c>
      <c r="V180" s="15">
        <v>42.59</v>
      </c>
      <c r="W180" s="14" t="s">
        <v>1536</v>
      </c>
      <c r="X180" s="14">
        <v>1</v>
      </c>
      <c r="Y180" s="10">
        <f>AC180-AB180</f>
        <v>0</v>
      </c>
      <c r="Z180" s="18">
        <v>2</v>
      </c>
      <c r="AA180" s="18">
        <v>4</v>
      </c>
      <c r="AB180" s="18">
        <v>0</v>
      </c>
      <c r="AC180" s="18"/>
      <c r="AD180" s="1" t="s">
        <v>3557</v>
      </c>
      <c r="AE180" s="1" t="s">
        <v>3562</v>
      </c>
      <c r="AG180" s="4">
        <v>6.6</v>
      </c>
    </row>
    <row r="181" spans="1:33" ht="47.25" customHeight="1" x14ac:dyDescent="0.25">
      <c r="A181" s="10" t="s">
        <v>3568</v>
      </c>
      <c r="B181" s="11" t="s">
        <v>33</v>
      </c>
      <c r="C181" s="12" t="s">
        <v>3569</v>
      </c>
      <c r="D181" s="27"/>
      <c r="E181" s="14" t="s">
        <v>35</v>
      </c>
      <c r="F181" s="11" t="str">
        <f>HYPERLINK("https://redirect.sdcdeals.com/redirect?destination=https%3A%2F%2Fwww.amazon.com%2Fdp%2FB01E8O4F5Y%3Fth%3D1%26psc%3D1%26tag%3Dsdcdeals03-20", "Amazon Link")</f>
        <v>Amazon Link</v>
      </c>
      <c r="G181" s="11" t="s">
        <v>36</v>
      </c>
      <c r="H181" s="14" t="s">
        <v>3570</v>
      </c>
      <c r="I181" s="11" t="str">
        <f>HYPERLINK("https://redirect.sdcdeals.com/redirect?code=763034&amp;mavely=https://mavely.app.link/e/bhESV2wGrGb&amp;destination=https%3A%2F%2Fwww.kohls.com%2Fsearch.jsp%3Fsubmit-search%3Dweb-regular%26search%3D79369771", "Retail Link")</f>
        <v>Retail Link</v>
      </c>
      <c r="J181" s="14" t="s">
        <v>3555</v>
      </c>
      <c r="K181" s="13" t="s">
        <v>3571</v>
      </c>
      <c r="L181" s="15">
        <v>10.56</v>
      </c>
      <c r="M181" s="15">
        <v>38.729999999999997</v>
      </c>
      <c r="N181" s="15">
        <v>15.7605</v>
      </c>
      <c r="O181" s="15">
        <f>V181-M181</f>
        <v>3.2000000000000028</v>
      </c>
      <c r="P181" s="16">
        <f>N181/L181</f>
        <v>1.4924715909090909</v>
      </c>
      <c r="Q181" s="14">
        <v>1889145</v>
      </c>
      <c r="R181" s="14"/>
      <c r="S181" s="17">
        <v>0.74957079999999998</v>
      </c>
      <c r="T181" s="15">
        <v>38.729999999999997</v>
      </c>
      <c r="U181" s="15">
        <v>38.85</v>
      </c>
      <c r="V181" s="15">
        <v>41.93</v>
      </c>
      <c r="W181" s="14" t="s">
        <v>3572</v>
      </c>
      <c r="X181" s="14">
        <v>1</v>
      </c>
      <c r="Y181" s="10">
        <f>AC181-AB181</f>
        <v>92</v>
      </c>
      <c r="Z181" s="18">
        <v>1</v>
      </c>
      <c r="AA181" s="18">
        <v>4</v>
      </c>
      <c r="AB181" s="18">
        <v>3</v>
      </c>
      <c r="AC181" s="18">
        <v>95</v>
      </c>
      <c r="AD181" s="1" t="s">
        <v>3557</v>
      </c>
      <c r="AE181" s="1" t="s">
        <v>76</v>
      </c>
      <c r="AF181" s="4">
        <v>6.58</v>
      </c>
      <c r="AG181" s="4">
        <v>6.6</v>
      </c>
    </row>
    <row r="182" spans="1:33" ht="47.25" customHeight="1" x14ac:dyDescent="0.25">
      <c r="A182" s="10" t="s">
        <v>3586</v>
      </c>
      <c r="B182" s="11" t="s">
        <v>33</v>
      </c>
      <c r="C182" s="12" t="s">
        <v>3587</v>
      </c>
      <c r="D182" s="27"/>
      <c r="E182" s="14" t="s">
        <v>35</v>
      </c>
      <c r="F182" s="11" t="str">
        <f>HYPERLINK("https://redirect.sdcdeals.com/redirect?destination=https%3A%2F%2Fwww.amazon.com%2Fdp%2FB0792GX74K%3Fth%3D1%26psc%3D1%26tag%3Dsdcdeals03-20", "Amazon Link")</f>
        <v>Amazon Link</v>
      </c>
      <c r="G182" s="11" t="s">
        <v>36</v>
      </c>
      <c r="H182" s="14" t="s">
        <v>3588</v>
      </c>
      <c r="I182" s="11" t="str">
        <f>HYPERLINK("https://redirect.sdcdeals.com/redirect?code=763034&amp;mavely=https://mavely.app.link/e/bhESV2wGrGb&amp;destination=https%3A%2F%2Fwww.kohls.com%2Fsearch.jsp%3Fsubmit-search%3Dweb-regular%26search%3D63989887", "Retail Link")</f>
        <v>Retail Link</v>
      </c>
      <c r="J182" s="14" t="s">
        <v>3555</v>
      </c>
      <c r="K182" s="13" t="s">
        <v>3589</v>
      </c>
      <c r="L182" s="15">
        <v>10.56</v>
      </c>
      <c r="M182" s="15">
        <v>38.729999999999997</v>
      </c>
      <c r="N182" s="15">
        <v>15.7605</v>
      </c>
      <c r="O182" s="15">
        <f>V182-M182</f>
        <v>1.5700000000000003</v>
      </c>
      <c r="P182" s="16">
        <f>N182/L182</f>
        <v>1.4924715909090909</v>
      </c>
      <c r="Q182" s="14">
        <v>1889145</v>
      </c>
      <c r="R182" s="14"/>
      <c r="S182" s="17">
        <v>0.74957079999999998</v>
      </c>
      <c r="T182" s="15">
        <v>38.729999999999997</v>
      </c>
      <c r="U182" s="15">
        <v>40.299999999999997</v>
      </c>
      <c r="V182" s="15">
        <v>40.299999999999997</v>
      </c>
      <c r="W182" s="14" t="s">
        <v>3590</v>
      </c>
      <c r="X182" s="14">
        <v>1</v>
      </c>
      <c r="Y182" s="10">
        <f>AC182-AB182</f>
        <v>91</v>
      </c>
      <c r="Z182" s="18">
        <v>3</v>
      </c>
      <c r="AA182" s="18">
        <v>8</v>
      </c>
      <c r="AB182" s="18">
        <v>4</v>
      </c>
      <c r="AC182" s="18">
        <v>95</v>
      </c>
      <c r="AD182" s="1" t="s">
        <v>3557</v>
      </c>
      <c r="AE182" s="1" t="s">
        <v>3567</v>
      </c>
      <c r="AF182" s="4">
        <v>6.58</v>
      </c>
      <c r="AG182" s="4">
        <v>6.6</v>
      </c>
    </row>
    <row r="183" spans="1:33" ht="47.25" customHeight="1" x14ac:dyDescent="0.25">
      <c r="A183" s="10" t="s">
        <v>3595</v>
      </c>
      <c r="B183" s="11" t="s">
        <v>33</v>
      </c>
      <c r="C183" s="12" t="s">
        <v>3596</v>
      </c>
      <c r="D183" s="27"/>
      <c r="E183" s="14" t="s">
        <v>35</v>
      </c>
      <c r="F183" s="11" t="str">
        <f>HYPERLINK("https://redirect.sdcdeals.com/redirect?destination=https%3A%2F%2Fwww.amazon.com%2Fdp%2FB0792FKCWR%3Fth%3D1%26psc%3D1%26tag%3Dsdcdeals03-20", "Amazon Link")</f>
        <v>Amazon Link</v>
      </c>
      <c r="G183" s="11" t="s">
        <v>36</v>
      </c>
      <c r="H183" s="14" t="s">
        <v>3597</v>
      </c>
      <c r="I183" s="11" t="str">
        <f>HYPERLINK("https://redirect.sdcdeals.com/redirect?code=763034&amp;mavely=https://mavely.app.link/e/bhESV2wGrGb&amp;destination=https%3A%2F%2Fwww.kohls.com%2Fsearch.jsp%3Fsubmit-search%3Dweb-regular%26search%3D63989888", "Retail Link")</f>
        <v>Retail Link</v>
      </c>
      <c r="J183" s="14" t="s">
        <v>3555</v>
      </c>
      <c r="K183" s="13" t="s">
        <v>3598</v>
      </c>
      <c r="L183" s="15">
        <v>10.56</v>
      </c>
      <c r="M183" s="15">
        <v>38.729999999999997</v>
      </c>
      <c r="N183" s="15">
        <v>15.7605</v>
      </c>
      <c r="O183" s="15">
        <f>V183-M183</f>
        <v>-3.7099999999999937</v>
      </c>
      <c r="P183" s="16">
        <f>N183/L183</f>
        <v>1.4924715909090909</v>
      </c>
      <c r="Q183" s="14">
        <v>1889145</v>
      </c>
      <c r="R183" s="14"/>
      <c r="S183" s="17">
        <v>0.74957079999999998</v>
      </c>
      <c r="T183" s="15">
        <v>38.729999999999997</v>
      </c>
      <c r="U183" s="15">
        <v>40.15</v>
      </c>
      <c r="V183" s="15">
        <v>35.020000000000003</v>
      </c>
      <c r="W183" s="14" t="s">
        <v>3599</v>
      </c>
      <c r="X183" s="14">
        <v>1</v>
      </c>
      <c r="Y183" s="10">
        <f>AC183-AB183</f>
        <v>93</v>
      </c>
      <c r="Z183" s="18">
        <v>3</v>
      </c>
      <c r="AA183" s="18">
        <v>7</v>
      </c>
      <c r="AB183" s="18">
        <v>2</v>
      </c>
      <c r="AC183" s="18">
        <v>95</v>
      </c>
      <c r="AD183" s="1" t="s">
        <v>3557</v>
      </c>
      <c r="AE183" s="1" t="s">
        <v>3567</v>
      </c>
      <c r="AF183" s="4">
        <v>6.58</v>
      </c>
      <c r="AG183" s="4">
        <v>6.6</v>
      </c>
    </row>
    <row r="184" spans="1:33" ht="47.25" customHeight="1" x14ac:dyDescent="0.25">
      <c r="A184" s="10" t="s">
        <v>3609</v>
      </c>
      <c r="B184" s="11" t="s">
        <v>33</v>
      </c>
      <c r="C184" s="12" t="s">
        <v>3610</v>
      </c>
      <c r="D184" s="27"/>
      <c r="E184" s="14" t="s">
        <v>35</v>
      </c>
      <c r="F184" s="11" t="str">
        <f>HYPERLINK("https://redirect.sdcdeals.com/redirect?destination=https%3A%2F%2Fwww.amazon.com%2Fdp%2FB0792GXC4R%3Fth%3D1%26psc%3D1%26tag%3Dsdcdeals03-20", "Amazon Link")</f>
        <v>Amazon Link</v>
      </c>
      <c r="G184" s="11" t="s">
        <v>36</v>
      </c>
      <c r="H184" s="14" t="s">
        <v>3611</v>
      </c>
      <c r="I184" s="11" t="str">
        <f>HYPERLINK("https://redirect.sdcdeals.com/redirect?code=763034&amp;mavely=https://mavely.app.link/e/bhESV2wGrGb&amp;destination=https%3A%2F%2Fwww.kohls.com%2Fsearch.jsp%3Fsubmit-search%3Dweb-regular%26search%3D63989895", "Retail Link")</f>
        <v>Retail Link</v>
      </c>
      <c r="J184" s="14" t="s">
        <v>3555</v>
      </c>
      <c r="K184" s="13" t="s">
        <v>3612</v>
      </c>
      <c r="L184" s="15">
        <v>10.56</v>
      </c>
      <c r="M184" s="15">
        <v>38.729999999999997</v>
      </c>
      <c r="N184" s="15">
        <v>15.7605</v>
      </c>
      <c r="O184" s="15">
        <f>V184-M184</f>
        <v>4.8500000000000014</v>
      </c>
      <c r="P184" s="16">
        <f>N184/L184</f>
        <v>1.4924715909090909</v>
      </c>
      <c r="Q184" s="14">
        <v>1870043</v>
      </c>
      <c r="R184" s="14"/>
      <c r="S184" s="17">
        <v>0.74957079999999998</v>
      </c>
      <c r="T184" s="15">
        <v>38.729999999999997</v>
      </c>
      <c r="U184" s="15">
        <v>43.25</v>
      </c>
      <c r="V184" s="15">
        <v>43.58</v>
      </c>
      <c r="W184" s="14" t="s">
        <v>3613</v>
      </c>
      <c r="X184" s="14">
        <v>2</v>
      </c>
      <c r="Y184" s="10">
        <f>AC184-AB184</f>
        <v>93</v>
      </c>
      <c r="Z184" s="18">
        <v>3</v>
      </c>
      <c r="AA184" s="18">
        <v>9</v>
      </c>
      <c r="AB184" s="18">
        <v>2</v>
      </c>
      <c r="AC184" s="18">
        <v>95</v>
      </c>
      <c r="AD184" s="1" t="s">
        <v>3557</v>
      </c>
      <c r="AE184" s="1" t="s">
        <v>3567</v>
      </c>
      <c r="AG184" s="4">
        <v>6.6</v>
      </c>
    </row>
    <row r="185" spans="1:33" ht="47.25" customHeight="1" x14ac:dyDescent="0.25">
      <c r="A185" s="10" t="s">
        <v>3618</v>
      </c>
      <c r="B185" s="11" t="s">
        <v>33</v>
      </c>
      <c r="C185" s="12" t="s">
        <v>3619</v>
      </c>
      <c r="D185" s="27"/>
      <c r="E185" s="14" t="s">
        <v>35</v>
      </c>
      <c r="F185" s="11" t="str">
        <f>HYPERLINK("https://redirect.sdcdeals.com/redirect?destination=https%3A%2F%2Fwww.amazon.com%2Fdp%2FB07CWCQBZN%3Fth%3D1%26psc%3D1%26tag%3Dsdcdeals03-20", "Amazon Link")</f>
        <v>Amazon Link</v>
      </c>
      <c r="G185" s="11" t="s">
        <v>36</v>
      </c>
      <c r="H185" s="14" t="s">
        <v>3620</v>
      </c>
      <c r="I185" s="11" t="str">
        <f>HYPERLINK("https://redirect.sdcdeals.com/redirect?code=763034&amp;mavely=https://mavely.app.link/e/bhESV2wGrGb&amp;destination=https%3A%2F%2Fwww.kohls.com%2Fsearch.jsp%3Fsubmit-search%3Dweb-regular%26search%3D63989897", "Retail Link")</f>
        <v>Retail Link</v>
      </c>
      <c r="J185" s="14" t="s">
        <v>3555</v>
      </c>
      <c r="K185" s="13" t="s">
        <v>3621</v>
      </c>
      <c r="L185" s="15">
        <v>10.56</v>
      </c>
      <c r="M185" s="15">
        <v>38.729999999999997</v>
      </c>
      <c r="N185" s="15">
        <v>15.7605</v>
      </c>
      <c r="O185" s="15">
        <f>V185-M185</f>
        <v>23.380000000000003</v>
      </c>
      <c r="P185" s="16">
        <f>N185/L185</f>
        <v>1.4924715909090909</v>
      </c>
      <c r="Q185" s="14">
        <v>1889145</v>
      </c>
      <c r="R185" s="14"/>
      <c r="S185" s="17">
        <v>0.74957079999999998</v>
      </c>
      <c r="T185" s="15">
        <v>38.729999999999997</v>
      </c>
      <c r="U185" s="15">
        <v>62.11</v>
      </c>
      <c r="V185" s="15">
        <v>62.11</v>
      </c>
      <c r="W185" s="14" t="s">
        <v>2248</v>
      </c>
      <c r="X185" s="14">
        <v>1</v>
      </c>
      <c r="Y185" s="10">
        <f>AC185-AB185</f>
        <v>89</v>
      </c>
      <c r="Z185" s="18">
        <v>2</v>
      </c>
      <c r="AA185" s="18">
        <v>4</v>
      </c>
      <c r="AB185" s="18">
        <v>0</v>
      </c>
      <c r="AC185" s="18">
        <v>89</v>
      </c>
      <c r="AD185" s="1" t="s">
        <v>3557</v>
      </c>
      <c r="AE185" s="1" t="s">
        <v>3567</v>
      </c>
      <c r="AG185" s="4">
        <v>6.6</v>
      </c>
    </row>
    <row r="186" spans="1:33" ht="47.25" customHeight="1" x14ac:dyDescent="0.25">
      <c r="A186" s="10" t="s">
        <v>3622</v>
      </c>
      <c r="B186" s="11" t="s">
        <v>33</v>
      </c>
      <c r="C186" s="12" t="s">
        <v>3623</v>
      </c>
      <c r="D186" s="27"/>
      <c r="E186" s="14" t="s">
        <v>35</v>
      </c>
      <c r="F186" s="11" t="str">
        <f>HYPERLINK("https://redirect.sdcdeals.com/redirect?destination=https%3A%2F%2Fwww.amazon.com%2Fdp%2FB08LYQ94SP%3Fth%3D1%26psc%3D1%26tag%3Dsdcdeals03-20", "Amazon Link")</f>
        <v>Amazon Link</v>
      </c>
      <c r="G186" s="11" t="s">
        <v>36</v>
      </c>
      <c r="H186" s="14" t="s">
        <v>3624</v>
      </c>
      <c r="I186" s="11" t="str">
        <f>HYPERLINK("https://redirect.sdcdeals.com/redirect?code=763034&amp;mavely=https://mavely.app.link/e/bhESV2wGrGb&amp;destination=https%3A%2F%2Fwww.kohls.com%2Fsearch.jsp%3Fsubmit-search%3Dweb-regular%26search%3D61733936", "Retail Link")</f>
        <v>Retail Link</v>
      </c>
      <c r="J186" s="14" t="s">
        <v>3555</v>
      </c>
      <c r="K186" s="13" t="s">
        <v>3625</v>
      </c>
      <c r="L186" s="15">
        <v>10.56</v>
      </c>
      <c r="M186" s="15">
        <v>38.729999999999997</v>
      </c>
      <c r="N186" s="15">
        <v>15.7605</v>
      </c>
      <c r="O186" s="15">
        <f>V186-M186</f>
        <v>-38.729999999999997</v>
      </c>
      <c r="P186" s="16">
        <f>N186/L186</f>
        <v>1.4924715909090909</v>
      </c>
      <c r="Q186" s="14">
        <v>15109436</v>
      </c>
      <c r="R186" s="14"/>
      <c r="S186" s="17">
        <v>0.74957079999999998</v>
      </c>
      <c r="T186" s="15">
        <v>38.729999999999997</v>
      </c>
      <c r="U186" s="15"/>
      <c r="V186" s="15"/>
      <c r="W186" s="14" t="s">
        <v>106</v>
      </c>
      <c r="X186" s="14">
        <v>2</v>
      </c>
      <c r="Y186" s="10">
        <f>AC186-AB186</f>
        <v>94</v>
      </c>
      <c r="Z186" s="18">
        <v>0</v>
      </c>
      <c r="AA186" s="18">
        <v>0</v>
      </c>
      <c r="AB186" s="18">
        <v>0</v>
      </c>
      <c r="AC186" s="18">
        <v>94</v>
      </c>
      <c r="AD186" s="1" t="s">
        <v>3557</v>
      </c>
      <c r="AE186" s="1" t="s">
        <v>76</v>
      </c>
      <c r="AG186" s="4">
        <v>6.6</v>
      </c>
    </row>
    <row r="187" spans="1:33" ht="47.25" customHeight="1" x14ac:dyDescent="0.25">
      <c r="A187" s="10" t="s">
        <v>3213</v>
      </c>
      <c r="B187" s="11" t="s">
        <v>33</v>
      </c>
      <c r="C187" s="12" t="s">
        <v>3214</v>
      </c>
      <c r="D187" s="27"/>
      <c r="E187" s="14" t="s">
        <v>35</v>
      </c>
      <c r="F187" s="11" t="str">
        <f>HYPERLINK("https://redirect.sdcdeals.com/redirect?destination=https%3A%2F%2Fwww.amazon.com%2Fdp%2FB0815HT39Q%3Fth%3D1%26psc%3D1%26tag%3Dsdcdeals03-20", "Amazon Link")</f>
        <v>Amazon Link</v>
      </c>
      <c r="G187" s="11" t="s">
        <v>36</v>
      </c>
      <c r="H187" s="14" t="s">
        <v>3215</v>
      </c>
      <c r="I187" s="11" t="str">
        <f>HYPERLINK("https://redirect.sdcdeals.com/redirect?code=763034&amp;mavely=https://mavely.app.link/e/bhESV2wGrGb&amp;destination=https%3A%2F%2Fwww.kohls.com%2Fsearch.jsp%3Fsubmit-search%3Dweb-regular%26search%3D75883032", "Retail Link")</f>
        <v>Retail Link</v>
      </c>
      <c r="J187" s="14" t="s">
        <v>3216</v>
      </c>
      <c r="K187" s="13" t="s">
        <v>3217</v>
      </c>
      <c r="L187" s="15">
        <v>15.4</v>
      </c>
      <c r="M187" s="15">
        <v>53.03</v>
      </c>
      <c r="N187" s="15">
        <v>22.865500000000001</v>
      </c>
      <c r="O187" s="15">
        <f>V187-M187</f>
        <v>-11.329999999999998</v>
      </c>
      <c r="P187" s="16">
        <f>N187/L187</f>
        <v>1.4847727272727274</v>
      </c>
      <c r="Q187" s="14">
        <v>611270</v>
      </c>
      <c r="R187" s="14"/>
      <c r="S187" s="17">
        <v>0.98105589999999998</v>
      </c>
      <c r="T187" s="15">
        <v>53.03</v>
      </c>
      <c r="U187" s="15">
        <v>53.15</v>
      </c>
      <c r="V187" s="15">
        <v>41.7</v>
      </c>
      <c r="W187" s="14" t="s">
        <v>277</v>
      </c>
      <c r="X187" s="14">
        <v>3</v>
      </c>
      <c r="Y187" s="10">
        <f>AC187-AB187</f>
        <v>0</v>
      </c>
      <c r="Z187" s="18">
        <v>18</v>
      </c>
      <c r="AA187" s="18">
        <v>44</v>
      </c>
      <c r="AB187" s="18">
        <v>8</v>
      </c>
      <c r="AC187" s="18">
        <v>8</v>
      </c>
      <c r="AD187" s="1" t="s">
        <v>3218</v>
      </c>
      <c r="AE187" s="1" t="s">
        <v>3219</v>
      </c>
      <c r="AG187" s="4">
        <v>6.81</v>
      </c>
    </row>
    <row r="188" spans="1:33" ht="47.25" customHeight="1" x14ac:dyDescent="0.25">
      <c r="A188" s="10" t="s">
        <v>1828</v>
      </c>
      <c r="B188" s="11" t="s">
        <v>33</v>
      </c>
      <c r="C188" s="12" t="s">
        <v>1829</v>
      </c>
      <c r="D188" s="27"/>
      <c r="E188" s="14" t="s">
        <v>35</v>
      </c>
      <c r="F188" s="11" t="str">
        <f>HYPERLINK("https://redirect.sdcdeals.com/redirect?destination=https%3A%2F%2Fwww.amazon.com%2Fdp%2FB0BJ82GK58%3Fth%3D1%26psc%3D1%26tag%3Dsdcdeals03-20", "Amazon Link")</f>
        <v>Amazon Link</v>
      </c>
      <c r="G188" s="11" t="s">
        <v>36</v>
      </c>
      <c r="H188" s="14" t="s">
        <v>1830</v>
      </c>
      <c r="I188" s="11" t="str">
        <f>HYPERLINK("https://redirect.sdcdeals.com/redirect?code=763034&amp;mavely=https://mavely.app.link/e/bhESV2wGrGb&amp;destination=https%3A%2F%2Fwww.kohls.com%2Fsearch.jsp%3Fsubmit-search%3Dweb-regular%26search%3D82004522", "Retail Link")</f>
        <v>Retail Link</v>
      </c>
      <c r="J188" s="14" t="s">
        <v>1809</v>
      </c>
      <c r="K188" s="13" t="s">
        <v>1831</v>
      </c>
      <c r="L188" s="15">
        <v>23.391999999999999</v>
      </c>
      <c r="M188" s="15">
        <v>77.25</v>
      </c>
      <c r="N188" s="15">
        <v>34.710500000000003</v>
      </c>
      <c r="O188" s="15">
        <f>V188-M188</f>
        <v>1.5600000000000023</v>
      </c>
      <c r="P188" s="16">
        <f>N188/L188</f>
        <v>1.4838620041039674</v>
      </c>
      <c r="Q188" s="14">
        <v>325228</v>
      </c>
      <c r="R188" s="14"/>
      <c r="S188" s="17">
        <v>2.9586000399999999</v>
      </c>
      <c r="T188" s="15">
        <v>77.25</v>
      </c>
      <c r="U188" s="15"/>
      <c r="V188" s="15">
        <v>78.81</v>
      </c>
      <c r="W188" s="14" t="s">
        <v>1832</v>
      </c>
      <c r="X188" s="14">
        <v>2</v>
      </c>
      <c r="Y188" s="10">
        <f>AC188-AB188</f>
        <v>114</v>
      </c>
      <c r="Z188" s="18">
        <v>66</v>
      </c>
      <c r="AA188" s="18">
        <v>152</v>
      </c>
      <c r="AB188" s="18">
        <v>10</v>
      </c>
      <c r="AC188" s="18">
        <v>124</v>
      </c>
      <c r="AD188" s="1" t="s">
        <v>1812</v>
      </c>
      <c r="AE188" s="1" t="s">
        <v>1813</v>
      </c>
      <c r="AG188" s="4">
        <v>7.56</v>
      </c>
    </row>
    <row r="189" spans="1:33" ht="47.25" customHeight="1" x14ac:dyDescent="0.25">
      <c r="A189" s="10" t="s">
        <v>992</v>
      </c>
      <c r="B189" s="11" t="s">
        <v>33</v>
      </c>
      <c r="C189" s="12" t="s">
        <v>993</v>
      </c>
      <c r="D189" s="27"/>
      <c r="E189" s="14" t="s">
        <v>35</v>
      </c>
      <c r="F189" s="11" t="str">
        <f>HYPERLINK("https://redirect.sdcdeals.com/redirect?destination=https%3A%2F%2Fwww.amazon.com%2Fdp%2FB0BFTMBQNK%3Fth%3D1%26psc%3D1%26tag%3Dsdcdeals03-20", "Amazon Link")</f>
        <v>Amazon Link</v>
      </c>
      <c r="G189" s="11" t="s">
        <v>36</v>
      </c>
      <c r="H189" s="14" t="s">
        <v>994</v>
      </c>
      <c r="I189" s="11" t="str">
        <f>HYPERLINK("https://redirect.sdcdeals.com/redirect?code=763034&amp;mavely=https://mavely.app.link/e/bhESV2wGrGb&amp;destination=https%3A%2F%2Fwww.kohls.com%2Fsearch.jsp%3Fsubmit-search%3Dweb-regular%26search%3D83188584", "Retail Link")</f>
        <v>Retail Link</v>
      </c>
      <c r="J189" s="14" t="s">
        <v>973</v>
      </c>
      <c r="K189" s="13" t="s">
        <v>995</v>
      </c>
      <c r="L189" s="15">
        <v>49.496000000000002</v>
      </c>
      <c r="M189" s="15">
        <v>163.92</v>
      </c>
      <c r="N189" s="15">
        <v>73.385999999999996</v>
      </c>
      <c r="O189" s="15">
        <f>V189-M189</f>
        <v>-31.919999999999987</v>
      </c>
      <c r="P189" s="16">
        <f>N189/L189</f>
        <v>1.482665265880071</v>
      </c>
      <c r="Q189" s="14">
        <v>2041874</v>
      </c>
      <c r="R189" s="14"/>
      <c r="S189" s="17">
        <v>2.0899797599999999</v>
      </c>
      <c r="T189" s="15">
        <v>163.92</v>
      </c>
      <c r="U189" s="15">
        <v>129.78</v>
      </c>
      <c r="V189" s="15">
        <v>132</v>
      </c>
      <c r="W189" s="14" t="s">
        <v>996</v>
      </c>
      <c r="X189" s="14">
        <v>1</v>
      </c>
      <c r="Y189" s="10">
        <f>AC189-AB189</f>
        <v>1</v>
      </c>
      <c r="Z189" s="18">
        <v>1</v>
      </c>
      <c r="AA189" s="18">
        <v>1</v>
      </c>
      <c r="AB189" s="18">
        <v>0</v>
      </c>
      <c r="AC189" s="18">
        <v>1</v>
      </c>
      <c r="AD189" s="1" t="s">
        <v>976</v>
      </c>
      <c r="AE189" s="1" t="s">
        <v>76</v>
      </c>
      <c r="AF189" s="4">
        <v>27.87</v>
      </c>
      <c r="AG189" s="4">
        <v>16.45</v>
      </c>
    </row>
    <row r="190" spans="1:33" ht="47.25" hidden="1" customHeight="1" x14ac:dyDescent="0.25">
      <c r="A190" s="10" t="s">
        <v>1388</v>
      </c>
      <c r="B190" s="11" t="s">
        <v>33</v>
      </c>
      <c r="C190" s="12" t="s">
        <v>1389</v>
      </c>
      <c r="D190" s="27"/>
      <c r="E190" s="14" t="s">
        <v>35</v>
      </c>
      <c r="F190" s="11" t="str">
        <f>HYPERLINK("https://redirect.sdcdeals.com/redirect?destination=https%3A%2F%2Fwww.amazon.com%2Fdp%2FB0BZ5PCTNW%3Fth%3D1%26psc%3D1%26tag%3Dsdcdeals03-20", "Amazon Link")</f>
        <v>Amazon Link</v>
      </c>
      <c r="G190" s="11" t="s">
        <v>36</v>
      </c>
      <c r="H190" s="14" t="s">
        <v>1390</v>
      </c>
      <c r="I190" s="11" t="str">
        <f>HYPERLINK("https://redirect.sdcdeals.com/redirect?code=763034&amp;mavely=https://mavely.app.link/e/bhESV2wGrGb&amp;destination=https%3A%2F%2Fwww.kohls.com%2Fsearch.jsp%3Fsubmit-search%3Dweb-regular%26search%3D63118349", "Retail Link")</f>
        <v>Retail Link</v>
      </c>
      <c r="J190" s="14" t="s">
        <v>1391</v>
      </c>
      <c r="K190" s="13" t="s">
        <v>1392</v>
      </c>
      <c r="L190" s="15">
        <v>11.992000000000001</v>
      </c>
      <c r="M190" s="15">
        <v>39.89</v>
      </c>
      <c r="N190" s="15">
        <v>17.764500000000002</v>
      </c>
      <c r="O190" s="15">
        <f>V190-M190</f>
        <v>23.089999999999996</v>
      </c>
      <c r="P190" s="16">
        <f>N190/L190</f>
        <v>1.4813625750500334</v>
      </c>
      <c r="Q190" s="14"/>
      <c r="R190" s="14"/>
      <c r="S190" s="17">
        <v>0.65036289999999997</v>
      </c>
      <c r="T190" s="15">
        <v>31.94</v>
      </c>
      <c r="U190" s="15">
        <v>62.98</v>
      </c>
      <c r="V190" s="15">
        <v>62.98</v>
      </c>
      <c r="W190" s="14" t="s">
        <v>106</v>
      </c>
      <c r="X190" s="14">
        <v>2</v>
      </c>
      <c r="Y190" s="10">
        <f>AC190-AB190</f>
        <v>0</v>
      </c>
      <c r="Z190" s="18">
        <v>-1</v>
      </c>
      <c r="AA190" s="18">
        <v>-1</v>
      </c>
      <c r="AB190" s="18"/>
      <c r="AC190" s="18"/>
      <c r="AD190" s="1" t="s">
        <v>1393</v>
      </c>
      <c r="AE190" s="1" t="s">
        <v>1394</v>
      </c>
      <c r="AF190" s="4">
        <v>5.98</v>
      </c>
      <c r="AG190" s="4">
        <v>4.1500000000000004</v>
      </c>
    </row>
    <row r="191" spans="1:33" ht="47.25" hidden="1" customHeight="1" x14ac:dyDescent="0.25">
      <c r="A191" s="10" t="s">
        <v>1395</v>
      </c>
      <c r="B191" s="11" t="s">
        <v>33</v>
      </c>
      <c r="C191" s="12" t="s">
        <v>1396</v>
      </c>
      <c r="D191" s="27"/>
      <c r="E191" s="14" t="s">
        <v>35</v>
      </c>
      <c r="F191" s="11" t="str">
        <f>HYPERLINK("https://redirect.sdcdeals.com/redirect?destination=https%3A%2F%2Fwww.amazon.com%2Fdp%2FB0BZ63FC2L%3Fth%3D1%26psc%3D1%26tag%3Dsdcdeals03-20", "Amazon Link")</f>
        <v>Amazon Link</v>
      </c>
      <c r="G191" s="11" t="s">
        <v>36</v>
      </c>
      <c r="H191" s="14" t="s">
        <v>1397</v>
      </c>
      <c r="I191" s="11" t="str">
        <f>HYPERLINK("https://redirect.sdcdeals.com/redirect?code=763034&amp;mavely=https://mavely.app.link/e/bhESV2wGrGb&amp;destination=https%3A%2F%2Fwww.kohls.com%2Fsearch.jsp%3Fsubmit-search%3Dweb-regular%26search%3D58085016", "Retail Link")</f>
        <v>Retail Link</v>
      </c>
      <c r="J191" s="14" t="s">
        <v>1391</v>
      </c>
      <c r="K191" s="13" t="s">
        <v>1398</v>
      </c>
      <c r="L191" s="15">
        <v>11.992000000000001</v>
      </c>
      <c r="M191" s="15">
        <v>39.89</v>
      </c>
      <c r="N191" s="15">
        <v>17.764500000000002</v>
      </c>
      <c r="O191" s="15">
        <f>V191-M191</f>
        <v>29.340000000000003</v>
      </c>
      <c r="P191" s="16">
        <f>N191/L191</f>
        <v>1.4813625750500334</v>
      </c>
      <c r="Q191" s="14"/>
      <c r="R191" s="14"/>
      <c r="S191" s="17">
        <v>0.65036289999999997</v>
      </c>
      <c r="T191" s="15">
        <v>31.94</v>
      </c>
      <c r="U191" s="15">
        <v>58.36</v>
      </c>
      <c r="V191" s="15">
        <v>69.23</v>
      </c>
      <c r="W191" s="14" t="s">
        <v>269</v>
      </c>
      <c r="X191" s="14">
        <v>2</v>
      </c>
      <c r="Y191" s="10">
        <f>AC191-AB191</f>
        <v>0</v>
      </c>
      <c r="Z191" s="18">
        <v>-1</v>
      </c>
      <c r="AA191" s="18">
        <v>-1</v>
      </c>
      <c r="AB191" s="18"/>
      <c r="AC191" s="18"/>
      <c r="AD191" s="1" t="s">
        <v>1393</v>
      </c>
      <c r="AE191" s="1" t="s">
        <v>1399</v>
      </c>
      <c r="AF191" s="4">
        <v>5.98</v>
      </c>
      <c r="AG191" s="4">
        <v>4.1500000000000004</v>
      </c>
    </row>
    <row r="192" spans="1:33" ht="47.25" customHeight="1" x14ac:dyDescent="0.25">
      <c r="A192" s="10" t="s">
        <v>2348</v>
      </c>
      <c r="B192" s="11" t="s">
        <v>33</v>
      </c>
      <c r="C192" s="12" t="s">
        <v>2349</v>
      </c>
      <c r="D192" s="27"/>
      <c r="E192" s="14" t="s">
        <v>35</v>
      </c>
      <c r="F192" s="11" t="str">
        <f>HYPERLINK("https://redirect.sdcdeals.com/redirect?destination=https%3A%2F%2Fwww.amazon.com%2Fdp%2FB08FF3DKBT%3Fth%3D1%26psc%3D1%26tag%3Dsdcdeals03-20", "Amazon Link")</f>
        <v>Amazon Link</v>
      </c>
      <c r="G192" s="11" t="s">
        <v>36</v>
      </c>
      <c r="H192" s="14" t="s">
        <v>2350</v>
      </c>
      <c r="I192" s="11" t="str">
        <f>HYPERLINK("https://redirect.sdcdeals.com/redirect?code=763034&amp;mavely=https://mavely.app.link/e/bhESV2wGrGb&amp;destination=https%3A%2F%2Fwww.kohls.com%2Fsearch.jsp%3Fsubmit-search%3Dweb-regular%26search%3D76190324", "Retail Link")</f>
        <v>Retail Link</v>
      </c>
      <c r="J192" s="14" t="s">
        <v>2326</v>
      </c>
      <c r="K192" s="13" t="s">
        <v>2351</v>
      </c>
      <c r="L192" s="15">
        <v>10.8</v>
      </c>
      <c r="M192" s="15">
        <v>39.1</v>
      </c>
      <c r="N192" s="15">
        <v>15.955</v>
      </c>
      <c r="O192" s="15">
        <f>V192-M192</f>
        <v>-2.3999999999999986</v>
      </c>
      <c r="P192" s="16">
        <f>N192/L192</f>
        <v>1.4773148148148147</v>
      </c>
      <c r="Q192" s="14">
        <v>12581</v>
      </c>
      <c r="R192" s="14"/>
      <c r="S192" s="17">
        <v>0.52029031999999997</v>
      </c>
      <c r="T192" s="15">
        <v>39.1</v>
      </c>
      <c r="U192" s="15">
        <v>36.74</v>
      </c>
      <c r="V192" s="15">
        <v>36.700000000000003</v>
      </c>
      <c r="W192" s="14" t="s">
        <v>124</v>
      </c>
      <c r="X192" s="14">
        <v>1</v>
      </c>
      <c r="Y192" s="10">
        <f>AC192-AB192</f>
        <v>1274</v>
      </c>
      <c r="Z192" s="18">
        <v>30</v>
      </c>
      <c r="AA192" s="18">
        <v>61</v>
      </c>
      <c r="AB192" s="18">
        <v>5</v>
      </c>
      <c r="AC192" s="18">
        <v>1279</v>
      </c>
      <c r="AD192" s="1" t="s">
        <v>2328</v>
      </c>
      <c r="AE192" s="1" t="s">
        <v>76</v>
      </c>
      <c r="AF192" s="4">
        <v>1.97</v>
      </c>
      <c r="AG192" s="4">
        <v>6.48</v>
      </c>
    </row>
    <row r="193" spans="1:33" ht="47.25" hidden="1" customHeight="1" x14ac:dyDescent="0.25">
      <c r="A193" s="10" t="s">
        <v>139</v>
      </c>
      <c r="B193" s="11" t="s">
        <v>33</v>
      </c>
      <c r="C193" s="12" t="s">
        <v>140</v>
      </c>
      <c r="D193" s="27"/>
      <c r="E193" s="14" t="s">
        <v>35</v>
      </c>
      <c r="F193" s="11" t="str">
        <f>HYPERLINK("https://redirect.sdcdeals.com/redirect?destination=https%3A%2F%2Fwww.amazon.com%2Fdp%2FB0D28QWY8P%3Fth%3D1%26psc%3D1%26tag%3Dsdcdeals03-20", "Amazon Link")</f>
        <v>Amazon Link</v>
      </c>
      <c r="G193" s="11" t="s">
        <v>36</v>
      </c>
      <c r="H193" s="14" t="s">
        <v>141</v>
      </c>
      <c r="I193" s="11" t="str">
        <f>HYPERLINK("https://redirect.sdcdeals.com/redirect?code=763034&amp;mavely=https://mavely.app.link/e/bhESV2wGrGb&amp;destination=https%3A%2F%2Fwww.kohls.com%2Fsearch.jsp%3Fsubmit-search%3Dweb-regular%26search%3D66720533", "Retail Link")</f>
        <v>Retail Link</v>
      </c>
      <c r="J193" s="14" t="s">
        <v>142</v>
      </c>
      <c r="K193" s="13" t="s">
        <v>143</v>
      </c>
      <c r="L193" s="15">
        <v>6.8400000000000007</v>
      </c>
      <c r="M193" s="15">
        <v>23.95</v>
      </c>
      <c r="N193" s="15">
        <v>10.0975</v>
      </c>
      <c r="O193" s="15">
        <f>V193-M193</f>
        <v>0</v>
      </c>
      <c r="P193" s="16">
        <f>N193/L193</f>
        <v>1.4762426900584793</v>
      </c>
      <c r="Q193" s="14"/>
      <c r="R193" s="14"/>
      <c r="S193" s="17">
        <v>0.43651476</v>
      </c>
      <c r="T193" s="15">
        <v>23.95</v>
      </c>
      <c r="U193" s="15">
        <v>23.95</v>
      </c>
      <c r="V193" s="15">
        <v>23.95</v>
      </c>
      <c r="W193" s="14" t="s">
        <v>144</v>
      </c>
      <c r="X193" s="14">
        <v>1</v>
      </c>
      <c r="Y193" s="10">
        <f>AC193-AB193</f>
        <v>0</v>
      </c>
      <c r="Z193" s="18">
        <v>-1</v>
      </c>
      <c r="AA193" s="18">
        <v>-1</v>
      </c>
      <c r="AB193" s="18"/>
      <c r="AC193" s="18"/>
      <c r="AE193" s="1" t="s">
        <v>145</v>
      </c>
      <c r="AF193" s="4">
        <v>4.07</v>
      </c>
      <c r="AG193" s="4">
        <v>3.42</v>
      </c>
    </row>
    <row r="194" spans="1:33" ht="47.25" customHeight="1" x14ac:dyDescent="0.25">
      <c r="A194" s="10" t="s">
        <v>1974</v>
      </c>
      <c r="B194" s="11" t="s">
        <v>33</v>
      </c>
      <c r="C194" s="12" t="s">
        <v>1975</v>
      </c>
      <c r="D194" s="27"/>
      <c r="E194" s="14" t="s">
        <v>35</v>
      </c>
      <c r="F194" s="11" t="str">
        <f>HYPERLINK("https://redirect.sdcdeals.com/redirect?destination=https%3A%2F%2Fwww.amazon.com%2Fdp%2FB0883MVXSD%3Fth%3D1%26psc%3D1%26tag%3Dsdcdeals03-20", "Amazon Link")</f>
        <v>Amazon Link</v>
      </c>
      <c r="G194" s="11" t="s">
        <v>36</v>
      </c>
      <c r="H194" s="14" t="s">
        <v>1976</v>
      </c>
      <c r="I194" s="11" t="str">
        <f>HYPERLINK("https://redirect.sdcdeals.com/redirect?code=763034&amp;mavely=https://mavely.app.link/e/bhESV2wGrGb&amp;destination=https%3A%2F%2Fwww.kohls.com%2Fsearch.jsp%3Fsubmit-search%3Dweb-regular%26search%3D82117681", "Retail Link")</f>
        <v>Retail Link</v>
      </c>
      <c r="J194" s="14" t="s">
        <v>1963</v>
      </c>
      <c r="K194" s="13" t="s">
        <v>1977</v>
      </c>
      <c r="L194" s="15">
        <v>9.6000000000000014</v>
      </c>
      <c r="M194" s="15">
        <v>33.99</v>
      </c>
      <c r="N194" s="15">
        <v>14.1715</v>
      </c>
      <c r="O194" s="15">
        <f>V194-M194</f>
        <v>-5.0000000000004263E-2</v>
      </c>
      <c r="P194" s="16">
        <f>N194/L194</f>
        <v>1.4761979166666666</v>
      </c>
      <c r="Q194" s="14">
        <v>36182</v>
      </c>
      <c r="R194" s="14"/>
      <c r="S194" s="17">
        <v>0.76941238000000001</v>
      </c>
      <c r="T194" s="15">
        <v>26.04</v>
      </c>
      <c r="U194" s="15">
        <v>37.299999999999997</v>
      </c>
      <c r="V194" s="15">
        <v>33.94</v>
      </c>
      <c r="W194" s="14" t="s">
        <v>379</v>
      </c>
      <c r="X194" s="14">
        <v>1</v>
      </c>
      <c r="Y194" s="10">
        <f>AC194-AB194</f>
        <v>4846</v>
      </c>
      <c r="Z194" s="18">
        <v>44</v>
      </c>
      <c r="AA194" s="18">
        <v>113</v>
      </c>
      <c r="AB194" s="18">
        <v>45</v>
      </c>
      <c r="AC194" s="18">
        <v>4891</v>
      </c>
      <c r="AD194" s="1" t="s">
        <v>1966</v>
      </c>
      <c r="AE194" s="1" t="s">
        <v>1973</v>
      </c>
      <c r="AF194" s="4">
        <v>5.77</v>
      </c>
      <c r="AG194" s="4">
        <v>5.12</v>
      </c>
    </row>
    <row r="195" spans="1:33" ht="47.25" customHeight="1" x14ac:dyDescent="0.25">
      <c r="A195" s="10" t="s">
        <v>1982</v>
      </c>
      <c r="B195" s="11" t="s">
        <v>33</v>
      </c>
      <c r="C195" s="12" t="s">
        <v>1983</v>
      </c>
      <c r="D195" s="27"/>
      <c r="E195" s="14" t="s">
        <v>35</v>
      </c>
      <c r="F195" s="11" t="str">
        <f>HYPERLINK("https://redirect.sdcdeals.com/redirect?destination=https%3A%2F%2Fwww.amazon.com%2Fdp%2FB0883M36BF%3Fth%3D1%26psc%3D1%26tag%3Dsdcdeals03-20", "Amazon Link")</f>
        <v>Amazon Link</v>
      </c>
      <c r="G195" s="11" t="s">
        <v>36</v>
      </c>
      <c r="H195" s="14" t="s">
        <v>1984</v>
      </c>
      <c r="I195" s="11" t="str">
        <f>HYPERLINK("https://redirect.sdcdeals.com/redirect?code=763034&amp;mavely=https://mavely.app.link/e/bhESV2wGrGb&amp;destination=https%3A%2F%2Fwww.kohls.com%2Fsearch.jsp%3Fsubmit-search%3Dweb-regular%26search%3D34051314", "Retail Link")</f>
        <v>Retail Link</v>
      </c>
      <c r="J195" s="14" t="s">
        <v>1963</v>
      </c>
      <c r="K195" s="13" t="s">
        <v>1985</v>
      </c>
      <c r="L195" s="15">
        <v>9.6000000000000014</v>
      </c>
      <c r="M195" s="15">
        <v>33.99</v>
      </c>
      <c r="N195" s="15">
        <v>14.1715</v>
      </c>
      <c r="O195" s="15">
        <f>V195-M195</f>
        <v>-1.1499999999999986</v>
      </c>
      <c r="P195" s="16">
        <f>N195/L195</f>
        <v>1.4761979166666666</v>
      </c>
      <c r="Q195" s="14">
        <v>36182</v>
      </c>
      <c r="R195" s="14"/>
      <c r="S195" s="17">
        <v>0.87964337999999997</v>
      </c>
      <c r="T195" s="15">
        <v>26.04</v>
      </c>
      <c r="U195" s="15">
        <v>41.08</v>
      </c>
      <c r="V195" s="15">
        <v>32.840000000000003</v>
      </c>
      <c r="W195" s="14" t="s">
        <v>981</v>
      </c>
      <c r="X195" s="14">
        <v>1</v>
      </c>
      <c r="Y195" s="10">
        <f>AC195-AB195</f>
        <v>4861</v>
      </c>
      <c r="Z195" s="18">
        <v>41</v>
      </c>
      <c r="AA195" s="18">
        <v>105</v>
      </c>
      <c r="AB195" s="18">
        <v>30</v>
      </c>
      <c r="AC195" s="18">
        <v>4891</v>
      </c>
      <c r="AD195" s="1" t="s">
        <v>1966</v>
      </c>
      <c r="AE195" s="1" t="s">
        <v>1973</v>
      </c>
      <c r="AF195" s="4">
        <v>5.77</v>
      </c>
      <c r="AG195" s="4">
        <v>5.12</v>
      </c>
    </row>
    <row r="196" spans="1:33" ht="47.25" customHeight="1" x14ac:dyDescent="0.25">
      <c r="A196" s="10" t="s">
        <v>1848</v>
      </c>
      <c r="B196" s="11" t="s">
        <v>33</v>
      </c>
      <c r="C196" s="12" t="s">
        <v>1849</v>
      </c>
      <c r="D196" s="27"/>
      <c r="E196" s="14" t="s">
        <v>35</v>
      </c>
      <c r="F196" s="11" t="str">
        <f>HYPERLINK("https://redirect.sdcdeals.com/redirect?destination=https%3A%2F%2Fwww.amazon.com%2Fdp%2FB0BNC33LRT%3Fth%3D1%26psc%3D1%26tag%3Dsdcdeals03-20", "Amazon Link")</f>
        <v>Amazon Link</v>
      </c>
      <c r="G196" s="11" t="s">
        <v>36</v>
      </c>
      <c r="H196" s="14" t="s">
        <v>1850</v>
      </c>
      <c r="I196" s="11" t="str">
        <f>HYPERLINK("https://redirect.sdcdeals.com/redirect?code=763034&amp;mavely=https://mavely.app.link/e/bhESV2wGrGb&amp;destination=https%3A%2F%2Fwww.kohls.com%2Fsearch.jsp%3Fsubmit-search%3Dweb-regular%26search%3D82004531", "Retail Link")</f>
        <v>Retail Link</v>
      </c>
      <c r="J196" s="14" t="s">
        <v>1809</v>
      </c>
      <c r="K196" s="13" t="s">
        <v>1851</v>
      </c>
      <c r="L196" s="15">
        <v>23.391999999999999</v>
      </c>
      <c r="M196" s="15">
        <v>76.91</v>
      </c>
      <c r="N196" s="15">
        <v>34.421499999999988</v>
      </c>
      <c r="O196" s="15">
        <f>V196-M196</f>
        <v>17.480000000000004</v>
      </c>
      <c r="P196" s="16">
        <f>N196/L196</f>
        <v>1.471507352941176</v>
      </c>
      <c r="Q196" s="14">
        <v>325228</v>
      </c>
      <c r="R196" s="14"/>
      <c r="S196" s="17">
        <v>3.2474052599999998</v>
      </c>
      <c r="T196" s="15">
        <v>76.5</v>
      </c>
      <c r="U196" s="15">
        <v>77.75</v>
      </c>
      <c r="V196" s="15">
        <v>94.39</v>
      </c>
      <c r="W196" s="14" t="s">
        <v>1852</v>
      </c>
      <c r="X196" s="14">
        <v>2</v>
      </c>
      <c r="Y196" s="10">
        <f>AC196-AB196</f>
        <v>116</v>
      </c>
      <c r="Z196" s="18">
        <v>33</v>
      </c>
      <c r="AA196" s="18">
        <v>97</v>
      </c>
      <c r="AB196" s="18">
        <v>8</v>
      </c>
      <c r="AC196" s="18">
        <v>124</v>
      </c>
      <c r="AD196" s="1" t="s">
        <v>1812</v>
      </c>
      <c r="AE196" s="1" t="s">
        <v>1813</v>
      </c>
      <c r="AF196" s="4">
        <v>11.54</v>
      </c>
      <c r="AG196" s="4">
        <v>7.56</v>
      </c>
    </row>
    <row r="197" spans="1:33" ht="47.25" customHeight="1" x14ac:dyDescent="0.25">
      <c r="A197" s="10" t="s">
        <v>3917</v>
      </c>
      <c r="B197" s="11" t="s">
        <v>33</v>
      </c>
      <c r="C197" s="12" t="s">
        <v>3918</v>
      </c>
      <c r="D197" s="27"/>
      <c r="E197" s="14" t="s">
        <v>35</v>
      </c>
      <c r="F197" s="11" t="str">
        <f>HYPERLINK("https://redirect.sdcdeals.com/redirect?destination=https%3A%2F%2Fwww.amazon.com%2Fdp%2FB0B5B99RY2%3Fth%3D1%26psc%3D1%26tag%3Dsdcdeals03-20", "Amazon Link")</f>
        <v>Amazon Link</v>
      </c>
      <c r="G197" s="11" t="s">
        <v>36</v>
      </c>
      <c r="H197" s="14" t="s">
        <v>3919</v>
      </c>
      <c r="I197" s="11" t="str">
        <f>HYPERLINK("https://redirect.sdcdeals.com/redirect?code=763034&amp;mavely=https://mavely.app.link/e/bhESV2wGrGb&amp;destination=https%3A%2F%2Fwww.kohls.com%2Fsearch.jsp%3Fsubmit-search%3Dweb-regular%26search%3D33265897", "Retail Link")</f>
        <v>Retail Link</v>
      </c>
      <c r="J197" s="14" t="s">
        <v>3913</v>
      </c>
      <c r="K197" s="13" t="s">
        <v>3920</v>
      </c>
      <c r="L197" s="15">
        <v>5.4</v>
      </c>
      <c r="M197" s="15">
        <v>20.190000000000001</v>
      </c>
      <c r="N197" s="15">
        <v>7.9215</v>
      </c>
      <c r="O197" s="15">
        <f>V197-M197</f>
        <v>2.1099999999999994</v>
      </c>
      <c r="P197" s="16">
        <f>N197/L197</f>
        <v>1.4669444444444444</v>
      </c>
      <c r="Q197" s="14">
        <v>5210</v>
      </c>
      <c r="R197" s="14"/>
      <c r="S197" s="17">
        <v>0.44092399999999998</v>
      </c>
      <c r="T197" s="15"/>
      <c r="U197" s="15">
        <v>20.190000000000001</v>
      </c>
      <c r="V197" s="15">
        <v>22.3</v>
      </c>
      <c r="W197" s="14" t="s">
        <v>306</v>
      </c>
      <c r="X197" s="14">
        <v>1</v>
      </c>
      <c r="Y197" s="10">
        <f>AC197-AB197</f>
        <v>38199</v>
      </c>
      <c r="Z197" s="18">
        <v>54</v>
      </c>
      <c r="AA197" s="18">
        <v>67</v>
      </c>
      <c r="AB197" s="18">
        <v>7</v>
      </c>
      <c r="AC197" s="18">
        <v>38206</v>
      </c>
      <c r="AD197" s="1" t="s">
        <v>3921</v>
      </c>
      <c r="AE197" s="1" t="s">
        <v>3916</v>
      </c>
      <c r="AG197" s="4">
        <v>3.84</v>
      </c>
    </row>
    <row r="198" spans="1:33" ht="47.25" customHeight="1" x14ac:dyDescent="0.25">
      <c r="A198" s="10" t="s">
        <v>1806</v>
      </c>
      <c r="B198" s="11" t="s">
        <v>33</v>
      </c>
      <c r="C198" s="12" t="s">
        <v>1807</v>
      </c>
      <c r="D198" s="27"/>
      <c r="E198" s="14" t="s">
        <v>35</v>
      </c>
      <c r="F198" s="11" t="str">
        <f>HYPERLINK("https://redirect.sdcdeals.com/redirect?destination=https%3A%2F%2Fwww.amazon.com%2Fdp%2FB0BNC33VP3%3Fth%3D1%26psc%3D1%26tag%3Dsdcdeals03-20", "Amazon Link")</f>
        <v>Amazon Link</v>
      </c>
      <c r="G198" s="11" t="s">
        <v>36</v>
      </c>
      <c r="H198" s="14" t="s">
        <v>1808</v>
      </c>
      <c r="I198" s="11" t="str">
        <f>HYPERLINK("https://redirect.sdcdeals.com/redirect?code=763034&amp;mavely=https://mavely.app.link/e/bhESV2wGrGb&amp;destination=https%3A%2F%2Fwww.kohls.com%2Fsearch.jsp%3Fsubmit-search%3Dweb-regular%26search%3D82004518", "Retail Link")</f>
        <v>Retail Link</v>
      </c>
      <c r="J198" s="14" t="s">
        <v>1809</v>
      </c>
      <c r="K198" s="13" t="s">
        <v>1810</v>
      </c>
      <c r="L198" s="15">
        <v>23.391999999999999</v>
      </c>
      <c r="M198" s="15">
        <v>76.25</v>
      </c>
      <c r="N198" s="15">
        <v>34.260500000000008</v>
      </c>
      <c r="O198" s="15">
        <f>V198-M198</f>
        <v>27.930000000000007</v>
      </c>
      <c r="P198" s="16">
        <f>N198/L198</f>
        <v>1.4646246580027362</v>
      </c>
      <c r="Q198" s="14">
        <v>325228</v>
      </c>
      <c r="R198" s="14"/>
      <c r="S198" s="17">
        <v>2.6962502599999998</v>
      </c>
      <c r="T198" s="15">
        <v>76.25</v>
      </c>
      <c r="U198" s="15"/>
      <c r="V198" s="15">
        <v>104.18</v>
      </c>
      <c r="W198" s="14" t="s">
        <v>1811</v>
      </c>
      <c r="X198" s="14">
        <v>2</v>
      </c>
      <c r="Y198" s="10">
        <f>AC198-AB198</f>
        <v>112</v>
      </c>
      <c r="Z198" s="18">
        <v>36</v>
      </c>
      <c r="AA198" s="18">
        <v>68</v>
      </c>
      <c r="AB198" s="18">
        <v>12</v>
      </c>
      <c r="AC198" s="18">
        <v>124</v>
      </c>
      <c r="AD198" s="1" t="s">
        <v>1812</v>
      </c>
      <c r="AE198" s="1" t="s">
        <v>1813</v>
      </c>
      <c r="AG198" s="4">
        <v>7.16</v>
      </c>
    </row>
    <row r="199" spans="1:33" ht="47.25" customHeight="1" x14ac:dyDescent="0.25">
      <c r="A199" s="10" t="s">
        <v>1550</v>
      </c>
      <c r="B199" s="11" t="s">
        <v>33</v>
      </c>
      <c r="C199" s="12" t="s">
        <v>1551</v>
      </c>
      <c r="D199" s="27"/>
      <c r="E199" s="14" t="s">
        <v>35</v>
      </c>
      <c r="F199" s="11" t="str">
        <f>HYPERLINK("https://redirect.sdcdeals.com/redirect?destination=https%3A%2F%2Fwww.amazon.com%2Fdp%2FB09SB3LP2T%3Fth%3D1%26psc%3D1%26tag%3Dsdcdeals03-20", "Amazon Link")</f>
        <v>Amazon Link</v>
      </c>
      <c r="G199" s="11" t="s">
        <v>36</v>
      </c>
      <c r="H199" s="14" t="s">
        <v>1552</v>
      </c>
      <c r="I199" s="11" t="str">
        <f>HYPERLINK("https://redirect.sdcdeals.com/redirect?code=763034&amp;mavely=https://mavely.app.link/e/bhESV2wGrGb&amp;destination=https%3A%2F%2Fwww.kohls.com%2Fsearch.jsp%3Fsubmit-search%3Dweb-regular%26search%3D55053633", "Retail Link")</f>
        <v>Retail Link</v>
      </c>
      <c r="J199" s="14" t="s">
        <v>1553</v>
      </c>
      <c r="K199" s="13" t="s">
        <v>1554</v>
      </c>
      <c r="L199" s="15">
        <v>3.592000000000001</v>
      </c>
      <c r="M199" s="15">
        <v>15</v>
      </c>
      <c r="N199" s="15">
        <v>5.2579999999999991</v>
      </c>
      <c r="O199" s="15">
        <f>V199-M199</f>
        <v>0</v>
      </c>
      <c r="P199" s="16">
        <f>N199/L199</f>
        <v>1.4638084632516697</v>
      </c>
      <c r="Q199" s="14">
        <v>208593</v>
      </c>
      <c r="R199" s="14"/>
      <c r="S199" s="17">
        <v>9.0389419999999998E-2</v>
      </c>
      <c r="T199" s="15">
        <v>15</v>
      </c>
      <c r="U199" s="15">
        <v>15</v>
      </c>
      <c r="V199" s="15">
        <v>15</v>
      </c>
      <c r="W199" s="14" t="s">
        <v>144</v>
      </c>
      <c r="X199" s="14">
        <v>1</v>
      </c>
      <c r="Y199" s="10">
        <f>AC199-AB199</f>
        <v>2</v>
      </c>
      <c r="Z199" s="18">
        <v>0</v>
      </c>
      <c r="AA199" s="18">
        <v>0</v>
      </c>
      <c r="AB199" s="18">
        <v>6</v>
      </c>
      <c r="AC199" s="18">
        <v>8</v>
      </c>
      <c r="AD199" s="1" t="s">
        <v>1555</v>
      </c>
      <c r="AE199" s="1" t="s">
        <v>1556</v>
      </c>
      <c r="AF199" s="4">
        <v>2.25</v>
      </c>
      <c r="AG199" s="4">
        <v>3.9</v>
      </c>
    </row>
    <row r="200" spans="1:33" ht="47.25" customHeight="1" x14ac:dyDescent="0.25">
      <c r="A200" s="10" t="s">
        <v>32</v>
      </c>
      <c r="B200" s="11" t="s">
        <v>33</v>
      </c>
      <c r="C200" s="12" t="s">
        <v>34</v>
      </c>
      <c r="D200" s="27"/>
      <c r="E200" s="14" t="s">
        <v>35</v>
      </c>
      <c r="F200" s="11" t="str">
        <f>HYPERLINK("https://redirect.sdcdeals.com/redirect?destination=https%3A%2F%2Fwww.amazon.com%2Fdp%2FB0CSPQ6BQ8%3Fth%3D1%26psc%3D1%26tag%3Dsdcdeals03-20", "Amazon Link")</f>
        <v>Amazon Link</v>
      </c>
      <c r="G200" s="11" t="s">
        <v>36</v>
      </c>
      <c r="H200" s="14" t="s">
        <v>37</v>
      </c>
      <c r="I200" s="11" t="str">
        <f>HYPERLINK("https://redirect.sdcdeals.com/redirect?code=763034&amp;mavely=https://mavely.app.link/e/bhESV2wGrGb&amp;destination=https%3A%2F%2Fwww.kohls.com%2Fsearch.jsp%3Fsubmit-search%3Dweb-regular%26search%3D54801844", "Retail Link")</f>
        <v>Retail Link</v>
      </c>
      <c r="J200" s="14" t="s">
        <v>38</v>
      </c>
      <c r="K200" s="13" t="s">
        <v>39</v>
      </c>
      <c r="L200" s="15">
        <v>5.7200000000000006</v>
      </c>
      <c r="M200" s="15">
        <v>24.24</v>
      </c>
      <c r="N200" s="15">
        <v>8.2839999999999989</v>
      </c>
      <c r="O200" s="15">
        <f>V200-M200</f>
        <v>4.0600000000000023</v>
      </c>
      <c r="P200" s="16">
        <f>N200/L200</f>
        <v>1.4482517482517479</v>
      </c>
      <c r="Q200" s="14">
        <v>67337</v>
      </c>
      <c r="R200" s="14"/>
      <c r="S200" s="17">
        <v>0.35273919999999997</v>
      </c>
      <c r="T200" s="15">
        <v>16.25</v>
      </c>
      <c r="U200" s="15">
        <v>27.54</v>
      </c>
      <c r="V200" s="15">
        <v>28.3</v>
      </c>
      <c r="W200" s="14" t="s">
        <v>40</v>
      </c>
      <c r="X200" s="14">
        <v>2</v>
      </c>
      <c r="Y200" s="10">
        <f>AC200-AB200</f>
        <v>1058</v>
      </c>
      <c r="Z200" s="18">
        <v>35</v>
      </c>
      <c r="AA200" s="18">
        <v>86</v>
      </c>
      <c r="AB200" s="18">
        <v>0</v>
      </c>
      <c r="AC200" s="18">
        <v>1058</v>
      </c>
      <c r="AE200" s="1" t="s">
        <v>41</v>
      </c>
      <c r="AF200" s="4">
        <v>4.12</v>
      </c>
      <c r="AG200" s="4">
        <v>6.6</v>
      </c>
    </row>
    <row r="201" spans="1:33" ht="47.25" hidden="1" customHeight="1" x14ac:dyDescent="0.25">
      <c r="A201" s="10" t="s">
        <v>6386</v>
      </c>
      <c r="B201" s="11" t="s">
        <v>33</v>
      </c>
      <c r="C201" s="12" t="s">
        <v>6387</v>
      </c>
      <c r="D201" s="27"/>
      <c r="E201" s="14" t="s">
        <v>35</v>
      </c>
      <c r="F201" s="11" t="str">
        <f>HYPERLINK("https://redirect.sdcdeals.com/redirect?destination=https%3A%2F%2Fwww.amazon.com%2Fdp%2FB0CLPKNBF5%3Fth%3D1%26psc%3D1%26tag%3Dsdcdeals03-20", "Amazon Link")</f>
        <v>Amazon Link</v>
      </c>
      <c r="G201" s="11" t="s">
        <v>36</v>
      </c>
      <c r="H201" s="14" t="s">
        <v>6388</v>
      </c>
      <c r="I201" s="11" t="str">
        <f>HYPERLINK("https://redirect.sdcdeals.com/redirect?code=763034&amp;mavely=https://mavely.app.link/e/bhESV2wGrGb&amp;destination=https%3A%2F%2Fwww.kohls.com%2Fsearch.jsp%3Fsubmit-search%3Dweb-regular%26search%3D19951477", "Retail Link")</f>
        <v>Retail Link</v>
      </c>
      <c r="J201" s="14" t="s">
        <v>6383</v>
      </c>
      <c r="K201" s="13" t="s">
        <v>6389</v>
      </c>
      <c r="L201" s="15">
        <v>16.792000000000002</v>
      </c>
      <c r="M201" s="15">
        <v>57.86</v>
      </c>
      <c r="N201" s="15">
        <v>24.268999999999998</v>
      </c>
      <c r="O201" s="15">
        <f>V201-M201</f>
        <v>-57.86</v>
      </c>
      <c r="P201" s="16">
        <f>N201/L201</f>
        <v>1.4452715578847068</v>
      </c>
      <c r="Q201" s="14"/>
      <c r="R201" s="14"/>
      <c r="S201" s="17">
        <v>2.2597355000000001</v>
      </c>
      <c r="T201" s="15">
        <v>57.86</v>
      </c>
      <c r="U201" s="15"/>
      <c r="V201" s="15"/>
      <c r="W201" s="14" t="s">
        <v>2697</v>
      </c>
      <c r="X201" s="14">
        <v>1</v>
      </c>
      <c r="Y201" s="10">
        <f>AC201-AB201</f>
        <v>0</v>
      </c>
      <c r="Z201" s="18">
        <v>-1</v>
      </c>
      <c r="AA201" s="18">
        <v>-1</v>
      </c>
      <c r="AB201" s="18"/>
      <c r="AC201" s="18"/>
      <c r="AD201" s="1" t="s">
        <v>5939</v>
      </c>
      <c r="AE201" s="1" t="s">
        <v>6385</v>
      </c>
      <c r="AG201" s="4">
        <v>8.1199999999999992</v>
      </c>
    </row>
    <row r="202" spans="1:33" ht="47.25" customHeight="1" x14ac:dyDescent="0.25">
      <c r="A202" s="10" t="s">
        <v>5365</v>
      </c>
      <c r="B202" s="11" t="s">
        <v>33</v>
      </c>
      <c r="C202" s="12" t="s">
        <v>5366</v>
      </c>
      <c r="D202" s="27"/>
      <c r="E202" s="14" t="s">
        <v>35</v>
      </c>
      <c r="F202" s="11" t="str">
        <f>HYPERLINK("https://redirect.sdcdeals.com/redirect?destination=https%3A%2F%2Fwww.amazon.com%2Fdp%2FB0B9P22465%3Fth%3D1%26psc%3D1%26tag%3Dsdcdeals03-20", "Amazon Link")</f>
        <v>Amazon Link</v>
      </c>
      <c r="G202" s="11" t="s">
        <v>36</v>
      </c>
      <c r="H202" s="14" t="s">
        <v>5367</v>
      </c>
      <c r="I202" s="11" t="str">
        <f>HYPERLINK("https://redirect.sdcdeals.com/redirect?code=763034&amp;mavely=https://mavely.app.link/e/bhESV2wGrGb&amp;destination=https%3A%2F%2Fwww.kohls.com%2Fsearch.jsp%3Fsubmit-search%3Dweb-regular%26search%3D70384160", "Retail Link")</f>
        <v>Retail Link</v>
      </c>
      <c r="J202" s="14" t="s">
        <v>5361</v>
      </c>
      <c r="K202" s="13" t="s">
        <v>5368</v>
      </c>
      <c r="L202" s="15">
        <v>36</v>
      </c>
      <c r="M202" s="15">
        <v>129.11000000000001</v>
      </c>
      <c r="N202" s="15">
        <v>51.973500000000023</v>
      </c>
      <c r="O202" s="15">
        <f>V202-M202</f>
        <v>4.6999999999999886</v>
      </c>
      <c r="P202" s="16">
        <f>N202/L202</f>
        <v>1.443708333333334</v>
      </c>
      <c r="Q202" s="14">
        <v>1680195</v>
      </c>
      <c r="R202" s="14"/>
      <c r="S202" s="17">
        <v>2.1495044999999999</v>
      </c>
      <c r="T202" s="15"/>
      <c r="U202" s="15">
        <v>129.11000000000001</v>
      </c>
      <c r="V202" s="15">
        <v>133.81</v>
      </c>
      <c r="W202" s="14" t="s">
        <v>379</v>
      </c>
      <c r="X202" s="14">
        <v>1</v>
      </c>
      <c r="Y202" s="10">
        <f>AC202-AB202</f>
        <v>15</v>
      </c>
      <c r="Z202" s="18">
        <v>1</v>
      </c>
      <c r="AA202" s="18">
        <v>12</v>
      </c>
      <c r="AB202" s="18">
        <v>5</v>
      </c>
      <c r="AC202" s="18">
        <v>20</v>
      </c>
      <c r="AD202" s="1" t="s">
        <v>5369</v>
      </c>
      <c r="AE202" s="1" t="s">
        <v>5370</v>
      </c>
      <c r="AG202" s="4">
        <v>21.77</v>
      </c>
    </row>
    <row r="203" spans="1:33" ht="47.25" customHeight="1" x14ac:dyDescent="0.25">
      <c r="A203" s="10" t="s">
        <v>1843</v>
      </c>
      <c r="B203" s="11" t="s">
        <v>33</v>
      </c>
      <c r="C203" s="12" t="s">
        <v>1844</v>
      </c>
      <c r="D203" s="27"/>
      <c r="E203" s="14" t="s">
        <v>35</v>
      </c>
      <c r="F203" s="11" t="str">
        <f>HYPERLINK("https://redirect.sdcdeals.com/redirect?destination=https%3A%2F%2Fwww.amazon.com%2Fdp%2FB0BJ793MGC%3Fth%3D1%26psc%3D1%26tag%3Dsdcdeals03-20", "Amazon Link")</f>
        <v>Amazon Link</v>
      </c>
      <c r="G203" s="11" t="s">
        <v>36</v>
      </c>
      <c r="H203" s="14" t="s">
        <v>1845</v>
      </c>
      <c r="I203" s="11" t="str">
        <f>HYPERLINK("https://redirect.sdcdeals.com/redirect?code=763034&amp;mavely=https://mavely.app.link/e/bhESV2wGrGb&amp;destination=https%3A%2F%2Fwww.kohls.com%2Fsearch.jsp%3Fsubmit-search%3Dweb-regular%26search%3D82004530", "Retail Link")</f>
        <v>Retail Link</v>
      </c>
      <c r="J203" s="14" t="s">
        <v>1809</v>
      </c>
      <c r="K203" s="13" t="s">
        <v>1846</v>
      </c>
      <c r="L203" s="15">
        <v>23.391999999999999</v>
      </c>
      <c r="M203" s="15">
        <v>76</v>
      </c>
      <c r="N203" s="15">
        <v>33.648000000000003</v>
      </c>
      <c r="O203" s="15">
        <f>V203-M203</f>
        <v>11.829999999999998</v>
      </c>
      <c r="P203" s="16">
        <f>N203/L203</f>
        <v>1.4384404924760603</v>
      </c>
      <c r="Q203" s="14">
        <v>325228</v>
      </c>
      <c r="R203" s="14"/>
      <c r="S203" s="17">
        <v>3.1966990000000002</v>
      </c>
      <c r="T203" s="15">
        <v>76</v>
      </c>
      <c r="U203" s="15"/>
      <c r="V203" s="15">
        <v>87.83</v>
      </c>
      <c r="W203" s="14" t="s">
        <v>1847</v>
      </c>
      <c r="X203" s="14">
        <v>2</v>
      </c>
      <c r="Y203" s="10">
        <f>AC203-AB203</f>
        <v>112</v>
      </c>
      <c r="Z203" s="18">
        <v>45</v>
      </c>
      <c r="AA203" s="18">
        <v>87</v>
      </c>
      <c r="AB203" s="18">
        <v>12</v>
      </c>
      <c r="AC203" s="18">
        <v>124</v>
      </c>
      <c r="AD203" s="1" t="s">
        <v>1812</v>
      </c>
      <c r="AE203" s="1" t="s">
        <v>1813</v>
      </c>
      <c r="AG203" s="4">
        <v>7.56</v>
      </c>
    </row>
    <row r="204" spans="1:33" ht="47.25" customHeight="1" x14ac:dyDescent="0.25">
      <c r="A204" s="10" t="s">
        <v>5127</v>
      </c>
      <c r="B204" s="11" t="s">
        <v>33</v>
      </c>
      <c r="C204" s="12" t="s">
        <v>5128</v>
      </c>
      <c r="D204" s="27"/>
      <c r="E204" s="14" t="s">
        <v>35</v>
      </c>
      <c r="F204" s="11" t="str">
        <f>HYPERLINK("https://redirect.sdcdeals.com/redirect?destination=https%3A%2F%2Fwww.amazon.com%2Fdp%2FB0BN51XFSS%3Fth%3D1%26psc%3D1%26tag%3Dsdcdeals03-20", "Amazon Link")</f>
        <v>Amazon Link</v>
      </c>
      <c r="G204" s="11" t="s">
        <v>36</v>
      </c>
      <c r="H204" s="14" t="s">
        <v>5129</v>
      </c>
      <c r="I204" s="11" t="str">
        <f>HYPERLINK("https://redirect.sdcdeals.com/redirect?code=763034&amp;mavely=https://mavely.app.link/e/bhESV2wGrGb&amp;destination=https%3A%2F%2Fwww.kohls.com%2Fsearch.jsp%3Fsubmit-search%3Dweb-regular%26search%3D78859855", "Retail Link")</f>
        <v>Retail Link</v>
      </c>
      <c r="J204" s="14" t="s">
        <v>5123</v>
      </c>
      <c r="K204" s="13" t="s">
        <v>5130</v>
      </c>
      <c r="L204" s="15">
        <v>15.288</v>
      </c>
      <c r="M204" s="15">
        <v>50.98</v>
      </c>
      <c r="N204" s="15">
        <v>21.905000000000001</v>
      </c>
      <c r="O204" s="15">
        <f>V204-M204</f>
        <v>1.1300000000000026</v>
      </c>
      <c r="P204" s="16">
        <f>N204/L204</f>
        <v>1.4328231292517006</v>
      </c>
      <c r="Q204" s="14">
        <v>466301</v>
      </c>
      <c r="R204" s="14"/>
      <c r="S204" s="17">
        <v>0.79366320000000001</v>
      </c>
      <c r="T204" s="15"/>
      <c r="U204" s="15">
        <v>50.98</v>
      </c>
      <c r="V204" s="15">
        <v>52.11</v>
      </c>
      <c r="W204" s="14" t="s">
        <v>352</v>
      </c>
      <c r="X204" s="14">
        <v>1</v>
      </c>
      <c r="Y204" s="10">
        <f>AC204-AB204</f>
        <v>138</v>
      </c>
      <c r="Z204" s="18">
        <v>6</v>
      </c>
      <c r="AA204" s="18">
        <v>31</v>
      </c>
      <c r="AB204" s="18">
        <v>3</v>
      </c>
      <c r="AC204" s="18">
        <v>141</v>
      </c>
      <c r="AD204" s="1" t="s">
        <v>5131</v>
      </c>
      <c r="AE204" s="1" t="s">
        <v>5132</v>
      </c>
      <c r="AG204" s="4">
        <v>6.14</v>
      </c>
    </row>
    <row r="205" spans="1:33" ht="47.25" customHeight="1" x14ac:dyDescent="0.25">
      <c r="A205" s="10" t="s">
        <v>423</v>
      </c>
      <c r="B205" s="11" t="s">
        <v>33</v>
      </c>
      <c r="C205" s="12" t="s">
        <v>424</v>
      </c>
      <c r="D205" s="27"/>
      <c r="E205" s="14" t="s">
        <v>35</v>
      </c>
      <c r="F205" s="11" t="str">
        <f>HYPERLINK("https://redirect.sdcdeals.com/redirect?destination=https%3A%2F%2Fwww.amazon.com%2Fdp%2FB09PDY8WN1%3Fth%3D1%26psc%3D1%26tag%3Dsdcdeals03-20", "Amazon Link")</f>
        <v>Amazon Link</v>
      </c>
      <c r="G205" s="11" t="s">
        <v>36</v>
      </c>
      <c r="H205" s="14" t="s">
        <v>425</v>
      </c>
      <c r="I205" s="11" t="str">
        <f>HYPERLINK("https://redirect.sdcdeals.com/redirect?code=763034&amp;mavely=https://mavely.app.link/e/bhESV2wGrGb&amp;destination=https%3A%2F%2Fwww.kohls.com%2Fsearch.jsp%3Fsubmit-search%3Dweb-regular%26search%3D49080752", "Retail Link")</f>
        <v>Retail Link</v>
      </c>
      <c r="J205" s="14" t="s">
        <v>426</v>
      </c>
      <c r="K205" s="13" t="s">
        <v>427</v>
      </c>
      <c r="L205" s="15">
        <v>12</v>
      </c>
      <c r="M205" s="15">
        <v>42.61</v>
      </c>
      <c r="N205" s="15">
        <v>17.138500000000001</v>
      </c>
      <c r="O205" s="15">
        <f>V205-M205</f>
        <v>0</v>
      </c>
      <c r="P205" s="16">
        <f>N205/L205</f>
        <v>1.4282083333333333</v>
      </c>
      <c r="Q205" s="14">
        <v>1284819</v>
      </c>
      <c r="R205" s="14"/>
      <c r="S205" s="17">
        <v>1.36906902</v>
      </c>
      <c r="T205" s="15"/>
      <c r="U205" s="15"/>
      <c r="V205" s="15">
        <v>42.61</v>
      </c>
      <c r="W205" s="14" t="s">
        <v>282</v>
      </c>
      <c r="X205" s="14"/>
      <c r="Y205" s="10">
        <f>AC205-AB205</f>
        <v>20</v>
      </c>
      <c r="Z205" s="18">
        <v>1</v>
      </c>
      <c r="AA205" s="18">
        <v>4</v>
      </c>
      <c r="AB205" s="18">
        <v>1</v>
      </c>
      <c r="AC205" s="18">
        <v>21</v>
      </c>
      <c r="AE205" s="1" t="s">
        <v>76</v>
      </c>
      <c r="AG205" s="4">
        <v>7.08</v>
      </c>
    </row>
    <row r="206" spans="1:33" ht="47.25" customHeight="1" x14ac:dyDescent="0.25">
      <c r="A206" s="10" t="s">
        <v>6761</v>
      </c>
      <c r="B206" s="11" t="s">
        <v>33</v>
      </c>
      <c r="C206" s="12" t="s">
        <v>6762</v>
      </c>
      <c r="D206" s="27"/>
      <c r="E206" s="14" t="s">
        <v>35</v>
      </c>
      <c r="F206" s="11" t="str">
        <f>HYPERLINK("https://redirect.sdcdeals.com/redirect?destination=https%3A%2F%2Fwww.amazon.com%2Fdp%2FB0B5B6MP5V%3Fth%3D1%26psc%3D1%26tag%3Dsdcdeals03-20", "Amazon Link")</f>
        <v>Amazon Link</v>
      </c>
      <c r="G206" s="11" t="s">
        <v>36</v>
      </c>
      <c r="H206" s="14" t="s">
        <v>6763</v>
      </c>
      <c r="I206" s="11" t="str">
        <f>HYPERLINK("https://redirect.sdcdeals.com/redirect?code=763034&amp;mavely=https://mavely.app.link/e/bhESV2wGrGb&amp;destination=https%3A%2F%2Fwww.kohls.com%2Fsearch.jsp%3Fsubmit-search%3Dweb-regular%26search%3D18758014", "Retail Link")</f>
        <v>Retail Link</v>
      </c>
      <c r="J206" s="14" t="s">
        <v>6764</v>
      </c>
      <c r="K206" s="13" t="s">
        <v>6765</v>
      </c>
      <c r="L206" s="15">
        <v>5.4</v>
      </c>
      <c r="M206" s="15">
        <v>20.64</v>
      </c>
      <c r="N206" s="15">
        <v>7.6940000000000008</v>
      </c>
      <c r="O206" s="15">
        <f>V206-M206</f>
        <v>0.37999999999999901</v>
      </c>
      <c r="P206" s="16">
        <f>N206/L206</f>
        <v>1.424814814814815</v>
      </c>
      <c r="Q206" s="14">
        <v>495232</v>
      </c>
      <c r="R206" s="14"/>
      <c r="S206" s="17">
        <v>0.24030357999999999</v>
      </c>
      <c r="T206" s="15">
        <v>20.64</v>
      </c>
      <c r="U206" s="15">
        <v>21.02</v>
      </c>
      <c r="V206" s="15">
        <v>21.02</v>
      </c>
      <c r="W206" s="14" t="s">
        <v>2253</v>
      </c>
      <c r="X206" s="14">
        <v>1</v>
      </c>
      <c r="Y206" s="10">
        <f>AC206-AB206</f>
        <v>15</v>
      </c>
      <c r="Z206" s="18">
        <v>9</v>
      </c>
      <c r="AA206" s="18">
        <v>30</v>
      </c>
      <c r="AB206" s="18">
        <v>12</v>
      </c>
      <c r="AC206" s="18">
        <v>27</v>
      </c>
      <c r="AD206" s="1" t="s">
        <v>6766</v>
      </c>
      <c r="AE206" s="1" t="s">
        <v>76</v>
      </c>
      <c r="AF206" s="4">
        <v>3.51</v>
      </c>
      <c r="AG206" s="4">
        <v>4.45</v>
      </c>
    </row>
    <row r="207" spans="1:33" ht="47.25" customHeight="1" x14ac:dyDescent="0.25">
      <c r="A207" s="10" t="s">
        <v>1814</v>
      </c>
      <c r="B207" s="11" t="s">
        <v>33</v>
      </c>
      <c r="C207" s="12" t="s">
        <v>1815</v>
      </c>
      <c r="D207" s="27"/>
      <c r="E207" s="14" t="s">
        <v>35</v>
      </c>
      <c r="F207" s="11" t="str">
        <f>HYPERLINK("https://redirect.sdcdeals.com/redirect?destination=https%3A%2F%2Fwww.amazon.com%2Fdp%2FB0BNC3BDWB%3Fth%3D1%26psc%3D1%26tag%3Dsdcdeals03-20", "Amazon Link")</f>
        <v>Amazon Link</v>
      </c>
      <c r="G207" s="11" t="s">
        <v>36</v>
      </c>
      <c r="H207" s="14" t="s">
        <v>1816</v>
      </c>
      <c r="I207" s="11" t="str">
        <f>HYPERLINK("https://redirect.sdcdeals.com/redirect?code=763034&amp;mavely=https://mavely.app.link/e/bhESV2wGrGb&amp;destination=https%3A%2F%2Fwww.kohls.com%2Fsearch.jsp%3Fsubmit-search%3Dweb-regular%26search%3D82004519", "Retail Link")</f>
        <v>Retail Link</v>
      </c>
      <c r="J207" s="14" t="s">
        <v>1809</v>
      </c>
      <c r="K207" s="13" t="s">
        <v>1817</v>
      </c>
      <c r="L207" s="15">
        <v>23.391999999999999</v>
      </c>
      <c r="M207" s="15">
        <v>75</v>
      </c>
      <c r="N207" s="15">
        <v>33.198000000000008</v>
      </c>
      <c r="O207" s="15">
        <f>V207-M207</f>
        <v>7.5999999999999943</v>
      </c>
      <c r="P207" s="16">
        <f>N207/L207</f>
        <v>1.4192031463748294</v>
      </c>
      <c r="Q207" s="14">
        <v>325228</v>
      </c>
      <c r="R207" s="14"/>
      <c r="S207" s="17">
        <v>2.7249103200000002</v>
      </c>
      <c r="T207" s="15">
        <v>75</v>
      </c>
      <c r="U207" s="15">
        <v>82.09</v>
      </c>
      <c r="V207" s="15">
        <v>82.6</v>
      </c>
      <c r="W207" s="14" t="s">
        <v>991</v>
      </c>
      <c r="X207" s="14">
        <v>2</v>
      </c>
      <c r="Y207" s="10">
        <f>AC207-AB207</f>
        <v>118</v>
      </c>
      <c r="Z207" s="18">
        <v>39</v>
      </c>
      <c r="AA207" s="18">
        <v>77</v>
      </c>
      <c r="AB207" s="18">
        <v>6</v>
      </c>
      <c r="AC207" s="18">
        <v>124</v>
      </c>
      <c r="AD207" s="1" t="s">
        <v>1812</v>
      </c>
      <c r="AE207" s="1" t="s">
        <v>1813</v>
      </c>
      <c r="AG207" s="4">
        <v>7.16</v>
      </c>
    </row>
    <row r="208" spans="1:33" ht="47.25" customHeight="1" x14ac:dyDescent="0.25">
      <c r="A208" s="10" t="s">
        <v>3254</v>
      </c>
      <c r="B208" s="11" t="s">
        <v>33</v>
      </c>
      <c r="C208" s="12" t="s">
        <v>3255</v>
      </c>
      <c r="D208" s="27"/>
      <c r="E208" s="14" t="s">
        <v>35</v>
      </c>
      <c r="F208" s="11" t="str">
        <f>HYPERLINK("https://redirect.sdcdeals.com/redirect?destination=https%3A%2F%2Fwww.amazon.com%2Fdp%2FB09KMK9NT9%3Fth%3D1%26psc%3D1%26tag%3Dsdcdeals03-20", "Amazon Link")</f>
        <v>Amazon Link</v>
      </c>
      <c r="G208" s="11" t="s">
        <v>36</v>
      </c>
      <c r="H208" s="14" t="s">
        <v>3256</v>
      </c>
      <c r="I208" s="11" t="str">
        <f>HYPERLINK("https://redirect.sdcdeals.com/redirect?code=763034&amp;mavely=https://mavely.app.link/e/bhESV2wGrGb&amp;destination=https%3A%2F%2Fwww.kohls.com%2Fsearch.jsp%3Fsubmit-search%3Dweb-regular%26search%3D29769612", "Retail Link")</f>
        <v>Retail Link</v>
      </c>
      <c r="J208" s="14" t="s">
        <v>3216</v>
      </c>
      <c r="K208" s="13" t="s">
        <v>3257</v>
      </c>
      <c r="L208" s="15">
        <v>15.4</v>
      </c>
      <c r="M208" s="15">
        <v>52.88</v>
      </c>
      <c r="N208" s="15">
        <v>21.827999999999999</v>
      </c>
      <c r="O208" s="15">
        <f>V208-M208</f>
        <v>-13.79</v>
      </c>
      <c r="P208" s="16">
        <f>N208/L208</f>
        <v>1.4174025974025974</v>
      </c>
      <c r="Q208" s="14">
        <v>527597</v>
      </c>
      <c r="R208" s="14"/>
      <c r="S208" s="17">
        <v>1.3227720000000001</v>
      </c>
      <c r="T208" s="15">
        <v>51.43</v>
      </c>
      <c r="U208" s="15">
        <v>43.61</v>
      </c>
      <c r="V208" s="15">
        <v>39.090000000000003</v>
      </c>
      <c r="W208" s="14" t="s">
        <v>3258</v>
      </c>
      <c r="X208" s="14">
        <v>2</v>
      </c>
      <c r="Y208" s="10">
        <f>AC208-AB208</f>
        <v>0</v>
      </c>
      <c r="Z208" s="18">
        <v>15</v>
      </c>
      <c r="AA208" s="18">
        <v>39</v>
      </c>
      <c r="AB208" s="18">
        <v>4</v>
      </c>
      <c r="AC208" s="18">
        <v>4</v>
      </c>
      <c r="AD208" s="1" t="s">
        <v>3218</v>
      </c>
      <c r="AE208" s="1" t="s">
        <v>3229</v>
      </c>
      <c r="AF208" s="4">
        <v>8.99</v>
      </c>
      <c r="AG208" s="4">
        <v>7.72</v>
      </c>
    </row>
    <row r="209" spans="1:33" ht="47.25" customHeight="1" x14ac:dyDescent="0.25">
      <c r="A209" s="10" t="s">
        <v>955</v>
      </c>
      <c r="B209" s="11" t="s">
        <v>33</v>
      </c>
      <c r="C209" s="12" t="s">
        <v>956</v>
      </c>
      <c r="D209" s="27"/>
      <c r="E209" s="14" t="s">
        <v>35</v>
      </c>
      <c r="F209" s="11" t="str">
        <f>HYPERLINK("https://redirect.sdcdeals.com/redirect?destination=https%3A%2F%2Fwww.amazon.com%2Fdp%2FB0B9XF6RNQ%3Fth%3D1%26psc%3D1%26tag%3Dsdcdeals03-20", "Amazon Link")</f>
        <v>Amazon Link</v>
      </c>
      <c r="G209" s="11" t="s">
        <v>36</v>
      </c>
      <c r="H209" s="14" t="s">
        <v>957</v>
      </c>
      <c r="I209" s="11" t="str">
        <f>HYPERLINK("https://redirect.sdcdeals.com/redirect?code=763034&amp;mavely=https://mavely.app.link/e/bhESV2wGrGb&amp;destination=https%3A%2F%2Fwww.kohls.com%2Fsearch.jsp%3Fsubmit-search%3Dweb-regular%26search%3D34116148", "Retail Link")</f>
        <v>Retail Link</v>
      </c>
      <c r="J209" s="14" t="s">
        <v>952</v>
      </c>
      <c r="K209" s="13" t="s">
        <v>958</v>
      </c>
      <c r="L209" s="15">
        <v>8.9920000000000009</v>
      </c>
      <c r="M209" s="15">
        <v>32.04</v>
      </c>
      <c r="N209" s="15">
        <v>12.722</v>
      </c>
      <c r="O209" s="15">
        <f>V209-M209</f>
        <v>0</v>
      </c>
      <c r="P209" s="16">
        <f>N209/L209</f>
        <v>1.4148131672597863</v>
      </c>
      <c r="Q209" s="14">
        <v>6700686</v>
      </c>
      <c r="R209" s="14"/>
      <c r="S209" s="17">
        <v>0.95019122</v>
      </c>
      <c r="T209" s="15"/>
      <c r="U209" s="15"/>
      <c r="V209" s="15">
        <v>32.04</v>
      </c>
      <c r="W209" s="14" t="s">
        <v>959</v>
      </c>
      <c r="X209" s="14"/>
      <c r="Y209" s="10">
        <f>AC209-AB209</f>
        <v>1</v>
      </c>
      <c r="Z209" s="18">
        <v>0</v>
      </c>
      <c r="AA209" s="18">
        <v>0</v>
      </c>
      <c r="AB209" s="18">
        <v>0</v>
      </c>
      <c r="AC209" s="18">
        <v>1</v>
      </c>
      <c r="AE209" s="1" t="s">
        <v>954</v>
      </c>
      <c r="AG209" s="4">
        <v>5.52</v>
      </c>
    </row>
    <row r="210" spans="1:33" ht="47.25" customHeight="1" x14ac:dyDescent="0.25">
      <c r="A210" s="10" t="s">
        <v>3462</v>
      </c>
      <c r="B210" s="11" t="s">
        <v>33</v>
      </c>
      <c r="C210" s="12" t="s">
        <v>3463</v>
      </c>
      <c r="D210" s="27"/>
      <c r="E210" s="14" t="s">
        <v>35</v>
      </c>
      <c r="F210" s="11" t="str">
        <f>HYPERLINK("https://redirect.sdcdeals.com/redirect?destination=https%3A%2F%2Fwww.amazon.com%2Fdp%2FB0BZDT71LY%3Fth%3D1%26psc%3D1%26tag%3Dsdcdeals03-20", "Amazon Link")</f>
        <v>Amazon Link</v>
      </c>
      <c r="G210" s="11" t="s">
        <v>36</v>
      </c>
      <c r="H210" s="14" t="s">
        <v>3464</v>
      </c>
      <c r="I210" s="11" t="str">
        <f>HYPERLINK("https://redirect.sdcdeals.com/redirect?code=763034&amp;mavely=https://mavely.app.link/e/bhESV2wGrGb&amp;destination=https%3A%2F%2Fwww.kohls.com%2Fsearch.jsp%3Fsubmit-search%3Dweb-regular%26search%3D55684937", "Retail Link")</f>
        <v>Retail Link</v>
      </c>
      <c r="J210" s="14" t="s">
        <v>3413</v>
      </c>
      <c r="K210" s="13" t="s">
        <v>3465</v>
      </c>
      <c r="L210" s="15">
        <v>12.48</v>
      </c>
      <c r="M210" s="15">
        <v>42.99</v>
      </c>
      <c r="N210" s="15">
        <v>17.581499999999998</v>
      </c>
      <c r="O210" s="15">
        <f>V210-M210</f>
        <v>-2.0200000000000031</v>
      </c>
      <c r="P210" s="16">
        <f>N210/L210</f>
        <v>1.4087740384615384</v>
      </c>
      <c r="Q210" s="14">
        <v>87409</v>
      </c>
      <c r="R210" s="14"/>
      <c r="S210" s="17">
        <v>1.3756828800000001</v>
      </c>
      <c r="T210" s="15">
        <v>42.99</v>
      </c>
      <c r="U210" s="15">
        <v>40.659999999999997</v>
      </c>
      <c r="V210" s="15">
        <v>40.97</v>
      </c>
      <c r="W210" s="14" t="s">
        <v>1459</v>
      </c>
      <c r="X210" s="14">
        <v>1</v>
      </c>
      <c r="Y210" s="10">
        <f>AC210-AB210</f>
        <v>3500</v>
      </c>
      <c r="Z210" s="18">
        <v>31</v>
      </c>
      <c r="AA210" s="18">
        <v>97</v>
      </c>
      <c r="AB210" s="18">
        <v>0</v>
      </c>
      <c r="AC210" s="18">
        <v>3500</v>
      </c>
      <c r="AD210" s="1" t="s">
        <v>1037</v>
      </c>
      <c r="AE210" s="1" t="s">
        <v>3421</v>
      </c>
      <c r="AF210" s="4">
        <v>7.31</v>
      </c>
      <c r="AG210" s="4">
        <v>6.48</v>
      </c>
    </row>
    <row r="211" spans="1:33" ht="47.25" customHeight="1" x14ac:dyDescent="0.25">
      <c r="A211" s="10" t="s">
        <v>4188</v>
      </c>
      <c r="B211" s="11" t="s">
        <v>33</v>
      </c>
      <c r="C211" s="12" t="s">
        <v>4189</v>
      </c>
      <c r="D211" s="27"/>
      <c r="E211" s="14" t="s">
        <v>35</v>
      </c>
      <c r="F211" s="11" t="str">
        <f>HYPERLINK("https://redirect.sdcdeals.com/redirect?destination=https%3A%2F%2Fwww.amazon.com%2Fdp%2FB0B6PKN4BC%3Fth%3D1%26psc%3D1%26tag%3Dsdcdeals03-20", "Amazon Link")</f>
        <v>Amazon Link</v>
      </c>
      <c r="G211" s="11" t="s">
        <v>36</v>
      </c>
      <c r="H211" s="14" t="s">
        <v>4190</v>
      </c>
      <c r="I211" s="11" t="str">
        <f>HYPERLINK("https://redirect.sdcdeals.com/redirect?code=763034&amp;mavely=https://mavely.app.link/e/bhESV2wGrGb&amp;destination=https%3A%2F%2Fwww.kohls.com%2Fsearch.jsp%3Fsubmit-search%3Dweb-regular%26search%3D20144520", "Retail Link")</f>
        <v>Retail Link</v>
      </c>
      <c r="J211" s="14" t="s">
        <v>4180</v>
      </c>
      <c r="K211" s="13" t="s">
        <v>4191</v>
      </c>
      <c r="L211" s="15">
        <v>6.76</v>
      </c>
      <c r="M211" s="15">
        <v>25.96</v>
      </c>
      <c r="N211" s="15">
        <v>9.4859999999999989</v>
      </c>
      <c r="O211" s="15">
        <f>V211-M211</f>
        <v>9.9999999999997868E-2</v>
      </c>
      <c r="P211" s="16">
        <f>N211/L211</f>
        <v>1.4032544378698224</v>
      </c>
      <c r="Q211" s="14">
        <v>4069597</v>
      </c>
      <c r="R211" s="14"/>
      <c r="S211" s="17">
        <v>0.37037616000000001</v>
      </c>
      <c r="T211" s="15">
        <v>19.100000000000001</v>
      </c>
      <c r="U211" s="15">
        <v>25.99</v>
      </c>
      <c r="V211" s="15">
        <v>26.06</v>
      </c>
      <c r="W211" s="14" t="s">
        <v>4192</v>
      </c>
      <c r="X211" s="14">
        <v>3</v>
      </c>
      <c r="Y211" s="10">
        <f>AC211-AB211</f>
        <v>0</v>
      </c>
      <c r="Z211" s="18">
        <v>0</v>
      </c>
      <c r="AA211" s="18">
        <v>1</v>
      </c>
      <c r="AB211" s="18">
        <v>3</v>
      </c>
      <c r="AC211" s="18">
        <v>3</v>
      </c>
      <c r="AD211" s="1" t="s">
        <v>4182</v>
      </c>
      <c r="AE211" s="1" t="s">
        <v>1085</v>
      </c>
      <c r="AF211" s="4">
        <v>4.42</v>
      </c>
      <c r="AG211" s="4">
        <v>5.82</v>
      </c>
    </row>
    <row r="212" spans="1:33" ht="47.25" customHeight="1" x14ac:dyDescent="0.25">
      <c r="A212" s="10" t="s">
        <v>6772</v>
      </c>
      <c r="B212" s="11" t="s">
        <v>33</v>
      </c>
      <c r="C212" s="12" t="s">
        <v>6773</v>
      </c>
      <c r="D212" s="27"/>
      <c r="E212" s="14" t="s">
        <v>35</v>
      </c>
      <c r="F212" s="11" t="str">
        <f>HYPERLINK("https://redirect.sdcdeals.com/redirect?destination=https%3A%2F%2Fwww.amazon.com%2Fdp%2FB0B5B93C7F%3Fth%3D1%26psc%3D1%26tag%3Dsdcdeals03-20", "Amazon Link")</f>
        <v>Amazon Link</v>
      </c>
      <c r="G212" s="11" t="s">
        <v>36</v>
      </c>
      <c r="H212" s="14" t="s">
        <v>6774</v>
      </c>
      <c r="I212" s="11" t="str">
        <f>HYPERLINK("https://redirect.sdcdeals.com/redirect?code=763034&amp;mavely=https://mavely.app.link/e/bhESV2wGrGb&amp;destination=https%3A%2F%2Fwww.kohls.com%2Fsearch.jsp%3Fsubmit-search%3Dweb-regular%26search%3D18758016", "Retail Link")</f>
        <v>Retail Link</v>
      </c>
      <c r="J212" s="14" t="s">
        <v>6764</v>
      </c>
      <c r="K212" s="13" t="s">
        <v>6775</v>
      </c>
      <c r="L212" s="15">
        <v>5.4</v>
      </c>
      <c r="M212" s="15">
        <v>20.46</v>
      </c>
      <c r="N212" s="15">
        <v>7.5410000000000021</v>
      </c>
      <c r="O212" s="15">
        <f>V212-M212</f>
        <v>0.39999999999999858</v>
      </c>
      <c r="P212" s="16">
        <f>N212/L212</f>
        <v>1.3964814814814819</v>
      </c>
      <c r="Q212" s="14">
        <v>873587</v>
      </c>
      <c r="R212" s="14"/>
      <c r="S212" s="17">
        <v>0.24030357999999999</v>
      </c>
      <c r="T212" s="15">
        <v>20.46</v>
      </c>
      <c r="U212" s="15">
        <v>19.260000000000002</v>
      </c>
      <c r="V212" s="15">
        <v>20.86</v>
      </c>
      <c r="W212" s="14" t="s">
        <v>4584</v>
      </c>
      <c r="X212" s="14">
        <v>1</v>
      </c>
      <c r="Y212" s="10">
        <f>AC212-AB212</f>
        <v>22</v>
      </c>
      <c r="Z212" s="18">
        <v>16</v>
      </c>
      <c r="AA212" s="18">
        <v>36</v>
      </c>
      <c r="AB212" s="18">
        <v>5</v>
      </c>
      <c r="AC212" s="18">
        <v>27</v>
      </c>
      <c r="AD212" s="1" t="s">
        <v>6776</v>
      </c>
      <c r="AE212" s="1" t="s">
        <v>76</v>
      </c>
      <c r="AF212" s="4">
        <v>3.48</v>
      </c>
      <c r="AG212" s="4">
        <v>4.45</v>
      </c>
    </row>
    <row r="213" spans="1:33" ht="47.25" customHeight="1" x14ac:dyDescent="0.25">
      <c r="A213" s="10" t="s">
        <v>3436</v>
      </c>
      <c r="B213" s="11" t="s">
        <v>33</v>
      </c>
      <c r="C213" s="12" t="s">
        <v>3437</v>
      </c>
      <c r="D213" s="27"/>
      <c r="E213" s="14" t="s">
        <v>35</v>
      </c>
      <c r="F213" s="11" t="str">
        <f>HYPERLINK("https://redirect.sdcdeals.com/redirect?destination=https%3A%2F%2Fwww.amazon.com%2Fdp%2FB0BZDVVBTV%3Fth%3D1%26psc%3D1%26tag%3Dsdcdeals03-20", "Amazon Link")</f>
        <v>Amazon Link</v>
      </c>
      <c r="G213" s="11" t="s">
        <v>36</v>
      </c>
      <c r="H213" s="14" t="s">
        <v>3438</v>
      </c>
      <c r="I213" s="11" t="str">
        <f>HYPERLINK("https://redirect.sdcdeals.com/redirect?code=763034&amp;mavely=https://mavely.app.link/e/bhESV2wGrGb&amp;destination=https%3A%2F%2Fwww.kohls.com%2Fsearch.jsp%3Fsubmit-search%3Dweb-regular%26search%3D55684935", "Retail Link")</f>
        <v>Retail Link</v>
      </c>
      <c r="J213" s="14" t="s">
        <v>3413</v>
      </c>
      <c r="K213" s="13" t="s">
        <v>3439</v>
      </c>
      <c r="L213" s="15">
        <v>12.48</v>
      </c>
      <c r="M213" s="15">
        <v>42.99</v>
      </c>
      <c r="N213" s="15">
        <v>17.391500000000001</v>
      </c>
      <c r="O213" s="15">
        <f>V213-M213</f>
        <v>-2.7800000000000011</v>
      </c>
      <c r="P213" s="16">
        <f>N213/L213</f>
        <v>1.3935496794871796</v>
      </c>
      <c r="Q213" s="14">
        <v>87409</v>
      </c>
      <c r="R213" s="14"/>
      <c r="S213" s="17">
        <v>1.3007257999999999</v>
      </c>
      <c r="T213" s="15">
        <v>42.99</v>
      </c>
      <c r="U213" s="15">
        <v>39.18</v>
      </c>
      <c r="V213" s="15">
        <v>40.21</v>
      </c>
      <c r="W213" s="14" t="s">
        <v>3070</v>
      </c>
      <c r="X213" s="14">
        <v>1</v>
      </c>
      <c r="Y213" s="10">
        <f>AC213-AB213</f>
        <v>3500</v>
      </c>
      <c r="Z213" s="18">
        <v>29</v>
      </c>
      <c r="AA213" s="18">
        <v>85</v>
      </c>
      <c r="AB213" s="18">
        <v>0</v>
      </c>
      <c r="AC213" s="18">
        <v>3500</v>
      </c>
      <c r="AD213" s="1" t="s">
        <v>1037</v>
      </c>
      <c r="AE213" s="1" t="s">
        <v>3421</v>
      </c>
      <c r="AF213" s="4">
        <v>7.31</v>
      </c>
      <c r="AG213" s="4">
        <v>6.67</v>
      </c>
    </row>
    <row r="214" spans="1:33" ht="47.25" customHeight="1" x14ac:dyDescent="0.25">
      <c r="A214" s="10" t="s">
        <v>6462</v>
      </c>
      <c r="B214" s="11" t="s">
        <v>33</v>
      </c>
      <c r="C214" s="12" t="s">
        <v>6463</v>
      </c>
      <c r="D214" s="27"/>
      <c r="E214" s="14" t="s">
        <v>35</v>
      </c>
      <c r="F214" s="11" t="str">
        <f>HYPERLINK("https://redirect.sdcdeals.com/redirect?destination=https%3A%2F%2Fwww.amazon.com%2Fdp%2FB0BPF1NQDQ%3Fth%3D1%26psc%3D1%26tag%3Dsdcdeals03-20", "Amazon Link")</f>
        <v>Amazon Link</v>
      </c>
      <c r="G214" s="11" t="s">
        <v>36</v>
      </c>
      <c r="H214" s="14" t="s">
        <v>6464</v>
      </c>
      <c r="I214" s="11" t="str">
        <f>HYPERLINK("https://redirect.sdcdeals.com/redirect?code=763034&amp;mavely=https://mavely.app.link/e/bhESV2wGrGb&amp;destination=https%3A%2F%2Fwww.kohls.com%2Fsearch.jsp%3Fsubmit-search%3Dweb-regular%26search%3D74405962", "Retail Link")</f>
        <v>Retail Link</v>
      </c>
      <c r="J214" s="14" t="s">
        <v>6447</v>
      </c>
      <c r="K214" s="13" t="s">
        <v>6465</v>
      </c>
      <c r="L214" s="15">
        <v>4.84</v>
      </c>
      <c r="M214" s="15">
        <v>19.899999999999999</v>
      </c>
      <c r="N214" s="15">
        <v>6.7049999999999983</v>
      </c>
      <c r="O214" s="15">
        <f>V214-M214</f>
        <v>-2.2099999999999973</v>
      </c>
      <c r="P214" s="16">
        <f>N214/L214</f>
        <v>1.3853305785123964</v>
      </c>
      <c r="Q214" s="14">
        <v>93705</v>
      </c>
      <c r="R214" s="14"/>
      <c r="S214" s="17">
        <v>0.31085141999999999</v>
      </c>
      <c r="T214" s="15"/>
      <c r="U214" s="15">
        <v>19.899999999999999</v>
      </c>
      <c r="V214" s="15">
        <v>17.690000000000001</v>
      </c>
      <c r="W214" s="14" t="s">
        <v>2697</v>
      </c>
      <c r="X214" s="14">
        <v>2</v>
      </c>
      <c r="Y214" s="10">
        <f>AC214-AB214</f>
        <v>25</v>
      </c>
      <c r="Z214" s="18">
        <v>12</v>
      </c>
      <c r="AA214" s="18">
        <v>43</v>
      </c>
      <c r="AB214" s="18">
        <v>2</v>
      </c>
      <c r="AC214" s="18">
        <v>27</v>
      </c>
      <c r="AD214" s="1" t="s">
        <v>6449</v>
      </c>
      <c r="AE214" s="1" t="s">
        <v>5497</v>
      </c>
      <c r="AG214" s="4">
        <v>5.37</v>
      </c>
    </row>
    <row r="215" spans="1:33" ht="47.25" customHeight="1" x14ac:dyDescent="0.25">
      <c r="A215" s="10" t="s">
        <v>1426</v>
      </c>
      <c r="B215" s="11" t="s">
        <v>33</v>
      </c>
      <c r="C215" s="12" t="s">
        <v>1427</v>
      </c>
      <c r="D215" s="27"/>
      <c r="E215" s="14" t="s">
        <v>35</v>
      </c>
      <c r="F215" s="11" t="str">
        <f>HYPERLINK("https://redirect.sdcdeals.com/redirect?destination=https%3A%2F%2Fwww.amazon.com%2Fdp%2FB0CNS2L54N%3Fth%3D1%26psc%3D1%26tag%3Dsdcdeals03-20", "Amazon Link")</f>
        <v>Amazon Link</v>
      </c>
      <c r="G215" s="11" t="s">
        <v>36</v>
      </c>
      <c r="H215" s="14" t="s">
        <v>1428</v>
      </c>
      <c r="I215" s="11" t="str">
        <f>HYPERLINK("https://redirect.sdcdeals.com/redirect?code=763034&amp;mavely=https://mavely.app.link/e/bhESV2wGrGb&amp;destination=https%3A%2F%2Fwww.kohls.com%2Fsearch.jsp%3Fsubmit-search%3Dweb-regular%26search%3D80430203", "Retail Link")</f>
        <v>Retail Link</v>
      </c>
      <c r="J215" s="14" t="s">
        <v>1424</v>
      </c>
      <c r="K215" s="13" t="s">
        <v>1429</v>
      </c>
      <c r="L215" s="15">
        <v>6.24</v>
      </c>
      <c r="M215" s="15">
        <v>25.82</v>
      </c>
      <c r="N215" s="15">
        <v>8.6269999999999989</v>
      </c>
      <c r="O215" s="15">
        <f>V215-M215</f>
        <v>1.3200000000000003</v>
      </c>
      <c r="P215" s="16">
        <f>N215/L215</f>
        <v>1.3825320512820511</v>
      </c>
      <c r="Q215" s="14">
        <v>2481116</v>
      </c>
      <c r="R215" s="14"/>
      <c r="S215" s="17">
        <v>0.39903622</v>
      </c>
      <c r="T215" s="15"/>
      <c r="U215" s="15">
        <v>25.82</v>
      </c>
      <c r="V215" s="15">
        <v>27.14</v>
      </c>
      <c r="W215" s="14" t="s">
        <v>255</v>
      </c>
      <c r="X215" s="14">
        <v>1</v>
      </c>
      <c r="Y215" s="10">
        <f>AC215-AB215</f>
        <v>0</v>
      </c>
      <c r="Z215" s="18">
        <v>0</v>
      </c>
      <c r="AA215" s="18">
        <v>7</v>
      </c>
      <c r="AB215" s="18">
        <v>0</v>
      </c>
      <c r="AC215" s="18"/>
      <c r="AE215" s="1" t="s">
        <v>410</v>
      </c>
      <c r="AG215" s="4">
        <v>7.08</v>
      </c>
    </row>
    <row r="216" spans="1:33" ht="47.25" customHeight="1" x14ac:dyDescent="0.25">
      <c r="A216" s="10" t="s">
        <v>4979</v>
      </c>
      <c r="B216" s="11" t="s">
        <v>33</v>
      </c>
      <c r="C216" s="12" t="s">
        <v>4980</v>
      </c>
      <c r="D216" s="27"/>
      <c r="E216" s="14" t="s">
        <v>35</v>
      </c>
      <c r="F216" s="11" t="str">
        <f>HYPERLINK("https://redirect.sdcdeals.com/redirect?destination=https%3A%2F%2Fwww.amazon.com%2Fdp%2FB0B5B575H8%3Fth%3D1%26psc%3D1%26tag%3Dsdcdeals03-20", "Amazon Link")</f>
        <v>Amazon Link</v>
      </c>
      <c r="G216" s="11" t="s">
        <v>36</v>
      </c>
      <c r="H216" s="14" t="s">
        <v>4981</v>
      </c>
      <c r="I216" s="11" t="str">
        <f>HYPERLINK("https://redirect.sdcdeals.com/redirect?code=763034&amp;mavely=https://mavely.app.link/e/bhESV2wGrGb&amp;destination=https%3A%2F%2Fwww.kohls.com%2Fsearch.jsp%3Fsubmit-search%3Dweb-regular%26search%3D49615995", "Retail Link")</f>
        <v>Retail Link</v>
      </c>
      <c r="J216" s="14" t="s">
        <v>4975</v>
      </c>
      <c r="K216" s="13" t="s">
        <v>4982</v>
      </c>
      <c r="L216" s="15">
        <v>5.4</v>
      </c>
      <c r="M216" s="15">
        <v>19.64</v>
      </c>
      <c r="N216" s="15">
        <v>7.4539999999999988</v>
      </c>
      <c r="O216" s="15">
        <f>V216-M216</f>
        <v>0</v>
      </c>
      <c r="P216" s="16">
        <f>N216/L216</f>
        <v>1.38037037037037</v>
      </c>
      <c r="Q216" s="14">
        <v>182</v>
      </c>
      <c r="R216" s="14"/>
      <c r="S216" s="17">
        <v>0.3858085</v>
      </c>
      <c r="T216" s="15"/>
      <c r="U216" s="15">
        <v>19.64</v>
      </c>
      <c r="V216" s="15">
        <v>19.64</v>
      </c>
      <c r="W216" s="14" t="s">
        <v>786</v>
      </c>
      <c r="X216" s="14">
        <v>1</v>
      </c>
      <c r="Y216" s="10">
        <f>AC216-AB216</f>
        <v>56593</v>
      </c>
      <c r="Z216" s="18">
        <v>54</v>
      </c>
      <c r="AA216" s="18">
        <v>72</v>
      </c>
      <c r="AB216" s="18">
        <v>10</v>
      </c>
      <c r="AC216" s="18">
        <v>56603</v>
      </c>
      <c r="AD216" s="1" t="s">
        <v>4983</v>
      </c>
      <c r="AE216" s="1" t="s">
        <v>4978</v>
      </c>
      <c r="AG216" s="4">
        <v>3.84</v>
      </c>
    </row>
    <row r="217" spans="1:33" ht="47.25" customHeight="1" x14ac:dyDescent="0.25">
      <c r="A217" s="10" t="s">
        <v>6918</v>
      </c>
      <c r="B217" s="11" t="s">
        <v>33</v>
      </c>
      <c r="C217" s="12" t="s">
        <v>6919</v>
      </c>
      <c r="D217" s="27"/>
      <c r="E217" s="14" t="s">
        <v>35</v>
      </c>
      <c r="F217" s="11" t="str">
        <f>HYPERLINK("https://redirect.sdcdeals.com/redirect?destination=https%3A%2F%2Fwww.amazon.com%2Fdp%2FB0BKR65ZYQ%3Fth%3D1%26psc%3D1%26tag%3Dsdcdeals03-20", "Amazon Link")</f>
        <v>Amazon Link</v>
      </c>
      <c r="G217" s="11" t="s">
        <v>36</v>
      </c>
      <c r="H217" s="14" t="s">
        <v>6920</v>
      </c>
      <c r="I217" s="11" t="str">
        <f>HYPERLINK("https://redirect.sdcdeals.com/redirect?code=763034&amp;mavely=https://mavely.app.link/e/bhESV2wGrGb&amp;destination=https%3A%2F%2Fwww.kohls.com%2Fsearch.jsp%3Fsubmit-search%3Dweb-regular%26search%3D81836400", "Retail Link")</f>
        <v>Retail Link</v>
      </c>
      <c r="J217" s="14" t="s">
        <v>6897</v>
      </c>
      <c r="K217" s="13" t="s">
        <v>6921</v>
      </c>
      <c r="L217" s="15">
        <v>13</v>
      </c>
      <c r="M217" s="15">
        <v>42.41</v>
      </c>
      <c r="N217" s="15">
        <v>17.9285</v>
      </c>
      <c r="O217" s="15">
        <f>V217-M217</f>
        <v>-15.839999999999996</v>
      </c>
      <c r="P217" s="16">
        <f>N217/L217</f>
        <v>1.3791153846153845</v>
      </c>
      <c r="Q217" s="14">
        <v>700034</v>
      </c>
      <c r="R217" s="14"/>
      <c r="S217" s="17">
        <v>0.4629702</v>
      </c>
      <c r="T217" s="15">
        <v>42.41</v>
      </c>
      <c r="U217" s="15">
        <v>22.5</v>
      </c>
      <c r="V217" s="15">
        <v>26.57</v>
      </c>
      <c r="W217" s="14" t="s">
        <v>330</v>
      </c>
      <c r="X217" s="14">
        <v>1</v>
      </c>
      <c r="Y217" s="10">
        <f>AC217-AB217</f>
        <v>15</v>
      </c>
      <c r="Z217" s="18">
        <v>8</v>
      </c>
      <c r="AA217" s="18">
        <v>27</v>
      </c>
      <c r="AB217" s="18">
        <v>0</v>
      </c>
      <c r="AC217" s="18">
        <v>15</v>
      </c>
      <c r="AD217" s="1" t="s">
        <v>6899</v>
      </c>
      <c r="AE217" s="1" t="s">
        <v>6900</v>
      </c>
      <c r="AG217" s="4">
        <v>5.12</v>
      </c>
    </row>
    <row r="218" spans="1:33" ht="47.25" hidden="1" customHeight="1" x14ac:dyDescent="0.25">
      <c r="A218" s="10" t="s">
        <v>6244</v>
      </c>
      <c r="B218" s="11" t="s">
        <v>33</v>
      </c>
      <c r="C218" s="12" t="s">
        <v>6245</v>
      </c>
      <c r="D218" s="27"/>
      <c r="E218" s="14" t="s">
        <v>35</v>
      </c>
      <c r="F218" s="11" t="str">
        <f>HYPERLINK("https://redirect.sdcdeals.com/redirect?destination=https%3A%2F%2Fwww.amazon.com%2Fdp%2FB0CL5KKTQS%3Fth%3D1%26psc%3D1%26tag%3Dsdcdeals03-20", "Amazon Link")</f>
        <v>Amazon Link</v>
      </c>
      <c r="G218" s="11" t="s">
        <v>36</v>
      </c>
      <c r="H218" s="14" t="s">
        <v>6246</v>
      </c>
      <c r="I218" s="11" t="str">
        <f>HYPERLINK("https://redirect.sdcdeals.com/redirect?code=763034&amp;mavely=https://mavely.app.link/e/bhESV2wGrGb&amp;destination=https%3A%2F%2Fwww.kohls.com%2Fsearch.jsp%3Fsubmit-search%3Dweb-regular%26search%3D78299454", "Retail Link")</f>
        <v>Retail Link</v>
      </c>
      <c r="J218" s="14" t="s">
        <v>6242</v>
      </c>
      <c r="K218" s="13" t="s">
        <v>6247</v>
      </c>
      <c r="L218" s="15">
        <v>7.6000000000000014</v>
      </c>
      <c r="M218" s="15">
        <v>28.11</v>
      </c>
      <c r="N218" s="15">
        <v>10.4735</v>
      </c>
      <c r="O218" s="15">
        <f>V218-M218</f>
        <v>-1.3200000000000003</v>
      </c>
      <c r="P218" s="16">
        <f>N218/L218</f>
        <v>1.3780921052631576</v>
      </c>
      <c r="Q218" s="14"/>
      <c r="R218" s="14"/>
      <c r="S218" s="17">
        <v>0.50926722000000002</v>
      </c>
      <c r="T218" s="15">
        <v>28.11</v>
      </c>
      <c r="U218" s="15">
        <v>26.45</v>
      </c>
      <c r="V218" s="15">
        <v>26.79</v>
      </c>
      <c r="W218" s="14" t="s">
        <v>1965</v>
      </c>
      <c r="X218" s="14">
        <v>7</v>
      </c>
      <c r="Y218" s="10">
        <f>AC218-AB218</f>
        <v>524</v>
      </c>
      <c r="Z218" s="18">
        <v>0</v>
      </c>
      <c r="AA218" s="18">
        <v>61</v>
      </c>
      <c r="AB218" s="18">
        <v>0</v>
      </c>
      <c r="AC218" s="18">
        <v>524</v>
      </c>
      <c r="AE218" s="1" t="s">
        <v>497</v>
      </c>
      <c r="AF218" s="4">
        <v>4.78</v>
      </c>
      <c r="AG218" s="4">
        <v>5.82</v>
      </c>
    </row>
    <row r="219" spans="1:33" ht="47.25" hidden="1" customHeight="1" x14ac:dyDescent="0.25">
      <c r="A219" s="10" t="s">
        <v>2176</v>
      </c>
      <c r="B219" s="11" t="s">
        <v>33</v>
      </c>
      <c r="C219" s="12" t="s">
        <v>2177</v>
      </c>
      <c r="D219" s="27"/>
      <c r="E219" s="14" t="s">
        <v>35</v>
      </c>
      <c r="F219" s="11" t="str">
        <f>HYPERLINK("https://redirect.sdcdeals.com/redirect?destination=https%3A%2F%2Fwww.amazon.com%2Fdp%2FB0CBQRX4LG%3Fth%3D1%26psc%3D1%26tag%3Dsdcdeals03-20", "Amazon Link")</f>
        <v>Amazon Link</v>
      </c>
      <c r="G219" s="11" t="s">
        <v>36</v>
      </c>
      <c r="H219" s="14" t="s">
        <v>2178</v>
      </c>
      <c r="I219" s="11" t="str">
        <f>HYPERLINK("https://redirect.sdcdeals.com/redirect?code=763034&amp;mavely=https://mavely.app.link/e/bhESV2wGrGb&amp;destination=https%3A%2F%2Fwww.kohls.com%2Fsearch.jsp%3Fsubmit-search%3Dweb-regular%26search%3D73171111", "Retail Link")</f>
        <v>Retail Link</v>
      </c>
      <c r="J219" s="14" t="s">
        <v>2173</v>
      </c>
      <c r="K219" s="13" t="s">
        <v>2179</v>
      </c>
      <c r="L219" s="15">
        <v>15.4</v>
      </c>
      <c r="M219" s="15">
        <v>49.88</v>
      </c>
      <c r="N219" s="15">
        <v>21.09800000000001</v>
      </c>
      <c r="O219" s="15">
        <f>V219-M219</f>
        <v>36.6</v>
      </c>
      <c r="P219" s="16">
        <f>N219/L219</f>
        <v>1.3700000000000006</v>
      </c>
      <c r="Q219" s="14"/>
      <c r="R219" s="14"/>
      <c r="S219" s="17">
        <v>1.3999337000000001</v>
      </c>
      <c r="T219" s="15">
        <v>41.93</v>
      </c>
      <c r="U219" s="15">
        <v>87.98</v>
      </c>
      <c r="V219" s="15">
        <v>86.48</v>
      </c>
      <c r="W219" s="14" t="s">
        <v>321</v>
      </c>
      <c r="X219" s="14">
        <v>3</v>
      </c>
      <c r="Y219" s="10">
        <f>AC219-AB219</f>
        <v>0</v>
      </c>
      <c r="Z219" s="18">
        <v>0</v>
      </c>
      <c r="AA219" s="18">
        <v>0</v>
      </c>
      <c r="AB219" s="18">
        <v>0</v>
      </c>
      <c r="AC219" s="18"/>
      <c r="AD219" s="1" t="s">
        <v>2180</v>
      </c>
      <c r="AE219" s="1" t="s">
        <v>145</v>
      </c>
      <c r="AF219" s="4">
        <v>8.48</v>
      </c>
      <c r="AG219" s="4">
        <v>5.9</v>
      </c>
    </row>
    <row r="220" spans="1:33" ht="47.25" customHeight="1" x14ac:dyDescent="0.25">
      <c r="A220" s="10" t="s">
        <v>5557</v>
      </c>
      <c r="B220" s="11" t="s">
        <v>33</v>
      </c>
      <c r="C220" s="12" t="s">
        <v>5558</v>
      </c>
      <c r="D220" s="27"/>
      <c r="E220" s="14" t="s">
        <v>35</v>
      </c>
      <c r="F220" s="11" t="str">
        <f>HYPERLINK("https://redirect.sdcdeals.com/redirect?destination=https%3A%2F%2Fwww.amazon.com%2Fdp%2FB0C46WG9BL%3Fth%3D1%26psc%3D1%26tag%3Dsdcdeals03-20", "Amazon Link")</f>
        <v>Amazon Link</v>
      </c>
      <c r="G220" s="11" t="s">
        <v>36</v>
      </c>
      <c r="H220" s="14" t="s">
        <v>5559</v>
      </c>
      <c r="I220" s="11" t="str">
        <f>HYPERLINK("https://redirect.sdcdeals.com/redirect?code=763034&amp;mavely=https://mavely.app.link/e/bhESV2wGrGb&amp;destination=https%3A%2F%2Fwww.kohls.com%2Fsearch.jsp%3Fsubmit-search%3Dweb-regular%26search%3D55967801", "Retail Link")</f>
        <v>Retail Link</v>
      </c>
      <c r="J220" s="14" t="s">
        <v>5553</v>
      </c>
      <c r="K220" s="13" t="s">
        <v>5560</v>
      </c>
      <c r="L220" s="15">
        <v>8.32</v>
      </c>
      <c r="M220" s="15">
        <v>29.99</v>
      </c>
      <c r="N220" s="15">
        <v>11.3515</v>
      </c>
      <c r="O220" s="15">
        <f>V220-M220</f>
        <v>-10.68</v>
      </c>
      <c r="P220" s="16">
        <f>N220/L220</f>
        <v>1.3643629807692308</v>
      </c>
      <c r="Q220" s="14">
        <v>91674</v>
      </c>
      <c r="R220" s="14"/>
      <c r="S220" s="17">
        <v>0.31085141999999999</v>
      </c>
      <c r="T220" s="15">
        <v>29.99</v>
      </c>
      <c r="U220" s="15">
        <v>19.79</v>
      </c>
      <c r="V220" s="15">
        <v>19.309999999999999</v>
      </c>
      <c r="W220" s="14" t="s">
        <v>2001</v>
      </c>
      <c r="X220" s="14">
        <v>3</v>
      </c>
      <c r="Y220" s="10">
        <f>AC220-AB220</f>
        <v>2</v>
      </c>
      <c r="Z220" s="18">
        <v>10</v>
      </c>
      <c r="AA220" s="18">
        <v>25</v>
      </c>
      <c r="AB220" s="18">
        <v>0</v>
      </c>
      <c r="AC220" s="18">
        <v>2</v>
      </c>
      <c r="AD220" s="1" t="s">
        <v>5555</v>
      </c>
      <c r="AE220" s="1" t="s">
        <v>5556</v>
      </c>
      <c r="AG220" s="4">
        <v>5.82</v>
      </c>
    </row>
    <row r="221" spans="1:33" ht="47.25" customHeight="1" x14ac:dyDescent="0.25">
      <c r="A221" s="10" t="s">
        <v>3449</v>
      </c>
      <c r="B221" s="11" t="s">
        <v>33</v>
      </c>
      <c r="C221" s="12" t="s">
        <v>3450</v>
      </c>
      <c r="D221" s="27"/>
      <c r="E221" s="14" t="s">
        <v>35</v>
      </c>
      <c r="F221" s="11" t="str">
        <f>HYPERLINK("https://redirect.sdcdeals.com/redirect?destination=https%3A%2F%2Fwww.amazon.com%2Fdp%2FB0BZDWBVJG%3Fth%3D1%26psc%3D1%26tag%3Dsdcdeals03-20", "Amazon Link")</f>
        <v>Amazon Link</v>
      </c>
      <c r="G221" s="11" t="s">
        <v>36</v>
      </c>
      <c r="H221" s="14" t="s">
        <v>3451</v>
      </c>
      <c r="I221" s="11" t="str">
        <f>HYPERLINK("https://redirect.sdcdeals.com/redirect?code=763034&amp;mavely=https://mavely.app.link/e/bhESV2wGrGb&amp;destination=https%3A%2F%2Fwww.kohls.com%2Fsearch.jsp%3Fsubmit-search%3Dweb-regular%26search%3D55684936", "Retail Link")</f>
        <v>Retail Link</v>
      </c>
      <c r="J221" s="14" t="s">
        <v>3413</v>
      </c>
      <c r="K221" s="13" t="s">
        <v>3452</v>
      </c>
      <c r="L221" s="15">
        <v>12.48</v>
      </c>
      <c r="M221" s="15">
        <v>42.99</v>
      </c>
      <c r="N221" s="15">
        <v>16.9815</v>
      </c>
      <c r="O221" s="15">
        <f>V221-M221</f>
        <v>-1.9400000000000048</v>
      </c>
      <c r="P221" s="16">
        <f>N221/L221</f>
        <v>1.3606971153846155</v>
      </c>
      <c r="Q221" s="14">
        <v>95891</v>
      </c>
      <c r="R221" s="14"/>
      <c r="S221" s="17">
        <v>1.35143206</v>
      </c>
      <c r="T221" s="15">
        <v>42.99</v>
      </c>
      <c r="U221" s="15">
        <v>41.18</v>
      </c>
      <c r="V221" s="15">
        <v>41.05</v>
      </c>
      <c r="W221" s="14" t="s">
        <v>2248</v>
      </c>
      <c r="X221" s="14">
        <v>1</v>
      </c>
      <c r="Y221" s="10">
        <f>AC221-AB221</f>
        <v>3498</v>
      </c>
      <c r="Z221" s="18">
        <v>21</v>
      </c>
      <c r="AA221" s="18">
        <v>70</v>
      </c>
      <c r="AB221" s="18">
        <v>2</v>
      </c>
      <c r="AC221" s="18">
        <v>3500</v>
      </c>
      <c r="AD221" s="1" t="s">
        <v>1037</v>
      </c>
      <c r="AE221" s="1" t="s">
        <v>3421</v>
      </c>
      <c r="AF221" s="4">
        <v>7.31</v>
      </c>
      <c r="AG221" s="4">
        <v>7.08</v>
      </c>
    </row>
    <row r="222" spans="1:33" ht="47.25" customHeight="1" x14ac:dyDescent="0.25">
      <c r="A222" s="10" t="s">
        <v>819</v>
      </c>
      <c r="B222" s="11" t="s">
        <v>33</v>
      </c>
      <c r="C222" s="12" t="s">
        <v>820</v>
      </c>
      <c r="D222" s="27"/>
      <c r="E222" s="14" t="s">
        <v>35</v>
      </c>
      <c r="F222" s="11" t="str">
        <f>HYPERLINK("https://redirect.sdcdeals.com/redirect?destination=https%3A%2F%2Fwww.amazon.com%2Fdp%2FB08PCD37C3%3Fth%3D1%26psc%3D1%26tag%3Dsdcdeals03-20", "Amazon Link")</f>
        <v>Amazon Link</v>
      </c>
      <c r="G222" s="11" t="s">
        <v>36</v>
      </c>
      <c r="H222" s="14" t="s">
        <v>821</v>
      </c>
      <c r="I222" s="11" t="str">
        <f>HYPERLINK("https://redirect.sdcdeals.com/redirect?code=763034&amp;mavely=https://mavely.app.link/e/bhESV2wGrGb&amp;destination=https%3A%2F%2Fwww.kohls.com%2Fsearch.jsp%3Fsubmit-search%3Dweb-regular%26search%3D49568007", "Retail Link")</f>
        <v>Retail Link</v>
      </c>
      <c r="J222" s="14" t="s">
        <v>815</v>
      </c>
      <c r="K222" s="13" t="s">
        <v>822</v>
      </c>
      <c r="L222" s="15">
        <v>20.847999999999999</v>
      </c>
      <c r="M222" s="15">
        <v>64.97</v>
      </c>
      <c r="N222" s="15">
        <v>28.326499999999999</v>
      </c>
      <c r="O222" s="15">
        <f>V222-M222</f>
        <v>-4.6499999999999986</v>
      </c>
      <c r="P222" s="16">
        <f>N222/L222</f>
        <v>1.3587154643131236</v>
      </c>
      <c r="Q222" s="14">
        <v>4726</v>
      </c>
      <c r="R222" s="14"/>
      <c r="S222" s="17">
        <v>1.45063996</v>
      </c>
      <c r="T222" s="15">
        <v>64.97</v>
      </c>
      <c r="U222" s="15">
        <v>61.8</v>
      </c>
      <c r="V222" s="15">
        <v>60.32</v>
      </c>
      <c r="W222" s="14" t="s">
        <v>277</v>
      </c>
      <c r="X222" s="14">
        <v>1</v>
      </c>
      <c r="Y222" s="10">
        <f>AC222-AB222</f>
        <v>21831</v>
      </c>
      <c r="Z222" s="18">
        <v>70</v>
      </c>
      <c r="AA222" s="18">
        <v>200</v>
      </c>
      <c r="AB222" s="18">
        <v>1</v>
      </c>
      <c r="AC222" s="18">
        <v>21832</v>
      </c>
      <c r="AD222" s="1" t="s">
        <v>823</v>
      </c>
      <c r="AE222" s="1" t="s">
        <v>824</v>
      </c>
      <c r="AF222" s="4">
        <v>11.04</v>
      </c>
      <c r="AG222" s="4">
        <v>6.05</v>
      </c>
    </row>
    <row r="223" spans="1:33" ht="47.25" customHeight="1" x14ac:dyDescent="0.25">
      <c r="A223" s="10" t="s">
        <v>3235</v>
      </c>
      <c r="B223" s="11" t="s">
        <v>33</v>
      </c>
      <c r="C223" s="12" t="s">
        <v>3236</v>
      </c>
      <c r="D223" s="27"/>
      <c r="E223" s="14" t="s">
        <v>35</v>
      </c>
      <c r="F223" s="11" t="str">
        <f>HYPERLINK("https://redirect.sdcdeals.com/redirect?destination=https%3A%2F%2Fwww.amazon.com%2Fdp%2FB09KMK2NQH%3Fth%3D1%26psc%3D1%26tag%3Dsdcdeals03-20", "Amazon Link")</f>
        <v>Amazon Link</v>
      </c>
      <c r="G223" s="11" t="s">
        <v>36</v>
      </c>
      <c r="H223" s="14" t="s">
        <v>3237</v>
      </c>
      <c r="I223" s="11" t="str">
        <f>HYPERLINK("https://redirect.sdcdeals.com/redirect?code=763034&amp;mavely=https://mavely.app.link/e/bhESV2wGrGb&amp;destination=https%3A%2F%2Fwww.kohls.com%2Fsearch.jsp%3Fsubmit-search%3Dweb-regular%26search%3D29769610", "Retail Link")</f>
        <v>Retail Link</v>
      </c>
      <c r="J223" s="14" t="s">
        <v>3216</v>
      </c>
      <c r="K223" s="13" t="s">
        <v>3238</v>
      </c>
      <c r="L223" s="15">
        <v>15.4</v>
      </c>
      <c r="M223" s="15">
        <v>51.43</v>
      </c>
      <c r="N223" s="15">
        <v>20.915500000000002</v>
      </c>
      <c r="O223" s="15">
        <f>V223-M223</f>
        <v>-12.979999999999997</v>
      </c>
      <c r="P223" s="16">
        <f>N223/L223</f>
        <v>1.3581493506493507</v>
      </c>
      <c r="Q223" s="14">
        <v>611270</v>
      </c>
      <c r="R223" s="14"/>
      <c r="S223" s="17">
        <v>1.10010538</v>
      </c>
      <c r="T223" s="15">
        <v>51.43</v>
      </c>
      <c r="U223" s="15">
        <v>25</v>
      </c>
      <c r="V223" s="15">
        <v>38.450000000000003</v>
      </c>
      <c r="W223" s="14" t="s">
        <v>3239</v>
      </c>
      <c r="X223" s="14">
        <v>2</v>
      </c>
      <c r="Y223" s="10">
        <f>AC223-AB223</f>
        <v>0</v>
      </c>
      <c r="Z223" s="18">
        <v>21</v>
      </c>
      <c r="AA223" s="18">
        <v>42</v>
      </c>
      <c r="AB223" s="18">
        <v>11</v>
      </c>
      <c r="AC223" s="18">
        <v>11</v>
      </c>
      <c r="AD223" s="1" t="s">
        <v>3218</v>
      </c>
      <c r="AE223" s="1" t="s">
        <v>3229</v>
      </c>
      <c r="AG223" s="4">
        <v>7.4</v>
      </c>
    </row>
    <row r="224" spans="1:33" ht="47.25" customHeight="1" x14ac:dyDescent="0.25">
      <c r="A224" s="10" t="s">
        <v>5889</v>
      </c>
      <c r="B224" s="11" t="s">
        <v>33</v>
      </c>
      <c r="C224" s="12" t="s">
        <v>5890</v>
      </c>
      <c r="D224" s="27"/>
      <c r="E224" s="14" t="s">
        <v>35</v>
      </c>
      <c r="F224" s="11" t="str">
        <f>HYPERLINK("https://redirect.sdcdeals.com/redirect?destination=https%3A%2F%2Fwww.amazon.com%2Fdp%2FB0CL5RK555%3Fth%3D1%26psc%3D1%26tag%3Dsdcdeals03-20", "Amazon Link")</f>
        <v>Amazon Link</v>
      </c>
      <c r="G224" s="11" t="s">
        <v>36</v>
      </c>
      <c r="H224" s="14" t="s">
        <v>5891</v>
      </c>
      <c r="I224" s="11" t="str">
        <f>HYPERLINK("https://redirect.sdcdeals.com/redirect?code=763034&amp;mavely=https://mavely.app.link/e/bhESV2wGrGb&amp;destination=https%3A%2F%2Fwww.kohls.com%2Fsearch.jsp%3Fsubmit-search%3Dweb-regular%26search%3D34133440", "Retail Link")</f>
        <v>Retail Link</v>
      </c>
      <c r="J224" s="14" t="s">
        <v>5878</v>
      </c>
      <c r="K224" s="13" t="s">
        <v>5892</v>
      </c>
      <c r="L224" s="15">
        <v>7.6000000000000014</v>
      </c>
      <c r="M224" s="15">
        <v>24.99</v>
      </c>
      <c r="N224" s="15">
        <v>10.291499999999999</v>
      </c>
      <c r="O224" s="15">
        <f>V224-M224</f>
        <v>-5.5699999999999967</v>
      </c>
      <c r="P224" s="16">
        <f>N224/L224</f>
        <v>1.3541447368421049</v>
      </c>
      <c r="Q224" s="14">
        <v>53837</v>
      </c>
      <c r="R224" s="14"/>
      <c r="S224" s="17">
        <v>0.39903622</v>
      </c>
      <c r="T224" s="15">
        <v>24.99</v>
      </c>
      <c r="U224" s="15">
        <v>18.899999999999999</v>
      </c>
      <c r="V224" s="15">
        <v>19.420000000000002</v>
      </c>
      <c r="W224" s="14" t="s">
        <v>1579</v>
      </c>
      <c r="X224" s="14">
        <v>12</v>
      </c>
      <c r="Y224" s="10">
        <f>AC224-AB224</f>
        <v>569</v>
      </c>
      <c r="Z224" s="18">
        <v>13</v>
      </c>
      <c r="AA224" s="18">
        <v>69</v>
      </c>
      <c r="AB224" s="18">
        <v>0</v>
      </c>
      <c r="AC224" s="18">
        <v>569</v>
      </c>
      <c r="AD224" s="1" t="s">
        <v>1452</v>
      </c>
      <c r="AE224" s="1" t="s">
        <v>5880</v>
      </c>
      <c r="AF224" s="4">
        <v>4.25</v>
      </c>
      <c r="AG224" s="4">
        <v>3.35</v>
      </c>
    </row>
    <row r="225" spans="1:33" ht="47.25" customHeight="1" x14ac:dyDescent="0.25">
      <c r="A225" s="10" t="s">
        <v>3422</v>
      </c>
      <c r="B225" s="11" t="s">
        <v>33</v>
      </c>
      <c r="C225" s="12" t="s">
        <v>3423</v>
      </c>
      <c r="D225" s="27"/>
      <c r="E225" s="14" t="s">
        <v>35</v>
      </c>
      <c r="F225" s="11" t="str">
        <f>HYPERLINK("https://redirect.sdcdeals.com/redirect?destination=https%3A%2F%2Fwww.amazon.com%2Fdp%2FB09VGVP8NZ%3Fth%3D1%26psc%3D1%26tag%3Dsdcdeals03-20", "Amazon Link")</f>
        <v>Amazon Link</v>
      </c>
      <c r="G225" s="11" t="s">
        <v>36</v>
      </c>
      <c r="H225" s="14" t="s">
        <v>3424</v>
      </c>
      <c r="I225" s="11" t="str">
        <f>HYPERLINK("https://redirect.sdcdeals.com/redirect?code=763034&amp;mavely=https://mavely.app.link/e/bhESV2wGrGb&amp;destination=https%3A%2F%2Fwww.kohls.com%2Fsearch.jsp%3Fsubmit-search%3Dweb-regular%26search%3D64132693", "Retail Link")</f>
        <v>Retail Link</v>
      </c>
      <c r="J225" s="14" t="s">
        <v>3413</v>
      </c>
      <c r="K225" s="13" t="s">
        <v>3425</v>
      </c>
      <c r="L225" s="15">
        <v>12.48</v>
      </c>
      <c r="M225" s="15">
        <v>42.99</v>
      </c>
      <c r="N225" s="15">
        <v>16.881499999999999</v>
      </c>
      <c r="O225" s="15">
        <f>V225-M225</f>
        <v>-5.8000000000000043</v>
      </c>
      <c r="P225" s="16">
        <f>N225/L225</f>
        <v>1.3526842948717948</v>
      </c>
      <c r="Q225" s="14">
        <v>95891</v>
      </c>
      <c r="R225" s="14"/>
      <c r="S225" s="17">
        <v>1.2786796</v>
      </c>
      <c r="T225" s="15">
        <v>42.99</v>
      </c>
      <c r="U225" s="15">
        <v>36.11</v>
      </c>
      <c r="V225" s="15">
        <v>37.19</v>
      </c>
      <c r="W225" s="14" t="s">
        <v>1837</v>
      </c>
      <c r="X225" s="14">
        <v>1</v>
      </c>
      <c r="Y225" s="10">
        <f>AC225-AB225</f>
        <v>3495</v>
      </c>
      <c r="Z225" s="18">
        <v>26</v>
      </c>
      <c r="AA225" s="18">
        <v>70</v>
      </c>
      <c r="AB225" s="18">
        <v>5</v>
      </c>
      <c r="AC225" s="18">
        <v>3500</v>
      </c>
      <c r="AD225" s="1" t="s">
        <v>1037</v>
      </c>
      <c r="AE225" s="1" t="s">
        <v>2089</v>
      </c>
      <c r="AF225" s="4">
        <v>7.31</v>
      </c>
      <c r="AG225" s="4">
        <v>7.18</v>
      </c>
    </row>
    <row r="226" spans="1:33" ht="47.25" customHeight="1" x14ac:dyDescent="0.25">
      <c r="A226" s="10" t="s">
        <v>4653</v>
      </c>
      <c r="B226" s="11" t="s">
        <v>33</v>
      </c>
      <c r="C226" s="12" t="s">
        <v>4654</v>
      </c>
      <c r="D226" s="27"/>
      <c r="E226" s="14" t="s">
        <v>35</v>
      </c>
      <c r="F226" s="11" t="str">
        <f>HYPERLINK("https://redirect.sdcdeals.com/redirect?destination=https%3A%2F%2Fwww.amazon.com%2Fdp%2FB0BPZ61QK5%3Fth%3D1%26psc%3D1%26tag%3Dsdcdeals03-20", "Amazon Link")</f>
        <v>Amazon Link</v>
      </c>
      <c r="G226" s="11" t="s">
        <v>36</v>
      </c>
      <c r="H226" s="14" t="s">
        <v>4655</v>
      </c>
      <c r="I226" s="11" t="str">
        <f>HYPERLINK("https://redirect.sdcdeals.com/redirect?code=763034&amp;mavely=https://mavely.app.link/e/bhESV2wGrGb&amp;destination=https%3A%2F%2Fwww.kohls.com%2Fsearch.jsp%3Fsubmit-search%3Dweb-regular%26search%3D79042468", "Retail Link")</f>
        <v>Retail Link</v>
      </c>
      <c r="J226" s="14" t="s">
        <v>4656</v>
      </c>
      <c r="K226" s="13" t="s">
        <v>4657</v>
      </c>
      <c r="L226" s="15">
        <v>12</v>
      </c>
      <c r="M226" s="15">
        <v>39.99</v>
      </c>
      <c r="N226" s="15">
        <v>16.221499999999999</v>
      </c>
      <c r="O226" s="15">
        <f>V226-M226</f>
        <v>3.1000000000000014</v>
      </c>
      <c r="P226" s="16">
        <f>N226/L226</f>
        <v>1.3517916666666665</v>
      </c>
      <c r="Q226" s="14">
        <v>70146</v>
      </c>
      <c r="R226" s="14"/>
      <c r="S226" s="17">
        <v>1.11994696</v>
      </c>
      <c r="T226" s="15">
        <v>39.99</v>
      </c>
      <c r="U226" s="15">
        <v>49.39</v>
      </c>
      <c r="V226" s="15">
        <v>43.09</v>
      </c>
      <c r="W226" s="14" t="s">
        <v>4100</v>
      </c>
      <c r="X226" s="14">
        <v>2</v>
      </c>
      <c r="Y226" s="10">
        <f>AC226-AB226</f>
        <v>127</v>
      </c>
      <c r="Z226" s="18">
        <v>35</v>
      </c>
      <c r="AA226" s="18">
        <v>76</v>
      </c>
      <c r="AB226" s="18">
        <v>2</v>
      </c>
      <c r="AC226" s="18">
        <v>129</v>
      </c>
      <c r="AD226" s="1" t="s">
        <v>4658</v>
      </c>
      <c r="AE226" s="1" t="s">
        <v>4659</v>
      </c>
      <c r="AG226" s="4">
        <v>5.77</v>
      </c>
    </row>
    <row r="227" spans="1:33" ht="47.25" customHeight="1" x14ac:dyDescent="0.25">
      <c r="A227" s="10" t="s">
        <v>3245</v>
      </c>
      <c r="B227" s="11" t="s">
        <v>33</v>
      </c>
      <c r="C227" s="12" t="s">
        <v>3246</v>
      </c>
      <c r="D227" s="27"/>
      <c r="E227" s="14" t="s">
        <v>35</v>
      </c>
      <c r="F227" s="11" t="str">
        <f>HYPERLINK("https://redirect.sdcdeals.com/redirect?destination=https%3A%2F%2Fwww.amazon.com%2Fdp%2FB09KMKDNXQ%3Fth%3D1%26psc%3D1%26tag%3Dsdcdeals03-20", "Amazon Link")</f>
        <v>Amazon Link</v>
      </c>
      <c r="G227" s="11" t="s">
        <v>36</v>
      </c>
      <c r="H227" s="14" t="s">
        <v>3247</v>
      </c>
      <c r="I227" s="11" t="str">
        <f>HYPERLINK("https://redirect.sdcdeals.com/redirect?code=763034&amp;mavely=https://mavely.app.link/e/bhESV2wGrGb&amp;destination=https%3A%2F%2Fwww.kohls.com%2Fsearch.jsp%3Fsubmit-search%3Dweb-regular%26search%3D29769611", "Retail Link")</f>
        <v>Retail Link</v>
      </c>
      <c r="J227" s="14" t="s">
        <v>3216</v>
      </c>
      <c r="K227" s="13" t="s">
        <v>3248</v>
      </c>
      <c r="L227" s="15">
        <v>15.4</v>
      </c>
      <c r="M227" s="15">
        <v>51.43</v>
      </c>
      <c r="N227" s="15">
        <v>20.755500000000001</v>
      </c>
      <c r="O227" s="15">
        <f>V227-M227</f>
        <v>-2.6499999999999986</v>
      </c>
      <c r="P227" s="16">
        <f>N227/L227</f>
        <v>1.3477597402597403</v>
      </c>
      <c r="Q227" s="14">
        <v>467782</v>
      </c>
      <c r="R227" s="14"/>
      <c r="S227" s="17">
        <v>1.2125410000000001</v>
      </c>
      <c r="T227" s="15">
        <v>51.43</v>
      </c>
      <c r="U227" s="15">
        <v>50.7</v>
      </c>
      <c r="V227" s="15">
        <v>48.78</v>
      </c>
      <c r="W227" s="14" t="s">
        <v>1800</v>
      </c>
      <c r="X227" s="14">
        <v>2</v>
      </c>
      <c r="Y227" s="10">
        <f>AC227-AB227</f>
        <v>0</v>
      </c>
      <c r="Z227" s="18">
        <v>15</v>
      </c>
      <c r="AA227" s="18">
        <v>36</v>
      </c>
      <c r="AB227" s="18">
        <v>6</v>
      </c>
      <c r="AC227" s="18">
        <v>6</v>
      </c>
      <c r="AD227" s="1" t="s">
        <v>3218</v>
      </c>
      <c r="AE227" s="1" t="s">
        <v>3229</v>
      </c>
      <c r="AG227" s="4">
        <v>7.56</v>
      </c>
    </row>
    <row r="228" spans="1:33" ht="47.25" customHeight="1" x14ac:dyDescent="0.25">
      <c r="A228" s="10" t="s">
        <v>3417</v>
      </c>
      <c r="B228" s="11" t="s">
        <v>33</v>
      </c>
      <c r="C228" s="12" t="s">
        <v>3418</v>
      </c>
      <c r="D228" s="27"/>
      <c r="E228" s="14" t="s">
        <v>35</v>
      </c>
      <c r="F228" s="11" t="str">
        <f>HYPERLINK("https://redirect.sdcdeals.com/redirect?destination=https%3A%2F%2Fwww.amazon.com%2Fdp%2FB0BZDXP55K%3Fth%3D1%26psc%3D1%26tag%3Dsdcdeals03-20", "Amazon Link")</f>
        <v>Amazon Link</v>
      </c>
      <c r="G228" s="11" t="s">
        <v>36</v>
      </c>
      <c r="H228" s="14" t="s">
        <v>3419</v>
      </c>
      <c r="I228" s="11" t="str">
        <f>HYPERLINK("https://redirect.sdcdeals.com/redirect?code=763034&amp;mavely=https://mavely.app.link/e/bhESV2wGrGb&amp;destination=https%3A%2F%2Fwww.kohls.com%2Fsearch.jsp%3Fsubmit-search%3Dweb-regular%26search%3D55684934", "Retail Link")</f>
        <v>Retail Link</v>
      </c>
      <c r="J228" s="14" t="s">
        <v>3413</v>
      </c>
      <c r="K228" s="13" t="s">
        <v>3420</v>
      </c>
      <c r="L228" s="15">
        <v>12.48</v>
      </c>
      <c r="M228" s="15">
        <v>42.99</v>
      </c>
      <c r="N228" s="15">
        <v>16.721499999999999</v>
      </c>
      <c r="O228" s="15">
        <f>V228-M228</f>
        <v>-1.4699999999999989</v>
      </c>
      <c r="P228" s="16">
        <f>N228/L228</f>
        <v>1.339863782051282</v>
      </c>
      <c r="Q228" s="14">
        <v>87409</v>
      </c>
      <c r="R228" s="14"/>
      <c r="S228" s="17">
        <v>1.2345872</v>
      </c>
      <c r="T228" s="15">
        <v>42.99</v>
      </c>
      <c r="U228" s="15">
        <v>41.79</v>
      </c>
      <c r="V228" s="15">
        <v>41.52</v>
      </c>
      <c r="W228" s="14" t="s">
        <v>164</v>
      </c>
      <c r="X228" s="14">
        <v>1</v>
      </c>
      <c r="Y228" s="10">
        <f>AC228-AB228</f>
        <v>3499</v>
      </c>
      <c r="Z228" s="18">
        <v>26</v>
      </c>
      <c r="AA228" s="18">
        <v>77</v>
      </c>
      <c r="AB228" s="18">
        <v>1</v>
      </c>
      <c r="AC228" s="18">
        <v>3500</v>
      </c>
      <c r="AD228" s="1" t="s">
        <v>1037</v>
      </c>
      <c r="AE228" s="1" t="s">
        <v>3421</v>
      </c>
      <c r="AF228" s="4">
        <v>7.31</v>
      </c>
      <c r="AG228" s="4">
        <v>7.34</v>
      </c>
    </row>
    <row r="229" spans="1:33" ht="47.25" customHeight="1" x14ac:dyDescent="0.25">
      <c r="A229" s="10" t="s">
        <v>6777</v>
      </c>
      <c r="B229" s="11" t="s">
        <v>33</v>
      </c>
      <c r="C229" s="12" t="s">
        <v>6778</v>
      </c>
      <c r="D229" s="27"/>
      <c r="E229" s="14" t="s">
        <v>35</v>
      </c>
      <c r="F229" s="11" t="str">
        <f>HYPERLINK("https://redirect.sdcdeals.com/redirect?destination=https%3A%2F%2Fwww.amazon.com%2Fdp%2FB0B5B6YKYK%3Fth%3D1%26psc%3D1%26tag%3Dsdcdeals03-20", "Amazon Link")</f>
        <v>Amazon Link</v>
      </c>
      <c r="G229" s="11" t="s">
        <v>36</v>
      </c>
      <c r="H229" s="14" t="s">
        <v>6779</v>
      </c>
      <c r="I229" s="11" t="str">
        <f>HYPERLINK("https://redirect.sdcdeals.com/redirect?code=763034&amp;mavely=https://mavely.app.link/e/bhESV2wGrGb&amp;destination=https%3A%2F%2Fwww.kohls.com%2Fsearch.jsp%3Fsubmit-search%3Dweb-regular%26search%3D18758017", "Retail Link")</f>
        <v>Retail Link</v>
      </c>
      <c r="J229" s="14" t="s">
        <v>6764</v>
      </c>
      <c r="K229" s="13" t="s">
        <v>6780</v>
      </c>
      <c r="L229" s="15">
        <v>5.4</v>
      </c>
      <c r="M229" s="15">
        <v>20.079999999999998</v>
      </c>
      <c r="N229" s="15">
        <v>7.2179999999999982</v>
      </c>
      <c r="O229" s="15">
        <f>V229-M229</f>
        <v>-0.38999999999999702</v>
      </c>
      <c r="P229" s="16">
        <f>N229/L229</f>
        <v>1.3366666666666662</v>
      </c>
      <c r="Q229" s="14">
        <v>936815</v>
      </c>
      <c r="R229" s="14"/>
      <c r="S229" s="17">
        <v>0.24030357999999999</v>
      </c>
      <c r="T229" s="15">
        <v>20.079999999999998</v>
      </c>
      <c r="U229" s="15">
        <v>19.690000000000001</v>
      </c>
      <c r="V229" s="15">
        <v>19.690000000000001</v>
      </c>
      <c r="W229" s="14" t="s">
        <v>613</v>
      </c>
      <c r="X229" s="14">
        <v>1</v>
      </c>
      <c r="Y229" s="10">
        <f>AC229-AB229</f>
        <v>24</v>
      </c>
      <c r="Z229" s="18">
        <v>7</v>
      </c>
      <c r="AA229" s="18">
        <v>17</v>
      </c>
      <c r="AB229" s="18">
        <v>3</v>
      </c>
      <c r="AC229" s="18">
        <v>27</v>
      </c>
      <c r="AD229" s="1" t="s">
        <v>6781</v>
      </c>
      <c r="AE229" s="1" t="s">
        <v>76</v>
      </c>
      <c r="AF229" s="4">
        <v>3.41</v>
      </c>
      <c r="AG229" s="4">
        <v>4.45</v>
      </c>
    </row>
    <row r="230" spans="1:33" ht="47.25" customHeight="1" x14ac:dyDescent="0.25">
      <c r="A230" s="10" t="s">
        <v>806</v>
      </c>
      <c r="B230" s="11" t="s">
        <v>33</v>
      </c>
      <c r="C230" s="12" t="s">
        <v>807</v>
      </c>
      <c r="D230" s="27"/>
      <c r="E230" s="14" t="s">
        <v>35</v>
      </c>
      <c r="F230" s="11" t="str">
        <f>HYPERLINK("https://redirect.sdcdeals.com/redirect?destination=https%3A%2F%2Fwww.amazon.com%2Fdp%2FB0C9ZXG2MF%3Fth%3D1%26psc%3D1%26tag%3Dsdcdeals03-20", "Amazon Link")</f>
        <v>Amazon Link</v>
      </c>
      <c r="G230" s="11" t="s">
        <v>36</v>
      </c>
      <c r="H230" s="14" t="s">
        <v>808</v>
      </c>
      <c r="I230" s="11" t="str">
        <f>HYPERLINK("https://redirect.sdcdeals.com/redirect?code=763034&amp;mavely=https://mavely.app.link/e/bhESV2wGrGb&amp;destination=https%3A%2F%2Fwww.kohls.com%2Fsearch.jsp%3Fsubmit-search%3Dweb-regular%26search%3D81993161", "Retail Link")</f>
        <v>Retail Link</v>
      </c>
      <c r="J230" s="14" t="s">
        <v>809</v>
      </c>
      <c r="K230" s="13" t="s">
        <v>810</v>
      </c>
      <c r="L230" s="15">
        <v>4.8000000000000007</v>
      </c>
      <c r="M230" s="15">
        <v>19.2</v>
      </c>
      <c r="N230" s="15">
        <v>6.3999999999999986</v>
      </c>
      <c r="O230" s="15">
        <f>V230-M230</f>
        <v>0</v>
      </c>
      <c r="P230" s="16">
        <f>N230/L230</f>
        <v>1.3333333333333328</v>
      </c>
      <c r="Q230" s="14">
        <v>1589076</v>
      </c>
      <c r="R230" s="14"/>
      <c r="S230" s="17">
        <v>0.20062041999999999</v>
      </c>
      <c r="T230" s="15"/>
      <c r="U230" s="15"/>
      <c r="V230" s="15">
        <v>19.2</v>
      </c>
      <c r="W230" s="14" t="s">
        <v>131</v>
      </c>
      <c r="X230" s="14"/>
      <c r="Y230" s="10">
        <f>AC230-AB230</f>
        <v>0</v>
      </c>
      <c r="Z230" s="18">
        <v>1</v>
      </c>
      <c r="AA230" s="18">
        <v>1</v>
      </c>
      <c r="AB230" s="18"/>
      <c r="AC230" s="18"/>
      <c r="AE230" s="1" t="s">
        <v>811</v>
      </c>
      <c r="AG230" s="4">
        <v>5.12</v>
      </c>
    </row>
    <row r="231" spans="1:33" ht="47.25" customHeight="1" x14ac:dyDescent="0.25">
      <c r="A231" s="10" t="s">
        <v>7297</v>
      </c>
      <c r="B231" s="11" t="s">
        <v>33</v>
      </c>
      <c r="C231" s="12" t="s">
        <v>7298</v>
      </c>
      <c r="D231" s="27"/>
      <c r="E231" s="14" t="s">
        <v>35</v>
      </c>
      <c r="F231" s="11" t="str">
        <f>HYPERLINK("https://redirect.sdcdeals.com/redirect?destination=https%3A%2F%2Fwww.amazon.com%2Fdp%2FB0C59T3FXR%3Fth%3D1%26psc%3D1%26tag%3Dsdcdeals03-20", "Amazon Link")</f>
        <v>Amazon Link</v>
      </c>
      <c r="G231" s="11" t="s">
        <v>36</v>
      </c>
      <c r="H231" s="14" t="s">
        <v>7299</v>
      </c>
      <c r="I231" s="11" t="str">
        <f>HYPERLINK("https://redirect.sdcdeals.com/redirect?code=763034&amp;mavely=https://mavely.app.link/e/bhESV2wGrGb&amp;destination=https%3A%2F%2Fwww.kohls.com%2Fsearch.jsp%3Fsubmit-search%3Dweb-regular%26search%3D19318572", "Retail Link")</f>
        <v>Retail Link</v>
      </c>
      <c r="J231" s="14" t="s">
        <v>7300</v>
      </c>
      <c r="K231" s="13" t="s">
        <v>7301</v>
      </c>
      <c r="L231" s="15">
        <v>4.7920000000000007</v>
      </c>
      <c r="M231" s="15">
        <v>18.03</v>
      </c>
      <c r="N231" s="15">
        <v>6.3834999999999988</v>
      </c>
      <c r="O231" s="15">
        <f>V231-M231</f>
        <v>1.7799999999999976</v>
      </c>
      <c r="P231" s="16">
        <f>N231/L231</f>
        <v>1.3321160267111849</v>
      </c>
      <c r="Q231" s="14">
        <v>2134802</v>
      </c>
      <c r="R231" s="14"/>
      <c r="S231" s="17">
        <v>3.9683160000000002E-2</v>
      </c>
      <c r="T231" s="15">
        <v>14.95</v>
      </c>
      <c r="U231" s="15">
        <v>19.760000000000002</v>
      </c>
      <c r="V231" s="15">
        <v>19.809999999999999</v>
      </c>
      <c r="W231" s="14" t="s">
        <v>7302</v>
      </c>
      <c r="X231" s="14">
        <v>7</v>
      </c>
      <c r="Y231" s="10">
        <f>AC231-AB231</f>
        <v>4</v>
      </c>
      <c r="Z231" s="18">
        <v>0</v>
      </c>
      <c r="AA231" s="18">
        <v>0</v>
      </c>
      <c r="AB231" s="18"/>
      <c r="AC231" s="18">
        <v>4</v>
      </c>
      <c r="AD231" s="1" t="s">
        <v>7303</v>
      </c>
      <c r="AE231" s="1" t="s">
        <v>935</v>
      </c>
      <c r="AF231" s="4">
        <v>2.7</v>
      </c>
      <c r="AG231" s="4">
        <v>4.1500000000000004</v>
      </c>
    </row>
    <row r="232" spans="1:33" ht="47.25" customHeight="1" x14ac:dyDescent="0.25">
      <c r="A232" s="10" t="s">
        <v>5142</v>
      </c>
      <c r="B232" s="11" t="s">
        <v>33</v>
      </c>
      <c r="C232" s="12" t="s">
        <v>5143</v>
      </c>
      <c r="D232" s="27"/>
      <c r="E232" s="14" t="s">
        <v>35</v>
      </c>
      <c r="F232" s="11" t="str">
        <f>HYPERLINK("https://redirect.sdcdeals.com/redirect?destination=https%3A%2F%2Fwww.amazon.com%2Fdp%2FB0BN51DXG1%3Fth%3D1%26psc%3D1%26tag%3Dsdcdeals03-20", "Amazon Link")</f>
        <v>Amazon Link</v>
      </c>
      <c r="G232" s="11" t="s">
        <v>36</v>
      </c>
      <c r="H232" s="14" t="s">
        <v>5144</v>
      </c>
      <c r="I232" s="11" t="str">
        <f>HYPERLINK("https://redirect.sdcdeals.com/redirect?code=763034&amp;mavely=https://mavely.app.link/e/bhESV2wGrGb&amp;destination=https%3A%2F%2Fwww.kohls.com%2Fsearch.jsp%3Fsubmit-search%3Dweb-regular%26search%3D78859858", "Retail Link")</f>
        <v>Retail Link</v>
      </c>
      <c r="J232" s="14" t="s">
        <v>5123</v>
      </c>
      <c r="K232" s="13" t="s">
        <v>5130</v>
      </c>
      <c r="L232" s="15">
        <v>15.288</v>
      </c>
      <c r="M232" s="15">
        <v>49.74</v>
      </c>
      <c r="N232" s="15">
        <v>20.321000000000002</v>
      </c>
      <c r="O232" s="15">
        <f>V232-M232</f>
        <v>1.3999999999999986</v>
      </c>
      <c r="P232" s="16">
        <f>N232/L232</f>
        <v>1.3292124542124544</v>
      </c>
      <c r="Q232" s="14">
        <v>394829</v>
      </c>
      <c r="R232" s="14"/>
      <c r="S232" s="17">
        <v>0.91491730000000004</v>
      </c>
      <c r="T232" s="15"/>
      <c r="U232" s="15">
        <v>49.74</v>
      </c>
      <c r="V232" s="15">
        <v>51.14</v>
      </c>
      <c r="W232" s="14" t="s">
        <v>5145</v>
      </c>
      <c r="X232" s="14">
        <v>1</v>
      </c>
      <c r="Y232" s="10">
        <f>AC232-AB232</f>
        <v>147</v>
      </c>
      <c r="Z232" s="18">
        <v>4</v>
      </c>
      <c r="AA232" s="18">
        <v>20</v>
      </c>
      <c r="AB232" s="18">
        <v>0</v>
      </c>
      <c r="AC232" s="18">
        <v>147</v>
      </c>
      <c r="AD232" s="1" t="s">
        <v>5131</v>
      </c>
      <c r="AE232" s="1" t="s">
        <v>5132</v>
      </c>
      <c r="AG232" s="4">
        <v>6.67</v>
      </c>
    </row>
    <row r="233" spans="1:33" ht="47.25" customHeight="1" x14ac:dyDescent="0.25">
      <c r="A233" s="10" t="s">
        <v>5420</v>
      </c>
      <c r="B233" s="11" t="s">
        <v>33</v>
      </c>
      <c r="C233" s="12" t="s">
        <v>5421</v>
      </c>
      <c r="D233" s="27"/>
      <c r="E233" s="14" t="s">
        <v>35</v>
      </c>
      <c r="F233" s="11" t="str">
        <f>HYPERLINK("https://redirect.sdcdeals.com/redirect?destination=https%3A%2F%2Fwww.amazon.com%2Fdp%2FB0CSPST7KB%3Fth%3D1%26psc%3D1%26tag%3Dsdcdeals03-20", "Amazon Link")</f>
        <v>Amazon Link</v>
      </c>
      <c r="G233" s="11" t="s">
        <v>36</v>
      </c>
      <c r="H233" s="14" t="s">
        <v>5422</v>
      </c>
      <c r="I233" s="11" t="str">
        <f>HYPERLINK("https://redirect.sdcdeals.com/redirect?code=763034&amp;mavely=https://mavely.app.link/e/bhESV2wGrGb&amp;destination=https%3A%2F%2Fwww.kohls.com%2Fsearch.jsp%3Fsubmit-search%3Dweb-regular%26search%3D70237091", "Retail Link")</f>
        <v>Retail Link</v>
      </c>
      <c r="J233" s="14" t="s">
        <v>5417</v>
      </c>
      <c r="K233" s="13" t="s">
        <v>5423</v>
      </c>
      <c r="L233" s="15">
        <v>4.4000000000000004</v>
      </c>
      <c r="M233" s="15">
        <v>19.82</v>
      </c>
      <c r="N233" s="15">
        <v>5.8470000000000013</v>
      </c>
      <c r="O233" s="15">
        <f>V233-M233</f>
        <v>8.1999999999999993</v>
      </c>
      <c r="P233" s="16">
        <f>N233/L233</f>
        <v>1.3288636363636366</v>
      </c>
      <c r="Q233" s="14">
        <v>75220</v>
      </c>
      <c r="R233" s="14"/>
      <c r="S233" s="17">
        <v>0.35273919999999997</v>
      </c>
      <c r="T233" s="15">
        <v>13.09</v>
      </c>
      <c r="U233" s="15">
        <v>27.13</v>
      </c>
      <c r="V233" s="15">
        <v>28.02</v>
      </c>
      <c r="W233" s="14" t="s">
        <v>576</v>
      </c>
      <c r="X233" s="14">
        <v>3</v>
      </c>
      <c r="Y233" s="10">
        <f>AC233-AB233</f>
        <v>981</v>
      </c>
      <c r="Z233" s="18">
        <v>36</v>
      </c>
      <c r="AA233" s="18">
        <v>77</v>
      </c>
      <c r="AB233" s="18">
        <v>0</v>
      </c>
      <c r="AC233" s="18">
        <v>981</v>
      </c>
      <c r="AE233" s="1" t="s">
        <v>4574</v>
      </c>
      <c r="AF233" s="4">
        <v>1.98</v>
      </c>
      <c r="AG233" s="4">
        <v>6.6</v>
      </c>
    </row>
    <row r="234" spans="1:33" ht="47.25" hidden="1" customHeight="1" x14ac:dyDescent="0.25">
      <c r="A234" s="10" t="s">
        <v>1353</v>
      </c>
      <c r="B234" s="11" t="s">
        <v>33</v>
      </c>
      <c r="C234" s="12" t="s">
        <v>1354</v>
      </c>
      <c r="D234" s="27"/>
      <c r="E234" s="14" t="s">
        <v>35</v>
      </c>
      <c r="F234" s="11" t="str">
        <f>HYPERLINK("https://redirect.sdcdeals.com/redirect?destination=https%3A%2F%2Fwww.amazon.com%2Fdp%2FB0D364YF2B%3Fth%3D1%26psc%3D1%26tag%3Dsdcdeals03-20", "Amazon Link")</f>
        <v>Amazon Link</v>
      </c>
      <c r="G234" s="11" t="s">
        <v>36</v>
      </c>
      <c r="H234" s="14" t="s">
        <v>1355</v>
      </c>
      <c r="I234" s="11" t="str">
        <f>HYPERLINK("https://redirect.sdcdeals.com/redirect?code=763034&amp;mavely=https://mavely.app.link/e/bhESV2wGrGb&amp;destination=https%3A%2F%2Fwww.kohls.com%2Fsearch.jsp%3Fsubmit-search%3Dweb-regular%26search%3D79169289", "Retail Link")</f>
        <v>Retail Link</v>
      </c>
      <c r="J234" s="14" t="s">
        <v>1349</v>
      </c>
      <c r="K234" s="13" t="s">
        <v>1356</v>
      </c>
      <c r="L234" s="15">
        <v>12.88</v>
      </c>
      <c r="M234" s="15">
        <v>42.23</v>
      </c>
      <c r="N234" s="15">
        <v>17.115500000000001</v>
      </c>
      <c r="O234" s="15">
        <f>V234-M234</f>
        <v>20.080000000000005</v>
      </c>
      <c r="P234" s="16">
        <f>N234/L234</f>
        <v>1.3288431677018633</v>
      </c>
      <c r="Q234" s="14"/>
      <c r="R234" s="14"/>
      <c r="S234" s="17">
        <v>1.0008974799999999</v>
      </c>
      <c r="T234" s="15">
        <v>42.23</v>
      </c>
      <c r="U234" s="15">
        <v>62.31</v>
      </c>
      <c r="V234" s="15">
        <v>62.31</v>
      </c>
      <c r="W234" s="14" t="s">
        <v>53</v>
      </c>
      <c r="X234" s="14">
        <v>3</v>
      </c>
      <c r="Y234" s="10">
        <f>AC234-AB234</f>
        <v>0</v>
      </c>
      <c r="Z234" s="18">
        <v>-1</v>
      </c>
      <c r="AA234" s="18">
        <v>-1</v>
      </c>
      <c r="AB234" s="18"/>
      <c r="AC234" s="18"/>
      <c r="AD234" s="1" t="s">
        <v>1351</v>
      </c>
      <c r="AE234" s="1" t="s">
        <v>1357</v>
      </c>
      <c r="AF234" s="4">
        <v>7.18</v>
      </c>
      <c r="AG234" s="4">
        <v>5.9</v>
      </c>
    </row>
    <row r="235" spans="1:33" ht="47.25" customHeight="1" x14ac:dyDescent="0.25">
      <c r="A235" s="10" t="s">
        <v>1818</v>
      </c>
      <c r="B235" s="11" t="s">
        <v>33</v>
      </c>
      <c r="C235" s="12" t="s">
        <v>1819</v>
      </c>
      <c r="D235" s="27"/>
      <c r="E235" s="14" t="s">
        <v>35</v>
      </c>
      <c r="F235" s="11" t="str">
        <f>HYPERLINK("https://redirect.sdcdeals.com/redirect?destination=https%3A%2F%2Fwww.amazon.com%2Fdp%2FB0BJ7FMQFY%3Fth%3D1%26psc%3D1%26tag%3Dsdcdeals03-20", "Amazon Link")</f>
        <v>Amazon Link</v>
      </c>
      <c r="G235" s="11" t="s">
        <v>36</v>
      </c>
      <c r="H235" s="14" t="s">
        <v>1820</v>
      </c>
      <c r="I235" s="11" t="str">
        <f>HYPERLINK("https://redirect.sdcdeals.com/redirect?code=763034&amp;mavely=https://mavely.app.link/e/bhESV2wGrGb&amp;destination=https%3A%2F%2Fwww.kohls.com%2Fsearch.jsp%3Fsubmit-search%3Dweb-regular%26search%3D82004520", "Retail Link")</f>
        <v>Retail Link</v>
      </c>
      <c r="J235" s="14" t="s">
        <v>1809</v>
      </c>
      <c r="K235" s="13" t="s">
        <v>1821</v>
      </c>
      <c r="L235" s="15">
        <v>23.391999999999999</v>
      </c>
      <c r="M235" s="15">
        <v>72.5</v>
      </c>
      <c r="N235" s="15">
        <v>31.073</v>
      </c>
      <c r="O235" s="15">
        <f>V235-M235</f>
        <v>14.680000000000007</v>
      </c>
      <c r="P235" s="16">
        <f>N235/L235</f>
        <v>1.3283601231190152</v>
      </c>
      <c r="Q235" s="14">
        <v>325228</v>
      </c>
      <c r="R235" s="14"/>
      <c r="S235" s="17">
        <v>2.8108905000000002</v>
      </c>
      <c r="T235" s="15">
        <v>72.5</v>
      </c>
      <c r="U235" s="15"/>
      <c r="V235" s="15">
        <v>87.18</v>
      </c>
      <c r="W235" s="14" t="s">
        <v>1822</v>
      </c>
      <c r="X235" s="14">
        <v>2</v>
      </c>
      <c r="Y235" s="10">
        <f>AC235-AB235</f>
        <v>111</v>
      </c>
      <c r="Z235" s="18">
        <v>58</v>
      </c>
      <c r="AA235" s="18">
        <v>123</v>
      </c>
      <c r="AB235" s="18">
        <v>13</v>
      </c>
      <c r="AC235" s="18">
        <v>124</v>
      </c>
      <c r="AD235" s="1" t="s">
        <v>1812</v>
      </c>
      <c r="AE235" s="1" t="s">
        <v>1813</v>
      </c>
      <c r="AG235" s="4">
        <v>7.16</v>
      </c>
    </row>
    <row r="236" spans="1:33" ht="47.25" customHeight="1" x14ac:dyDescent="0.25">
      <c r="A236" s="10" t="s">
        <v>2382</v>
      </c>
      <c r="B236" s="11" t="s">
        <v>33</v>
      </c>
      <c r="C236" s="12" t="s">
        <v>2383</v>
      </c>
      <c r="D236" s="27"/>
      <c r="E236" s="14" t="s">
        <v>35</v>
      </c>
      <c r="F236" s="11" t="str">
        <f>HYPERLINK("https://redirect.sdcdeals.com/redirect?destination=https%3A%2F%2Fwww.amazon.com%2Fdp%2FB09KMSC2SF%3Fth%3D1%26psc%3D1%26tag%3Dsdcdeals03-20", "Amazon Link")</f>
        <v>Amazon Link</v>
      </c>
      <c r="G236" s="11" t="s">
        <v>36</v>
      </c>
      <c r="H236" s="14" t="s">
        <v>2384</v>
      </c>
      <c r="I236" s="11" t="str">
        <f>HYPERLINK("https://redirect.sdcdeals.com/redirect?code=763034&amp;mavely=https://mavely.app.link/e/bhESV2wGrGb&amp;destination=https%3A%2F%2Fwww.kohls.com%2Fsearch.jsp%3Fsubmit-search%3Dweb-regular%26search%3D54082540", "Retail Link")</f>
        <v>Retail Link</v>
      </c>
      <c r="J236" s="14" t="s">
        <v>2362</v>
      </c>
      <c r="K236" s="13" t="s">
        <v>2385</v>
      </c>
      <c r="L236" s="15">
        <v>15.4</v>
      </c>
      <c r="M236" s="15">
        <v>49.97</v>
      </c>
      <c r="N236" s="15">
        <v>20.404499999999999</v>
      </c>
      <c r="O236" s="15">
        <f>V236-M236</f>
        <v>-4.1000000000000014</v>
      </c>
      <c r="P236" s="16">
        <f>N236/L236</f>
        <v>1.3249675324675323</v>
      </c>
      <c r="Q236" s="14">
        <v>229494</v>
      </c>
      <c r="R236" s="14"/>
      <c r="S236" s="17">
        <v>0.79366320000000001</v>
      </c>
      <c r="T236" s="15">
        <v>46.02</v>
      </c>
      <c r="U236" s="15">
        <v>47.86</v>
      </c>
      <c r="V236" s="15">
        <v>45.87</v>
      </c>
      <c r="W236" s="14" t="s">
        <v>1512</v>
      </c>
      <c r="X236" s="14">
        <v>8</v>
      </c>
      <c r="Y236" s="10">
        <f>AC236-AB236</f>
        <v>203</v>
      </c>
      <c r="Z236" s="18">
        <v>25</v>
      </c>
      <c r="AA236" s="18">
        <v>69</v>
      </c>
      <c r="AB236" s="18">
        <v>4</v>
      </c>
      <c r="AC236" s="18">
        <v>207</v>
      </c>
      <c r="AD236" s="1" t="s">
        <v>2365</v>
      </c>
      <c r="AE236" s="1" t="s">
        <v>2366</v>
      </c>
      <c r="AF236" s="4">
        <v>8.49</v>
      </c>
      <c r="AG236" s="4">
        <v>6.67</v>
      </c>
    </row>
    <row r="237" spans="1:33" ht="47.25" customHeight="1" x14ac:dyDescent="0.25">
      <c r="A237" s="10" t="s">
        <v>5827</v>
      </c>
      <c r="B237" s="11" t="s">
        <v>33</v>
      </c>
      <c r="C237" s="12" t="s">
        <v>5828</v>
      </c>
      <c r="D237" s="27"/>
      <c r="E237" s="14" t="s">
        <v>35</v>
      </c>
      <c r="F237" s="11" t="str">
        <f>HYPERLINK("https://redirect.sdcdeals.com/redirect?destination=https%3A%2F%2Fwww.amazon.com%2Fdp%2FB0CGW2TYHD%3Fth%3D1%26psc%3D1%26tag%3Dsdcdeals03-20", "Amazon Link")</f>
        <v>Amazon Link</v>
      </c>
      <c r="G237" s="11" t="s">
        <v>36</v>
      </c>
      <c r="H237" s="14" t="s">
        <v>5829</v>
      </c>
      <c r="I237" s="11" t="str">
        <f>HYPERLINK("https://redirect.sdcdeals.com/redirect?code=763034&amp;mavely=https://mavely.app.link/e/bhESV2wGrGb&amp;destination=https%3A%2F%2Fwww.kohls.com%2Fsearch.jsp%3Fsubmit-search%3Dweb-regular%26search%3D80688239", "Retail Link")</f>
        <v>Retail Link</v>
      </c>
      <c r="J237" s="14" t="s">
        <v>5830</v>
      </c>
      <c r="K237" s="13" t="s">
        <v>5831</v>
      </c>
      <c r="L237" s="15">
        <v>7.6000000000000014</v>
      </c>
      <c r="M237" s="15">
        <v>26.19</v>
      </c>
      <c r="N237" s="15">
        <v>10.051500000000001</v>
      </c>
      <c r="O237" s="15">
        <f>V237-M237</f>
        <v>0.54999999999999716</v>
      </c>
      <c r="P237" s="16">
        <f>N237/L237</f>
        <v>1.322565789473684</v>
      </c>
      <c r="Q237" s="14">
        <v>283027</v>
      </c>
      <c r="R237" s="14"/>
      <c r="S237" s="17">
        <v>0.50044874000000006</v>
      </c>
      <c r="T237" s="15">
        <v>26.19</v>
      </c>
      <c r="U237" s="15">
        <v>27.43</v>
      </c>
      <c r="V237" s="15">
        <v>26.74</v>
      </c>
      <c r="W237" s="14" t="s">
        <v>5832</v>
      </c>
      <c r="X237" s="14">
        <v>3</v>
      </c>
      <c r="Y237" s="10">
        <f>AC237-AB237</f>
        <v>2</v>
      </c>
      <c r="Z237" s="18">
        <v>8</v>
      </c>
      <c r="AA237" s="18">
        <v>27</v>
      </c>
      <c r="AB237" s="18">
        <v>1</v>
      </c>
      <c r="AC237" s="18">
        <v>3</v>
      </c>
      <c r="AE237" s="1" t="s">
        <v>5833</v>
      </c>
      <c r="AG237" s="4">
        <v>4.6100000000000003</v>
      </c>
    </row>
    <row r="238" spans="1:33" ht="47.25" customHeight="1" x14ac:dyDescent="0.25">
      <c r="A238" s="10" t="s">
        <v>7101</v>
      </c>
      <c r="B238" s="11" t="s">
        <v>33</v>
      </c>
      <c r="C238" s="12" t="s">
        <v>7102</v>
      </c>
      <c r="D238" s="27"/>
      <c r="E238" s="14" t="s">
        <v>35</v>
      </c>
      <c r="F238" s="11" t="str">
        <f>HYPERLINK("https://redirect.sdcdeals.com/redirect?destination=https%3A%2F%2Fwww.amazon.com%2Fdp%2FB09NMK7KQL%3Fth%3D1%26psc%3D1%26tag%3Dsdcdeals03-20", "Amazon Link")</f>
        <v>Amazon Link</v>
      </c>
      <c r="G238" s="11" t="s">
        <v>36</v>
      </c>
      <c r="H238" s="14" t="s">
        <v>7103</v>
      </c>
      <c r="I238" s="11" t="str">
        <f>HYPERLINK("https://redirect.sdcdeals.com/redirect?code=763034&amp;mavely=https://mavely.app.link/e/bhESV2wGrGb&amp;destination=https%3A%2F%2Fwww.kohls.com%2Fsearch.jsp%3Fsubmit-search%3Dweb-regular%26search%3D58018402", "Retail Link")</f>
        <v>Retail Link</v>
      </c>
      <c r="J238" s="14" t="s">
        <v>7104</v>
      </c>
      <c r="K238" s="13" t="s">
        <v>7105</v>
      </c>
      <c r="L238" s="15">
        <v>5.1920000000000002</v>
      </c>
      <c r="M238" s="15">
        <v>21.94</v>
      </c>
      <c r="N238" s="15">
        <v>6.8369999999999997</v>
      </c>
      <c r="O238" s="15">
        <f>V238-M238</f>
        <v>-9.4300000000000015</v>
      </c>
      <c r="P238" s="16">
        <f>N238/L238</f>
        <v>1.3168335901386747</v>
      </c>
      <c r="Q238" s="14">
        <v>196251</v>
      </c>
      <c r="R238" s="14"/>
      <c r="S238" s="17">
        <v>0.74957079999999998</v>
      </c>
      <c r="T238" s="15">
        <v>21</v>
      </c>
      <c r="U238" s="15">
        <v>16.91</v>
      </c>
      <c r="V238" s="15">
        <v>12.51</v>
      </c>
      <c r="W238" s="14" t="s">
        <v>7106</v>
      </c>
      <c r="X238" s="14">
        <v>10</v>
      </c>
      <c r="Y238" s="10">
        <f>AC238-AB238</f>
        <v>304</v>
      </c>
      <c r="Z238" s="18">
        <v>49</v>
      </c>
      <c r="AA238" s="18">
        <v>120</v>
      </c>
      <c r="AB238" s="18"/>
      <c r="AC238" s="18">
        <v>304</v>
      </c>
      <c r="AD238" s="1" t="s">
        <v>7107</v>
      </c>
      <c r="AE238" s="1" t="s">
        <v>145</v>
      </c>
      <c r="AF238" s="4">
        <v>3.29</v>
      </c>
      <c r="AG238" s="4">
        <v>6.62</v>
      </c>
    </row>
    <row r="239" spans="1:33" ht="47.25" hidden="1" customHeight="1" x14ac:dyDescent="0.25">
      <c r="A239" s="10" t="s">
        <v>5958</v>
      </c>
      <c r="B239" s="11" t="s">
        <v>33</v>
      </c>
      <c r="C239" s="12" t="s">
        <v>5959</v>
      </c>
      <c r="D239" s="27"/>
      <c r="E239" s="14" t="s">
        <v>35</v>
      </c>
      <c r="F239" s="11" t="str">
        <f>HYPERLINK("https://redirect.sdcdeals.com/redirect?destination=https%3A%2F%2Fwww.amazon.com%2Fdp%2FB0CKD53XNN%3Fth%3D1%26psc%3D1%26tag%3Dsdcdeals03-20", "Amazon Link")</f>
        <v>Amazon Link</v>
      </c>
      <c r="G239" s="11" t="s">
        <v>36</v>
      </c>
      <c r="H239" s="14" t="s">
        <v>5960</v>
      </c>
      <c r="I239" s="11" t="str">
        <f>HYPERLINK("https://redirect.sdcdeals.com/redirect?code=763034&amp;mavely=https://mavely.app.link/e/bhESV2wGrGb&amp;destination=https%3A%2F%2Fwww.kohls.com%2Fsearch.jsp%3Fsubmit-search%3Dweb-regular%26search%3D70298181", "Retail Link")</f>
        <v>Retail Link</v>
      </c>
      <c r="J239" s="14" t="s">
        <v>5955</v>
      </c>
      <c r="K239" s="13" t="s">
        <v>5961</v>
      </c>
      <c r="L239" s="15">
        <v>4.8000000000000007</v>
      </c>
      <c r="M239" s="15">
        <v>19.989999999999998</v>
      </c>
      <c r="N239" s="15">
        <v>6.2914999999999974</v>
      </c>
      <c r="O239" s="15">
        <f>V239-M239</f>
        <v>0.66000000000000014</v>
      </c>
      <c r="P239" s="16">
        <f>N239/L239</f>
        <v>1.3107291666666658</v>
      </c>
      <c r="Q239" s="14"/>
      <c r="R239" s="14"/>
      <c r="S239" s="17">
        <v>0.35053457999999998</v>
      </c>
      <c r="T239" s="15">
        <v>19.989999999999998</v>
      </c>
      <c r="U239" s="15">
        <v>19.989999999999998</v>
      </c>
      <c r="V239" s="15">
        <v>20.65</v>
      </c>
      <c r="W239" s="14" t="s">
        <v>1795</v>
      </c>
      <c r="X239" s="14">
        <v>2</v>
      </c>
      <c r="Y239" s="10">
        <f>AC239-AB239</f>
        <v>0</v>
      </c>
      <c r="Z239" s="18">
        <v>0</v>
      </c>
      <c r="AA239" s="18">
        <v>0</v>
      </c>
      <c r="AB239" s="18">
        <v>0</v>
      </c>
      <c r="AC239" s="18"/>
      <c r="AE239" s="1" t="s">
        <v>5957</v>
      </c>
      <c r="AF239" s="4">
        <v>2</v>
      </c>
      <c r="AG239" s="4">
        <v>5.9</v>
      </c>
    </row>
    <row r="240" spans="1:33" ht="47.25" customHeight="1" x14ac:dyDescent="0.25">
      <c r="A240" s="10" t="s">
        <v>5967</v>
      </c>
      <c r="B240" s="11" t="s">
        <v>33</v>
      </c>
      <c r="C240" s="12" t="s">
        <v>5968</v>
      </c>
      <c r="D240" s="27"/>
      <c r="E240" s="14" t="s">
        <v>35</v>
      </c>
      <c r="F240" s="11" t="str">
        <f>HYPERLINK("https://redirect.sdcdeals.com/redirect?destination=https%3A%2F%2Fwww.amazon.com%2Fdp%2FB0CKCW4W8X%3Fth%3D1%26psc%3D1%26tag%3Dsdcdeals03-20", "Amazon Link")</f>
        <v>Amazon Link</v>
      </c>
      <c r="G240" s="11" t="s">
        <v>36</v>
      </c>
      <c r="H240" s="14" t="s">
        <v>5969</v>
      </c>
      <c r="I240" s="11" t="str">
        <f>HYPERLINK("https://redirect.sdcdeals.com/redirect?code=763034&amp;mavely=https://mavely.app.link/e/bhESV2wGrGb&amp;destination=https%3A%2F%2Fwww.kohls.com%2Fsearch.jsp%3Fsubmit-search%3Dweb-regular%26search%3D70298189", "Retail Link")</f>
        <v>Retail Link</v>
      </c>
      <c r="J240" s="14" t="s">
        <v>5955</v>
      </c>
      <c r="K240" s="13" t="s">
        <v>5970</v>
      </c>
      <c r="L240" s="15">
        <v>4.8000000000000007</v>
      </c>
      <c r="M240" s="15">
        <v>19.989999999999998</v>
      </c>
      <c r="N240" s="15">
        <v>6.2914999999999974</v>
      </c>
      <c r="O240" s="15">
        <f>V240-M240</f>
        <v>1.0700000000000003</v>
      </c>
      <c r="P240" s="16">
        <f>N240/L240</f>
        <v>1.3107291666666658</v>
      </c>
      <c r="Q240" s="14">
        <v>11802274</v>
      </c>
      <c r="R240" s="14"/>
      <c r="S240" s="17">
        <v>0.35053457999999998</v>
      </c>
      <c r="T240" s="15">
        <v>19.989999999999998</v>
      </c>
      <c r="U240" s="15">
        <v>19.989999999999998</v>
      </c>
      <c r="V240" s="15">
        <v>21.06</v>
      </c>
      <c r="W240" s="14" t="s">
        <v>3954</v>
      </c>
      <c r="X240" s="14">
        <v>2</v>
      </c>
      <c r="Y240" s="10">
        <f>AC240-AB240</f>
        <v>0</v>
      </c>
      <c r="Z240" s="18">
        <v>0</v>
      </c>
      <c r="AA240" s="18">
        <v>0</v>
      </c>
      <c r="AB240" s="18">
        <v>0</v>
      </c>
      <c r="AC240" s="18"/>
      <c r="AE240" s="1" t="s">
        <v>5957</v>
      </c>
      <c r="AF240" s="4">
        <v>2</v>
      </c>
      <c r="AG240" s="4">
        <v>5.9</v>
      </c>
    </row>
    <row r="241" spans="1:33" ht="47.25" hidden="1" customHeight="1" x14ac:dyDescent="0.25">
      <c r="A241" s="10" t="s">
        <v>1591</v>
      </c>
      <c r="B241" s="11" t="s">
        <v>33</v>
      </c>
      <c r="C241" s="12" t="s">
        <v>1592</v>
      </c>
      <c r="D241" s="27"/>
      <c r="E241" s="14" t="s">
        <v>35</v>
      </c>
      <c r="F241" s="11" t="str">
        <f>HYPERLINK("https://redirect.sdcdeals.com/redirect?destination=https%3A%2F%2Fwww.amazon.com%2Fdp%2FB0CXNJ2Y3L%3Fth%3D1%26psc%3D1%26tag%3Dsdcdeals03-20", "Amazon Link")</f>
        <v>Amazon Link</v>
      </c>
      <c r="G241" s="11" t="s">
        <v>36</v>
      </c>
      <c r="H241" s="14" t="s">
        <v>1593</v>
      </c>
      <c r="I241" s="11" t="str">
        <f>HYPERLINK("https://redirect.sdcdeals.com/redirect?code=763034&amp;mavely=https://mavely.app.link/e/bhESV2wGrGb&amp;destination=https%3A%2F%2Fwww.kohls.com%2Fsearch.jsp%3Fsubmit-search%3Dweb-regular%26search%3D80525863", "Retail Link")</f>
        <v>Retail Link</v>
      </c>
      <c r="J241" s="14" t="s">
        <v>1594</v>
      </c>
      <c r="K241" s="13" t="s">
        <v>1595</v>
      </c>
      <c r="L241" s="15">
        <v>4.7920000000000007</v>
      </c>
      <c r="M241" s="15">
        <v>21.99</v>
      </c>
      <c r="N241" s="15">
        <v>6.2594999999999974</v>
      </c>
      <c r="O241" s="15">
        <f>V241-M241</f>
        <v>0</v>
      </c>
      <c r="P241" s="16">
        <f>N241/L241</f>
        <v>1.306239565943238</v>
      </c>
      <c r="Q241" s="14"/>
      <c r="R241" s="14"/>
      <c r="S241" s="17">
        <v>2.7006595</v>
      </c>
      <c r="T241" s="15">
        <v>21.99</v>
      </c>
      <c r="U241" s="15">
        <v>21.99</v>
      </c>
      <c r="V241" s="15">
        <v>21.99</v>
      </c>
      <c r="W241" s="14" t="s">
        <v>1596</v>
      </c>
      <c r="X241" s="14">
        <v>1</v>
      </c>
      <c r="Y241" s="10">
        <f>AC241-AB241</f>
        <v>0</v>
      </c>
      <c r="Z241" s="18">
        <v>-1</v>
      </c>
      <c r="AA241" s="18">
        <v>-1</v>
      </c>
      <c r="AB241" s="18"/>
      <c r="AC241" s="18"/>
      <c r="AD241" s="1" t="s">
        <v>1597</v>
      </c>
      <c r="AE241" s="1" t="s">
        <v>1598</v>
      </c>
      <c r="AF241" s="4">
        <v>3.3</v>
      </c>
      <c r="AG241" s="4">
        <v>7.64</v>
      </c>
    </row>
    <row r="242" spans="1:33" ht="47.25" customHeight="1" x14ac:dyDescent="0.25">
      <c r="A242" s="10" t="s">
        <v>6627</v>
      </c>
      <c r="B242" s="11" t="s">
        <v>33</v>
      </c>
      <c r="C242" s="12" t="s">
        <v>6628</v>
      </c>
      <c r="D242" s="27"/>
      <c r="E242" s="14" t="s">
        <v>35</v>
      </c>
      <c r="F242" s="11" t="str">
        <f>HYPERLINK("https://redirect.sdcdeals.com/redirect?destination=https%3A%2F%2Fwww.amazon.com%2Fdp%2FB07SZ3RS7M%3Fth%3D1%26psc%3D1%26tag%3Dsdcdeals03-20", "Amazon Link")</f>
        <v>Amazon Link</v>
      </c>
      <c r="G242" s="11" t="s">
        <v>36</v>
      </c>
      <c r="H242" s="14" t="s">
        <v>6629</v>
      </c>
      <c r="I242" s="11" t="str">
        <f>HYPERLINK("https://redirect.sdcdeals.com/redirect?code=763034&amp;mavely=https://mavely.app.link/e/bhESV2wGrGb&amp;destination=https%3A%2F%2Fwww.kohls.com%2Fsearch.jsp%3Fsubmit-search%3Dweb-regular%26search%3D44208948", "Retail Link")</f>
        <v>Retail Link</v>
      </c>
      <c r="J242" s="14" t="s">
        <v>6630</v>
      </c>
      <c r="K242" s="13" t="s">
        <v>6631</v>
      </c>
      <c r="L242" s="15">
        <v>17.696000000000002</v>
      </c>
      <c r="M242" s="15">
        <v>54.99</v>
      </c>
      <c r="N242" s="15">
        <v>22.9955</v>
      </c>
      <c r="O242" s="15">
        <f>V242-M242</f>
        <v>-14.600000000000001</v>
      </c>
      <c r="P242" s="16">
        <f>N242/L242</f>
        <v>1.2994744575045207</v>
      </c>
      <c r="Q242" s="14">
        <v>10520</v>
      </c>
      <c r="R242" s="14">
        <v>50</v>
      </c>
      <c r="S242" s="17">
        <v>1.6953527799999999</v>
      </c>
      <c r="T242" s="15">
        <v>54.99</v>
      </c>
      <c r="U242" s="15">
        <v>35.46</v>
      </c>
      <c r="V242" s="15">
        <v>40.39</v>
      </c>
      <c r="W242" s="14" t="s">
        <v>131</v>
      </c>
      <c r="X242" s="14">
        <v>3</v>
      </c>
      <c r="Y242" s="10">
        <f>AC242-AB242</f>
        <v>5672</v>
      </c>
      <c r="Z242" s="18">
        <v>51</v>
      </c>
      <c r="AA242" s="18">
        <v>156</v>
      </c>
      <c r="AB242" s="18">
        <v>30</v>
      </c>
      <c r="AC242" s="18">
        <v>5702</v>
      </c>
      <c r="AD242" s="1" t="s">
        <v>6632</v>
      </c>
      <c r="AE242" s="1" t="s">
        <v>6633</v>
      </c>
      <c r="AF242" s="4">
        <v>9.35</v>
      </c>
      <c r="AG242" s="4">
        <v>6.05</v>
      </c>
    </row>
    <row r="243" spans="1:33" ht="47.25" customHeight="1" x14ac:dyDescent="0.25">
      <c r="A243" s="10" t="s">
        <v>6634</v>
      </c>
      <c r="B243" s="11" t="s">
        <v>33</v>
      </c>
      <c r="C243" s="12" t="s">
        <v>6635</v>
      </c>
      <c r="D243" s="27"/>
      <c r="E243" s="14" t="s">
        <v>35</v>
      </c>
      <c r="F243" s="11" t="str">
        <f>HYPERLINK("https://redirect.sdcdeals.com/redirect?destination=https%3A%2F%2Fwww.amazon.com%2Fdp%2FB07T27K4MG%3Fth%3D1%26psc%3D1%26tag%3Dsdcdeals03-20", "Amazon Link")</f>
        <v>Amazon Link</v>
      </c>
      <c r="G243" s="11" t="s">
        <v>36</v>
      </c>
      <c r="H243" s="14" t="s">
        <v>6636</v>
      </c>
      <c r="I243" s="11" t="str">
        <f>HYPERLINK("https://redirect.sdcdeals.com/redirect?code=763034&amp;mavely=https://mavely.app.link/e/bhESV2wGrGb&amp;destination=https%3A%2F%2Fwww.kohls.com%2Fsearch.jsp%3Fsubmit-search%3Dweb-regular%26search%3D44208950", "Retail Link")</f>
        <v>Retail Link</v>
      </c>
      <c r="J243" s="14" t="s">
        <v>6630</v>
      </c>
      <c r="K243" s="13" t="s">
        <v>6637</v>
      </c>
      <c r="L243" s="15">
        <v>17.696000000000002</v>
      </c>
      <c r="M243" s="15">
        <v>54.99</v>
      </c>
      <c r="N243" s="15">
        <v>22.9955</v>
      </c>
      <c r="O243" s="15">
        <f>V243-M243</f>
        <v>-14.010000000000005</v>
      </c>
      <c r="P243" s="16">
        <f>N243/L243</f>
        <v>1.2994744575045207</v>
      </c>
      <c r="Q243" s="14">
        <v>10520</v>
      </c>
      <c r="R243" s="14"/>
      <c r="S243" s="17">
        <v>1.79896992</v>
      </c>
      <c r="T243" s="15">
        <v>54.98</v>
      </c>
      <c r="U243" s="15">
        <v>35.450000000000003</v>
      </c>
      <c r="V243" s="15">
        <v>40.98</v>
      </c>
      <c r="W243" s="14" t="s">
        <v>95</v>
      </c>
      <c r="X243" s="14">
        <v>3</v>
      </c>
      <c r="Y243" s="10">
        <f>AC243-AB243</f>
        <v>5690</v>
      </c>
      <c r="Z243" s="18">
        <v>62</v>
      </c>
      <c r="AA243" s="18">
        <v>144</v>
      </c>
      <c r="AB243" s="18">
        <v>11</v>
      </c>
      <c r="AC243" s="18">
        <v>5701</v>
      </c>
      <c r="AD243" s="1" t="s">
        <v>6632</v>
      </c>
      <c r="AE243" s="1" t="s">
        <v>6633</v>
      </c>
      <c r="AF243" s="4">
        <v>9.35</v>
      </c>
      <c r="AG243" s="4">
        <v>6.05</v>
      </c>
    </row>
    <row r="244" spans="1:33" ht="47.25" customHeight="1" x14ac:dyDescent="0.25">
      <c r="A244" s="10" t="s">
        <v>6644</v>
      </c>
      <c r="B244" s="11" t="s">
        <v>33</v>
      </c>
      <c r="C244" s="12" t="s">
        <v>6645</v>
      </c>
      <c r="D244" s="27"/>
      <c r="E244" s="14" t="s">
        <v>35</v>
      </c>
      <c r="F244" s="11" t="str">
        <f>HYPERLINK("https://redirect.sdcdeals.com/redirect?destination=https%3A%2F%2Fwww.amazon.com%2Fdp%2FB07T27KKV9%3Fth%3D1%26psc%3D1%26tag%3Dsdcdeals03-20", "Amazon Link")</f>
        <v>Amazon Link</v>
      </c>
      <c r="G244" s="11" t="s">
        <v>36</v>
      </c>
      <c r="H244" s="14" t="s">
        <v>6646</v>
      </c>
      <c r="I244" s="11" t="str">
        <f>HYPERLINK("https://redirect.sdcdeals.com/redirect?code=763034&amp;mavely=https://mavely.app.link/e/bhESV2wGrGb&amp;destination=https%3A%2F%2Fwww.kohls.com%2Fsearch.jsp%3Fsubmit-search%3Dweb-regular%26search%3D44208953", "Retail Link")</f>
        <v>Retail Link</v>
      </c>
      <c r="J244" s="14" t="s">
        <v>6630</v>
      </c>
      <c r="K244" s="13" t="s">
        <v>6647</v>
      </c>
      <c r="L244" s="15">
        <v>17.696000000000002</v>
      </c>
      <c r="M244" s="15">
        <v>54.99</v>
      </c>
      <c r="N244" s="15">
        <v>22.9955</v>
      </c>
      <c r="O244" s="15">
        <f>V244-M244</f>
        <v>-17.880000000000003</v>
      </c>
      <c r="P244" s="16">
        <f>N244/L244</f>
        <v>1.2994744575045207</v>
      </c>
      <c r="Q244" s="14">
        <v>10520</v>
      </c>
      <c r="R244" s="14"/>
      <c r="S244" s="17">
        <v>1.79896992</v>
      </c>
      <c r="T244" s="15">
        <v>54.99</v>
      </c>
      <c r="U244" s="15">
        <v>35.32</v>
      </c>
      <c r="V244" s="15">
        <v>37.11</v>
      </c>
      <c r="W244" s="14" t="s">
        <v>342</v>
      </c>
      <c r="X244" s="14">
        <v>3</v>
      </c>
      <c r="Y244" s="10">
        <f>AC244-AB244</f>
        <v>5691</v>
      </c>
      <c r="Z244" s="18">
        <v>45</v>
      </c>
      <c r="AA244" s="18">
        <v>150</v>
      </c>
      <c r="AB244" s="18">
        <v>10</v>
      </c>
      <c r="AC244" s="18">
        <v>5701</v>
      </c>
      <c r="AD244" s="1" t="s">
        <v>6632</v>
      </c>
      <c r="AE244" s="1" t="s">
        <v>6633</v>
      </c>
      <c r="AF244" s="4">
        <v>9.35</v>
      </c>
      <c r="AG244" s="4">
        <v>6.05</v>
      </c>
    </row>
    <row r="245" spans="1:33" ht="47.25" customHeight="1" x14ac:dyDescent="0.25">
      <c r="A245" s="10" t="s">
        <v>4105</v>
      </c>
      <c r="B245" s="11" t="s">
        <v>33</v>
      </c>
      <c r="C245" s="12" t="s">
        <v>4106</v>
      </c>
      <c r="D245" s="27"/>
      <c r="E245" s="14" t="s">
        <v>35</v>
      </c>
      <c r="F245" s="11" t="str">
        <f>HYPERLINK("https://redirect.sdcdeals.com/redirect?destination=https%3A%2F%2Fwww.amazon.com%2Fdp%2FB0BKQS3GD2%3Fth%3D1%26psc%3D1%26tag%3Dsdcdeals03-20", "Amazon Link")</f>
        <v>Amazon Link</v>
      </c>
      <c r="G245" s="11" t="s">
        <v>36</v>
      </c>
      <c r="H245" s="14" t="s">
        <v>4107</v>
      </c>
      <c r="I245" s="11" t="str">
        <f>HYPERLINK("https://redirect.sdcdeals.com/redirect?code=763034&amp;mavely=https://mavely.app.link/e/bhESV2wGrGb&amp;destination=https%3A%2F%2Fwww.kohls.com%2Fsearch.jsp%3Fsubmit-search%3Dweb-regular%26search%3D71992590", "Retail Link")</f>
        <v>Retail Link</v>
      </c>
      <c r="J245" s="14" t="s">
        <v>4089</v>
      </c>
      <c r="K245" s="13" t="s">
        <v>4108</v>
      </c>
      <c r="L245" s="15">
        <v>39.6</v>
      </c>
      <c r="M245" s="15">
        <v>115.73</v>
      </c>
      <c r="N245" s="15">
        <v>51.3705</v>
      </c>
      <c r="O245" s="15">
        <f>V245-M245</f>
        <v>-6.4500000000000028</v>
      </c>
      <c r="P245" s="16">
        <f>N245/L245</f>
        <v>1.2972348484848484</v>
      </c>
      <c r="Q245" s="14">
        <v>413931</v>
      </c>
      <c r="R245" s="14"/>
      <c r="S245" s="17">
        <v>1.1464023999999999</v>
      </c>
      <c r="T245" s="15">
        <v>105.15</v>
      </c>
      <c r="U245" s="15">
        <v>104.27</v>
      </c>
      <c r="V245" s="15">
        <v>109.28</v>
      </c>
      <c r="W245" s="14" t="s">
        <v>4109</v>
      </c>
      <c r="X245" s="14">
        <v>2</v>
      </c>
      <c r="Y245" s="10">
        <f>AC245-AB245</f>
        <v>15</v>
      </c>
      <c r="Z245" s="18">
        <v>9</v>
      </c>
      <c r="AA245" s="18">
        <v>29</v>
      </c>
      <c r="AB245" s="18">
        <v>0</v>
      </c>
      <c r="AC245" s="18">
        <v>15</v>
      </c>
      <c r="AD245" s="1" t="s">
        <v>4091</v>
      </c>
      <c r="AE245" s="1" t="s">
        <v>1406</v>
      </c>
      <c r="AF245" s="4">
        <v>19.670000000000002</v>
      </c>
      <c r="AG245" s="4">
        <v>7.4</v>
      </c>
    </row>
    <row r="246" spans="1:33" ht="47.25" customHeight="1" x14ac:dyDescent="0.25">
      <c r="A246" s="10" t="s">
        <v>6894</v>
      </c>
      <c r="B246" s="11" t="s">
        <v>33</v>
      </c>
      <c r="C246" s="12" t="s">
        <v>6895</v>
      </c>
      <c r="D246" s="27"/>
      <c r="E246" s="14" t="s">
        <v>35</v>
      </c>
      <c r="F246" s="11" t="str">
        <f>HYPERLINK("https://redirect.sdcdeals.com/redirect?destination=https%3A%2F%2Fwww.amazon.com%2Fdp%2FB0BKR54KZ5%3Fth%3D1%26psc%3D1%26tag%3Dsdcdeals03-20", "Amazon Link")</f>
        <v>Amazon Link</v>
      </c>
      <c r="G246" s="11" t="s">
        <v>36</v>
      </c>
      <c r="H246" s="14" t="s">
        <v>6896</v>
      </c>
      <c r="I246" s="11" t="str">
        <f>HYPERLINK("https://redirect.sdcdeals.com/redirect?code=763034&amp;mavely=https://mavely.app.link/e/bhESV2wGrGb&amp;destination=https%3A%2F%2Fwww.kohls.com%2Fsearch.jsp%3Fsubmit-search%3Dweb-regular%26search%3D81836398", "Retail Link")</f>
        <v>Retail Link</v>
      </c>
      <c r="J246" s="14" t="s">
        <v>6897</v>
      </c>
      <c r="K246" s="13" t="s">
        <v>6898</v>
      </c>
      <c r="L246" s="15">
        <v>13</v>
      </c>
      <c r="M246" s="15">
        <v>42</v>
      </c>
      <c r="N246" s="15">
        <v>16.8</v>
      </c>
      <c r="O246" s="15">
        <f>V246-M246</f>
        <v>-8.7199999999999989</v>
      </c>
      <c r="P246" s="16">
        <f>N246/L246</f>
        <v>1.2923076923076924</v>
      </c>
      <c r="Q246" s="14">
        <v>473134</v>
      </c>
      <c r="R246" s="14"/>
      <c r="S246" s="17">
        <v>0.41887780000000002</v>
      </c>
      <c r="T246" s="15">
        <v>42</v>
      </c>
      <c r="U246" s="15">
        <v>36.71</v>
      </c>
      <c r="V246" s="15">
        <v>33.28</v>
      </c>
      <c r="W246" s="14" t="s">
        <v>199</v>
      </c>
      <c r="X246" s="14">
        <v>1</v>
      </c>
      <c r="Y246" s="10">
        <f>AC246-AB246</f>
        <v>15</v>
      </c>
      <c r="Z246" s="18">
        <v>8</v>
      </c>
      <c r="AA246" s="18">
        <v>32</v>
      </c>
      <c r="AB246" s="18">
        <v>0</v>
      </c>
      <c r="AC246" s="18">
        <v>15</v>
      </c>
      <c r="AD246" s="1" t="s">
        <v>6899</v>
      </c>
      <c r="AE246" s="1" t="s">
        <v>6900</v>
      </c>
      <c r="AF246" s="4">
        <v>7.14</v>
      </c>
      <c r="AG246" s="4">
        <v>5.9</v>
      </c>
    </row>
    <row r="247" spans="1:33" ht="47.25" customHeight="1" x14ac:dyDescent="0.25">
      <c r="A247" s="10" t="s">
        <v>2166</v>
      </c>
      <c r="B247" s="11" t="s">
        <v>33</v>
      </c>
      <c r="C247" s="12" t="s">
        <v>2167</v>
      </c>
      <c r="D247" s="27"/>
      <c r="E247" s="14" t="s">
        <v>35</v>
      </c>
      <c r="F247" s="11" t="str">
        <f>HYPERLINK("https://redirect.sdcdeals.com/redirect?destination=https%3A%2F%2Fwww.amazon.com%2Fdp%2FB0BGVRZVZW%3Fth%3D1%26psc%3D1%26tag%3Dsdcdeals03-20", "Amazon Link")</f>
        <v>Amazon Link</v>
      </c>
      <c r="G247" s="11" t="s">
        <v>36</v>
      </c>
      <c r="H247" s="14" t="s">
        <v>2168</v>
      </c>
      <c r="I247" s="11" t="str">
        <f>HYPERLINK("https://redirect.sdcdeals.com/redirect?code=763034&amp;mavely=https://mavely.app.link/e/bhESV2wGrGb&amp;destination=https%3A%2F%2Fwww.kohls.com%2Fsearch.jsp%3Fsubmit-search%3Dweb-regular%26search%3D58732110", "Retail Link")</f>
        <v>Retail Link</v>
      </c>
      <c r="J247" s="14" t="s">
        <v>2131</v>
      </c>
      <c r="K247" s="13" t="s">
        <v>2169</v>
      </c>
      <c r="L247" s="15">
        <v>16.8</v>
      </c>
      <c r="M247" s="15">
        <v>53.43</v>
      </c>
      <c r="N247" s="15">
        <v>21.595500000000001</v>
      </c>
      <c r="O247" s="15">
        <f>V247-M247</f>
        <v>-0.21000000000000085</v>
      </c>
      <c r="P247" s="16">
        <f>N247/L247</f>
        <v>1.2854464285714287</v>
      </c>
      <c r="Q247" s="14">
        <v>59807</v>
      </c>
      <c r="R247" s="14"/>
      <c r="S247" s="17">
        <v>1.0802638</v>
      </c>
      <c r="T247" s="15">
        <v>48.13</v>
      </c>
      <c r="U247" s="15">
        <v>50.04</v>
      </c>
      <c r="V247" s="15">
        <v>53.22</v>
      </c>
      <c r="W247" s="14" t="s">
        <v>366</v>
      </c>
      <c r="X247" s="14">
        <v>5</v>
      </c>
      <c r="Y247" s="10">
        <f>AC247-AB247</f>
        <v>48</v>
      </c>
      <c r="Z247" s="18">
        <v>28</v>
      </c>
      <c r="AA247" s="18">
        <v>74</v>
      </c>
      <c r="AB247" s="18">
        <v>1</v>
      </c>
      <c r="AC247" s="18">
        <v>49</v>
      </c>
      <c r="AD247" s="1" t="s">
        <v>2133</v>
      </c>
      <c r="AE247" s="1" t="s">
        <v>2144</v>
      </c>
      <c r="AF247" s="4">
        <v>9.08</v>
      </c>
      <c r="AG247" s="4">
        <v>7.02</v>
      </c>
    </row>
    <row r="248" spans="1:33" ht="47.25" customHeight="1" x14ac:dyDescent="0.25">
      <c r="A248" s="10" t="s">
        <v>1563</v>
      </c>
      <c r="B248" s="11" t="s">
        <v>33</v>
      </c>
      <c r="C248" s="12" t="s">
        <v>1564</v>
      </c>
      <c r="D248" s="27"/>
      <c r="E248" s="14" t="s">
        <v>35</v>
      </c>
      <c r="F248" s="11" t="str">
        <f>HYPERLINK("https://redirect.sdcdeals.com/redirect?destination=https%3A%2F%2Fwww.amazon.com%2Fdp%2FB09SB8P4W9%3Fth%3D1%26psc%3D1%26tag%3Dsdcdeals03-20", "Amazon Link")</f>
        <v>Amazon Link</v>
      </c>
      <c r="G248" s="11" t="s">
        <v>36</v>
      </c>
      <c r="H248" s="14" t="s">
        <v>1565</v>
      </c>
      <c r="I248" s="11" t="str">
        <f>HYPERLINK("https://redirect.sdcdeals.com/redirect?code=763034&amp;mavely=https://mavely.app.link/e/bhESV2wGrGb&amp;destination=https%3A%2F%2Fwww.kohls.com%2Fsearch.jsp%3Fsubmit-search%3Dweb-regular%26search%3D30831951", "Retail Link")</f>
        <v>Retail Link</v>
      </c>
      <c r="J248" s="14" t="s">
        <v>1553</v>
      </c>
      <c r="K248" s="13" t="s">
        <v>1566</v>
      </c>
      <c r="L248" s="15">
        <v>3.592000000000001</v>
      </c>
      <c r="M248" s="15">
        <v>15</v>
      </c>
      <c r="N248" s="15">
        <v>4.6079999999999988</v>
      </c>
      <c r="O248" s="15">
        <f>V248-M248</f>
        <v>0</v>
      </c>
      <c r="P248" s="16">
        <f>N248/L248</f>
        <v>1.2828507795100217</v>
      </c>
      <c r="Q248" s="14">
        <v>211549</v>
      </c>
      <c r="R248" s="14"/>
      <c r="S248" s="17">
        <v>9.0389419999999998E-2</v>
      </c>
      <c r="T248" s="15">
        <v>15</v>
      </c>
      <c r="U248" s="15">
        <v>15</v>
      </c>
      <c r="V248" s="15">
        <v>15</v>
      </c>
      <c r="W248" s="14" t="s">
        <v>1567</v>
      </c>
      <c r="X248" s="14">
        <v>1</v>
      </c>
      <c r="Y248" s="10">
        <f>AC248-AB248</f>
        <v>1</v>
      </c>
      <c r="Z248" s="18">
        <v>0</v>
      </c>
      <c r="AA248" s="18">
        <v>0</v>
      </c>
      <c r="AB248" s="18">
        <v>4</v>
      </c>
      <c r="AC248" s="18">
        <v>5</v>
      </c>
      <c r="AD248" s="1" t="s">
        <v>1568</v>
      </c>
      <c r="AE248" s="1" t="s">
        <v>1556</v>
      </c>
      <c r="AF248" s="4">
        <v>2.25</v>
      </c>
      <c r="AG248" s="4">
        <v>4.55</v>
      </c>
    </row>
    <row r="249" spans="1:33" ht="47.25" customHeight="1" x14ac:dyDescent="0.25">
      <c r="A249" s="10" t="s">
        <v>881</v>
      </c>
      <c r="B249" s="11" t="s">
        <v>33</v>
      </c>
      <c r="C249" s="12" t="s">
        <v>882</v>
      </c>
      <c r="D249" s="27"/>
      <c r="E249" s="14" t="s">
        <v>35</v>
      </c>
      <c r="F249" s="11" t="str">
        <f>HYPERLINK("https://redirect.sdcdeals.com/redirect?destination=https%3A%2F%2Fwww.amazon.com%2Fdp%2FB08TTBV57B%3Fth%3D1%26psc%3D1%26tag%3Dsdcdeals03-20", "Amazon Link")</f>
        <v>Amazon Link</v>
      </c>
      <c r="G249" s="11" t="s">
        <v>36</v>
      </c>
      <c r="H249" s="14" t="s">
        <v>883</v>
      </c>
      <c r="I249" s="11" t="str">
        <f>HYPERLINK("https://redirect.sdcdeals.com/redirect?code=763034&amp;mavely=https://mavely.app.link/e/bhESV2wGrGb&amp;destination=https%3A%2F%2Fwww.kohls.com%2Fsearch.jsp%3Fsubmit-search%3Dweb-regular%26search%3D67225470", "Retail Link")</f>
        <v>Retail Link</v>
      </c>
      <c r="J249" s="14" t="s">
        <v>884</v>
      </c>
      <c r="K249" s="13" t="s">
        <v>885</v>
      </c>
      <c r="L249" s="15">
        <v>9.6000000000000014</v>
      </c>
      <c r="M249" s="15">
        <v>32.86</v>
      </c>
      <c r="N249" s="15">
        <v>12.281000000000001</v>
      </c>
      <c r="O249" s="15">
        <f>V249-M249</f>
        <v>2.9399999999999977</v>
      </c>
      <c r="P249" s="16">
        <f>N249/L249</f>
        <v>1.2792708333333331</v>
      </c>
      <c r="Q249" s="14">
        <v>15330</v>
      </c>
      <c r="R249" s="14"/>
      <c r="S249" s="17">
        <v>0.73634308000000004</v>
      </c>
      <c r="T249" s="15">
        <v>32.86</v>
      </c>
      <c r="U249" s="15">
        <v>36.51</v>
      </c>
      <c r="V249" s="15">
        <v>35.799999999999997</v>
      </c>
      <c r="W249" s="14" t="s">
        <v>282</v>
      </c>
      <c r="X249" s="14">
        <v>1</v>
      </c>
      <c r="Y249" s="10">
        <f>AC249-AB249</f>
        <v>5183</v>
      </c>
      <c r="Z249" s="18">
        <v>52</v>
      </c>
      <c r="AA249" s="18">
        <v>144</v>
      </c>
      <c r="AB249" s="18">
        <v>3</v>
      </c>
      <c r="AC249" s="18">
        <v>5186</v>
      </c>
      <c r="AD249" s="1" t="s">
        <v>886</v>
      </c>
      <c r="AE249" s="1" t="s">
        <v>887</v>
      </c>
      <c r="AF249" s="4">
        <v>5.59</v>
      </c>
      <c r="AG249" s="4">
        <v>6.05</v>
      </c>
    </row>
    <row r="250" spans="1:33" ht="47.25" customHeight="1" x14ac:dyDescent="0.25">
      <c r="A250" s="10" t="s">
        <v>7211</v>
      </c>
      <c r="B250" s="11" t="s">
        <v>33</v>
      </c>
      <c r="C250" s="12" t="s">
        <v>7212</v>
      </c>
      <c r="D250" s="27"/>
      <c r="E250" s="14" t="s">
        <v>35</v>
      </c>
      <c r="F250" s="11" t="str">
        <f>HYPERLINK("https://redirect.sdcdeals.com/redirect?destination=https%3A%2F%2Fwww.amazon.com%2Fdp%2FB0CGXWM5NC%3Fth%3D1%26psc%3D1%26tag%3Dsdcdeals03-20", "Amazon Link")</f>
        <v>Amazon Link</v>
      </c>
      <c r="G250" s="11" t="s">
        <v>36</v>
      </c>
      <c r="H250" s="14" t="s">
        <v>7213</v>
      </c>
      <c r="I250" s="11" t="str">
        <f>HYPERLINK("https://redirect.sdcdeals.com/redirect?code=763034&amp;mavely=https://mavely.app.link/e/bhESV2wGrGb&amp;destination=https%3A%2F%2Fwww.kohls.com%2Fsearch.jsp%3Fsubmit-search%3Dweb-regular%26search%3D76879712", "Retail Link")</f>
        <v>Retail Link</v>
      </c>
      <c r="J250" s="14" t="s">
        <v>7214</v>
      </c>
      <c r="K250" s="13" t="s">
        <v>7215</v>
      </c>
      <c r="L250" s="15">
        <v>7.6000000000000014</v>
      </c>
      <c r="M250" s="15">
        <v>25.54</v>
      </c>
      <c r="N250" s="15">
        <v>9.7189999999999976</v>
      </c>
      <c r="O250" s="15">
        <f>V250-M250</f>
        <v>1.370000000000001</v>
      </c>
      <c r="P250" s="16">
        <f>N250/L250</f>
        <v>1.2788157894736836</v>
      </c>
      <c r="Q250" s="14">
        <v>3437320</v>
      </c>
      <c r="R250" s="14"/>
      <c r="S250" s="17">
        <v>0.39903622</v>
      </c>
      <c r="T250" s="15">
        <v>25.54</v>
      </c>
      <c r="U250" s="15">
        <v>25.98</v>
      </c>
      <c r="V250" s="15">
        <v>26.91</v>
      </c>
      <c r="W250" s="14" t="s">
        <v>1014</v>
      </c>
      <c r="X250" s="14">
        <v>2</v>
      </c>
      <c r="Y250" s="10">
        <f>AC250-AB250</f>
        <v>0</v>
      </c>
      <c r="Z250" s="18">
        <v>6</v>
      </c>
      <c r="AA250" s="18">
        <v>76</v>
      </c>
      <c r="AB250" s="18">
        <v>0</v>
      </c>
      <c r="AC250" s="18"/>
      <c r="AE250" s="1" t="s">
        <v>7216</v>
      </c>
      <c r="AF250" s="4">
        <v>4.34</v>
      </c>
      <c r="AG250" s="4">
        <v>4.3899999999999997</v>
      </c>
    </row>
    <row r="251" spans="1:33" ht="47.25" customHeight="1" x14ac:dyDescent="0.25">
      <c r="A251" s="10" t="s">
        <v>3794</v>
      </c>
      <c r="B251" s="11" t="s">
        <v>33</v>
      </c>
      <c r="C251" s="12" t="s">
        <v>3795</v>
      </c>
      <c r="D251" s="27"/>
      <c r="E251" s="14" t="s">
        <v>35</v>
      </c>
      <c r="F251" s="11" t="str">
        <f>HYPERLINK("https://redirect.sdcdeals.com/redirect?destination=https%3A%2F%2Fwww.amazon.com%2Fdp%2FB0CK5RB5LJ%3Fth%3D1%26psc%3D1%26tag%3Dsdcdeals03-20", "Amazon Link")</f>
        <v>Amazon Link</v>
      </c>
      <c r="G251" s="11" t="s">
        <v>36</v>
      </c>
      <c r="H251" s="14" t="s">
        <v>3796</v>
      </c>
      <c r="I251" s="11" t="str">
        <f>HYPERLINK("https://redirect.sdcdeals.com/redirect?code=763034&amp;mavely=https://mavely.app.link/e/bhESV2wGrGb&amp;destination=https%3A%2F%2Fwww.kohls.com%2Fsearch.jsp%3Fsubmit-search%3Dweb-regular%26search%3D44119362", "Retail Link")</f>
        <v>Retail Link</v>
      </c>
      <c r="J251" s="14" t="s">
        <v>3797</v>
      </c>
      <c r="K251" s="13" t="s">
        <v>3798</v>
      </c>
      <c r="L251" s="15">
        <v>17.488</v>
      </c>
      <c r="M251" s="15">
        <v>52.9</v>
      </c>
      <c r="N251" s="15">
        <v>22.356999999999999</v>
      </c>
      <c r="O251" s="15">
        <f>V251-M251</f>
        <v>1.5</v>
      </c>
      <c r="P251" s="16">
        <f>N251/L251</f>
        <v>1.2784194876486734</v>
      </c>
      <c r="Q251" s="14">
        <v>179157</v>
      </c>
      <c r="R251" s="14"/>
      <c r="S251" s="17">
        <v>0.81791402000000002</v>
      </c>
      <c r="T251" s="15">
        <v>49.17</v>
      </c>
      <c r="U251" s="15">
        <v>51.35</v>
      </c>
      <c r="V251" s="15">
        <v>54.4</v>
      </c>
      <c r="W251" s="14" t="s">
        <v>352</v>
      </c>
      <c r="X251" s="14">
        <v>5</v>
      </c>
      <c r="Y251" s="10">
        <f>AC251-AB251</f>
        <v>28</v>
      </c>
      <c r="Z251" s="18">
        <v>24</v>
      </c>
      <c r="AA251" s="18">
        <v>63</v>
      </c>
      <c r="AB251" s="18">
        <v>0</v>
      </c>
      <c r="AC251" s="18">
        <v>28</v>
      </c>
      <c r="AE251" s="1" t="s">
        <v>3799</v>
      </c>
      <c r="AF251" s="4">
        <v>8.99</v>
      </c>
      <c r="AG251" s="4">
        <v>5.12</v>
      </c>
    </row>
    <row r="252" spans="1:33" ht="47.25" customHeight="1" x14ac:dyDescent="0.25">
      <c r="A252" s="10" t="s">
        <v>6638</v>
      </c>
      <c r="B252" s="11" t="s">
        <v>33</v>
      </c>
      <c r="C252" s="12" t="s">
        <v>6639</v>
      </c>
      <c r="D252" s="27"/>
      <c r="E252" s="14" t="s">
        <v>35</v>
      </c>
      <c r="F252" s="11" t="str">
        <f>HYPERLINK("https://redirect.sdcdeals.com/redirect?destination=https%3A%2F%2Fwww.amazon.com%2Fdp%2FB07T39L1N4%3Fth%3D1%26psc%3D1%26tag%3Dsdcdeals03-20", "Amazon Link")</f>
        <v>Amazon Link</v>
      </c>
      <c r="G252" s="11" t="s">
        <v>36</v>
      </c>
      <c r="H252" s="14" t="s">
        <v>6640</v>
      </c>
      <c r="I252" s="11" t="str">
        <f>HYPERLINK("https://redirect.sdcdeals.com/redirect?code=763034&amp;mavely=https://mavely.app.link/e/bhESV2wGrGb&amp;destination=https%3A%2F%2Fwww.kohls.com%2Fsearch.jsp%3Fsubmit-search%3Dweb-regular%26search%3D61996460", "Retail Link")</f>
        <v>Retail Link</v>
      </c>
      <c r="J252" s="14" t="s">
        <v>6630</v>
      </c>
      <c r="K252" s="13" t="s">
        <v>6641</v>
      </c>
      <c r="L252" s="15">
        <v>17.696000000000002</v>
      </c>
      <c r="M252" s="15">
        <v>54.99</v>
      </c>
      <c r="N252" s="15">
        <v>22.5655</v>
      </c>
      <c r="O252" s="15">
        <f>V252-M252</f>
        <v>-12.68</v>
      </c>
      <c r="P252" s="16">
        <f>N252/L252</f>
        <v>1.2751751808318263</v>
      </c>
      <c r="Q252" s="14">
        <v>11476</v>
      </c>
      <c r="R252" s="14"/>
      <c r="S252" s="17">
        <v>1.7394451799999999</v>
      </c>
      <c r="T252" s="15">
        <v>44.1</v>
      </c>
      <c r="U252" s="15">
        <v>41.88</v>
      </c>
      <c r="V252" s="15">
        <v>42.31</v>
      </c>
      <c r="W252" s="14" t="s">
        <v>282</v>
      </c>
      <c r="X252" s="14">
        <v>3</v>
      </c>
      <c r="Y252" s="10">
        <f>AC252-AB252</f>
        <v>5676</v>
      </c>
      <c r="Z252" s="18">
        <v>44</v>
      </c>
      <c r="AA252" s="18">
        <v>142</v>
      </c>
      <c r="AB252" s="18">
        <v>23</v>
      </c>
      <c r="AC252" s="18">
        <v>5699</v>
      </c>
      <c r="AD252" s="1" t="s">
        <v>6642</v>
      </c>
      <c r="AE252" s="1" t="s">
        <v>6643</v>
      </c>
      <c r="AF252" s="4">
        <v>9.35</v>
      </c>
      <c r="AG252" s="4">
        <v>6.48</v>
      </c>
    </row>
    <row r="253" spans="1:33" ht="47.25" customHeight="1" x14ac:dyDescent="0.25">
      <c r="A253" s="10" t="s">
        <v>6654</v>
      </c>
      <c r="B253" s="11" t="s">
        <v>33</v>
      </c>
      <c r="C253" s="12" t="s">
        <v>6655</v>
      </c>
      <c r="D253" s="27"/>
      <c r="E253" s="14" t="s">
        <v>35</v>
      </c>
      <c r="F253" s="11" t="str">
        <f>HYPERLINK("https://redirect.sdcdeals.com/redirect?destination=https%3A%2F%2Fwww.amazon.com%2Fdp%2FB07T5GMYFY%3Fth%3D1%26psc%3D1%26tag%3Dsdcdeals03-20", "Amazon Link")</f>
        <v>Amazon Link</v>
      </c>
      <c r="G253" s="11" t="s">
        <v>36</v>
      </c>
      <c r="H253" s="14" t="s">
        <v>6656</v>
      </c>
      <c r="I253" s="11" t="str">
        <f>HYPERLINK("https://redirect.sdcdeals.com/redirect?code=763034&amp;mavely=https://mavely.app.link/e/bhESV2wGrGb&amp;destination=https%3A%2F%2Fwww.kohls.com%2Fsearch.jsp%3Fsubmit-search%3Dweb-regular%26search%3D44208954", "Retail Link")</f>
        <v>Retail Link</v>
      </c>
      <c r="J253" s="14" t="s">
        <v>6630</v>
      </c>
      <c r="K253" s="13" t="s">
        <v>6657</v>
      </c>
      <c r="L253" s="15">
        <v>17.696000000000002</v>
      </c>
      <c r="M253" s="15">
        <v>54.99</v>
      </c>
      <c r="N253" s="15">
        <v>22.5655</v>
      </c>
      <c r="O253" s="15">
        <f>V253-M253</f>
        <v>-15.260000000000005</v>
      </c>
      <c r="P253" s="16">
        <f>N253/L253</f>
        <v>1.2751751808318263</v>
      </c>
      <c r="Q253" s="14">
        <v>11476</v>
      </c>
      <c r="R253" s="14"/>
      <c r="S253" s="17">
        <v>1.7967652999999999</v>
      </c>
      <c r="T253" s="15">
        <v>54.99</v>
      </c>
      <c r="U253" s="15">
        <v>39.04</v>
      </c>
      <c r="V253" s="15">
        <v>39.729999999999997</v>
      </c>
      <c r="W253" s="14" t="s">
        <v>282</v>
      </c>
      <c r="X253" s="14">
        <v>2</v>
      </c>
      <c r="Y253" s="10">
        <f>AC253-AB253</f>
        <v>5696</v>
      </c>
      <c r="Z253" s="18">
        <v>47</v>
      </c>
      <c r="AA253" s="18">
        <v>134</v>
      </c>
      <c r="AB253" s="18">
        <v>6</v>
      </c>
      <c r="AC253" s="18">
        <v>5702</v>
      </c>
      <c r="AD253" s="1" t="s">
        <v>6632</v>
      </c>
      <c r="AE253" s="1" t="s">
        <v>6633</v>
      </c>
      <c r="AF253" s="4">
        <v>9.35</v>
      </c>
      <c r="AG253" s="4">
        <v>6.48</v>
      </c>
    </row>
    <row r="254" spans="1:33" ht="47.25" customHeight="1" x14ac:dyDescent="0.25">
      <c r="A254" s="10" t="s">
        <v>6767</v>
      </c>
      <c r="B254" s="11" t="s">
        <v>33</v>
      </c>
      <c r="C254" s="12" t="s">
        <v>6768</v>
      </c>
      <c r="D254" s="27"/>
      <c r="E254" s="14" t="s">
        <v>35</v>
      </c>
      <c r="F254" s="11" t="str">
        <f>HYPERLINK("https://redirect.sdcdeals.com/redirect?destination=https%3A%2F%2Fwww.amazon.com%2Fdp%2FB0B5B9241W%3Fth%3D1%26psc%3D1%26tag%3Dsdcdeals03-20", "Amazon Link")</f>
        <v>Amazon Link</v>
      </c>
      <c r="G254" s="11" t="s">
        <v>36</v>
      </c>
      <c r="H254" s="14" t="s">
        <v>6769</v>
      </c>
      <c r="I254" s="11" t="str">
        <f>HYPERLINK("https://redirect.sdcdeals.com/redirect?code=763034&amp;mavely=https://mavely.app.link/e/bhESV2wGrGb&amp;destination=https%3A%2F%2Fwww.kohls.com%2Fsearch.jsp%3Fsubmit-search%3Dweb-regular%26search%3D18758015", "Retail Link")</f>
        <v>Retail Link</v>
      </c>
      <c r="J254" s="14" t="s">
        <v>6764</v>
      </c>
      <c r="K254" s="13" t="s">
        <v>6770</v>
      </c>
      <c r="L254" s="15">
        <v>5.4</v>
      </c>
      <c r="M254" s="15">
        <v>19.68</v>
      </c>
      <c r="N254" s="15">
        <v>6.8779999999999983</v>
      </c>
      <c r="O254" s="15">
        <f>V254-M254</f>
        <v>0.76000000000000156</v>
      </c>
      <c r="P254" s="16">
        <f>N254/L254</f>
        <v>1.2737037037037033</v>
      </c>
      <c r="Q254" s="14">
        <v>816541</v>
      </c>
      <c r="R254" s="14"/>
      <c r="S254" s="17">
        <v>0.24030357999999999</v>
      </c>
      <c r="T254" s="15">
        <v>19.68</v>
      </c>
      <c r="U254" s="15">
        <v>18.73</v>
      </c>
      <c r="V254" s="15">
        <v>20.440000000000001</v>
      </c>
      <c r="W254" s="14" t="s">
        <v>3060</v>
      </c>
      <c r="X254" s="14">
        <v>1</v>
      </c>
      <c r="Y254" s="10">
        <f>AC254-AB254</f>
        <v>23</v>
      </c>
      <c r="Z254" s="18">
        <v>11</v>
      </c>
      <c r="AA254" s="18">
        <v>32</v>
      </c>
      <c r="AB254" s="18">
        <v>4</v>
      </c>
      <c r="AC254" s="18">
        <v>27</v>
      </c>
      <c r="AD254" s="1" t="s">
        <v>6771</v>
      </c>
      <c r="AE254" s="1" t="s">
        <v>76</v>
      </c>
      <c r="AF254" s="4">
        <v>1.97</v>
      </c>
      <c r="AG254" s="4">
        <v>4.45</v>
      </c>
    </row>
    <row r="255" spans="1:33" ht="47.25" customHeight="1" x14ac:dyDescent="0.25">
      <c r="A255" s="10" t="s">
        <v>6730</v>
      </c>
      <c r="B255" s="11" t="s">
        <v>33</v>
      </c>
      <c r="C255" s="12" t="s">
        <v>6731</v>
      </c>
      <c r="D255" s="27"/>
      <c r="E255" s="14" t="s">
        <v>35</v>
      </c>
      <c r="F255" s="11" t="str">
        <f>HYPERLINK("https://redirect.sdcdeals.com/redirect?destination=https%3A%2F%2Fwww.amazon.com%2Fdp%2FB0BFTX7FRL%3Fth%3D1%26psc%3D1%26tag%3Dsdcdeals03-20", "Amazon Link")</f>
        <v>Amazon Link</v>
      </c>
      <c r="G255" s="11" t="s">
        <v>36</v>
      </c>
      <c r="H255" s="14" t="s">
        <v>6732</v>
      </c>
      <c r="I255" s="11" t="str">
        <f>HYPERLINK("https://redirect.sdcdeals.com/redirect?code=763034&amp;mavely=https://mavely.app.link/e/bhESV2wGrGb&amp;destination=https%3A%2F%2Fwww.kohls.com%2Fsearch.jsp%3Fsubmit-search%3Dweb-regular%26search%3D77474817", "Retail Link")</f>
        <v>Retail Link</v>
      </c>
      <c r="J255" s="14" t="s">
        <v>6710</v>
      </c>
      <c r="K255" s="13" t="s">
        <v>6733</v>
      </c>
      <c r="L255" s="15">
        <v>63</v>
      </c>
      <c r="M255" s="15">
        <v>189.99</v>
      </c>
      <c r="N255" s="15">
        <v>80.141500000000008</v>
      </c>
      <c r="O255" s="15">
        <f>V255-M255</f>
        <v>0</v>
      </c>
      <c r="P255" s="16">
        <f>N255/L255</f>
        <v>1.2720873015873018</v>
      </c>
      <c r="Q255" s="14">
        <v>3639163</v>
      </c>
      <c r="R255" s="14"/>
      <c r="S255" s="17">
        <v>3.4392071999999998</v>
      </c>
      <c r="T255" s="15"/>
      <c r="U255" s="15"/>
      <c r="V255" s="15">
        <v>189.99</v>
      </c>
      <c r="W255" s="14" t="s">
        <v>118</v>
      </c>
      <c r="X255" s="14"/>
      <c r="Y255" s="10">
        <f>AC255-AB255</f>
        <v>9</v>
      </c>
      <c r="Z255" s="18">
        <v>0</v>
      </c>
      <c r="AA255" s="18">
        <v>1</v>
      </c>
      <c r="AB255" s="18">
        <v>0</v>
      </c>
      <c r="AC255" s="18">
        <v>9</v>
      </c>
      <c r="AD255" s="1" t="s">
        <v>6712</v>
      </c>
      <c r="AE255" s="1" t="s">
        <v>138</v>
      </c>
      <c r="AG255" s="4">
        <v>18.350000000000001</v>
      </c>
    </row>
    <row r="256" spans="1:33" ht="47.25" customHeight="1" x14ac:dyDescent="0.25">
      <c r="A256" s="10" t="s">
        <v>4150</v>
      </c>
      <c r="B256" s="11" t="s">
        <v>33</v>
      </c>
      <c r="C256" s="12" t="s">
        <v>4151</v>
      </c>
      <c r="D256" s="27"/>
      <c r="E256" s="14" t="s">
        <v>35</v>
      </c>
      <c r="F256" s="11" t="str">
        <f>HYPERLINK("https://redirect.sdcdeals.com/redirect?destination=https%3A%2F%2Fwww.amazon.com%2Fdp%2FB0BKR2DJDC%3Fth%3D1%26psc%3D1%26tag%3Dsdcdeals03-20", "Amazon Link")</f>
        <v>Amazon Link</v>
      </c>
      <c r="G256" s="11" t="s">
        <v>36</v>
      </c>
      <c r="H256" s="14" t="s">
        <v>4152</v>
      </c>
      <c r="I256" s="11" t="str">
        <f>HYPERLINK("https://redirect.sdcdeals.com/redirect?code=763034&amp;mavely=https://mavely.app.link/e/bhESV2wGrGb&amp;destination=https%3A%2F%2Fwww.kohls.com%2Fsearch.jsp%3Fsubmit-search%3Dweb-regular%26search%3D71992649", "Retail Link")</f>
        <v>Retail Link</v>
      </c>
      <c r="J256" s="14" t="s">
        <v>4089</v>
      </c>
      <c r="K256" s="13" t="s">
        <v>4153</v>
      </c>
      <c r="L256" s="15">
        <v>39.6</v>
      </c>
      <c r="M256" s="15">
        <v>120</v>
      </c>
      <c r="N256" s="15">
        <v>49.749999999999993</v>
      </c>
      <c r="O256" s="15">
        <f>V256-M256</f>
        <v>-23.459999999999994</v>
      </c>
      <c r="P256" s="16">
        <f>N256/L256</f>
        <v>1.256313131313131</v>
      </c>
      <c r="Q256" s="14">
        <v>648044</v>
      </c>
      <c r="R256" s="14"/>
      <c r="S256" s="17">
        <v>1.3889106</v>
      </c>
      <c r="T256" s="15">
        <v>105.15</v>
      </c>
      <c r="U256" s="15">
        <v>99.77</v>
      </c>
      <c r="V256" s="15">
        <v>96.54</v>
      </c>
      <c r="W256" s="14" t="s">
        <v>671</v>
      </c>
      <c r="X256" s="14">
        <v>2</v>
      </c>
      <c r="Y256" s="10">
        <f>AC256-AB256</f>
        <v>14</v>
      </c>
      <c r="Z256" s="18">
        <v>9</v>
      </c>
      <c r="AA256" s="18">
        <v>30</v>
      </c>
      <c r="AB256" s="18">
        <v>1</v>
      </c>
      <c r="AC256" s="18">
        <v>15</v>
      </c>
      <c r="AD256" s="1" t="s">
        <v>4091</v>
      </c>
      <c r="AE256" s="1" t="s">
        <v>2213</v>
      </c>
      <c r="AF256" s="4">
        <v>20.399999999999999</v>
      </c>
      <c r="AG256" s="4">
        <v>12.65</v>
      </c>
    </row>
    <row r="257" spans="1:33" ht="47.25" customHeight="1" x14ac:dyDescent="0.25">
      <c r="A257" s="10" t="s">
        <v>418</v>
      </c>
      <c r="B257" s="11" t="s">
        <v>33</v>
      </c>
      <c r="C257" s="12" t="s">
        <v>419</v>
      </c>
      <c r="D257" s="27"/>
      <c r="E257" s="14" t="s">
        <v>35</v>
      </c>
      <c r="F257" s="11" t="str">
        <f>HYPERLINK("https://redirect.sdcdeals.com/redirect?destination=https%3A%2F%2Fwww.amazon.com%2Fdp%2FB0CSPSFG23%3Fth%3D1%26psc%3D1%26tag%3Dsdcdeals03-20", "Amazon Link")</f>
        <v>Amazon Link</v>
      </c>
      <c r="G257" s="11" t="s">
        <v>36</v>
      </c>
      <c r="H257" s="14" t="s">
        <v>420</v>
      </c>
      <c r="I257" s="11" t="str">
        <f>HYPERLINK("https://redirect.sdcdeals.com/redirect?code=763034&amp;mavely=https://mavely.app.link/e/bhESV2wGrGb&amp;destination=https%3A%2F%2Fwww.kohls.com%2Fsearch.jsp%3Fsubmit-search%3Dweb-regular%26search%3D70237101", "Retail Link")</f>
        <v>Retail Link</v>
      </c>
      <c r="J257" s="14" t="s">
        <v>414</v>
      </c>
      <c r="K257" s="13" t="s">
        <v>421</v>
      </c>
      <c r="L257" s="15">
        <v>6.8000000000000007</v>
      </c>
      <c r="M257" s="15">
        <v>24.99</v>
      </c>
      <c r="N257" s="15">
        <v>8.5414999999999974</v>
      </c>
      <c r="O257" s="15">
        <f>V257-M257</f>
        <v>4.3500000000000014</v>
      </c>
      <c r="P257" s="16">
        <f>N257/L257</f>
        <v>1.2561029411764701</v>
      </c>
      <c r="Q257" s="14">
        <v>173686</v>
      </c>
      <c r="R257" s="14"/>
      <c r="S257" s="17">
        <v>0.50044874000000006</v>
      </c>
      <c r="T257" s="15">
        <v>24.99</v>
      </c>
      <c r="U257" s="15">
        <v>25.33</v>
      </c>
      <c r="V257" s="15">
        <v>29.34</v>
      </c>
      <c r="W257" s="14" t="s">
        <v>422</v>
      </c>
      <c r="X257" s="14">
        <v>2</v>
      </c>
      <c r="Y257" s="10">
        <f>AC257-AB257</f>
        <v>2</v>
      </c>
      <c r="Z257" s="18">
        <v>22</v>
      </c>
      <c r="AA257" s="18">
        <v>66</v>
      </c>
      <c r="AB257" s="18">
        <v>1</v>
      </c>
      <c r="AC257" s="18">
        <v>3</v>
      </c>
      <c r="AE257" s="1" t="s">
        <v>417</v>
      </c>
      <c r="AF257" s="4">
        <v>4.25</v>
      </c>
      <c r="AG257" s="4">
        <v>5.9</v>
      </c>
    </row>
    <row r="258" spans="1:33" ht="47.25" customHeight="1" x14ac:dyDescent="0.25">
      <c r="A258" s="10" t="s">
        <v>3191</v>
      </c>
      <c r="B258" s="11" t="s">
        <v>33</v>
      </c>
      <c r="C258" s="12" t="s">
        <v>3192</v>
      </c>
      <c r="D258" s="27"/>
      <c r="E258" s="14" t="s">
        <v>35</v>
      </c>
      <c r="F258" s="11" t="str">
        <f>HYPERLINK("https://redirect.sdcdeals.com/redirect?destination=https%3A%2F%2Fwww.amazon.com%2Fdp%2FB0CL5SKKM6%3Fth%3D1%26psc%3D1%26tag%3Dsdcdeals03-20", "Amazon Link")</f>
        <v>Amazon Link</v>
      </c>
      <c r="G258" s="11" t="s">
        <v>36</v>
      </c>
      <c r="H258" s="14" t="s">
        <v>3193</v>
      </c>
      <c r="I258" s="11" t="str">
        <f>HYPERLINK("https://redirect.sdcdeals.com/redirect?code=763034&amp;mavely=https://mavely.app.link/e/bhESV2wGrGb&amp;destination=https%3A%2F%2Fwww.kohls.com%2Fsearch.jsp%3Fsubmit-search%3Dweb-regular%26search%3D37530932", "Retail Link")</f>
        <v>Retail Link</v>
      </c>
      <c r="J258" s="14" t="s">
        <v>3188</v>
      </c>
      <c r="K258" s="13" t="s">
        <v>3194</v>
      </c>
      <c r="L258" s="15">
        <v>7.6000000000000014</v>
      </c>
      <c r="M258" s="15">
        <v>24.02</v>
      </c>
      <c r="N258" s="15">
        <v>9.4669999999999952</v>
      </c>
      <c r="O258" s="15">
        <f>V258-M258</f>
        <v>-0.96000000000000085</v>
      </c>
      <c r="P258" s="16">
        <f>N258/L258</f>
        <v>1.2456578947368413</v>
      </c>
      <c r="Q258" s="14">
        <v>53837</v>
      </c>
      <c r="R258" s="14"/>
      <c r="S258" s="17">
        <v>0.39903622</v>
      </c>
      <c r="T258" s="15">
        <v>24.02</v>
      </c>
      <c r="U258" s="15">
        <v>22.38</v>
      </c>
      <c r="V258" s="15">
        <v>23.06</v>
      </c>
      <c r="W258" s="14" t="s">
        <v>306</v>
      </c>
      <c r="X258" s="14">
        <v>6</v>
      </c>
      <c r="Y258" s="10">
        <f>AC258-AB258</f>
        <v>560</v>
      </c>
      <c r="Z258" s="18">
        <v>8</v>
      </c>
      <c r="AA258" s="18">
        <v>44</v>
      </c>
      <c r="AB258" s="18">
        <v>0</v>
      </c>
      <c r="AC258" s="18">
        <v>560</v>
      </c>
      <c r="AD258" s="1" t="s">
        <v>1452</v>
      </c>
      <c r="AE258" s="1" t="s">
        <v>3190</v>
      </c>
      <c r="AF258" s="4">
        <v>4.08</v>
      </c>
      <c r="AG258" s="4">
        <v>3.35</v>
      </c>
    </row>
    <row r="259" spans="1:33" ht="47.25" customHeight="1" x14ac:dyDescent="0.25">
      <c r="A259" s="10" t="s">
        <v>2998</v>
      </c>
      <c r="B259" s="11" t="s">
        <v>33</v>
      </c>
      <c r="C259" s="12" t="s">
        <v>2999</v>
      </c>
      <c r="D259" s="27"/>
      <c r="E259" s="14" t="s">
        <v>35</v>
      </c>
      <c r="F259" s="11" t="str">
        <f>HYPERLINK("https://redirect.sdcdeals.com/redirect?destination=https%3A%2F%2Fwww.amazon.com%2Fdp%2FB0C699B7N4%3Fth%3D1%26psc%3D1%26tag%3Dsdcdeals03-20", "Amazon Link")</f>
        <v>Amazon Link</v>
      </c>
      <c r="G259" s="11" t="s">
        <v>36</v>
      </c>
      <c r="H259" s="14" t="s">
        <v>3000</v>
      </c>
      <c r="I259" s="11" t="str">
        <f>HYPERLINK("https://redirect.sdcdeals.com/redirect?code=763034&amp;mavely=https://mavely.app.link/e/bhESV2wGrGb&amp;destination=https%3A%2F%2Fwww.kohls.com%2Fsearch.jsp%3Fsubmit-search%3Dweb-regular%26search%3D59467425", "Retail Link")</f>
        <v>Retail Link</v>
      </c>
      <c r="J259" s="14" t="s">
        <v>2989</v>
      </c>
      <c r="K259" s="13" t="s">
        <v>2996</v>
      </c>
      <c r="L259" s="15">
        <v>11.52</v>
      </c>
      <c r="M259" s="15">
        <v>37.28</v>
      </c>
      <c r="N259" s="15">
        <v>14.348000000000001</v>
      </c>
      <c r="O259" s="15">
        <f>V259-M259</f>
        <v>7.2899999999999991</v>
      </c>
      <c r="P259" s="16">
        <f>N259/L259</f>
        <v>1.2454861111111113</v>
      </c>
      <c r="Q259" s="14">
        <v>109841</v>
      </c>
      <c r="R259" s="14"/>
      <c r="S259" s="17">
        <v>1.1993132799999999</v>
      </c>
      <c r="T259" s="15">
        <v>37.28</v>
      </c>
      <c r="U259" s="15">
        <v>44.94</v>
      </c>
      <c r="V259" s="15">
        <v>44.57</v>
      </c>
      <c r="W259" s="14" t="s">
        <v>106</v>
      </c>
      <c r="X259" s="14">
        <v>1</v>
      </c>
      <c r="Y259" s="10">
        <f>AC259-AB259</f>
        <v>823</v>
      </c>
      <c r="Z259" s="18">
        <v>29</v>
      </c>
      <c r="AA259" s="18">
        <v>88</v>
      </c>
      <c r="AB259" s="18">
        <v>0</v>
      </c>
      <c r="AC259" s="18">
        <v>823</v>
      </c>
      <c r="AD259" s="1" t="s">
        <v>2991</v>
      </c>
      <c r="AE259" s="1" t="s">
        <v>2997</v>
      </c>
      <c r="AF259" s="4">
        <v>6.33</v>
      </c>
      <c r="AG259" s="4">
        <v>5.82</v>
      </c>
    </row>
    <row r="260" spans="1:33" ht="47.25" customHeight="1" x14ac:dyDescent="0.25">
      <c r="A260" s="10" t="s">
        <v>6734</v>
      </c>
      <c r="B260" s="11" t="s">
        <v>33</v>
      </c>
      <c r="C260" s="12" t="s">
        <v>6735</v>
      </c>
      <c r="D260" s="27"/>
      <c r="E260" s="14" t="s">
        <v>35</v>
      </c>
      <c r="F260" s="11" t="str">
        <f>HYPERLINK("https://redirect.sdcdeals.com/redirect?destination=https%3A%2F%2Fwww.amazon.com%2Fdp%2FB0BFTM8QV2%3Fth%3D1%26psc%3D1%26tag%3Dsdcdeals03-20", "Amazon Link")</f>
        <v>Amazon Link</v>
      </c>
      <c r="G260" s="11" t="s">
        <v>36</v>
      </c>
      <c r="H260" s="14" t="s">
        <v>6736</v>
      </c>
      <c r="I260" s="11" t="str">
        <f>HYPERLINK("https://redirect.sdcdeals.com/redirect?code=763034&amp;mavely=https://mavely.app.link/e/bhESV2wGrGb&amp;destination=https%3A%2F%2Fwww.kohls.com%2Fsearch.jsp%3Fsubmit-search%3Dweb-regular%26search%3D59123817", "Retail Link")</f>
        <v>Retail Link</v>
      </c>
      <c r="J260" s="14" t="s">
        <v>6710</v>
      </c>
      <c r="K260" s="13" t="s">
        <v>6737</v>
      </c>
      <c r="L260" s="15">
        <v>63</v>
      </c>
      <c r="M260" s="15">
        <v>185.77</v>
      </c>
      <c r="N260" s="15">
        <v>78.454500000000024</v>
      </c>
      <c r="O260" s="15">
        <f>V260-M260</f>
        <v>0</v>
      </c>
      <c r="P260" s="16">
        <f>N260/L260</f>
        <v>1.2453095238095242</v>
      </c>
      <c r="Q260" s="14">
        <v>3639163</v>
      </c>
      <c r="R260" s="14"/>
      <c r="S260" s="17">
        <v>3.28047456</v>
      </c>
      <c r="T260" s="15"/>
      <c r="U260" s="15"/>
      <c r="V260" s="15">
        <v>185.77</v>
      </c>
      <c r="W260" s="14" t="s">
        <v>436</v>
      </c>
      <c r="X260" s="14"/>
      <c r="Y260" s="10">
        <f>AC260-AB260</f>
        <v>8</v>
      </c>
      <c r="Z260" s="18">
        <v>0</v>
      </c>
      <c r="AA260" s="18">
        <v>1</v>
      </c>
      <c r="AB260" s="18">
        <v>1</v>
      </c>
      <c r="AC260" s="18">
        <v>9</v>
      </c>
      <c r="AD260" s="1" t="s">
        <v>6712</v>
      </c>
      <c r="AE260" s="1" t="s">
        <v>76</v>
      </c>
      <c r="AG260" s="4">
        <v>16.45</v>
      </c>
    </row>
    <row r="261" spans="1:33" ht="47.25" customHeight="1" x14ac:dyDescent="0.25">
      <c r="A261" s="10" t="s">
        <v>7615</v>
      </c>
      <c r="B261" s="11" t="s">
        <v>33</v>
      </c>
      <c r="C261" s="12" t="s">
        <v>7616</v>
      </c>
      <c r="D261" s="27"/>
      <c r="E261" s="14" t="s">
        <v>35</v>
      </c>
      <c r="F261" s="11" t="str">
        <f>HYPERLINK("https://redirect.sdcdeals.com/redirect?destination=https%3A%2F%2Fwww.amazon.com%2Fdp%2FB0B1KCTKYZ%3Fth%3D1%26psc%3D1%26tag%3Dsdcdeals03-20", "Amazon Link")</f>
        <v>Amazon Link</v>
      </c>
      <c r="G261" s="11" t="s">
        <v>36</v>
      </c>
      <c r="H261" s="14" t="s">
        <v>7617</v>
      </c>
      <c r="I261" s="11" t="str">
        <f>HYPERLINK("https://redirect.sdcdeals.com/redirect?code=763034&amp;mavely=https://mavely.app.link/e/bhESV2wGrGb&amp;destination=https%3A%2F%2Fwww.kohls.com%2Fsearch.jsp%3Fsubmit-search%3Dweb-regular%26search%3D74403532", "Retail Link")</f>
        <v>Retail Link</v>
      </c>
      <c r="J261" s="14" t="s">
        <v>7579</v>
      </c>
      <c r="K261" s="13" t="s">
        <v>7618</v>
      </c>
      <c r="L261" s="15">
        <v>16.68</v>
      </c>
      <c r="M261" s="15">
        <v>52.05</v>
      </c>
      <c r="N261" s="15">
        <v>20.752500000000001</v>
      </c>
      <c r="O261" s="15">
        <f>V261-M261</f>
        <v>3.5400000000000063</v>
      </c>
      <c r="P261" s="16">
        <f>N261/L261</f>
        <v>1.244154676258993</v>
      </c>
      <c r="Q261" s="14">
        <v>11973</v>
      </c>
      <c r="R261" s="14"/>
      <c r="S261" s="17">
        <v>1.2897027000000001</v>
      </c>
      <c r="T261" s="15"/>
      <c r="U261" s="15">
        <v>52.05</v>
      </c>
      <c r="V261" s="15">
        <v>55.59</v>
      </c>
      <c r="W261" s="14" t="s">
        <v>88</v>
      </c>
      <c r="X261" s="14">
        <v>1</v>
      </c>
      <c r="Y261" s="10">
        <f>AC261-AB261</f>
        <v>4295</v>
      </c>
      <c r="Z261" s="18">
        <v>5</v>
      </c>
      <c r="AA261" s="18">
        <v>34</v>
      </c>
      <c r="AB261" s="18">
        <v>1</v>
      </c>
      <c r="AC261" s="18">
        <v>4296</v>
      </c>
      <c r="AD261" s="1" t="s">
        <v>7581</v>
      </c>
      <c r="AE261" s="1" t="s">
        <v>7582</v>
      </c>
      <c r="AG261" s="4">
        <v>6.81</v>
      </c>
    </row>
    <row r="262" spans="1:33" ht="47.25" customHeight="1" x14ac:dyDescent="0.25">
      <c r="A262" s="10" t="s">
        <v>5303</v>
      </c>
      <c r="B262" s="11" t="s">
        <v>33</v>
      </c>
      <c r="C262" s="12" t="s">
        <v>5304</v>
      </c>
      <c r="D262" s="27"/>
      <c r="E262" s="14" t="s">
        <v>35</v>
      </c>
      <c r="F262" s="11" t="str">
        <f>HYPERLINK("https://redirect.sdcdeals.com/redirect?destination=https%3A%2F%2Fwww.amazon.com%2Fdp%2FB07Z59LSBB%3Fth%3D1%26psc%3D1%26tag%3Dsdcdeals03-20", "Amazon Link")</f>
        <v>Amazon Link</v>
      </c>
      <c r="G262" s="11" t="s">
        <v>36</v>
      </c>
      <c r="H262" s="14" t="s">
        <v>5305</v>
      </c>
      <c r="I262" s="11" t="str">
        <f>HYPERLINK("https://redirect.sdcdeals.com/redirect?code=763034&amp;mavely=https://mavely.app.link/e/bhESV2wGrGb&amp;destination=https%3A%2F%2Fwww.kohls.com%2Fsearch.jsp%3Fsubmit-search%3Dweb-regular%26search%3D29655202", "Retail Link")</f>
        <v>Retail Link</v>
      </c>
      <c r="J262" s="14" t="s">
        <v>5300</v>
      </c>
      <c r="K262" s="13" t="s">
        <v>5306</v>
      </c>
      <c r="L262" s="15">
        <v>17</v>
      </c>
      <c r="M262" s="15">
        <v>53.68</v>
      </c>
      <c r="N262" s="15">
        <v>21.128</v>
      </c>
      <c r="O262" s="15">
        <f>V262-M262</f>
        <v>39.479999999999997</v>
      </c>
      <c r="P262" s="16">
        <f>N262/L262</f>
        <v>1.2428235294117647</v>
      </c>
      <c r="Q262" s="14">
        <v>2172738</v>
      </c>
      <c r="R262" s="14"/>
      <c r="S262" s="17">
        <v>0.85980180000000006</v>
      </c>
      <c r="T262" s="15">
        <v>45.73</v>
      </c>
      <c r="U262" s="15">
        <v>93.16</v>
      </c>
      <c r="V262" s="15">
        <v>93.16</v>
      </c>
      <c r="W262" s="14" t="s">
        <v>199</v>
      </c>
      <c r="X262" s="14">
        <v>2</v>
      </c>
      <c r="Y262" s="10">
        <f>AC262-AB262</f>
        <v>18</v>
      </c>
      <c r="Z262" s="18">
        <v>0</v>
      </c>
      <c r="AA262" s="18">
        <v>2</v>
      </c>
      <c r="AB262" s="18">
        <v>13</v>
      </c>
      <c r="AC262" s="18">
        <v>31</v>
      </c>
      <c r="AD262" s="1" t="s">
        <v>5307</v>
      </c>
      <c r="AE262" s="1" t="s">
        <v>5308</v>
      </c>
      <c r="AF262" s="4">
        <v>9.1300000000000008</v>
      </c>
      <c r="AG262" s="4">
        <v>7.5</v>
      </c>
    </row>
    <row r="263" spans="1:33" ht="47.25" customHeight="1" x14ac:dyDescent="0.25">
      <c r="A263" s="10" t="s">
        <v>3828</v>
      </c>
      <c r="B263" s="11" t="s">
        <v>33</v>
      </c>
      <c r="C263" s="12" t="s">
        <v>3829</v>
      </c>
      <c r="D263" s="27"/>
      <c r="E263" s="14" t="s">
        <v>35</v>
      </c>
      <c r="F263" s="11" t="str">
        <f>HYPERLINK("https://redirect.sdcdeals.com/redirect?destination=https%3A%2F%2Fwww.amazon.com%2Fdp%2FB0BGVXK55P%3Fth%3D1%26psc%3D1%26tag%3Dsdcdeals03-20", "Amazon Link")</f>
        <v>Amazon Link</v>
      </c>
      <c r="G263" s="11" t="s">
        <v>36</v>
      </c>
      <c r="H263" s="14" t="s">
        <v>3830</v>
      </c>
      <c r="I263" s="11" t="str">
        <f>HYPERLINK("https://redirect.sdcdeals.com/redirect?code=763034&amp;mavely=https://mavely.app.link/e/bhESV2wGrGb&amp;destination=https%3A%2F%2Fwww.kohls.com%2Fsearch.jsp%3Fsubmit-search%3Dweb-regular%26search%3D37226378", "Retail Link")</f>
        <v>Retail Link</v>
      </c>
      <c r="J263" s="14" t="s">
        <v>3813</v>
      </c>
      <c r="K263" s="13" t="s">
        <v>3831</v>
      </c>
      <c r="L263" s="15">
        <v>12.6</v>
      </c>
      <c r="M263" s="15">
        <v>39.17</v>
      </c>
      <c r="N263" s="15">
        <v>15.644500000000001</v>
      </c>
      <c r="O263" s="15">
        <f>V263-M263</f>
        <v>-2.4699999999999989</v>
      </c>
      <c r="P263" s="16">
        <f>N263/L263</f>
        <v>1.2416269841269842</v>
      </c>
      <c r="Q263" s="14">
        <v>617311</v>
      </c>
      <c r="R263" s="14"/>
      <c r="S263" s="17">
        <v>0.33069300000000001</v>
      </c>
      <c r="T263" s="15">
        <v>30.05</v>
      </c>
      <c r="U263" s="15">
        <v>40.96</v>
      </c>
      <c r="V263" s="15">
        <v>36.700000000000003</v>
      </c>
      <c r="W263" s="14" t="s">
        <v>3832</v>
      </c>
      <c r="X263" s="14">
        <v>2</v>
      </c>
      <c r="Y263" s="10">
        <f>AC263-AB263</f>
        <v>0</v>
      </c>
      <c r="Z263" s="18">
        <v>13</v>
      </c>
      <c r="AA263" s="18">
        <v>43</v>
      </c>
      <c r="AB263" s="18">
        <v>0</v>
      </c>
      <c r="AC263" s="18"/>
      <c r="AD263" s="1" t="s">
        <v>3816</v>
      </c>
      <c r="AE263" s="1" t="s">
        <v>3817</v>
      </c>
      <c r="AF263" s="4">
        <v>6.66</v>
      </c>
      <c r="AG263" s="4">
        <v>5.05</v>
      </c>
    </row>
    <row r="264" spans="1:33" ht="47.25" customHeight="1" x14ac:dyDescent="0.25">
      <c r="A264" s="10" t="s">
        <v>3296</v>
      </c>
      <c r="B264" s="11" t="s">
        <v>33</v>
      </c>
      <c r="C264" s="12" t="s">
        <v>3297</v>
      </c>
      <c r="D264" s="27"/>
      <c r="E264" s="14" t="s">
        <v>35</v>
      </c>
      <c r="F264" s="11" t="str">
        <f>HYPERLINK("https://redirect.sdcdeals.com/redirect?destination=https%3A%2F%2Fwww.amazon.com%2Fdp%2FB0BPDZ1665%3Fth%3D1%26psc%3D1%26tag%3Dsdcdeals03-20", "Amazon Link")</f>
        <v>Amazon Link</v>
      </c>
      <c r="G264" s="11" t="s">
        <v>36</v>
      </c>
      <c r="H264" s="14" t="s">
        <v>3298</v>
      </c>
      <c r="I264" s="11" t="str">
        <f>HYPERLINK("https://redirect.sdcdeals.com/redirect?code=763034&amp;mavely=https://mavely.app.link/e/bhESV2wGrGb&amp;destination=https%3A%2F%2Fwww.kohls.com%2Fsearch.jsp%3Fsubmit-search%3Dweb-regular%26search%3D30479045", "Retail Link")</f>
        <v>Retail Link</v>
      </c>
      <c r="J264" s="14" t="s">
        <v>3281</v>
      </c>
      <c r="K264" s="13" t="s">
        <v>3299</v>
      </c>
      <c r="L264" s="15">
        <v>5.4960000000000004</v>
      </c>
      <c r="M264" s="15">
        <v>20.77</v>
      </c>
      <c r="N264" s="15">
        <v>6.7884999999999973</v>
      </c>
      <c r="O264" s="15">
        <f>V264-M264</f>
        <v>2.129999999999999</v>
      </c>
      <c r="P264" s="16">
        <f>N264/L264</f>
        <v>1.2351710334788932</v>
      </c>
      <c r="Q264" s="14">
        <v>57922</v>
      </c>
      <c r="R264" s="14"/>
      <c r="S264" s="17">
        <v>0.28660059999999998</v>
      </c>
      <c r="T264" s="15"/>
      <c r="U264" s="15">
        <v>20.77</v>
      </c>
      <c r="V264" s="15">
        <v>22.9</v>
      </c>
      <c r="W264" s="14" t="s">
        <v>316</v>
      </c>
      <c r="X264" s="14">
        <v>1</v>
      </c>
      <c r="Y264" s="10">
        <f>AC264-AB264</f>
        <v>121</v>
      </c>
      <c r="Z264" s="18">
        <v>3</v>
      </c>
      <c r="AA264" s="18">
        <v>15</v>
      </c>
      <c r="AB264" s="18">
        <v>0</v>
      </c>
      <c r="AC264" s="18">
        <v>121</v>
      </c>
      <c r="AD264" s="1" t="s">
        <v>3283</v>
      </c>
      <c r="AE264" s="1" t="s">
        <v>3284</v>
      </c>
      <c r="AG264" s="4">
        <v>5.37</v>
      </c>
    </row>
    <row r="265" spans="1:33" ht="47.25" customHeight="1" x14ac:dyDescent="0.25">
      <c r="A265" s="10" t="s">
        <v>1340</v>
      </c>
      <c r="B265" s="11" t="s">
        <v>33</v>
      </c>
      <c r="C265" s="12" t="s">
        <v>1341</v>
      </c>
      <c r="D265" s="27"/>
      <c r="E265" s="14" t="s">
        <v>35</v>
      </c>
      <c r="F265" s="11" t="str">
        <f>HYPERLINK("https://redirect.sdcdeals.com/redirect?destination=https%3A%2F%2Fwww.amazon.com%2Fdp%2FB0BSLKS83V%3Fth%3D1%26psc%3D1%26tag%3Dsdcdeals03-20", "Amazon Link")</f>
        <v>Amazon Link</v>
      </c>
      <c r="G265" s="11" t="s">
        <v>36</v>
      </c>
      <c r="H265" s="14" t="s">
        <v>1342</v>
      </c>
      <c r="I265" s="11" t="str">
        <f>HYPERLINK("https://redirect.sdcdeals.com/redirect?code=763034&amp;mavely=https://mavely.app.link/e/bhESV2wGrGb&amp;destination=https%3A%2F%2Fwww.kohls.com%2Fsearch.jsp%3Fsubmit-search%3Dweb-regular%26search%3D28602250", "Retail Link")</f>
        <v>Retail Link</v>
      </c>
      <c r="J265" s="14" t="s">
        <v>1343</v>
      </c>
      <c r="K265" s="13" t="s">
        <v>1344</v>
      </c>
      <c r="L265" s="15">
        <v>7.6000000000000014</v>
      </c>
      <c r="M265" s="15">
        <v>25.2</v>
      </c>
      <c r="N265" s="15">
        <v>9.3699999999999974</v>
      </c>
      <c r="O265" s="15">
        <f>V265-M265</f>
        <v>0</v>
      </c>
      <c r="P265" s="16">
        <f>N265/L265</f>
        <v>1.2328947368421046</v>
      </c>
      <c r="Q265" s="14">
        <v>2656493</v>
      </c>
      <c r="R265" s="14"/>
      <c r="S265" s="17">
        <v>0.20062041999999999</v>
      </c>
      <c r="T265" s="15"/>
      <c r="U265" s="15"/>
      <c r="V265" s="15">
        <v>25.2</v>
      </c>
      <c r="W265" s="14" t="s">
        <v>290</v>
      </c>
      <c r="X265" s="14"/>
      <c r="Y265" s="10">
        <f>AC265-AB265</f>
        <v>0</v>
      </c>
      <c r="Z265" s="18">
        <v>0</v>
      </c>
      <c r="AA265" s="18">
        <v>0</v>
      </c>
      <c r="AB265" s="18"/>
      <c r="AC265" s="18"/>
      <c r="AD265" s="1" t="s">
        <v>1345</v>
      </c>
      <c r="AE265" s="1" t="s">
        <v>76</v>
      </c>
      <c r="AG265" s="4">
        <v>4.45</v>
      </c>
    </row>
    <row r="266" spans="1:33" ht="47.25" hidden="1" customHeight="1" x14ac:dyDescent="0.25">
      <c r="A266" s="10" t="s">
        <v>2708</v>
      </c>
      <c r="B266" s="11" t="s">
        <v>33</v>
      </c>
      <c r="C266" s="12" t="s">
        <v>2709</v>
      </c>
      <c r="D266" s="27"/>
      <c r="E266" s="14" t="s">
        <v>35</v>
      </c>
      <c r="F266" s="11" t="str">
        <f>HYPERLINK("https://redirect.sdcdeals.com/redirect?destination=https%3A%2F%2Fwww.amazon.com%2Fdp%2FB0CCC1J7BQ%3Fth%3D1%26psc%3D1%26tag%3Dsdcdeals03-20", "Amazon Link")</f>
        <v>Amazon Link</v>
      </c>
      <c r="G266" s="11" t="s">
        <v>36</v>
      </c>
      <c r="H266" s="14" t="s">
        <v>2710</v>
      </c>
      <c r="I266" s="11" t="str">
        <f>HYPERLINK("https://redirect.sdcdeals.com/redirect?code=763034&amp;mavely=https://mavely.app.link/e/bhESV2wGrGb&amp;destination=https%3A%2F%2Fwww.kohls.com%2Fsearch.jsp%3Fsubmit-search%3Dweb-regular%26search%3D49706585", "Retail Link")</f>
        <v>Retail Link</v>
      </c>
      <c r="J266" s="14" t="s">
        <v>2705</v>
      </c>
      <c r="K266" s="13" t="s">
        <v>2711</v>
      </c>
      <c r="L266" s="15">
        <v>13.2</v>
      </c>
      <c r="M266" s="15">
        <v>42.71</v>
      </c>
      <c r="N266" s="15">
        <v>16.273499999999999</v>
      </c>
      <c r="O266" s="15">
        <f>V266-M266</f>
        <v>-20.02</v>
      </c>
      <c r="P266" s="16">
        <f>N266/L266</f>
        <v>1.2328409090909092</v>
      </c>
      <c r="Q266" s="14"/>
      <c r="R266" s="14"/>
      <c r="S266" s="17">
        <v>0.88184799999999997</v>
      </c>
      <c r="T266" s="15">
        <v>42.71</v>
      </c>
      <c r="U266" s="15">
        <v>26.65</v>
      </c>
      <c r="V266" s="15">
        <v>22.69</v>
      </c>
      <c r="W266" s="14" t="s">
        <v>964</v>
      </c>
      <c r="X266" s="14">
        <v>2</v>
      </c>
      <c r="Y266" s="10">
        <f>AC266-AB266</f>
        <v>2</v>
      </c>
      <c r="Z266" s="18">
        <v>-1</v>
      </c>
      <c r="AA266" s="18">
        <v>-1</v>
      </c>
      <c r="AB266" s="18"/>
      <c r="AC266" s="18">
        <v>2</v>
      </c>
      <c r="AD266" s="1" t="s">
        <v>2712</v>
      </c>
      <c r="AE266" s="1" t="s">
        <v>2713</v>
      </c>
      <c r="AF266" s="4">
        <v>2.15</v>
      </c>
      <c r="AG266" s="4">
        <v>6.83</v>
      </c>
    </row>
    <row r="267" spans="1:33" ht="47.25" hidden="1" customHeight="1" x14ac:dyDescent="0.25">
      <c r="A267" s="10" t="s">
        <v>2820</v>
      </c>
      <c r="B267" s="11" t="s">
        <v>33</v>
      </c>
      <c r="C267" s="12" t="s">
        <v>2821</v>
      </c>
      <c r="D267" s="27"/>
      <c r="E267" s="14" t="s">
        <v>35</v>
      </c>
      <c r="F267" s="11" t="str">
        <f>HYPERLINK("https://redirect.sdcdeals.com/redirect?destination=https%3A%2F%2Fwww.amazon.com%2Fdp%2FB0CCBS9GCY%3Fth%3D1%26psc%3D1%26tag%3Dsdcdeals03-20", "Amazon Link")</f>
        <v>Amazon Link</v>
      </c>
      <c r="G267" s="11" t="s">
        <v>36</v>
      </c>
      <c r="H267" s="14" t="s">
        <v>2822</v>
      </c>
      <c r="I267" s="11" t="str">
        <f>HYPERLINK("https://redirect.sdcdeals.com/redirect?code=763034&amp;mavely=https://mavely.app.link/e/bhESV2wGrGb&amp;destination=https%3A%2F%2Fwww.kohls.com%2Fsearch.jsp%3Fsubmit-search%3Dweb-regular%26search%3D58105573", "Retail Link")</f>
        <v>Retail Link</v>
      </c>
      <c r="J267" s="14" t="s">
        <v>2705</v>
      </c>
      <c r="K267" s="13" t="s">
        <v>2735</v>
      </c>
      <c r="L267" s="15">
        <v>13.2</v>
      </c>
      <c r="M267" s="15">
        <v>42.71</v>
      </c>
      <c r="N267" s="15">
        <v>16.273499999999999</v>
      </c>
      <c r="O267" s="15">
        <f>V267-M267</f>
        <v>-7.8599999999999994</v>
      </c>
      <c r="P267" s="16">
        <f>N267/L267</f>
        <v>1.2328409090909092</v>
      </c>
      <c r="Q267" s="14"/>
      <c r="R267" s="14"/>
      <c r="S267" s="17">
        <v>0.88184799999999997</v>
      </c>
      <c r="T267" s="15">
        <v>42.71</v>
      </c>
      <c r="U267" s="15">
        <v>32.28</v>
      </c>
      <c r="V267" s="15">
        <v>34.85</v>
      </c>
      <c r="W267" s="14" t="s">
        <v>926</v>
      </c>
      <c r="X267" s="14">
        <v>1</v>
      </c>
      <c r="Y267" s="10">
        <f>AC267-AB267</f>
        <v>58</v>
      </c>
      <c r="Z267" s="18">
        <v>-1</v>
      </c>
      <c r="AA267" s="18">
        <v>-1</v>
      </c>
      <c r="AB267" s="18"/>
      <c r="AC267" s="18">
        <v>58</v>
      </c>
      <c r="AD267" s="1" t="s">
        <v>2707</v>
      </c>
      <c r="AE267" s="1" t="s">
        <v>2738</v>
      </c>
      <c r="AG267" s="4">
        <v>6.83</v>
      </c>
    </row>
    <row r="268" spans="1:33" ht="47.25" customHeight="1" x14ac:dyDescent="0.25">
      <c r="A268" s="10" t="s">
        <v>2993</v>
      </c>
      <c r="B268" s="11" t="s">
        <v>33</v>
      </c>
      <c r="C268" s="12" t="s">
        <v>2994</v>
      </c>
      <c r="D268" s="27"/>
      <c r="E268" s="14" t="s">
        <v>35</v>
      </c>
      <c r="F268" s="11" t="str">
        <f>HYPERLINK("https://redirect.sdcdeals.com/redirect?destination=https%3A%2F%2Fwww.amazon.com%2Fdp%2FB0C699P1G4%3Fth%3D1%26psc%3D1%26tag%3Dsdcdeals03-20", "Amazon Link")</f>
        <v>Amazon Link</v>
      </c>
      <c r="G268" s="11" t="s">
        <v>36</v>
      </c>
      <c r="H268" s="14" t="s">
        <v>2995</v>
      </c>
      <c r="I268" s="11" t="str">
        <f>HYPERLINK("https://redirect.sdcdeals.com/redirect?code=763034&amp;mavely=https://mavely.app.link/e/bhESV2wGrGb&amp;destination=https%3A%2F%2Fwww.kohls.com%2Fsearch.jsp%3Fsubmit-search%3Dweb-regular%26search%3D59467424", "Retail Link")</f>
        <v>Retail Link</v>
      </c>
      <c r="J268" s="14" t="s">
        <v>2989</v>
      </c>
      <c r="K268" s="13" t="s">
        <v>2996</v>
      </c>
      <c r="L268" s="15">
        <v>11.52</v>
      </c>
      <c r="M268" s="15">
        <v>36.79</v>
      </c>
      <c r="N268" s="15">
        <v>13.9315</v>
      </c>
      <c r="O268" s="15">
        <f>V268-M268</f>
        <v>8.8400000000000034</v>
      </c>
      <c r="P268" s="16">
        <f>N268/L268</f>
        <v>1.2093315972222223</v>
      </c>
      <c r="Q268" s="14">
        <v>109613</v>
      </c>
      <c r="R268" s="14"/>
      <c r="S268" s="17">
        <v>1.1993132799999999</v>
      </c>
      <c r="T268" s="15">
        <v>36.79</v>
      </c>
      <c r="U268" s="15">
        <v>46</v>
      </c>
      <c r="V268" s="15">
        <v>45.63</v>
      </c>
      <c r="W268" s="14" t="s">
        <v>342</v>
      </c>
      <c r="X268" s="14">
        <v>1</v>
      </c>
      <c r="Y268" s="10">
        <f>AC268-AB268</f>
        <v>823</v>
      </c>
      <c r="Z268" s="18">
        <v>29</v>
      </c>
      <c r="AA268" s="18">
        <v>71</v>
      </c>
      <c r="AB268" s="18">
        <v>0</v>
      </c>
      <c r="AC268" s="18">
        <v>823</v>
      </c>
      <c r="AD268" s="1" t="s">
        <v>2991</v>
      </c>
      <c r="AE268" s="1" t="s">
        <v>2997</v>
      </c>
      <c r="AF268" s="4">
        <v>6.25</v>
      </c>
      <c r="AG268" s="4">
        <v>5.82</v>
      </c>
    </row>
    <row r="269" spans="1:33" ht="47.25" customHeight="1" x14ac:dyDescent="0.25">
      <c r="A269" s="10" t="s">
        <v>2108</v>
      </c>
      <c r="B269" s="11" t="s">
        <v>33</v>
      </c>
      <c r="C269" s="12" t="s">
        <v>2109</v>
      </c>
      <c r="D269" s="27"/>
      <c r="E269" s="14" t="s">
        <v>35</v>
      </c>
      <c r="F269" s="11" t="str">
        <f>HYPERLINK("https://redirect.sdcdeals.com/redirect?destination=https%3A%2F%2Fwww.amazon.com%2Fdp%2FB07D1PZ2SJ%3Fth%3D1%26psc%3D1%26tag%3Dsdcdeals03-20", "Amazon Link")</f>
        <v>Amazon Link</v>
      </c>
      <c r="G269" s="11" t="s">
        <v>36</v>
      </c>
      <c r="H269" s="14" t="s">
        <v>2110</v>
      </c>
      <c r="I269" s="11" t="str">
        <f>HYPERLINK("https://redirect.sdcdeals.com/redirect?code=763034&amp;mavely=https://mavely.app.link/e/bhESV2wGrGb&amp;destination=https%3A%2F%2Fwww.kohls.com%2Fsearch.jsp%3Fsubmit-search%3Dweb-regular%26search%3D73143093", "Retail Link")</f>
        <v>Retail Link</v>
      </c>
      <c r="J269" s="14" t="s">
        <v>2048</v>
      </c>
      <c r="K269" s="13" t="s">
        <v>2111</v>
      </c>
      <c r="L269" s="15">
        <v>9.6000000000000014</v>
      </c>
      <c r="M269" s="15">
        <v>31.99</v>
      </c>
      <c r="N269" s="15">
        <v>11.541499999999999</v>
      </c>
      <c r="O269" s="15">
        <f>V269-M269</f>
        <v>0.87000000000000099</v>
      </c>
      <c r="P269" s="16">
        <f>N269/L269</f>
        <v>1.202239583333333</v>
      </c>
      <c r="Q269" s="14">
        <v>581</v>
      </c>
      <c r="R269" s="14"/>
      <c r="S269" s="17">
        <v>0.93034963999999998</v>
      </c>
      <c r="T269" s="15">
        <v>31.99</v>
      </c>
      <c r="U269" s="15">
        <v>30.91</v>
      </c>
      <c r="V269" s="15">
        <v>32.86</v>
      </c>
      <c r="W269" s="14" t="s">
        <v>671</v>
      </c>
      <c r="X269" s="14">
        <v>2</v>
      </c>
      <c r="Y269" s="10">
        <f>AC269-AB269</f>
        <v>53284</v>
      </c>
      <c r="Z269" s="18">
        <v>57</v>
      </c>
      <c r="AA269" s="18">
        <v>171</v>
      </c>
      <c r="AB269" s="18">
        <v>16</v>
      </c>
      <c r="AC269" s="18">
        <v>53300</v>
      </c>
      <c r="AD269" s="1" t="s">
        <v>2050</v>
      </c>
      <c r="AE269" s="1" t="s">
        <v>2073</v>
      </c>
      <c r="AF269" s="4">
        <v>5.44</v>
      </c>
      <c r="AG269" s="4">
        <v>6.05</v>
      </c>
    </row>
    <row r="270" spans="1:33" ht="47.25" customHeight="1" x14ac:dyDescent="0.25">
      <c r="A270" s="10" t="s">
        <v>7034</v>
      </c>
      <c r="B270" s="11" t="s">
        <v>33</v>
      </c>
      <c r="C270" s="12" t="s">
        <v>7035</v>
      </c>
      <c r="D270" s="27"/>
      <c r="E270" s="14" t="s">
        <v>35</v>
      </c>
      <c r="F270" s="11" t="str">
        <f>HYPERLINK("https://redirect.sdcdeals.com/redirect?destination=https%3A%2F%2Fwww.amazon.com%2Fdp%2FB0CH1QS9V5%3Fth%3D1%26psc%3D1%26tag%3Dsdcdeals03-20", "Amazon Link")</f>
        <v>Amazon Link</v>
      </c>
      <c r="G270" s="11" t="s">
        <v>36</v>
      </c>
      <c r="H270" s="14" t="s">
        <v>7036</v>
      </c>
      <c r="I270" s="11" t="str">
        <f>HYPERLINK("https://redirect.sdcdeals.com/redirect?code=763034&amp;mavely=https://mavely.app.link/e/bhESV2wGrGb&amp;destination=https%3A%2F%2Fwww.kohls.com%2Fsearch.jsp%3Fsubmit-search%3Dweb-regular%26search%3D75601119", "Retail Link")</f>
        <v>Retail Link</v>
      </c>
      <c r="J270" s="14" t="s">
        <v>7027</v>
      </c>
      <c r="K270" s="13" t="s">
        <v>7037</v>
      </c>
      <c r="L270" s="15">
        <v>6.4</v>
      </c>
      <c r="M270" s="15">
        <v>21.99</v>
      </c>
      <c r="N270" s="15">
        <v>7.681499999999998</v>
      </c>
      <c r="O270" s="15">
        <f>V270-M270</f>
        <v>-0.79999999999999716</v>
      </c>
      <c r="P270" s="16">
        <f>N270/L270</f>
        <v>1.2002343749999995</v>
      </c>
      <c r="Q270" s="14">
        <v>53837</v>
      </c>
      <c r="R270" s="14"/>
      <c r="S270" s="17">
        <v>0.33069300000000001</v>
      </c>
      <c r="T270" s="15">
        <v>21.99</v>
      </c>
      <c r="U270" s="15">
        <v>19.21</v>
      </c>
      <c r="V270" s="15">
        <v>21.19</v>
      </c>
      <c r="W270" s="14" t="s">
        <v>698</v>
      </c>
      <c r="X270" s="14">
        <v>11</v>
      </c>
      <c r="Y270" s="10">
        <f>AC270-AB270</f>
        <v>569</v>
      </c>
      <c r="Z270" s="18">
        <v>24</v>
      </c>
      <c r="AA270" s="18">
        <v>103</v>
      </c>
      <c r="AB270" s="18">
        <v>0</v>
      </c>
      <c r="AC270" s="18">
        <v>569</v>
      </c>
      <c r="AD270" s="1" t="s">
        <v>4680</v>
      </c>
      <c r="AE270" s="1" t="s">
        <v>7029</v>
      </c>
      <c r="AF270" s="4">
        <v>3.74</v>
      </c>
      <c r="AG270" s="4">
        <v>4.6100000000000003</v>
      </c>
    </row>
    <row r="271" spans="1:33" ht="47.25" customHeight="1" x14ac:dyDescent="0.25">
      <c r="A271" s="10" t="s">
        <v>2829</v>
      </c>
      <c r="B271" s="11" t="s">
        <v>33</v>
      </c>
      <c r="C271" s="12" t="s">
        <v>2830</v>
      </c>
      <c r="D271" s="27"/>
      <c r="E271" s="14" t="s">
        <v>35</v>
      </c>
      <c r="F271" s="11" t="str">
        <f>HYPERLINK("https://redirect.sdcdeals.com/redirect?destination=https%3A%2F%2Fwww.amazon.com%2Fdp%2FB0BGVJWQ7D%3Fth%3D1%26psc%3D1%26tag%3Dsdcdeals03-20", "Amazon Link")</f>
        <v>Amazon Link</v>
      </c>
      <c r="G271" s="11" t="s">
        <v>36</v>
      </c>
      <c r="H271" s="14" t="s">
        <v>2831</v>
      </c>
      <c r="I271" s="11" t="str">
        <f>HYPERLINK("https://redirect.sdcdeals.com/redirect?code=763034&amp;mavely=https://mavely.app.link/e/bhESV2wGrGb&amp;destination=https%3A%2F%2Fwww.kohls.com%2Fsearch.jsp%3Fsubmit-search%3Dweb-regular%26search%3D28218917", "Retail Link")</f>
        <v>Retail Link</v>
      </c>
      <c r="J271" s="14" t="s">
        <v>2832</v>
      </c>
      <c r="K271" s="13" t="s">
        <v>2833</v>
      </c>
      <c r="L271" s="15">
        <v>13.2</v>
      </c>
      <c r="M271" s="15">
        <v>40.97</v>
      </c>
      <c r="N271" s="15">
        <v>15.804500000000001</v>
      </c>
      <c r="O271" s="15">
        <f>V271-M271</f>
        <v>7.3900000000000006</v>
      </c>
      <c r="P271" s="16">
        <f>N271/L271</f>
        <v>1.1973106060606062</v>
      </c>
      <c r="Q271" s="14">
        <v>48330</v>
      </c>
      <c r="R271" s="14"/>
      <c r="S271" s="17">
        <v>0.49603950000000002</v>
      </c>
      <c r="T271" s="15">
        <v>40.97</v>
      </c>
      <c r="U271" s="15">
        <v>51.42</v>
      </c>
      <c r="V271" s="15">
        <v>48.36</v>
      </c>
      <c r="W271" s="14" t="s">
        <v>715</v>
      </c>
      <c r="X271" s="14">
        <v>5</v>
      </c>
      <c r="Y271" s="10">
        <f>AC271-AB271</f>
        <v>1032</v>
      </c>
      <c r="Z271" s="18">
        <v>28</v>
      </c>
      <c r="AA271" s="18">
        <v>75</v>
      </c>
      <c r="AB271" s="18">
        <v>0</v>
      </c>
      <c r="AC271" s="18">
        <v>1032</v>
      </c>
      <c r="AD271" s="1" t="s">
        <v>2834</v>
      </c>
      <c r="AE271" s="1" t="s">
        <v>2835</v>
      </c>
      <c r="AF271" s="4">
        <v>6.96</v>
      </c>
      <c r="AG271" s="4">
        <v>5.82</v>
      </c>
    </row>
    <row r="272" spans="1:33" ht="47.25" customHeight="1" x14ac:dyDescent="0.25">
      <c r="A272" s="10" t="s">
        <v>2851</v>
      </c>
      <c r="B272" s="11" t="s">
        <v>33</v>
      </c>
      <c r="C272" s="12" t="s">
        <v>2852</v>
      </c>
      <c r="D272" s="27"/>
      <c r="E272" s="14" t="s">
        <v>35</v>
      </c>
      <c r="F272" s="11" t="str">
        <f>HYPERLINK("https://redirect.sdcdeals.com/redirect?destination=https%3A%2F%2Fwww.amazon.com%2Fdp%2FB0BGVPHBVS%3Fth%3D1%26psc%3D1%26tag%3Dsdcdeals03-20", "Amazon Link")</f>
        <v>Amazon Link</v>
      </c>
      <c r="G272" s="11" t="s">
        <v>36</v>
      </c>
      <c r="H272" s="14" t="s">
        <v>2853</v>
      </c>
      <c r="I272" s="11" t="str">
        <f>HYPERLINK("https://redirect.sdcdeals.com/redirect?code=763034&amp;mavely=https://mavely.app.link/e/bhESV2wGrGb&amp;destination=https%3A%2F%2Fwww.kohls.com%2Fsearch.jsp%3Fsubmit-search%3Dweb-regular%26search%3D28218919", "Retail Link")</f>
        <v>Retail Link</v>
      </c>
      <c r="J272" s="14" t="s">
        <v>2832</v>
      </c>
      <c r="K272" s="13" t="s">
        <v>2854</v>
      </c>
      <c r="L272" s="15">
        <v>13.2</v>
      </c>
      <c r="M272" s="15">
        <v>40.97</v>
      </c>
      <c r="N272" s="15">
        <v>15.804500000000001</v>
      </c>
      <c r="O272" s="15">
        <f>V272-M272</f>
        <v>2.0700000000000003</v>
      </c>
      <c r="P272" s="16">
        <f>N272/L272</f>
        <v>1.1973106060606062</v>
      </c>
      <c r="Q272" s="14">
        <v>48330</v>
      </c>
      <c r="R272" s="14"/>
      <c r="S272" s="17">
        <v>0.59524739999999998</v>
      </c>
      <c r="T272" s="15">
        <v>40.97</v>
      </c>
      <c r="U272" s="15">
        <v>51.49</v>
      </c>
      <c r="V272" s="15">
        <v>43.04</v>
      </c>
      <c r="W272" s="14" t="s">
        <v>2855</v>
      </c>
      <c r="X272" s="14">
        <v>4</v>
      </c>
      <c r="Y272" s="10">
        <f>AC272-AB272</f>
        <v>1032</v>
      </c>
      <c r="Z272" s="18">
        <v>26</v>
      </c>
      <c r="AA272" s="18">
        <v>63</v>
      </c>
      <c r="AB272" s="18">
        <v>0</v>
      </c>
      <c r="AC272" s="18">
        <v>1032</v>
      </c>
      <c r="AD272" s="1" t="s">
        <v>2834</v>
      </c>
      <c r="AE272" s="1" t="s">
        <v>2835</v>
      </c>
      <c r="AF272" s="4">
        <v>6.96</v>
      </c>
      <c r="AG272" s="4">
        <v>5.82</v>
      </c>
    </row>
    <row r="273" spans="1:33" ht="47.25" customHeight="1" x14ac:dyDescent="0.25">
      <c r="A273" s="10" t="s">
        <v>2068</v>
      </c>
      <c r="B273" s="11" t="s">
        <v>33</v>
      </c>
      <c r="C273" s="12" t="s">
        <v>2069</v>
      </c>
      <c r="D273" s="27"/>
      <c r="E273" s="14" t="s">
        <v>35</v>
      </c>
      <c r="F273" s="11" t="str">
        <f>HYPERLINK("https://redirect.sdcdeals.com/redirect?destination=https%3A%2F%2Fwww.amazon.com%2Fdp%2FB07D1PFKWY%3Fth%3D1%26psc%3D1%26tag%3Dsdcdeals03-20", "Amazon Link")</f>
        <v>Amazon Link</v>
      </c>
      <c r="G273" s="11" t="s">
        <v>36</v>
      </c>
      <c r="H273" s="14" t="s">
        <v>2070</v>
      </c>
      <c r="I273" s="11" t="str">
        <f>HYPERLINK("https://redirect.sdcdeals.com/redirect?code=763034&amp;mavely=https://mavely.app.link/e/bhESV2wGrGb&amp;destination=https%3A%2F%2Fwww.kohls.com%2Fsearch.jsp%3Fsubmit-search%3Dweb-regular%26search%3D73143092", "Retail Link")</f>
        <v>Retail Link</v>
      </c>
      <c r="J273" s="14" t="s">
        <v>2048</v>
      </c>
      <c r="K273" s="13" t="s">
        <v>2071</v>
      </c>
      <c r="L273" s="15">
        <v>9.6000000000000014</v>
      </c>
      <c r="M273" s="15">
        <v>31.99</v>
      </c>
      <c r="N273" s="15">
        <v>11.451499999999999</v>
      </c>
      <c r="O273" s="15">
        <f>V273-M273</f>
        <v>0.30999999999999872</v>
      </c>
      <c r="P273" s="16">
        <f>N273/L273</f>
        <v>1.1928645833333331</v>
      </c>
      <c r="Q273" s="14">
        <v>592</v>
      </c>
      <c r="R273" s="14"/>
      <c r="S273" s="17">
        <v>0.9259404</v>
      </c>
      <c r="T273" s="15">
        <v>31.99</v>
      </c>
      <c r="U273" s="15">
        <v>30.03</v>
      </c>
      <c r="V273" s="15">
        <v>32.299999999999997</v>
      </c>
      <c r="W273" s="14" t="s">
        <v>2072</v>
      </c>
      <c r="X273" s="14">
        <v>2</v>
      </c>
      <c r="Y273" s="10">
        <f>AC273-AB273</f>
        <v>53276</v>
      </c>
      <c r="Z273" s="18">
        <v>62</v>
      </c>
      <c r="AA273" s="18">
        <v>183</v>
      </c>
      <c r="AB273" s="18">
        <v>24</v>
      </c>
      <c r="AC273" s="18">
        <v>53300</v>
      </c>
      <c r="AD273" s="1" t="s">
        <v>2050</v>
      </c>
      <c r="AE273" s="1" t="s">
        <v>2073</v>
      </c>
      <c r="AF273" s="4">
        <v>5.43</v>
      </c>
      <c r="AG273" s="4">
        <v>6.14</v>
      </c>
    </row>
    <row r="274" spans="1:33" ht="47.25" customHeight="1" x14ac:dyDescent="0.25">
      <c r="A274" s="10" t="s">
        <v>1758</v>
      </c>
      <c r="B274" s="11" t="s">
        <v>33</v>
      </c>
      <c r="C274" s="12" t="s">
        <v>1759</v>
      </c>
      <c r="D274" s="27"/>
      <c r="E274" s="14" t="s">
        <v>35</v>
      </c>
      <c r="F274" s="11" t="str">
        <f>HYPERLINK("https://redirect.sdcdeals.com/redirect?destination=https%3A%2F%2Fwww.amazon.com%2Fdp%2FB0BHLB9Y78%3Fth%3D1%26psc%3D1%26tag%3Dsdcdeals03-20", "Amazon Link")</f>
        <v>Amazon Link</v>
      </c>
      <c r="G274" s="11" t="s">
        <v>36</v>
      </c>
      <c r="H274" s="14" t="s">
        <v>1760</v>
      </c>
      <c r="I274" s="11" t="str">
        <f>HYPERLINK("https://redirect.sdcdeals.com/redirect?code=763034&amp;mavely=https://mavely.app.link/e/bhESV2wGrGb&amp;destination=https%3A%2F%2Fwww.kohls.com%2Fsearch.jsp%3Fsubmit-search%3Dweb-regular%26search%3D62942362", "Retail Link")</f>
        <v>Retail Link</v>
      </c>
      <c r="J274" s="14" t="s">
        <v>1732</v>
      </c>
      <c r="K274" s="13" t="s">
        <v>1761</v>
      </c>
      <c r="L274" s="15">
        <v>14</v>
      </c>
      <c r="M274" s="15">
        <v>43.92</v>
      </c>
      <c r="N274" s="15">
        <v>16.661999999999999</v>
      </c>
      <c r="O274" s="15">
        <f>V274-M274</f>
        <v>-11.690000000000005</v>
      </c>
      <c r="P274" s="16">
        <f>N274/L274</f>
        <v>1.1901428571428572</v>
      </c>
      <c r="Q274" s="14">
        <v>37317</v>
      </c>
      <c r="R274" s="14"/>
      <c r="S274" s="17">
        <v>1.0097159600000001</v>
      </c>
      <c r="T274" s="15">
        <v>43.92</v>
      </c>
      <c r="U274" s="15">
        <v>32.090000000000003</v>
      </c>
      <c r="V274" s="15">
        <v>32.229999999999997</v>
      </c>
      <c r="W274" s="14" t="s">
        <v>1762</v>
      </c>
      <c r="X274" s="14">
        <v>2</v>
      </c>
      <c r="Y274" s="10">
        <f>AC274-AB274</f>
        <v>69</v>
      </c>
      <c r="Z274" s="18">
        <v>38</v>
      </c>
      <c r="AA274" s="18">
        <v>108</v>
      </c>
      <c r="AB274" s="18">
        <v>3</v>
      </c>
      <c r="AC274" s="18">
        <v>72</v>
      </c>
      <c r="AD274" s="1" t="s">
        <v>1735</v>
      </c>
      <c r="AE274" s="1" t="s">
        <v>1747</v>
      </c>
      <c r="AG274" s="4">
        <v>6.67</v>
      </c>
    </row>
    <row r="275" spans="1:33" ht="47.25" customHeight="1" x14ac:dyDescent="0.25">
      <c r="A275" s="10" t="s">
        <v>1763</v>
      </c>
      <c r="B275" s="11" t="s">
        <v>33</v>
      </c>
      <c r="C275" s="12" t="s">
        <v>1764</v>
      </c>
      <c r="D275" s="27"/>
      <c r="E275" s="14" t="s">
        <v>35</v>
      </c>
      <c r="F275" s="11" t="str">
        <f>HYPERLINK("https://redirect.sdcdeals.com/redirect?destination=https%3A%2F%2Fwww.amazon.com%2Fdp%2FB0BHKRGMMD%3Fth%3D1%26psc%3D1%26tag%3Dsdcdeals03-20", "Amazon Link")</f>
        <v>Amazon Link</v>
      </c>
      <c r="G275" s="11" t="s">
        <v>36</v>
      </c>
      <c r="H275" s="14" t="s">
        <v>1765</v>
      </c>
      <c r="I275" s="11" t="str">
        <f>HYPERLINK("https://redirect.sdcdeals.com/redirect?code=763034&amp;mavely=https://mavely.app.link/e/bhESV2wGrGb&amp;destination=https%3A%2F%2Fwww.kohls.com%2Fsearch.jsp%3Fsubmit-search%3Dweb-regular%26search%3D77202423", "Retail Link")</f>
        <v>Retail Link</v>
      </c>
      <c r="J275" s="14" t="s">
        <v>1732</v>
      </c>
      <c r="K275" s="13" t="s">
        <v>1766</v>
      </c>
      <c r="L275" s="15">
        <v>14</v>
      </c>
      <c r="M275" s="15">
        <v>42.87</v>
      </c>
      <c r="N275" s="15">
        <v>16.619499999999999</v>
      </c>
      <c r="O275" s="15">
        <f>V275-M275</f>
        <v>-9.93</v>
      </c>
      <c r="P275" s="16">
        <f>N275/L275</f>
        <v>1.1871071428571427</v>
      </c>
      <c r="Q275" s="14">
        <v>37317</v>
      </c>
      <c r="R275" s="14"/>
      <c r="S275" s="17">
        <v>1.1464023999999999</v>
      </c>
      <c r="T275" s="15">
        <v>42.87</v>
      </c>
      <c r="U275" s="15">
        <v>33.36</v>
      </c>
      <c r="V275" s="15">
        <v>32.94</v>
      </c>
      <c r="W275" s="14" t="s">
        <v>1767</v>
      </c>
      <c r="X275" s="14">
        <v>2</v>
      </c>
      <c r="Y275" s="10">
        <f>AC275-AB275</f>
        <v>64</v>
      </c>
      <c r="Z275" s="18">
        <v>53</v>
      </c>
      <c r="AA275" s="18">
        <v>115</v>
      </c>
      <c r="AB275" s="18">
        <v>8</v>
      </c>
      <c r="AC275" s="18">
        <v>72</v>
      </c>
      <c r="AD275" s="1" t="s">
        <v>1735</v>
      </c>
      <c r="AE275" s="1" t="s">
        <v>76</v>
      </c>
      <c r="AG275" s="4">
        <v>5.82</v>
      </c>
    </row>
    <row r="276" spans="1:33" ht="47.25" customHeight="1" x14ac:dyDescent="0.25">
      <c r="A276" s="10" t="s">
        <v>3315</v>
      </c>
      <c r="B276" s="11" t="s">
        <v>33</v>
      </c>
      <c r="C276" s="12" t="s">
        <v>3316</v>
      </c>
      <c r="D276" s="27"/>
      <c r="E276" s="14" t="s">
        <v>35</v>
      </c>
      <c r="F276" s="11" t="str">
        <f>HYPERLINK("https://redirect.sdcdeals.com/redirect?destination=https%3A%2F%2Fwww.amazon.com%2Fdp%2FB0BKQSQ2CK%3Fth%3D1%26psc%3D1%26tag%3Dsdcdeals03-20", "Amazon Link")</f>
        <v>Amazon Link</v>
      </c>
      <c r="G276" s="11" t="s">
        <v>36</v>
      </c>
      <c r="H276" s="14" t="s">
        <v>3317</v>
      </c>
      <c r="I276" s="11" t="str">
        <f>HYPERLINK("https://redirect.sdcdeals.com/redirect?code=763034&amp;mavely=https://mavely.app.link/e/bhESV2wGrGb&amp;destination=https%3A%2F%2Fwww.kohls.com%2Fsearch.jsp%3Fsubmit-search%3Dweb-regular%26search%3D75525013", "Retail Link")</f>
        <v>Retail Link</v>
      </c>
      <c r="J276" s="14" t="s">
        <v>3318</v>
      </c>
      <c r="K276" s="13" t="s">
        <v>3319</v>
      </c>
      <c r="L276" s="15">
        <v>39.6</v>
      </c>
      <c r="M276" s="15">
        <v>118.99</v>
      </c>
      <c r="N276" s="15">
        <v>46.991499999999988</v>
      </c>
      <c r="O276" s="15">
        <f>V276-M276</f>
        <v>-8.2299999999999898</v>
      </c>
      <c r="P276" s="16">
        <f>N276/L276</f>
        <v>1.18665404040404</v>
      </c>
      <c r="Q276" s="14">
        <v>546738</v>
      </c>
      <c r="R276" s="14"/>
      <c r="S276" s="17">
        <v>2.0701381799999998</v>
      </c>
      <c r="T276" s="15">
        <v>105.15</v>
      </c>
      <c r="U276" s="15">
        <v>115.13</v>
      </c>
      <c r="V276" s="15">
        <v>110.76</v>
      </c>
      <c r="W276" s="14" t="s">
        <v>385</v>
      </c>
      <c r="X276" s="14">
        <v>2</v>
      </c>
      <c r="Y276" s="10">
        <f>AC276-AB276</f>
        <v>14</v>
      </c>
      <c r="Z276" s="18">
        <v>16</v>
      </c>
      <c r="AA276" s="18">
        <v>51</v>
      </c>
      <c r="AB276" s="18">
        <v>0</v>
      </c>
      <c r="AC276" s="18">
        <v>14</v>
      </c>
      <c r="AD276" s="1" t="s">
        <v>3320</v>
      </c>
      <c r="AE276" s="1" t="s">
        <v>1406</v>
      </c>
      <c r="AF276" s="4">
        <v>20.23</v>
      </c>
      <c r="AG276" s="4">
        <v>14.55</v>
      </c>
    </row>
    <row r="277" spans="1:33" ht="47.25" customHeight="1" x14ac:dyDescent="0.25">
      <c r="A277" s="10" t="s">
        <v>3851</v>
      </c>
      <c r="B277" s="11" t="s">
        <v>33</v>
      </c>
      <c r="C277" s="12" t="s">
        <v>3852</v>
      </c>
      <c r="D277" s="27"/>
      <c r="E277" s="14" t="s">
        <v>35</v>
      </c>
      <c r="F277" s="11" t="str">
        <f>HYPERLINK("https://redirect.sdcdeals.com/redirect?destination=https%3A%2F%2Fwww.amazon.com%2Fdp%2FB0BGVGNLHV%3Fth%3D1%26psc%3D1%26tag%3Dsdcdeals03-20", "Amazon Link")</f>
        <v>Amazon Link</v>
      </c>
      <c r="G277" s="11" t="s">
        <v>36</v>
      </c>
      <c r="H277" s="14" t="s">
        <v>3853</v>
      </c>
      <c r="I277" s="11" t="str">
        <f>HYPERLINK("https://redirect.sdcdeals.com/redirect?code=763034&amp;mavely=https://mavely.app.link/e/bhESV2wGrGb&amp;destination=https%3A%2F%2Fwww.kohls.com%2Fsearch.jsp%3Fsubmit-search%3Dweb-regular%26search%3D37226371", "Retail Link")</f>
        <v>Retail Link</v>
      </c>
      <c r="J277" s="14" t="s">
        <v>3813</v>
      </c>
      <c r="K277" s="13" t="s">
        <v>3854</v>
      </c>
      <c r="L277" s="15">
        <v>12.6</v>
      </c>
      <c r="M277" s="15">
        <v>39.229999999999997</v>
      </c>
      <c r="N277" s="15">
        <v>14.925499999999991</v>
      </c>
      <c r="O277" s="15">
        <f>V277-M277</f>
        <v>1.1200000000000045</v>
      </c>
      <c r="P277" s="16">
        <f>N277/L277</f>
        <v>1.1845634920634913</v>
      </c>
      <c r="Q277" s="14">
        <v>617311</v>
      </c>
      <c r="R277" s="14"/>
      <c r="S277" s="17">
        <v>0.39903622</v>
      </c>
      <c r="T277" s="15">
        <v>30.05</v>
      </c>
      <c r="U277" s="15">
        <v>43.13</v>
      </c>
      <c r="V277" s="15">
        <v>40.35</v>
      </c>
      <c r="W277" s="14" t="s">
        <v>598</v>
      </c>
      <c r="X277" s="14">
        <v>4</v>
      </c>
      <c r="Y277" s="10">
        <f>AC277-AB277</f>
        <v>0</v>
      </c>
      <c r="Z277" s="18">
        <v>12</v>
      </c>
      <c r="AA277" s="18">
        <v>35</v>
      </c>
      <c r="AB277" s="18">
        <v>0</v>
      </c>
      <c r="AC277" s="18"/>
      <c r="AD277" s="1" t="s">
        <v>3816</v>
      </c>
      <c r="AE277" s="1" t="s">
        <v>3822</v>
      </c>
      <c r="AF277" s="4">
        <v>6.67</v>
      </c>
      <c r="AG277" s="4">
        <v>5.82</v>
      </c>
    </row>
    <row r="278" spans="1:33" ht="47.25" customHeight="1" x14ac:dyDescent="0.25">
      <c r="A278" s="10" t="s">
        <v>3855</v>
      </c>
      <c r="B278" s="11" t="s">
        <v>33</v>
      </c>
      <c r="C278" s="12" t="s">
        <v>3856</v>
      </c>
      <c r="D278" s="27"/>
      <c r="E278" s="14" t="s">
        <v>35</v>
      </c>
      <c r="F278" s="11" t="str">
        <f>HYPERLINK("https://redirect.sdcdeals.com/redirect?destination=https%3A%2F%2Fwww.amazon.com%2Fdp%2FB0BGW2V26B%3Fth%3D1%26psc%3D1%26tag%3Dsdcdeals03-20", "Amazon Link")</f>
        <v>Amazon Link</v>
      </c>
      <c r="G278" s="11" t="s">
        <v>36</v>
      </c>
      <c r="H278" s="14" t="s">
        <v>3857</v>
      </c>
      <c r="I278" s="11" t="str">
        <f>HYPERLINK("https://redirect.sdcdeals.com/redirect?code=763034&amp;mavely=https://mavely.app.link/e/bhESV2wGrGb&amp;destination=https%3A%2F%2Fwww.kohls.com%2Fsearch.jsp%3Fsubmit-search%3Dweb-regular%26search%3D37226381", "Retail Link")</f>
        <v>Retail Link</v>
      </c>
      <c r="J278" s="14" t="s">
        <v>3813</v>
      </c>
      <c r="K278" s="13" t="s">
        <v>3858</v>
      </c>
      <c r="L278" s="15">
        <v>12.6</v>
      </c>
      <c r="M278" s="15">
        <v>39.229999999999997</v>
      </c>
      <c r="N278" s="15">
        <v>14.925499999999991</v>
      </c>
      <c r="O278" s="15">
        <f>V278-M278</f>
        <v>-2.7999999999999972</v>
      </c>
      <c r="P278" s="16">
        <f>N278/L278</f>
        <v>1.1845634920634913</v>
      </c>
      <c r="Q278" s="14">
        <v>508841</v>
      </c>
      <c r="R278" s="14"/>
      <c r="S278" s="17">
        <v>0.39683160000000001</v>
      </c>
      <c r="T278" s="15">
        <v>30.05</v>
      </c>
      <c r="U278" s="15">
        <v>43.05</v>
      </c>
      <c r="V278" s="15">
        <v>36.43</v>
      </c>
      <c r="W278" s="14" t="s">
        <v>2855</v>
      </c>
      <c r="X278" s="14">
        <v>3</v>
      </c>
      <c r="Y278" s="10">
        <f>AC278-AB278</f>
        <v>0</v>
      </c>
      <c r="Z278" s="18">
        <v>16</v>
      </c>
      <c r="AA278" s="18">
        <v>53</v>
      </c>
      <c r="AB278" s="18">
        <v>0</v>
      </c>
      <c r="AC278" s="18"/>
      <c r="AD278" s="1" t="s">
        <v>3816</v>
      </c>
      <c r="AE278" s="1" t="s">
        <v>3817</v>
      </c>
      <c r="AF278" s="4">
        <v>6.67</v>
      </c>
      <c r="AG278" s="4">
        <v>5.82</v>
      </c>
    </row>
    <row r="279" spans="1:33" ht="47.25" customHeight="1" x14ac:dyDescent="0.25">
      <c r="A279" s="10" t="s">
        <v>2885</v>
      </c>
      <c r="B279" s="11" t="s">
        <v>33</v>
      </c>
      <c r="C279" s="12" t="s">
        <v>2886</v>
      </c>
      <c r="D279" s="27"/>
      <c r="E279" s="14" t="s">
        <v>35</v>
      </c>
      <c r="F279" s="11" t="str">
        <f>HYPERLINK("https://redirect.sdcdeals.com/redirect?destination=https%3A%2F%2Fwww.amazon.com%2Fdp%2FB09KMD2TY5%3Fth%3D1%26psc%3D1%26tag%3Dsdcdeals03-20", "Amazon Link")</f>
        <v>Amazon Link</v>
      </c>
      <c r="G279" s="11" t="s">
        <v>36</v>
      </c>
      <c r="H279" s="14" t="s">
        <v>2887</v>
      </c>
      <c r="I279" s="11" t="str">
        <f>HYPERLINK("https://redirect.sdcdeals.com/redirect?code=763034&amp;mavely=https://mavely.app.link/e/bhESV2wGrGb&amp;destination=https%3A%2F%2Fwww.kohls.com%2Fsearch.jsp%3Fsubmit-search%3Dweb-regular%26search%3D76932875", "Retail Link")</f>
        <v>Retail Link</v>
      </c>
      <c r="J279" s="14" t="s">
        <v>2863</v>
      </c>
      <c r="K279" s="13" t="s">
        <v>2888</v>
      </c>
      <c r="L279" s="15">
        <v>39.6</v>
      </c>
      <c r="M279" s="15">
        <v>111.85</v>
      </c>
      <c r="N279" s="15">
        <v>46.792499999999983</v>
      </c>
      <c r="O279" s="15">
        <f>V279-M279</f>
        <v>-27.72</v>
      </c>
      <c r="P279" s="16">
        <f>N279/L279</f>
        <v>1.1816287878787874</v>
      </c>
      <c r="Q279" s="14">
        <v>603154</v>
      </c>
      <c r="R279" s="14"/>
      <c r="S279" s="17">
        <v>2.6499532399999999</v>
      </c>
      <c r="T279" s="15">
        <v>111.85</v>
      </c>
      <c r="U279" s="15">
        <v>68.81</v>
      </c>
      <c r="V279" s="15">
        <v>84.13</v>
      </c>
      <c r="W279" s="14" t="s">
        <v>2022</v>
      </c>
      <c r="X279" s="14">
        <v>2</v>
      </c>
      <c r="Y279" s="10">
        <f>AC279-AB279</f>
        <v>58</v>
      </c>
      <c r="Z279" s="18">
        <v>9</v>
      </c>
      <c r="AA279" s="18">
        <v>51</v>
      </c>
      <c r="AB279" s="18">
        <v>4</v>
      </c>
      <c r="AC279" s="18">
        <v>62</v>
      </c>
      <c r="AD279" s="1" t="s">
        <v>2865</v>
      </c>
      <c r="AE279" s="1" t="s">
        <v>1211</v>
      </c>
      <c r="AG279" s="4">
        <v>8.68</v>
      </c>
    </row>
    <row r="280" spans="1:33" ht="47.25" customHeight="1" x14ac:dyDescent="0.25">
      <c r="A280" s="10" t="s">
        <v>48</v>
      </c>
      <c r="B280" s="11" t="s">
        <v>33</v>
      </c>
      <c r="C280" s="12" t="s">
        <v>49</v>
      </c>
      <c r="D280" s="27"/>
      <c r="E280" s="14" t="s">
        <v>35</v>
      </c>
      <c r="F280" s="11" t="str">
        <f>HYPERLINK("https://redirect.sdcdeals.com/redirect?destination=https%3A%2F%2Fwww.amazon.com%2Fdp%2FB081V3K5JW%3Fth%3D1%26psc%3D1%26tag%3Dsdcdeals03-20", "Amazon Link")</f>
        <v>Amazon Link</v>
      </c>
      <c r="G280" s="11" t="s">
        <v>36</v>
      </c>
      <c r="H280" s="14" t="s">
        <v>50</v>
      </c>
      <c r="I280" s="11" t="str">
        <f>HYPERLINK("https://redirect.sdcdeals.com/redirect?code=763034&amp;mavely=https://mavely.app.link/e/bhESV2wGrGb&amp;destination=https%3A%2F%2Fwww.kohls.com%2Fsearch.jsp%3Fsubmit-search%3Dweb-regular%26search%3D33868163", "Retail Link")</f>
        <v>Retail Link</v>
      </c>
      <c r="J280" s="14" t="s">
        <v>51</v>
      </c>
      <c r="K280" s="13" t="s">
        <v>52</v>
      </c>
      <c r="L280" s="15">
        <v>19.32</v>
      </c>
      <c r="M280" s="15">
        <v>57.34</v>
      </c>
      <c r="N280" s="15">
        <v>22.818999999999999</v>
      </c>
      <c r="O280" s="15">
        <f>V280-M280</f>
        <v>-2.3900000000000006</v>
      </c>
      <c r="P280" s="16">
        <f>N280/L280</f>
        <v>1.1811076604554864</v>
      </c>
      <c r="Q280" s="14">
        <v>310715</v>
      </c>
      <c r="R280" s="14"/>
      <c r="S280" s="17">
        <v>0.83996022000000004</v>
      </c>
      <c r="T280" s="15">
        <v>57.34</v>
      </c>
      <c r="U280" s="15">
        <v>52.1</v>
      </c>
      <c r="V280" s="15">
        <v>54.95</v>
      </c>
      <c r="W280" s="14" t="s">
        <v>53</v>
      </c>
      <c r="X280" s="14">
        <v>2</v>
      </c>
      <c r="Y280" s="10">
        <f>AC280-AB280</f>
        <v>69</v>
      </c>
      <c r="Z280" s="18">
        <v>11</v>
      </c>
      <c r="AA280" s="18">
        <v>41</v>
      </c>
      <c r="AB280" s="18">
        <v>1</v>
      </c>
      <c r="AC280" s="18">
        <v>70</v>
      </c>
      <c r="AD280" s="1" t="s">
        <v>54</v>
      </c>
      <c r="AE280" s="1" t="s">
        <v>55</v>
      </c>
      <c r="AG280" s="4">
        <v>6.6</v>
      </c>
    </row>
    <row r="281" spans="1:33" ht="47.25" customHeight="1" x14ac:dyDescent="0.25">
      <c r="A281" s="10" t="s">
        <v>6013</v>
      </c>
      <c r="B281" s="11" t="s">
        <v>33</v>
      </c>
      <c r="C281" s="12" t="s">
        <v>6014</v>
      </c>
      <c r="D281" s="27"/>
      <c r="E281" s="14" t="s">
        <v>35</v>
      </c>
      <c r="F281" s="11" t="str">
        <f>HYPERLINK("https://redirect.sdcdeals.com/redirect?destination=https%3A%2F%2Fwww.amazon.com%2Fdp%2FB0CLPLG5KK%3Fth%3D1%26psc%3D1%26tag%3Dsdcdeals03-20", "Amazon Link")</f>
        <v>Amazon Link</v>
      </c>
      <c r="G281" s="11" t="s">
        <v>36</v>
      </c>
      <c r="H281" s="14" t="s">
        <v>6015</v>
      </c>
      <c r="I281" s="11" t="str">
        <f>HYPERLINK("https://redirect.sdcdeals.com/redirect?code=763034&amp;mavely=https://mavely.app.link/e/bhESV2wGrGb&amp;destination=https%3A%2F%2Fwww.kohls.com%2Fsearch.jsp%3Fsubmit-search%3Dweb-regular%26search%3D29077262", "Retail Link")</f>
        <v>Retail Link</v>
      </c>
      <c r="J281" s="14" t="s">
        <v>6016</v>
      </c>
      <c r="K281" s="13" t="s">
        <v>6017</v>
      </c>
      <c r="L281" s="15">
        <v>10.4</v>
      </c>
      <c r="M281" s="15">
        <v>33.909999999999997</v>
      </c>
      <c r="N281" s="15">
        <v>12.283499999999989</v>
      </c>
      <c r="O281" s="15">
        <f>V281-M281</f>
        <v>8.5800000000000054</v>
      </c>
      <c r="P281" s="16">
        <f>N281/L281</f>
        <v>1.1811057692307683</v>
      </c>
      <c r="Q281" s="14">
        <v>2780849</v>
      </c>
      <c r="R281" s="14"/>
      <c r="S281" s="17">
        <v>0.79366320000000001</v>
      </c>
      <c r="T281" s="15">
        <v>33.909999999999997</v>
      </c>
      <c r="U281" s="15">
        <v>30.78</v>
      </c>
      <c r="V281" s="15">
        <v>42.49</v>
      </c>
      <c r="W281" s="14" t="s">
        <v>53</v>
      </c>
      <c r="X281" s="14">
        <v>1</v>
      </c>
      <c r="Y281" s="10">
        <f>AC281-AB281</f>
        <v>0</v>
      </c>
      <c r="Z281" s="18">
        <v>3</v>
      </c>
      <c r="AA281" s="18">
        <v>5</v>
      </c>
      <c r="AB281" s="18"/>
      <c r="AC281" s="18"/>
      <c r="AD281" s="1" t="s">
        <v>6018</v>
      </c>
      <c r="AE281" s="1" t="s">
        <v>1490</v>
      </c>
      <c r="AF281" s="4">
        <v>5.76</v>
      </c>
      <c r="AG281" s="4">
        <v>6.14</v>
      </c>
    </row>
    <row r="282" spans="1:33" ht="47.25" customHeight="1" x14ac:dyDescent="0.25">
      <c r="A282" s="10" t="s">
        <v>3846</v>
      </c>
      <c r="B282" s="11" t="s">
        <v>33</v>
      </c>
      <c r="C282" s="12" t="s">
        <v>3847</v>
      </c>
      <c r="D282" s="27"/>
      <c r="E282" s="14" t="s">
        <v>35</v>
      </c>
      <c r="F282" s="11" t="str">
        <f>HYPERLINK("https://redirect.sdcdeals.com/redirect?destination=https%3A%2F%2Fwww.amazon.com%2Fdp%2FB0BGVXK55R%3Fth%3D1%26psc%3D1%26tag%3Dsdcdeals03-20", "Amazon Link")</f>
        <v>Amazon Link</v>
      </c>
      <c r="G282" s="11" t="s">
        <v>36</v>
      </c>
      <c r="H282" s="14" t="s">
        <v>3848</v>
      </c>
      <c r="I282" s="11" t="str">
        <f>HYPERLINK("https://redirect.sdcdeals.com/redirect?code=763034&amp;mavely=https://mavely.app.link/e/bhESV2wGrGb&amp;destination=https%3A%2F%2Fwww.kohls.com%2Fsearch.jsp%3Fsubmit-search%3Dweb-regular%26search%3D37226380", "Retail Link")</f>
        <v>Retail Link</v>
      </c>
      <c r="J282" s="14" t="s">
        <v>3813</v>
      </c>
      <c r="K282" s="13" t="s">
        <v>3849</v>
      </c>
      <c r="L282" s="15">
        <v>12.6</v>
      </c>
      <c r="M282" s="15">
        <v>39.17</v>
      </c>
      <c r="N282" s="15">
        <v>14.874499999999999</v>
      </c>
      <c r="O282" s="15">
        <f>V282-M282</f>
        <v>-4.5500000000000043</v>
      </c>
      <c r="P282" s="16">
        <f>N282/L282</f>
        <v>1.1805158730158729</v>
      </c>
      <c r="Q282" s="14">
        <v>617311</v>
      </c>
      <c r="R282" s="14"/>
      <c r="S282" s="17">
        <v>0.36376229999999998</v>
      </c>
      <c r="T282" s="15">
        <v>30.05</v>
      </c>
      <c r="U282" s="15">
        <v>42.38</v>
      </c>
      <c r="V282" s="15">
        <v>34.619999999999997</v>
      </c>
      <c r="W282" s="14" t="s">
        <v>3850</v>
      </c>
      <c r="X282" s="14">
        <v>3</v>
      </c>
      <c r="Y282" s="10">
        <f>AC282-AB282</f>
        <v>0</v>
      </c>
      <c r="Z282" s="18">
        <v>12</v>
      </c>
      <c r="AA282" s="18">
        <v>44</v>
      </c>
      <c r="AB282" s="18">
        <v>0</v>
      </c>
      <c r="AC282" s="18"/>
      <c r="AD282" s="1" t="s">
        <v>3816</v>
      </c>
      <c r="AE282" s="1" t="s">
        <v>3817</v>
      </c>
      <c r="AF282" s="4">
        <v>6.66</v>
      </c>
      <c r="AG282" s="4">
        <v>5.82</v>
      </c>
    </row>
    <row r="283" spans="1:33" ht="47.25" customHeight="1" x14ac:dyDescent="0.25">
      <c r="A283" s="10" t="s">
        <v>2841</v>
      </c>
      <c r="B283" s="11" t="s">
        <v>33</v>
      </c>
      <c r="C283" s="12" t="s">
        <v>2842</v>
      </c>
      <c r="D283" s="27"/>
      <c r="E283" s="14" t="s">
        <v>35</v>
      </c>
      <c r="F283" s="11" t="str">
        <f>HYPERLINK("https://redirect.sdcdeals.com/redirect?destination=https%3A%2F%2Fwww.amazon.com%2Fdp%2FB0BGV7M3SD%3Fth%3D1%26psc%3D1%26tag%3Dsdcdeals03-20", "Amazon Link")</f>
        <v>Amazon Link</v>
      </c>
      <c r="G283" s="11" t="s">
        <v>36</v>
      </c>
      <c r="H283" s="14" t="s">
        <v>2843</v>
      </c>
      <c r="I283" s="11" t="str">
        <f>HYPERLINK("https://redirect.sdcdeals.com/redirect?code=763034&amp;mavely=https://mavely.app.link/e/bhESV2wGrGb&amp;destination=https%3A%2F%2Fwww.kohls.com%2Fsearch.jsp%3Fsubmit-search%3Dweb-regular%26search%3D28218918", "Retail Link")</f>
        <v>Retail Link</v>
      </c>
      <c r="J283" s="14" t="s">
        <v>2832</v>
      </c>
      <c r="K283" s="13" t="s">
        <v>2844</v>
      </c>
      <c r="L283" s="15">
        <v>13.2</v>
      </c>
      <c r="M283" s="15">
        <v>40.97</v>
      </c>
      <c r="N283" s="15">
        <v>15.5745</v>
      </c>
      <c r="O283" s="15">
        <f>V283-M283</f>
        <v>7.8700000000000045</v>
      </c>
      <c r="P283" s="16">
        <f>N283/L283</f>
        <v>1.1798863636363637</v>
      </c>
      <c r="Q283" s="14">
        <v>48330</v>
      </c>
      <c r="R283" s="14"/>
      <c r="S283" s="17">
        <v>0.55115499999999995</v>
      </c>
      <c r="T283" s="15">
        <v>40.97</v>
      </c>
      <c r="U283" s="15">
        <v>51.75</v>
      </c>
      <c r="V283" s="15">
        <v>48.84</v>
      </c>
      <c r="W283" s="14" t="s">
        <v>2845</v>
      </c>
      <c r="X283" s="14">
        <v>4</v>
      </c>
      <c r="Y283" s="10">
        <f>AC283-AB283</f>
        <v>1032</v>
      </c>
      <c r="Z283" s="18">
        <v>24</v>
      </c>
      <c r="AA283" s="18">
        <v>74</v>
      </c>
      <c r="AB283" s="18">
        <v>0</v>
      </c>
      <c r="AC283" s="18">
        <v>1032</v>
      </c>
      <c r="AD283" s="1" t="s">
        <v>2834</v>
      </c>
      <c r="AE283" s="1" t="s">
        <v>2835</v>
      </c>
      <c r="AF283" s="4">
        <v>6.96</v>
      </c>
      <c r="AG283" s="4">
        <v>6.05</v>
      </c>
    </row>
    <row r="284" spans="1:33" ht="47.25" customHeight="1" x14ac:dyDescent="0.25">
      <c r="A284" s="10" t="s">
        <v>3859</v>
      </c>
      <c r="B284" s="11" t="s">
        <v>33</v>
      </c>
      <c r="C284" s="12" t="s">
        <v>3860</v>
      </c>
      <c r="D284" s="27"/>
      <c r="E284" s="14" t="s">
        <v>35</v>
      </c>
      <c r="F284" s="11" t="str">
        <f>HYPERLINK("https://redirect.sdcdeals.com/redirect?destination=https%3A%2F%2Fwww.amazon.com%2Fdp%2FB0BGVQQCK7%3Fth%3D1%26psc%3D1%26tag%3Dsdcdeals03-20", "Amazon Link")</f>
        <v>Amazon Link</v>
      </c>
      <c r="G284" s="11" t="s">
        <v>36</v>
      </c>
      <c r="H284" s="14" t="s">
        <v>3861</v>
      </c>
      <c r="I284" s="11" t="str">
        <f>HYPERLINK("https://redirect.sdcdeals.com/redirect?code=763034&amp;mavely=https://mavely.app.link/e/bhESV2wGrGb&amp;destination=https%3A%2F%2Fwww.kohls.com%2Fsearch.jsp%3Fsubmit-search%3Dweb-regular%26search%3D37226372", "Retail Link")</f>
        <v>Retail Link</v>
      </c>
      <c r="J284" s="14" t="s">
        <v>3813</v>
      </c>
      <c r="K284" s="13" t="s">
        <v>3862</v>
      </c>
      <c r="L284" s="15">
        <v>12.6</v>
      </c>
      <c r="M284" s="15">
        <v>39.229999999999997</v>
      </c>
      <c r="N284" s="15">
        <v>14.845499999999999</v>
      </c>
      <c r="O284" s="15">
        <f>V284-M284</f>
        <v>0.92000000000000171</v>
      </c>
      <c r="P284" s="16">
        <f>N284/L284</f>
        <v>1.1782142857142857</v>
      </c>
      <c r="Q284" s="14">
        <v>617311</v>
      </c>
      <c r="R284" s="14"/>
      <c r="S284" s="17">
        <v>0.44092399999999998</v>
      </c>
      <c r="T284" s="15">
        <v>30.05</v>
      </c>
      <c r="U284" s="15">
        <v>43.42</v>
      </c>
      <c r="V284" s="15">
        <v>40.15</v>
      </c>
      <c r="W284" s="14" t="s">
        <v>981</v>
      </c>
      <c r="X284" s="14">
        <v>4</v>
      </c>
      <c r="Y284" s="10">
        <f>AC284-AB284</f>
        <v>0</v>
      </c>
      <c r="Z284" s="18">
        <v>14</v>
      </c>
      <c r="AA284" s="18">
        <v>44</v>
      </c>
      <c r="AB284" s="18">
        <v>0</v>
      </c>
      <c r="AC284" s="18"/>
      <c r="AD284" s="1" t="s">
        <v>3816</v>
      </c>
      <c r="AE284" s="1" t="s">
        <v>3822</v>
      </c>
      <c r="AF284" s="4">
        <v>6.67</v>
      </c>
      <c r="AG284" s="4">
        <v>5.9</v>
      </c>
    </row>
    <row r="285" spans="1:33" ht="47.25" hidden="1" customHeight="1" x14ac:dyDescent="0.25">
      <c r="A285" s="10" t="s">
        <v>2002</v>
      </c>
      <c r="B285" s="11" t="s">
        <v>33</v>
      </c>
      <c r="C285" s="12" t="s">
        <v>2003</v>
      </c>
      <c r="D285" s="27"/>
      <c r="E285" s="14" t="s">
        <v>35</v>
      </c>
      <c r="F285" s="11" t="str">
        <f>HYPERLINK("https://redirect.sdcdeals.com/redirect?destination=https%3A%2F%2Fwww.amazon.com%2Fdp%2FB0D1639NL6%3Fth%3D1%26psc%3D1%26tag%3Dsdcdeals03-20", "Amazon Link")</f>
        <v>Amazon Link</v>
      </c>
      <c r="G285" s="11" t="s">
        <v>36</v>
      </c>
      <c r="H285" s="14" t="s">
        <v>2004</v>
      </c>
      <c r="I285" s="11" t="str">
        <f>HYPERLINK("https://redirect.sdcdeals.com/redirect?code=763034&amp;mavely=https://mavely.app.link/e/bhESV2wGrGb&amp;destination=https%3A%2F%2Fwww.kohls.com%2Fsearch.jsp%3Fsubmit-search%3Dweb-regular%26search%3D46587500", "Retail Link")</f>
        <v>Retail Link</v>
      </c>
      <c r="J285" s="14" t="s">
        <v>2005</v>
      </c>
      <c r="K285" s="13" t="s">
        <v>2006</v>
      </c>
      <c r="L285" s="15">
        <v>19.600000000000001</v>
      </c>
      <c r="M285" s="15">
        <v>59.85</v>
      </c>
      <c r="N285" s="15">
        <v>23.072500000000002</v>
      </c>
      <c r="O285" s="15">
        <f>V285-M285</f>
        <v>32.74</v>
      </c>
      <c r="P285" s="16">
        <f>N285/L285</f>
        <v>1.1771683673469389</v>
      </c>
      <c r="Q285" s="14"/>
      <c r="R285" s="14"/>
      <c r="S285" s="17">
        <v>2.46035592</v>
      </c>
      <c r="T285" s="15">
        <v>51.9</v>
      </c>
      <c r="U285" s="15">
        <v>92.59</v>
      </c>
      <c r="V285" s="15">
        <v>92.59</v>
      </c>
      <c r="W285" s="14" t="s">
        <v>981</v>
      </c>
      <c r="X285" s="14">
        <v>3</v>
      </c>
      <c r="Y285" s="10">
        <f>AC285-AB285</f>
        <v>0</v>
      </c>
      <c r="Z285" s="18">
        <v>-1</v>
      </c>
      <c r="AA285" s="18">
        <v>-1</v>
      </c>
      <c r="AB285" s="18"/>
      <c r="AC285" s="18"/>
      <c r="AE285" s="1" t="s">
        <v>2007</v>
      </c>
      <c r="AF285" s="4">
        <v>10.17</v>
      </c>
      <c r="AG285" s="4">
        <v>8.1999999999999993</v>
      </c>
    </row>
    <row r="286" spans="1:33" ht="47.25" hidden="1" customHeight="1" x14ac:dyDescent="0.25">
      <c r="A286" s="10" t="s">
        <v>2008</v>
      </c>
      <c r="B286" s="11" t="s">
        <v>33</v>
      </c>
      <c r="C286" s="12" t="s">
        <v>2009</v>
      </c>
      <c r="D286" s="27"/>
      <c r="E286" s="14" t="s">
        <v>35</v>
      </c>
      <c r="F286" s="11" t="str">
        <f>HYPERLINK("https://redirect.sdcdeals.com/redirect?destination=https%3A%2F%2Fwww.amazon.com%2Fdp%2FB0D163PF8B%3Fth%3D1%26psc%3D1%26tag%3Dsdcdeals03-20", "Amazon Link")</f>
        <v>Amazon Link</v>
      </c>
      <c r="G286" s="11" t="s">
        <v>36</v>
      </c>
      <c r="H286" s="14" t="s">
        <v>2010</v>
      </c>
      <c r="I286" s="11" t="str">
        <f>HYPERLINK("https://redirect.sdcdeals.com/redirect?code=763034&amp;mavely=https://mavely.app.link/e/bhESV2wGrGb&amp;destination=https%3A%2F%2Fwww.kohls.com%2Fsearch.jsp%3Fsubmit-search%3Dweb-regular%26search%3D46587502", "Retail Link")</f>
        <v>Retail Link</v>
      </c>
      <c r="J286" s="14" t="s">
        <v>2005</v>
      </c>
      <c r="K286" s="13" t="s">
        <v>2006</v>
      </c>
      <c r="L286" s="15">
        <v>19.600000000000001</v>
      </c>
      <c r="M286" s="15">
        <v>59.85</v>
      </c>
      <c r="N286" s="15">
        <v>23.072500000000002</v>
      </c>
      <c r="O286" s="15">
        <f>V286-M286</f>
        <v>28.43</v>
      </c>
      <c r="P286" s="16">
        <f>N286/L286</f>
        <v>1.1771683673469389</v>
      </c>
      <c r="Q286" s="14"/>
      <c r="R286" s="14"/>
      <c r="S286" s="17">
        <v>2.46035592</v>
      </c>
      <c r="T286" s="15">
        <v>51.9</v>
      </c>
      <c r="U286" s="15">
        <v>88.28</v>
      </c>
      <c r="V286" s="15">
        <v>88.28</v>
      </c>
      <c r="W286" s="14" t="s">
        <v>342</v>
      </c>
      <c r="X286" s="14">
        <v>3</v>
      </c>
      <c r="Y286" s="10">
        <f>AC286-AB286</f>
        <v>0</v>
      </c>
      <c r="Z286" s="18">
        <v>0</v>
      </c>
      <c r="AA286" s="18">
        <v>0</v>
      </c>
      <c r="AB286" s="18"/>
      <c r="AC286" s="18"/>
      <c r="AE286" s="1" t="s">
        <v>2007</v>
      </c>
      <c r="AF286" s="4">
        <v>10.17</v>
      </c>
      <c r="AG286" s="4">
        <v>8.1999999999999993</v>
      </c>
    </row>
    <row r="287" spans="1:33" ht="47.25" hidden="1" customHeight="1" x14ac:dyDescent="0.25">
      <c r="A287" s="10" t="s">
        <v>2759</v>
      </c>
      <c r="B287" s="11" t="s">
        <v>33</v>
      </c>
      <c r="C287" s="12" t="s">
        <v>2760</v>
      </c>
      <c r="D287" s="27"/>
      <c r="E287" s="14" t="s">
        <v>35</v>
      </c>
      <c r="F287" s="11" t="str">
        <f>HYPERLINK("https://redirect.sdcdeals.com/redirect?destination=https%3A%2F%2Fwww.amazon.com%2Fdp%2FB0CCC1ZZM4%3Fth%3D1%26psc%3D1%26tag%3Dsdcdeals03-20", "Amazon Link")</f>
        <v>Amazon Link</v>
      </c>
      <c r="G287" s="11" t="s">
        <v>36</v>
      </c>
      <c r="H287" s="14" t="s">
        <v>2761</v>
      </c>
      <c r="I287" s="11" t="str">
        <f>HYPERLINK("https://redirect.sdcdeals.com/redirect?code=763034&amp;mavely=https://mavely.app.link/e/bhESV2wGrGb&amp;destination=https%3A%2F%2Fwww.kohls.com%2Fsearch.jsp%3Fsubmit-search%3Dweb-regular%26search%3D29746923", "Retail Link")</f>
        <v>Retail Link</v>
      </c>
      <c r="J287" s="14" t="s">
        <v>2705</v>
      </c>
      <c r="K287" s="13" t="s">
        <v>2717</v>
      </c>
      <c r="L287" s="15">
        <v>13.2</v>
      </c>
      <c r="M287" s="15">
        <v>41.8</v>
      </c>
      <c r="N287" s="15">
        <v>15.5</v>
      </c>
      <c r="O287" s="15">
        <f>V287-M287</f>
        <v>-13.179999999999996</v>
      </c>
      <c r="P287" s="16">
        <f>N287/L287</f>
        <v>1.1742424242424243</v>
      </c>
      <c r="Q287" s="14"/>
      <c r="R287" s="14"/>
      <c r="S287" s="17">
        <v>0.8487787</v>
      </c>
      <c r="T287" s="15">
        <v>41.8</v>
      </c>
      <c r="U287" s="15">
        <v>36.1</v>
      </c>
      <c r="V287" s="15">
        <v>28.62</v>
      </c>
      <c r="W287" s="14" t="s">
        <v>2762</v>
      </c>
      <c r="X287" s="14">
        <v>2</v>
      </c>
      <c r="Y287" s="10">
        <f>AC287-AB287</f>
        <v>2</v>
      </c>
      <c r="Z287" s="18">
        <v>-1</v>
      </c>
      <c r="AA287" s="18">
        <v>-1</v>
      </c>
      <c r="AB287" s="18"/>
      <c r="AC287" s="18">
        <v>2</v>
      </c>
      <c r="AD287" s="1" t="s">
        <v>2718</v>
      </c>
      <c r="AE287" s="1" t="s">
        <v>2719</v>
      </c>
      <c r="AF287" s="4">
        <v>7.11</v>
      </c>
      <c r="AG287" s="4">
        <v>6.83</v>
      </c>
    </row>
    <row r="288" spans="1:33" ht="47.25" customHeight="1" x14ac:dyDescent="0.25">
      <c r="A288" s="10" t="s">
        <v>3837</v>
      </c>
      <c r="B288" s="11" t="s">
        <v>33</v>
      </c>
      <c r="C288" s="12" t="s">
        <v>3838</v>
      </c>
      <c r="D288" s="27"/>
      <c r="E288" s="14" t="s">
        <v>35</v>
      </c>
      <c r="F288" s="11" t="str">
        <f>HYPERLINK("https://redirect.sdcdeals.com/redirect?destination=https%3A%2F%2Fwww.amazon.com%2Fdp%2FB0BGW5XF7V%3Fth%3D1%26psc%3D1%26tag%3Dsdcdeals03-20", "Amazon Link")</f>
        <v>Amazon Link</v>
      </c>
      <c r="G288" s="11" t="s">
        <v>36</v>
      </c>
      <c r="H288" s="14" t="s">
        <v>3839</v>
      </c>
      <c r="I288" s="11" t="str">
        <f>HYPERLINK("https://redirect.sdcdeals.com/redirect?code=763034&amp;mavely=https://mavely.app.link/e/bhESV2wGrGb&amp;destination=https%3A%2F%2Fwww.kohls.com%2Fsearch.jsp%3Fsubmit-search%3Dweb-regular%26search%3D37226379", "Retail Link")</f>
        <v>Retail Link</v>
      </c>
      <c r="J288" s="14" t="s">
        <v>3813</v>
      </c>
      <c r="K288" s="13" t="s">
        <v>3840</v>
      </c>
      <c r="L288" s="15">
        <v>12.6</v>
      </c>
      <c r="M288" s="15">
        <v>39.17</v>
      </c>
      <c r="N288" s="15">
        <v>14.794499999999999</v>
      </c>
      <c r="O288" s="15">
        <f>V288-M288</f>
        <v>-4.6600000000000037</v>
      </c>
      <c r="P288" s="16">
        <f>N288/L288</f>
        <v>1.1741666666666666</v>
      </c>
      <c r="Q288" s="14">
        <v>617311</v>
      </c>
      <c r="R288" s="14"/>
      <c r="S288" s="17">
        <v>0.35273919999999997</v>
      </c>
      <c r="T288" s="15">
        <v>30.05</v>
      </c>
      <c r="U288" s="15">
        <v>39.729999999999997</v>
      </c>
      <c r="V288" s="15">
        <v>34.51</v>
      </c>
      <c r="W288" s="14" t="s">
        <v>3841</v>
      </c>
      <c r="X288" s="14">
        <v>3</v>
      </c>
      <c r="Y288" s="10">
        <f>AC288-AB288</f>
        <v>0</v>
      </c>
      <c r="Z288" s="18">
        <v>12</v>
      </c>
      <c r="AA288" s="18">
        <v>34</v>
      </c>
      <c r="AB288" s="18">
        <v>0</v>
      </c>
      <c r="AC288" s="18"/>
      <c r="AD288" s="1" t="s">
        <v>3816</v>
      </c>
      <c r="AE288" s="1" t="s">
        <v>3817</v>
      </c>
      <c r="AF288" s="4">
        <v>6.66</v>
      </c>
      <c r="AG288" s="4">
        <v>5.9</v>
      </c>
    </row>
    <row r="289" spans="1:33" ht="47.25" customHeight="1" x14ac:dyDescent="0.25">
      <c r="A289" s="10" t="s">
        <v>2836</v>
      </c>
      <c r="B289" s="11" t="s">
        <v>33</v>
      </c>
      <c r="C289" s="12" t="s">
        <v>2837</v>
      </c>
      <c r="D289" s="27"/>
      <c r="E289" s="14" t="s">
        <v>35</v>
      </c>
      <c r="F289" s="11" t="str">
        <f>HYPERLINK("https://redirect.sdcdeals.com/redirect?destination=https%3A%2F%2Fwww.amazon.com%2Fdp%2FB0BGVMHCPH%3Fth%3D1%26psc%3D1%26tag%3Dsdcdeals03-20", "Amazon Link")</f>
        <v>Amazon Link</v>
      </c>
      <c r="G289" s="11" t="s">
        <v>36</v>
      </c>
      <c r="H289" s="14" t="s">
        <v>2838</v>
      </c>
      <c r="I289" s="11" t="str">
        <f>HYPERLINK("https://redirect.sdcdeals.com/redirect?code=763034&amp;mavely=https://mavely.app.link/e/bhESV2wGrGb&amp;destination=https%3A%2F%2Fwww.kohls.com%2Fsearch.jsp%3Fsubmit-search%3Dweb-regular%26search%3D28218924", "Retail Link")</f>
        <v>Retail Link</v>
      </c>
      <c r="J289" s="14" t="s">
        <v>2832</v>
      </c>
      <c r="K289" s="13" t="s">
        <v>2839</v>
      </c>
      <c r="L289" s="15">
        <v>13.2</v>
      </c>
      <c r="M289" s="15">
        <v>40.97</v>
      </c>
      <c r="N289" s="15">
        <v>15.484500000000001</v>
      </c>
      <c r="O289" s="15">
        <f>V289-M289</f>
        <v>2.3700000000000045</v>
      </c>
      <c r="P289" s="16">
        <f>N289/L289</f>
        <v>1.1730681818181818</v>
      </c>
      <c r="Q289" s="14">
        <v>48330</v>
      </c>
      <c r="R289" s="14"/>
      <c r="S289" s="17">
        <v>0.52910880000000005</v>
      </c>
      <c r="T289" s="15">
        <v>40.97</v>
      </c>
      <c r="U289" s="15">
        <v>41.78</v>
      </c>
      <c r="V289" s="15">
        <v>43.34</v>
      </c>
      <c r="W289" s="14" t="s">
        <v>1874</v>
      </c>
      <c r="X289" s="14">
        <v>4</v>
      </c>
      <c r="Y289" s="10">
        <f>AC289-AB289</f>
        <v>1032</v>
      </c>
      <c r="Z289" s="18">
        <v>36</v>
      </c>
      <c r="AA289" s="18">
        <v>85</v>
      </c>
      <c r="AB289" s="18">
        <v>0</v>
      </c>
      <c r="AC289" s="18">
        <v>1032</v>
      </c>
      <c r="AD289" s="1" t="s">
        <v>2834</v>
      </c>
      <c r="AE289" s="1" t="s">
        <v>2840</v>
      </c>
      <c r="AF289" s="4">
        <v>6.96</v>
      </c>
      <c r="AG289" s="4">
        <v>6.14</v>
      </c>
    </row>
    <row r="290" spans="1:33" ht="47.25" customHeight="1" x14ac:dyDescent="0.25">
      <c r="A290" s="10" t="s">
        <v>2846</v>
      </c>
      <c r="B290" s="11" t="s">
        <v>33</v>
      </c>
      <c r="C290" s="12" t="s">
        <v>2847</v>
      </c>
      <c r="D290" s="27"/>
      <c r="E290" s="14" t="s">
        <v>35</v>
      </c>
      <c r="F290" s="11" t="str">
        <f>HYPERLINK("https://redirect.sdcdeals.com/redirect?destination=https%3A%2F%2Fwww.amazon.com%2Fdp%2FB0BGVWSKFH%3Fth%3D1%26psc%3D1%26tag%3Dsdcdeals03-20", "Amazon Link")</f>
        <v>Amazon Link</v>
      </c>
      <c r="G290" s="11" t="s">
        <v>36</v>
      </c>
      <c r="H290" s="14" t="s">
        <v>2848</v>
      </c>
      <c r="I290" s="11" t="str">
        <f>HYPERLINK("https://redirect.sdcdeals.com/redirect?code=763034&amp;mavely=https://mavely.app.link/e/bhESV2wGrGb&amp;destination=https%3A%2F%2Fwww.kohls.com%2Fsearch.jsp%3Fsubmit-search%3Dweb-regular%26search%3D28218925", "Retail Link")</f>
        <v>Retail Link</v>
      </c>
      <c r="J290" s="14" t="s">
        <v>2832</v>
      </c>
      <c r="K290" s="13" t="s">
        <v>2849</v>
      </c>
      <c r="L290" s="15">
        <v>13.2</v>
      </c>
      <c r="M290" s="15">
        <v>40.97</v>
      </c>
      <c r="N290" s="15">
        <v>15.484500000000001</v>
      </c>
      <c r="O290" s="15">
        <f>V290-M290</f>
        <v>5.980000000000004</v>
      </c>
      <c r="P290" s="16">
        <f>N290/L290</f>
        <v>1.1730681818181818</v>
      </c>
      <c r="Q290" s="14">
        <v>50398</v>
      </c>
      <c r="R290" s="14"/>
      <c r="S290" s="17">
        <v>0.59965663999999996</v>
      </c>
      <c r="T290" s="15">
        <v>40.97</v>
      </c>
      <c r="U290" s="15">
        <v>48.05</v>
      </c>
      <c r="V290" s="15">
        <v>46.95</v>
      </c>
      <c r="W290" s="14" t="s">
        <v>2850</v>
      </c>
      <c r="X290" s="14">
        <v>4</v>
      </c>
      <c r="Y290" s="10">
        <f>AC290-AB290</f>
        <v>1032</v>
      </c>
      <c r="Z290" s="18">
        <v>22</v>
      </c>
      <c r="AA290" s="18">
        <v>74</v>
      </c>
      <c r="AB290" s="18">
        <v>0</v>
      </c>
      <c r="AC290" s="18">
        <v>1032</v>
      </c>
      <c r="AD290" s="1" t="s">
        <v>2834</v>
      </c>
      <c r="AE290" s="1" t="s">
        <v>2840</v>
      </c>
      <c r="AF290" s="4">
        <v>6.96</v>
      </c>
      <c r="AG290" s="4">
        <v>6.14</v>
      </c>
    </row>
    <row r="291" spans="1:33" ht="47.25" customHeight="1" x14ac:dyDescent="0.25">
      <c r="A291" s="10" t="s">
        <v>2011</v>
      </c>
      <c r="B291" s="11" t="s">
        <v>33</v>
      </c>
      <c r="C291" s="12" t="s">
        <v>2012</v>
      </c>
      <c r="D291" s="27"/>
      <c r="E291" s="14" t="s">
        <v>35</v>
      </c>
      <c r="F291" s="11" t="str">
        <f>HYPERLINK("https://redirect.sdcdeals.com/redirect?destination=https%3A%2F%2Fwww.amazon.com%2Fdp%2FB0942PKD85%3Fth%3D1%26psc%3D1%26tag%3Dsdcdeals03-20", "Amazon Link")</f>
        <v>Amazon Link</v>
      </c>
      <c r="G291" s="11" t="s">
        <v>36</v>
      </c>
      <c r="H291" s="14" t="s">
        <v>2013</v>
      </c>
      <c r="I291" s="11" t="str">
        <f>HYPERLINK("https://redirect.sdcdeals.com/redirect?code=763034&amp;mavely=https://mavely.app.link/e/bhESV2wGrGb&amp;destination=https%3A%2F%2Fwww.kohls.com%2Fsearch.jsp%3Fsubmit-search%3Dweb-regular%26search%3D46568052", "Retail Link")</f>
        <v>Retail Link</v>
      </c>
      <c r="J291" s="14" t="s">
        <v>2014</v>
      </c>
      <c r="K291" s="13" t="s">
        <v>2015</v>
      </c>
      <c r="L291" s="15">
        <v>13</v>
      </c>
      <c r="M291" s="15">
        <v>41.49</v>
      </c>
      <c r="N291" s="15">
        <v>15.246499999999999</v>
      </c>
      <c r="O291" s="15">
        <f>V291-M291</f>
        <v>8.3299999999999983</v>
      </c>
      <c r="P291" s="16">
        <f>N291/L291</f>
        <v>1.1728076923076922</v>
      </c>
      <c r="Q291" s="14">
        <v>50737</v>
      </c>
      <c r="R291" s="14"/>
      <c r="S291" s="17">
        <v>0.78925396000000003</v>
      </c>
      <c r="T291" s="15">
        <v>30.85</v>
      </c>
      <c r="U291" s="15">
        <v>49.7</v>
      </c>
      <c r="V291" s="15">
        <v>49.82</v>
      </c>
      <c r="W291" s="14" t="s">
        <v>301</v>
      </c>
      <c r="X291" s="14">
        <v>3</v>
      </c>
      <c r="Y291" s="10">
        <f>AC291-AB291</f>
        <v>0</v>
      </c>
      <c r="Z291" s="18">
        <v>39</v>
      </c>
      <c r="AA291" s="18">
        <v>99</v>
      </c>
      <c r="AB291" s="18">
        <v>26</v>
      </c>
      <c r="AC291" s="18">
        <v>26</v>
      </c>
      <c r="AD291" s="1" t="s">
        <v>2016</v>
      </c>
      <c r="AE291" s="1" t="s">
        <v>2017</v>
      </c>
      <c r="AF291" s="4">
        <v>7.05</v>
      </c>
      <c r="AG291" s="4">
        <v>7.02</v>
      </c>
    </row>
    <row r="292" spans="1:33" ht="47.25" customHeight="1" x14ac:dyDescent="0.25">
      <c r="A292" s="10" t="s">
        <v>4878</v>
      </c>
      <c r="B292" s="11" t="s">
        <v>33</v>
      </c>
      <c r="C292" s="12" t="s">
        <v>4879</v>
      </c>
      <c r="D292" s="27"/>
      <c r="E292" s="14" t="s">
        <v>35</v>
      </c>
      <c r="F292" s="11" t="str">
        <f>HYPERLINK("https://redirect.sdcdeals.com/redirect?destination=https%3A%2F%2Fwww.amazon.com%2Fdp%2FB0BJ7TJDR3%3Fth%3D1%26psc%3D1%26tag%3Dsdcdeals03-20", "Amazon Link")</f>
        <v>Amazon Link</v>
      </c>
      <c r="G292" s="11" t="s">
        <v>36</v>
      </c>
      <c r="H292" s="14" t="s">
        <v>4880</v>
      </c>
      <c r="I292" s="11" t="str">
        <f>HYPERLINK("https://redirect.sdcdeals.com/redirect?code=763034&amp;mavely=https://mavely.app.link/e/bhESV2wGrGb&amp;destination=https%3A%2F%2Fwww.kohls.com%2Fsearch.jsp%3Fsubmit-search%3Dweb-regular%26search%3D78619885", "Retail Link")</f>
        <v>Retail Link</v>
      </c>
      <c r="J292" s="14" t="s">
        <v>4881</v>
      </c>
      <c r="K292" s="13" t="s">
        <v>4882</v>
      </c>
      <c r="L292" s="15">
        <v>15.6</v>
      </c>
      <c r="M292" s="15">
        <v>46.77</v>
      </c>
      <c r="N292" s="15">
        <v>18.2545</v>
      </c>
      <c r="O292" s="15">
        <f>V292-M292</f>
        <v>4.8999999999999986</v>
      </c>
      <c r="P292" s="16">
        <f>N292/L292</f>
        <v>1.1701602564102564</v>
      </c>
      <c r="Q292" s="14">
        <v>152422</v>
      </c>
      <c r="R292" s="14"/>
      <c r="S292" s="17">
        <v>0.87964337999999997</v>
      </c>
      <c r="T292" s="15">
        <v>45.97</v>
      </c>
      <c r="U292" s="15">
        <v>57.42</v>
      </c>
      <c r="V292" s="15">
        <v>51.67</v>
      </c>
      <c r="W292" s="14" t="s">
        <v>113</v>
      </c>
      <c r="X292" s="14">
        <v>3</v>
      </c>
      <c r="Y292" s="10">
        <f>AC292-AB292</f>
        <v>0</v>
      </c>
      <c r="Z292" s="18">
        <v>25</v>
      </c>
      <c r="AA292" s="18">
        <v>57</v>
      </c>
      <c r="AB292" s="18">
        <v>0</v>
      </c>
      <c r="AC292" s="18"/>
      <c r="AD292" s="1" t="s">
        <v>4883</v>
      </c>
      <c r="AE292" s="1" t="s">
        <v>4884</v>
      </c>
      <c r="AF292" s="4">
        <v>7.95</v>
      </c>
      <c r="AG292" s="4">
        <v>5.9</v>
      </c>
    </row>
    <row r="293" spans="1:33" ht="47.25" customHeight="1" x14ac:dyDescent="0.25">
      <c r="A293" s="10" t="s">
        <v>3989</v>
      </c>
      <c r="B293" s="11" t="s">
        <v>33</v>
      </c>
      <c r="C293" s="12" t="s">
        <v>3990</v>
      </c>
      <c r="D293" s="27"/>
      <c r="E293" s="14" t="s">
        <v>35</v>
      </c>
      <c r="F293" s="11" t="str">
        <f>HYPERLINK("https://redirect.sdcdeals.com/redirect?destination=https%3A%2F%2Fwww.amazon.com%2Fdp%2FB0BZDVG7QB%3Fth%3D1%26psc%3D1%26tag%3Dsdcdeals03-20", "Amazon Link")</f>
        <v>Amazon Link</v>
      </c>
      <c r="G293" s="11" t="s">
        <v>36</v>
      </c>
      <c r="H293" s="14" t="s">
        <v>3991</v>
      </c>
      <c r="I293" s="11" t="str">
        <f>HYPERLINK("https://redirect.sdcdeals.com/redirect?code=763034&amp;mavely=https://mavely.app.link/e/bhESV2wGrGb&amp;destination=https%3A%2F%2Fwww.kohls.com%2Fsearch.jsp%3Fsubmit-search%3Dweb-regular%26search%3D18760732", "Retail Link")</f>
        <v>Retail Link</v>
      </c>
      <c r="J293" s="14" t="s">
        <v>3942</v>
      </c>
      <c r="K293" s="13" t="s">
        <v>3948</v>
      </c>
      <c r="L293" s="15">
        <v>12.48</v>
      </c>
      <c r="M293" s="15">
        <v>40.31</v>
      </c>
      <c r="N293" s="15">
        <v>14.6035</v>
      </c>
      <c r="O293" s="15">
        <f>V293-M293</f>
        <v>4.2299999999999969</v>
      </c>
      <c r="P293" s="16">
        <f>N293/L293</f>
        <v>1.1701522435897436</v>
      </c>
      <c r="Q293" s="14">
        <v>109841</v>
      </c>
      <c r="R293" s="14"/>
      <c r="S293" s="17">
        <v>1.6203957</v>
      </c>
      <c r="T293" s="15">
        <v>40.31</v>
      </c>
      <c r="U293" s="15">
        <v>45.93</v>
      </c>
      <c r="V293" s="15">
        <v>44.54</v>
      </c>
      <c r="W293" s="14" t="s">
        <v>1459</v>
      </c>
      <c r="X293" s="14">
        <v>1</v>
      </c>
      <c r="Y293" s="10">
        <f>AC293-AB293</f>
        <v>823</v>
      </c>
      <c r="Z293" s="18">
        <v>30</v>
      </c>
      <c r="AA293" s="18">
        <v>88</v>
      </c>
      <c r="AB293" s="18">
        <v>0</v>
      </c>
      <c r="AC293" s="18">
        <v>823</v>
      </c>
      <c r="AD293" s="1" t="s">
        <v>2991</v>
      </c>
      <c r="AE293" s="1" t="s">
        <v>3949</v>
      </c>
      <c r="AF293" s="4">
        <v>6.85</v>
      </c>
      <c r="AG293" s="4">
        <v>7.18</v>
      </c>
    </row>
    <row r="294" spans="1:33" ht="47.25" customHeight="1" x14ac:dyDescent="0.25">
      <c r="A294" s="10" t="s">
        <v>3354</v>
      </c>
      <c r="B294" s="11" t="s">
        <v>33</v>
      </c>
      <c r="C294" s="12" t="s">
        <v>3355</v>
      </c>
      <c r="D294" s="27"/>
      <c r="E294" s="14" t="s">
        <v>35</v>
      </c>
      <c r="F294" s="11" t="str">
        <f>HYPERLINK("https://redirect.sdcdeals.com/redirect?destination=https%3A%2F%2Fwww.amazon.com%2Fdp%2FB0BKR1V2T9%3Fth%3D1%26psc%3D1%26tag%3Dsdcdeals03-20", "Amazon Link")</f>
        <v>Amazon Link</v>
      </c>
      <c r="G294" s="11" t="s">
        <v>36</v>
      </c>
      <c r="H294" s="14" t="s">
        <v>3356</v>
      </c>
      <c r="I294" s="11" t="str">
        <f>HYPERLINK("https://redirect.sdcdeals.com/redirect?code=763034&amp;mavely=https://mavely.app.link/e/bhESV2wGrGb&amp;destination=https%3A%2F%2Fwww.kohls.com%2Fsearch.jsp%3Fsubmit-search%3Dweb-regular%26search%3D75541538", "Retail Link")</f>
        <v>Retail Link</v>
      </c>
      <c r="J294" s="14" t="s">
        <v>3318</v>
      </c>
      <c r="K294" s="13" t="s">
        <v>3357</v>
      </c>
      <c r="L294" s="15">
        <v>39.6</v>
      </c>
      <c r="M294" s="15">
        <v>118.57</v>
      </c>
      <c r="N294" s="15">
        <v>46.2545</v>
      </c>
      <c r="O294" s="15">
        <f>V294-M294</f>
        <v>-7.5999999999999943</v>
      </c>
      <c r="P294" s="16">
        <f>N294/L294</f>
        <v>1.1680429292929293</v>
      </c>
      <c r="Q294" s="14">
        <v>517001</v>
      </c>
      <c r="R294" s="14"/>
      <c r="S294" s="17">
        <v>2.6499532399999999</v>
      </c>
      <c r="T294" s="15">
        <v>105.15</v>
      </c>
      <c r="U294" s="15">
        <v>117.21</v>
      </c>
      <c r="V294" s="15">
        <v>110.97</v>
      </c>
      <c r="W294" s="14" t="s">
        <v>199</v>
      </c>
      <c r="X294" s="14">
        <v>3</v>
      </c>
      <c r="Y294" s="10">
        <f>AC294-AB294</f>
        <v>15</v>
      </c>
      <c r="Z294" s="18">
        <v>12</v>
      </c>
      <c r="AA294" s="18">
        <v>37</v>
      </c>
      <c r="AB294" s="18">
        <v>0</v>
      </c>
      <c r="AC294" s="18">
        <v>15</v>
      </c>
      <c r="AD294" s="1" t="s">
        <v>3320</v>
      </c>
      <c r="AE294" s="1" t="s">
        <v>2213</v>
      </c>
      <c r="AF294" s="4">
        <v>20.16</v>
      </c>
      <c r="AG294" s="4">
        <v>14.93</v>
      </c>
    </row>
    <row r="295" spans="1:33" ht="47.25" customHeight="1" x14ac:dyDescent="0.25">
      <c r="A295" s="10" t="s">
        <v>3810</v>
      </c>
      <c r="B295" s="11" t="s">
        <v>33</v>
      </c>
      <c r="C295" s="12" t="s">
        <v>3811</v>
      </c>
      <c r="D295" s="27"/>
      <c r="E295" s="14" t="s">
        <v>35</v>
      </c>
      <c r="F295" s="11" t="str">
        <f>HYPERLINK("https://redirect.sdcdeals.com/redirect?destination=https%3A%2F%2Fwww.amazon.com%2Fdp%2FB0BGVLQTT4%3Fth%3D1%26psc%3D1%26tag%3Dsdcdeals03-20", "Amazon Link")</f>
        <v>Amazon Link</v>
      </c>
      <c r="G295" s="11" t="s">
        <v>36</v>
      </c>
      <c r="H295" s="14" t="s">
        <v>3812</v>
      </c>
      <c r="I295" s="11" t="str">
        <f>HYPERLINK("https://redirect.sdcdeals.com/redirect?code=763034&amp;mavely=https://mavely.app.link/e/bhESV2wGrGb&amp;destination=https%3A%2F%2Fwww.kohls.com%2Fsearch.jsp%3Fsubmit-search%3Dweb-regular%26search%3D37226373", "Retail Link")</f>
        <v>Retail Link</v>
      </c>
      <c r="J295" s="14" t="s">
        <v>3813</v>
      </c>
      <c r="K295" s="13" t="s">
        <v>3814</v>
      </c>
      <c r="L295" s="15">
        <v>12.6</v>
      </c>
      <c r="M295" s="15">
        <v>39.049999999999997</v>
      </c>
      <c r="N295" s="15">
        <v>14.692500000000001</v>
      </c>
      <c r="O295" s="15">
        <f>V295-M295</f>
        <v>-1.4699999999999989</v>
      </c>
      <c r="P295" s="16">
        <f>N295/L295</f>
        <v>1.1660714285714286</v>
      </c>
      <c r="Q295" s="14">
        <v>617311</v>
      </c>
      <c r="R295" s="14"/>
      <c r="S295" s="17">
        <v>0.3086468</v>
      </c>
      <c r="T295" s="15">
        <v>30.05</v>
      </c>
      <c r="U295" s="15">
        <v>40.42</v>
      </c>
      <c r="V295" s="15">
        <v>37.58</v>
      </c>
      <c r="W295" s="14" t="s">
        <v>3815</v>
      </c>
      <c r="X295" s="14">
        <v>2</v>
      </c>
      <c r="Y295" s="10">
        <f>AC295-AB295</f>
        <v>0</v>
      </c>
      <c r="Z295" s="18">
        <v>11</v>
      </c>
      <c r="AA295" s="18">
        <v>35</v>
      </c>
      <c r="AB295" s="18">
        <v>0</v>
      </c>
      <c r="AC295" s="18"/>
      <c r="AD295" s="1" t="s">
        <v>3816</v>
      </c>
      <c r="AE295" s="1" t="s">
        <v>3817</v>
      </c>
      <c r="AF295" s="4">
        <v>6.64</v>
      </c>
      <c r="AG295" s="4">
        <v>5.9</v>
      </c>
    </row>
    <row r="296" spans="1:33" ht="47.25" customHeight="1" x14ac:dyDescent="0.25">
      <c r="A296" s="10" t="s">
        <v>3526</v>
      </c>
      <c r="B296" s="11" t="s">
        <v>33</v>
      </c>
      <c r="C296" s="12" t="s">
        <v>3527</v>
      </c>
      <c r="D296" s="27"/>
      <c r="E296" s="14" t="s">
        <v>35</v>
      </c>
      <c r="F296" s="11" t="str">
        <f>HYPERLINK("https://redirect.sdcdeals.com/redirect?destination=https%3A%2F%2Fwww.amazon.com%2Fdp%2FB0BKR19VXK%3Fth%3D1%26psc%3D1%26tag%3Dsdcdeals03-20", "Amazon Link")</f>
        <v>Amazon Link</v>
      </c>
      <c r="G296" s="11" t="s">
        <v>36</v>
      </c>
      <c r="H296" s="14" t="s">
        <v>3528</v>
      </c>
      <c r="I296" s="11" t="str">
        <f>HYPERLINK("https://redirect.sdcdeals.com/redirect?code=763034&amp;mavely=https://mavely.app.link/e/bhESV2wGrGb&amp;destination=https%3A%2F%2Fwww.kohls.com%2Fsearch.jsp%3Fsubmit-search%3Dweb-regular%26search%3D58450455", "Retail Link")</f>
        <v>Retail Link</v>
      </c>
      <c r="J296" s="14" t="s">
        <v>3497</v>
      </c>
      <c r="K296" s="13" t="s">
        <v>3529</v>
      </c>
      <c r="L296" s="15">
        <v>24</v>
      </c>
      <c r="M296" s="15">
        <v>76.040000000000006</v>
      </c>
      <c r="N296" s="15">
        <v>27.984000000000002</v>
      </c>
      <c r="O296" s="15">
        <f>V296-M296</f>
        <v>-41.52</v>
      </c>
      <c r="P296" s="16">
        <f>N296/L296</f>
        <v>1.1660000000000001</v>
      </c>
      <c r="Q296" s="14">
        <v>826894</v>
      </c>
      <c r="R296" s="14"/>
      <c r="S296" s="17">
        <v>0.81570940000000003</v>
      </c>
      <c r="T296" s="15">
        <v>76.040000000000006</v>
      </c>
      <c r="U296" s="15">
        <v>34.520000000000003</v>
      </c>
      <c r="V296" s="15">
        <v>34.520000000000003</v>
      </c>
      <c r="W296" s="14" t="s">
        <v>436</v>
      </c>
      <c r="X296" s="14">
        <v>2</v>
      </c>
      <c r="Y296" s="10">
        <f>AC296-AB296</f>
        <v>7</v>
      </c>
      <c r="Z296" s="18">
        <v>11</v>
      </c>
      <c r="AA296" s="18">
        <v>41</v>
      </c>
      <c r="AB296" s="18">
        <v>0</v>
      </c>
      <c r="AC296" s="18">
        <v>7</v>
      </c>
      <c r="AD296" s="1" t="s">
        <v>3499</v>
      </c>
      <c r="AE296" s="1" t="s">
        <v>3530</v>
      </c>
      <c r="AG296" s="4">
        <v>12.65</v>
      </c>
    </row>
    <row r="297" spans="1:33" ht="47.25" customHeight="1" x14ac:dyDescent="0.25">
      <c r="A297" s="10" t="s">
        <v>7479</v>
      </c>
      <c r="B297" s="11" t="s">
        <v>33</v>
      </c>
      <c r="C297" s="12" t="s">
        <v>7480</v>
      </c>
      <c r="D297" s="27"/>
      <c r="E297" s="14" t="s">
        <v>35</v>
      </c>
      <c r="F297" s="11" t="str">
        <f>HYPERLINK("https://redirect.sdcdeals.com/redirect?destination=https%3A%2F%2Fwww.amazon.com%2Fdp%2FB0BKQYJKSY%3Fth%3D1%26psc%3D1%26tag%3Dsdcdeals03-20", "Amazon Link")</f>
        <v>Amazon Link</v>
      </c>
      <c r="G297" s="11" t="s">
        <v>36</v>
      </c>
      <c r="H297" s="14" t="s">
        <v>7481</v>
      </c>
      <c r="I297" s="11" t="str">
        <f>HYPERLINK("https://redirect.sdcdeals.com/redirect?code=763034&amp;mavely=https://mavely.app.link/e/bhESV2wGrGb&amp;destination=https%3A%2F%2Fwww.kohls.com%2Fsearch.jsp%3Fsubmit-search%3Dweb-regular%26search%3D55628820", "Retail Link")</f>
        <v>Retail Link</v>
      </c>
      <c r="J297" s="14" t="s">
        <v>7447</v>
      </c>
      <c r="K297" s="13" t="s">
        <v>7482</v>
      </c>
      <c r="L297" s="15">
        <v>24</v>
      </c>
      <c r="M297" s="15">
        <v>76.040000000000006</v>
      </c>
      <c r="N297" s="15">
        <v>27.984000000000002</v>
      </c>
      <c r="O297" s="15">
        <f>V297-M297</f>
        <v>-32.800000000000004</v>
      </c>
      <c r="P297" s="16">
        <f>N297/L297</f>
        <v>1.1660000000000001</v>
      </c>
      <c r="Q297" s="14">
        <v>826894</v>
      </c>
      <c r="R297" s="14"/>
      <c r="S297" s="17">
        <v>1.0802638</v>
      </c>
      <c r="T297" s="15">
        <v>76.040000000000006</v>
      </c>
      <c r="U297" s="15">
        <v>37.380000000000003</v>
      </c>
      <c r="V297" s="15">
        <v>43.24</v>
      </c>
      <c r="W297" s="14" t="s">
        <v>296</v>
      </c>
      <c r="X297" s="14">
        <v>2</v>
      </c>
      <c r="Y297" s="10">
        <f>AC297-AB297</f>
        <v>8</v>
      </c>
      <c r="Z297" s="18">
        <v>14</v>
      </c>
      <c r="AA297" s="18">
        <v>39</v>
      </c>
      <c r="AB297" s="18">
        <v>0</v>
      </c>
      <c r="AC297" s="18">
        <v>8</v>
      </c>
      <c r="AD297" s="1" t="s">
        <v>7449</v>
      </c>
      <c r="AE297" s="1" t="s">
        <v>3500</v>
      </c>
      <c r="AG297" s="4">
        <v>12.65</v>
      </c>
    </row>
    <row r="298" spans="1:33" ht="47.25" customHeight="1" x14ac:dyDescent="0.25">
      <c r="A298" s="10" t="s">
        <v>7495</v>
      </c>
      <c r="B298" s="11" t="s">
        <v>33</v>
      </c>
      <c r="C298" s="12" t="s">
        <v>7496</v>
      </c>
      <c r="D298" s="27"/>
      <c r="E298" s="14" t="s">
        <v>35</v>
      </c>
      <c r="F298" s="11" t="str">
        <f>HYPERLINK("https://redirect.sdcdeals.com/redirect?destination=https%3A%2F%2Fwww.amazon.com%2Fdp%2FB0BKR3RSGM%3Fth%3D1%26psc%3D1%26tag%3Dsdcdeals03-20", "Amazon Link")</f>
        <v>Amazon Link</v>
      </c>
      <c r="G298" s="11" t="s">
        <v>36</v>
      </c>
      <c r="H298" s="14" t="s">
        <v>7497</v>
      </c>
      <c r="I298" s="11" t="str">
        <f>HYPERLINK("https://redirect.sdcdeals.com/redirect?code=763034&amp;mavely=https://mavely.app.link/e/bhESV2wGrGb&amp;destination=https%3A%2F%2Fwww.kohls.com%2Fsearch.jsp%3Fsubmit-search%3Dweb-regular%26search%3D55628808", "Retail Link")</f>
        <v>Retail Link</v>
      </c>
      <c r="J298" s="14" t="s">
        <v>7447</v>
      </c>
      <c r="K298" s="13" t="s">
        <v>7498</v>
      </c>
      <c r="L298" s="15">
        <v>24</v>
      </c>
      <c r="M298" s="15">
        <v>76.040000000000006</v>
      </c>
      <c r="N298" s="15">
        <v>27.984000000000002</v>
      </c>
      <c r="O298" s="15">
        <f>V298-M298</f>
        <v>-10.170000000000002</v>
      </c>
      <c r="P298" s="16">
        <f>N298/L298</f>
        <v>1.1660000000000001</v>
      </c>
      <c r="Q298" s="14">
        <v>826894</v>
      </c>
      <c r="R298" s="14"/>
      <c r="S298" s="17">
        <v>1.0141252000000001</v>
      </c>
      <c r="T298" s="15">
        <v>76.040000000000006</v>
      </c>
      <c r="U298" s="15">
        <v>70</v>
      </c>
      <c r="V298" s="15">
        <v>65.87</v>
      </c>
      <c r="W298" s="14" t="s">
        <v>659</v>
      </c>
      <c r="X298" s="14">
        <v>2</v>
      </c>
      <c r="Y298" s="10">
        <f>AC298-AB298</f>
        <v>5</v>
      </c>
      <c r="Z298" s="18">
        <v>4</v>
      </c>
      <c r="AA298" s="18">
        <v>23</v>
      </c>
      <c r="AB298" s="18">
        <v>0</v>
      </c>
      <c r="AC298" s="18">
        <v>5</v>
      </c>
      <c r="AD298" s="1" t="s">
        <v>7449</v>
      </c>
      <c r="AE298" s="1" t="s">
        <v>7454</v>
      </c>
      <c r="AG298" s="4">
        <v>12.65</v>
      </c>
    </row>
    <row r="299" spans="1:33" ht="47.25" customHeight="1" x14ac:dyDescent="0.25">
      <c r="A299" s="10" t="s">
        <v>4772</v>
      </c>
      <c r="B299" s="11" t="s">
        <v>33</v>
      </c>
      <c r="C299" s="12" t="s">
        <v>4773</v>
      </c>
      <c r="D299" s="27"/>
      <c r="E299" s="14" t="s">
        <v>35</v>
      </c>
      <c r="F299" s="11" t="str">
        <f>HYPERLINK("https://redirect.sdcdeals.com/redirect?destination=https%3A%2F%2Fwww.amazon.com%2Fdp%2FB09Z36DN81%3Fth%3D1%26psc%3D1%26tag%3Dsdcdeals03-20", "Amazon Link")</f>
        <v>Amazon Link</v>
      </c>
      <c r="G299" s="11" t="s">
        <v>36</v>
      </c>
      <c r="H299" s="14" t="s">
        <v>4774</v>
      </c>
      <c r="I299" s="11" t="str">
        <f>HYPERLINK("https://redirect.sdcdeals.com/redirect?code=763034&amp;mavely=https://mavely.app.link/e/bhESV2wGrGb&amp;destination=https%3A%2F%2Fwww.kohls.com%2Fsearch.jsp%3Fsubmit-search%3Dweb-regular%26search%3D37327323", "Retail Link")</f>
        <v>Retail Link</v>
      </c>
      <c r="J299" s="14" t="s">
        <v>4761</v>
      </c>
      <c r="K299" s="13" t="s">
        <v>4775</v>
      </c>
      <c r="L299" s="15">
        <v>13</v>
      </c>
      <c r="M299" s="15">
        <v>39.96</v>
      </c>
      <c r="N299" s="15">
        <v>15.066000000000001</v>
      </c>
      <c r="O299" s="15">
        <f>V299-M299</f>
        <v>5.5499999999999972</v>
      </c>
      <c r="P299" s="16">
        <f>N299/L299</f>
        <v>1.1589230769230769</v>
      </c>
      <c r="Q299" s="14">
        <v>273987</v>
      </c>
      <c r="R299" s="14"/>
      <c r="S299" s="17">
        <v>0.57099657999999998</v>
      </c>
      <c r="T299" s="15">
        <v>39.96</v>
      </c>
      <c r="U299" s="15">
        <v>39.67</v>
      </c>
      <c r="V299" s="15">
        <v>45.51</v>
      </c>
      <c r="W299" s="14" t="s">
        <v>277</v>
      </c>
      <c r="X299" s="14">
        <v>4</v>
      </c>
      <c r="Y299" s="10">
        <f>AC299-AB299</f>
        <v>9</v>
      </c>
      <c r="Z299" s="18">
        <v>20</v>
      </c>
      <c r="AA299" s="18">
        <v>56</v>
      </c>
      <c r="AB299" s="18">
        <v>0</v>
      </c>
      <c r="AC299" s="18">
        <v>9</v>
      </c>
      <c r="AD299" s="1" t="s">
        <v>4763</v>
      </c>
      <c r="AE299" s="1" t="s">
        <v>278</v>
      </c>
      <c r="AG299" s="4">
        <v>5.9</v>
      </c>
    </row>
    <row r="300" spans="1:33" ht="47.25" customHeight="1" x14ac:dyDescent="0.25">
      <c r="A300" s="10" t="s">
        <v>5386</v>
      </c>
      <c r="B300" s="11" t="s">
        <v>33</v>
      </c>
      <c r="C300" s="12" t="s">
        <v>5387</v>
      </c>
      <c r="D300" s="27"/>
      <c r="E300" s="14" t="s">
        <v>35</v>
      </c>
      <c r="F300" s="11" t="str">
        <f>HYPERLINK("https://redirect.sdcdeals.com/redirect?destination=https%3A%2F%2Fwww.amazon.com%2Fdp%2FB0B49NSJ62%3Fth%3D1%26psc%3D1%26tag%3Dsdcdeals03-20", "Amazon Link")</f>
        <v>Amazon Link</v>
      </c>
      <c r="G300" s="11" t="s">
        <v>36</v>
      </c>
      <c r="H300" s="14" t="s">
        <v>5388</v>
      </c>
      <c r="I300" s="11" t="str">
        <f>HYPERLINK("https://redirect.sdcdeals.com/redirect?code=763034&amp;mavely=https://mavely.app.link/e/bhESV2wGrGb&amp;destination=https%3A%2F%2Fwww.kohls.com%2Fsearch.jsp%3Fsubmit-search%3Dweb-regular%26search%3D45872361", "Retail Link")</f>
        <v>Retail Link</v>
      </c>
      <c r="J300" s="14" t="s">
        <v>5361</v>
      </c>
      <c r="K300" s="13" t="s">
        <v>5389</v>
      </c>
      <c r="L300" s="15">
        <v>36</v>
      </c>
      <c r="M300" s="15">
        <v>111.96</v>
      </c>
      <c r="N300" s="15">
        <v>41.575999999999993</v>
      </c>
      <c r="O300" s="15">
        <f>V300-M300</f>
        <v>0.84000000000000341</v>
      </c>
      <c r="P300" s="16">
        <f>N300/L300</f>
        <v>1.1548888888888886</v>
      </c>
      <c r="Q300" s="14">
        <v>1680195</v>
      </c>
      <c r="R300" s="14"/>
      <c r="S300" s="17">
        <v>2.7800258200000001</v>
      </c>
      <c r="T300" s="15">
        <v>111.96</v>
      </c>
      <c r="U300" s="15">
        <v>108.92</v>
      </c>
      <c r="V300" s="15">
        <v>112.8</v>
      </c>
      <c r="W300" s="14" t="s">
        <v>843</v>
      </c>
      <c r="X300" s="14">
        <v>1</v>
      </c>
      <c r="Y300" s="10">
        <f>AC300-AB300</f>
        <v>18</v>
      </c>
      <c r="Z300" s="18">
        <v>3</v>
      </c>
      <c r="AA300" s="18">
        <v>9</v>
      </c>
      <c r="AB300" s="18">
        <v>2</v>
      </c>
      <c r="AC300" s="18">
        <v>20</v>
      </c>
      <c r="AD300" s="1" t="s">
        <v>5390</v>
      </c>
      <c r="AE300" s="1" t="s">
        <v>5364</v>
      </c>
      <c r="AF300" s="4">
        <v>19.03</v>
      </c>
      <c r="AG300" s="4">
        <v>17.59</v>
      </c>
    </row>
    <row r="301" spans="1:33" ht="47.25" customHeight="1" x14ac:dyDescent="0.25">
      <c r="A301" s="10" t="s">
        <v>5991</v>
      </c>
      <c r="B301" s="11" t="s">
        <v>33</v>
      </c>
      <c r="C301" s="12" t="s">
        <v>5992</v>
      </c>
      <c r="D301" s="27"/>
      <c r="E301" s="14" t="s">
        <v>35</v>
      </c>
      <c r="F301" s="11" t="str">
        <f>HYPERLINK("https://redirect.sdcdeals.com/redirect?destination=https%3A%2F%2Fwww.amazon.com%2Fdp%2FB0BFTLSMMJ%3Fth%3D1%26psc%3D1%26tag%3Dsdcdeals03-20", "Amazon Link")</f>
        <v>Amazon Link</v>
      </c>
      <c r="G301" s="11" t="s">
        <v>36</v>
      </c>
      <c r="H301" s="14" t="s">
        <v>5993</v>
      </c>
      <c r="I301" s="11" t="str">
        <f>HYPERLINK("https://redirect.sdcdeals.com/redirect?code=763034&amp;mavely=https://mavely.app.link/e/bhESV2wGrGb&amp;destination=https%3A%2F%2Fwww.kohls.com%2Fsearch.jsp%3Fsubmit-search%3Dweb-regular%26search%3D72822592", "Retail Link")</f>
        <v>Retail Link</v>
      </c>
      <c r="J301" s="14" t="s">
        <v>5974</v>
      </c>
      <c r="K301" s="13" t="s">
        <v>5994</v>
      </c>
      <c r="L301" s="15">
        <v>44.095999999999997</v>
      </c>
      <c r="M301" s="15">
        <v>135.13</v>
      </c>
      <c r="N301" s="15">
        <v>50.894499999999987</v>
      </c>
      <c r="O301" s="15">
        <f>V301-M301</f>
        <v>-1.4499999999999886</v>
      </c>
      <c r="P301" s="16">
        <f>N301/L301</f>
        <v>1.1541749818577647</v>
      </c>
      <c r="Q301" s="14">
        <v>2059549</v>
      </c>
      <c r="R301" s="14"/>
      <c r="S301" s="17">
        <v>1.6821250599999999</v>
      </c>
      <c r="T301" s="15">
        <v>135.13</v>
      </c>
      <c r="U301" s="15">
        <v>132.32</v>
      </c>
      <c r="V301" s="15">
        <v>133.68</v>
      </c>
      <c r="W301" s="14" t="s">
        <v>781</v>
      </c>
      <c r="X301" s="14">
        <v>1</v>
      </c>
      <c r="Y301" s="10">
        <f>AC301-AB301</f>
        <v>7</v>
      </c>
      <c r="Z301" s="18">
        <v>2</v>
      </c>
      <c r="AA301" s="18">
        <v>13</v>
      </c>
      <c r="AB301" s="18">
        <v>0</v>
      </c>
      <c r="AC301" s="18">
        <v>7</v>
      </c>
      <c r="AD301" s="1" t="s">
        <v>5976</v>
      </c>
      <c r="AE301" s="1" t="s">
        <v>76</v>
      </c>
      <c r="AF301" s="4">
        <v>22.97</v>
      </c>
      <c r="AG301" s="4">
        <v>19.87</v>
      </c>
    </row>
    <row r="302" spans="1:33" ht="47.25" customHeight="1" x14ac:dyDescent="0.25">
      <c r="A302" s="10" t="s">
        <v>3863</v>
      </c>
      <c r="B302" s="11" t="s">
        <v>33</v>
      </c>
      <c r="C302" s="12" t="s">
        <v>3864</v>
      </c>
      <c r="D302" s="27"/>
      <c r="E302" s="14" t="s">
        <v>35</v>
      </c>
      <c r="F302" s="11" t="str">
        <f>HYPERLINK("https://redirect.sdcdeals.com/redirect?destination=https%3A%2F%2Fwww.amazon.com%2Fdp%2FB0BGW3L9MW%3Fth%3D1%26psc%3D1%26tag%3Dsdcdeals03-20", "Amazon Link")</f>
        <v>Amazon Link</v>
      </c>
      <c r="G302" s="11" t="s">
        <v>36</v>
      </c>
      <c r="H302" s="14" t="s">
        <v>3865</v>
      </c>
      <c r="I302" s="11" t="str">
        <f>HYPERLINK("https://redirect.sdcdeals.com/redirect?code=763034&amp;mavely=https://mavely.app.link/e/bhESV2wGrGb&amp;destination=https%3A%2F%2Fwww.kohls.com%2Fsearch.jsp%3Fsubmit-search%3Dweb-regular%26search%3D37226382", "Retail Link")</f>
        <v>Retail Link</v>
      </c>
      <c r="J302" s="14" t="s">
        <v>3813</v>
      </c>
      <c r="K302" s="13" t="s">
        <v>3866</v>
      </c>
      <c r="L302" s="15">
        <v>12.6</v>
      </c>
      <c r="M302" s="15">
        <v>39.049999999999997</v>
      </c>
      <c r="N302" s="15">
        <v>14.5425</v>
      </c>
      <c r="O302" s="15">
        <f>V302-M302</f>
        <v>-0.10999999999999943</v>
      </c>
      <c r="P302" s="16">
        <f>N302/L302</f>
        <v>1.1541666666666668</v>
      </c>
      <c r="Q302" s="14">
        <v>617311</v>
      </c>
      <c r="R302" s="14"/>
      <c r="S302" s="17">
        <v>0.42990089999999997</v>
      </c>
      <c r="T302" s="15">
        <v>30.05</v>
      </c>
      <c r="U302" s="15">
        <v>43.19</v>
      </c>
      <c r="V302" s="15">
        <v>38.94</v>
      </c>
      <c r="W302" s="14" t="s">
        <v>3175</v>
      </c>
      <c r="X302" s="14">
        <v>4</v>
      </c>
      <c r="Y302" s="10">
        <f>AC302-AB302</f>
        <v>0</v>
      </c>
      <c r="Z302" s="18">
        <v>16</v>
      </c>
      <c r="AA302" s="18">
        <v>48</v>
      </c>
      <c r="AB302" s="18">
        <v>0</v>
      </c>
      <c r="AC302" s="18"/>
      <c r="AD302" s="1" t="s">
        <v>3816</v>
      </c>
      <c r="AE302" s="1" t="s">
        <v>3817</v>
      </c>
      <c r="AF302" s="4">
        <v>6.64</v>
      </c>
      <c r="AG302" s="4">
        <v>6.05</v>
      </c>
    </row>
    <row r="303" spans="1:33" ht="47.25" customHeight="1" x14ac:dyDescent="0.25">
      <c r="A303" s="10" t="s">
        <v>459</v>
      </c>
      <c r="B303" s="11" t="s">
        <v>33</v>
      </c>
      <c r="C303" s="12" t="s">
        <v>460</v>
      </c>
      <c r="D303" s="27"/>
      <c r="E303" s="14" t="s">
        <v>35</v>
      </c>
      <c r="F303" s="11" t="str">
        <f>HYPERLINK("https://redirect.sdcdeals.com/redirect?destination=https%3A%2F%2Fwww.amazon.com%2Fdp%2FB0B1K9WCFF%3Fth%3D1%26psc%3D1%26tag%3Dsdcdeals03-20", "Amazon Link")</f>
        <v>Amazon Link</v>
      </c>
      <c r="G303" s="11" t="s">
        <v>36</v>
      </c>
      <c r="H303" s="14" t="s">
        <v>461</v>
      </c>
      <c r="I303" s="11" t="str">
        <f>HYPERLINK("https://redirect.sdcdeals.com/redirect?code=763034&amp;mavely=https://mavely.app.link/e/bhESV2wGrGb&amp;destination=https%3A%2F%2Fwww.kohls.com%2Fsearch.jsp%3Fsubmit-search%3Dweb-regular%26search%3D47623807", "Retail Link")</f>
        <v>Retail Link</v>
      </c>
      <c r="J303" s="14" t="s">
        <v>455</v>
      </c>
      <c r="K303" s="13" t="s">
        <v>462</v>
      </c>
      <c r="L303" s="15">
        <v>20.847999999999999</v>
      </c>
      <c r="M303" s="15">
        <v>59.99</v>
      </c>
      <c r="N303" s="15">
        <v>24.003499999999999</v>
      </c>
      <c r="O303" s="15">
        <f>V303-M303</f>
        <v>-10.280000000000001</v>
      </c>
      <c r="P303" s="16">
        <f>N303/L303</f>
        <v>1.1513574443591712</v>
      </c>
      <c r="Q303" s="14">
        <v>11310</v>
      </c>
      <c r="R303" s="14"/>
      <c r="S303" s="17">
        <v>1.2808842199999999</v>
      </c>
      <c r="T303" s="15">
        <v>59.99</v>
      </c>
      <c r="U303" s="15">
        <v>56.5</v>
      </c>
      <c r="V303" s="15">
        <v>49.71</v>
      </c>
      <c r="W303" s="14" t="s">
        <v>106</v>
      </c>
      <c r="X303" s="14">
        <v>1</v>
      </c>
      <c r="Y303" s="10">
        <f>AC303-AB303</f>
        <v>9825</v>
      </c>
      <c r="Z303" s="18">
        <v>27</v>
      </c>
      <c r="AA303" s="18">
        <v>110</v>
      </c>
      <c r="AB303" s="18">
        <v>0</v>
      </c>
      <c r="AC303" s="18">
        <v>9825</v>
      </c>
      <c r="AD303" s="1" t="s">
        <v>457</v>
      </c>
      <c r="AE303" s="1" t="s">
        <v>458</v>
      </c>
      <c r="AF303" s="4">
        <v>10.199999999999999</v>
      </c>
      <c r="AG303" s="4">
        <v>6.14</v>
      </c>
    </row>
    <row r="304" spans="1:33" ht="47.25" customHeight="1" x14ac:dyDescent="0.25">
      <c r="A304" s="10" t="s">
        <v>4415</v>
      </c>
      <c r="B304" s="11" t="s">
        <v>33</v>
      </c>
      <c r="C304" s="12" t="s">
        <v>4416</v>
      </c>
      <c r="D304" s="27"/>
      <c r="E304" s="14" t="s">
        <v>35</v>
      </c>
      <c r="F304" s="11" t="str">
        <f>HYPERLINK("https://redirect.sdcdeals.com/redirect?destination=https%3A%2F%2Fwww.amazon.com%2Fdp%2FB0B1KHDJ81%3Fth%3D1%26psc%3D1%26tag%3Dsdcdeals03-20", "Amazon Link")</f>
        <v>Amazon Link</v>
      </c>
      <c r="G304" s="11" t="s">
        <v>36</v>
      </c>
      <c r="H304" s="14" t="s">
        <v>4417</v>
      </c>
      <c r="I304" s="11" t="str">
        <f>HYPERLINK("https://redirect.sdcdeals.com/redirect?code=763034&amp;mavely=https://mavely.app.link/e/bhESV2wGrGb&amp;destination=https%3A%2F%2Fwww.kohls.com%2Fsearch.jsp%3Fsubmit-search%3Dweb-regular%26search%3D69117037", "Retail Link")</f>
        <v>Retail Link</v>
      </c>
      <c r="J304" s="14" t="s">
        <v>4347</v>
      </c>
      <c r="K304" s="13" t="s">
        <v>4418</v>
      </c>
      <c r="L304" s="15">
        <v>20.847999999999999</v>
      </c>
      <c r="M304" s="15">
        <v>59.99</v>
      </c>
      <c r="N304" s="15">
        <v>24.003499999999999</v>
      </c>
      <c r="O304" s="15">
        <f>V304-M304</f>
        <v>-4.2000000000000028</v>
      </c>
      <c r="P304" s="16">
        <f>N304/L304</f>
        <v>1.1513574443591712</v>
      </c>
      <c r="Q304" s="14">
        <v>846</v>
      </c>
      <c r="R304" s="14"/>
      <c r="S304" s="17">
        <v>1.6997620200000001</v>
      </c>
      <c r="T304" s="15">
        <v>59.99</v>
      </c>
      <c r="U304" s="15">
        <v>58.77</v>
      </c>
      <c r="V304" s="15">
        <v>55.79</v>
      </c>
      <c r="W304" s="14" t="s">
        <v>269</v>
      </c>
      <c r="X304" s="14">
        <v>1</v>
      </c>
      <c r="Y304" s="10">
        <f>AC304-AB304</f>
        <v>47595</v>
      </c>
      <c r="Z304" s="18">
        <v>47</v>
      </c>
      <c r="AA304" s="18">
        <v>119</v>
      </c>
      <c r="AB304" s="18">
        <v>1</v>
      </c>
      <c r="AC304" s="18">
        <v>47596</v>
      </c>
      <c r="AD304" s="1" t="s">
        <v>4419</v>
      </c>
      <c r="AE304" s="1" t="s">
        <v>4420</v>
      </c>
      <c r="AF304" s="4">
        <v>10.199999999999999</v>
      </c>
      <c r="AG304" s="4">
        <v>6.14</v>
      </c>
    </row>
    <row r="305" spans="1:33" ht="47.25" customHeight="1" x14ac:dyDescent="0.25">
      <c r="A305" s="10" t="s">
        <v>6466</v>
      </c>
      <c r="B305" s="11" t="s">
        <v>33</v>
      </c>
      <c r="C305" s="12" t="s">
        <v>6467</v>
      </c>
      <c r="D305" s="27"/>
      <c r="E305" s="14" t="s">
        <v>35</v>
      </c>
      <c r="F305" s="11" t="str">
        <f>HYPERLINK("https://redirect.sdcdeals.com/redirect?destination=https%3A%2F%2Fwww.amazon.com%2Fdp%2FB0BPDVGQG6%3Fth%3D1%26psc%3D1%26tag%3Dsdcdeals03-20", "Amazon Link")</f>
        <v>Amazon Link</v>
      </c>
      <c r="G305" s="11" t="s">
        <v>36</v>
      </c>
      <c r="H305" s="14" t="s">
        <v>6468</v>
      </c>
      <c r="I305" s="11" t="str">
        <f>HYPERLINK("https://redirect.sdcdeals.com/redirect?code=763034&amp;mavely=https://mavely.app.link/e/bhESV2wGrGb&amp;destination=https%3A%2F%2Fwww.kohls.com%2Fsearch.jsp%3Fsubmit-search%3Dweb-regular%26search%3D74405972", "Retail Link")</f>
        <v>Retail Link</v>
      </c>
      <c r="J305" s="14" t="s">
        <v>6447</v>
      </c>
      <c r="K305" s="13" t="s">
        <v>6469</v>
      </c>
      <c r="L305" s="15">
        <v>4.84</v>
      </c>
      <c r="M305" s="15">
        <v>18.12</v>
      </c>
      <c r="N305" s="15">
        <v>5.572000000000001</v>
      </c>
      <c r="O305" s="15">
        <f>V305-M305</f>
        <v>2.4699999999999989</v>
      </c>
      <c r="P305" s="16">
        <f>N305/L305</f>
        <v>1.1512396694214879</v>
      </c>
      <c r="Q305" s="14">
        <v>78259</v>
      </c>
      <c r="R305" s="14"/>
      <c r="S305" s="17">
        <v>0.33069300000000001</v>
      </c>
      <c r="T305" s="15"/>
      <c r="U305" s="15">
        <v>18.12</v>
      </c>
      <c r="V305" s="15">
        <v>20.59</v>
      </c>
      <c r="W305" s="14" t="s">
        <v>3577</v>
      </c>
      <c r="X305" s="14">
        <v>1</v>
      </c>
      <c r="Y305" s="10">
        <f>AC305-AB305</f>
        <v>25</v>
      </c>
      <c r="Z305" s="18">
        <v>22</v>
      </c>
      <c r="AA305" s="18">
        <v>39</v>
      </c>
      <c r="AB305" s="18">
        <v>2</v>
      </c>
      <c r="AC305" s="18">
        <v>27</v>
      </c>
      <c r="AD305" s="1" t="s">
        <v>6449</v>
      </c>
      <c r="AE305" s="1" t="s">
        <v>5497</v>
      </c>
      <c r="AG305" s="4">
        <v>4.99</v>
      </c>
    </row>
    <row r="306" spans="1:33" ht="47.25" customHeight="1" x14ac:dyDescent="0.25">
      <c r="A306" s="10" t="s">
        <v>5881</v>
      </c>
      <c r="B306" s="11" t="s">
        <v>33</v>
      </c>
      <c r="C306" s="12" t="s">
        <v>5882</v>
      </c>
      <c r="D306" s="27"/>
      <c r="E306" s="14" t="s">
        <v>35</v>
      </c>
      <c r="F306" s="11" t="str">
        <f>HYPERLINK("https://redirect.sdcdeals.com/redirect?destination=https%3A%2F%2Fwww.amazon.com%2Fdp%2FB0CL5QQZTL%3Fth%3D1%26psc%3D1%26tag%3Dsdcdeals03-20", "Amazon Link")</f>
        <v>Amazon Link</v>
      </c>
      <c r="G306" s="11" t="s">
        <v>36</v>
      </c>
      <c r="H306" s="14" t="s">
        <v>5883</v>
      </c>
      <c r="I306" s="11" t="str">
        <f>HYPERLINK("https://redirect.sdcdeals.com/redirect?code=763034&amp;mavely=https://mavely.app.link/e/bhESV2wGrGb&amp;destination=https%3A%2F%2Fwww.kohls.com%2Fsearch.jsp%3Fsubmit-search%3Dweb-regular%26search%3D34133437", "Retail Link")</f>
        <v>Retail Link</v>
      </c>
      <c r="J306" s="14" t="s">
        <v>5878</v>
      </c>
      <c r="K306" s="13" t="s">
        <v>5884</v>
      </c>
      <c r="L306" s="15">
        <v>7.6000000000000014</v>
      </c>
      <c r="M306" s="15">
        <v>23.17</v>
      </c>
      <c r="N306" s="15">
        <v>8.7444999999999986</v>
      </c>
      <c r="O306" s="15">
        <f>V306-M306</f>
        <v>-5.9200000000000017</v>
      </c>
      <c r="P306" s="16">
        <f>N306/L306</f>
        <v>1.1505921052631576</v>
      </c>
      <c r="Q306" s="14">
        <v>53837</v>
      </c>
      <c r="R306" s="14"/>
      <c r="S306" s="17">
        <v>0.39903622</v>
      </c>
      <c r="T306" s="15">
        <v>23.17</v>
      </c>
      <c r="U306" s="15">
        <v>19.739999999999998</v>
      </c>
      <c r="V306" s="15">
        <v>17.25</v>
      </c>
      <c r="W306" s="14" t="s">
        <v>311</v>
      </c>
      <c r="X306" s="14">
        <v>10</v>
      </c>
      <c r="Y306" s="10">
        <f>AC306-AB306</f>
        <v>569</v>
      </c>
      <c r="Z306" s="18">
        <v>4</v>
      </c>
      <c r="AA306" s="18">
        <v>67</v>
      </c>
      <c r="AB306" s="18">
        <v>0</v>
      </c>
      <c r="AC306" s="18">
        <v>569</v>
      </c>
      <c r="AD306" s="1" t="s">
        <v>4680</v>
      </c>
      <c r="AE306" s="1" t="s">
        <v>5880</v>
      </c>
      <c r="AF306" s="4">
        <v>3.94</v>
      </c>
      <c r="AG306" s="4">
        <v>3.35</v>
      </c>
    </row>
    <row r="307" spans="1:33" ht="47.25" customHeight="1" x14ac:dyDescent="0.25">
      <c r="A307" s="10" t="s">
        <v>7503</v>
      </c>
      <c r="B307" s="11" t="s">
        <v>33</v>
      </c>
      <c r="C307" s="12" t="s">
        <v>7504</v>
      </c>
      <c r="D307" s="27"/>
      <c r="E307" s="14" t="s">
        <v>35</v>
      </c>
      <c r="F307" s="11" t="str">
        <f>HYPERLINK("https://redirect.sdcdeals.com/redirect?destination=https%3A%2F%2Fwww.amazon.com%2Fdp%2FB0BKR29HVQ%3Fth%3D1%26psc%3D1%26tag%3Dsdcdeals03-20", "Amazon Link")</f>
        <v>Amazon Link</v>
      </c>
      <c r="G307" s="11" t="s">
        <v>36</v>
      </c>
      <c r="H307" s="14" t="s">
        <v>7505</v>
      </c>
      <c r="I307" s="11" t="str">
        <f>HYPERLINK("https://redirect.sdcdeals.com/redirect?code=763034&amp;mavely=https://mavely.app.link/e/bhESV2wGrGb&amp;destination=https%3A%2F%2Fwww.kohls.com%2Fsearch.jsp%3Fsubmit-search%3Dweb-regular%26search%3D55628822", "Retail Link")</f>
        <v>Retail Link</v>
      </c>
      <c r="J307" s="14" t="s">
        <v>7447</v>
      </c>
      <c r="K307" s="13" t="s">
        <v>7506</v>
      </c>
      <c r="L307" s="15">
        <v>24</v>
      </c>
      <c r="M307" s="15">
        <v>76.040000000000006</v>
      </c>
      <c r="N307" s="15">
        <v>27.603999999999999</v>
      </c>
      <c r="O307" s="15">
        <f>V307-M307</f>
        <v>-32.610000000000007</v>
      </c>
      <c r="P307" s="16">
        <f>N307/L307</f>
        <v>1.1501666666666666</v>
      </c>
      <c r="Q307" s="14">
        <v>826894</v>
      </c>
      <c r="R307" s="14"/>
      <c r="S307" s="17">
        <v>1.1706532199999999</v>
      </c>
      <c r="T307" s="15">
        <v>76.040000000000006</v>
      </c>
      <c r="U307" s="15">
        <v>35</v>
      </c>
      <c r="V307" s="15">
        <v>43.43</v>
      </c>
      <c r="W307" s="14" t="s">
        <v>396</v>
      </c>
      <c r="X307" s="14">
        <v>1</v>
      </c>
      <c r="Y307" s="10">
        <f>AC307-AB307</f>
        <v>6</v>
      </c>
      <c r="Z307" s="18">
        <v>7</v>
      </c>
      <c r="AA307" s="18">
        <v>37</v>
      </c>
      <c r="AB307" s="18">
        <v>1</v>
      </c>
      <c r="AC307" s="18">
        <v>7</v>
      </c>
      <c r="AD307" s="1" t="s">
        <v>7449</v>
      </c>
      <c r="AE307" s="1" t="s">
        <v>3500</v>
      </c>
      <c r="AG307" s="4">
        <v>13.03</v>
      </c>
    </row>
    <row r="308" spans="1:33" ht="47.25" customHeight="1" x14ac:dyDescent="0.25">
      <c r="A308" s="10" t="s">
        <v>3818</v>
      </c>
      <c r="B308" s="11" t="s">
        <v>33</v>
      </c>
      <c r="C308" s="12" t="s">
        <v>3819</v>
      </c>
      <c r="D308" s="27"/>
      <c r="E308" s="14" t="s">
        <v>35</v>
      </c>
      <c r="F308" s="11" t="str">
        <f>HYPERLINK("https://redirect.sdcdeals.com/redirect?destination=https%3A%2F%2Fwww.amazon.com%2Fdp%2FB0BGVVBVDL%3Fth%3D1%26psc%3D1%26tag%3Dsdcdeals03-20", "Amazon Link")</f>
        <v>Amazon Link</v>
      </c>
      <c r="G308" s="11" t="s">
        <v>36</v>
      </c>
      <c r="H308" s="14" t="s">
        <v>3820</v>
      </c>
      <c r="I308" s="11" t="str">
        <f>HYPERLINK("https://redirect.sdcdeals.com/redirect?code=763034&amp;mavely=https://mavely.app.link/e/bhESV2wGrGb&amp;destination=https%3A%2F%2Fwww.kohls.com%2Fsearch.jsp%3Fsubmit-search%3Dweb-regular%26search%3D37226363", "Retail Link")</f>
        <v>Retail Link</v>
      </c>
      <c r="J308" s="14" t="s">
        <v>3813</v>
      </c>
      <c r="K308" s="13" t="s">
        <v>3821</v>
      </c>
      <c r="L308" s="15">
        <v>12.6</v>
      </c>
      <c r="M308" s="15">
        <v>39.049999999999997</v>
      </c>
      <c r="N308" s="15">
        <v>14.452500000000001</v>
      </c>
      <c r="O308" s="15">
        <f>V308-M308</f>
        <v>3.8500000000000014</v>
      </c>
      <c r="P308" s="16">
        <f>N308/L308</f>
        <v>1.1470238095238097</v>
      </c>
      <c r="Q308" s="14">
        <v>508841</v>
      </c>
      <c r="R308" s="14"/>
      <c r="S308" s="17">
        <v>0.91491730000000004</v>
      </c>
      <c r="T308" s="15">
        <v>30.05</v>
      </c>
      <c r="U308" s="15">
        <v>43.16</v>
      </c>
      <c r="V308" s="15">
        <v>42.9</v>
      </c>
      <c r="W308" s="14" t="s">
        <v>3175</v>
      </c>
      <c r="X308" s="14">
        <v>5</v>
      </c>
      <c r="Y308" s="10">
        <f>AC308-AB308</f>
        <v>0</v>
      </c>
      <c r="Z308" s="18">
        <v>13</v>
      </c>
      <c r="AA308" s="18">
        <v>43</v>
      </c>
      <c r="AB308" s="18">
        <v>0</v>
      </c>
      <c r="AC308" s="18"/>
      <c r="AD308" s="1" t="s">
        <v>3816</v>
      </c>
      <c r="AE308" s="1" t="s">
        <v>3822</v>
      </c>
      <c r="AF308" s="4">
        <v>6.64</v>
      </c>
      <c r="AG308" s="4">
        <v>6.14</v>
      </c>
    </row>
    <row r="309" spans="1:33" ht="47.25" customHeight="1" x14ac:dyDescent="0.25">
      <c r="A309" s="10" t="s">
        <v>2024</v>
      </c>
      <c r="B309" s="11" t="s">
        <v>33</v>
      </c>
      <c r="C309" s="12" t="s">
        <v>2025</v>
      </c>
      <c r="D309" s="27"/>
      <c r="E309" s="14" t="s">
        <v>35</v>
      </c>
      <c r="F309" s="11" t="str">
        <f>HYPERLINK("https://redirect.sdcdeals.com/redirect?destination=https%3A%2F%2Fwww.amazon.com%2Fdp%2FB09439QC7P%3Fth%3D1%26psc%3D1%26tag%3Dsdcdeals03-20", "Amazon Link")</f>
        <v>Amazon Link</v>
      </c>
      <c r="G309" s="11" t="s">
        <v>36</v>
      </c>
      <c r="H309" s="14" t="s">
        <v>2026</v>
      </c>
      <c r="I309" s="11" t="str">
        <f>HYPERLINK("https://redirect.sdcdeals.com/redirect?code=763034&amp;mavely=https://mavely.app.link/e/bhESV2wGrGb&amp;destination=https%3A%2F%2Fwww.kohls.com%2Fsearch.jsp%3Fsubmit-search%3Dweb-regular%26search%3D46568067", "Retail Link")</f>
        <v>Retail Link</v>
      </c>
      <c r="J309" s="14" t="s">
        <v>2014</v>
      </c>
      <c r="K309" s="13" t="s">
        <v>2027</v>
      </c>
      <c r="L309" s="15">
        <v>13</v>
      </c>
      <c r="M309" s="15">
        <v>39.68</v>
      </c>
      <c r="N309" s="15">
        <v>14.907999999999999</v>
      </c>
      <c r="O309" s="15">
        <f>V309-M309</f>
        <v>9.740000000000002</v>
      </c>
      <c r="P309" s="16">
        <f>N309/L309</f>
        <v>1.1467692307692308</v>
      </c>
      <c r="Q309" s="14">
        <v>50737</v>
      </c>
      <c r="R309" s="14"/>
      <c r="S309" s="17">
        <v>0.70547840000000006</v>
      </c>
      <c r="T309" s="15">
        <v>30.83</v>
      </c>
      <c r="U309" s="15">
        <v>48.79</v>
      </c>
      <c r="V309" s="15">
        <v>49.42</v>
      </c>
      <c r="W309" s="14" t="s">
        <v>598</v>
      </c>
      <c r="X309" s="14">
        <v>4</v>
      </c>
      <c r="Y309" s="10">
        <f>AC309-AB309</f>
        <v>0</v>
      </c>
      <c r="Z309" s="18">
        <v>27</v>
      </c>
      <c r="AA309" s="18">
        <v>68</v>
      </c>
      <c r="AB309" s="18">
        <v>2</v>
      </c>
      <c r="AC309" s="18">
        <v>2</v>
      </c>
      <c r="AD309" s="1" t="s">
        <v>2016</v>
      </c>
      <c r="AE309" s="1" t="s">
        <v>2023</v>
      </c>
      <c r="AF309" s="4">
        <v>6.75</v>
      </c>
      <c r="AG309" s="4">
        <v>5.82</v>
      </c>
    </row>
    <row r="310" spans="1:33" ht="47.25" customHeight="1" x14ac:dyDescent="0.25">
      <c r="A310" s="10" t="s">
        <v>3342</v>
      </c>
      <c r="B310" s="11" t="s">
        <v>33</v>
      </c>
      <c r="C310" s="12" t="s">
        <v>3343</v>
      </c>
      <c r="D310" s="27"/>
      <c r="E310" s="14" t="s">
        <v>35</v>
      </c>
      <c r="F310" s="11" t="str">
        <f>HYPERLINK("https://redirect.sdcdeals.com/redirect?destination=https%3A%2F%2Fwww.amazon.com%2Fdp%2FB0BKQZTDKG%3Fth%3D1%26psc%3D1%26tag%3Dsdcdeals03-20", "Amazon Link")</f>
        <v>Amazon Link</v>
      </c>
      <c r="G310" s="11" t="s">
        <v>36</v>
      </c>
      <c r="H310" s="14" t="s">
        <v>3344</v>
      </c>
      <c r="I310" s="11" t="str">
        <f>HYPERLINK("https://redirect.sdcdeals.com/redirect?code=763034&amp;mavely=https://mavely.app.link/e/bhESV2wGrGb&amp;destination=https%3A%2F%2Fwww.kohls.com%2Fsearch.jsp%3Fsubmit-search%3Dweb-regular%26search%3D75541536", "Retail Link")</f>
        <v>Retail Link</v>
      </c>
      <c r="J310" s="14" t="s">
        <v>3318</v>
      </c>
      <c r="K310" s="13" t="s">
        <v>3345</v>
      </c>
      <c r="L310" s="15">
        <v>39.6</v>
      </c>
      <c r="M310" s="15">
        <v>104.99</v>
      </c>
      <c r="N310" s="15">
        <v>45.391499999999994</v>
      </c>
      <c r="O310" s="15">
        <f>V310-M310</f>
        <v>-4.8999999999999915</v>
      </c>
      <c r="P310" s="16">
        <f>N310/L310</f>
        <v>1.1462499999999998</v>
      </c>
      <c r="Q310" s="14">
        <v>517001</v>
      </c>
      <c r="R310" s="14"/>
      <c r="S310" s="17">
        <v>6.1729359999999997E-2</v>
      </c>
      <c r="T310" s="15">
        <v>104.99</v>
      </c>
      <c r="U310" s="15">
        <v>104.43</v>
      </c>
      <c r="V310" s="15">
        <v>100.09</v>
      </c>
      <c r="W310" s="14" t="s">
        <v>359</v>
      </c>
      <c r="X310" s="14">
        <v>1</v>
      </c>
      <c r="Y310" s="10">
        <f>AC310-AB310</f>
        <v>0</v>
      </c>
      <c r="Z310" s="18">
        <v>9</v>
      </c>
      <c r="AA310" s="18">
        <v>35</v>
      </c>
      <c r="AB310" s="18">
        <v>0</v>
      </c>
      <c r="AC310" s="18"/>
      <c r="AD310" s="1" t="s">
        <v>3320</v>
      </c>
      <c r="AE310" s="1" t="s">
        <v>2213</v>
      </c>
      <c r="AF310" s="4">
        <v>17.850000000000001</v>
      </c>
      <c r="AG310" s="4">
        <v>4.25</v>
      </c>
    </row>
    <row r="311" spans="1:33" ht="47.25" customHeight="1" x14ac:dyDescent="0.25">
      <c r="A311" s="10" t="s">
        <v>3330</v>
      </c>
      <c r="B311" s="11" t="s">
        <v>33</v>
      </c>
      <c r="C311" s="12" t="s">
        <v>3331</v>
      </c>
      <c r="D311" s="27"/>
      <c r="E311" s="14" t="s">
        <v>35</v>
      </c>
      <c r="F311" s="11" t="str">
        <f>HYPERLINK("https://redirect.sdcdeals.com/redirect?destination=https%3A%2F%2Fwww.amazon.com%2Fdp%2FB0BKQWSK71%3Fth%3D1%26psc%3D1%26tag%3Dsdcdeals03-20", "Amazon Link")</f>
        <v>Amazon Link</v>
      </c>
      <c r="G311" s="11" t="s">
        <v>36</v>
      </c>
      <c r="H311" s="14" t="s">
        <v>3332</v>
      </c>
      <c r="I311" s="11" t="str">
        <f>HYPERLINK("https://redirect.sdcdeals.com/redirect?code=763034&amp;mavely=https://mavely.app.link/e/bhESV2wGrGb&amp;destination=https%3A%2F%2Fwww.kohls.com%2Fsearch.jsp%3Fsubmit-search%3Dweb-regular%26search%3D75541534", "Retail Link")</f>
        <v>Retail Link</v>
      </c>
      <c r="J311" s="14" t="s">
        <v>3318</v>
      </c>
      <c r="K311" s="13" t="s">
        <v>3333</v>
      </c>
      <c r="L311" s="15">
        <v>39.6</v>
      </c>
      <c r="M311" s="15">
        <v>117.99</v>
      </c>
      <c r="N311" s="15">
        <v>45.381500000000003</v>
      </c>
      <c r="O311" s="15">
        <f>V311-M311</f>
        <v>-21.839999999999989</v>
      </c>
      <c r="P311" s="16">
        <f>N311/L311</f>
        <v>1.1459974747474748</v>
      </c>
      <c r="Q311" s="14">
        <v>546738</v>
      </c>
      <c r="R311" s="14"/>
      <c r="S311" s="17">
        <v>2.1605276</v>
      </c>
      <c r="T311" s="15">
        <v>105.15</v>
      </c>
      <c r="U311" s="15">
        <v>108.71</v>
      </c>
      <c r="V311" s="15">
        <v>96.15</v>
      </c>
      <c r="W311" s="14" t="s">
        <v>286</v>
      </c>
      <c r="X311" s="14">
        <v>1</v>
      </c>
      <c r="Y311" s="10">
        <f>AC311-AB311</f>
        <v>15</v>
      </c>
      <c r="Z311" s="18">
        <v>12</v>
      </c>
      <c r="AA311" s="18">
        <v>37</v>
      </c>
      <c r="AB311" s="18">
        <v>0</v>
      </c>
      <c r="AC311" s="18">
        <v>15</v>
      </c>
      <c r="AD311" s="1" t="s">
        <v>3320</v>
      </c>
      <c r="AE311" s="1" t="s">
        <v>2213</v>
      </c>
      <c r="AF311" s="4">
        <v>20.059999999999999</v>
      </c>
      <c r="AG311" s="4">
        <v>15.31</v>
      </c>
    </row>
    <row r="312" spans="1:33" ht="47.25" customHeight="1" x14ac:dyDescent="0.25">
      <c r="A312" s="10" t="s">
        <v>4868</v>
      </c>
      <c r="B312" s="11" t="s">
        <v>33</v>
      </c>
      <c r="C312" s="12" t="s">
        <v>4869</v>
      </c>
      <c r="D312" s="27"/>
      <c r="E312" s="14" t="s">
        <v>35</v>
      </c>
      <c r="F312" s="11" t="str">
        <f>HYPERLINK("https://redirect.sdcdeals.com/redirect?destination=https%3A%2F%2Fwww.amazon.com%2Fdp%2FB078MNPXFS%3Fth%3D1%26psc%3D1%26tag%3Dsdcdeals03-20", "Amazon Link")</f>
        <v>Amazon Link</v>
      </c>
      <c r="G312" s="11" t="s">
        <v>36</v>
      </c>
      <c r="H312" s="14" t="s">
        <v>4870</v>
      </c>
      <c r="I312" s="11" t="str">
        <f>HYPERLINK("https://redirect.sdcdeals.com/redirect?code=763034&amp;mavely=https://mavely.app.link/e/bhESV2wGrGb&amp;destination=https%3A%2F%2Fwww.kohls.com%2Fsearch.jsp%3Fsubmit-search%3Dweb-regular%26search%3D20872336", "Retail Link")</f>
        <v>Retail Link</v>
      </c>
      <c r="J312" s="14" t="s">
        <v>4843</v>
      </c>
      <c r="K312" s="13" t="s">
        <v>4871</v>
      </c>
      <c r="L312" s="15">
        <v>15.896000000000001</v>
      </c>
      <c r="M312" s="15">
        <v>46.77</v>
      </c>
      <c r="N312" s="15">
        <v>18.038499999999999</v>
      </c>
      <c r="O312" s="15">
        <f>V312-M312</f>
        <v>7.8499999999999943</v>
      </c>
      <c r="P312" s="16">
        <f>N312/L312</f>
        <v>1.1347823351786612</v>
      </c>
      <c r="Q312" s="14">
        <v>1362</v>
      </c>
      <c r="R312" s="14"/>
      <c r="S312" s="17">
        <v>1.2125410000000001</v>
      </c>
      <c r="T312" s="15">
        <v>19.87</v>
      </c>
      <c r="U312" s="15">
        <v>51.15</v>
      </c>
      <c r="V312" s="15">
        <v>54.62</v>
      </c>
      <c r="W312" s="14" t="s">
        <v>106</v>
      </c>
      <c r="X312" s="14">
        <v>2</v>
      </c>
      <c r="Y312" s="10">
        <f>AC312-AB312</f>
        <v>971</v>
      </c>
      <c r="Z312" s="18">
        <v>49</v>
      </c>
      <c r="AA312" s="18">
        <v>95</v>
      </c>
      <c r="AB312" s="18">
        <v>10</v>
      </c>
      <c r="AC312" s="18">
        <v>981</v>
      </c>
      <c r="AD312" s="1" t="s">
        <v>4845</v>
      </c>
      <c r="AE312" s="1" t="s">
        <v>1092</v>
      </c>
      <c r="AF312" s="4">
        <v>7.95</v>
      </c>
      <c r="AG312" s="4">
        <v>5.82</v>
      </c>
    </row>
    <row r="313" spans="1:33" ht="47.25" customHeight="1" x14ac:dyDescent="0.25">
      <c r="A313" s="10" t="s">
        <v>1430</v>
      </c>
      <c r="B313" s="11" t="s">
        <v>33</v>
      </c>
      <c r="C313" s="12" t="s">
        <v>1431</v>
      </c>
      <c r="D313" s="27"/>
      <c r="E313" s="14" t="s">
        <v>35</v>
      </c>
      <c r="F313" s="11" t="str">
        <f>HYPERLINK("https://redirect.sdcdeals.com/redirect?destination=https%3A%2F%2Fwww.amazon.com%2Fdp%2FB0CNS52J52%3Fth%3D1%26psc%3D1%26tag%3Dsdcdeals03-20", "Amazon Link")</f>
        <v>Amazon Link</v>
      </c>
      <c r="G313" s="11" t="s">
        <v>36</v>
      </c>
      <c r="H313" s="14" t="s">
        <v>1432</v>
      </c>
      <c r="I313" s="11" t="str">
        <f>HYPERLINK("https://redirect.sdcdeals.com/redirect?code=763034&amp;mavely=https://mavely.app.link/e/bhESV2wGrGb&amp;destination=https%3A%2F%2Fwww.kohls.com%2Fsearch.jsp%3Fsubmit-search%3Dweb-regular%26search%3D80430213", "Retail Link")</f>
        <v>Retail Link</v>
      </c>
      <c r="J313" s="14" t="s">
        <v>1424</v>
      </c>
      <c r="K313" s="13" t="s">
        <v>1433</v>
      </c>
      <c r="L313" s="15">
        <v>6.24</v>
      </c>
      <c r="M313" s="15">
        <v>24</v>
      </c>
      <c r="N313" s="15">
        <v>7.0799999999999983</v>
      </c>
      <c r="O313" s="15">
        <f>V313-M313</f>
        <v>2.5199999999999996</v>
      </c>
      <c r="P313" s="16">
        <f>N313/L313</f>
        <v>1.1346153846153844</v>
      </c>
      <c r="Q313" s="14">
        <v>2481116</v>
      </c>
      <c r="R313" s="14"/>
      <c r="S313" s="17">
        <v>0.39903622</v>
      </c>
      <c r="T313" s="15">
        <v>24</v>
      </c>
      <c r="U313" s="15">
        <v>25.99</v>
      </c>
      <c r="V313" s="15">
        <v>26.52</v>
      </c>
      <c r="W313" s="14" t="s">
        <v>290</v>
      </c>
      <c r="X313" s="14">
        <v>1</v>
      </c>
      <c r="Y313" s="10">
        <f>AC313-AB313</f>
        <v>43</v>
      </c>
      <c r="Z313" s="18">
        <v>1</v>
      </c>
      <c r="AA313" s="18">
        <v>7</v>
      </c>
      <c r="AB313" s="18">
        <v>0</v>
      </c>
      <c r="AC313" s="18">
        <v>43</v>
      </c>
      <c r="AE313" s="1" t="s">
        <v>410</v>
      </c>
      <c r="AF313" s="4">
        <v>4.08</v>
      </c>
      <c r="AG313" s="4">
        <v>7.08</v>
      </c>
    </row>
    <row r="314" spans="1:33" ht="47.25" customHeight="1" x14ac:dyDescent="0.25">
      <c r="A314" s="10" t="s">
        <v>1250</v>
      </c>
      <c r="B314" s="11" t="s">
        <v>33</v>
      </c>
      <c r="C314" s="12" t="s">
        <v>1251</v>
      </c>
      <c r="D314" s="27"/>
      <c r="E314" s="14" t="s">
        <v>35</v>
      </c>
      <c r="F314" s="11" t="str">
        <f>HYPERLINK("https://redirect.sdcdeals.com/redirect?destination=https%3A%2F%2Fwww.amazon.com%2Fdp%2FB0CK3K3JQ5%3Fth%3D1%26psc%3D1%26tag%3Dsdcdeals03-20", "Amazon Link")</f>
        <v>Amazon Link</v>
      </c>
      <c r="G314" s="11" t="s">
        <v>36</v>
      </c>
      <c r="H314" s="14" t="s">
        <v>1252</v>
      </c>
      <c r="I314" s="11" t="str">
        <f>HYPERLINK("https://redirect.sdcdeals.com/redirect?code=763034&amp;mavely=https://mavely.app.link/e/bhESV2wGrGb&amp;destination=https%3A%2F%2Fwww.kohls.com%2Fsearch.jsp%3Fsubmit-search%3Dweb-regular%26search%3D54863288", "Retail Link")</f>
        <v>Retail Link</v>
      </c>
      <c r="J314" s="14" t="s">
        <v>1247</v>
      </c>
      <c r="K314" s="13" t="s">
        <v>1253</v>
      </c>
      <c r="L314" s="15">
        <v>4.4000000000000004</v>
      </c>
      <c r="M314" s="15">
        <v>16.989999999999998</v>
      </c>
      <c r="N314" s="15">
        <v>4.9914999999999967</v>
      </c>
      <c r="O314" s="15">
        <f>V314-M314</f>
        <v>5.5</v>
      </c>
      <c r="P314" s="16">
        <f>N314/L314</f>
        <v>1.1344318181818174</v>
      </c>
      <c r="Q314" s="14">
        <v>332185</v>
      </c>
      <c r="R314" s="14"/>
      <c r="S314" s="17">
        <v>0.35053457999999998</v>
      </c>
      <c r="T314" s="15">
        <v>16.899999999999999</v>
      </c>
      <c r="U314" s="15">
        <v>20.99</v>
      </c>
      <c r="V314" s="15">
        <v>22.49</v>
      </c>
      <c r="W314" s="14" t="s">
        <v>1254</v>
      </c>
      <c r="X314" s="14">
        <v>5</v>
      </c>
      <c r="Y314" s="10">
        <f>AC314-AB314</f>
        <v>651</v>
      </c>
      <c r="Z314" s="18">
        <v>15</v>
      </c>
      <c r="AA314" s="18">
        <v>53</v>
      </c>
      <c r="AB314" s="18">
        <v>0</v>
      </c>
      <c r="AC314" s="18">
        <v>651</v>
      </c>
      <c r="AE314" s="1" t="s">
        <v>1249</v>
      </c>
      <c r="AF314" s="4">
        <v>1.7</v>
      </c>
      <c r="AG314" s="4">
        <v>5.05</v>
      </c>
    </row>
    <row r="315" spans="1:33" ht="47.25" customHeight="1" x14ac:dyDescent="0.25">
      <c r="A315" s="10" t="s">
        <v>1753</v>
      </c>
      <c r="B315" s="11" t="s">
        <v>33</v>
      </c>
      <c r="C315" s="12" t="s">
        <v>1754</v>
      </c>
      <c r="D315" s="27"/>
      <c r="E315" s="14" t="s">
        <v>35</v>
      </c>
      <c r="F315" s="11" t="str">
        <f>HYPERLINK("https://redirect.sdcdeals.com/redirect?destination=https%3A%2F%2Fwww.amazon.com%2Fdp%2FB0BHN4HWFZ%3Fth%3D1%26psc%3D1%26tag%3Dsdcdeals03-20", "Amazon Link")</f>
        <v>Amazon Link</v>
      </c>
      <c r="G315" s="11" t="s">
        <v>36</v>
      </c>
      <c r="H315" s="14" t="s">
        <v>1755</v>
      </c>
      <c r="I315" s="11" t="str">
        <f>HYPERLINK("https://redirect.sdcdeals.com/redirect?code=763034&amp;mavely=https://mavely.app.link/e/bhESV2wGrGb&amp;destination=https%3A%2F%2Fwww.kohls.com%2Fsearch.jsp%3Fsubmit-search%3Dweb-regular%26search%3D79062522", "Retail Link")</f>
        <v>Retail Link</v>
      </c>
      <c r="J315" s="14" t="s">
        <v>1732</v>
      </c>
      <c r="K315" s="13" t="s">
        <v>1756</v>
      </c>
      <c r="L315" s="15">
        <v>14</v>
      </c>
      <c r="M315" s="15">
        <v>43</v>
      </c>
      <c r="N315" s="15">
        <v>15.88</v>
      </c>
      <c r="O315" s="15">
        <f>V315-M315</f>
        <v>-9.4699999999999989</v>
      </c>
      <c r="P315" s="16">
        <f>N315/L315</f>
        <v>1.1342857142857143</v>
      </c>
      <c r="Q315" s="14">
        <v>44404</v>
      </c>
      <c r="R315" s="14"/>
      <c r="S315" s="17">
        <v>1.0361714</v>
      </c>
      <c r="T315" s="15">
        <v>43</v>
      </c>
      <c r="U315" s="15">
        <v>34.090000000000003</v>
      </c>
      <c r="V315" s="15">
        <v>33.53</v>
      </c>
      <c r="W315" s="14" t="s">
        <v>1757</v>
      </c>
      <c r="X315" s="14">
        <v>4</v>
      </c>
      <c r="Y315" s="10">
        <f>AC315-AB315</f>
        <v>70</v>
      </c>
      <c r="Z315" s="18">
        <v>60</v>
      </c>
      <c r="AA315" s="18">
        <v>135</v>
      </c>
      <c r="AB315" s="18">
        <v>2</v>
      </c>
      <c r="AC315" s="18">
        <v>72</v>
      </c>
      <c r="AD315" s="1" t="s">
        <v>1735</v>
      </c>
      <c r="AE315" s="1" t="s">
        <v>1736</v>
      </c>
      <c r="AG315" s="4">
        <v>6.67</v>
      </c>
    </row>
    <row r="316" spans="1:33" ht="47.25" customHeight="1" x14ac:dyDescent="0.25">
      <c r="A316" s="10" t="s">
        <v>463</v>
      </c>
      <c r="B316" s="11" t="s">
        <v>33</v>
      </c>
      <c r="C316" s="12" t="s">
        <v>464</v>
      </c>
      <c r="D316" s="27"/>
      <c r="E316" s="14" t="s">
        <v>35</v>
      </c>
      <c r="F316" s="11" t="str">
        <f>HYPERLINK("https://redirect.sdcdeals.com/redirect?destination=https%3A%2F%2Fwww.amazon.com%2Fdp%2FB0C9ZX9FHJ%3Fth%3D1%26psc%3D1%26tag%3Dsdcdeals03-20", "Amazon Link")</f>
        <v>Amazon Link</v>
      </c>
      <c r="G316" s="11" t="s">
        <v>36</v>
      </c>
      <c r="H316" s="14" t="s">
        <v>465</v>
      </c>
      <c r="I316" s="11" t="str">
        <f>HYPERLINK("https://redirect.sdcdeals.com/redirect?code=763034&amp;mavely=https://mavely.app.link/e/bhESV2wGrGb&amp;destination=https%3A%2F%2Fwww.kohls.com%2Fsearch.jsp%3Fsubmit-search%3Dweb-regular%26search%3D37582959", "Retail Link")</f>
        <v>Retail Link</v>
      </c>
      <c r="J316" s="14" t="s">
        <v>455</v>
      </c>
      <c r="K316" s="13" t="s">
        <v>466</v>
      </c>
      <c r="L316" s="15">
        <v>20.847999999999999</v>
      </c>
      <c r="M316" s="15">
        <v>59.99</v>
      </c>
      <c r="N316" s="15">
        <v>23.543500000000002</v>
      </c>
      <c r="O316" s="15">
        <f>V316-M316</f>
        <v>-5.82</v>
      </c>
      <c r="P316" s="16">
        <f>N316/L316</f>
        <v>1.1292929777436687</v>
      </c>
      <c r="Q316" s="14">
        <v>549226</v>
      </c>
      <c r="R316" s="14"/>
      <c r="S316" s="17">
        <v>1.64905576</v>
      </c>
      <c r="T316" s="15">
        <v>59.99</v>
      </c>
      <c r="U316" s="15">
        <v>55.6</v>
      </c>
      <c r="V316" s="15">
        <v>54.17</v>
      </c>
      <c r="W316" s="14" t="s">
        <v>60</v>
      </c>
      <c r="X316" s="14">
        <v>1</v>
      </c>
      <c r="Y316" s="10">
        <f>AC316-AB316</f>
        <v>3</v>
      </c>
      <c r="Z316" s="18">
        <v>8</v>
      </c>
      <c r="AA316" s="18">
        <v>23</v>
      </c>
      <c r="AB316" s="18">
        <v>0</v>
      </c>
      <c r="AC316" s="18">
        <v>3</v>
      </c>
      <c r="AD316" s="1" t="s">
        <v>467</v>
      </c>
      <c r="AE316" s="1" t="s">
        <v>468</v>
      </c>
      <c r="AF316" s="4">
        <v>10.199999999999999</v>
      </c>
      <c r="AG316" s="4">
        <v>6.6</v>
      </c>
    </row>
    <row r="317" spans="1:33" ht="47.25" customHeight="1" x14ac:dyDescent="0.25">
      <c r="A317" s="10" t="s">
        <v>4373</v>
      </c>
      <c r="B317" s="11" t="s">
        <v>33</v>
      </c>
      <c r="C317" s="12" t="s">
        <v>4374</v>
      </c>
      <c r="D317" s="27"/>
      <c r="E317" s="14" t="s">
        <v>35</v>
      </c>
      <c r="F317" s="11" t="str">
        <f>HYPERLINK("https://redirect.sdcdeals.com/redirect?destination=https%3A%2F%2Fwww.amazon.com%2Fdp%2FB0B1KCFN8V%3Fth%3D1%26psc%3D1%26tag%3Dsdcdeals03-20", "Amazon Link")</f>
        <v>Amazon Link</v>
      </c>
      <c r="G317" s="11" t="s">
        <v>36</v>
      </c>
      <c r="H317" s="14" t="s">
        <v>4375</v>
      </c>
      <c r="I317" s="11" t="str">
        <f>HYPERLINK("https://redirect.sdcdeals.com/redirect?code=763034&amp;mavely=https://mavely.app.link/e/bhESV2wGrGb&amp;destination=https%3A%2F%2Fwww.kohls.com%2Fsearch.jsp%3Fsubmit-search%3Dweb-regular%26search%3D39483050", "Retail Link")</f>
        <v>Retail Link</v>
      </c>
      <c r="J317" s="14" t="s">
        <v>4347</v>
      </c>
      <c r="K317" s="13" t="s">
        <v>4376</v>
      </c>
      <c r="L317" s="15">
        <v>20.847999999999999</v>
      </c>
      <c r="M317" s="15">
        <v>59.99</v>
      </c>
      <c r="N317" s="15">
        <v>23.543500000000002</v>
      </c>
      <c r="O317" s="15">
        <f>V317-M317</f>
        <v>-4.9400000000000048</v>
      </c>
      <c r="P317" s="16">
        <f>N317/L317</f>
        <v>1.1292929777436687</v>
      </c>
      <c r="Q317" s="14">
        <v>758</v>
      </c>
      <c r="R317" s="14"/>
      <c r="S317" s="17">
        <v>1.2676565</v>
      </c>
      <c r="T317" s="15">
        <v>59.99</v>
      </c>
      <c r="U317" s="15">
        <v>58.9</v>
      </c>
      <c r="V317" s="15">
        <v>55.05</v>
      </c>
      <c r="W317" s="14" t="s">
        <v>2697</v>
      </c>
      <c r="X317" s="14">
        <v>1</v>
      </c>
      <c r="Y317" s="10">
        <f>AC317-AB317</f>
        <v>47596</v>
      </c>
      <c r="Z317" s="18">
        <v>54</v>
      </c>
      <c r="AA317" s="18">
        <v>109</v>
      </c>
      <c r="AB317" s="18">
        <v>0</v>
      </c>
      <c r="AC317" s="18">
        <v>47596</v>
      </c>
      <c r="AD317" s="1" t="s">
        <v>4349</v>
      </c>
      <c r="AE317" s="1" t="s">
        <v>4350</v>
      </c>
      <c r="AF317" s="4">
        <v>10.199999999999999</v>
      </c>
      <c r="AG317" s="4">
        <v>6.6</v>
      </c>
    </row>
    <row r="318" spans="1:33" ht="47.25" customHeight="1" x14ac:dyDescent="0.25">
      <c r="A318" s="10" t="s">
        <v>2856</v>
      </c>
      <c r="B318" s="11" t="s">
        <v>33</v>
      </c>
      <c r="C318" s="12" t="s">
        <v>2857</v>
      </c>
      <c r="D318" s="27"/>
      <c r="E318" s="14" t="s">
        <v>35</v>
      </c>
      <c r="F318" s="11" t="str">
        <f>HYPERLINK("https://redirect.sdcdeals.com/redirect?destination=https%3A%2F%2Fwww.amazon.com%2Fdp%2FB0BGVVXGBQ%3Fth%3D1%26psc%3D1%26tag%3Dsdcdeals03-20", "Amazon Link")</f>
        <v>Amazon Link</v>
      </c>
      <c r="G318" s="11" t="s">
        <v>36</v>
      </c>
      <c r="H318" s="14" t="s">
        <v>2858</v>
      </c>
      <c r="I318" s="11" t="str">
        <f>HYPERLINK("https://redirect.sdcdeals.com/redirect?code=763034&amp;mavely=https://mavely.app.link/e/bhESV2wGrGb&amp;destination=https%3A%2F%2Fwww.kohls.com%2Fsearch.jsp%3Fsubmit-search%3Dweb-regular%26search%3D28218926", "Retail Link")</f>
        <v>Retail Link</v>
      </c>
      <c r="J318" s="14" t="s">
        <v>2832</v>
      </c>
      <c r="K318" s="13" t="s">
        <v>2859</v>
      </c>
      <c r="L318" s="15">
        <v>13.2</v>
      </c>
      <c r="M318" s="15">
        <v>40.97</v>
      </c>
      <c r="N318" s="15">
        <v>14.814500000000001</v>
      </c>
      <c r="O318" s="15">
        <f>V318-M318</f>
        <v>6.8900000000000006</v>
      </c>
      <c r="P318" s="16">
        <f>N318/L318</f>
        <v>1.1223106060606061</v>
      </c>
      <c r="Q318" s="14">
        <v>50398</v>
      </c>
      <c r="R318" s="14"/>
      <c r="S318" s="17">
        <v>0.58422430000000003</v>
      </c>
      <c r="T318" s="15">
        <v>40.97</v>
      </c>
      <c r="U318" s="15">
        <v>49.15</v>
      </c>
      <c r="V318" s="15">
        <v>47.86</v>
      </c>
      <c r="W318" s="14" t="s">
        <v>416</v>
      </c>
      <c r="X318" s="14">
        <v>4</v>
      </c>
      <c r="Y318" s="10">
        <f>AC318-AB318</f>
        <v>1032</v>
      </c>
      <c r="Z318" s="18">
        <v>36</v>
      </c>
      <c r="AA318" s="18">
        <v>85</v>
      </c>
      <c r="AB318" s="18">
        <v>0</v>
      </c>
      <c r="AC318" s="18">
        <v>1032</v>
      </c>
      <c r="AD318" s="1" t="s">
        <v>2834</v>
      </c>
      <c r="AE318" s="1" t="s">
        <v>2840</v>
      </c>
      <c r="AF318" s="4">
        <v>6.96</v>
      </c>
      <c r="AG318" s="4">
        <v>6.81</v>
      </c>
    </row>
    <row r="319" spans="1:33" ht="47.25" customHeight="1" x14ac:dyDescent="0.25">
      <c r="A319" s="10" t="s">
        <v>1244</v>
      </c>
      <c r="B319" s="11" t="s">
        <v>33</v>
      </c>
      <c r="C319" s="12" t="s">
        <v>1245</v>
      </c>
      <c r="D319" s="27"/>
      <c r="E319" s="14" t="s">
        <v>35</v>
      </c>
      <c r="F319" s="11" t="str">
        <f>HYPERLINK("https://redirect.sdcdeals.com/redirect?destination=https%3A%2F%2Fwww.amazon.com%2Fdp%2FB0CK4WS7PQ%3Fth%3D1%26psc%3D1%26tag%3Dsdcdeals03-20", "Amazon Link")</f>
        <v>Amazon Link</v>
      </c>
      <c r="G319" s="11" t="s">
        <v>36</v>
      </c>
      <c r="H319" s="14" t="s">
        <v>1246</v>
      </c>
      <c r="I319" s="11" t="str">
        <f>HYPERLINK("https://redirect.sdcdeals.com/redirect?code=763034&amp;mavely=https://mavely.app.link/e/bhESV2wGrGb&amp;destination=https%3A%2F%2Fwww.kohls.com%2Fsearch.jsp%3Fsubmit-search%3Dweb-regular%26search%3D54863287", "Retail Link")</f>
        <v>Retail Link</v>
      </c>
      <c r="J319" s="14" t="s">
        <v>1247</v>
      </c>
      <c r="K319" s="13" t="s">
        <v>1248</v>
      </c>
      <c r="L319" s="15">
        <v>4.4000000000000004</v>
      </c>
      <c r="M319" s="15">
        <v>17</v>
      </c>
      <c r="N319" s="15">
        <v>4.9299999999999979</v>
      </c>
      <c r="O319" s="15">
        <f>V319-M319</f>
        <v>6.9899999999999984</v>
      </c>
      <c r="P319" s="16">
        <f>N319/L319</f>
        <v>1.1204545454545449</v>
      </c>
      <c r="Q319" s="14">
        <v>236960</v>
      </c>
      <c r="R319" s="14"/>
      <c r="S319" s="17">
        <v>0.35053457999999998</v>
      </c>
      <c r="T319" s="15">
        <v>17</v>
      </c>
      <c r="U319" s="15">
        <v>23.99</v>
      </c>
      <c r="V319" s="15">
        <v>23.99</v>
      </c>
      <c r="W319" s="14" t="s">
        <v>516</v>
      </c>
      <c r="X319" s="14">
        <v>4</v>
      </c>
      <c r="Y319" s="10">
        <f>AC319-AB319</f>
        <v>651</v>
      </c>
      <c r="Z319" s="18">
        <v>16</v>
      </c>
      <c r="AA319" s="18">
        <v>63</v>
      </c>
      <c r="AB319" s="18">
        <v>0</v>
      </c>
      <c r="AC319" s="18">
        <v>651</v>
      </c>
      <c r="AE319" s="1" t="s">
        <v>1249</v>
      </c>
      <c r="AG319" s="4">
        <v>5.12</v>
      </c>
    </row>
    <row r="320" spans="1:33" ht="47.25" customHeight="1" x14ac:dyDescent="0.25">
      <c r="A320" s="10" t="s">
        <v>4840</v>
      </c>
      <c r="B320" s="11" t="s">
        <v>33</v>
      </c>
      <c r="C320" s="12" t="s">
        <v>4841</v>
      </c>
      <c r="D320" s="27"/>
      <c r="E320" s="14" t="s">
        <v>35</v>
      </c>
      <c r="F320" s="11" t="str">
        <f>HYPERLINK("https://redirect.sdcdeals.com/redirect?destination=https%3A%2F%2Fwww.amazon.com%2Fdp%2FB078MKVZ2W%3Fth%3D1%26psc%3D1%26tag%3Dsdcdeals03-20", "Amazon Link")</f>
        <v>Amazon Link</v>
      </c>
      <c r="G320" s="11" t="s">
        <v>36</v>
      </c>
      <c r="H320" s="14" t="s">
        <v>4842</v>
      </c>
      <c r="I320" s="11" t="str">
        <f>HYPERLINK("https://redirect.sdcdeals.com/redirect?code=763034&amp;mavely=https://mavely.app.link/e/bhESV2wGrGb&amp;destination=https%3A%2F%2Fwww.kohls.com%2Fsearch.jsp%3Fsubmit-search%3Dweb-regular%26search%3D20872332", "Retail Link")</f>
        <v>Retail Link</v>
      </c>
      <c r="J320" s="14" t="s">
        <v>4843</v>
      </c>
      <c r="K320" s="13" t="s">
        <v>4844</v>
      </c>
      <c r="L320" s="15">
        <v>15.896000000000001</v>
      </c>
      <c r="M320" s="15">
        <v>46.77</v>
      </c>
      <c r="N320" s="15">
        <v>17.808499999999999</v>
      </c>
      <c r="O320" s="15">
        <f>V320-M320</f>
        <v>8.519999999999996</v>
      </c>
      <c r="P320" s="16">
        <f>N320/L320</f>
        <v>1.1203132863613485</v>
      </c>
      <c r="Q320" s="14">
        <v>1362</v>
      </c>
      <c r="R320" s="14"/>
      <c r="S320" s="17">
        <v>1.36906902</v>
      </c>
      <c r="T320" s="15">
        <v>46.77</v>
      </c>
      <c r="U320" s="15">
        <v>52.25</v>
      </c>
      <c r="V320" s="15">
        <v>55.29</v>
      </c>
      <c r="W320" s="14" t="s">
        <v>277</v>
      </c>
      <c r="X320" s="14">
        <v>2</v>
      </c>
      <c r="Y320" s="10">
        <f>AC320-AB320</f>
        <v>967</v>
      </c>
      <c r="Z320" s="18">
        <v>47</v>
      </c>
      <c r="AA320" s="18">
        <v>93</v>
      </c>
      <c r="AB320" s="18">
        <v>14</v>
      </c>
      <c r="AC320" s="18">
        <v>981</v>
      </c>
      <c r="AD320" s="1" t="s">
        <v>4845</v>
      </c>
      <c r="AE320" s="1" t="s">
        <v>1092</v>
      </c>
      <c r="AG320" s="4">
        <v>6.05</v>
      </c>
    </row>
    <row r="321" spans="1:33" ht="47.25" customHeight="1" x14ac:dyDescent="0.25">
      <c r="A321" s="10" t="s">
        <v>1538</v>
      </c>
      <c r="B321" s="11" t="s">
        <v>33</v>
      </c>
      <c r="C321" s="12" t="s">
        <v>1539</v>
      </c>
      <c r="D321" s="27"/>
      <c r="E321" s="14" t="s">
        <v>35</v>
      </c>
      <c r="F321" s="11" t="str">
        <f>HYPERLINK("https://redirect.sdcdeals.com/redirect?destination=https%3A%2F%2Fwww.amazon.com%2Fdp%2FB083WLNRS6%3Fth%3D1%26psc%3D1%26tag%3Dsdcdeals03-20", "Amazon Link")</f>
        <v>Amazon Link</v>
      </c>
      <c r="G321" s="11" t="s">
        <v>36</v>
      </c>
      <c r="H321" s="14" t="s">
        <v>1540</v>
      </c>
      <c r="I321" s="11" t="str">
        <f>HYPERLINK("https://redirect.sdcdeals.com/redirect?code=763034&amp;mavely=https://mavely.app.link/e/bhESV2wGrGb&amp;destination=https%3A%2F%2Fwww.kohls.com%2Fsearch.jsp%3Fsubmit-search%3Dweb-regular%26search%3D65572536", "Retail Link")</f>
        <v>Retail Link</v>
      </c>
      <c r="J321" s="14" t="s">
        <v>1541</v>
      </c>
      <c r="K321" s="13" t="s">
        <v>1542</v>
      </c>
      <c r="L321" s="15">
        <v>20.847999999999999</v>
      </c>
      <c r="M321" s="15">
        <v>59.99</v>
      </c>
      <c r="N321" s="15">
        <v>23.333500000000001</v>
      </c>
      <c r="O321" s="15">
        <f>V321-M321</f>
        <v>-4.1000000000000014</v>
      </c>
      <c r="P321" s="16">
        <f>N321/L321</f>
        <v>1.1192200690713738</v>
      </c>
      <c r="Q321" s="14">
        <v>6545</v>
      </c>
      <c r="R321" s="14"/>
      <c r="S321" s="17">
        <v>0.98326051999999997</v>
      </c>
      <c r="T321" s="15">
        <v>59.99</v>
      </c>
      <c r="U321" s="15">
        <v>55.85</v>
      </c>
      <c r="V321" s="15">
        <v>55.89</v>
      </c>
      <c r="W321" s="14" t="s">
        <v>342</v>
      </c>
      <c r="X321" s="14">
        <v>1</v>
      </c>
      <c r="Y321" s="10">
        <f>AC321-AB321</f>
        <v>16315</v>
      </c>
      <c r="Z321" s="18">
        <v>52</v>
      </c>
      <c r="AA321" s="18">
        <v>152</v>
      </c>
      <c r="AB321" s="18">
        <v>1</v>
      </c>
      <c r="AC321" s="18">
        <v>16316</v>
      </c>
      <c r="AD321" s="1" t="s">
        <v>1543</v>
      </c>
      <c r="AE321" s="1" t="s">
        <v>1544</v>
      </c>
      <c r="AF321" s="4">
        <v>10.199999999999999</v>
      </c>
      <c r="AG321" s="4">
        <v>6.81</v>
      </c>
    </row>
    <row r="322" spans="1:33" ht="47.25" customHeight="1" x14ac:dyDescent="0.25">
      <c r="A322" s="10" t="s">
        <v>4425</v>
      </c>
      <c r="B322" s="11" t="s">
        <v>33</v>
      </c>
      <c r="C322" s="12" t="s">
        <v>4426</v>
      </c>
      <c r="D322" s="27"/>
      <c r="E322" s="14" t="s">
        <v>35</v>
      </c>
      <c r="F322" s="11" t="str">
        <f>HYPERLINK("https://redirect.sdcdeals.com/redirect?destination=https%3A%2F%2Fwww.amazon.com%2Fdp%2FB0B1KMJBCJ%3Fth%3D1%26psc%3D1%26tag%3Dsdcdeals03-20", "Amazon Link")</f>
        <v>Amazon Link</v>
      </c>
      <c r="G322" s="11" t="s">
        <v>36</v>
      </c>
      <c r="H322" s="14" t="s">
        <v>4427</v>
      </c>
      <c r="I322" s="11" t="str">
        <f>HYPERLINK("https://redirect.sdcdeals.com/redirect?code=763034&amp;mavely=https://mavely.app.link/e/bhESV2wGrGb&amp;destination=https%3A%2F%2Fwww.kohls.com%2Fsearch.jsp%3Fsubmit-search%3Dweb-regular%26search%3D39483070", "Retail Link")</f>
        <v>Retail Link</v>
      </c>
      <c r="J322" s="14" t="s">
        <v>4347</v>
      </c>
      <c r="K322" s="13" t="s">
        <v>4428</v>
      </c>
      <c r="L322" s="15">
        <v>20.847999999999999</v>
      </c>
      <c r="M322" s="15">
        <v>59.99</v>
      </c>
      <c r="N322" s="15">
        <v>23.333500000000001</v>
      </c>
      <c r="O322" s="15">
        <f>V322-M322</f>
        <v>-8.6300000000000026</v>
      </c>
      <c r="P322" s="16">
        <f>N322/L322</f>
        <v>1.1192200690713738</v>
      </c>
      <c r="Q322" s="14">
        <v>846</v>
      </c>
      <c r="R322" s="14"/>
      <c r="S322" s="17">
        <v>1.4528445800000001</v>
      </c>
      <c r="T322" s="15"/>
      <c r="U322" s="15">
        <v>59.99</v>
      </c>
      <c r="V322" s="15">
        <v>51.36</v>
      </c>
      <c r="W322" s="14" t="s">
        <v>131</v>
      </c>
      <c r="X322" s="14">
        <v>1</v>
      </c>
      <c r="Y322" s="10">
        <f>AC322-AB322</f>
        <v>46149</v>
      </c>
      <c r="Z322" s="18">
        <v>8</v>
      </c>
      <c r="AA322" s="18">
        <v>22</v>
      </c>
      <c r="AB322" s="18">
        <v>0</v>
      </c>
      <c r="AC322" s="18">
        <v>46149</v>
      </c>
      <c r="AD322" s="1" t="s">
        <v>4349</v>
      </c>
      <c r="AE322" s="1" t="s">
        <v>4350</v>
      </c>
      <c r="AG322" s="4">
        <v>6.81</v>
      </c>
    </row>
    <row r="323" spans="1:33" ht="47.25" customHeight="1" x14ac:dyDescent="0.25">
      <c r="A323" s="10" t="s">
        <v>4485</v>
      </c>
      <c r="B323" s="11" t="s">
        <v>33</v>
      </c>
      <c r="C323" s="12" t="s">
        <v>4486</v>
      </c>
      <c r="D323" s="27"/>
      <c r="E323" s="14" t="s">
        <v>35</v>
      </c>
      <c r="F323" s="11" t="str">
        <f>HYPERLINK("https://redirect.sdcdeals.com/redirect?destination=https%3A%2F%2Fwww.amazon.com%2Fdp%2FB0B1KMQQ5V%3Fth%3D1%26psc%3D1%26tag%3Dsdcdeals03-20", "Amazon Link")</f>
        <v>Amazon Link</v>
      </c>
      <c r="G323" s="11" t="s">
        <v>36</v>
      </c>
      <c r="H323" s="14" t="s">
        <v>4487</v>
      </c>
      <c r="I323" s="11" t="str">
        <f>HYPERLINK("https://redirect.sdcdeals.com/redirect?code=763034&amp;mavely=https://mavely.app.link/e/bhESV2wGrGb&amp;destination=https%3A%2F%2Fwww.kohls.com%2Fsearch.jsp%3Fsubmit-search%3Dweb-regular%26search%3D69117064", "Retail Link")</f>
        <v>Retail Link</v>
      </c>
      <c r="J323" s="14" t="s">
        <v>4347</v>
      </c>
      <c r="K323" s="13" t="s">
        <v>4488</v>
      </c>
      <c r="L323" s="15">
        <v>20.847999999999999</v>
      </c>
      <c r="M323" s="15">
        <v>59.99</v>
      </c>
      <c r="N323" s="15">
        <v>23.333500000000001</v>
      </c>
      <c r="O323" s="15">
        <f>V323-M323</f>
        <v>-7.740000000000002</v>
      </c>
      <c r="P323" s="16">
        <f>N323/L323</f>
        <v>1.1192200690713738</v>
      </c>
      <c r="Q323" s="14">
        <v>846</v>
      </c>
      <c r="R323" s="14"/>
      <c r="S323" s="17">
        <v>1.40875218</v>
      </c>
      <c r="T323" s="15">
        <v>59.99</v>
      </c>
      <c r="U323" s="15">
        <v>56.63</v>
      </c>
      <c r="V323" s="15">
        <v>52.25</v>
      </c>
      <c r="W323" s="14" t="s">
        <v>269</v>
      </c>
      <c r="X323" s="14">
        <v>1</v>
      </c>
      <c r="Y323" s="10">
        <f>AC323-AB323</f>
        <v>47530</v>
      </c>
      <c r="Z323" s="18">
        <v>50</v>
      </c>
      <c r="AA323" s="18">
        <v>140</v>
      </c>
      <c r="AB323" s="18">
        <v>4</v>
      </c>
      <c r="AC323" s="18">
        <v>47534</v>
      </c>
      <c r="AD323" s="1" t="s">
        <v>4419</v>
      </c>
      <c r="AE323" s="1" t="s">
        <v>4420</v>
      </c>
      <c r="AF323" s="4">
        <v>10.199999999999999</v>
      </c>
      <c r="AG323" s="4">
        <v>6.81</v>
      </c>
    </row>
    <row r="324" spans="1:33" ht="47.25" customHeight="1" x14ac:dyDescent="0.25">
      <c r="A324" s="10" t="s">
        <v>4519</v>
      </c>
      <c r="B324" s="11" t="s">
        <v>33</v>
      </c>
      <c r="C324" s="12" t="s">
        <v>4520</v>
      </c>
      <c r="D324" s="27"/>
      <c r="E324" s="14" t="s">
        <v>35</v>
      </c>
      <c r="F324" s="11" t="str">
        <f>HYPERLINK("https://redirect.sdcdeals.com/redirect?destination=https%3A%2F%2Fwww.amazon.com%2Fdp%2FB0B1JT9SZV%3Fth%3D1%26psc%3D1%26tag%3Dsdcdeals03-20", "Amazon Link")</f>
        <v>Amazon Link</v>
      </c>
      <c r="G324" s="11" t="s">
        <v>36</v>
      </c>
      <c r="H324" s="14" t="s">
        <v>4521</v>
      </c>
      <c r="I324" s="11" t="str">
        <f>HYPERLINK("https://redirect.sdcdeals.com/redirect?code=763034&amp;mavely=https://mavely.app.link/e/bhESV2wGrGb&amp;destination=https%3A%2F%2Fwww.kohls.com%2Fsearch.jsp%3Fsubmit-search%3Dweb-regular%26search%3D69117067", "Retail Link")</f>
        <v>Retail Link</v>
      </c>
      <c r="J324" s="14" t="s">
        <v>4347</v>
      </c>
      <c r="K324" s="13" t="s">
        <v>4522</v>
      </c>
      <c r="L324" s="15">
        <v>20.847999999999999</v>
      </c>
      <c r="M324" s="15">
        <v>59.99</v>
      </c>
      <c r="N324" s="15">
        <v>23.333500000000001</v>
      </c>
      <c r="O324" s="15">
        <f>V324-M324</f>
        <v>-3.9600000000000009</v>
      </c>
      <c r="P324" s="16">
        <f>N324/L324</f>
        <v>1.1192200690713738</v>
      </c>
      <c r="Q324" s="14">
        <v>846</v>
      </c>
      <c r="R324" s="14"/>
      <c r="S324" s="17">
        <v>1.4881184999999999</v>
      </c>
      <c r="T324" s="15">
        <v>59.99</v>
      </c>
      <c r="U324" s="15">
        <v>58.89</v>
      </c>
      <c r="V324" s="15">
        <v>56.03</v>
      </c>
      <c r="W324" s="14" t="s">
        <v>60</v>
      </c>
      <c r="X324" s="14">
        <v>1</v>
      </c>
      <c r="Y324" s="10">
        <f>AC324-AB324</f>
        <v>47534</v>
      </c>
      <c r="Z324" s="18">
        <v>55</v>
      </c>
      <c r="AA324" s="18">
        <v>120</v>
      </c>
      <c r="AB324" s="18">
        <v>0</v>
      </c>
      <c r="AC324" s="18">
        <v>47534</v>
      </c>
      <c r="AD324" s="1" t="s">
        <v>4419</v>
      </c>
      <c r="AE324" s="1" t="s">
        <v>4420</v>
      </c>
      <c r="AF324" s="4">
        <v>10.199999999999999</v>
      </c>
      <c r="AG324" s="4">
        <v>6.81</v>
      </c>
    </row>
    <row r="325" spans="1:33" ht="47.25" customHeight="1" x14ac:dyDescent="0.25">
      <c r="A325" s="10" t="s">
        <v>2279</v>
      </c>
      <c r="B325" s="11" t="s">
        <v>33</v>
      </c>
      <c r="C325" s="12" t="s">
        <v>2280</v>
      </c>
      <c r="D325" s="27"/>
      <c r="E325" s="14" t="s">
        <v>35</v>
      </c>
      <c r="F325" s="11" t="str">
        <f>HYPERLINK("https://redirect.sdcdeals.com/redirect?destination=https%3A%2F%2Fwww.amazon.com%2Fdp%2FB0BKR1N428%3Fth%3D1%26psc%3D1%26tag%3Dsdcdeals03-20", "Amazon Link")</f>
        <v>Amazon Link</v>
      </c>
      <c r="G325" s="11" t="s">
        <v>36</v>
      </c>
      <c r="H325" s="14" t="s">
        <v>2281</v>
      </c>
      <c r="I325" s="11" t="str">
        <f>HYPERLINK("https://redirect.sdcdeals.com/redirect?code=763034&amp;mavely=https://mavely.app.link/e/bhESV2wGrGb&amp;destination=https%3A%2F%2Fwww.kohls.com%2Fsearch.jsp%3Fsubmit-search%3Dweb-regular%26search%3D62949709", "Retail Link")</f>
        <v>Retail Link</v>
      </c>
      <c r="J325" s="14" t="s">
        <v>2210</v>
      </c>
      <c r="K325" s="13" t="s">
        <v>2282</v>
      </c>
      <c r="L325" s="15">
        <v>52.8</v>
      </c>
      <c r="M325" s="15">
        <v>149</v>
      </c>
      <c r="N325" s="15">
        <v>58.92</v>
      </c>
      <c r="O325" s="15">
        <f>V325-M325</f>
        <v>-7.3000000000000114</v>
      </c>
      <c r="P325" s="16">
        <f>N325/L325</f>
        <v>1.115909090909091</v>
      </c>
      <c r="Q325" s="14">
        <v>1323131</v>
      </c>
      <c r="R325" s="14"/>
      <c r="S325" s="17">
        <v>2.7601842400000001</v>
      </c>
      <c r="T325" s="15">
        <v>129.78</v>
      </c>
      <c r="U325" s="15">
        <v>143.83000000000001</v>
      </c>
      <c r="V325" s="15">
        <v>141.69999999999999</v>
      </c>
      <c r="W325" s="14" t="s">
        <v>269</v>
      </c>
      <c r="X325" s="14">
        <v>2</v>
      </c>
      <c r="Y325" s="10">
        <f>AC325-AB325</f>
        <v>0</v>
      </c>
      <c r="Z325" s="18">
        <v>5</v>
      </c>
      <c r="AA325" s="18">
        <v>31</v>
      </c>
      <c r="AB325" s="18">
        <v>0</v>
      </c>
      <c r="AC325" s="18"/>
      <c r="AD325" s="1" t="s">
        <v>2212</v>
      </c>
      <c r="AE325" s="1" t="s">
        <v>1406</v>
      </c>
      <c r="AF325" s="4">
        <v>25.33</v>
      </c>
      <c r="AG325" s="4">
        <v>14.93</v>
      </c>
    </row>
    <row r="326" spans="1:33" ht="47.25" customHeight="1" x14ac:dyDescent="0.25">
      <c r="A326" s="10" t="s">
        <v>3479</v>
      </c>
      <c r="B326" s="11" t="s">
        <v>33</v>
      </c>
      <c r="C326" s="12" t="s">
        <v>3480</v>
      </c>
      <c r="D326" s="27"/>
      <c r="E326" s="14" t="s">
        <v>35</v>
      </c>
      <c r="F326" s="11" t="str">
        <f>HYPERLINK("https://redirect.sdcdeals.com/redirect?destination=https%3A%2F%2Fwww.amazon.com%2Fdp%2FB0BZDYMWWJ%3Fth%3D1%26psc%3D1%26tag%3Dsdcdeals03-20", "Amazon Link")</f>
        <v>Amazon Link</v>
      </c>
      <c r="G326" s="11" t="s">
        <v>36</v>
      </c>
      <c r="H326" s="14" t="s">
        <v>3481</v>
      </c>
      <c r="I326" s="11" t="str">
        <f>HYPERLINK("https://redirect.sdcdeals.com/redirect?code=763034&amp;mavely=https://mavely.app.link/e/bhESV2wGrGb&amp;destination=https%3A%2F%2Fwww.kohls.com%2Fsearch.jsp%3Fsubmit-search%3Dweb-regular%26search%3D55684938", "Retail Link")</f>
        <v>Retail Link</v>
      </c>
      <c r="J326" s="14" t="s">
        <v>3413</v>
      </c>
      <c r="K326" s="13" t="s">
        <v>3482</v>
      </c>
      <c r="L326" s="15">
        <v>12.48</v>
      </c>
      <c r="M326" s="15">
        <v>42.99</v>
      </c>
      <c r="N326" s="15">
        <v>13.891500000000001</v>
      </c>
      <c r="O326" s="15">
        <f>V326-M326</f>
        <v>-2.0700000000000003</v>
      </c>
      <c r="P326" s="16">
        <f>N326/L326</f>
        <v>1.1131009615384615</v>
      </c>
      <c r="Q326" s="14">
        <v>95891</v>
      </c>
      <c r="R326" s="14"/>
      <c r="S326" s="17">
        <v>1.4109567999999999</v>
      </c>
      <c r="T326" s="15">
        <v>42.99</v>
      </c>
      <c r="U326" s="15">
        <v>40.630000000000003</v>
      </c>
      <c r="V326" s="15">
        <v>40.92</v>
      </c>
      <c r="W326" s="14" t="s">
        <v>516</v>
      </c>
      <c r="X326" s="14">
        <v>1</v>
      </c>
      <c r="Y326" s="10">
        <f>AC326-AB326</f>
        <v>3500</v>
      </c>
      <c r="Z326" s="18">
        <v>37</v>
      </c>
      <c r="AA326" s="18">
        <v>101</v>
      </c>
      <c r="AB326" s="18">
        <v>0</v>
      </c>
      <c r="AC326" s="18">
        <v>3500</v>
      </c>
      <c r="AD326" s="1" t="s">
        <v>1037</v>
      </c>
      <c r="AE326" s="1" t="s">
        <v>3421</v>
      </c>
      <c r="AF326" s="4">
        <v>7.31</v>
      </c>
      <c r="AG326" s="4">
        <v>10.17</v>
      </c>
    </row>
    <row r="327" spans="1:33" ht="47.25" customHeight="1" x14ac:dyDescent="0.25">
      <c r="A327" s="10" t="s">
        <v>3483</v>
      </c>
      <c r="B327" s="11" t="s">
        <v>33</v>
      </c>
      <c r="C327" s="12" t="s">
        <v>3484</v>
      </c>
      <c r="D327" s="27"/>
      <c r="E327" s="14" t="s">
        <v>35</v>
      </c>
      <c r="F327" s="11" t="str">
        <f>HYPERLINK("https://redirect.sdcdeals.com/redirect?destination=https%3A%2F%2Fwww.amazon.com%2Fdp%2FB09VGWMC4L%3Fth%3D1%26psc%3D1%26tag%3Dsdcdeals03-20", "Amazon Link")</f>
        <v>Amazon Link</v>
      </c>
      <c r="G327" s="11" t="s">
        <v>36</v>
      </c>
      <c r="H327" s="14" t="s">
        <v>3485</v>
      </c>
      <c r="I327" s="11" t="str">
        <f>HYPERLINK("https://redirect.sdcdeals.com/redirect?code=763034&amp;mavely=https://mavely.app.link/e/bhESV2wGrGb&amp;destination=https%3A%2F%2Fwww.kohls.com%2Fsearch.jsp%3Fsubmit-search%3Dweb-regular%26search%3D37724581", "Retail Link")</f>
        <v>Retail Link</v>
      </c>
      <c r="J327" s="14" t="s">
        <v>3413</v>
      </c>
      <c r="K327" s="13" t="s">
        <v>3486</v>
      </c>
      <c r="L327" s="15">
        <v>12.48</v>
      </c>
      <c r="M327" s="15">
        <v>42.99</v>
      </c>
      <c r="N327" s="15">
        <v>13.891500000000001</v>
      </c>
      <c r="O327" s="15">
        <f>V327-M327</f>
        <v>-5.9500000000000028</v>
      </c>
      <c r="P327" s="16">
        <f>N327/L327</f>
        <v>1.1131009615384615</v>
      </c>
      <c r="Q327" s="14">
        <v>95891</v>
      </c>
      <c r="R327" s="14"/>
      <c r="S327" s="17">
        <v>1.4991416</v>
      </c>
      <c r="T327" s="15">
        <v>42.99</v>
      </c>
      <c r="U327" s="15">
        <v>36.090000000000003</v>
      </c>
      <c r="V327" s="15">
        <v>37.04</v>
      </c>
      <c r="W327" s="14" t="s">
        <v>991</v>
      </c>
      <c r="X327" s="14">
        <v>1</v>
      </c>
      <c r="Y327" s="10">
        <f>AC327-AB327</f>
        <v>3499</v>
      </c>
      <c r="Z327" s="18">
        <v>26</v>
      </c>
      <c r="AA327" s="18">
        <v>74</v>
      </c>
      <c r="AB327" s="18">
        <v>1</v>
      </c>
      <c r="AC327" s="18">
        <v>3500</v>
      </c>
      <c r="AD327" s="1" t="s">
        <v>1037</v>
      </c>
      <c r="AE327" s="1" t="s">
        <v>2089</v>
      </c>
      <c r="AF327" s="4">
        <v>7.31</v>
      </c>
      <c r="AG327" s="4">
        <v>10.17</v>
      </c>
    </row>
    <row r="328" spans="1:33" ht="47.25" customHeight="1" x14ac:dyDescent="0.25">
      <c r="A328" s="10" t="s">
        <v>4885</v>
      </c>
      <c r="B328" s="11" t="s">
        <v>33</v>
      </c>
      <c r="C328" s="12" t="s">
        <v>4886</v>
      </c>
      <c r="D328" s="27"/>
      <c r="E328" s="14" t="s">
        <v>35</v>
      </c>
      <c r="F328" s="11" t="str">
        <f>HYPERLINK("https://redirect.sdcdeals.com/redirect?destination=https%3A%2F%2Fwww.amazon.com%2Fdp%2FB0BGVVJH43%3Fth%3D1%26psc%3D1%26tag%3Dsdcdeals03-20", "Amazon Link")</f>
        <v>Amazon Link</v>
      </c>
      <c r="G328" s="11" t="s">
        <v>36</v>
      </c>
      <c r="H328" s="14" t="s">
        <v>4887</v>
      </c>
      <c r="I328" s="11" t="str">
        <f>HYPERLINK("https://redirect.sdcdeals.com/redirect?code=763034&amp;mavely=https://mavely.app.link/e/bhESV2wGrGb&amp;destination=https%3A%2F%2Fwww.kohls.com%2Fsearch.jsp%3Fsubmit-search%3Dweb-regular%26search%3D20561516", "Retail Link")</f>
        <v>Retail Link</v>
      </c>
      <c r="J328" s="14" t="s">
        <v>4881</v>
      </c>
      <c r="K328" s="13" t="s">
        <v>4888</v>
      </c>
      <c r="L328" s="15">
        <v>15.6</v>
      </c>
      <c r="M328" s="15">
        <v>45.97</v>
      </c>
      <c r="N328" s="15">
        <v>17.334499999999998</v>
      </c>
      <c r="O328" s="15">
        <f>V328-M328</f>
        <v>8.89</v>
      </c>
      <c r="P328" s="16">
        <f>N328/L328</f>
        <v>1.1111858974358975</v>
      </c>
      <c r="Q328" s="14">
        <v>168661</v>
      </c>
      <c r="R328" s="14"/>
      <c r="S328" s="17">
        <v>0.93696350000000006</v>
      </c>
      <c r="T328" s="15">
        <v>45.97</v>
      </c>
      <c r="U328" s="15">
        <v>56.62</v>
      </c>
      <c r="V328" s="15">
        <v>54.86</v>
      </c>
      <c r="W328" s="14" t="s">
        <v>385</v>
      </c>
      <c r="X328" s="14">
        <v>4</v>
      </c>
      <c r="Y328" s="10">
        <f>AC328-AB328</f>
        <v>0</v>
      </c>
      <c r="Z328" s="18">
        <v>33</v>
      </c>
      <c r="AA328" s="18">
        <v>79</v>
      </c>
      <c r="AB328" s="18">
        <v>0</v>
      </c>
      <c r="AC328" s="18"/>
      <c r="AD328" s="1" t="s">
        <v>4883</v>
      </c>
      <c r="AE328" s="1" t="s">
        <v>4889</v>
      </c>
      <c r="AF328" s="4">
        <v>7.81</v>
      </c>
      <c r="AG328" s="4">
        <v>6.14</v>
      </c>
    </row>
    <row r="329" spans="1:33" ht="47.25" customHeight="1" x14ac:dyDescent="0.25">
      <c r="A329" s="10" t="s">
        <v>7330</v>
      </c>
      <c r="B329" s="11" t="s">
        <v>33</v>
      </c>
      <c r="C329" s="12" t="s">
        <v>7331</v>
      </c>
      <c r="D329" s="27"/>
      <c r="E329" s="14" t="s">
        <v>35</v>
      </c>
      <c r="F329" s="11" t="str">
        <f>HYPERLINK("https://redirect.sdcdeals.com/redirect?destination=https%3A%2F%2Fwww.amazon.com%2Fdp%2FB0BNWGW4G8%3Fth%3D1%26psc%3D1%26tag%3Dsdcdeals03-20", "Amazon Link")</f>
        <v>Amazon Link</v>
      </c>
      <c r="G329" s="11" t="s">
        <v>36</v>
      </c>
      <c r="H329" s="14" t="s">
        <v>7332</v>
      </c>
      <c r="I329" s="11" t="str">
        <f>HYPERLINK("https://redirect.sdcdeals.com/redirect?code=763034&amp;mavely=https://mavely.app.link/e/bhESV2wGrGb&amp;destination=https%3A%2F%2Fwww.kohls.com%2Fsearch.jsp%3Fsubmit-search%3Dweb-regular%26search%3D37212102", "Retail Link")</f>
        <v>Retail Link</v>
      </c>
      <c r="J329" s="14" t="s">
        <v>7320</v>
      </c>
      <c r="K329" s="13" t="s">
        <v>7333</v>
      </c>
      <c r="L329" s="15">
        <v>22.4</v>
      </c>
      <c r="M329" s="15">
        <v>59.97</v>
      </c>
      <c r="N329" s="15">
        <v>24.854500000000002</v>
      </c>
      <c r="O329" s="15">
        <f>V329-M329</f>
        <v>-19.409999999999997</v>
      </c>
      <c r="P329" s="16">
        <f>N329/L329</f>
        <v>1.1095758928571431</v>
      </c>
      <c r="Q329" s="14">
        <v>2605453</v>
      </c>
      <c r="R329" s="14"/>
      <c r="S329" s="17">
        <v>0.54895037999999996</v>
      </c>
      <c r="T329" s="15">
        <v>59.97</v>
      </c>
      <c r="U329" s="15"/>
      <c r="V329" s="15">
        <v>40.56</v>
      </c>
      <c r="W329" s="14" t="s">
        <v>2620</v>
      </c>
      <c r="X329" s="14">
        <v>4</v>
      </c>
      <c r="Y329" s="10">
        <f>AC329-AB329</f>
        <v>0</v>
      </c>
      <c r="Z329" s="18">
        <v>2</v>
      </c>
      <c r="AA329" s="18">
        <v>10</v>
      </c>
      <c r="AB329" s="18"/>
      <c r="AC329" s="18"/>
      <c r="AD329" s="1" t="s">
        <v>855</v>
      </c>
      <c r="AE329" s="1" t="s">
        <v>278</v>
      </c>
      <c r="AG329" s="4">
        <v>3.72</v>
      </c>
    </row>
    <row r="330" spans="1:33" ht="47.25" customHeight="1" x14ac:dyDescent="0.25">
      <c r="A330" s="10" t="s">
        <v>2329</v>
      </c>
      <c r="B330" s="11" t="s">
        <v>33</v>
      </c>
      <c r="C330" s="12" t="s">
        <v>2330</v>
      </c>
      <c r="D330" s="27"/>
      <c r="E330" s="14" t="s">
        <v>35</v>
      </c>
      <c r="F330" s="11" t="str">
        <f>HYPERLINK("https://redirect.sdcdeals.com/redirect?destination=https%3A%2F%2Fwww.amazon.com%2Fdp%2FB08G9Z79V4%3Fth%3D1%26psc%3D1%26tag%3Dsdcdeals03-20", "Amazon Link")</f>
        <v>Amazon Link</v>
      </c>
      <c r="G330" s="11" t="s">
        <v>36</v>
      </c>
      <c r="H330" s="14" t="s">
        <v>2331</v>
      </c>
      <c r="I330" s="11" t="str">
        <f>HYPERLINK("https://redirect.sdcdeals.com/redirect?code=763034&amp;mavely=https://mavely.app.link/e/bhESV2wGrGb&amp;destination=https%3A%2F%2Fwww.kohls.com%2Fsearch.jsp%3Fsubmit-search%3Dweb-regular%26search%3D58151590", "Retail Link")</f>
        <v>Retail Link</v>
      </c>
      <c r="J330" s="14" t="s">
        <v>2326</v>
      </c>
      <c r="K330" s="13" t="s">
        <v>2332</v>
      </c>
      <c r="L330" s="15">
        <v>10.8</v>
      </c>
      <c r="M330" s="15">
        <v>34.4</v>
      </c>
      <c r="N330" s="15">
        <v>11.96</v>
      </c>
      <c r="O330" s="15">
        <f>V330-M330</f>
        <v>6.6300000000000026</v>
      </c>
      <c r="P330" s="16">
        <f>N330/L330</f>
        <v>1.1074074074074074</v>
      </c>
      <c r="Q330" s="14">
        <v>12581</v>
      </c>
      <c r="R330" s="14"/>
      <c r="S330" s="17">
        <v>0.52029031999999997</v>
      </c>
      <c r="T330" s="15">
        <v>26.45</v>
      </c>
      <c r="U330" s="15">
        <v>40.1</v>
      </c>
      <c r="V330" s="15">
        <v>41.03</v>
      </c>
      <c r="W330" s="14" t="s">
        <v>698</v>
      </c>
      <c r="X330" s="14">
        <v>2</v>
      </c>
      <c r="Y330" s="10">
        <f>AC330-AB330</f>
        <v>1274</v>
      </c>
      <c r="Z330" s="18">
        <v>16</v>
      </c>
      <c r="AA330" s="18">
        <v>31</v>
      </c>
      <c r="AB330" s="18">
        <v>5</v>
      </c>
      <c r="AC330" s="18">
        <v>1279</v>
      </c>
      <c r="AD330" s="1" t="s">
        <v>2333</v>
      </c>
      <c r="AE330" s="1" t="s">
        <v>2334</v>
      </c>
      <c r="AF330" s="4">
        <v>5.85</v>
      </c>
      <c r="AG330" s="4">
        <v>6.48</v>
      </c>
    </row>
    <row r="331" spans="1:33" ht="47.25" customHeight="1" x14ac:dyDescent="0.25">
      <c r="A331" s="10" t="s">
        <v>2367</v>
      </c>
      <c r="B331" s="11" t="s">
        <v>33</v>
      </c>
      <c r="C331" s="12" t="s">
        <v>2368</v>
      </c>
      <c r="D331" s="27"/>
      <c r="E331" s="14" t="s">
        <v>35</v>
      </c>
      <c r="F331" s="11" t="str">
        <f>HYPERLINK("https://redirect.sdcdeals.com/redirect?destination=https%3A%2F%2Fwww.amazon.com%2Fdp%2FB09KMSK77F%3Fth%3D1%26psc%3D1%26tag%3Dsdcdeals03-20", "Amazon Link")</f>
        <v>Amazon Link</v>
      </c>
      <c r="G331" s="11" t="s">
        <v>36</v>
      </c>
      <c r="H331" s="14" t="s">
        <v>2369</v>
      </c>
      <c r="I331" s="11" t="str">
        <f>HYPERLINK("https://redirect.sdcdeals.com/redirect?code=763034&amp;mavely=https://mavely.app.link/e/bhESV2wGrGb&amp;destination=https%3A%2F%2Fwww.kohls.com%2Fsearch.jsp%3Fsubmit-search%3Dweb-regular%26search%3D54082536", "Retail Link")</f>
        <v>Retail Link</v>
      </c>
      <c r="J331" s="14" t="s">
        <v>2362</v>
      </c>
      <c r="K331" s="13" t="s">
        <v>2370</v>
      </c>
      <c r="L331" s="15">
        <v>15.4</v>
      </c>
      <c r="M331" s="15">
        <v>46.02</v>
      </c>
      <c r="N331" s="15">
        <v>17.047000000000001</v>
      </c>
      <c r="O331" s="15">
        <f>V331-M331</f>
        <v>3.009999999999998</v>
      </c>
      <c r="P331" s="16">
        <f>N331/L331</f>
        <v>1.1069480519480519</v>
      </c>
      <c r="Q331" s="14">
        <v>229494</v>
      </c>
      <c r="R331" s="14"/>
      <c r="S331" s="17">
        <v>0.86200642000000005</v>
      </c>
      <c r="T331" s="15">
        <v>46.02</v>
      </c>
      <c r="U331" s="15">
        <v>47.71</v>
      </c>
      <c r="V331" s="15">
        <v>49.03</v>
      </c>
      <c r="W331" s="14" t="s">
        <v>2371</v>
      </c>
      <c r="X331" s="14">
        <v>2</v>
      </c>
      <c r="Y331" s="10">
        <f>AC331-AB331</f>
        <v>202</v>
      </c>
      <c r="Z331" s="18">
        <v>21</v>
      </c>
      <c r="AA331" s="18">
        <v>68</v>
      </c>
      <c r="AB331" s="18">
        <v>5</v>
      </c>
      <c r="AC331" s="18">
        <v>207</v>
      </c>
      <c r="AD331" s="1" t="s">
        <v>2365</v>
      </c>
      <c r="AE331" s="1" t="s">
        <v>2366</v>
      </c>
      <c r="AF331" s="4">
        <v>7.82</v>
      </c>
      <c r="AG331" s="4">
        <v>6.67</v>
      </c>
    </row>
    <row r="332" spans="1:33" ht="47.25" customHeight="1" x14ac:dyDescent="0.25">
      <c r="A332" s="10" t="s">
        <v>452</v>
      </c>
      <c r="B332" s="11" t="s">
        <v>33</v>
      </c>
      <c r="C332" s="12" t="s">
        <v>453</v>
      </c>
      <c r="D332" s="27"/>
      <c r="E332" s="14" t="s">
        <v>35</v>
      </c>
      <c r="F332" s="11" t="str">
        <f>HYPERLINK("https://redirect.sdcdeals.com/redirect?destination=https%3A%2F%2Fwww.amazon.com%2Fdp%2FB0B1KR2K1T%3Fth%3D1%26psc%3D1%26tag%3Dsdcdeals03-20", "Amazon Link")</f>
        <v>Amazon Link</v>
      </c>
      <c r="G332" s="11" t="s">
        <v>36</v>
      </c>
      <c r="H332" s="14" t="s">
        <v>454</v>
      </c>
      <c r="I332" s="11" t="str">
        <f>HYPERLINK("https://redirect.sdcdeals.com/redirect?code=763034&amp;mavely=https://mavely.app.link/e/bhESV2wGrGb&amp;destination=https%3A%2F%2Fwww.kohls.com%2Fsearch.jsp%3Fsubmit-search%3Dweb-regular%26search%3D47623806", "Retail Link")</f>
        <v>Retail Link</v>
      </c>
      <c r="J332" s="14" t="s">
        <v>455</v>
      </c>
      <c r="K332" s="13" t="s">
        <v>456</v>
      </c>
      <c r="L332" s="15">
        <v>20.847999999999999</v>
      </c>
      <c r="M332" s="15">
        <v>59.99</v>
      </c>
      <c r="N332" s="15">
        <v>23.063500000000001</v>
      </c>
      <c r="O332" s="15">
        <f>V332-M332</f>
        <v>-8.7000000000000028</v>
      </c>
      <c r="P332" s="16">
        <f>N332/L332</f>
        <v>1.1062691864927092</v>
      </c>
      <c r="Q332" s="14">
        <v>10915</v>
      </c>
      <c r="R332" s="14"/>
      <c r="S332" s="17">
        <v>1.3227720000000001</v>
      </c>
      <c r="T332" s="15">
        <v>59.99</v>
      </c>
      <c r="U332" s="15">
        <v>57.46</v>
      </c>
      <c r="V332" s="15">
        <v>51.29</v>
      </c>
      <c r="W332" s="14" t="s">
        <v>100</v>
      </c>
      <c r="X332" s="14">
        <v>1</v>
      </c>
      <c r="Y332" s="10">
        <f>AC332-AB332</f>
        <v>9832</v>
      </c>
      <c r="Z332" s="18">
        <v>45</v>
      </c>
      <c r="AA332" s="18">
        <v>144</v>
      </c>
      <c r="AB332" s="18">
        <v>0</v>
      </c>
      <c r="AC332" s="18">
        <v>9832</v>
      </c>
      <c r="AD332" s="1" t="s">
        <v>457</v>
      </c>
      <c r="AE332" s="1" t="s">
        <v>458</v>
      </c>
      <c r="AF332" s="4">
        <v>10.199999999999999</v>
      </c>
      <c r="AG332" s="4">
        <v>7.08</v>
      </c>
    </row>
    <row r="333" spans="1:33" ht="47.25" customHeight="1" x14ac:dyDescent="0.25">
      <c r="A333" s="10" t="s">
        <v>4511</v>
      </c>
      <c r="B333" s="11" t="s">
        <v>33</v>
      </c>
      <c r="C333" s="12" t="s">
        <v>4512</v>
      </c>
      <c r="D333" s="27"/>
      <c r="E333" s="14" t="s">
        <v>35</v>
      </c>
      <c r="F333" s="11" t="str">
        <f>HYPERLINK("https://redirect.sdcdeals.com/redirect?destination=https%3A%2F%2Fwww.amazon.com%2Fdp%2FB0B1K855LY%3Fth%3D1%26psc%3D1%26tag%3Dsdcdeals03-20", "Amazon Link")</f>
        <v>Amazon Link</v>
      </c>
      <c r="G333" s="11" t="s">
        <v>36</v>
      </c>
      <c r="H333" s="14" t="s">
        <v>4513</v>
      </c>
      <c r="I333" s="11" t="str">
        <f>HYPERLINK("https://redirect.sdcdeals.com/redirect?code=763034&amp;mavely=https://mavely.app.link/e/bhESV2wGrGb&amp;destination=https%3A%2F%2Fwww.kohls.com%2Fsearch.jsp%3Fsubmit-search%3Dweb-regular%26search%3D69117066", "Retail Link")</f>
        <v>Retail Link</v>
      </c>
      <c r="J333" s="14" t="s">
        <v>4347</v>
      </c>
      <c r="K333" s="13" t="s">
        <v>4514</v>
      </c>
      <c r="L333" s="15">
        <v>20.847999999999999</v>
      </c>
      <c r="M333" s="15">
        <v>59.99</v>
      </c>
      <c r="N333" s="15">
        <v>23.063500000000001</v>
      </c>
      <c r="O333" s="15">
        <f>V333-M333</f>
        <v>-3.6700000000000017</v>
      </c>
      <c r="P333" s="16">
        <f>N333/L333</f>
        <v>1.1062691864927092</v>
      </c>
      <c r="Q333" s="14">
        <v>846</v>
      </c>
      <c r="R333" s="14"/>
      <c r="S333" s="17">
        <v>1.36906902</v>
      </c>
      <c r="T333" s="15">
        <v>59.99</v>
      </c>
      <c r="U333" s="15">
        <v>59.39</v>
      </c>
      <c r="V333" s="15">
        <v>56.32</v>
      </c>
      <c r="W333" s="14" t="s">
        <v>366</v>
      </c>
      <c r="X333" s="14">
        <v>1</v>
      </c>
      <c r="Y333" s="10">
        <f>AC333-AB333</f>
        <v>47533</v>
      </c>
      <c r="Z333" s="18">
        <v>39</v>
      </c>
      <c r="AA333" s="18">
        <v>102</v>
      </c>
      <c r="AB333" s="18">
        <v>1</v>
      </c>
      <c r="AC333" s="18">
        <v>47534</v>
      </c>
      <c r="AD333" s="1" t="s">
        <v>4419</v>
      </c>
      <c r="AE333" s="1" t="s">
        <v>4420</v>
      </c>
      <c r="AF333" s="4">
        <v>10.199999999999999</v>
      </c>
      <c r="AG333" s="4">
        <v>7.08</v>
      </c>
    </row>
    <row r="334" spans="1:33" ht="47.25" customHeight="1" x14ac:dyDescent="0.25">
      <c r="A334" s="10" t="s">
        <v>1706</v>
      </c>
      <c r="B334" s="11" t="s">
        <v>33</v>
      </c>
      <c r="C334" s="12" t="s">
        <v>1707</v>
      </c>
      <c r="D334" s="27"/>
      <c r="E334" s="14" t="s">
        <v>35</v>
      </c>
      <c r="F334" s="11" t="str">
        <f>HYPERLINK("https://redirect.sdcdeals.com/redirect?destination=https%3A%2F%2Fwww.amazon.com%2Fdp%2FB08NYKGWR2%3Fth%3D1%26psc%3D1%26tag%3Dsdcdeals03-20", "Amazon Link")</f>
        <v>Amazon Link</v>
      </c>
      <c r="G334" s="11" t="s">
        <v>36</v>
      </c>
      <c r="H334" s="14" t="s">
        <v>1708</v>
      </c>
      <c r="I334" s="11" t="str">
        <f>HYPERLINK("https://redirect.sdcdeals.com/redirect?code=763034&amp;mavely=https://mavely.app.link/e/bhESV2wGrGb&amp;destination=https%3A%2F%2Fwww.kohls.com%2Fsearch.jsp%3Fsubmit-search%3Dweb-regular%26search%3D75742805", "Retail Link")</f>
        <v>Retail Link</v>
      </c>
      <c r="J334" s="14" t="s">
        <v>1701</v>
      </c>
      <c r="K334" s="13" t="s">
        <v>1709</v>
      </c>
      <c r="L334" s="15">
        <v>15.4</v>
      </c>
      <c r="M334" s="15">
        <v>46</v>
      </c>
      <c r="N334" s="15">
        <v>17.03</v>
      </c>
      <c r="O334" s="15">
        <f>V334-M334</f>
        <v>-5.7100000000000009</v>
      </c>
      <c r="P334" s="16">
        <f>N334/L334</f>
        <v>1.1058441558441559</v>
      </c>
      <c r="Q334" s="14">
        <v>102803</v>
      </c>
      <c r="R334" s="14"/>
      <c r="S334" s="17">
        <v>0.67902295999999995</v>
      </c>
      <c r="T334" s="15">
        <v>46</v>
      </c>
      <c r="U334" s="15">
        <v>45.75</v>
      </c>
      <c r="V334" s="15">
        <v>40.29</v>
      </c>
      <c r="W334" s="14" t="s">
        <v>1710</v>
      </c>
      <c r="X334" s="14">
        <v>8</v>
      </c>
      <c r="Y334" s="10">
        <f>AC334-AB334</f>
        <v>141</v>
      </c>
      <c r="Z334" s="18">
        <v>29</v>
      </c>
      <c r="AA334" s="18">
        <v>86</v>
      </c>
      <c r="AB334" s="18">
        <v>14</v>
      </c>
      <c r="AC334" s="18">
        <v>155</v>
      </c>
      <c r="AD334" s="1" t="s">
        <v>1704</v>
      </c>
      <c r="AE334" s="1" t="s">
        <v>1705</v>
      </c>
      <c r="AG334" s="4">
        <v>6.67</v>
      </c>
    </row>
    <row r="335" spans="1:33" ht="47.25" customHeight="1" x14ac:dyDescent="0.25">
      <c r="A335" s="10" t="s">
        <v>3842</v>
      </c>
      <c r="B335" s="11" t="s">
        <v>33</v>
      </c>
      <c r="C335" s="12" t="s">
        <v>3843</v>
      </c>
      <c r="D335" s="27"/>
      <c r="E335" s="14" t="s">
        <v>35</v>
      </c>
      <c r="F335" s="11" t="str">
        <f>HYPERLINK("https://redirect.sdcdeals.com/redirect?destination=https%3A%2F%2Fwww.amazon.com%2Fdp%2FB0BGVZY9GX%3Fth%3D1%26psc%3D1%26tag%3Dsdcdeals03-20", "Amazon Link")</f>
        <v>Amazon Link</v>
      </c>
      <c r="G335" s="11" t="s">
        <v>36</v>
      </c>
      <c r="H335" s="14" t="s">
        <v>3844</v>
      </c>
      <c r="I335" s="11" t="str">
        <f>HYPERLINK("https://redirect.sdcdeals.com/redirect?code=763034&amp;mavely=https://mavely.app.link/e/bhESV2wGrGb&amp;destination=https%3A%2F%2Fwww.kohls.com%2Fsearch.jsp%3Fsubmit-search%3Dweb-regular%26search%3D37226370", "Retail Link")</f>
        <v>Retail Link</v>
      </c>
      <c r="J335" s="14" t="s">
        <v>3813</v>
      </c>
      <c r="K335" s="13" t="s">
        <v>3845</v>
      </c>
      <c r="L335" s="15">
        <v>12.6</v>
      </c>
      <c r="M335" s="15">
        <v>38.33</v>
      </c>
      <c r="N335" s="15">
        <v>13.9305</v>
      </c>
      <c r="O335" s="15">
        <f>V335-M335</f>
        <v>4.43</v>
      </c>
      <c r="P335" s="16">
        <f>N335/L335</f>
        <v>1.1055952380952381</v>
      </c>
      <c r="Q335" s="14">
        <v>508841</v>
      </c>
      <c r="R335" s="14"/>
      <c r="S335" s="17">
        <v>0.38801311999999999</v>
      </c>
      <c r="T335" s="15">
        <v>29.25</v>
      </c>
      <c r="U335" s="15">
        <v>43.11</v>
      </c>
      <c r="V335" s="15">
        <v>42.76</v>
      </c>
      <c r="W335" s="14" t="s">
        <v>3184</v>
      </c>
      <c r="X335" s="14">
        <v>6</v>
      </c>
      <c r="Y335" s="10">
        <f>AC335-AB335</f>
        <v>0</v>
      </c>
      <c r="Z335" s="18">
        <v>13</v>
      </c>
      <c r="AA335" s="18">
        <v>41</v>
      </c>
      <c r="AB335" s="18">
        <v>0</v>
      </c>
      <c r="AC335" s="18"/>
      <c r="AD335" s="1" t="s">
        <v>3816</v>
      </c>
      <c r="AE335" s="1" t="s">
        <v>3822</v>
      </c>
      <c r="AF335" s="4">
        <v>6.52</v>
      </c>
      <c r="AG335" s="4">
        <v>6.05</v>
      </c>
    </row>
    <row r="336" spans="1:33" ht="47.25" customHeight="1" x14ac:dyDescent="0.25">
      <c r="A336" s="10" t="s">
        <v>2372</v>
      </c>
      <c r="B336" s="11" t="s">
        <v>33</v>
      </c>
      <c r="C336" s="12" t="s">
        <v>2373</v>
      </c>
      <c r="D336" s="27"/>
      <c r="E336" s="14" t="s">
        <v>35</v>
      </c>
      <c r="F336" s="11" t="str">
        <f>HYPERLINK("https://redirect.sdcdeals.com/redirect?destination=https%3A%2F%2Fwww.amazon.com%2Fdp%2FB09KMSL9F7%3Fth%3D1%26psc%3D1%26tag%3Dsdcdeals03-20", "Amazon Link")</f>
        <v>Amazon Link</v>
      </c>
      <c r="G336" s="11" t="s">
        <v>36</v>
      </c>
      <c r="H336" s="14" t="s">
        <v>2374</v>
      </c>
      <c r="I336" s="11" t="str">
        <f>HYPERLINK("https://redirect.sdcdeals.com/redirect?code=763034&amp;mavely=https://mavely.app.link/e/bhESV2wGrGb&amp;destination=https%3A%2F%2Fwww.kohls.com%2Fsearch.jsp%3Fsubmit-search%3Dweb-regular%26search%3D54082538", "Retail Link")</f>
        <v>Retail Link</v>
      </c>
      <c r="J336" s="14" t="s">
        <v>2362</v>
      </c>
      <c r="K336" s="13" t="s">
        <v>2375</v>
      </c>
      <c r="L336" s="15">
        <v>15.4</v>
      </c>
      <c r="M336" s="15">
        <v>45.97</v>
      </c>
      <c r="N336" s="15">
        <v>17.0045</v>
      </c>
      <c r="O336" s="15">
        <f>V336-M336</f>
        <v>3.3400000000000034</v>
      </c>
      <c r="P336" s="16">
        <f>N336/L336</f>
        <v>1.1041883116883118</v>
      </c>
      <c r="Q336" s="14">
        <v>229494</v>
      </c>
      <c r="R336" s="14"/>
      <c r="S336" s="17">
        <v>0.90609881999999997</v>
      </c>
      <c r="T336" s="15">
        <v>45.97</v>
      </c>
      <c r="U336" s="15">
        <v>53.46</v>
      </c>
      <c r="V336" s="15">
        <v>49.31</v>
      </c>
      <c r="W336" s="14" t="s">
        <v>2376</v>
      </c>
      <c r="X336" s="14">
        <v>3</v>
      </c>
      <c r="Y336" s="10">
        <f>AC336-AB336</f>
        <v>191</v>
      </c>
      <c r="Z336" s="18">
        <v>24</v>
      </c>
      <c r="AA336" s="18">
        <v>71</v>
      </c>
      <c r="AB336" s="18">
        <v>16</v>
      </c>
      <c r="AC336" s="18">
        <v>207</v>
      </c>
      <c r="AD336" s="1" t="s">
        <v>2365</v>
      </c>
      <c r="AE336" s="1" t="s">
        <v>2366</v>
      </c>
      <c r="AF336" s="4">
        <v>7.81</v>
      </c>
      <c r="AG336" s="4">
        <v>6.67</v>
      </c>
    </row>
    <row r="337" spans="1:33" ht="47.25" customHeight="1" x14ac:dyDescent="0.25">
      <c r="A337" s="10" t="s">
        <v>2058</v>
      </c>
      <c r="B337" s="11" t="s">
        <v>33</v>
      </c>
      <c r="C337" s="12" t="s">
        <v>2059</v>
      </c>
      <c r="D337" s="27"/>
      <c r="E337" s="14" t="s">
        <v>35</v>
      </c>
      <c r="F337" s="11" t="str">
        <f>HYPERLINK("https://redirect.sdcdeals.com/redirect?destination=https%3A%2F%2Fwww.amazon.com%2Fdp%2FB07D1MFF8B%3Fth%3D1%26psc%3D1%26tag%3Dsdcdeals03-20", "Amazon Link")</f>
        <v>Amazon Link</v>
      </c>
      <c r="G337" s="11" t="s">
        <v>36</v>
      </c>
      <c r="H337" s="14" t="s">
        <v>2060</v>
      </c>
      <c r="I337" s="11" t="str">
        <f>HYPERLINK("https://redirect.sdcdeals.com/redirect?code=763034&amp;mavely=https://mavely.app.link/e/bhESV2wGrGb&amp;destination=https%3A%2F%2Fwww.kohls.com%2Fsearch.jsp%3Fsubmit-search%3Dweb-regular%26search%3D54174601", "Retail Link")</f>
        <v>Retail Link</v>
      </c>
      <c r="J337" s="14" t="s">
        <v>2048</v>
      </c>
      <c r="K337" s="13" t="s">
        <v>2061</v>
      </c>
      <c r="L337" s="15">
        <v>9.6000000000000014</v>
      </c>
      <c r="M337" s="15">
        <v>30.85</v>
      </c>
      <c r="N337" s="15">
        <v>10.5725</v>
      </c>
      <c r="O337" s="15">
        <f>V337-M337</f>
        <v>1.8599999999999994</v>
      </c>
      <c r="P337" s="16">
        <f>N337/L337</f>
        <v>1.1013020833333331</v>
      </c>
      <c r="Q337" s="14">
        <v>581</v>
      </c>
      <c r="R337" s="14"/>
      <c r="S337" s="17">
        <v>1.0493991199999999</v>
      </c>
      <c r="T337" s="15">
        <v>30.85</v>
      </c>
      <c r="U337" s="15">
        <v>32.049999999999997</v>
      </c>
      <c r="V337" s="15">
        <v>32.71</v>
      </c>
      <c r="W337" s="14" t="s">
        <v>613</v>
      </c>
      <c r="X337" s="14">
        <v>2</v>
      </c>
      <c r="Y337" s="10">
        <f>AC337-AB337</f>
        <v>53297</v>
      </c>
      <c r="Z337" s="18">
        <v>59</v>
      </c>
      <c r="AA337" s="18">
        <v>187</v>
      </c>
      <c r="AB337" s="18">
        <v>15</v>
      </c>
      <c r="AC337" s="18">
        <v>53312</v>
      </c>
      <c r="AD337" s="1" t="s">
        <v>2050</v>
      </c>
      <c r="AE337" s="1" t="s">
        <v>2062</v>
      </c>
      <c r="AF337" s="4">
        <v>5.24</v>
      </c>
      <c r="AG337" s="4">
        <v>6.05</v>
      </c>
    </row>
    <row r="338" spans="1:33" ht="47.25" customHeight="1" x14ac:dyDescent="0.25">
      <c r="A338" s="10" t="s">
        <v>2100</v>
      </c>
      <c r="B338" s="11" t="s">
        <v>33</v>
      </c>
      <c r="C338" s="12" t="s">
        <v>2101</v>
      </c>
      <c r="D338" s="27"/>
      <c r="E338" s="14" t="s">
        <v>35</v>
      </c>
      <c r="F338" s="11" t="str">
        <f>HYPERLINK("https://redirect.sdcdeals.com/redirect?destination=https%3A%2F%2Fwww.amazon.com%2Fdp%2FB07D1PZ2RN%3Fth%3D1%26psc%3D1%26tag%3Dsdcdeals03-20", "Amazon Link")</f>
        <v>Amazon Link</v>
      </c>
      <c r="G338" s="11" t="s">
        <v>36</v>
      </c>
      <c r="H338" s="14" t="s">
        <v>2102</v>
      </c>
      <c r="I338" s="11" t="str">
        <f>HYPERLINK("https://redirect.sdcdeals.com/redirect?code=763034&amp;mavely=https://mavely.app.link/e/bhESV2wGrGb&amp;destination=https%3A%2F%2Fwww.kohls.com%2Fsearch.jsp%3Fsubmit-search%3Dweb-regular%26search%3D54174602", "Retail Link")</f>
        <v>Retail Link</v>
      </c>
      <c r="J338" s="14" t="s">
        <v>2048</v>
      </c>
      <c r="K338" s="13" t="s">
        <v>2103</v>
      </c>
      <c r="L338" s="15">
        <v>9.6000000000000014</v>
      </c>
      <c r="M338" s="15">
        <v>30.85</v>
      </c>
      <c r="N338" s="15">
        <v>10.5725</v>
      </c>
      <c r="O338" s="15">
        <f>V338-M338</f>
        <v>1.9799999999999969</v>
      </c>
      <c r="P338" s="16">
        <f>N338/L338</f>
        <v>1.1013020833333331</v>
      </c>
      <c r="Q338" s="14">
        <v>581</v>
      </c>
      <c r="R338" s="14"/>
      <c r="S338" s="17">
        <v>1.0493991199999999</v>
      </c>
      <c r="T338" s="15">
        <v>30.85</v>
      </c>
      <c r="U338" s="15">
        <v>32.07</v>
      </c>
      <c r="V338" s="15">
        <v>32.83</v>
      </c>
      <c r="W338" s="14" t="s">
        <v>705</v>
      </c>
      <c r="X338" s="14">
        <v>2</v>
      </c>
      <c r="Y338" s="10">
        <f>AC338-AB338</f>
        <v>53282</v>
      </c>
      <c r="Z338" s="18">
        <v>56</v>
      </c>
      <c r="AA338" s="18">
        <v>155</v>
      </c>
      <c r="AB338" s="18">
        <v>14</v>
      </c>
      <c r="AC338" s="18">
        <v>53296</v>
      </c>
      <c r="AD338" s="1" t="s">
        <v>2050</v>
      </c>
      <c r="AE338" s="1" t="s">
        <v>2062</v>
      </c>
      <c r="AF338" s="4">
        <v>5.24</v>
      </c>
      <c r="AG338" s="4">
        <v>6.05</v>
      </c>
    </row>
    <row r="339" spans="1:33" ht="47.25" customHeight="1" x14ac:dyDescent="0.25">
      <c r="A339" s="10" t="s">
        <v>3431</v>
      </c>
      <c r="B339" s="11" t="s">
        <v>33</v>
      </c>
      <c r="C339" s="12" t="s">
        <v>3432</v>
      </c>
      <c r="D339" s="27"/>
      <c r="E339" s="14" t="s">
        <v>35</v>
      </c>
      <c r="F339" s="11" t="str">
        <f>HYPERLINK("https://redirect.sdcdeals.com/redirect?destination=https%3A%2F%2Fwww.amazon.com%2Fdp%2FB09B69PWSV%3Fth%3D1%26psc%3D1%26tag%3Dsdcdeals03-20", "Amazon Link")</f>
        <v>Amazon Link</v>
      </c>
      <c r="G339" s="11" t="s">
        <v>36</v>
      </c>
      <c r="H339" s="14" t="s">
        <v>3433</v>
      </c>
      <c r="I339" s="11" t="str">
        <f>HYPERLINK("https://redirect.sdcdeals.com/redirect?code=763034&amp;mavely=https://mavely.app.link/e/bhESV2wGrGb&amp;destination=https%3A%2F%2Fwww.kohls.com%2Fsearch.jsp%3Fsubmit-search%3Dweb-regular%26search%3D49703958", "Retail Link")</f>
        <v>Retail Link</v>
      </c>
      <c r="J339" s="14" t="s">
        <v>3413</v>
      </c>
      <c r="K339" s="13" t="s">
        <v>3434</v>
      </c>
      <c r="L339" s="15">
        <v>12.48</v>
      </c>
      <c r="M339" s="15">
        <v>38.69</v>
      </c>
      <c r="N339" s="15">
        <v>13.736499999999999</v>
      </c>
      <c r="O339" s="15">
        <f>V339-M339</f>
        <v>-1.6199999999999974</v>
      </c>
      <c r="P339" s="16">
        <f>N339/L339</f>
        <v>1.1006810897435897</v>
      </c>
      <c r="Q339" s="14">
        <v>95891</v>
      </c>
      <c r="R339" s="14"/>
      <c r="S339" s="17">
        <v>1.3492274399999999</v>
      </c>
      <c r="T339" s="15">
        <v>38.69</v>
      </c>
      <c r="U339" s="15">
        <v>37.479999999999997</v>
      </c>
      <c r="V339" s="15">
        <v>37.07</v>
      </c>
      <c r="W339" s="14" t="s">
        <v>3435</v>
      </c>
      <c r="X339" s="14">
        <v>1</v>
      </c>
      <c r="Y339" s="10">
        <f>AC339-AB339</f>
        <v>3484</v>
      </c>
      <c r="Z339" s="18">
        <v>29</v>
      </c>
      <c r="AA339" s="18">
        <v>83</v>
      </c>
      <c r="AB339" s="18">
        <v>16</v>
      </c>
      <c r="AC339" s="18">
        <v>3500</v>
      </c>
      <c r="AD339" s="1" t="s">
        <v>1037</v>
      </c>
      <c r="AE339" s="1" t="s">
        <v>3416</v>
      </c>
      <c r="AF339" s="4">
        <v>6.58</v>
      </c>
      <c r="AG339" s="4">
        <v>6.67</v>
      </c>
    </row>
    <row r="340" spans="1:33" ht="47.25" customHeight="1" x14ac:dyDescent="0.25">
      <c r="A340" s="10" t="s">
        <v>4493</v>
      </c>
      <c r="B340" s="11" t="s">
        <v>33</v>
      </c>
      <c r="C340" s="12" t="s">
        <v>4494</v>
      </c>
      <c r="D340" s="27"/>
      <c r="E340" s="14" t="s">
        <v>35</v>
      </c>
      <c r="F340" s="11" t="str">
        <f>HYPERLINK("https://redirect.sdcdeals.com/redirect?destination=https%3A%2F%2Fwww.amazon.com%2Fdp%2FB0B1KGQ5RK%3Fth%3D1%26psc%3D1%26tag%3Dsdcdeals03-20", "Amazon Link")</f>
        <v>Amazon Link</v>
      </c>
      <c r="G340" s="11" t="s">
        <v>36</v>
      </c>
      <c r="H340" s="14" t="s">
        <v>4495</v>
      </c>
      <c r="I340" s="11" t="str">
        <f>HYPERLINK("https://redirect.sdcdeals.com/redirect?code=763034&amp;mavely=https://mavely.app.link/e/bhESV2wGrGb&amp;destination=https%3A%2F%2Fwww.kohls.com%2Fsearch.jsp%3Fsubmit-search%3Dweb-regular%26search%3D69117065", "Retail Link")</f>
        <v>Retail Link</v>
      </c>
      <c r="J340" s="14" t="s">
        <v>4347</v>
      </c>
      <c r="K340" s="13" t="s">
        <v>4496</v>
      </c>
      <c r="L340" s="15">
        <v>20.847999999999999</v>
      </c>
      <c r="M340" s="15">
        <v>59.99</v>
      </c>
      <c r="N340" s="15">
        <v>22.903500000000001</v>
      </c>
      <c r="O340" s="15">
        <f>V340-M340</f>
        <v>-4.2899999999999991</v>
      </c>
      <c r="P340" s="16">
        <f>N340/L340</f>
        <v>1.0985945894090561</v>
      </c>
      <c r="Q340" s="14">
        <v>846</v>
      </c>
      <c r="R340" s="14"/>
      <c r="S340" s="17">
        <v>1.47048154</v>
      </c>
      <c r="T340" s="15">
        <v>59.99</v>
      </c>
      <c r="U340" s="15">
        <v>58.98</v>
      </c>
      <c r="V340" s="15">
        <v>55.7</v>
      </c>
      <c r="W340" s="14" t="s">
        <v>60</v>
      </c>
      <c r="X340" s="14">
        <v>1</v>
      </c>
      <c r="Y340" s="10">
        <f>AC340-AB340</f>
        <v>47533</v>
      </c>
      <c r="Z340" s="18">
        <v>53</v>
      </c>
      <c r="AA340" s="18">
        <v>145</v>
      </c>
      <c r="AB340" s="18">
        <v>1</v>
      </c>
      <c r="AC340" s="18">
        <v>47534</v>
      </c>
      <c r="AD340" s="1" t="s">
        <v>4419</v>
      </c>
      <c r="AE340" s="1" t="s">
        <v>4420</v>
      </c>
      <c r="AF340" s="4">
        <v>10.199999999999999</v>
      </c>
      <c r="AG340" s="4">
        <v>7.24</v>
      </c>
    </row>
    <row r="341" spans="1:33" ht="47.25" customHeight="1" x14ac:dyDescent="0.25">
      <c r="A341" s="10" t="s">
        <v>4531</v>
      </c>
      <c r="B341" s="11" t="s">
        <v>33</v>
      </c>
      <c r="C341" s="12" t="s">
        <v>4532</v>
      </c>
      <c r="D341" s="27"/>
      <c r="E341" s="14" t="s">
        <v>35</v>
      </c>
      <c r="F341" s="11" t="str">
        <f>HYPERLINK("https://redirect.sdcdeals.com/redirect?destination=https%3A%2F%2Fwww.amazon.com%2Fdp%2FB0B1JSWDP3%3Fth%3D1%26psc%3D1%26tag%3Dsdcdeals03-20", "Amazon Link")</f>
        <v>Amazon Link</v>
      </c>
      <c r="G341" s="11" t="s">
        <v>36</v>
      </c>
      <c r="H341" s="14" t="s">
        <v>4533</v>
      </c>
      <c r="I341" s="11" t="str">
        <f>HYPERLINK("https://redirect.sdcdeals.com/redirect?code=763034&amp;mavely=https://mavely.app.link/e/bhESV2wGrGb&amp;destination=https%3A%2F%2Fwww.kohls.com%2Fsearch.jsp%3Fsubmit-search%3Dweb-regular%26search%3D69117068", "Retail Link")</f>
        <v>Retail Link</v>
      </c>
      <c r="J341" s="14" t="s">
        <v>4347</v>
      </c>
      <c r="K341" s="13" t="s">
        <v>4534</v>
      </c>
      <c r="L341" s="15">
        <v>20.847999999999999</v>
      </c>
      <c r="M341" s="15">
        <v>59.99</v>
      </c>
      <c r="N341" s="15">
        <v>22.903500000000001</v>
      </c>
      <c r="O341" s="15">
        <f>V341-M341</f>
        <v>-3.6600000000000037</v>
      </c>
      <c r="P341" s="16">
        <f>N341/L341</f>
        <v>1.0985945894090561</v>
      </c>
      <c r="Q341" s="14">
        <v>846</v>
      </c>
      <c r="R341" s="14"/>
      <c r="S341" s="17">
        <v>1.45725382</v>
      </c>
      <c r="T341" s="15">
        <v>59.99</v>
      </c>
      <c r="U341" s="15">
        <v>58.97</v>
      </c>
      <c r="V341" s="15">
        <v>56.33</v>
      </c>
      <c r="W341" s="14" t="s">
        <v>100</v>
      </c>
      <c r="X341" s="14">
        <v>1</v>
      </c>
      <c r="Y341" s="10">
        <f>AC341-AB341</f>
        <v>47534</v>
      </c>
      <c r="Z341" s="18">
        <v>59</v>
      </c>
      <c r="AA341" s="18">
        <v>142</v>
      </c>
      <c r="AB341" s="18">
        <v>0</v>
      </c>
      <c r="AC341" s="18">
        <v>47534</v>
      </c>
      <c r="AD341" s="1" t="s">
        <v>4419</v>
      </c>
      <c r="AE341" s="1" t="s">
        <v>4420</v>
      </c>
      <c r="AF341" s="4">
        <v>10.199999999999999</v>
      </c>
      <c r="AG341" s="4">
        <v>7.24</v>
      </c>
    </row>
    <row r="342" spans="1:33" ht="47.25" customHeight="1" x14ac:dyDescent="0.25">
      <c r="A342" s="10" t="s">
        <v>5006</v>
      </c>
      <c r="B342" s="11" t="s">
        <v>33</v>
      </c>
      <c r="C342" s="12" t="s">
        <v>5007</v>
      </c>
      <c r="D342" s="27"/>
      <c r="E342" s="14" t="s">
        <v>35</v>
      </c>
      <c r="F342" s="11" t="str">
        <f>HYPERLINK("https://redirect.sdcdeals.com/redirect?destination=https%3A%2F%2Fwww.amazon.com%2Fdp%2FB0B1KBW74D%3Fth%3D1%26psc%3D1%26tag%3Dsdcdeals03-20", "Amazon Link")</f>
        <v>Amazon Link</v>
      </c>
      <c r="G342" s="11" t="s">
        <v>36</v>
      </c>
      <c r="H342" s="14" t="s">
        <v>5008</v>
      </c>
      <c r="I342" s="11" t="str">
        <f>HYPERLINK("https://redirect.sdcdeals.com/redirect?code=763034&amp;mavely=https://mavely.app.link/e/bhESV2wGrGb&amp;destination=https%3A%2F%2Fwww.kohls.com%2Fsearch.jsp%3Fsubmit-search%3Dweb-regular%26search%3D76965222", "Retail Link")</f>
        <v>Retail Link</v>
      </c>
      <c r="J342" s="14" t="s">
        <v>4992</v>
      </c>
      <c r="K342" s="13" t="s">
        <v>5009</v>
      </c>
      <c r="L342" s="15">
        <v>20.847999999999999</v>
      </c>
      <c r="M342" s="15">
        <v>59.99</v>
      </c>
      <c r="N342" s="15">
        <v>22.903500000000001</v>
      </c>
      <c r="O342" s="15">
        <f>V342-M342</f>
        <v>-7.8300000000000054</v>
      </c>
      <c r="P342" s="16">
        <f>N342/L342</f>
        <v>1.0985945894090561</v>
      </c>
      <c r="Q342" s="14">
        <v>209111</v>
      </c>
      <c r="R342" s="14"/>
      <c r="S342" s="17">
        <v>1.2345872</v>
      </c>
      <c r="T342" s="15">
        <v>59.99</v>
      </c>
      <c r="U342" s="15">
        <v>53.07</v>
      </c>
      <c r="V342" s="15">
        <v>52.16</v>
      </c>
      <c r="W342" s="14" t="s">
        <v>2620</v>
      </c>
      <c r="X342" s="14">
        <v>1</v>
      </c>
      <c r="Y342" s="10">
        <f>AC342-AB342</f>
        <v>75</v>
      </c>
      <c r="Z342" s="18">
        <v>14</v>
      </c>
      <c r="AA342" s="18">
        <v>38</v>
      </c>
      <c r="AB342" s="18">
        <v>3</v>
      </c>
      <c r="AC342" s="18">
        <v>78</v>
      </c>
      <c r="AD342" s="1" t="s">
        <v>4994</v>
      </c>
      <c r="AE342" s="1" t="s">
        <v>4995</v>
      </c>
      <c r="AF342" s="4">
        <v>10.199999999999999</v>
      </c>
      <c r="AG342" s="4">
        <v>7.24</v>
      </c>
    </row>
    <row r="343" spans="1:33" ht="47.25" customHeight="1" x14ac:dyDescent="0.25">
      <c r="A343" s="10" t="s">
        <v>1724</v>
      </c>
      <c r="B343" s="11" t="s">
        <v>33</v>
      </c>
      <c r="C343" s="12" t="s">
        <v>1725</v>
      </c>
      <c r="D343" s="27"/>
      <c r="E343" s="14" t="s">
        <v>35</v>
      </c>
      <c r="F343" s="11" t="str">
        <f>HYPERLINK("https://redirect.sdcdeals.com/redirect?destination=https%3A%2F%2Fwww.amazon.com%2Fdp%2FB08NYK5GWG%3Fth%3D1%26psc%3D1%26tag%3Dsdcdeals03-20", "Amazon Link")</f>
        <v>Amazon Link</v>
      </c>
      <c r="G343" s="11" t="s">
        <v>36</v>
      </c>
      <c r="H343" s="14" t="s">
        <v>1726</v>
      </c>
      <c r="I343" s="11" t="str">
        <f>HYPERLINK("https://redirect.sdcdeals.com/redirect?code=763034&amp;mavely=https://mavely.app.link/e/bhESV2wGrGb&amp;destination=https%3A%2F%2Fwww.kohls.com%2Fsearch.jsp%3Fsubmit-search%3Dweb-regular%26search%3D75742807", "Retail Link")</f>
        <v>Retail Link</v>
      </c>
      <c r="J343" s="14" t="s">
        <v>1701</v>
      </c>
      <c r="K343" s="13" t="s">
        <v>1727</v>
      </c>
      <c r="L343" s="15">
        <v>15.4</v>
      </c>
      <c r="M343" s="15">
        <v>46.02</v>
      </c>
      <c r="N343" s="15">
        <v>16.907</v>
      </c>
      <c r="O343" s="15">
        <f>V343-M343</f>
        <v>-5.4400000000000048</v>
      </c>
      <c r="P343" s="16">
        <f>N343/L343</f>
        <v>1.0978571428571429</v>
      </c>
      <c r="Q343" s="14">
        <v>102803</v>
      </c>
      <c r="R343" s="14"/>
      <c r="S343" s="17">
        <v>0.74736617999999999</v>
      </c>
      <c r="T343" s="15">
        <v>39.99</v>
      </c>
      <c r="U343" s="15">
        <v>43.45</v>
      </c>
      <c r="V343" s="15">
        <v>40.58</v>
      </c>
      <c r="W343" s="14" t="s">
        <v>342</v>
      </c>
      <c r="X343" s="14">
        <v>12</v>
      </c>
      <c r="Y343" s="10">
        <f>AC343-AB343</f>
        <v>140</v>
      </c>
      <c r="Z343" s="18">
        <v>34</v>
      </c>
      <c r="AA343" s="18">
        <v>96</v>
      </c>
      <c r="AB343" s="18">
        <v>15</v>
      </c>
      <c r="AC343" s="18">
        <v>155</v>
      </c>
      <c r="AD343" s="1" t="s">
        <v>1728</v>
      </c>
      <c r="AE343" s="1" t="s">
        <v>1705</v>
      </c>
      <c r="AF343" s="4">
        <v>7.82</v>
      </c>
      <c r="AG343" s="4">
        <v>6.81</v>
      </c>
    </row>
    <row r="344" spans="1:33" ht="47.25" customHeight="1" x14ac:dyDescent="0.25">
      <c r="A344" s="10" t="s">
        <v>4764</v>
      </c>
      <c r="B344" s="11" t="s">
        <v>33</v>
      </c>
      <c r="C344" s="12" t="s">
        <v>4765</v>
      </c>
      <c r="D344" s="27"/>
      <c r="E344" s="14" t="s">
        <v>35</v>
      </c>
      <c r="F344" s="11" t="str">
        <f>HYPERLINK("https://redirect.sdcdeals.com/redirect?destination=https%3A%2F%2Fwww.amazon.com%2Fdp%2FB09Z37Y647%3Fth%3D1%26psc%3D1%26tag%3Dsdcdeals03-20", "Amazon Link")</f>
        <v>Amazon Link</v>
      </c>
      <c r="G344" s="11" t="s">
        <v>36</v>
      </c>
      <c r="H344" s="14" t="s">
        <v>4766</v>
      </c>
      <c r="I344" s="11" t="str">
        <f>HYPERLINK("https://redirect.sdcdeals.com/redirect?code=763034&amp;mavely=https://mavely.app.link/e/bhESV2wGrGb&amp;destination=https%3A%2F%2Fwww.kohls.com%2Fsearch.jsp%3Fsubmit-search%3Dweb-regular%26search%3D37327321", "Retail Link")</f>
        <v>Retail Link</v>
      </c>
      <c r="J344" s="14" t="s">
        <v>4761</v>
      </c>
      <c r="K344" s="13" t="s">
        <v>4767</v>
      </c>
      <c r="L344" s="15">
        <v>13</v>
      </c>
      <c r="M344" s="15">
        <v>39</v>
      </c>
      <c r="N344" s="15">
        <v>14.25</v>
      </c>
      <c r="O344" s="15">
        <f>V344-M344</f>
        <v>3.5499999999999972</v>
      </c>
      <c r="P344" s="16">
        <f>N344/L344</f>
        <v>1.0961538461538463</v>
      </c>
      <c r="Q344" s="14">
        <v>273987</v>
      </c>
      <c r="R344" s="14"/>
      <c r="S344" s="17">
        <v>0.46076558000000001</v>
      </c>
      <c r="T344" s="15">
        <v>39</v>
      </c>
      <c r="U344" s="15">
        <v>38.65</v>
      </c>
      <c r="V344" s="15">
        <v>42.55</v>
      </c>
      <c r="W344" s="14" t="s">
        <v>106</v>
      </c>
      <c r="X344" s="14">
        <v>4</v>
      </c>
      <c r="Y344" s="10">
        <f>AC344-AB344</f>
        <v>8</v>
      </c>
      <c r="Z344" s="18">
        <v>19</v>
      </c>
      <c r="AA344" s="18">
        <v>46</v>
      </c>
      <c r="AB344" s="18">
        <v>1</v>
      </c>
      <c r="AC344" s="18">
        <v>9</v>
      </c>
      <c r="AD344" s="1" t="s">
        <v>4763</v>
      </c>
      <c r="AE344" s="1" t="s">
        <v>278</v>
      </c>
      <c r="AG344" s="4">
        <v>5.9</v>
      </c>
    </row>
    <row r="345" spans="1:33" ht="47.25" customHeight="1" x14ac:dyDescent="0.25">
      <c r="A345" s="10" t="s">
        <v>594</v>
      </c>
      <c r="B345" s="11" t="s">
        <v>33</v>
      </c>
      <c r="C345" s="12" t="s">
        <v>595</v>
      </c>
      <c r="D345" s="27"/>
      <c r="E345" s="14" t="s">
        <v>35</v>
      </c>
      <c r="F345" s="11" t="str">
        <f>HYPERLINK("https://redirect.sdcdeals.com/redirect?destination=https%3A%2F%2Fwww.amazon.com%2Fdp%2FB09N5YKMQJ%3Fth%3D1%26psc%3D1%26tag%3Dsdcdeals03-20", "Amazon Link")</f>
        <v>Amazon Link</v>
      </c>
      <c r="G345" s="11" t="s">
        <v>36</v>
      </c>
      <c r="H345" s="14" t="s">
        <v>596</v>
      </c>
      <c r="I345" s="11" t="str">
        <f>HYPERLINK("https://redirect.sdcdeals.com/redirect?code=763034&amp;mavely=https://mavely.app.link/e/bhESV2wGrGb&amp;destination=https%3A%2F%2Fwww.kohls.com%2Fsearch.jsp%3Fsubmit-search%3Dweb-regular%26search%3D68728526", "Retail Link")</f>
        <v>Retail Link</v>
      </c>
      <c r="J345" s="14" t="s">
        <v>580</v>
      </c>
      <c r="K345" s="13" t="s">
        <v>597</v>
      </c>
      <c r="L345" s="15">
        <v>11.128</v>
      </c>
      <c r="M345" s="15">
        <v>35.770000000000003</v>
      </c>
      <c r="N345" s="15">
        <v>12.1965</v>
      </c>
      <c r="O345" s="15">
        <f>V345-M345</f>
        <v>0</v>
      </c>
      <c r="P345" s="16">
        <f>N345/L345</f>
        <v>1.0960190510424155</v>
      </c>
      <c r="Q345" s="14">
        <v>12109</v>
      </c>
      <c r="R345" s="14"/>
      <c r="S345" s="17">
        <v>1.4219799</v>
      </c>
      <c r="T345" s="15"/>
      <c r="U345" s="15"/>
      <c r="V345" s="15">
        <v>35.770000000000003</v>
      </c>
      <c r="W345" s="14" t="s">
        <v>598</v>
      </c>
      <c r="X345" s="14"/>
      <c r="Y345" s="10">
        <f>AC345-AB345</f>
        <v>2116</v>
      </c>
      <c r="Z345" s="18">
        <v>6</v>
      </c>
      <c r="AA345" s="18">
        <v>26</v>
      </c>
      <c r="AB345" s="18">
        <v>1</v>
      </c>
      <c r="AC345" s="18">
        <v>2117</v>
      </c>
      <c r="AD345" s="1" t="s">
        <v>583</v>
      </c>
      <c r="AE345" s="1" t="s">
        <v>178</v>
      </c>
      <c r="AG345" s="4">
        <v>7.08</v>
      </c>
    </row>
    <row r="346" spans="1:33" ht="47.25" customHeight="1" x14ac:dyDescent="0.25">
      <c r="A346" s="10" t="s">
        <v>825</v>
      </c>
      <c r="B346" s="11" t="s">
        <v>33</v>
      </c>
      <c r="C346" s="12" t="s">
        <v>826</v>
      </c>
      <c r="D346" s="27"/>
      <c r="E346" s="14" t="s">
        <v>35</v>
      </c>
      <c r="F346" s="11" t="str">
        <f>HYPERLINK("https://redirect.sdcdeals.com/redirect?destination=https%3A%2F%2Fwww.amazon.com%2Fdp%2FB08PCBLH8S%3Fth%3D1%26psc%3D1%26tag%3Dsdcdeals03-20", "Amazon Link")</f>
        <v>Amazon Link</v>
      </c>
      <c r="G346" s="11" t="s">
        <v>36</v>
      </c>
      <c r="H346" s="14" t="s">
        <v>827</v>
      </c>
      <c r="I346" s="11" t="str">
        <f>HYPERLINK("https://redirect.sdcdeals.com/redirect?code=763034&amp;mavely=https://mavely.app.link/e/bhESV2wGrGb&amp;destination=https%3A%2F%2Fwww.kohls.com%2Fsearch.jsp%3Fsubmit-search%3Dweb-regular%26search%3D49568008", "Retail Link")</f>
        <v>Retail Link</v>
      </c>
      <c r="J346" s="14" t="s">
        <v>815</v>
      </c>
      <c r="K346" s="13" t="s">
        <v>828</v>
      </c>
      <c r="L346" s="15">
        <v>20.847999999999999</v>
      </c>
      <c r="M346" s="15">
        <v>58.47</v>
      </c>
      <c r="N346" s="15">
        <v>22.801500000000001</v>
      </c>
      <c r="O346" s="15">
        <f>V346-M346</f>
        <v>-9.89</v>
      </c>
      <c r="P346" s="16">
        <f>N346/L346</f>
        <v>1.0937020337682273</v>
      </c>
      <c r="Q346" s="14">
        <v>4488</v>
      </c>
      <c r="R346" s="14"/>
      <c r="S346" s="17">
        <v>1.45063996</v>
      </c>
      <c r="T346" s="15"/>
      <c r="U346" s="15">
        <v>49.93</v>
      </c>
      <c r="V346" s="15">
        <v>48.58</v>
      </c>
      <c r="W346" s="14" t="s">
        <v>164</v>
      </c>
      <c r="X346" s="14">
        <v>1</v>
      </c>
      <c r="Y346" s="10">
        <f>AC346-AB346</f>
        <v>21832</v>
      </c>
      <c r="Z346" s="18">
        <v>61</v>
      </c>
      <c r="AA346" s="18">
        <v>183</v>
      </c>
      <c r="AB346" s="18">
        <v>0</v>
      </c>
      <c r="AC346" s="18">
        <v>21832</v>
      </c>
      <c r="AD346" s="1" t="s">
        <v>829</v>
      </c>
      <c r="AE346" s="1" t="s">
        <v>824</v>
      </c>
      <c r="AF346" s="4">
        <v>9.93</v>
      </c>
      <c r="AG346" s="4">
        <v>6.05</v>
      </c>
    </row>
    <row r="347" spans="1:33" ht="47.25" customHeight="1" x14ac:dyDescent="0.25">
      <c r="A347" s="10" t="s">
        <v>6068</v>
      </c>
      <c r="B347" s="11" t="s">
        <v>33</v>
      </c>
      <c r="C347" s="12" t="s">
        <v>6069</v>
      </c>
      <c r="D347" s="27"/>
      <c r="E347" s="14" t="s">
        <v>35</v>
      </c>
      <c r="F347" s="11" t="str">
        <f>HYPERLINK("https://redirect.sdcdeals.com/redirect?destination=https%3A%2F%2Fwww.amazon.com%2Fdp%2FB0BFTVNNN3%3Fth%3D1%26psc%3D1%26tag%3Dsdcdeals03-20", "Amazon Link")</f>
        <v>Amazon Link</v>
      </c>
      <c r="G347" s="11" t="s">
        <v>36</v>
      </c>
      <c r="H347" s="14" t="s">
        <v>6070</v>
      </c>
      <c r="I347" s="11" t="str">
        <f>HYPERLINK("https://redirect.sdcdeals.com/redirect?code=763034&amp;mavely=https://mavely.app.link/e/bhESV2wGrGb&amp;destination=https%3A%2F%2Fwww.kohls.com%2Fsearch.jsp%3Fsubmit-search%3Dweb-regular%26search%3D80018201", "Retail Link")</f>
        <v>Retail Link</v>
      </c>
      <c r="J347" s="14" t="s">
        <v>6065</v>
      </c>
      <c r="K347" s="13" t="s">
        <v>6071</v>
      </c>
      <c r="L347" s="15">
        <v>54</v>
      </c>
      <c r="M347" s="15">
        <v>149.19999999999999</v>
      </c>
      <c r="N347" s="15">
        <v>59.03</v>
      </c>
      <c r="O347" s="15">
        <f>V347-M347</f>
        <v>-7.0699999999999932</v>
      </c>
      <c r="P347" s="16">
        <f>N347/L347</f>
        <v>1.0931481481481482</v>
      </c>
      <c r="Q347" s="14">
        <v>7660645</v>
      </c>
      <c r="R347" s="14"/>
      <c r="S347" s="17">
        <v>2.44933282</v>
      </c>
      <c r="T347" s="15">
        <v>149.19999999999999</v>
      </c>
      <c r="U347" s="15">
        <v>144.47999999999999</v>
      </c>
      <c r="V347" s="15">
        <v>142.13</v>
      </c>
      <c r="W347" s="14" t="s">
        <v>1579</v>
      </c>
      <c r="X347" s="14">
        <v>1</v>
      </c>
      <c r="Y347" s="10">
        <f>AC347-AB347</f>
        <v>1</v>
      </c>
      <c r="Z347" s="18">
        <v>0</v>
      </c>
      <c r="AA347" s="18">
        <v>0</v>
      </c>
      <c r="AB347" s="18">
        <v>0</v>
      </c>
      <c r="AC347" s="18">
        <v>1</v>
      </c>
      <c r="AD347" s="1" t="s">
        <v>6067</v>
      </c>
      <c r="AE347" s="1" t="s">
        <v>76</v>
      </c>
      <c r="AF347" s="4">
        <v>25.36</v>
      </c>
      <c r="AG347" s="4">
        <v>13.79</v>
      </c>
    </row>
    <row r="348" spans="1:33" ht="47.25" customHeight="1" x14ac:dyDescent="0.25">
      <c r="A348" s="10" t="s">
        <v>3755</v>
      </c>
      <c r="B348" s="11" t="s">
        <v>33</v>
      </c>
      <c r="C348" s="12" t="s">
        <v>3756</v>
      </c>
      <c r="D348" s="27"/>
      <c r="E348" s="14" t="s">
        <v>35</v>
      </c>
      <c r="F348" s="11" t="str">
        <f>HYPERLINK("https://redirect.sdcdeals.com/redirect?destination=https%3A%2F%2Fwww.amazon.com%2Fdp%2FB0BRR2JHF2%3Fth%3D1%26psc%3D1%26tag%3Dsdcdeals03-20", "Amazon Link")</f>
        <v>Amazon Link</v>
      </c>
      <c r="G348" s="11" t="s">
        <v>36</v>
      </c>
      <c r="H348" s="14" t="s">
        <v>3757</v>
      </c>
      <c r="I348" s="11" t="str">
        <f>HYPERLINK("https://redirect.sdcdeals.com/redirect?code=763034&amp;mavely=https://mavely.app.link/e/bhESV2wGrGb&amp;destination=https%3A%2F%2Fwww.kohls.com%2Fsearch.jsp%3Fsubmit-search%3Dweb-regular%26search%3D37703768", "Retail Link")</f>
        <v>Retail Link</v>
      </c>
      <c r="J348" s="14" t="s">
        <v>3751</v>
      </c>
      <c r="K348" s="13" t="s">
        <v>3758</v>
      </c>
      <c r="L348" s="15">
        <v>15.391999999999999</v>
      </c>
      <c r="M348" s="15">
        <v>46.49</v>
      </c>
      <c r="N348" s="15">
        <v>16.794499999999999</v>
      </c>
      <c r="O348" s="15">
        <f>V348-M348</f>
        <v>7.5599999999999952</v>
      </c>
      <c r="P348" s="16">
        <f>N348/L348</f>
        <v>1.0911187629937631</v>
      </c>
      <c r="Q348" s="14">
        <v>292106</v>
      </c>
      <c r="R348" s="14"/>
      <c r="S348" s="17">
        <v>2.2266661999999999</v>
      </c>
      <c r="T348" s="15">
        <v>46.49</v>
      </c>
      <c r="U348" s="15">
        <v>57.97</v>
      </c>
      <c r="V348" s="15">
        <v>54.05</v>
      </c>
      <c r="W348" s="14" t="s">
        <v>396</v>
      </c>
      <c r="X348" s="14">
        <v>2</v>
      </c>
      <c r="Y348" s="10">
        <f>AC348-AB348</f>
        <v>1017</v>
      </c>
      <c r="Z348" s="18">
        <v>19</v>
      </c>
      <c r="AA348" s="18">
        <v>44</v>
      </c>
      <c r="AB348" s="18">
        <v>3</v>
      </c>
      <c r="AC348" s="18">
        <v>1020</v>
      </c>
      <c r="AD348" s="1" t="s">
        <v>3753</v>
      </c>
      <c r="AE348" s="1" t="s">
        <v>3754</v>
      </c>
      <c r="AF348" s="4">
        <v>6.97</v>
      </c>
      <c r="AG348" s="4">
        <v>7.33</v>
      </c>
    </row>
    <row r="349" spans="1:33" ht="47.25" hidden="1" customHeight="1" x14ac:dyDescent="0.25">
      <c r="A349" s="10" t="s">
        <v>1346</v>
      </c>
      <c r="B349" s="11" t="s">
        <v>33</v>
      </c>
      <c r="C349" s="12" t="s">
        <v>1347</v>
      </c>
      <c r="D349" s="27"/>
      <c r="E349" s="14" t="s">
        <v>35</v>
      </c>
      <c r="F349" s="11" t="str">
        <f>HYPERLINK("https://redirect.sdcdeals.com/redirect?destination=https%3A%2F%2Fwww.amazon.com%2Fdp%2FB0D3652L2X%3Fth%3D1%26psc%3D1%26tag%3Dsdcdeals03-20", "Amazon Link")</f>
        <v>Amazon Link</v>
      </c>
      <c r="G349" s="11" t="s">
        <v>36</v>
      </c>
      <c r="H349" s="14" t="s">
        <v>1348</v>
      </c>
      <c r="I349" s="11" t="str">
        <f>HYPERLINK("https://redirect.sdcdeals.com/redirect?code=763034&amp;mavely=https://mavely.app.link/e/bhESV2wGrGb&amp;destination=https%3A%2F%2Fwww.kohls.com%2Fsearch.jsp%3Fsubmit-search%3Dweb-regular%26search%3D79169264", "Retail Link")</f>
        <v>Retail Link</v>
      </c>
      <c r="J349" s="14" t="s">
        <v>1349</v>
      </c>
      <c r="K349" s="13" t="s">
        <v>1350</v>
      </c>
      <c r="L349" s="15">
        <v>12.88</v>
      </c>
      <c r="M349" s="15">
        <v>38.56</v>
      </c>
      <c r="N349" s="15">
        <v>13.996</v>
      </c>
      <c r="O349" s="15">
        <f>V349-M349</f>
        <v>18.04</v>
      </c>
      <c r="P349" s="16">
        <f>N349/L349</f>
        <v>1.0866459627329192</v>
      </c>
      <c r="Q349" s="14"/>
      <c r="R349" s="14"/>
      <c r="S349" s="17">
        <v>1.0008974799999999</v>
      </c>
      <c r="T349" s="15">
        <v>30.61</v>
      </c>
      <c r="U349" s="15">
        <v>56.6</v>
      </c>
      <c r="V349" s="15">
        <v>56.6</v>
      </c>
      <c r="W349" s="14" t="s">
        <v>60</v>
      </c>
      <c r="X349" s="14">
        <v>3</v>
      </c>
      <c r="Y349" s="10">
        <f>AC349-AB349</f>
        <v>0</v>
      </c>
      <c r="Z349" s="18">
        <v>-1</v>
      </c>
      <c r="AA349" s="18">
        <v>-1</v>
      </c>
      <c r="AB349" s="18"/>
      <c r="AC349" s="18"/>
      <c r="AD349" s="1" t="s">
        <v>1351</v>
      </c>
      <c r="AE349" s="1" t="s">
        <v>1352</v>
      </c>
      <c r="AF349" s="4">
        <v>6.56</v>
      </c>
      <c r="AG349" s="4">
        <v>5.9</v>
      </c>
    </row>
    <row r="350" spans="1:33" ht="47.25" customHeight="1" x14ac:dyDescent="0.25">
      <c r="A350" s="10" t="s">
        <v>3971</v>
      </c>
      <c r="B350" s="11" t="s">
        <v>33</v>
      </c>
      <c r="C350" s="12" t="s">
        <v>3972</v>
      </c>
      <c r="D350" s="27"/>
      <c r="E350" s="14" t="s">
        <v>35</v>
      </c>
      <c r="F350" s="11" t="str">
        <f>HYPERLINK("https://redirect.sdcdeals.com/redirect?destination=https%3A%2F%2Fwww.amazon.com%2Fdp%2FB0BZDVFMS8%3Fth%3D1%26psc%3D1%26tag%3Dsdcdeals03-20", "Amazon Link")</f>
        <v>Amazon Link</v>
      </c>
      <c r="G350" s="11" t="s">
        <v>36</v>
      </c>
      <c r="H350" s="14" t="s">
        <v>3973</v>
      </c>
      <c r="I350" s="11" t="str">
        <f>HYPERLINK("https://redirect.sdcdeals.com/redirect?code=763034&amp;mavely=https://mavely.app.link/e/bhESV2wGrGb&amp;destination=https%3A%2F%2Fwww.kohls.com%2Fsearch.jsp%3Fsubmit-search%3Dweb-regular%26search%3D18760722", "Retail Link")</f>
        <v>Retail Link</v>
      </c>
      <c r="J350" s="14" t="s">
        <v>3942</v>
      </c>
      <c r="K350" s="13" t="s">
        <v>3948</v>
      </c>
      <c r="L350" s="15">
        <v>12.48</v>
      </c>
      <c r="M350" s="15">
        <v>39.450000000000003</v>
      </c>
      <c r="N350" s="15">
        <v>13.5525</v>
      </c>
      <c r="O350" s="15">
        <f>V350-M350</f>
        <v>5.269999999999996</v>
      </c>
      <c r="P350" s="16">
        <f>N350/L350</f>
        <v>1.0859375</v>
      </c>
      <c r="Q350" s="14">
        <v>109841</v>
      </c>
      <c r="R350" s="14"/>
      <c r="S350" s="17">
        <v>1.5895310199999999</v>
      </c>
      <c r="T350" s="15">
        <v>39.450000000000003</v>
      </c>
      <c r="U350" s="15">
        <v>46.14</v>
      </c>
      <c r="V350" s="15">
        <v>44.72</v>
      </c>
      <c r="W350" s="14" t="s">
        <v>3974</v>
      </c>
      <c r="X350" s="14">
        <v>1</v>
      </c>
      <c r="Y350" s="10">
        <f>AC350-AB350</f>
        <v>823</v>
      </c>
      <c r="Z350" s="18">
        <v>25</v>
      </c>
      <c r="AA350" s="18">
        <v>80</v>
      </c>
      <c r="AB350" s="18">
        <v>0</v>
      </c>
      <c r="AC350" s="18">
        <v>823</v>
      </c>
      <c r="AD350" s="1" t="s">
        <v>2991</v>
      </c>
      <c r="AE350" s="1" t="s">
        <v>3949</v>
      </c>
      <c r="AF350" s="4">
        <v>6.71</v>
      </c>
      <c r="AG350" s="4">
        <v>7.5</v>
      </c>
    </row>
    <row r="351" spans="1:33" ht="47.25" customHeight="1" x14ac:dyDescent="0.25">
      <c r="A351" s="10" t="s">
        <v>2880</v>
      </c>
      <c r="B351" s="11" t="s">
        <v>33</v>
      </c>
      <c r="C351" s="12" t="s">
        <v>2881</v>
      </c>
      <c r="D351" s="27"/>
      <c r="E351" s="14" t="s">
        <v>35</v>
      </c>
      <c r="F351" s="11" t="str">
        <f>HYPERLINK("https://redirect.sdcdeals.com/redirect?destination=https%3A%2F%2Fwww.amazon.com%2Fdp%2FB09KMD7LVJ%3Fth%3D1%26psc%3D1%26tag%3Dsdcdeals03-20", "Amazon Link")</f>
        <v>Amazon Link</v>
      </c>
      <c r="G351" s="11" t="s">
        <v>36</v>
      </c>
      <c r="H351" s="14" t="s">
        <v>2882</v>
      </c>
      <c r="I351" s="11" t="str">
        <f>HYPERLINK("https://redirect.sdcdeals.com/redirect?code=763034&amp;mavely=https://mavely.app.link/e/bhESV2wGrGb&amp;destination=https%3A%2F%2Fwww.kohls.com%2Fsearch.jsp%3Fsubmit-search%3Dweb-regular%26search%3D76932887", "Retail Link")</f>
        <v>Retail Link</v>
      </c>
      <c r="J351" s="14" t="s">
        <v>2863</v>
      </c>
      <c r="K351" s="13" t="s">
        <v>2883</v>
      </c>
      <c r="L351" s="15">
        <v>39.6</v>
      </c>
      <c r="M351" s="15">
        <v>111.85</v>
      </c>
      <c r="N351" s="15">
        <v>42.442499999999988</v>
      </c>
      <c r="O351" s="15">
        <f>V351-M351</f>
        <v>-10.009999999999991</v>
      </c>
      <c r="P351" s="16">
        <f>N351/L351</f>
        <v>1.0717803030303028</v>
      </c>
      <c r="Q351" s="14">
        <v>647032</v>
      </c>
      <c r="R351" s="14"/>
      <c r="S351" s="17">
        <v>2.7249103200000002</v>
      </c>
      <c r="T351" s="15">
        <v>111.85</v>
      </c>
      <c r="U351" s="15">
        <v>106.06</v>
      </c>
      <c r="V351" s="15">
        <v>101.84</v>
      </c>
      <c r="W351" s="14" t="s">
        <v>2884</v>
      </c>
      <c r="X351" s="14">
        <v>2</v>
      </c>
      <c r="Y351" s="10">
        <f>AC351-AB351</f>
        <v>0</v>
      </c>
      <c r="Z351" s="18">
        <v>10</v>
      </c>
      <c r="AA351" s="18">
        <v>48</v>
      </c>
      <c r="AB351" s="18">
        <v>0</v>
      </c>
      <c r="AC351" s="18"/>
      <c r="AD351" s="1" t="s">
        <v>2865</v>
      </c>
      <c r="AE351" s="1" t="s">
        <v>2866</v>
      </c>
      <c r="AG351" s="4">
        <v>13.03</v>
      </c>
    </row>
    <row r="352" spans="1:33" ht="47.25" customHeight="1" x14ac:dyDescent="0.25">
      <c r="A352" s="10" t="s">
        <v>2893</v>
      </c>
      <c r="B352" s="11" t="s">
        <v>33</v>
      </c>
      <c r="C352" s="12" t="s">
        <v>2894</v>
      </c>
      <c r="D352" s="27"/>
      <c r="E352" s="14" t="s">
        <v>35</v>
      </c>
      <c r="F352" s="11" t="str">
        <f>HYPERLINK("https://redirect.sdcdeals.com/redirect?destination=https%3A%2F%2Fwww.amazon.com%2Fdp%2FB09KMF33YP%3Fth%3D1%26psc%3D1%26tag%3Dsdcdeals03-20", "Amazon Link")</f>
        <v>Amazon Link</v>
      </c>
      <c r="G352" s="11" t="s">
        <v>36</v>
      </c>
      <c r="H352" s="14" t="s">
        <v>2895</v>
      </c>
      <c r="I352" s="11" t="str">
        <f>HYPERLINK("https://redirect.sdcdeals.com/redirect?code=763034&amp;mavely=https://mavely.app.link/e/bhESV2wGrGb&amp;destination=https%3A%2F%2Fwww.kohls.com%2Fsearch.jsp%3Fsubmit-search%3Dweb-regular%26search%3D76932889", "Retail Link")</f>
        <v>Retail Link</v>
      </c>
      <c r="J352" s="14" t="s">
        <v>2863</v>
      </c>
      <c r="K352" s="13" t="s">
        <v>2896</v>
      </c>
      <c r="L352" s="15">
        <v>39.6</v>
      </c>
      <c r="M352" s="15">
        <v>111.85</v>
      </c>
      <c r="N352" s="15">
        <v>42.442499999999988</v>
      </c>
      <c r="O352" s="15">
        <f>V352-M352</f>
        <v>-12.099999999999994</v>
      </c>
      <c r="P352" s="16">
        <f>N352/L352</f>
        <v>1.0717803030303028</v>
      </c>
      <c r="Q352" s="14">
        <v>748350</v>
      </c>
      <c r="R352" s="14"/>
      <c r="S352" s="17">
        <v>2.8704152399999998</v>
      </c>
      <c r="T352" s="15">
        <v>111.85</v>
      </c>
      <c r="U352" s="15">
        <v>104.35</v>
      </c>
      <c r="V352" s="15">
        <v>99.75</v>
      </c>
      <c r="W352" s="14" t="s">
        <v>933</v>
      </c>
      <c r="X352" s="14">
        <v>3</v>
      </c>
      <c r="Y352" s="10">
        <f>AC352-AB352</f>
        <v>59</v>
      </c>
      <c r="Z352" s="18">
        <v>10</v>
      </c>
      <c r="AA352" s="18">
        <v>44</v>
      </c>
      <c r="AB352" s="18">
        <v>3</v>
      </c>
      <c r="AC352" s="18">
        <v>62</v>
      </c>
      <c r="AD352" s="1" t="s">
        <v>2865</v>
      </c>
      <c r="AE352" s="1" t="s">
        <v>2866</v>
      </c>
      <c r="AG352" s="4">
        <v>13.03</v>
      </c>
    </row>
    <row r="353" spans="1:33" ht="47.25" customHeight="1" x14ac:dyDescent="0.25">
      <c r="A353" s="10" t="s">
        <v>4132</v>
      </c>
      <c r="B353" s="11" t="s">
        <v>33</v>
      </c>
      <c r="C353" s="12" t="s">
        <v>4133</v>
      </c>
      <c r="D353" s="27"/>
      <c r="E353" s="14" t="s">
        <v>35</v>
      </c>
      <c r="F353" s="11" t="str">
        <f>HYPERLINK("https://redirect.sdcdeals.com/redirect?destination=https%3A%2F%2Fwww.amazon.com%2Fdp%2FB0BKQW6M6M%3Fth%3D1%26psc%3D1%26tag%3Dsdcdeals03-20", "Amazon Link")</f>
        <v>Amazon Link</v>
      </c>
      <c r="G353" s="11" t="s">
        <v>36</v>
      </c>
      <c r="H353" s="14" t="s">
        <v>4134</v>
      </c>
      <c r="I353" s="11" t="str">
        <f>HYPERLINK("https://redirect.sdcdeals.com/redirect?code=763034&amp;mavely=https://mavely.app.link/e/bhESV2wGrGb&amp;destination=https%3A%2F%2Fwww.kohls.com%2Fsearch.jsp%3Fsubmit-search%3Dweb-regular%26search%3D71992592", "Retail Link")</f>
        <v>Retail Link</v>
      </c>
      <c r="J353" s="14" t="s">
        <v>4089</v>
      </c>
      <c r="K353" s="13" t="s">
        <v>4135</v>
      </c>
      <c r="L353" s="15">
        <v>39.6</v>
      </c>
      <c r="M353" s="15">
        <v>105.15</v>
      </c>
      <c r="N353" s="15">
        <v>42.377499999999991</v>
      </c>
      <c r="O353" s="15">
        <f>V353-M353</f>
        <v>-19.14</v>
      </c>
      <c r="P353" s="16">
        <f>N353/L353</f>
        <v>1.0701388888888885</v>
      </c>
      <c r="Q353" s="14">
        <v>459362</v>
      </c>
      <c r="R353" s="14"/>
      <c r="S353" s="17">
        <v>1.23017796</v>
      </c>
      <c r="T353" s="15">
        <v>105.15</v>
      </c>
      <c r="U353" s="15">
        <v>94.45</v>
      </c>
      <c r="V353" s="15">
        <v>86.01</v>
      </c>
      <c r="W353" s="14" t="s">
        <v>4136</v>
      </c>
      <c r="X353" s="14">
        <v>2</v>
      </c>
      <c r="Y353" s="10">
        <f>AC353-AB353</f>
        <v>15</v>
      </c>
      <c r="Z353" s="18">
        <v>15</v>
      </c>
      <c r="AA353" s="18">
        <v>45</v>
      </c>
      <c r="AB353" s="18">
        <v>0</v>
      </c>
      <c r="AC353" s="18">
        <v>15</v>
      </c>
      <c r="AD353" s="1" t="s">
        <v>4091</v>
      </c>
      <c r="AE353" s="1" t="s">
        <v>1406</v>
      </c>
      <c r="AF353" s="4">
        <v>17.88</v>
      </c>
      <c r="AG353" s="4">
        <v>7.4</v>
      </c>
    </row>
    <row r="354" spans="1:33" ht="47.25" customHeight="1" x14ac:dyDescent="0.25">
      <c r="A354" s="10" t="s">
        <v>7030</v>
      </c>
      <c r="B354" s="11" t="s">
        <v>33</v>
      </c>
      <c r="C354" s="12" t="s">
        <v>7031</v>
      </c>
      <c r="D354" s="27"/>
      <c r="E354" s="14" t="s">
        <v>35</v>
      </c>
      <c r="F354" s="11" t="str">
        <f>HYPERLINK("https://redirect.sdcdeals.com/redirect?destination=https%3A%2F%2Fwww.amazon.com%2Fdp%2FB0CH1QZ6FQ%3Fth%3D1%26psc%3D1%26tag%3Dsdcdeals03-20", "Amazon Link")</f>
        <v>Amazon Link</v>
      </c>
      <c r="G354" s="11" t="s">
        <v>36</v>
      </c>
      <c r="H354" s="14" t="s">
        <v>7032</v>
      </c>
      <c r="I354" s="11" t="str">
        <f>HYPERLINK("https://redirect.sdcdeals.com/redirect?code=763034&amp;mavely=https://mavely.app.link/e/bhESV2wGrGb&amp;destination=https%3A%2F%2Fwww.kohls.com%2Fsearch.jsp%3Fsubmit-search%3Dweb-regular%26search%3D75601113", "Retail Link")</f>
        <v>Retail Link</v>
      </c>
      <c r="J354" s="14" t="s">
        <v>7027</v>
      </c>
      <c r="K354" s="13" t="s">
        <v>7033</v>
      </c>
      <c r="L354" s="15">
        <v>6.4</v>
      </c>
      <c r="M354" s="15">
        <v>21</v>
      </c>
      <c r="N354" s="15">
        <v>6.8399999999999981</v>
      </c>
      <c r="O354" s="15">
        <f>V354-M354</f>
        <v>0.75</v>
      </c>
      <c r="P354" s="16">
        <f>N354/L354</f>
        <v>1.0687499999999996</v>
      </c>
      <c r="Q354" s="14">
        <v>53837</v>
      </c>
      <c r="R354" s="14"/>
      <c r="S354" s="17">
        <v>0.33069300000000001</v>
      </c>
      <c r="T354" s="15">
        <v>21</v>
      </c>
      <c r="U354" s="15">
        <v>20.03</v>
      </c>
      <c r="V354" s="15">
        <v>21.75</v>
      </c>
      <c r="W354" s="14" t="s">
        <v>286</v>
      </c>
      <c r="X354" s="14">
        <v>10</v>
      </c>
      <c r="Y354" s="10">
        <f>AC354-AB354</f>
        <v>569</v>
      </c>
      <c r="Z354" s="18">
        <v>29</v>
      </c>
      <c r="AA354" s="18">
        <v>103</v>
      </c>
      <c r="AB354" s="18">
        <v>0</v>
      </c>
      <c r="AC354" s="18">
        <v>569</v>
      </c>
      <c r="AD354" s="1" t="s">
        <v>4680</v>
      </c>
      <c r="AE354" s="1" t="s">
        <v>7029</v>
      </c>
      <c r="AF354" s="4">
        <v>3.57</v>
      </c>
      <c r="AG354" s="4">
        <v>4.6100000000000003</v>
      </c>
    </row>
    <row r="355" spans="1:33" ht="47.25" customHeight="1" x14ac:dyDescent="0.25">
      <c r="A355" s="10" t="s">
        <v>3440</v>
      </c>
      <c r="B355" s="11" t="s">
        <v>33</v>
      </c>
      <c r="C355" s="12" t="s">
        <v>3441</v>
      </c>
      <c r="D355" s="27"/>
      <c r="E355" s="14" t="s">
        <v>35</v>
      </c>
      <c r="F355" s="11" t="str">
        <f>HYPERLINK("https://redirect.sdcdeals.com/redirect?destination=https%3A%2F%2Fwww.amazon.com%2Fdp%2FB09VGWWQ7F%3Fth%3D1%26psc%3D1%26tag%3Dsdcdeals03-20", "Amazon Link")</f>
        <v>Amazon Link</v>
      </c>
      <c r="G355" s="11" t="s">
        <v>36</v>
      </c>
      <c r="H355" s="14" t="s">
        <v>3442</v>
      </c>
      <c r="I355" s="11" t="str">
        <f>HYPERLINK("https://redirect.sdcdeals.com/redirect?code=763034&amp;mavely=https://mavely.app.link/e/bhESV2wGrGb&amp;destination=https%3A%2F%2Fwww.kohls.com%2Fsearch.jsp%3Fsubmit-search%3Dweb-regular%26search%3D37724579", "Retail Link")</f>
        <v>Retail Link</v>
      </c>
      <c r="J355" s="14" t="s">
        <v>3413</v>
      </c>
      <c r="K355" s="13" t="s">
        <v>3443</v>
      </c>
      <c r="L355" s="15">
        <v>12.48</v>
      </c>
      <c r="M355" s="15">
        <v>42.99</v>
      </c>
      <c r="N355" s="15">
        <v>13.311500000000001</v>
      </c>
      <c r="O355" s="15">
        <f>V355-M355</f>
        <v>-5.82</v>
      </c>
      <c r="P355" s="16">
        <f>N355/L355</f>
        <v>1.0666266025641025</v>
      </c>
      <c r="Q355" s="14">
        <v>95891</v>
      </c>
      <c r="R355" s="14"/>
      <c r="S355" s="17">
        <v>1.36906902</v>
      </c>
      <c r="T355" s="15">
        <v>42.99</v>
      </c>
      <c r="U355" s="15">
        <v>36.11</v>
      </c>
      <c r="V355" s="15">
        <v>37.17</v>
      </c>
      <c r="W355" s="14" t="s">
        <v>3444</v>
      </c>
      <c r="X355" s="14">
        <v>1</v>
      </c>
      <c r="Y355" s="10">
        <f>AC355-AB355</f>
        <v>3499</v>
      </c>
      <c r="Z355" s="18">
        <v>28</v>
      </c>
      <c r="AA355" s="18">
        <v>68</v>
      </c>
      <c r="AB355" s="18">
        <v>1</v>
      </c>
      <c r="AC355" s="18">
        <v>3500</v>
      </c>
      <c r="AD355" s="1" t="s">
        <v>1037</v>
      </c>
      <c r="AE355" s="1" t="s">
        <v>2089</v>
      </c>
      <c r="AF355" s="4">
        <v>7.31</v>
      </c>
      <c r="AG355" s="4">
        <v>10.75</v>
      </c>
    </row>
    <row r="356" spans="1:33" ht="47.25" customHeight="1" x14ac:dyDescent="0.25">
      <c r="A356" s="10" t="s">
        <v>3466</v>
      </c>
      <c r="B356" s="11" t="s">
        <v>33</v>
      </c>
      <c r="C356" s="12" t="s">
        <v>3467</v>
      </c>
      <c r="D356" s="27"/>
      <c r="E356" s="14" t="s">
        <v>35</v>
      </c>
      <c r="F356" s="11" t="str">
        <f>HYPERLINK("https://redirect.sdcdeals.com/redirect?destination=https%3A%2F%2Fwww.amazon.com%2Fdp%2FB09VGVYXGG%3Fth%3D1%26psc%3D1%26tag%3Dsdcdeals03-20", "Amazon Link")</f>
        <v>Amazon Link</v>
      </c>
      <c r="G356" s="11" t="s">
        <v>36</v>
      </c>
      <c r="H356" s="14" t="s">
        <v>3468</v>
      </c>
      <c r="I356" s="11" t="str">
        <f>HYPERLINK("https://redirect.sdcdeals.com/redirect?code=763034&amp;mavely=https://mavely.app.link/e/bhESV2wGrGb&amp;destination=https%3A%2F%2Fwww.kohls.com%2Fsearch.jsp%3Fsubmit-search%3Dweb-regular%26search%3D37724580", "Retail Link")</f>
        <v>Retail Link</v>
      </c>
      <c r="J356" s="14" t="s">
        <v>3413</v>
      </c>
      <c r="K356" s="13" t="s">
        <v>3469</v>
      </c>
      <c r="L356" s="15">
        <v>12.48</v>
      </c>
      <c r="M356" s="15">
        <v>42.99</v>
      </c>
      <c r="N356" s="15">
        <v>13.311500000000001</v>
      </c>
      <c r="O356" s="15">
        <f>V356-M356</f>
        <v>-6.3599999999999994</v>
      </c>
      <c r="P356" s="16">
        <f>N356/L356</f>
        <v>1.0666266025641025</v>
      </c>
      <c r="Q356" s="14">
        <v>95891</v>
      </c>
      <c r="R356" s="14"/>
      <c r="S356" s="17">
        <v>1.4594584399999999</v>
      </c>
      <c r="T356" s="15">
        <v>42.99</v>
      </c>
      <c r="U356" s="15">
        <v>36.08</v>
      </c>
      <c r="V356" s="15">
        <v>36.630000000000003</v>
      </c>
      <c r="W356" s="14" t="s">
        <v>3470</v>
      </c>
      <c r="X356" s="14">
        <v>1</v>
      </c>
      <c r="Y356" s="10">
        <f>AC356-AB356</f>
        <v>3498</v>
      </c>
      <c r="Z356" s="18">
        <v>32</v>
      </c>
      <c r="AA356" s="18">
        <v>97</v>
      </c>
      <c r="AB356" s="18">
        <v>2</v>
      </c>
      <c r="AC356" s="18">
        <v>3500</v>
      </c>
      <c r="AD356" s="1" t="s">
        <v>1037</v>
      </c>
      <c r="AE356" s="1" t="s">
        <v>2089</v>
      </c>
      <c r="AF356" s="4">
        <v>7.31</v>
      </c>
      <c r="AG356" s="4">
        <v>10.75</v>
      </c>
    </row>
    <row r="357" spans="1:33" ht="47.25" customHeight="1" x14ac:dyDescent="0.25">
      <c r="A357" s="10" t="s">
        <v>5771</v>
      </c>
      <c r="B357" s="11" t="s">
        <v>33</v>
      </c>
      <c r="C357" s="12" t="s">
        <v>5772</v>
      </c>
      <c r="D357" s="27"/>
      <c r="E357" s="14" t="s">
        <v>35</v>
      </c>
      <c r="F357" s="11" t="str">
        <f>HYPERLINK("https://redirect.sdcdeals.com/redirect?destination=https%3A%2F%2Fwww.amazon.com%2Fdp%2FB0CQZ49PLG%3Fth%3D1%26psc%3D1%26tag%3Dsdcdeals03-20", "Amazon Link")</f>
        <v>Amazon Link</v>
      </c>
      <c r="G357" s="11" t="s">
        <v>36</v>
      </c>
      <c r="H357" s="14" t="s">
        <v>5773</v>
      </c>
      <c r="I357" s="11" t="str">
        <f>HYPERLINK("https://redirect.sdcdeals.com/redirect?code=763034&amp;mavely=https://mavely.app.link/e/bhESV2wGrGb&amp;destination=https%3A%2F%2Fwww.kohls.com%2Fsearch.jsp%3Fsubmit-search%3Dweb-regular%26search%3D46907018", "Retail Link")</f>
        <v>Retail Link</v>
      </c>
      <c r="J357" s="14" t="s">
        <v>5774</v>
      </c>
      <c r="K357" s="13" t="s">
        <v>5775</v>
      </c>
      <c r="L357" s="15">
        <v>13.6</v>
      </c>
      <c r="M357" s="15">
        <v>40</v>
      </c>
      <c r="N357" s="15">
        <v>14.5</v>
      </c>
      <c r="O357" s="15">
        <f>V357-M357</f>
        <v>0</v>
      </c>
      <c r="P357" s="16">
        <f>N357/L357</f>
        <v>1.0661764705882353</v>
      </c>
      <c r="Q357" s="14">
        <v>164581</v>
      </c>
      <c r="R357" s="14"/>
      <c r="S357" s="17">
        <v>0.59965663999999996</v>
      </c>
      <c r="T357" s="15">
        <v>40</v>
      </c>
      <c r="U357" s="15">
        <v>40</v>
      </c>
      <c r="V357" s="15">
        <v>40</v>
      </c>
      <c r="W357" s="14" t="s">
        <v>330</v>
      </c>
      <c r="X357" s="14">
        <v>3</v>
      </c>
      <c r="Y357" s="10">
        <f>AC357-AB357</f>
        <v>3</v>
      </c>
      <c r="Z357" s="18">
        <v>19</v>
      </c>
      <c r="AA357" s="18">
        <v>32</v>
      </c>
      <c r="AB357" s="18">
        <v>1</v>
      </c>
      <c r="AC357" s="18">
        <v>4</v>
      </c>
      <c r="AE357" s="1" t="s">
        <v>76</v>
      </c>
      <c r="AF357" s="4">
        <v>6.8</v>
      </c>
      <c r="AG357" s="4">
        <v>5.9</v>
      </c>
    </row>
    <row r="358" spans="1:33" ht="47.25" customHeight="1" x14ac:dyDescent="0.25">
      <c r="A358" s="10" t="s">
        <v>5776</v>
      </c>
      <c r="B358" s="11" t="s">
        <v>33</v>
      </c>
      <c r="C358" s="12" t="s">
        <v>5777</v>
      </c>
      <c r="D358" s="27"/>
      <c r="E358" s="14" t="s">
        <v>35</v>
      </c>
      <c r="F358" s="11" t="str">
        <f>HYPERLINK("https://redirect.sdcdeals.com/redirect?destination=https%3A%2F%2Fwww.amazon.com%2Fdp%2FB0CQZ5HL9L%3Fth%3D1%26psc%3D1%26tag%3Dsdcdeals03-20", "Amazon Link")</f>
        <v>Amazon Link</v>
      </c>
      <c r="G358" s="11" t="s">
        <v>36</v>
      </c>
      <c r="H358" s="14" t="s">
        <v>5778</v>
      </c>
      <c r="I358" s="11" t="str">
        <f>HYPERLINK("https://redirect.sdcdeals.com/redirect?code=763034&amp;mavely=https://mavely.app.link/e/bhESV2wGrGb&amp;destination=https%3A%2F%2Fwww.kohls.com%2Fsearch.jsp%3Fsubmit-search%3Dweb-regular%26search%3D46907024", "Retail Link")</f>
        <v>Retail Link</v>
      </c>
      <c r="J358" s="14" t="s">
        <v>5774</v>
      </c>
      <c r="K358" s="13" t="s">
        <v>5775</v>
      </c>
      <c r="L358" s="15">
        <v>13.6</v>
      </c>
      <c r="M358" s="15">
        <v>40</v>
      </c>
      <c r="N358" s="15">
        <v>14.5</v>
      </c>
      <c r="O358" s="15">
        <f>V358-M358</f>
        <v>0</v>
      </c>
      <c r="P358" s="16">
        <f>N358/L358</f>
        <v>1.0661764705882353</v>
      </c>
      <c r="Q358" s="14">
        <v>167219</v>
      </c>
      <c r="R358" s="14"/>
      <c r="S358" s="17">
        <v>0.59965663999999996</v>
      </c>
      <c r="T358" s="15">
        <v>40</v>
      </c>
      <c r="U358" s="15">
        <v>40</v>
      </c>
      <c r="V358" s="15">
        <v>40</v>
      </c>
      <c r="W358" s="14" t="s">
        <v>269</v>
      </c>
      <c r="X358" s="14">
        <v>2</v>
      </c>
      <c r="Y358" s="10">
        <f>AC358-AB358</f>
        <v>4</v>
      </c>
      <c r="Z358" s="18">
        <v>13</v>
      </c>
      <c r="AA358" s="18">
        <v>30</v>
      </c>
      <c r="AB358" s="18">
        <v>0</v>
      </c>
      <c r="AC358" s="18">
        <v>4</v>
      </c>
      <c r="AE358" s="1" t="s">
        <v>1243</v>
      </c>
      <c r="AF358" s="4">
        <v>6.8</v>
      </c>
      <c r="AG358" s="4">
        <v>5.9</v>
      </c>
    </row>
    <row r="359" spans="1:33" ht="47.25" customHeight="1" x14ac:dyDescent="0.25">
      <c r="A359" s="10" t="s">
        <v>5779</v>
      </c>
      <c r="B359" s="11" t="s">
        <v>33</v>
      </c>
      <c r="C359" s="12" t="s">
        <v>5780</v>
      </c>
      <c r="D359" s="27"/>
      <c r="E359" s="14" t="s">
        <v>35</v>
      </c>
      <c r="F359" s="11" t="str">
        <f>HYPERLINK("https://redirect.sdcdeals.com/redirect?destination=https%3A%2F%2Fwww.amazon.com%2Fdp%2FB0CQZ4LCLL%3Fth%3D1%26psc%3D1%26tag%3Dsdcdeals03-20", "Amazon Link")</f>
        <v>Amazon Link</v>
      </c>
      <c r="G359" s="11" t="s">
        <v>36</v>
      </c>
      <c r="H359" s="14" t="s">
        <v>5781</v>
      </c>
      <c r="I359" s="11" t="str">
        <f>HYPERLINK("https://redirect.sdcdeals.com/redirect?code=763034&amp;mavely=https://mavely.app.link/e/bhESV2wGrGb&amp;destination=https%3A%2F%2Fwww.kohls.com%2Fsearch.jsp%3Fsubmit-search%3Dweb-regular%26search%3D46907019", "Retail Link")</f>
        <v>Retail Link</v>
      </c>
      <c r="J359" s="14" t="s">
        <v>5774</v>
      </c>
      <c r="K359" s="13" t="s">
        <v>5775</v>
      </c>
      <c r="L359" s="15">
        <v>13.6</v>
      </c>
      <c r="M359" s="15">
        <v>40</v>
      </c>
      <c r="N359" s="15">
        <v>14.5</v>
      </c>
      <c r="O359" s="15">
        <f>V359-M359</f>
        <v>0</v>
      </c>
      <c r="P359" s="16">
        <f>N359/L359</f>
        <v>1.0661764705882353</v>
      </c>
      <c r="Q359" s="14">
        <v>167219</v>
      </c>
      <c r="R359" s="14"/>
      <c r="S359" s="17">
        <v>0.65918138000000004</v>
      </c>
      <c r="T359" s="15">
        <v>40</v>
      </c>
      <c r="U359" s="15">
        <v>40</v>
      </c>
      <c r="V359" s="15">
        <v>40</v>
      </c>
      <c r="W359" s="14" t="s">
        <v>118</v>
      </c>
      <c r="X359" s="14">
        <v>3</v>
      </c>
      <c r="Y359" s="10">
        <f>AC359-AB359</f>
        <v>4</v>
      </c>
      <c r="Z359" s="18">
        <v>21</v>
      </c>
      <c r="AA359" s="18">
        <v>38</v>
      </c>
      <c r="AB359" s="18">
        <v>0</v>
      </c>
      <c r="AC359" s="18">
        <v>4</v>
      </c>
      <c r="AE359" s="1" t="s">
        <v>76</v>
      </c>
      <c r="AF359" s="4">
        <v>6.8</v>
      </c>
      <c r="AG359" s="4">
        <v>5.9</v>
      </c>
    </row>
    <row r="360" spans="1:33" ht="47.25" customHeight="1" x14ac:dyDescent="0.25">
      <c r="A360" s="10" t="s">
        <v>4936</v>
      </c>
      <c r="B360" s="11" t="s">
        <v>33</v>
      </c>
      <c r="C360" s="12" t="s">
        <v>4937</v>
      </c>
      <c r="D360" s="27"/>
      <c r="E360" s="14" t="s">
        <v>35</v>
      </c>
      <c r="F360" s="11" t="str">
        <f>HYPERLINK("https://redirect.sdcdeals.com/redirect?destination=https%3A%2F%2Fwww.amazon.com%2Fdp%2FB0CFQ33X1D%3Fth%3D1%26psc%3D1%26tag%3Dsdcdeals03-20", "Amazon Link")</f>
        <v>Amazon Link</v>
      </c>
      <c r="G360" s="11" t="s">
        <v>36</v>
      </c>
      <c r="H360" s="14" t="s">
        <v>4938</v>
      </c>
      <c r="I360" s="11" t="str">
        <f>HYPERLINK("https://redirect.sdcdeals.com/redirect?code=763034&amp;mavely=https://mavely.app.link/e/bhESV2wGrGb&amp;destination=https%3A%2F%2Fwww.kohls.com%2Fsearch.jsp%3Fsubmit-search%3Dweb-regular%26search%3D19710913", "Retail Link")</f>
        <v>Retail Link</v>
      </c>
      <c r="J360" s="14" t="s">
        <v>4893</v>
      </c>
      <c r="K360" s="13" t="s">
        <v>4939</v>
      </c>
      <c r="L360" s="15">
        <v>13</v>
      </c>
      <c r="M360" s="15">
        <v>38.799999999999997</v>
      </c>
      <c r="N360" s="15">
        <v>13.84</v>
      </c>
      <c r="O360" s="15">
        <f>V360-M360</f>
        <v>7.9400000000000048</v>
      </c>
      <c r="P360" s="16">
        <f>N360/L360</f>
        <v>1.0646153846153845</v>
      </c>
      <c r="Q360" s="14">
        <v>1353219</v>
      </c>
      <c r="R360" s="14"/>
      <c r="S360" s="17">
        <v>0.74957079999999998</v>
      </c>
      <c r="T360" s="15">
        <v>30.81</v>
      </c>
      <c r="U360" s="15">
        <v>47.81</v>
      </c>
      <c r="V360" s="15">
        <v>46.74</v>
      </c>
      <c r="W360" s="14" t="s">
        <v>436</v>
      </c>
      <c r="X360" s="14">
        <v>3</v>
      </c>
      <c r="Y360" s="10">
        <f>AC360-AB360</f>
        <v>11</v>
      </c>
      <c r="Z360" s="18">
        <v>3</v>
      </c>
      <c r="AA360" s="18">
        <v>15</v>
      </c>
      <c r="AB360" s="18">
        <v>0</v>
      </c>
      <c r="AC360" s="18">
        <v>11</v>
      </c>
      <c r="AD360" s="1" t="s">
        <v>4940</v>
      </c>
      <c r="AE360" s="1" t="s">
        <v>4919</v>
      </c>
      <c r="AF360" s="4">
        <v>6.6</v>
      </c>
      <c r="AG360" s="4">
        <v>6.14</v>
      </c>
    </row>
    <row r="361" spans="1:33" ht="47.25" hidden="1" customHeight="1" x14ac:dyDescent="0.25">
      <c r="A361" s="10" t="s">
        <v>5875</v>
      </c>
      <c r="B361" s="11" t="s">
        <v>33</v>
      </c>
      <c r="C361" s="12" t="s">
        <v>5876</v>
      </c>
      <c r="D361" s="27"/>
      <c r="E361" s="14" t="s">
        <v>35</v>
      </c>
      <c r="F361" s="11" t="str">
        <f>HYPERLINK("https://redirect.sdcdeals.com/redirect?destination=https%3A%2F%2Fwww.amazon.com%2Fdp%2FB0CL5RH29N%3Fth%3D1%26psc%3D1%26tag%3Dsdcdeals03-20", "Amazon Link")</f>
        <v>Amazon Link</v>
      </c>
      <c r="G361" s="11" t="s">
        <v>36</v>
      </c>
      <c r="H361" s="14" t="s">
        <v>5877</v>
      </c>
      <c r="I361" s="11" t="str">
        <f>HYPERLINK("https://redirect.sdcdeals.com/redirect?code=763034&amp;mavely=https://mavely.app.link/e/bhESV2wGrGb&amp;destination=https%3A%2F%2Fwww.kohls.com%2Fsearch.jsp%3Fsubmit-search%3Dweb-regular%26search%3D34133436", "Retail Link")</f>
        <v>Retail Link</v>
      </c>
      <c r="J361" s="14" t="s">
        <v>5878</v>
      </c>
      <c r="K361" s="13" t="s">
        <v>5879</v>
      </c>
      <c r="L361" s="15">
        <v>7.6000000000000014</v>
      </c>
      <c r="M361" s="15">
        <v>22.4</v>
      </c>
      <c r="N361" s="15">
        <v>8.0899999999999981</v>
      </c>
      <c r="O361" s="15">
        <f>V361-M361</f>
        <v>6.110000000000003</v>
      </c>
      <c r="P361" s="16">
        <f>N361/L361</f>
        <v>1.0644736842105258</v>
      </c>
      <c r="Q361" s="14"/>
      <c r="R361" s="14"/>
      <c r="S361" s="17">
        <v>0.39903622</v>
      </c>
      <c r="T361" s="15">
        <v>22.4</v>
      </c>
      <c r="U361" s="15">
        <v>22.47</v>
      </c>
      <c r="V361" s="15">
        <v>28.51</v>
      </c>
      <c r="W361" s="14" t="s">
        <v>352</v>
      </c>
      <c r="X361" s="14">
        <v>3</v>
      </c>
      <c r="Y361" s="10">
        <f>AC361-AB361</f>
        <v>562</v>
      </c>
      <c r="Z361" s="18">
        <v>0</v>
      </c>
      <c r="AA361" s="18">
        <v>75</v>
      </c>
      <c r="AB361" s="18">
        <v>0</v>
      </c>
      <c r="AC361" s="18">
        <v>562</v>
      </c>
      <c r="AD361" s="1" t="s">
        <v>4680</v>
      </c>
      <c r="AE361" s="1" t="s">
        <v>5880</v>
      </c>
      <c r="AF361" s="4">
        <v>3.81</v>
      </c>
      <c r="AG361" s="4">
        <v>3.35</v>
      </c>
    </row>
    <row r="362" spans="1:33" ht="47.25" customHeight="1" x14ac:dyDescent="0.25">
      <c r="A362" s="10" t="s">
        <v>7385</v>
      </c>
      <c r="B362" s="11" t="s">
        <v>33</v>
      </c>
      <c r="C362" s="12" t="s">
        <v>7386</v>
      </c>
      <c r="D362" s="27"/>
      <c r="E362" s="14" t="s">
        <v>35</v>
      </c>
      <c r="F362" s="11" t="str">
        <f>HYPERLINK("https://redirect.sdcdeals.com/redirect?destination=https%3A%2F%2Fwww.amazon.com%2Fdp%2FB0B1JSNBTK%3Fth%3D1%26psc%3D1%26tag%3Dsdcdeals03-20", "Amazon Link")</f>
        <v>Amazon Link</v>
      </c>
      <c r="G362" s="11" t="s">
        <v>36</v>
      </c>
      <c r="H362" s="14" t="s">
        <v>7387</v>
      </c>
      <c r="I362" s="11" t="str">
        <f>HYPERLINK("https://redirect.sdcdeals.com/redirect?code=763034&amp;mavely=https://mavely.app.link/e/bhESV2wGrGb&amp;destination=https%3A%2F%2Fwww.kohls.com%2Fsearch.jsp%3Fsubmit-search%3Dweb-regular%26search%3D83402102", "Retail Link")</f>
        <v>Retail Link</v>
      </c>
      <c r="J362" s="14" t="s">
        <v>7375</v>
      </c>
      <c r="K362" s="13" t="s">
        <v>7388</v>
      </c>
      <c r="L362" s="15">
        <v>14.183999999999999</v>
      </c>
      <c r="M362" s="15">
        <v>41.67</v>
      </c>
      <c r="N362" s="15">
        <v>15.095499999999999</v>
      </c>
      <c r="O362" s="15">
        <f>V362-M362</f>
        <v>4.18</v>
      </c>
      <c r="P362" s="16">
        <f>N362/L362</f>
        <v>1.0642625493513818</v>
      </c>
      <c r="Q362" s="14">
        <v>109227</v>
      </c>
      <c r="R362" s="14"/>
      <c r="S362" s="17">
        <v>0.63933980000000001</v>
      </c>
      <c r="T362" s="15"/>
      <c r="U362" s="15">
        <v>41.67</v>
      </c>
      <c r="V362" s="15">
        <v>45.85</v>
      </c>
      <c r="W362" s="14" t="s">
        <v>436</v>
      </c>
      <c r="X362" s="14">
        <v>1</v>
      </c>
      <c r="Y362" s="10">
        <f>AC362-AB362</f>
        <v>462</v>
      </c>
      <c r="Z362" s="18">
        <v>21</v>
      </c>
      <c r="AA362" s="18">
        <v>58</v>
      </c>
      <c r="AB362" s="18">
        <v>0</v>
      </c>
      <c r="AC362" s="18">
        <v>462</v>
      </c>
      <c r="AD362" s="1" t="s">
        <v>7383</v>
      </c>
      <c r="AE362" s="1" t="s">
        <v>7384</v>
      </c>
      <c r="AG362" s="4">
        <v>6.14</v>
      </c>
    </row>
    <row r="363" spans="1:33" ht="47.25" customHeight="1" x14ac:dyDescent="0.25">
      <c r="A363" s="10" t="s">
        <v>977</v>
      </c>
      <c r="B363" s="11" t="s">
        <v>33</v>
      </c>
      <c r="C363" s="12" t="s">
        <v>978</v>
      </c>
      <c r="D363" s="27"/>
      <c r="E363" s="14" t="s">
        <v>35</v>
      </c>
      <c r="F363" s="11" t="str">
        <f>HYPERLINK("https://redirect.sdcdeals.com/redirect?destination=https%3A%2F%2Fwww.amazon.com%2Fdp%2FB0BFTQLL38%3Fth%3D1%26psc%3D1%26tag%3Dsdcdeals03-20", "Amazon Link")</f>
        <v>Amazon Link</v>
      </c>
      <c r="G363" s="11" t="s">
        <v>36</v>
      </c>
      <c r="H363" s="14" t="s">
        <v>979</v>
      </c>
      <c r="I363" s="11" t="str">
        <f>HYPERLINK("https://redirect.sdcdeals.com/redirect?code=763034&amp;mavely=https://mavely.app.link/e/bhESV2wGrGb&amp;destination=https%3A%2F%2Fwww.kohls.com%2Fsearch.jsp%3Fsubmit-search%3Dweb-regular%26search%3D83188582", "Retail Link")</f>
        <v>Retail Link</v>
      </c>
      <c r="J363" s="14" t="s">
        <v>973</v>
      </c>
      <c r="K363" s="13" t="s">
        <v>980</v>
      </c>
      <c r="L363" s="15">
        <v>49.496000000000002</v>
      </c>
      <c r="M363" s="15">
        <v>138.66</v>
      </c>
      <c r="N363" s="15">
        <v>52.67499999999999</v>
      </c>
      <c r="O363" s="15">
        <f>V363-M363</f>
        <v>-22.86</v>
      </c>
      <c r="P363" s="16">
        <f>N363/L363</f>
        <v>1.0642274123161466</v>
      </c>
      <c r="Q363" s="14">
        <v>2079619</v>
      </c>
      <c r="R363" s="14"/>
      <c r="S363" s="17">
        <v>1.8695177599999999</v>
      </c>
      <c r="T363" s="15">
        <v>138.66</v>
      </c>
      <c r="U363" s="15">
        <v>117.6</v>
      </c>
      <c r="V363" s="15">
        <v>115.8</v>
      </c>
      <c r="W363" s="14" t="s">
        <v>981</v>
      </c>
      <c r="X363" s="14">
        <v>1</v>
      </c>
      <c r="Y363" s="10">
        <f>AC363-AB363</f>
        <v>0</v>
      </c>
      <c r="Z363" s="18">
        <v>1</v>
      </c>
      <c r="AA363" s="18">
        <v>1</v>
      </c>
      <c r="AB363" s="18">
        <v>0</v>
      </c>
      <c r="AC363" s="18"/>
      <c r="AD363" s="1" t="s">
        <v>976</v>
      </c>
      <c r="AE363" s="1" t="s">
        <v>76</v>
      </c>
      <c r="AF363" s="4">
        <v>23.57</v>
      </c>
      <c r="AG363" s="4">
        <v>15.69</v>
      </c>
    </row>
    <row r="364" spans="1:33" ht="47.25" customHeight="1" x14ac:dyDescent="0.25">
      <c r="A364" s="10" t="s">
        <v>4086</v>
      </c>
      <c r="B364" s="11" t="s">
        <v>33</v>
      </c>
      <c r="C364" s="12" t="s">
        <v>4087</v>
      </c>
      <c r="D364" s="27"/>
      <c r="E364" s="14" t="s">
        <v>35</v>
      </c>
      <c r="F364" s="11" t="str">
        <f>HYPERLINK("https://redirect.sdcdeals.com/redirect?destination=https%3A%2F%2Fwww.amazon.com%2Fdp%2FB0BKQVBM7V%3Fth%3D1%26psc%3D1%26tag%3Dsdcdeals03-20", "Amazon Link")</f>
        <v>Amazon Link</v>
      </c>
      <c r="G364" s="11" t="s">
        <v>36</v>
      </c>
      <c r="H364" s="14" t="s">
        <v>4088</v>
      </c>
      <c r="I364" s="11" t="str">
        <f>HYPERLINK("https://redirect.sdcdeals.com/redirect?code=763034&amp;mavely=https://mavely.app.link/e/bhESV2wGrGb&amp;destination=https%3A%2F%2Fwww.kohls.com%2Fsearch.jsp%3Fsubmit-search%3Dweb-regular%26search%3D71992589", "Retail Link")</f>
        <v>Retail Link</v>
      </c>
      <c r="J364" s="14" t="s">
        <v>4089</v>
      </c>
      <c r="K364" s="13" t="s">
        <v>4090</v>
      </c>
      <c r="L364" s="15">
        <v>39.6</v>
      </c>
      <c r="M364" s="15">
        <v>105.15</v>
      </c>
      <c r="N364" s="15">
        <v>42.057499999999997</v>
      </c>
      <c r="O364" s="15">
        <f>V364-M364</f>
        <v>0</v>
      </c>
      <c r="P364" s="16">
        <f>N364/L364</f>
        <v>1.0620580808080806</v>
      </c>
      <c r="Q364" s="14">
        <v>413931</v>
      </c>
      <c r="R364" s="14"/>
      <c r="S364" s="17">
        <v>1.0802638</v>
      </c>
      <c r="T364" s="15">
        <v>105.15</v>
      </c>
      <c r="U364" s="15">
        <v>105.15</v>
      </c>
      <c r="V364" s="15">
        <v>105.15</v>
      </c>
      <c r="W364" s="14" t="s">
        <v>659</v>
      </c>
      <c r="X364" s="14">
        <v>2</v>
      </c>
      <c r="Y364" s="10">
        <f>AC364-AB364</f>
        <v>15</v>
      </c>
      <c r="Z364" s="18">
        <v>14</v>
      </c>
      <c r="AA364" s="18">
        <v>40</v>
      </c>
      <c r="AB364" s="18">
        <v>0</v>
      </c>
      <c r="AC364" s="18">
        <v>15</v>
      </c>
      <c r="AD364" s="1" t="s">
        <v>4091</v>
      </c>
      <c r="AE364" s="1" t="s">
        <v>1406</v>
      </c>
      <c r="AF364" s="4">
        <v>17.88</v>
      </c>
      <c r="AG364" s="4">
        <v>7.72</v>
      </c>
    </row>
    <row r="365" spans="1:33" ht="47.25" customHeight="1" x14ac:dyDescent="0.25">
      <c r="A365" s="10" t="s">
        <v>4101</v>
      </c>
      <c r="B365" s="11" t="s">
        <v>33</v>
      </c>
      <c r="C365" s="12" t="s">
        <v>4102</v>
      </c>
      <c r="D365" s="27"/>
      <c r="E365" s="14" t="s">
        <v>35</v>
      </c>
      <c r="F365" s="11" t="str">
        <f>HYPERLINK("https://redirect.sdcdeals.com/redirect?destination=https%3A%2F%2Fwww.amazon.com%2Fdp%2FB0BKQX43NZ%3Fth%3D1%26psc%3D1%26tag%3Dsdcdeals03-20", "Amazon Link")</f>
        <v>Amazon Link</v>
      </c>
      <c r="G365" s="11" t="s">
        <v>36</v>
      </c>
      <c r="H365" s="14" t="s">
        <v>4103</v>
      </c>
      <c r="I365" s="11" t="str">
        <f>HYPERLINK("https://redirect.sdcdeals.com/redirect?code=763034&amp;mavely=https://mavely.app.link/e/bhESV2wGrGb&amp;destination=https%3A%2F%2Fwww.kohls.com%2Fsearch.jsp%3Fsubmit-search%3Dweb-regular%26search%3D71992640", "Retail Link")</f>
        <v>Retail Link</v>
      </c>
      <c r="J365" s="14" t="s">
        <v>4089</v>
      </c>
      <c r="K365" s="13" t="s">
        <v>4104</v>
      </c>
      <c r="L365" s="15">
        <v>39.6</v>
      </c>
      <c r="M365" s="15">
        <v>105.15</v>
      </c>
      <c r="N365" s="15">
        <v>42.057499999999997</v>
      </c>
      <c r="O365" s="15">
        <f>V365-M365</f>
        <v>-13.330000000000013</v>
      </c>
      <c r="P365" s="16">
        <f>N365/L365</f>
        <v>1.0620580808080806</v>
      </c>
      <c r="Q365" s="14">
        <v>459362</v>
      </c>
      <c r="R365" s="14"/>
      <c r="S365" s="17">
        <v>1.1353793000000001</v>
      </c>
      <c r="T365" s="15">
        <v>105.15</v>
      </c>
      <c r="U365" s="15">
        <v>83.53</v>
      </c>
      <c r="V365" s="15">
        <v>91.82</v>
      </c>
      <c r="W365" s="14" t="s">
        <v>659</v>
      </c>
      <c r="X365" s="14">
        <v>2</v>
      </c>
      <c r="Y365" s="10">
        <f>AC365-AB365</f>
        <v>14</v>
      </c>
      <c r="Z365" s="18">
        <v>12</v>
      </c>
      <c r="AA365" s="18">
        <v>38</v>
      </c>
      <c r="AB365" s="18">
        <v>1</v>
      </c>
      <c r="AC365" s="18">
        <v>15</v>
      </c>
      <c r="AD365" s="1" t="s">
        <v>4091</v>
      </c>
      <c r="AE365" s="1" t="s">
        <v>2213</v>
      </c>
      <c r="AG365" s="4">
        <v>7.72</v>
      </c>
    </row>
    <row r="366" spans="1:33" ht="47.25" customHeight="1" x14ac:dyDescent="0.25">
      <c r="A366" s="10" t="s">
        <v>6707</v>
      </c>
      <c r="B366" s="11" t="s">
        <v>33</v>
      </c>
      <c r="C366" s="12" t="s">
        <v>6708</v>
      </c>
      <c r="D366" s="27"/>
      <c r="E366" s="14" t="s">
        <v>35</v>
      </c>
      <c r="F366" s="11" t="str">
        <f>HYPERLINK("https://redirect.sdcdeals.com/redirect?destination=https%3A%2F%2Fwww.amazon.com%2Fdp%2FB0BFVN1Q41%3Fth%3D1%26psc%3D1%26tag%3Dsdcdeals03-20", "Amazon Link")</f>
        <v>Amazon Link</v>
      </c>
      <c r="G366" s="11" t="s">
        <v>36</v>
      </c>
      <c r="H366" s="14" t="s">
        <v>6709</v>
      </c>
      <c r="I366" s="11" t="str">
        <f>HYPERLINK("https://redirect.sdcdeals.com/redirect?code=763034&amp;mavely=https://mavely.app.link/e/bhESV2wGrGb&amp;destination=https%3A%2F%2Fwww.kohls.com%2Fsearch.jsp%3Fsubmit-search%3Dweb-regular%26search%3D59123815", "Retail Link")</f>
        <v>Retail Link</v>
      </c>
      <c r="J366" s="14" t="s">
        <v>6710</v>
      </c>
      <c r="K366" s="13" t="s">
        <v>6711</v>
      </c>
      <c r="L366" s="15">
        <v>63</v>
      </c>
      <c r="M366" s="15">
        <v>171.94</v>
      </c>
      <c r="N366" s="15">
        <v>66.699000000000012</v>
      </c>
      <c r="O366" s="15">
        <f>V366-M366</f>
        <v>0</v>
      </c>
      <c r="P366" s="16">
        <f>N366/L366</f>
        <v>1.0587142857142859</v>
      </c>
      <c r="Q366" s="14">
        <v>3639163</v>
      </c>
      <c r="R366" s="14"/>
      <c r="S366" s="17">
        <v>3.28047456</v>
      </c>
      <c r="T366" s="15"/>
      <c r="U366" s="15"/>
      <c r="V366" s="15">
        <v>171.94</v>
      </c>
      <c r="W366" s="14" t="s">
        <v>1386</v>
      </c>
      <c r="X366" s="14"/>
      <c r="Y366" s="10">
        <f>AC366-AB366</f>
        <v>9</v>
      </c>
      <c r="Z366" s="18">
        <v>1</v>
      </c>
      <c r="AA366" s="18">
        <v>2</v>
      </c>
      <c r="AB366" s="18">
        <v>0</v>
      </c>
      <c r="AC366" s="18">
        <v>9</v>
      </c>
      <c r="AD366" s="1" t="s">
        <v>6712</v>
      </c>
      <c r="AE366" s="1" t="s">
        <v>76</v>
      </c>
      <c r="AG366" s="4">
        <v>16.45</v>
      </c>
    </row>
    <row r="367" spans="1:33" ht="47.25" customHeight="1" x14ac:dyDescent="0.25">
      <c r="A367" s="10" t="s">
        <v>5570</v>
      </c>
      <c r="B367" s="11" t="s">
        <v>33</v>
      </c>
      <c r="C367" s="12" t="s">
        <v>5571</v>
      </c>
      <c r="D367" s="27"/>
      <c r="E367" s="14" t="s">
        <v>35</v>
      </c>
      <c r="F367" s="11" t="str">
        <f>HYPERLINK("https://redirect.sdcdeals.com/redirect?destination=https%3A%2F%2Fwww.amazon.com%2Fdp%2FB0BZ562Q3P%3Fth%3D1%26psc%3D1%26tag%3Dsdcdeals03-20", "Amazon Link")</f>
        <v>Amazon Link</v>
      </c>
      <c r="G367" s="11" t="s">
        <v>36</v>
      </c>
      <c r="H367" s="14" t="s">
        <v>5572</v>
      </c>
      <c r="I367" s="11" t="str">
        <f>HYPERLINK("https://redirect.sdcdeals.com/redirect?code=763034&amp;mavely=https://mavely.app.link/e/bhESV2wGrGb&amp;destination=https%3A%2F%2Fwww.kohls.com%2Fsearch.jsp%3Fsubmit-search%3Dweb-regular%26search%3D79052448", "Retail Link")</f>
        <v>Retail Link</v>
      </c>
      <c r="J367" s="14" t="s">
        <v>5573</v>
      </c>
      <c r="K367" s="13" t="s">
        <v>5574</v>
      </c>
      <c r="L367" s="15">
        <v>13</v>
      </c>
      <c r="M367" s="15">
        <v>36.979999999999997</v>
      </c>
      <c r="N367" s="15">
        <v>13.763</v>
      </c>
      <c r="O367" s="15">
        <f>V367-M367</f>
        <v>0.47000000000000597</v>
      </c>
      <c r="P367" s="16">
        <f>N367/L367</f>
        <v>1.0586923076923076</v>
      </c>
      <c r="Q367" s="14">
        <v>22228</v>
      </c>
      <c r="R367" s="14"/>
      <c r="S367" s="17">
        <v>0.48501640000000001</v>
      </c>
      <c r="T367" s="15">
        <v>36.979999999999997</v>
      </c>
      <c r="U367" s="15">
        <v>36.979999999999997</v>
      </c>
      <c r="V367" s="15">
        <v>37.450000000000003</v>
      </c>
      <c r="W367" s="14" t="s">
        <v>981</v>
      </c>
      <c r="X367" s="14">
        <v>5</v>
      </c>
      <c r="Y367" s="10">
        <f>AC367-AB367</f>
        <v>879</v>
      </c>
      <c r="Z367" s="18">
        <v>38</v>
      </c>
      <c r="AA367" s="18">
        <v>103</v>
      </c>
      <c r="AB367" s="18">
        <v>0</v>
      </c>
      <c r="AC367" s="18">
        <v>879</v>
      </c>
      <c r="AD367" s="1" t="s">
        <v>5575</v>
      </c>
      <c r="AE367" s="1" t="s">
        <v>5576</v>
      </c>
      <c r="AF367" s="4">
        <v>6.29</v>
      </c>
      <c r="AG367" s="4">
        <v>4.67</v>
      </c>
    </row>
    <row r="368" spans="1:33" ht="47.25" customHeight="1" x14ac:dyDescent="0.25">
      <c r="A368" s="10" t="s">
        <v>3823</v>
      </c>
      <c r="B368" s="11" t="s">
        <v>33</v>
      </c>
      <c r="C368" s="12" t="s">
        <v>3824</v>
      </c>
      <c r="D368" s="27"/>
      <c r="E368" s="14" t="s">
        <v>35</v>
      </c>
      <c r="F368" s="11" t="str">
        <f>HYPERLINK("https://redirect.sdcdeals.com/redirect?destination=https%3A%2F%2Fwww.amazon.com%2Fdp%2FB0BGW1KV5X%3Fth%3D1%26psc%3D1%26tag%3Dsdcdeals03-20", "Amazon Link")</f>
        <v>Amazon Link</v>
      </c>
      <c r="G368" s="11" t="s">
        <v>36</v>
      </c>
      <c r="H368" s="14" t="s">
        <v>3825</v>
      </c>
      <c r="I368" s="11" t="str">
        <f>HYPERLINK("https://redirect.sdcdeals.com/redirect?code=763034&amp;mavely=https://mavely.app.link/e/bhESV2wGrGb&amp;destination=https%3A%2F%2Fwww.kohls.com%2Fsearch.jsp%3Fsubmit-search%3Dweb-regular%26search%3D37226368", "Retail Link")</f>
        <v>Retail Link</v>
      </c>
      <c r="J368" s="14" t="s">
        <v>3813</v>
      </c>
      <c r="K368" s="13" t="s">
        <v>3826</v>
      </c>
      <c r="L368" s="15">
        <v>12.6</v>
      </c>
      <c r="M368" s="15">
        <v>37.35</v>
      </c>
      <c r="N368" s="15">
        <v>13.327500000000001</v>
      </c>
      <c r="O368" s="15">
        <f>V368-M368</f>
        <v>7.1099999999999994</v>
      </c>
      <c r="P368" s="16">
        <f>N368/L368</f>
        <v>1.0577380952380953</v>
      </c>
      <c r="Q368" s="14">
        <v>617311</v>
      </c>
      <c r="R368" s="14"/>
      <c r="S368" s="17">
        <v>0.33069300000000001</v>
      </c>
      <c r="T368" s="15">
        <v>28.47</v>
      </c>
      <c r="U368" s="15">
        <v>43.24</v>
      </c>
      <c r="V368" s="15">
        <v>44.46</v>
      </c>
      <c r="W368" s="14" t="s">
        <v>3827</v>
      </c>
      <c r="X368" s="14">
        <v>6</v>
      </c>
      <c r="Y368" s="10">
        <f>AC368-AB368</f>
        <v>0</v>
      </c>
      <c r="Z368" s="18">
        <v>18</v>
      </c>
      <c r="AA368" s="18">
        <v>57</v>
      </c>
      <c r="AB368" s="18">
        <v>0</v>
      </c>
      <c r="AC368" s="18"/>
      <c r="AD368" s="1" t="s">
        <v>3816</v>
      </c>
      <c r="AE368" s="1" t="s">
        <v>3822</v>
      </c>
      <c r="AF368" s="4">
        <v>6.35</v>
      </c>
      <c r="AG368" s="4">
        <v>5.82</v>
      </c>
    </row>
    <row r="369" spans="1:33" ht="47.25" customHeight="1" x14ac:dyDescent="0.25">
      <c r="A369" s="10" t="s">
        <v>1080</v>
      </c>
      <c r="B369" s="11" t="s">
        <v>33</v>
      </c>
      <c r="C369" s="12" t="s">
        <v>1081</v>
      </c>
      <c r="D369" s="27"/>
      <c r="E369" s="14" t="s">
        <v>35</v>
      </c>
      <c r="F369" s="11" t="str">
        <f>HYPERLINK("https://redirect.sdcdeals.com/redirect?destination=https%3A%2F%2Fwww.amazon.com%2Fdp%2FB0BDSMQBYN%3Fth%3D1%26psc%3D1%26tag%3Dsdcdeals03-20", "Amazon Link")</f>
        <v>Amazon Link</v>
      </c>
      <c r="G369" s="11" t="s">
        <v>36</v>
      </c>
      <c r="H369" s="14" t="s">
        <v>1082</v>
      </c>
      <c r="I369" s="11" t="str">
        <f>HYPERLINK("https://redirect.sdcdeals.com/redirect?code=763034&amp;mavely=https://mavely.app.link/e/bhESV2wGrGb&amp;destination=https%3A%2F%2Fwww.kohls.com%2Fsearch.jsp%3Fsubmit-search%3Dweb-regular%26search%3D37649488", "Retail Link")</f>
        <v>Retail Link</v>
      </c>
      <c r="J369" s="14" t="s">
        <v>1083</v>
      </c>
      <c r="K369" s="13" t="s">
        <v>1084</v>
      </c>
      <c r="L369" s="15">
        <v>13.2</v>
      </c>
      <c r="M369" s="15">
        <v>39.159999999999997</v>
      </c>
      <c r="N369" s="15">
        <v>13.945999999999991</v>
      </c>
      <c r="O369" s="15">
        <f>V369-M369</f>
        <v>-19.629999999999995</v>
      </c>
      <c r="P369" s="16">
        <f>N369/L369</f>
        <v>1.056515151515151</v>
      </c>
      <c r="Q369" s="14">
        <v>5075694</v>
      </c>
      <c r="R369" s="14"/>
      <c r="S369" s="17">
        <v>0.61949821999999999</v>
      </c>
      <c r="T369" s="15">
        <v>31.21</v>
      </c>
      <c r="U369" s="15">
        <v>18.2</v>
      </c>
      <c r="V369" s="15">
        <v>19.53</v>
      </c>
      <c r="W369" s="14" t="s">
        <v>282</v>
      </c>
      <c r="X369" s="14">
        <v>2</v>
      </c>
      <c r="Y369" s="10">
        <f>AC369-AB369</f>
        <v>0</v>
      </c>
      <c r="Z369" s="18">
        <v>0</v>
      </c>
      <c r="AA369" s="18">
        <v>2</v>
      </c>
      <c r="AB369" s="18"/>
      <c r="AC369" s="18"/>
      <c r="AE369" s="1" t="s">
        <v>1085</v>
      </c>
      <c r="AF369" s="4">
        <v>6.66</v>
      </c>
      <c r="AG369" s="4">
        <v>6.14</v>
      </c>
    </row>
    <row r="370" spans="1:33" ht="47.25" customHeight="1" x14ac:dyDescent="0.25">
      <c r="A370" s="10" t="s">
        <v>2104</v>
      </c>
      <c r="B370" s="11" t="s">
        <v>33</v>
      </c>
      <c r="C370" s="12" t="s">
        <v>2105</v>
      </c>
      <c r="D370" s="27"/>
      <c r="E370" s="14" t="s">
        <v>35</v>
      </c>
      <c r="F370" s="11" t="str">
        <f>HYPERLINK("https://redirect.sdcdeals.com/redirect?destination=https%3A%2F%2Fwww.amazon.com%2Fdp%2FB09P8HC36T%3Fth%3D1%26psc%3D1%26tag%3Dsdcdeals03-20", "Amazon Link")</f>
        <v>Amazon Link</v>
      </c>
      <c r="G370" s="11" t="s">
        <v>36</v>
      </c>
      <c r="H370" s="14" t="s">
        <v>2106</v>
      </c>
      <c r="I370" s="11" t="str">
        <f>HYPERLINK("https://redirect.sdcdeals.com/redirect?code=763034&amp;mavely=https://mavely.app.link/e/bhESV2wGrGb&amp;destination=https%3A%2F%2Fwww.kohls.com%2Fsearch.jsp%3Fsubmit-search%3Dweb-regular%26search%3D18840120", "Retail Link")</f>
        <v>Retail Link</v>
      </c>
      <c r="J370" s="14" t="s">
        <v>2048</v>
      </c>
      <c r="K370" s="13" t="s">
        <v>2107</v>
      </c>
      <c r="L370" s="15">
        <v>9.6000000000000014</v>
      </c>
      <c r="M370" s="15">
        <v>30.85</v>
      </c>
      <c r="N370" s="15">
        <v>10.1425</v>
      </c>
      <c r="O370" s="15">
        <f>V370-M370</f>
        <v>2.259999999999998</v>
      </c>
      <c r="P370" s="16">
        <f>N370/L370</f>
        <v>1.0565104166666666</v>
      </c>
      <c r="Q370" s="14">
        <v>581</v>
      </c>
      <c r="R370" s="14"/>
      <c r="S370" s="17">
        <v>1.0361714</v>
      </c>
      <c r="T370" s="15">
        <v>30.85</v>
      </c>
      <c r="U370" s="15">
        <v>31.83</v>
      </c>
      <c r="V370" s="15">
        <v>33.11</v>
      </c>
      <c r="W370" s="14" t="s">
        <v>698</v>
      </c>
      <c r="X370" s="14">
        <v>1</v>
      </c>
      <c r="Y370" s="10">
        <f>AC370-AB370</f>
        <v>53291</v>
      </c>
      <c r="Z370" s="18">
        <v>48</v>
      </c>
      <c r="AA370" s="18">
        <v>148</v>
      </c>
      <c r="AB370" s="18">
        <v>7</v>
      </c>
      <c r="AC370" s="18">
        <v>53298</v>
      </c>
      <c r="AD370" s="1" t="s">
        <v>2050</v>
      </c>
      <c r="AE370" s="1" t="s">
        <v>2079</v>
      </c>
      <c r="AF370" s="4">
        <v>5.24</v>
      </c>
      <c r="AG370" s="4">
        <v>6.48</v>
      </c>
    </row>
    <row r="371" spans="1:33" ht="47.25" customHeight="1" x14ac:dyDescent="0.25">
      <c r="A371" s="10" t="s">
        <v>4115</v>
      </c>
      <c r="B371" s="11" t="s">
        <v>33</v>
      </c>
      <c r="C371" s="12" t="s">
        <v>4116</v>
      </c>
      <c r="D371" s="27"/>
      <c r="E371" s="14" t="s">
        <v>35</v>
      </c>
      <c r="F371" s="11" t="str">
        <f>HYPERLINK("https://redirect.sdcdeals.com/redirect?destination=https%3A%2F%2Fwww.amazon.com%2Fdp%2FB0BKQWS4G7%3Fth%3D1%26psc%3D1%26tag%3Dsdcdeals03-20", "Amazon Link")</f>
        <v>Amazon Link</v>
      </c>
      <c r="G371" s="11" t="s">
        <v>36</v>
      </c>
      <c r="H371" s="14" t="s">
        <v>4117</v>
      </c>
      <c r="I371" s="11" t="str">
        <f>HYPERLINK("https://redirect.sdcdeals.com/redirect?code=763034&amp;mavely=https://mavely.app.link/e/bhESV2wGrGb&amp;destination=https%3A%2F%2Fwww.kohls.com%2Fsearch.jsp%3Fsubmit-search%3Dweb-regular%26search%3D71992641", "Retail Link")</f>
        <v>Retail Link</v>
      </c>
      <c r="J371" s="14" t="s">
        <v>4089</v>
      </c>
      <c r="K371" s="13" t="s">
        <v>4118</v>
      </c>
      <c r="L371" s="15">
        <v>39.6</v>
      </c>
      <c r="M371" s="15">
        <v>105.15</v>
      </c>
      <c r="N371" s="15">
        <v>41.737499999999997</v>
      </c>
      <c r="O371" s="15">
        <f>V371-M371</f>
        <v>-15.670000000000002</v>
      </c>
      <c r="P371" s="16">
        <f>N371/L371</f>
        <v>1.0539772727272727</v>
      </c>
      <c r="Q371" s="14">
        <v>594490</v>
      </c>
      <c r="R371" s="14"/>
      <c r="S371" s="17">
        <v>1.2345872</v>
      </c>
      <c r="T371" s="15">
        <v>105.15</v>
      </c>
      <c r="U371" s="15">
        <v>78.180000000000007</v>
      </c>
      <c r="V371" s="15">
        <v>89.48</v>
      </c>
      <c r="W371" s="14" t="s">
        <v>3086</v>
      </c>
      <c r="X371" s="14">
        <v>2</v>
      </c>
      <c r="Y371" s="10">
        <f>AC371-AB371</f>
        <v>15</v>
      </c>
      <c r="Z371" s="18">
        <v>5</v>
      </c>
      <c r="AA371" s="18">
        <v>30</v>
      </c>
      <c r="AB371" s="18">
        <v>0</v>
      </c>
      <c r="AC371" s="18">
        <v>15</v>
      </c>
      <c r="AD371" s="1" t="s">
        <v>4091</v>
      </c>
      <c r="AE371" s="1" t="s">
        <v>2213</v>
      </c>
      <c r="AG371" s="4">
        <v>8.0399999999999991</v>
      </c>
    </row>
    <row r="372" spans="1:33" ht="47.25" customHeight="1" x14ac:dyDescent="0.25">
      <c r="A372" s="10" t="s">
        <v>1866</v>
      </c>
      <c r="B372" s="11" t="s">
        <v>33</v>
      </c>
      <c r="C372" s="12" t="s">
        <v>1867</v>
      </c>
      <c r="D372" s="27"/>
      <c r="E372" s="14" t="s">
        <v>35</v>
      </c>
      <c r="F372" s="11" t="str">
        <f>HYPERLINK("https://redirect.sdcdeals.com/redirect?destination=https%3A%2F%2Fwww.amazon.com%2Fdp%2FB0BGVFL6Z4%3Fth%3D1%26psc%3D1%26tag%3Dsdcdeals03-20", "Amazon Link")</f>
        <v>Amazon Link</v>
      </c>
      <c r="G372" s="11" t="s">
        <v>36</v>
      </c>
      <c r="H372" s="14" t="s">
        <v>1868</v>
      </c>
      <c r="I372" s="11" t="str">
        <f>HYPERLINK("https://redirect.sdcdeals.com/redirect?code=763034&amp;mavely=https://mavely.app.link/e/bhESV2wGrGb&amp;destination=https%3A%2F%2Fwww.kohls.com%2Fsearch.jsp%3Fsubmit-search%3Dweb-regular%26search%3D63445467", "Retail Link")</f>
        <v>Retail Link</v>
      </c>
      <c r="J372" s="14" t="s">
        <v>1856</v>
      </c>
      <c r="K372" s="13" t="s">
        <v>1869</v>
      </c>
      <c r="L372" s="15">
        <v>14.295999999999999</v>
      </c>
      <c r="M372" s="15">
        <v>42.52</v>
      </c>
      <c r="N372" s="15">
        <v>14.986000000000001</v>
      </c>
      <c r="O372" s="15">
        <f>V372-M372</f>
        <v>1.3899999999999935</v>
      </c>
      <c r="P372" s="16">
        <f>N372/L372</f>
        <v>1.0482652490207052</v>
      </c>
      <c r="Q372" s="14">
        <v>57946</v>
      </c>
      <c r="R372" s="14"/>
      <c r="S372" s="17">
        <v>0.83775560000000004</v>
      </c>
      <c r="T372" s="15">
        <v>42.52</v>
      </c>
      <c r="U372" s="15">
        <v>43.87</v>
      </c>
      <c r="V372" s="15">
        <v>43.91</v>
      </c>
      <c r="W372" s="14" t="s">
        <v>664</v>
      </c>
      <c r="X372" s="14">
        <v>13</v>
      </c>
      <c r="Y372" s="10">
        <f>AC372-AB372</f>
        <v>366</v>
      </c>
      <c r="Z372" s="18">
        <v>63</v>
      </c>
      <c r="AA372" s="18">
        <v>210</v>
      </c>
      <c r="AB372" s="18">
        <v>14</v>
      </c>
      <c r="AC372" s="18">
        <v>380</v>
      </c>
      <c r="AD372" s="1" t="s">
        <v>1858</v>
      </c>
      <c r="AE372" s="1" t="s">
        <v>1865</v>
      </c>
      <c r="AF372" s="4">
        <v>7.23</v>
      </c>
      <c r="AG372" s="4">
        <v>6.86</v>
      </c>
    </row>
    <row r="373" spans="1:33" ht="47.25" customHeight="1" x14ac:dyDescent="0.25">
      <c r="A373" s="10" t="s">
        <v>2128</v>
      </c>
      <c r="B373" s="11" t="s">
        <v>33</v>
      </c>
      <c r="C373" s="12" t="s">
        <v>2129</v>
      </c>
      <c r="D373" s="27"/>
      <c r="E373" s="14" t="s">
        <v>35</v>
      </c>
      <c r="F373" s="11" t="str">
        <f>HYPERLINK("https://redirect.sdcdeals.com/redirect?destination=https%3A%2F%2Fwww.amazon.com%2Fdp%2FB0BGW28C53%3Fth%3D1%26psc%3D1%26tag%3Dsdcdeals03-20", "Amazon Link")</f>
        <v>Amazon Link</v>
      </c>
      <c r="G373" s="11" t="s">
        <v>36</v>
      </c>
      <c r="H373" s="14" t="s">
        <v>2130</v>
      </c>
      <c r="I373" s="11" t="str">
        <f>HYPERLINK("https://redirect.sdcdeals.com/redirect?code=763034&amp;mavely=https://mavely.app.link/e/bhESV2wGrGb&amp;destination=https%3A%2F%2Fwww.kohls.com%2Fsearch.jsp%3Fsubmit-search%3Dweb-regular%26search%3D58732101", "Retail Link")</f>
        <v>Retail Link</v>
      </c>
      <c r="J373" s="14" t="s">
        <v>2131</v>
      </c>
      <c r="K373" s="13" t="s">
        <v>2132</v>
      </c>
      <c r="L373" s="15">
        <v>16.8</v>
      </c>
      <c r="M373" s="15">
        <v>48.1</v>
      </c>
      <c r="N373" s="15">
        <v>17.605</v>
      </c>
      <c r="O373" s="15">
        <f>V373-M373</f>
        <v>3.8799999999999955</v>
      </c>
      <c r="P373" s="16">
        <f>N373/L373</f>
        <v>1.0479166666666666</v>
      </c>
      <c r="Q373" s="14">
        <v>59807</v>
      </c>
      <c r="R373" s="14"/>
      <c r="S373" s="17">
        <v>0.84436946000000002</v>
      </c>
      <c r="T373" s="15">
        <v>48.1</v>
      </c>
      <c r="U373" s="15">
        <v>47.53</v>
      </c>
      <c r="V373" s="15">
        <v>51.98</v>
      </c>
      <c r="W373" s="14" t="s">
        <v>88</v>
      </c>
      <c r="X373" s="14">
        <v>6</v>
      </c>
      <c r="Y373" s="10">
        <f>AC373-AB373</f>
        <v>47</v>
      </c>
      <c r="Z373" s="18">
        <v>27</v>
      </c>
      <c r="AA373" s="18">
        <v>81</v>
      </c>
      <c r="AB373" s="18">
        <v>2</v>
      </c>
      <c r="AC373" s="18">
        <v>49</v>
      </c>
      <c r="AD373" s="1" t="s">
        <v>2133</v>
      </c>
      <c r="AE373" s="1" t="s">
        <v>1859</v>
      </c>
      <c r="AF373" s="4">
        <v>8.18</v>
      </c>
      <c r="AG373" s="4">
        <v>6.48</v>
      </c>
    </row>
    <row r="374" spans="1:33" ht="47.25" customHeight="1" x14ac:dyDescent="0.25">
      <c r="A374" s="10" t="s">
        <v>3959</v>
      </c>
      <c r="B374" s="11" t="s">
        <v>33</v>
      </c>
      <c r="C374" s="12" t="s">
        <v>3960</v>
      </c>
      <c r="D374" s="27"/>
      <c r="E374" s="14" t="s">
        <v>35</v>
      </c>
      <c r="F374" s="11" t="str">
        <f>HYPERLINK("https://redirect.sdcdeals.com/redirect?destination=https%3A%2F%2Fwww.amazon.com%2Fdp%2FB0BZDXY8Y3%3Fth%3D1%26psc%3D1%26tag%3Dsdcdeals03-20", "Amazon Link")</f>
        <v>Amazon Link</v>
      </c>
      <c r="G374" s="11" t="s">
        <v>36</v>
      </c>
      <c r="H374" s="14" t="s">
        <v>3961</v>
      </c>
      <c r="I374" s="11" t="str">
        <f>HYPERLINK("https://redirect.sdcdeals.com/redirect?code=763034&amp;mavely=https://mavely.app.link/e/bhESV2wGrGb&amp;destination=https%3A%2F%2Fwww.kohls.com%2Fsearch.jsp%3Fsubmit-search%3Dweb-regular%26search%3D18760712", "Retail Link")</f>
        <v>Retail Link</v>
      </c>
      <c r="J374" s="14" t="s">
        <v>3942</v>
      </c>
      <c r="K374" s="13" t="s">
        <v>3948</v>
      </c>
      <c r="L374" s="15">
        <v>12.48</v>
      </c>
      <c r="M374" s="15">
        <v>38.69</v>
      </c>
      <c r="N374" s="15">
        <v>13.0665</v>
      </c>
      <c r="O374" s="15">
        <f>V374-M374</f>
        <v>5.730000000000004</v>
      </c>
      <c r="P374" s="16">
        <f>N374/L374</f>
        <v>1.0469951923076923</v>
      </c>
      <c r="Q374" s="14">
        <v>109841</v>
      </c>
      <c r="R374" s="14"/>
      <c r="S374" s="17">
        <v>1.5696894400000001</v>
      </c>
      <c r="T374" s="15">
        <v>38.69</v>
      </c>
      <c r="U374" s="15">
        <v>45.24</v>
      </c>
      <c r="V374" s="15">
        <v>44.42</v>
      </c>
      <c r="W374" s="14" t="s">
        <v>3962</v>
      </c>
      <c r="X374" s="14">
        <v>1</v>
      </c>
      <c r="Y374" s="10">
        <f>AC374-AB374</f>
        <v>822</v>
      </c>
      <c r="Z374" s="18">
        <v>32</v>
      </c>
      <c r="AA374" s="18">
        <v>94</v>
      </c>
      <c r="AB374" s="18">
        <v>1</v>
      </c>
      <c r="AC374" s="18">
        <v>823</v>
      </c>
      <c r="AD374" s="1" t="s">
        <v>2991</v>
      </c>
      <c r="AE374" s="1" t="s">
        <v>3949</v>
      </c>
      <c r="AF374" s="4">
        <v>6.58</v>
      </c>
      <c r="AG374" s="4">
        <v>7.34</v>
      </c>
    </row>
    <row r="375" spans="1:33" ht="47.25" customHeight="1" x14ac:dyDescent="0.25">
      <c r="A375" s="10" t="s">
        <v>6748</v>
      </c>
      <c r="B375" s="11" t="s">
        <v>33</v>
      </c>
      <c r="C375" s="12" t="s">
        <v>6749</v>
      </c>
      <c r="D375" s="27"/>
      <c r="E375" s="14" t="s">
        <v>35</v>
      </c>
      <c r="F375" s="11" t="str">
        <f>HYPERLINK("https://redirect.sdcdeals.com/redirect?destination=https%3A%2F%2Fwww.amazon.com%2Fdp%2FB0C9M21NDH%3Fth%3D1%26psc%3D1%26tag%3Dsdcdeals03-20", "Amazon Link")</f>
        <v>Amazon Link</v>
      </c>
      <c r="G375" s="11" t="s">
        <v>36</v>
      </c>
      <c r="H375" s="14" t="s">
        <v>6750</v>
      </c>
      <c r="I375" s="11" t="str">
        <f>HYPERLINK("https://redirect.sdcdeals.com/redirect?code=763034&amp;mavely=https://mavely.app.link/e/bhESV2wGrGb&amp;destination=https%3A%2F%2Fwww.kohls.com%2Fsearch.jsp%3Fsubmit-search%3Dweb-regular%26search%3D62355274", "Retail Link")</f>
        <v>Retail Link</v>
      </c>
      <c r="J375" s="14" t="s">
        <v>6745</v>
      </c>
      <c r="K375" s="13" t="s">
        <v>6751</v>
      </c>
      <c r="L375" s="15">
        <v>13.72</v>
      </c>
      <c r="M375" s="15">
        <v>40.24</v>
      </c>
      <c r="N375" s="15">
        <v>14.343999999999999</v>
      </c>
      <c r="O375" s="15">
        <f>V375-M375</f>
        <v>6.18</v>
      </c>
      <c r="P375" s="16">
        <f>N375/L375</f>
        <v>1.0454810495626821</v>
      </c>
      <c r="Q375" s="14">
        <v>3283714</v>
      </c>
      <c r="R375" s="14"/>
      <c r="S375" s="17">
        <v>0.93034963999999998</v>
      </c>
      <c r="T375" s="15">
        <v>32.29</v>
      </c>
      <c r="U375" s="15">
        <v>63.53</v>
      </c>
      <c r="V375" s="15">
        <v>46.42</v>
      </c>
      <c r="W375" s="14" t="s">
        <v>277</v>
      </c>
      <c r="X375" s="14">
        <v>3</v>
      </c>
      <c r="Y375" s="10">
        <f>AC375-AB375</f>
        <v>0</v>
      </c>
      <c r="Z375" s="18">
        <v>0</v>
      </c>
      <c r="AA375" s="18">
        <v>3</v>
      </c>
      <c r="AB375" s="18"/>
      <c r="AC375" s="18"/>
      <c r="AE375" s="1" t="s">
        <v>6747</v>
      </c>
      <c r="AF375" s="4">
        <v>6.84</v>
      </c>
      <c r="AG375" s="4">
        <v>6.14</v>
      </c>
    </row>
    <row r="376" spans="1:33" ht="47.25" customHeight="1" x14ac:dyDescent="0.25">
      <c r="A376" s="10" t="s">
        <v>6752</v>
      </c>
      <c r="B376" s="11" t="s">
        <v>33</v>
      </c>
      <c r="C376" s="12" t="s">
        <v>6753</v>
      </c>
      <c r="D376" s="27"/>
      <c r="E376" s="14" t="s">
        <v>35</v>
      </c>
      <c r="F376" s="11" t="str">
        <f>HYPERLINK("https://redirect.sdcdeals.com/redirect?destination=https%3A%2F%2Fwww.amazon.com%2Fdp%2FB0C9M3WR92%3Fth%3D1%26psc%3D1%26tag%3Dsdcdeals03-20", "Amazon Link")</f>
        <v>Amazon Link</v>
      </c>
      <c r="G376" s="11" t="s">
        <v>36</v>
      </c>
      <c r="H376" s="14" t="s">
        <v>6754</v>
      </c>
      <c r="I376" s="11" t="str">
        <f>HYPERLINK("https://redirect.sdcdeals.com/redirect?code=763034&amp;mavely=https://mavely.app.link/e/bhESV2wGrGb&amp;destination=https%3A%2F%2Fwww.kohls.com%2Fsearch.jsp%3Fsubmit-search%3Dweb-regular%26search%3D62355275", "Retail Link")</f>
        <v>Retail Link</v>
      </c>
      <c r="J376" s="14" t="s">
        <v>6745</v>
      </c>
      <c r="K376" s="13" t="s">
        <v>6755</v>
      </c>
      <c r="L376" s="15">
        <v>13.72</v>
      </c>
      <c r="M376" s="15">
        <v>40.24</v>
      </c>
      <c r="N376" s="15">
        <v>14.343999999999999</v>
      </c>
      <c r="O376" s="15">
        <f>V376-M376</f>
        <v>-0.23000000000000398</v>
      </c>
      <c r="P376" s="16">
        <f>N376/L376</f>
        <v>1.0454810495626821</v>
      </c>
      <c r="Q376" s="14">
        <v>3280441</v>
      </c>
      <c r="R376" s="14"/>
      <c r="S376" s="17">
        <v>0.95019122</v>
      </c>
      <c r="T376" s="15">
        <v>32.29</v>
      </c>
      <c r="U376" s="15">
        <v>47.62</v>
      </c>
      <c r="V376" s="15">
        <v>40.01</v>
      </c>
      <c r="W376" s="14" t="s">
        <v>60</v>
      </c>
      <c r="X376" s="14">
        <v>3</v>
      </c>
      <c r="Y376" s="10">
        <f>AC376-AB376</f>
        <v>0</v>
      </c>
      <c r="Z376" s="18">
        <v>0</v>
      </c>
      <c r="AA376" s="18">
        <v>3</v>
      </c>
      <c r="AB376" s="18"/>
      <c r="AC376" s="18"/>
      <c r="AE376" s="1" t="s">
        <v>6747</v>
      </c>
      <c r="AF376" s="4">
        <v>6.84</v>
      </c>
      <c r="AG376" s="4">
        <v>6.14</v>
      </c>
    </row>
    <row r="377" spans="1:33" ht="47.25" customHeight="1" x14ac:dyDescent="0.25">
      <c r="A377" s="10" t="s">
        <v>3204</v>
      </c>
      <c r="B377" s="11" t="s">
        <v>33</v>
      </c>
      <c r="C377" s="12" t="s">
        <v>3205</v>
      </c>
      <c r="D377" s="27"/>
      <c r="E377" s="14" t="s">
        <v>35</v>
      </c>
      <c r="F377" s="11" t="str">
        <f>HYPERLINK("https://redirect.sdcdeals.com/redirect?destination=https%3A%2F%2Fwww.amazon.com%2Fdp%2FB0CL5SDBPL%3Fth%3D1%26psc%3D1%26tag%3Dsdcdeals03-20", "Amazon Link")</f>
        <v>Amazon Link</v>
      </c>
      <c r="G377" s="11" t="s">
        <v>36</v>
      </c>
      <c r="H377" s="14" t="s">
        <v>3206</v>
      </c>
      <c r="I377" s="11" t="str">
        <f>HYPERLINK("https://redirect.sdcdeals.com/redirect?code=763034&amp;mavely=https://mavely.app.link/e/bhESV2wGrGb&amp;destination=https%3A%2F%2Fwww.kohls.com%2Fsearch.jsp%3Fsubmit-search%3Dweb-regular%26search%3D37530939", "Retail Link")</f>
        <v>Retail Link</v>
      </c>
      <c r="J377" s="14" t="s">
        <v>3188</v>
      </c>
      <c r="K377" s="13" t="s">
        <v>3207</v>
      </c>
      <c r="L377" s="15">
        <v>7.6000000000000014</v>
      </c>
      <c r="M377" s="15">
        <v>22.23</v>
      </c>
      <c r="N377" s="15">
        <v>7.9454999999999973</v>
      </c>
      <c r="O377" s="15">
        <f>V377-M377</f>
        <v>2.379999999999999</v>
      </c>
      <c r="P377" s="16">
        <f>N377/L377</f>
        <v>1.045460526315789</v>
      </c>
      <c r="Q377" s="14">
        <v>70317</v>
      </c>
      <c r="R377" s="14"/>
      <c r="S377" s="17">
        <v>0.39903622</v>
      </c>
      <c r="T377" s="15">
        <v>22.23</v>
      </c>
      <c r="U377" s="15">
        <v>22.62</v>
      </c>
      <c r="V377" s="15">
        <v>24.61</v>
      </c>
      <c r="W377" s="14" t="s">
        <v>3208</v>
      </c>
      <c r="X377" s="14">
        <v>5</v>
      </c>
      <c r="Y377" s="10">
        <f>AC377-AB377</f>
        <v>561</v>
      </c>
      <c r="Z377" s="18">
        <v>8</v>
      </c>
      <c r="AA377" s="18">
        <v>77</v>
      </c>
      <c r="AB377" s="18">
        <v>1</v>
      </c>
      <c r="AC377" s="18">
        <v>562</v>
      </c>
      <c r="AD377" s="1" t="s">
        <v>1452</v>
      </c>
      <c r="AE377" s="1" t="s">
        <v>3190</v>
      </c>
      <c r="AF377" s="4">
        <v>3.78</v>
      </c>
      <c r="AG377" s="4">
        <v>3.35</v>
      </c>
    </row>
    <row r="378" spans="1:33" ht="47.25" hidden="1" customHeight="1" x14ac:dyDescent="0.25">
      <c r="A378" s="10" t="s">
        <v>2497</v>
      </c>
      <c r="B378" s="11" t="s">
        <v>33</v>
      </c>
      <c r="C378" s="12" t="s">
        <v>2498</v>
      </c>
      <c r="D378" s="27"/>
      <c r="E378" s="14" t="s">
        <v>35</v>
      </c>
      <c r="F378" s="11" t="str">
        <f>HYPERLINK("https://redirect.sdcdeals.com/redirect?destination=https%3A%2F%2Fwww.amazon.com%2Fdp%2FB0BJW3TNLX%3Fth%3D1%26psc%3D1%26tag%3Dsdcdeals03-20", "Amazon Link")</f>
        <v>Amazon Link</v>
      </c>
      <c r="G378" s="11" t="s">
        <v>36</v>
      </c>
      <c r="H378" s="14" t="s">
        <v>2499</v>
      </c>
      <c r="I378" s="11" t="str">
        <f>HYPERLINK("https://redirect.sdcdeals.com/redirect?code=763034&amp;mavely=https://mavely.app.link/e/bhESV2wGrGb&amp;destination=https%3A%2F%2Fwww.kohls.com%2Fsearch.jsp%3Fsubmit-search%3Dweb-regular%26search%3D45961448", "Retail Link")</f>
        <v>Retail Link</v>
      </c>
      <c r="J378" s="14" t="s">
        <v>2500</v>
      </c>
      <c r="K378" s="13" t="s">
        <v>2501</v>
      </c>
      <c r="L378" s="15">
        <v>19.495999999999999</v>
      </c>
      <c r="M378" s="15">
        <v>56.6</v>
      </c>
      <c r="N378" s="15">
        <v>20.324000000000002</v>
      </c>
      <c r="O378" s="15">
        <f>V378-M378</f>
        <v>54.690000000000005</v>
      </c>
      <c r="P378" s="16">
        <f>N378/L378</f>
        <v>1.0424702503077556</v>
      </c>
      <c r="Q378" s="14"/>
      <c r="R378" s="14"/>
      <c r="S378" s="17"/>
      <c r="T378" s="15">
        <v>48.65</v>
      </c>
      <c r="U378" s="15">
        <v>105.15</v>
      </c>
      <c r="V378" s="15">
        <v>111.29</v>
      </c>
      <c r="W378" s="14" t="s">
        <v>366</v>
      </c>
      <c r="X378" s="14">
        <v>3</v>
      </c>
      <c r="Y378" s="10">
        <f>AC378-AB378</f>
        <v>0</v>
      </c>
      <c r="Z378" s="18">
        <v>0</v>
      </c>
      <c r="AA378" s="18">
        <v>0</v>
      </c>
      <c r="AB378" s="18">
        <v>0</v>
      </c>
      <c r="AC378" s="18"/>
      <c r="AD378" s="1" t="s">
        <v>2502</v>
      </c>
      <c r="AG378" s="4">
        <v>8.2899999999999991</v>
      </c>
    </row>
    <row r="379" spans="1:33" ht="47.25" hidden="1" customHeight="1" x14ac:dyDescent="0.25">
      <c r="A379" s="10" t="s">
        <v>2503</v>
      </c>
      <c r="B379" s="11" t="s">
        <v>33</v>
      </c>
      <c r="C379" s="12" t="s">
        <v>2504</v>
      </c>
      <c r="D379" s="27"/>
      <c r="E379" s="14" t="s">
        <v>35</v>
      </c>
      <c r="F379" s="11" t="str">
        <f>HYPERLINK("https://redirect.sdcdeals.com/redirect?destination=https%3A%2F%2Fwww.amazon.com%2Fdp%2FB0BJW3924L%3Fth%3D1%26psc%3D1%26tag%3Dsdcdeals03-20", "Amazon Link")</f>
        <v>Amazon Link</v>
      </c>
      <c r="G379" s="11" t="s">
        <v>36</v>
      </c>
      <c r="H379" s="14" t="s">
        <v>2505</v>
      </c>
      <c r="I379" s="11" t="str">
        <f>HYPERLINK("https://redirect.sdcdeals.com/redirect?code=763034&amp;mavely=https://mavely.app.link/e/bhESV2wGrGb&amp;destination=https%3A%2F%2Fwww.kohls.com%2Fsearch.jsp%3Fsubmit-search%3Dweb-regular%26search%3D45961449", "Retail Link")</f>
        <v>Retail Link</v>
      </c>
      <c r="J379" s="14" t="s">
        <v>2500</v>
      </c>
      <c r="K379" s="13" t="s">
        <v>2501</v>
      </c>
      <c r="L379" s="15">
        <v>19.495999999999999</v>
      </c>
      <c r="M379" s="15">
        <v>56.6</v>
      </c>
      <c r="N379" s="15">
        <v>20.324000000000002</v>
      </c>
      <c r="O379" s="15">
        <f>V379-M379</f>
        <v>31.389999999999993</v>
      </c>
      <c r="P379" s="16">
        <f>N379/L379</f>
        <v>1.0424702503077556</v>
      </c>
      <c r="Q379" s="14"/>
      <c r="R379" s="14"/>
      <c r="S379" s="17"/>
      <c r="T379" s="15">
        <v>48.65</v>
      </c>
      <c r="U379" s="15">
        <v>87.99</v>
      </c>
      <c r="V379" s="15">
        <v>87.99</v>
      </c>
      <c r="W379" s="14" t="s">
        <v>742</v>
      </c>
      <c r="X379" s="14">
        <v>3</v>
      </c>
      <c r="Y379" s="10">
        <f>AC379-AB379</f>
        <v>0</v>
      </c>
      <c r="Z379" s="18">
        <v>0</v>
      </c>
      <c r="AA379" s="18">
        <v>0</v>
      </c>
      <c r="AB379" s="18">
        <v>0</v>
      </c>
      <c r="AC379" s="18"/>
      <c r="AD379" s="1" t="s">
        <v>2502</v>
      </c>
      <c r="AG379" s="4">
        <v>8.2899999999999991</v>
      </c>
    </row>
    <row r="380" spans="1:33" ht="47.25" hidden="1" customHeight="1" x14ac:dyDescent="0.25">
      <c r="A380" s="10" t="s">
        <v>2506</v>
      </c>
      <c r="B380" s="11" t="s">
        <v>33</v>
      </c>
      <c r="C380" s="12" t="s">
        <v>2507</v>
      </c>
      <c r="D380" s="27"/>
      <c r="E380" s="14" t="s">
        <v>35</v>
      </c>
      <c r="F380" s="11" t="str">
        <f>HYPERLINK("https://redirect.sdcdeals.com/redirect?destination=https%3A%2F%2Fwww.amazon.com%2Fdp%2FB0BJW1KBW4%3Fth%3D1%26psc%3D1%26tag%3Dsdcdeals03-20", "Amazon Link")</f>
        <v>Amazon Link</v>
      </c>
      <c r="G380" s="11" t="s">
        <v>36</v>
      </c>
      <c r="H380" s="14" t="s">
        <v>2508</v>
      </c>
      <c r="I380" s="11" t="str">
        <f>HYPERLINK("https://redirect.sdcdeals.com/redirect?code=763034&amp;mavely=https://mavely.app.link/e/bhESV2wGrGb&amp;destination=https%3A%2F%2Fwww.kohls.com%2Fsearch.jsp%3Fsubmit-search%3Dweb-regular%26search%3D45961450", "Retail Link")</f>
        <v>Retail Link</v>
      </c>
      <c r="J380" s="14" t="s">
        <v>2500</v>
      </c>
      <c r="K380" s="13" t="s">
        <v>2501</v>
      </c>
      <c r="L380" s="15">
        <v>19.495999999999999</v>
      </c>
      <c r="M380" s="15">
        <v>56.6</v>
      </c>
      <c r="N380" s="15">
        <v>20.324000000000002</v>
      </c>
      <c r="O380" s="15">
        <f>V380-M380</f>
        <v>45.660000000000004</v>
      </c>
      <c r="P380" s="16">
        <f>N380/L380</f>
        <v>1.0424702503077556</v>
      </c>
      <c r="Q380" s="14"/>
      <c r="R380" s="14"/>
      <c r="S380" s="17"/>
      <c r="T380" s="15">
        <v>48.65</v>
      </c>
      <c r="U380" s="15">
        <v>102.82</v>
      </c>
      <c r="V380" s="15">
        <v>102.26</v>
      </c>
      <c r="W380" s="14" t="s">
        <v>229</v>
      </c>
      <c r="X380" s="14">
        <v>3</v>
      </c>
      <c r="Y380" s="10">
        <f>AC380-AB380</f>
        <v>0</v>
      </c>
      <c r="Z380" s="18">
        <v>0</v>
      </c>
      <c r="AA380" s="18">
        <v>0</v>
      </c>
      <c r="AB380" s="18">
        <v>0</v>
      </c>
      <c r="AC380" s="18"/>
      <c r="AG380" s="4">
        <v>8.2899999999999991</v>
      </c>
    </row>
    <row r="381" spans="1:33" ht="47.25" customHeight="1" x14ac:dyDescent="0.25">
      <c r="A381" s="10" t="s">
        <v>6914</v>
      </c>
      <c r="B381" s="11" t="s">
        <v>33</v>
      </c>
      <c r="C381" s="12" t="s">
        <v>6915</v>
      </c>
      <c r="D381" s="27"/>
      <c r="E381" s="14" t="s">
        <v>35</v>
      </c>
      <c r="F381" s="11" t="str">
        <f>HYPERLINK("https://redirect.sdcdeals.com/redirect?destination=https%3A%2F%2Fwww.amazon.com%2Fdp%2FB0BKR6ST57%3Fth%3D1%26psc%3D1%26tag%3Dsdcdeals03-20", "Amazon Link")</f>
        <v>Amazon Link</v>
      </c>
      <c r="G381" s="11" t="s">
        <v>36</v>
      </c>
      <c r="H381" s="14" t="s">
        <v>6916</v>
      </c>
      <c r="I381" s="11" t="str">
        <f>HYPERLINK("https://redirect.sdcdeals.com/redirect?code=763034&amp;mavely=https://mavely.app.link/e/bhESV2wGrGb&amp;destination=https%3A%2F%2Fwww.kohls.com%2Fsearch.jsp%3Fsubmit-search%3Dweb-regular%26search%3D81836390", "Retail Link")</f>
        <v>Retail Link</v>
      </c>
      <c r="J381" s="14" t="s">
        <v>6897</v>
      </c>
      <c r="K381" s="13" t="s">
        <v>6917</v>
      </c>
      <c r="L381" s="15">
        <v>13</v>
      </c>
      <c r="M381" s="15">
        <v>37.25</v>
      </c>
      <c r="N381" s="15">
        <v>13.5425</v>
      </c>
      <c r="O381" s="15">
        <f>V381-M381</f>
        <v>-4.1400000000000006</v>
      </c>
      <c r="P381" s="16">
        <f>N381/L381</f>
        <v>1.0417307692307693</v>
      </c>
      <c r="Q381" s="14">
        <v>283935</v>
      </c>
      <c r="R381" s="14"/>
      <c r="S381" s="17">
        <v>0.4629702</v>
      </c>
      <c r="T381" s="15">
        <v>29.99</v>
      </c>
      <c r="U381" s="15">
        <v>33.549999999999997</v>
      </c>
      <c r="V381" s="15">
        <v>33.11</v>
      </c>
      <c r="W381" s="14" t="s">
        <v>342</v>
      </c>
      <c r="X381" s="14">
        <v>2</v>
      </c>
      <c r="Y381" s="10">
        <f>AC381-AB381</f>
        <v>15</v>
      </c>
      <c r="Z381" s="18">
        <v>12</v>
      </c>
      <c r="AA381" s="18">
        <v>39</v>
      </c>
      <c r="AB381" s="18">
        <v>0</v>
      </c>
      <c r="AC381" s="18">
        <v>15</v>
      </c>
      <c r="AD381" s="1" t="s">
        <v>6899</v>
      </c>
      <c r="AE381" s="1" t="s">
        <v>6905</v>
      </c>
      <c r="AF381" s="4">
        <v>6.33</v>
      </c>
      <c r="AG381" s="4">
        <v>5.12</v>
      </c>
    </row>
    <row r="382" spans="1:33" ht="47.25" customHeight="1" x14ac:dyDescent="0.25">
      <c r="A382" s="10" t="s">
        <v>2018</v>
      </c>
      <c r="B382" s="11" t="s">
        <v>33</v>
      </c>
      <c r="C382" s="12" t="s">
        <v>2019</v>
      </c>
      <c r="D382" s="27"/>
      <c r="E382" s="14" t="s">
        <v>35</v>
      </c>
      <c r="F382" s="11" t="str">
        <f>HYPERLINK("https://redirect.sdcdeals.com/redirect?destination=https%3A%2F%2Fwww.amazon.com%2Fdp%2FB09437J3HB%3Fth%3D1%26psc%3D1%26tag%3Dsdcdeals03-20", "Amazon Link")</f>
        <v>Amazon Link</v>
      </c>
      <c r="G382" s="11" t="s">
        <v>36</v>
      </c>
      <c r="H382" s="14" t="s">
        <v>2020</v>
      </c>
      <c r="I382" s="11" t="str">
        <f>HYPERLINK("https://redirect.sdcdeals.com/redirect?code=763034&amp;mavely=https://mavely.app.link/e/bhESV2wGrGb&amp;destination=https%3A%2F%2Fwww.kohls.com%2Fsearch.jsp%3Fsubmit-search%3Dweb-regular%26search%3D46568066", "Retail Link")</f>
        <v>Retail Link</v>
      </c>
      <c r="J382" s="14" t="s">
        <v>2014</v>
      </c>
      <c r="K382" s="13" t="s">
        <v>2021</v>
      </c>
      <c r="L382" s="15">
        <v>13</v>
      </c>
      <c r="M382" s="15">
        <v>38.770000000000003</v>
      </c>
      <c r="N382" s="15">
        <v>13.474500000000001</v>
      </c>
      <c r="O382" s="15">
        <f>V382-M382</f>
        <v>9.519999999999996</v>
      </c>
      <c r="P382" s="16">
        <f>N382/L382</f>
        <v>1.0365</v>
      </c>
      <c r="Q382" s="14">
        <v>50737</v>
      </c>
      <c r="R382" s="14"/>
      <c r="S382" s="17">
        <v>0.74295694000000001</v>
      </c>
      <c r="T382" s="15">
        <v>30.82</v>
      </c>
      <c r="U382" s="15">
        <v>48.73</v>
      </c>
      <c r="V382" s="15">
        <v>48.29</v>
      </c>
      <c r="W382" s="14" t="s">
        <v>2022</v>
      </c>
      <c r="X382" s="14">
        <v>2</v>
      </c>
      <c r="Y382" s="10">
        <f>AC382-AB382</f>
        <v>0</v>
      </c>
      <c r="Z382" s="18">
        <v>31</v>
      </c>
      <c r="AA382" s="18">
        <v>97</v>
      </c>
      <c r="AB382" s="18">
        <v>6</v>
      </c>
      <c r="AC382" s="18">
        <v>6</v>
      </c>
      <c r="AD382" s="1" t="s">
        <v>2016</v>
      </c>
      <c r="AE382" s="1" t="s">
        <v>2023</v>
      </c>
      <c r="AF382" s="4">
        <v>6.59</v>
      </c>
      <c r="AG382" s="4">
        <v>6.48</v>
      </c>
    </row>
    <row r="383" spans="1:33" ht="47.25" customHeight="1" x14ac:dyDescent="0.25">
      <c r="A383" s="10" t="s">
        <v>5475</v>
      </c>
      <c r="B383" s="11" t="s">
        <v>33</v>
      </c>
      <c r="C383" s="12" t="s">
        <v>5476</v>
      </c>
      <c r="D383" s="27"/>
      <c r="E383" s="14" t="s">
        <v>35</v>
      </c>
      <c r="F383" s="11" t="str">
        <f>HYPERLINK("https://redirect.sdcdeals.com/redirect?destination=https%3A%2F%2Fwww.amazon.com%2Fdp%2FB0C8BKRWRF%3Fth%3D1%26psc%3D1%26tag%3Dsdcdeals03-20", "Amazon Link")</f>
        <v>Amazon Link</v>
      </c>
      <c r="G383" s="11" t="s">
        <v>36</v>
      </c>
      <c r="H383" s="14" t="s">
        <v>5477</v>
      </c>
      <c r="I383" s="11" t="str">
        <f>HYPERLINK("https://redirect.sdcdeals.com/redirect?code=763034&amp;mavely=https://mavely.app.link/e/bhESV2wGrGb&amp;destination=https%3A%2F%2Fwww.kohls.com%2Fsearch.jsp%3Fsubmit-search%3Dweb-regular%26search%3D61160481", "Retail Link")</f>
        <v>Retail Link</v>
      </c>
      <c r="J383" s="14" t="s">
        <v>5471</v>
      </c>
      <c r="K383" s="13" t="s">
        <v>5478</v>
      </c>
      <c r="L383" s="15">
        <v>7.5439999999999996</v>
      </c>
      <c r="M383" s="15">
        <v>25.01</v>
      </c>
      <c r="N383" s="15">
        <v>7.8145000000000016</v>
      </c>
      <c r="O383" s="15">
        <f>V383-M383</f>
        <v>0</v>
      </c>
      <c r="P383" s="16">
        <f>N383/L383</f>
        <v>1.0358563096500533</v>
      </c>
      <c r="Q383" s="14">
        <v>606245</v>
      </c>
      <c r="R383" s="14"/>
      <c r="S383" s="17">
        <v>0.51588107999999999</v>
      </c>
      <c r="T383" s="15"/>
      <c r="U383" s="15"/>
      <c r="V383" s="15">
        <v>25.01</v>
      </c>
      <c r="W383" s="14" t="s">
        <v>835</v>
      </c>
      <c r="X383" s="14">
        <v>1</v>
      </c>
      <c r="Y383" s="10">
        <f>AC383-AB383</f>
        <v>69</v>
      </c>
      <c r="Z383" s="18">
        <v>16</v>
      </c>
      <c r="AA383" s="18">
        <v>63</v>
      </c>
      <c r="AB383" s="18">
        <v>4</v>
      </c>
      <c r="AC383" s="18">
        <v>73</v>
      </c>
      <c r="AD383" s="1" t="s">
        <v>5473</v>
      </c>
      <c r="AE383" s="1" t="s">
        <v>5474</v>
      </c>
      <c r="AG383" s="4">
        <v>5.9</v>
      </c>
    </row>
    <row r="384" spans="1:33" ht="47.25" hidden="1" customHeight="1" x14ac:dyDescent="0.25">
      <c r="A384" s="10" t="s">
        <v>3779</v>
      </c>
      <c r="B384" s="11" t="s">
        <v>33</v>
      </c>
      <c r="C384" s="12" t="s">
        <v>3780</v>
      </c>
      <c r="D384" s="27"/>
      <c r="E384" s="14" t="s">
        <v>35</v>
      </c>
      <c r="F384" s="11" t="str">
        <f>HYPERLINK("https://redirect.sdcdeals.com/redirect?destination=https%3A%2F%2Fwww.amazon.com%2Fdp%2FB0BQ7KWRNC%3Fth%3D1%26psc%3D1%26tag%3Dsdcdeals03-20", "Amazon Link")</f>
        <v>Amazon Link</v>
      </c>
      <c r="G384" s="11" t="s">
        <v>36</v>
      </c>
      <c r="H384" s="14" t="s">
        <v>3781</v>
      </c>
      <c r="I384" s="11" t="str">
        <f>HYPERLINK("https://redirect.sdcdeals.com/redirect?code=763034&amp;mavely=https://mavely.app.link/e/bhESV2wGrGb&amp;destination=https%3A%2F%2Fwww.kohls.com%2Fsearch.jsp%3Fsubmit-search%3Dweb-regular%26search%3D37802347", "Retail Link")</f>
        <v>Retail Link</v>
      </c>
      <c r="J384" s="14" t="s">
        <v>3766</v>
      </c>
      <c r="K384" s="13" t="s">
        <v>3767</v>
      </c>
      <c r="L384" s="15">
        <v>43.2</v>
      </c>
      <c r="M384" s="15">
        <v>111.87</v>
      </c>
      <c r="N384" s="15">
        <v>44.649500000000003</v>
      </c>
      <c r="O384" s="15">
        <f>V384-M384</f>
        <v>-111.87</v>
      </c>
      <c r="P384" s="16">
        <f>N384/L384</f>
        <v>1.0335532407407408</v>
      </c>
      <c r="Q384" s="14"/>
      <c r="R384" s="14"/>
      <c r="S384" s="17">
        <v>1.2125410000000001</v>
      </c>
      <c r="T384" s="15">
        <v>111.87</v>
      </c>
      <c r="U384" s="15"/>
      <c r="V384" s="15"/>
      <c r="W384" s="14" t="s">
        <v>286</v>
      </c>
      <c r="X384" s="14">
        <v>1</v>
      </c>
      <c r="Y384" s="10">
        <f>AC384-AB384</f>
        <v>0</v>
      </c>
      <c r="Z384" s="18">
        <v>-1</v>
      </c>
      <c r="AA384" s="18">
        <v>-1</v>
      </c>
      <c r="AB384" s="18"/>
      <c r="AC384" s="18"/>
      <c r="AD384" s="1" t="s">
        <v>3768</v>
      </c>
      <c r="AE384" s="1" t="s">
        <v>3769</v>
      </c>
      <c r="AG384" s="4">
        <v>7.24</v>
      </c>
    </row>
    <row r="385" spans="1:33" ht="47.25" customHeight="1" x14ac:dyDescent="0.25">
      <c r="A385" s="10" t="s">
        <v>6289</v>
      </c>
      <c r="B385" s="11" t="s">
        <v>33</v>
      </c>
      <c r="C385" s="12" t="s">
        <v>6290</v>
      </c>
      <c r="D385" s="27"/>
      <c r="E385" s="14" t="s">
        <v>35</v>
      </c>
      <c r="F385" s="11" t="str">
        <f>HYPERLINK("https://redirect.sdcdeals.com/redirect?destination=https%3A%2F%2Fwww.amazon.com%2Fdp%2FB0BKR23VWF%3Fth%3D1%26psc%3D1%26tag%3Dsdcdeals03-20", "Amazon Link")</f>
        <v>Amazon Link</v>
      </c>
      <c r="G385" s="11" t="s">
        <v>36</v>
      </c>
      <c r="H385" s="14" t="s">
        <v>6291</v>
      </c>
      <c r="I385" s="11" t="str">
        <f>HYPERLINK("https://redirect.sdcdeals.com/redirect?code=763034&amp;mavely=https://mavely.app.link/e/bhESV2wGrGb&amp;destination=https%3A%2F%2Fwww.kohls.com%2Fsearch.jsp%3Fsubmit-search%3Dweb-regular%26search%3D80724849", "Retail Link")</f>
        <v>Retail Link</v>
      </c>
      <c r="J385" s="14" t="s">
        <v>6277</v>
      </c>
      <c r="K385" s="13" t="s">
        <v>6292</v>
      </c>
      <c r="L385" s="15">
        <v>31.2</v>
      </c>
      <c r="M385" s="15">
        <v>89.48</v>
      </c>
      <c r="N385" s="15">
        <v>32.208000000000013</v>
      </c>
      <c r="O385" s="15">
        <f>V385-M385</f>
        <v>-12.27000000000001</v>
      </c>
      <c r="P385" s="16">
        <f>N385/L385</f>
        <v>1.0323076923076928</v>
      </c>
      <c r="Q385" s="14">
        <v>419465</v>
      </c>
      <c r="R385" s="14"/>
      <c r="S385" s="17">
        <v>1.4991416</v>
      </c>
      <c r="T385" s="15">
        <v>89.48</v>
      </c>
      <c r="U385" s="15">
        <v>76.400000000000006</v>
      </c>
      <c r="V385" s="15">
        <v>77.209999999999994</v>
      </c>
      <c r="W385" s="14" t="s">
        <v>849</v>
      </c>
      <c r="X385" s="14">
        <v>1</v>
      </c>
      <c r="Y385" s="10">
        <f>AC385-AB385</f>
        <v>30</v>
      </c>
      <c r="Z385" s="18">
        <v>7</v>
      </c>
      <c r="AA385" s="18">
        <v>43</v>
      </c>
      <c r="AB385" s="18">
        <v>1</v>
      </c>
      <c r="AC385" s="18">
        <v>31</v>
      </c>
      <c r="AD385" s="1" t="s">
        <v>6279</v>
      </c>
      <c r="AE385" s="1" t="s">
        <v>6284</v>
      </c>
      <c r="AG385" s="4">
        <v>12.65</v>
      </c>
    </row>
    <row r="386" spans="1:33" ht="47.25" customHeight="1" x14ac:dyDescent="0.25">
      <c r="A386" s="10" t="s">
        <v>7338</v>
      </c>
      <c r="B386" s="11" t="s">
        <v>33</v>
      </c>
      <c r="C386" s="12" t="s">
        <v>7339</v>
      </c>
      <c r="D386" s="27"/>
      <c r="E386" s="14" t="s">
        <v>35</v>
      </c>
      <c r="F386" s="11" t="str">
        <f>HYPERLINK("https://redirect.sdcdeals.com/redirect?destination=https%3A%2F%2Fwww.amazon.com%2Fdp%2FB0BKR1FS23%3Fth%3D1%26psc%3D1%26tag%3Dsdcdeals03-20", "Amazon Link")</f>
        <v>Amazon Link</v>
      </c>
      <c r="G386" s="11" t="s">
        <v>36</v>
      </c>
      <c r="H386" s="14" t="s">
        <v>7340</v>
      </c>
      <c r="I386" s="11" t="str">
        <f>HYPERLINK("https://redirect.sdcdeals.com/redirect?code=763034&amp;mavely=https://mavely.app.link/e/bhESV2wGrGb&amp;destination=https%3A%2F%2Fwww.kohls.com%2Fsearch.jsp%3Fsubmit-search%3Dweb-regular%26search%3D78982342", "Retail Link")</f>
        <v>Retail Link</v>
      </c>
      <c r="J386" s="14" t="s">
        <v>7341</v>
      </c>
      <c r="K386" s="13" t="s">
        <v>7342</v>
      </c>
      <c r="L386" s="15">
        <v>20</v>
      </c>
      <c r="M386" s="15">
        <v>52.8</v>
      </c>
      <c r="N386" s="15">
        <v>20.63</v>
      </c>
      <c r="O386" s="15">
        <f>V386-M386</f>
        <v>7.5600000000000023</v>
      </c>
      <c r="P386" s="16">
        <f>N386/L386</f>
        <v>1.0314999999999999</v>
      </c>
      <c r="Q386" s="14">
        <v>457858</v>
      </c>
      <c r="R386" s="14"/>
      <c r="S386" s="17">
        <v>6.1729359999999997E-2</v>
      </c>
      <c r="T386" s="15">
        <v>44.81</v>
      </c>
      <c r="U386" s="15">
        <v>57.68</v>
      </c>
      <c r="V386" s="15">
        <v>60.36</v>
      </c>
      <c r="W386" s="14" t="s">
        <v>53</v>
      </c>
      <c r="X386" s="14">
        <v>1</v>
      </c>
      <c r="Y386" s="10">
        <f>AC386-AB386</f>
        <v>0</v>
      </c>
      <c r="Z386" s="18">
        <v>7</v>
      </c>
      <c r="AA386" s="18">
        <v>24</v>
      </c>
      <c r="AB386" s="18">
        <v>0</v>
      </c>
      <c r="AC386" s="18"/>
      <c r="AD386" s="1" t="s">
        <v>7343</v>
      </c>
      <c r="AE386" s="1" t="s">
        <v>5401</v>
      </c>
      <c r="AF386" s="4">
        <v>8.98</v>
      </c>
      <c r="AG386" s="4">
        <v>4.25</v>
      </c>
    </row>
    <row r="387" spans="1:33" ht="47.25" customHeight="1" x14ac:dyDescent="0.25">
      <c r="A387" s="10" t="s">
        <v>7344</v>
      </c>
      <c r="B387" s="11" t="s">
        <v>33</v>
      </c>
      <c r="C387" s="12" t="s">
        <v>7345</v>
      </c>
      <c r="D387" s="27"/>
      <c r="E387" s="14" t="s">
        <v>35</v>
      </c>
      <c r="F387" s="11" t="str">
        <f>HYPERLINK("https://redirect.sdcdeals.com/redirect?destination=https%3A%2F%2Fwww.amazon.com%2Fdp%2FB0BKR1QSZL%3Fth%3D1%26psc%3D1%26tag%3Dsdcdeals03-20", "Amazon Link")</f>
        <v>Amazon Link</v>
      </c>
      <c r="G387" s="11" t="s">
        <v>36</v>
      </c>
      <c r="H387" s="14" t="s">
        <v>7346</v>
      </c>
      <c r="I387" s="11" t="str">
        <f>HYPERLINK("https://redirect.sdcdeals.com/redirect?code=763034&amp;mavely=https://mavely.app.link/e/bhESV2wGrGb&amp;destination=https%3A%2F%2Fwww.kohls.com%2Fsearch.jsp%3Fsubmit-search%3Dweb-regular%26search%3D78982336", "Retail Link")</f>
        <v>Retail Link</v>
      </c>
      <c r="J387" s="14" t="s">
        <v>7341</v>
      </c>
      <c r="K387" s="13" t="s">
        <v>7347</v>
      </c>
      <c r="L387" s="15">
        <v>20</v>
      </c>
      <c r="M387" s="15">
        <v>52.8</v>
      </c>
      <c r="N387" s="15">
        <v>20.63</v>
      </c>
      <c r="O387" s="15">
        <f>V387-M387</f>
        <v>4.8599999999999994</v>
      </c>
      <c r="P387" s="16">
        <f>N387/L387</f>
        <v>1.0314999999999999</v>
      </c>
      <c r="Q387" s="14">
        <v>993985</v>
      </c>
      <c r="R387" s="14"/>
      <c r="S387" s="17">
        <v>6.1729359999999997E-2</v>
      </c>
      <c r="T387" s="15">
        <v>44.81</v>
      </c>
      <c r="U387" s="15">
        <v>57.66</v>
      </c>
      <c r="V387" s="15">
        <v>57.66</v>
      </c>
      <c r="W387" s="14" t="s">
        <v>53</v>
      </c>
      <c r="X387" s="14">
        <v>2</v>
      </c>
      <c r="Y387" s="10">
        <f>AC387-AB387</f>
        <v>0</v>
      </c>
      <c r="Z387" s="18">
        <v>4</v>
      </c>
      <c r="AA387" s="18">
        <v>14</v>
      </c>
      <c r="AB387" s="18">
        <v>0</v>
      </c>
      <c r="AC387" s="18"/>
      <c r="AD387" s="1" t="s">
        <v>7343</v>
      </c>
      <c r="AE387" s="1" t="s">
        <v>2924</v>
      </c>
      <c r="AF387" s="4">
        <v>8.98</v>
      </c>
      <c r="AG387" s="4">
        <v>4.25</v>
      </c>
    </row>
    <row r="388" spans="1:33" ht="47.25" customHeight="1" x14ac:dyDescent="0.25">
      <c r="A388" s="10" t="s">
        <v>5577</v>
      </c>
      <c r="B388" s="11" t="s">
        <v>33</v>
      </c>
      <c r="C388" s="12" t="s">
        <v>5578</v>
      </c>
      <c r="D388" s="27"/>
      <c r="E388" s="14" t="s">
        <v>35</v>
      </c>
      <c r="F388" s="11" t="str">
        <f>HYPERLINK("https://redirect.sdcdeals.com/redirect?destination=https%3A%2F%2Fwww.amazon.com%2Fdp%2FB0979MCY6J%3Fth%3D1%26psc%3D1%26tag%3Dsdcdeals03-20", "Amazon Link")</f>
        <v>Amazon Link</v>
      </c>
      <c r="G388" s="11" t="s">
        <v>36</v>
      </c>
      <c r="H388" s="14" t="s">
        <v>5579</v>
      </c>
      <c r="I388" s="11" t="str">
        <f>HYPERLINK("https://redirect.sdcdeals.com/redirect?code=763034&amp;mavely=https://mavely.app.link/e/bhESV2wGrGb&amp;destination=https%3A%2F%2Fwww.kohls.com%2Fsearch.jsp%3Fsubmit-search%3Dweb-regular%26search%3D78201563", "Retail Link")</f>
        <v>Retail Link</v>
      </c>
      <c r="J388" s="14" t="s">
        <v>5573</v>
      </c>
      <c r="K388" s="13" t="s">
        <v>5580</v>
      </c>
      <c r="L388" s="15">
        <v>13</v>
      </c>
      <c r="M388" s="15">
        <v>38.799999999999997</v>
      </c>
      <c r="N388" s="15">
        <v>13.38</v>
      </c>
      <c r="O388" s="15">
        <f>V388-M388</f>
        <v>0.80000000000000426</v>
      </c>
      <c r="P388" s="16">
        <f>N388/L388</f>
        <v>1.0292307692307694</v>
      </c>
      <c r="Q388" s="14">
        <v>28200</v>
      </c>
      <c r="R388" s="14"/>
      <c r="S388" s="17">
        <v>0.56217810000000001</v>
      </c>
      <c r="T388" s="15">
        <v>30.85</v>
      </c>
      <c r="U388" s="15">
        <v>38.549999999999997</v>
      </c>
      <c r="V388" s="15">
        <v>39.6</v>
      </c>
      <c r="W388" s="14" t="s">
        <v>352</v>
      </c>
      <c r="X388" s="14">
        <v>2</v>
      </c>
      <c r="Y388" s="10">
        <f>AC388-AB388</f>
        <v>879</v>
      </c>
      <c r="Z388" s="18">
        <v>32</v>
      </c>
      <c r="AA388" s="18">
        <v>97</v>
      </c>
      <c r="AB388" s="18">
        <v>0</v>
      </c>
      <c r="AC388" s="18">
        <v>879</v>
      </c>
      <c r="AD388" s="1" t="s">
        <v>5581</v>
      </c>
      <c r="AE388" s="1" t="s">
        <v>5582</v>
      </c>
      <c r="AF388" s="4">
        <v>6.6</v>
      </c>
      <c r="AG388" s="4">
        <v>6.6</v>
      </c>
    </row>
    <row r="389" spans="1:33" ht="47.25" customHeight="1" x14ac:dyDescent="0.25">
      <c r="A389" s="10" t="s">
        <v>5583</v>
      </c>
      <c r="B389" s="11" t="s">
        <v>33</v>
      </c>
      <c r="C389" s="12" t="s">
        <v>5584</v>
      </c>
      <c r="D389" s="27"/>
      <c r="E389" s="14" t="s">
        <v>35</v>
      </c>
      <c r="F389" s="11" t="str">
        <f>HYPERLINK("https://redirect.sdcdeals.com/redirect?destination=https%3A%2F%2Fwww.amazon.com%2Fdp%2FB0979JN6HC%3Fth%3D1%26psc%3D1%26tag%3Dsdcdeals03-20", "Amazon Link")</f>
        <v>Amazon Link</v>
      </c>
      <c r="G389" s="11" t="s">
        <v>36</v>
      </c>
      <c r="H389" s="14" t="s">
        <v>5585</v>
      </c>
      <c r="I389" s="11" t="str">
        <f>HYPERLINK("https://redirect.sdcdeals.com/redirect?code=763034&amp;mavely=https://mavely.app.link/e/bhESV2wGrGb&amp;destination=https%3A%2F%2Fwww.kohls.com%2Fsearch.jsp%3Fsubmit-search%3Dweb-regular%26search%3D78201565", "Retail Link")</f>
        <v>Retail Link</v>
      </c>
      <c r="J389" s="14" t="s">
        <v>5573</v>
      </c>
      <c r="K389" s="13" t="s">
        <v>5586</v>
      </c>
      <c r="L389" s="15">
        <v>13</v>
      </c>
      <c r="M389" s="15">
        <v>38.799999999999997</v>
      </c>
      <c r="N389" s="15">
        <v>13.38</v>
      </c>
      <c r="O389" s="15">
        <f>V389-M389</f>
        <v>7.7900000000000063</v>
      </c>
      <c r="P389" s="16">
        <f>N389/L389</f>
        <v>1.0292307692307694</v>
      </c>
      <c r="Q389" s="14">
        <v>24642</v>
      </c>
      <c r="R389" s="14"/>
      <c r="S389" s="17">
        <v>0.59304277999999999</v>
      </c>
      <c r="T389" s="15">
        <v>30.85</v>
      </c>
      <c r="U389" s="15">
        <v>47.92</v>
      </c>
      <c r="V389" s="15">
        <v>46.59</v>
      </c>
      <c r="W389" s="14" t="s">
        <v>1143</v>
      </c>
      <c r="X389" s="14">
        <v>3</v>
      </c>
      <c r="Y389" s="10">
        <f>AC389-AB389</f>
        <v>876</v>
      </c>
      <c r="Z389" s="18">
        <v>31</v>
      </c>
      <c r="AA389" s="18">
        <v>110</v>
      </c>
      <c r="AB389" s="18">
        <v>3</v>
      </c>
      <c r="AC389" s="18">
        <v>879</v>
      </c>
      <c r="AD389" s="1" t="s">
        <v>5581</v>
      </c>
      <c r="AE389" s="1" t="s">
        <v>5582</v>
      </c>
      <c r="AF389" s="4">
        <v>6.6</v>
      </c>
      <c r="AG389" s="4">
        <v>6.6</v>
      </c>
    </row>
    <row r="390" spans="1:33" ht="47.25" customHeight="1" x14ac:dyDescent="0.25">
      <c r="A390" s="10" t="s">
        <v>2889</v>
      </c>
      <c r="B390" s="11" t="s">
        <v>33</v>
      </c>
      <c r="C390" s="12" t="s">
        <v>2890</v>
      </c>
      <c r="D390" s="27"/>
      <c r="E390" s="14" t="s">
        <v>35</v>
      </c>
      <c r="F390" s="11" t="str">
        <f>HYPERLINK("https://redirect.sdcdeals.com/redirect?destination=https%3A%2F%2Fwww.amazon.com%2Fdp%2FB09KMDTLLY%3Fth%3D1%26psc%3D1%26tag%3Dsdcdeals03-20", "Amazon Link")</f>
        <v>Amazon Link</v>
      </c>
      <c r="G390" s="11" t="s">
        <v>36</v>
      </c>
      <c r="H390" s="14" t="s">
        <v>2891</v>
      </c>
      <c r="I390" s="11" t="str">
        <f>HYPERLINK("https://redirect.sdcdeals.com/redirect?code=763034&amp;mavely=https://mavely.app.link/e/bhESV2wGrGb&amp;destination=https%3A%2F%2Fwww.kohls.com%2Fsearch.jsp%3Fsubmit-search%3Dweb-regular%26search%3D76932876", "Retail Link")</f>
        <v>Retail Link</v>
      </c>
      <c r="J390" s="14" t="s">
        <v>2863</v>
      </c>
      <c r="K390" s="13" t="s">
        <v>2892</v>
      </c>
      <c r="L390" s="15">
        <v>39.6</v>
      </c>
      <c r="M390" s="15">
        <v>109.85</v>
      </c>
      <c r="N390" s="15">
        <v>40.742499999999993</v>
      </c>
      <c r="O390" s="15">
        <f>V390-M390</f>
        <v>-3.6199999999999903</v>
      </c>
      <c r="P390" s="16">
        <f>N390/L390</f>
        <v>1.02885101010101</v>
      </c>
      <c r="Q390" s="14">
        <v>748350</v>
      </c>
      <c r="R390" s="14"/>
      <c r="S390" s="17">
        <v>3.00048782</v>
      </c>
      <c r="T390" s="15">
        <v>109.85</v>
      </c>
      <c r="U390" s="15">
        <v>175.87</v>
      </c>
      <c r="V390" s="15">
        <v>106.23</v>
      </c>
      <c r="W390" s="14" t="s">
        <v>229</v>
      </c>
      <c r="X390" s="14">
        <v>2</v>
      </c>
      <c r="Y390" s="10">
        <f>AC390-AB390</f>
        <v>55</v>
      </c>
      <c r="Z390" s="18">
        <v>10</v>
      </c>
      <c r="AA390" s="18">
        <v>60</v>
      </c>
      <c r="AB390" s="18">
        <v>7</v>
      </c>
      <c r="AC390" s="18">
        <v>62</v>
      </c>
      <c r="AD390" s="1" t="s">
        <v>2865</v>
      </c>
      <c r="AE390" s="1" t="s">
        <v>1211</v>
      </c>
      <c r="AG390" s="4">
        <v>13.03</v>
      </c>
    </row>
    <row r="391" spans="1:33" ht="47.25" customHeight="1" x14ac:dyDescent="0.25">
      <c r="A391" s="10" t="s">
        <v>2134</v>
      </c>
      <c r="B391" s="11" t="s">
        <v>33</v>
      </c>
      <c r="C391" s="12" t="s">
        <v>2135</v>
      </c>
      <c r="D391" s="27"/>
      <c r="E391" s="14" t="s">
        <v>35</v>
      </c>
      <c r="F391" s="11" t="str">
        <f>HYPERLINK("https://redirect.sdcdeals.com/redirect?destination=https%3A%2F%2Fwww.amazon.com%2Fdp%2FB0BGW186GQ%3Fth%3D1%26psc%3D1%26tag%3Dsdcdeals03-20", "Amazon Link")</f>
        <v>Amazon Link</v>
      </c>
      <c r="G391" s="11" t="s">
        <v>36</v>
      </c>
      <c r="H391" s="14" t="s">
        <v>2136</v>
      </c>
      <c r="I391" s="11" t="str">
        <f>HYPERLINK("https://redirect.sdcdeals.com/redirect?code=763034&amp;mavely=https://mavely.app.link/e/bhESV2wGrGb&amp;destination=https%3A%2F%2Fwww.kohls.com%2Fsearch.jsp%3Fsubmit-search%3Dweb-regular%26search%3D58732111", "Retail Link")</f>
        <v>Retail Link</v>
      </c>
      <c r="J391" s="14" t="s">
        <v>2131</v>
      </c>
      <c r="K391" s="13" t="s">
        <v>2137</v>
      </c>
      <c r="L391" s="15">
        <v>16.8</v>
      </c>
      <c r="M391" s="15">
        <v>47.79</v>
      </c>
      <c r="N391" s="15">
        <v>17.151499999999999</v>
      </c>
      <c r="O391" s="15">
        <f>V391-M391</f>
        <v>8.8400000000000034</v>
      </c>
      <c r="P391" s="16">
        <f>N391/L391</f>
        <v>1.0209226190476188</v>
      </c>
      <c r="Q391" s="14">
        <v>59807</v>
      </c>
      <c r="R391" s="14"/>
      <c r="S391" s="17">
        <v>0.85980180000000006</v>
      </c>
      <c r="T391" s="15">
        <v>38.450000000000003</v>
      </c>
      <c r="U391" s="15">
        <v>56.77</v>
      </c>
      <c r="V391" s="15">
        <v>56.63</v>
      </c>
      <c r="W391" s="14" t="s">
        <v>2138</v>
      </c>
      <c r="X391" s="14">
        <v>6</v>
      </c>
      <c r="Y391" s="10">
        <f>AC391-AB391</f>
        <v>49</v>
      </c>
      <c r="Z391" s="18">
        <v>19</v>
      </c>
      <c r="AA391" s="18">
        <v>51</v>
      </c>
      <c r="AB391" s="18">
        <v>0</v>
      </c>
      <c r="AC391" s="18">
        <v>49</v>
      </c>
      <c r="AD391" s="1" t="s">
        <v>2133</v>
      </c>
      <c r="AE391" s="1" t="s">
        <v>2139</v>
      </c>
      <c r="AF391" s="4">
        <v>8.1199999999999992</v>
      </c>
      <c r="AG391" s="4">
        <v>6.67</v>
      </c>
    </row>
    <row r="392" spans="1:33" ht="47.25" customHeight="1" x14ac:dyDescent="0.25">
      <c r="A392" s="10" t="s">
        <v>2145</v>
      </c>
      <c r="B392" s="11" t="s">
        <v>33</v>
      </c>
      <c r="C392" s="12" t="s">
        <v>2146</v>
      </c>
      <c r="D392" s="27"/>
      <c r="E392" s="14" t="s">
        <v>35</v>
      </c>
      <c r="F392" s="11" t="str">
        <f>HYPERLINK("https://redirect.sdcdeals.com/redirect?destination=https%3A%2F%2Fwww.amazon.com%2Fdp%2FB0BGW17S3R%3Fth%3D1%26psc%3D1%26tag%3Dsdcdeals03-20", "Amazon Link")</f>
        <v>Amazon Link</v>
      </c>
      <c r="G392" s="11" t="s">
        <v>36</v>
      </c>
      <c r="H392" s="14" t="s">
        <v>2147</v>
      </c>
      <c r="I392" s="11" t="str">
        <f>HYPERLINK("https://redirect.sdcdeals.com/redirect?code=763034&amp;mavely=https://mavely.app.link/e/bhESV2wGrGb&amp;destination=https%3A%2F%2Fwww.kohls.com%2Fsearch.jsp%3Fsubmit-search%3Dweb-regular%26search%3D58732112", "Retail Link")</f>
        <v>Retail Link</v>
      </c>
      <c r="J392" s="14" t="s">
        <v>2131</v>
      </c>
      <c r="K392" s="13" t="s">
        <v>2148</v>
      </c>
      <c r="L392" s="15">
        <v>16.8</v>
      </c>
      <c r="M392" s="15">
        <v>47.79</v>
      </c>
      <c r="N392" s="15">
        <v>17.151499999999999</v>
      </c>
      <c r="O392" s="15">
        <f>V392-M392</f>
        <v>9.6600000000000037</v>
      </c>
      <c r="P392" s="16">
        <f>N392/L392</f>
        <v>1.0209226190476188</v>
      </c>
      <c r="Q392" s="14">
        <v>59807</v>
      </c>
      <c r="R392" s="14"/>
      <c r="S392" s="17">
        <v>0.90389419999999998</v>
      </c>
      <c r="T392" s="15">
        <v>38.450000000000003</v>
      </c>
      <c r="U392" s="15">
        <v>56.8</v>
      </c>
      <c r="V392" s="15">
        <v>57.45</v>
      </c>
      <c r="W392" s="14" t="s">
        <v>2149</v>
      </c>
      <c r="X392" s="14">
        <v>7</v>
      </c>
      <c r="Y392" s="10">
        <f>AC392-AB392</f>
        <v>48</v>
      </c>
      <c r="Z392" s="18">
        <v>23</v>
      </c>
      <c r="AA392" s="18">
        <v>65</v>
      </c>
      <c r="AB392" s="18">
        <v>1</v>
      </c>
      <c r="AC392" s="18">
        <v>49</v>
      </c>
      <c r="AD392" s="1" t="s">
        <v>2133</v>
      </c>
      <c r="AE392" s="1" t="s">
        <v>2139</v>
      </c>
      <c r="AF392" s="4">
        <v>8.1199999999999992</v>
      </c>
      <c r="AG392" s="4">
        <v>6.67</v>
      </c>
    </row>
    <row r="393" spans="1:33" ht="47.25" customHeight="1" x14ac:dyDescent="0.25">
      <c r="A393" s="10" t="s">
        <v>2154</v>
      </c>
      <c r="B393" s="11" t="s">
        <v>33</v>
      </c>
      <c r="C393" s="12" t="s">
        <v>2155</v>
      </c>
      <c r="D393" s="27"/>
      <c r="E393" s="14" t="s">
        <v>35</v>
      </c>
      <c r="F393" s="11" t="str">
        <f>HYPERLINK("https://redirect.sdcdeals.com/redirect?destination=https%3A%2F%2Fwww.amazon.com%2Fdp%2FB0BGVN7R5D%3Fth%3D1%26psc%3D1%26tag%3Dsdcdeals03-20", "Amazon Link")</f>
        <v>Amazon Link</v>
      </c>
      <c r="G393" s="11" t="s">
        <v>36</v>
      </c>
      <c r="H393" s="14" t="s">
        <v>2156</v>
      </c>
      <c r="I393" s="11" t="str">
        <f>HYPERLINK("https://redirect.sdcdeals.com/redirect?code=763034&amp;mavely=https://mavely.app.link/e/bhESV2wGrGb&amp;destination=https%3A%2F%2Fwww.kohls.com%2Fsearch.jsp%3Fsubmit-search%3Dweb-regular%26search%3D58732113", "Retail Link")</f>
        <v>Retail Link</v>
      </c>
      <c r="J393" s="14" t="s">
        <v>2131</v>
      </c>
      <c r="K393" s="13" t="s">
        <v>2157</v>
      </c>
      <c r="L393" s="15">
        <v>16.8</v>
      </c>
      <c r="M393" s="15">
        <v>47.79</v>
      </c>
      <c r="N393" s="15">
        <v>17.151499999999999</v>
      </c>
      <c r="O393" s="15">
        <f>V393-M393</f>
        <v>9.0500000000000043</v>
      </c>
      <c r="P393" s="16">
        <f>N393/L393</f>
        <v>1.0209226190476188</v>
      </c>
      <c r="Q393" s="14">
        <v>59807</v>
      </c>
      <c r="R393" s="14"/>
      <c r="S393" s="17">
        <v>0.95900969999999996</v>
      </c>
      <c r="T393" s="15">
        <v>38.450000000000003</v>
      </c>
      <c r="U393" s="15">
        <v>56.97</v>
      </c>
      <c r="V393" s="15">
        <v>56.84</v>
      </c>
      <c r="W393" s="14" t="s">
        <v>835</v>
      </c>
      <c r="X393" s="14">
        <v>6</v>
      </c>
      <c r="Y393" s="10">
        <f>AC393-AB393</f>
        <v>47</v>
      </c>
      <c r="Z393" s="18">
        <v>25</v>
      </c>
      <c r="AA393" s="18">
        <v>61</v>
      </c>
      <c r="AB393" s="18">
        <v>2</v>
      </c>
      <c r="AC393" s="18">
        <v>49</v>
      </c>
      <c r="AD393" s="1" t="s">
        <v>2133</v>
      </c>
      <c r="AE393" s="1" t="s">
        <v>2139</v>
      </c>
      <c r="AF393" s="4">
        <v>8.1199999999999992</v>
      </c>
      <c r="AG393" s="4">
        <v>6.67</v>
      </c>
    </row>
    <row r="394" spans="1:33" ht="47.25" customHeight="1" x14ac:dyDescent="0.25">
      <c r="A394" s="10" t="s">
        <v>6280</v>
      </c>
      <c r="B394" s="11" t="s">
        <v>33</v>
      </c>
      <c r="C394" s="12" t="s">
        <v>6281</v>
      </c>
      <c r="D394" s="27"/>
      <c r="E394" s="14" t="s">
        <v>35</v>
      </c>
      <c r="F394" s="11" t="str">
        <f>HYPERLINK("https://redirect.sdcdeals.com/redirect?destination=https%3A%2F%2Fwww.amazon.com%2Fdp%2FB0BKR1W6RM%3Fth%3D1%26psc%3D1%26tag%3Dsdcdeals03-20", "Amazon Link")</f>
        <v>Amazon Link</v>
      </c>
      <c r="G394" s="11" t="s">
        <v>36</v>
      </c>
      <c r="H394" s="14" t="s">
        <v>6282</v>
      </c>
      <c r="I394" s="11" t="str">
        <f>HYPERLINK("https://redirect.sdcdeals.com/redirect?code=763034&amp;mavely=https://mavely.app.link/e/bhESV2wGrGb&amp;destination=https%3A%2F%2Fwww.kohls.com%2Fsearch.jsp%3Fsubmit-search%3Dweb-regular%26search%3D80724846", "Retail Link")</f>
        <v>Retail Link</v>
      </c>
      <c r="J394" s="14" t="s">
        <v>6277</v>
      </c>
      <c r="K394" s="13" t="s">
        <v>6283</v>
      </c>
      <c r="L394" s="15">
        <v>31.2</v>
      </c>
      <c r="M394" s="15">
        <v>89.48</v>
      </c>
      <c r="N394" s="15">
        <v>31.82800000000001</v>
      </c>
      <c r="O394" s="15">
        <f>V394-M394</f>
        <v>-13.079999999999998</v>
      </c>
      <c r="P394" s="16">
        <f>N394/L394</f>
        <v>1.0201282051282055</v>
      </c>
      <c r="Q394" s="14">
        <v>426565</v>
      </c>
      <c r="R394" s="14"/>
      <c r="S394" s="17">
        <v>1.3889106</v>
      </c>
      <c r="T394" s="15">
        <v>89.48</v>
      </c>
      <c r="U394" s="15">
        <v>73.760000000000005</v>
      </c>
      <c r="V394" s="15">
        <v>76.400000000000006</v>
      </c>
      <c r="W394" s="14" t="s">
        <v>282</v>
      </c>
      <c r="X394" s="14">
        <v>1</v>
      </c>
      <c r="Y394" s="10">
        <f>AC394-AB394</f>
        <v>30</v>
      </c>
      <c r="Z394" s="18">
        <v>2</v>
      </c>
      <c r="AA394" s="18">
        <v>42</v>
      </c>
      <c r="AB394" s="18">
        <v>1</v>
      </c>
      <c r="AC394" s="18">
        <v>31</v>
      </c>
      <c r="AD394" s="1" t="s">
        <v>6279</v>
      </c>
      <c r="AE394" s="1" t="s">
        <v>6284</v>
      </c>
      <c r="AG394" s="4">
        <v>13.03</v>
      </c>
    </row>
    <row r="395" spans="1:33" ht="47.25" hidden="1" customHeight="1" x14ac:dyDescent="0.25">
      <c r="A395" s="10" t="s">
        <v>3763</v>
      </c>
      <c r="B395" s="11" t="s">
        <v>33</v>
      </c>
      <c r="C395" s="12" t="s">
        <v>3764</v>
      </c>
      <c r="D395" s="27"/>
      <c r="E395" s="14" t="s">
        <v>35</v>
      </c>
      <c r="F395" s="11" t="str">
        <f>HYPERLINK("https://redirect.sdcdeals.com/redirect?destination=https%3A%2F%2Fwww.amazon.com%2Fdp%2FB0BQ7KLXT8%3Fth%3D1%26psc%3D1%26tag%3Dsdcdeals03-20", "Amazon Link")</f>
        <v>Amazon Link</v>
      </c>
      <c r="G395" s="11" t="s">
        <v>36</v>
      </c>
      <c r="H395" s="14" t="s">
        <v>3765</v>
      </c>
      <c r="I395" s="11" t="str">
        <f>HYPERLINK("https://redirect.sdcdeals.com/redirect?code=763034&amp;mavely=https://mavely.app.link/e/bhESV2wGrGb&amp;destination=https%3A%2F%2Fwww.kohls.com%2Fsearch.jsp%3Fsubmit-search%3Dweb-regular%26search%3D37802337", "Retail Link")</f>
        <v>Retail Link</v>
      </c>
      <c r="J395" s="14" t="s">
        <v>3766</v>
      </c>
      <c r="K395" s="13" t="s">
        <v>3767</v>
      </c>
      <c r="L395" s="15">
        <v>43.2</v>
      </c>
      <c r="M395" s="15">
        <v>111.87</v>
      </c>
      <c r="N395" s="15">
        <v>44.009500000000003</v>
      </c>
      <c r="O395" s="15">
        <f>V395-M395</f>
        <v>58.150000000000006</v>
      </c>
      <c r="P395" s="16">
        <f>N395/L395</f>
        <v>1.018738425925926</v>
      </c>
      <c r="Q395" s="14"/>
      <c r="R395" s="14"/>
      <c r="S395" s="17">
        <v>0.9259404</v>
      </c>
      <c r="T395" s="15">
        <v>111.87</v>
      </c>
      <c r="U395" s="15">
        <v>185.86</v>
      </c>
      <c r="V395" s="15">
        <v>170.02</v>
      </c>
      <c r="W395" s="14" t="s">
        <v>352</v>
      </c>
      <c r="X395" s="14">
        <v>1</v>
      </c>
      <c r="Y395" s="10">
        <f>AC395-AB395</f>
        <v>0</v>
      </c>
      <c r="Z395" s="18">
        <v>-1</v>
      </c>
      <c r="AA395" s="18">
        <v>-1</v>
      </c>
      <c r="AB395" s="18"/>
      <c r="AC395" s="18"/>
      <c r="AD395" s="1" t="s">
        <v>3768</v>
      </c>
      <c r="AE395" s="1" t="s">
        <v>3769</v>
      </c>
      <c r="AG395" s="4">
        <v>7.88</v>
      </c>
    </row>
    <row r="396" spans="1:33" ht="47.25" hidden="1" customHeight="1" x14ac:dyDescent="0.25">
      <c r="A396" s="10" t="s">
        <v>6253</v>
      </c>
      <c r="B396" s="11" t="s">
        <v>33</v>
      </c>
      <c r="C396" s="12" t="s">
        <v>6254</v>
      </c>
      <c r="D396" s="27"/>
      <c r="E396" s="14" t="s">
        <v>35</v>
      </c>
      <c r="F396" s="11" t="str">
        <f>HYPERLINK("https://redirect.sdcdeals.com/redirect?destination=https%3A%2F%2Fwww.amazon.com%2Fdp%2FB0CL5K3T9M%3Fth%3D1%26psc%3D1%26tag%3Dsdcdeals03-20", "Amazon Link")</f>
        <v>Amazon Link</v>
      </c>
      <c r="G396" s="11" t="s">
        <v>36</v>
      </c>
      <c r="H396" s="14" t="s">
        <v>6255</v>
      </c>
      <c r="I396" s="11" t="str">
        <f>HYPERLINK("https://redirect.sdcdeals.com/redirect?code=763034&amp;mavely=https://mavely.app.link/e/bhESV2wGrGb&amp;destination=https%3A%2F%2Fwww.kohls.com%2Fsearch.jsp%3Fsubmit-search%3Dweb-regular%26search%3D78299455", "Retail Link")</f>
        <v>Retail Link</v>
      </c>
      <c r="J396" s="14" t="s">
        <v>6242</v>
      </c>
      <c r="K396" s="13" t="s">
        <v>6256</v>
      </c>
      <c r="L396" s="15">
        <v>7.6000000000000014</v>
      </c>
      <c r="M396" s="15">
        <v>24.99</v>
      </c>
      <c r="N396" s="15">
        <v>7.7414999999999967</v>
      </c>
      <c r="O396" s="15">
        <f>V396-M396</f>
        <v>1.5500000000000007</v>
      </c>
      <c r="P396" s="16">
        <f>N396/L396</f>
        <v>1.018618421052631</v>
      </c>
      <c r="Q396" s="14"/>
      <c r="R396" s="14"/>
      <c r="S396" s="17">
        <v>0.50926722000000002</v>
      </c>
      <c r="T396" s="15">
        <v>24.99</v>
      </c>
      <c r="U396" s="15">
        <v>24.37</v>
      </c>
      <c r="V396" s="15">
        <v>26.54</v>
      </c>
      <c r="W396" s="14" t="s">
        <v>6257</v>
      </c>
      <c r="X396" s="14">
        <v>8</v>
      </c>
      <c r="Y396" s="10">
        <f>AC396-AB396</f>
        <v>0</v>
      </c>
      <c r="Z396" s="18">
        <v>0</v>
      </c>
      <c r="AA396" s="18">
        <v>58</v>
      </c>
      <c r="AB396" s="18">
        <v>0</v>
      </c>
      <c r="AC396" s="18"/>
      <c r="AD396" s="1" t="s">
        <v>1452</v>
      </c>
      <c r="AE396" s="1" t="s">
        <v>6252</v>
      </c>
      <c r="AF396" s="4">
        <v>4.25</v>
      </c>
      <c r="AG396" s="4">
        <v>5.9</v>
      </c>
    </row>
    <row r="397" spans="1:33" ht="47.25" customHeight="1" x14ac:dyDescent="0.25">
      <c r="A397" s="10" t="s">
        <v>3410</v>
      </c>
      <c r="B397" s="11" t="s">
        <v>33</v>
      </c>
      <c r="C397" s="12" t="s">
        <v>3411</v>
      </c>
      <c r="D397" s="27"/>
      <c r="E397" s="14" t="s">
        <v>35</v>
      </c>
      <c r="F397" s="11" t="str">
        <f>HYPERLINK("https://redirect.sdcdeals.com/redirect?destination=https%3A%2F%2Fwww.amazon.com%2Fdp%2FB09B69GV8N%3Fth%3D1%26psc%3D1%26tag%3Dsdcdeals03-20", "Amazon Link")</f>
        <v>Amazon Link</v>
      </c>
      <c r="G397" s="11" t="s">
        <v>36</v>
      </c>
      <c r="H397" s="14" t="s">
        <v>3412</v>
      </c>
      <c r="I397" s="11" t="str">
        <f>HYPERLINK("https://redirect.sdcdeals.com/redirect?code=763034&amp;mavely=https://mavely.app.link/e/bhESV2wGrGb&amp;destination=https%3A%2F%2Fwww.kohls.com%2Fsearch.jsp%3Fsubmit-search%3Dweb-regular%26search%3D70353898", "Retail Link")</f>
        <v>Retail Link</v>
      </c>
      <c r="J397" s="14" t="s">
        <v>3413</v>
      </c>
      <c r="K397" s="13" t="s">
        <v>3414</v>
      </c>
      <c r="L397" s="15">
        <v>12.48</v>
      </c>
      <c r="M397" s="15">
        <v>36.71</v>
      </c>
      <c r="N397" s="15">
        <v>12.673500000000001</v>
      </c>
      <c r="O397" s="15">
        <f>V397-M397</f>
        <v>-2.0000000000003126E-2</v>
      </c>
      <c r="P397" s="16">
        <f>N397/L397</f>
        <v>1.0155048076923077</v>
      </c>
      <c r="Q397" s="14">
        <v>95891</v>
      </c>
      <c r="R397" s="14"/>
      <c r="S397" s="17">
        <v>1.0824684200000001</v>
      </c>
      <c r="T397" s="15"/>
      <c r="U397" s="15">
        <v>36.71</v>
      </c>
      <c r="V397" s="15">
        <v>36.69</v>
      </c>
      <c r="W397" s="14" t="s">
        <v>3415</v>
      </c>
      <c r="X397" s="14">
        <v>1</v>
      </c>
      <c r="Y397" s="10">
        <f>AC397-AB397</f>
        <v>3479</v>
      </c>
      <c r="Z397" s="18">
        <v>27</v>
      </c>
      <c r="AA397" s="18">
        <v>86</v>
      </c>
      <c r="AB397" s="18">
        <v>19</v>
      </c>
      <c r="AC397" s="18">
        <v>3498</v>
      </c>
      <c r="AD397" s="1" t="s">
        <v>1037</v>
      </c>
      <c r="AE397" s="1" t="s">
        <v>3416</v>
      </c>
      <c r="AG397" s="4">
        <v>6.05</v>
      </c>
    </row>
    <row r="398" spans="1:33" ht="47.25" customHeight="1" x14ac:dyDescent="0.25">
      <c r="A398" s="10" t="s">
        <v>5782</v>
      </c>
      <c r="B398" s="11" t="s">
        <v>33</v>
      </c>
      <c r="C398" s="12" t="s">
        <v>5783</v>
      </c>
      <c r="D398" s="27"/>
      <c r="E398" s="14" t="s">
        <v>35</v>
      </c>
      <c r="F398" s="11" t="str">
        <f>HYPERLINK("https://redirect.sdcdeals.com/redirect?destination=https%3A%2F%2Fwww.amazon.com%2Fdp%2FB0CQZ5FPL6%3Fth%3D1%26psc%3D1%26tag%3Dsdcdeals03-20", "Amazon Link")</f>
        <v>Amazon Link</v>
      </c>
      <c r="G398" s="11" t="s">
        <v>36</v>
      </c>
      <c r="H398" s="14" t="s">
        <v>5784</v>
      </c>
      <c r="I398" s="11" t="str">
        <f>HYPERLINK("https://redirect.sdcdeals.com/redirect?code=763034&amp;mavely=https://mavely.app.link/e/bhESV2wGrGb&amp;destination=https%3A%2F%2Fwww.kohls.com%2Fsearch.jsp%3Fsubmit-search%3Dweb-regular%26search%3D46907025", "Retail Link")</f>
        <v>Retail Link</v>
      </c>
      <c r="J398" s="14" t="s">
        <v>5774</v>
      </c>
      <c r="K398" s="13" t="s">
        <v>5775</v>
      </c>
      <c r="L398" s="15">
        <v>13.6</v>
      </c>
      <c r="M398" s="15">
        <v>40</v>
      </c>
      <c r="N398" s="15">
        <v>13.8</v>
      </c>
      <c r="O398" s="15">
        <f>V398-M398</f>
        <v>0</v>
      </c>
      <c r="P398" s="16">
        <f>N398/L398</f>
        <v>1.0147058823529413</v>
      </c>
      <c r="Q398" s="14">
        <v>167219</v>
      </c>
      <c r="R398" s="14"/>
      <c r="S398" s="17">
        <v>0.63933980000000001</v>
      </c>
      <c r="T398" s="15">
        <v>40</v>
      </c>
      <c r="U398" s="15">
        <v>40</v>
      </c>
      <c r="V398" s="15">
        <v>40</v>
      </c>
      <c r="W398" s="14" t="s">
        <v>290</v>
      </c>
      <c r="X398" s="14">
        <v>2</v>
      </c>
      <c r="Y398" s="10">
        <f>AC398-AB398</f>
        <v>4</v>
      </c>
      <c r="Z398" s="18">
        <v>17</v>
      </c>
      <c r="AA398" s="18">
        <v>31</v>
      </c>
      <c r="AB398" s="18">
        <v>0</v>
      </c>
      <c r="AC398" s="18">
        <v>4</v>
      </c>
      <c r="AE398" s="1" t="s">
        <v>1243</v>
      </c>
      <c r="AF398" s="4">
        <v>6.8</v>
      </c>
      <c r="AG398" s="4">
        <v>6.6</v>
      </c>
    </row>
    <row r="399" spans="1:33" ht="47.25" customHeight="1" x14ac:dyDescent="0.25">
      <c r="A399" s="10" t="s">
        <v>2150</v>
      </c>
      <c r="B399" s="11" t="s">
        <v>33</v>
      </c>
      <c r="C399" s="12" t="s">
        <v>2151</v>
      </c>
      <c r="D399" s="27"/>
      <c r="E399" s="14" t="s">
        <v>35</v>
      </c>
      <c r="F399" s="11" t="str">
        <f>HYPERLINK("https://redirect.sdcdeals.com/redirect?destination=https%3A%2F%2Fwww.amazon.com%2Fdp%2FB0BGV7NFFY%3Fth%3D1%26psc%3D1%26tag%3Dsdcdeals03-20", "Amazon Link")</f>
        <v>Amazon Link</v>
      </c>
      <c r="G399" s="11" t="s">
        <v>36</v>
      </c>
      <c r="H399" s="14" t="s">
        <v>2152</v>
      </c>
      <c r="I399" s="11" t="str">
        <f>HYPERLINK("https://redirect.sdcdeals.com/redirect?code=763034&amp;mavely=https://mavely.app.link/e/bhESV2wGrGb&amp;destination=https%3A%2F%2Fwww.kohls.com%2Fsearch.jsp%3Fsubmit-search%3Dweb-regular%26search%3D58732107", "Retail Link")</f>
        <v>Retail Link</v>
      </c>
      <c r="J399" s="14" t="s">
        <v>2131</v>
      </c>
      <c r="K399" s="13" t="s">
        <v>2153</v>
      </c>
      <c r="L399" s="15">
        <v>16.8</v>
      </c>
      <c r="M399" s="15">
        <v>47.65</v>
      </c>
      <c r="N399" s="15">
        <v>17.032499999999999</v>
      </c>
      <c r="O399" s="15">
        <f>V399-M399</f>
        <v>7.490000000000002</v>
      </c>
      <c r="P399" s="16">
        <f>N399/L399</f>
        <v>1.0138392857142855</v>
      </c>
      <c r="Q399" s="14">
        <v>59807</v>
      </c>
      <c r="R399" s="14"/>
      <c r="S399" s="17">
        <v>0.91491730000000004</v>
      </c>
      <c r="T399" s="15">
        <v>38.450000000000003</v>
      </c>
      <c r="U399" s="15">
        <v>55.14</v>
      </c>
      <c r="V399" s="15">
        <v>55.14</v>
      </c>
      <c r="W399" s="14" t="s">
        <v>199</v>
      </c>
      <c r="X399" s="14">
        <v>5</v>
      </c>
      <c r="Y399" s="10">
        <f>AC399-AB399</f>
        <v>49</v>
      </c>
      <c r="Z399" s="18">
        <v>27</v>
      </c>
      <c r="AA399" s="18">
        <v>68</v>
      </c>
      <c r="AB399" s="18">
        <v>0</v>
      </c>
      <c r="AC399" s="18">
        <v>49</v>
      </c>
      <c r="AD399" s="1" t="s">
        <v>2133</v>
      </c>
      <c r="AE399" s="1" t="s">
        <v>2144</v>
      </c>
      <c r="AF399" s="4">
        <v>8.1</v>
      </c>
      <c r="AG399" s="4">
        <v>6.67</v>
      </c>
    </row>
    <row r="400" spans="1:33" ht="47.25" customHeight="1" x14ac:dyDescent="0.25">
      <c r="A400" s="10" t="s">
        <v>5978</v>
      </c>
      <c r="B400" s="11" t="s">
        <v>33</v>
      </c>
      <c r="C400" s="12" t="s">
        <v>5979</v>
      </c>
      <c r="D400" s="27"/>
      <c r="E400" s="14" t="s">
        <v>35</v>
      </c>
      <c r="F400" s="11" t="str">
        <f>HYPERLINK("https://redirect.sdcdeals.com/redirect?destination=https%3A%2F%2Fwww.amazon.com%2Fdp%2FB0BFTVCGXW%3Fth%3D1%26psc%3D1%26tag%3Dsdcdeals03-20", "Amazon Link")</f>
        <v>Amazon Link</v>
      </c>
      <c r="G400" s="11" t="s">
        <v>36</v>
      </c>
      <c r="H400" s="14" t="s">
        <v>5980</v>
      </c>
      <c r="I400" s="11" t="str">
        <f>HYPERLINK("https://redirect.sdcdeals.com/redirect?code=763034&amp;mavely=https://mavely.app.link/e/bhESV2wGrGb&amp;destination=https%3A%2F%2Fwww.kohls.com%2Fsearch.jsp%3Fsubmit-search%3Dweb-regular%26search%3D72822591", "Retail Link")</f>
        <v>Retail Link</v>
      </c>
      <c r="J400" s="14" t="s">
        <v>5974</v>
      </c>
      <c r="K400" s="13" t="s">
        <v>5981</v>
      </c>
      <c r="L400" s="15">
        <v>44.095999999999997</v>
      </c>
      <c r="M400" s="15">
        <v>128.28</v>
      </c>
      <c r="N400" s="15">
        <v>44.692</v>
      </c>
      <c r="O400" s="15">
        <f>V400-M400</f>
        <v>-29.58</v>
      </c>
      <c r="P400" s="16">
        <f>N400/L400</f>
        <v>1.0135159651669086</v>
      </c>
      <c r="Q400" s="14">
        <v>2062384</v>
      </c>
      <c r="R400" s="14"/>
      <c r="S400" s="17">
        <v>1.6975574</v>
      </c>
      <c r="T400" s="15">
        <v>128.28</v>
      </c>
      <c r="U400" s="15">
        <v>85.83</v>
      </c>
      <c r="V400" s="15">
        <v>98.7</v>
      </c>
      <c r="W400" s="14" t="s">
        <v>385</v>
      </c>
      <c r="X400" s="14">
        <v>1</v>
      </c>
      <c r="Y400" s="10">
        <f>AC400-AB400</f>
        <v>6</v>
      </c>
      <c r="Z400" s="18">
        <v>2</v>
      </c>
      <c r="AA400" s="18">
        <v>11</v>
      </c>
      <c r="AB400" s="18">
        <v>1</v>
      </c>
      <c r="AC400" s="18">
        <v>7</v>
      </c>
      <c r="AD400" s="1" t="s">
        <v>5976</v>
      </c>
      <c r="AE400" s="1" t="s">
        <v>76</v>
      </c>
      <c r="AF400" s="4">
        <v>21.81</v>
      </c>
      <c r="AG400" s="4">
        <v>20.25</v>
      </c>
    </row>
    <row r="401" spans="1:33" ht="47.25" customHeight="1" x14ac:dyDescent="0.25">
      <c r="A401" s="10" t="s">
        <v>2770</v>
      </c>
      <c r="B401" s="11" t="s">
        <v>33</v>
      </c>
      <c r="C401" s="12" t="s">
        <v>2771</v>
      </c>
      <c r="D401" s="27"/>
      <c r="E401" s="14" t="s">
        <v>35</v>
      </c>
      <c r="F401" s="11" t="str">
        <f>HYPERLINK("https://redirect.sdcdeals.com/redirect?destination=https%3A%2F%2Fwww.amazon.com%2Fdp%2FB0CCC415ZW%3Fth%3D1%26psc%3D1%26tag%3Dsdcdeals03-20", "Amazon Link")</f>
        <v>Amazon Link</v>
      </c>
      <c r="G401" s="11" t="s">
        <v>36</v>
      </c>
      <c r="H401" s="14" t="s">
        <v>2772</v>
      </c>
      <c r="I401" s="11" t="str">
        <f>HYPERLINK("https://redirect.sdcdeals.com/redirect?code=763034&amp;mavely=https://mavely.app.link/e/bhESV2wGrGb&amp;destination=https%3A%2F%2Fwww.kohls.com%2Fsearch.jsp%3Fsubmit-search%3Dweb-regular%26search%3D64250555", "Retail Link")</f>
        <v>Retail Link</v>
      </c>
      <c r="J401" s="14" t="s">
        <v>2705</v>
      </c>
      <c r="K401" s="13" t="s">
        <v>2773</v>
      </c>
      <c r="L401" s="15">
        <v>13.2</v>
      </c>
      <c r="M401" s="15">
        <v>39.03</v>
      </c>
      <c r="N401" s="15">
        <v>13.375500000000001</v>
      </c>
      <c r="O401" s="15">
        <f>V401-M401</f>
        <v>2.3599999999999994</v>
      </c>
      <c r="P401" s="16">
        <f>N401/L401</f>
        <v>1.0132954545454547</v>
      </c>
      <c r="Q401" s="14">
        <v>6297349</v>
      </c>
      <c r="R401" s="14"/>
      <c r="S401" s="17">
        <v>0.95900969999999996</v>
      </c>
      <c r="T401" s="15">
        <v>39.03</v>
      </c>
      <c r="U401" s="15">
        <v>41.13</v>
      </c>
      <c r="V401" s="15">
        <v>41.39</v>
      </c>
      <c r="W401" s="14" t="s">
        <v>1014</v>
      </c>
      <c r="X401" s="14">
        <v>2</v>
      </c>
      <c r="Y401" s="10">
        <f>AC401-AB401</f>
        <v>0</v>
      </c>
      <c r="Z401" s="18">
        <v>1</v>
      </c>
      <c r="AA401" s="18">
        <v>2</v>
      </c>
      <c r="AB401" s="18"/>
      <c r="AC401" s="18"/>
      <c r="AD401" s="1" t="s">
        <v>2748</v>
      </c>
      <c r="AE401" s="1" t="s">
        <v>2713</v>
      </c>
      <c r="AF401" s="4">
        <v>6.64</v>
      </c>
      <c r="AG401" s="4">
        <v>6.6</v>
      </c>
    </row>
    <row r="402" spans="1:33" ht="47.25" customHeight="1" x14ac:dyDescent="0.25">
      <c r="A402" s="10" t="s">
        <v>2140</v>
      </c>
      <c r="B402" s="11" t="s">
        <v>33</v>
      </c>
      <c r="C402" s="12" t="s">
        <v>2141</v>
      </c>
      <c r="D402" s="27"/>
      <c r="E402" s="14" t="s">
        <v>35</v>
      </c>
      <c r="F402" s="11" t="str">
        <f>HYPERLINK("https://redirect.sdcdeals.com/redirect?destination=https%3A%2F%2Fwww.amazon.com%2Fdp%2FB0BGV2YNDF%3Fth%3D1%26psc%3D1%26tag%3Dsdcdeals03-20", "Amazon Link")</f>
        <v>Amazon Link</v>
      </c>
      <c r="G402" s="11" t="s">
        <v>36</v>
      </c>
      <c r="H402" s="14" t="s">
        <v>2142</v>
      </c>
      <c r="I402" s="11" t="str">
        <f>HYPERLINK("https://redirect.sdcdeals.com/redirect?code=763034&amp;mavely=https://mavely.app.link/e/bhESV2wGrGb&amp;destination=https%3A%2F%2Fwww.kohls.com%2Fsearch.jsp%3Fsubmit-search%3Dweb-regular%26search%3D58732106", "Retail Link")</f>
        <v>Retail Link</v>
      </c>
      <c r="J402" s="14" t="s">
        <v>2131</v>
      </c>
      <c r="K402" s="13" t="s">
        <v>2143</v>
      </c>
      <c r="L402" s="15">
        <v>16.8</v>
      </c>
      <c r="M402" s="15">
        <v>47.79</v>
      </c>
      <c r="N402" s="15">
        <v>16.961500000000001</v>
      </c>
      <c r="O402" s="15">
        <f>V402-M402</f>
        <v>6.5900000000000034</v>
      </c>
      <c r="P402" s="16">
        <f>N402/L402</f>
        <v>1.0096130952380953</v>
      </c>
      <c r="Q402" s="14">
        <v>59807</v>
      </c>
      <c r="R402" s="14"/>
      <c r="S402" s="17">
        <v>0.88184799999999997</v>
      </c>
      <c r="T402" s="15">
        <v>38.450000000000003</v>
      </c>
      <c r="U402" s="15">
        <v>54.67</v>
      </c>
      <c r="V402" s="15">
        <v>54.38</v>
      </c>
      <c r="W402" s="14" t="s">
        <v>2056</v>
      </c>
      <c r="X402" s="14">
        <v>3</v>
      </c>
      <c r="Y402" s="10">
        <f>AC402-AB402</f>
        <v>48</v>
      </c>
      <c r="Z402" s="18">
        <v>22</v>
      </c>
      <c r="AA402" s="18">
        <v>50</v>
      </c>
      <c r="AB402" s="18">
        <v>1</v>
      </c>
      <c r="AC402" s="18">
        <v>49</v>
      </c>
      <c r="AD402" s="1" t="s">
        <v>2133</v>
      </c>
      <c r="AE402" s="1" t="s">
        <v>2144</v>
      </c>
      <c r="AF402" s="4">
        <v>8.1199999999999992</v>
      </c>
      <c r="AG402" s="4">
        <v>6.86</v>
      </c>
    </row>
    <row r="403" spans="1:33" ht="47.25" customHeight="1" x14ac:dyDescent="0.25">
      <c r="A403" s="10" t="s">
        <v>2037</v>
      </c>
      <c r="B403" s="11" t="s">
        <v>33</v>
      </c>
      <c r="C403" s="12" t="s">
        <v>2038</v>
      </c>
      <c r="D403" s="27"/>
      <c r="E403" s="14" t="s">
        <v>35</v>
      </c>
      <c r="F403" s="11" t="str">
        <f>HYPERLINK("https://redirect.sdcdeals.com/redirect?destination=https%3A%2F%2Fwww.amazon.com%2Fdp%2FB094383NFV%3Fth%3D1%26psc%3D1%26tag%3Dsdcdeals03-20", "Amazon Link")</f>
        <v>Amazon Link</v>
      </c>
      <c r="G403" s="11" t="s">
        <v>36</v>
      </c>
      <c r="H403" s="14" t="s">
        <v>2039</v>
      </c>
      <c r="I403" s="11" t="str">
        <f>HYPERLINK("https://redirect.sdcdeals.com/redirect?code=763034&amp;mavely=https://mavely.app.link/e/bhESV2wGrGb&amp;destination=https%3A%2F%2Fwww.kohls.com%2Fsearch.jsp%3Fsubmit-search%3Dweb-regular%26search%3D46568070", "Retail Link")</f>
        <v>Retail Link</v>
      </c>
      <c r="J403" s="14" t="s">
        <v>2014</v>
      </c>
      <c r="K403" s="13" t="s">
        <v>2040</v>
      </c>
      <c r="L403" s="15">
        <v>13</v>
      </c>
      <c r="M403" s="15">
        <v>38.799999999999997</v>
      </c>
      <c r="N403" s="15">
        <v>13.12</v>
      </c>
      <c r="O403" s="15">
        <f>V403-M403</f>
        <v>3.25</v>
      </c>
      <c r="P403" s="16">
        <f>N403/L403</f>
        <v>1.0092307692307692</v>
      </c>
      <c r="Q403" s="14">
        <v>50737</v>
      </c>
      <c r="R403" s="14"/>
      <c r="S403" s="17">
        <v>0.74957079999999998</v>
      </c>
      <c r="T403" s="15">
        <v>30.61</v>
      </c>
      <c r="U403" s="15">
        <v>40.340000000000003</v>
      </c>
      <c r="V403" s="15">
        <v>42.05</v>
      </c>
      <c r="W403" s="14" t="s">
        <v>849</v>
      </c>
      <c r="X403" s="14">
        <v>6</v>
      </c>
      <c r="Y403" s="10">
        <f>AC403-AB403</f>
        <v>0</v>
      </c>
      <c r="Z403" s="18">
        <v>25</v>
      </c>
      <c r="AA403" s="18">
        <v>63</v>
      </c>
      <c r="AB403" s="18">
        <v>1</v>
      </c>
      <c r="AC403" s="18">
        <v>1</v>
      </c>
      <c r="AD403" s="1" t="s">
        <v>2016</v>
      </c>
      <c r="AE403" s="1" t="s">
        <v>2023</v>
      </c>
      <c r="AF403" s="4">
        <v>6.6</v>
      </c>
      <c r="AG403" s="4">
        <v>6.86</v>
      </c>
    </row>
    <row r="404" spans="1:33" ht="47.25" customHeight="1" x14ac:dyDescent="0.25">
      <c r="A404" s="10" t="s">
        <v>338</v>
      </c>
      <c r="B404" s="11" t="s">
        <v>33</v>
      </c>
      <c r="C404" s="12" t="s">
        <v>339</v>
      </c>
      <c r="D404" s="27"/>
      <c r="E404" s="14" t="s">
        <v>35</v>
      </c>
      <c r="F404" s="11" t="str">
        <f>HYPERLINK("https://redirect.sdcdeals.com/redirect?destination=https%3A%2F%2Fwww.amazon.com%2Fdp%2FB0BKR5Z8RX%3Fth%3D1%26psc%3D1%26tag%3Dsdcdeals03-20", "Amazon Link")</f>
        <v>Amazon Link</v>
      </c>
      <c r="G404" s="11" t="s">
        <v>36</v>
      </c>
      <c r="H404" s="14" t="s">
        <v>340</v>
      </c>
      <c r="I404" s="11" t="str">
        <f>HYPERLINK("https://redirect.sdcdeals.com/redirect?code=763034&amp;mavely=https://mavely.app.link/e/bhESV2wGrGb&amp;destination=https%3A%2F%2Fwww.kohls.com%2Fsearch.jsp%3Fsubmit-search%3Dweb-regular%26search%3D76899444", "Retail Link")</f>
        <v>Retail Link</v>
      </c>
      <c r="J404" s="14" t="s">
        <v>334</v>
      </c>
      <c r="K404" s="13" t="s">
        <v>341</v>
      </c>
      <c r="L404" s="15">
        <v>18.2</v>
      </c>
      <c r="M404" s="15">
        <v>50.24</v>
      </c>
      <c r="N404" s="15">
        <v>18.364000000000001</v>
      </c>
      <c r="O404" s="15">
        <f>V404-M404</f>
        <v>-9.240000000000002</v>
      </c>
      <c r="P404" s="16">
        <f>N404/L404</f>
        <v>1.0090109890109891</v>
      </c>
      <c r="Q404" s="14">
        <v>111915</v>
      </c>
      <c r="R404" s="14"/>
      <c r="S404" s="17">
        <v>0.66138600000000003</v>
      </c>
      <c r="T404" s="15">
        <v>50.24</v>
      </c>
      <c r="U404" s="15">
        <v>33.74</v>
      </c>
      <c r="V404" s="15">
        <v>41</v>
      </c>
      <c r="W404" s="14" t="s">
        <v>342</v>
      </c>
      <c r="X404" s="14">
        <v>1</v>
      </c>
      <c r="Y404" s="10">
        <f>AC404-AB404</f>
        <v>0</v>
      </c>
      <c r="Z404" s="18">
        <v>6</v>
      </c>
      <c r="AA404" s="18">
        <v>45</v>
      </c>
      <c r="AB404" s="18">
        <v>0</v>
      </c>
      <c r="AC404" s="18"/>
      <c r="AD404" s="1" t="s">
        <v>336</v>
      </c>
      <c r="AE404" s="1" t="s">
        <v>343</v>
      </c>
      <c r="AG404" s="4">
        <v>6.14</v>
      </c>
    </row>
    <row r="405" spans="1:33" ht="47.25" hidden="1" customHeight="1" x14ac:dyDescent="0.25">
      <c r="A405" s="10" t="s">
        <v>2732</v>
      </c>
      <c r="B405" s="11" t="s">
        <v>33</v>
      </c>
      <c r="C405" s="12" t="s">
        <v>2733</v>
      </c>
      <c r="D405" s="27"/>
      <c r="E405" s="14" t="s">
        <v>35</v>
      </c>
      <c r="F405" s="11" t="str">
        <f>HYPERLINK("https://redirect.sdcdeals.com/redirect?destination=https%3A%2F%2Fwww.amazon.com%2Fdp%2FB0CCBVFL7S%3Fth%3D1%26psc%3D1%26tag%3Dsdcdeals03-20", "Amazon Link")</f>
        <v>Amazon Link</v>
      </c>
      <c r="G405" s="11" t="s">
        <v>36</v>
      </c>
      <c r="H405" s="14" t="s">
        <v>2734</v>
      </c>
      <c r="I405" s="11" t="str">
        <f>HYPERLINK("https://redirect.sdcdeals.com/redirect?code=763034&amp;mavely=https://mavely.app.link/e/bhESV2wGrGb&amp;destination=https%3A%2F%2Fwww.kohls.com%2Fsearch.jsp%3Fsubmit-search%3Dweb-regular%26search%3D67197129", "Retail Link")</f>
        <v>Retail Link</v>
      </c>
      <c r="J405" s="14" t="s">
        <v>2705</v>
      </c>
      <c r="K405" s="13" t="s">
        <v>2735</v>
      </c>
      <c r="L405" s="15">
        <v>13.2</v>
      </c>
      <c r="M405" s="15">
        <v>39.200000000000003</v>
      </c>
      <c r="N405" s="15">
        <v>13.29</v>
      </c>
      <c r="O405" s="15">
        <f>V405-M405</f>
        <v>-6.8800000000000026</v>
      </c>
      <c r="P405" s="16">
        <f>N405/L405</f>
        <v>1.0068181818181818</v>
      </c>
      <c r="Q405" s="14"/>
      <c r="R405" s="14"/>
      <c r="S405" s="17">
        <v>0.88184799999999997</v>
      </c>
      <c r="T405" s="15">
        <v>31.25</v>
      </c>
      <c r="U405" s="15">
        <v>35.880000000000003</v>
      </c>
      <c r="V405" s="15">
        <v>32.32</v>
      </c>
      <c r="W405" s="14" t="s">
        <v>2736</v>
      </c>
      <c r="X405" s="14">
        <v>1</v>
      </c>
      <c r="Y405" s="10">
        <f>AC405-AB405</f>
        <v>2</v>
      </c>
      <c r="Z405" s="18">
        <v>-1</v>
      </c>
      <c r="AA405" s="18">
        <v>-1</v>
      </c>
      <c r="AB405" s="18"/>
      <c r="AC405" s="18">
        <v>2</v>
      </c>
      <c r="AD405" s="1" t="s">
        <v>2737</v>
      </c>
      <c r="AE405" s="1" t="s">
        <v>2738</v>
      </c>
      <c r="AF405" s="4">
        <v>6.66</v>
      </c>
      <c r="AG405" s="4">
        <v>6.83</v>
      </c>
    </row>
    <row r="406" spans="1:33" ht="47.25" customHeight="1" x14ac:dyDescent="0.25">
      <c r="A406" s="10" t="s">
        <v>4856</v>
      </c>
      <c r="B406" s="11" t="s">
        <v>33</v>
      </c>
      <c r="C406" s="12" t="s">
        <v>4857</v>
      </c>
      <c r="D406" s="27"/>
      <c r="E406" s="14" t="s">
        <v>35</v>
      </c>
      <c r="F406" s="11" t="str">
        <f>HYPERLINK("https://redirect.sdcdeals.com/redirect?destination=https%3A%2F%2Fwww.amazon.com%2Fdp%2FB078MPT31B%3Fth%3D1%26psc%3D1%26tag%3Dsdcdeals03-20", "Amazon Link")</f>
        <v>Amazon Link</v>
      </c>
      <c r="G406" s="11" t="s">
        <v>36</v>
      </c>
      <c r="H406" s="14" t="s">
        <v>4858</v>
      </c>
      <c r="I406" s="11" t="str">
        <f>HYPERLINK("https://redirect.sdcdeals.com/redirect?code=763034&amp;mavely=https://mavely.app.link/e/bhESV2wGrGb&amp;destination=https%3A%2F%2Fwww.kohls.com%2Fsearch.jsp%3Fsubmit-search%3Dweb-regular%26search%3D20872333", "Retail Link")</f>
        <v>Retail Link</v>
      </c>
      <c r="J406" s="14" t="s">
        <v>4843</v>
      </c>
      <c r="K406" s="13" t="s">
        <v>4859</v>
      </c>
      <c r="L406" s="15">
        <v>15.896000000000001</v>
      </c>
      <c r="M406" s="15">
        <v>44.59</v>
      </c>
      <c r="N406" s="15">
        <v>15.955500000000001</v>
      </c>
      <c r="O406" s="15">
        <f>V406-M406</f>
        <v>11.919999999999995</v>
      </c>
      <c r="P406" s="16">
        <f>N406/L406</f>
        <v>1.0037430800201308</v>
      </c>
      <c r="Q406" s="14">
        <v>1362</v>
      </c>
      <c r="R406" s="14"/>
      <c r="S406" s="17">
        <v>1.67771582</v>
      </c>
      <c r="T406" s="15">
        <v>36.64</v>
      </c>
      <c r="U406" s="15">
        <v>54.53</v>
      </c>
      <c r="V406" s="15">
        <v>56.51</v>
      </c>
      <c r="W406" s="14" t="s">
        <v>286</v>
      </c>
      <c r="X406" s="14">
        <v>2</v>
      </c>
      <c r="Y406" s="10">
        <f>AC406-AB406</f>
        <v>969</v>
      </c>
      <c r="Z406" s="18">
        <v>38</v>
      </c>
      <c r="AA406" s="18">
        <v>84</v>
      </c>
      <c r="AB406" s="18">
        <v>12</v>
      </c>
      <c r="AC406" s="18">
        <v>981</v>
      </c>
      <c r="AD406" s="1" t="s">
        <v>4845</v>
      </c>
      <c r="AE406" s="1" t="s">
        <v>1092</v>
      </c>
      <c r="AF406" s="4">
        <v>7.58</v>
      </c>
      <c r="AG406" s="4">
        <v>6.05</v>
      </c>
    </row>
    <row r="407" spans="1:33" ht="47.25" customHeight="1" x14ac:dyDescent="0.25">
      <c r="A407" s="10" t="s">
        <v>7175</v>
      </c>
      <c r="B407" s="11" t="s">
        <v>33</v>
      </c>
      <c r="C407" s="12" t="s">
        <v>7176</v>
      </c>
      <c r="D407" s="27"/>
      <c r="E407" s="14" t="s">
        <v>35</v>
      </c>
      <c r="F407" s="11" t="str">
        <f>HYPERLINK("https://redirect.sdcdeals.com/redirect?destination=https%3A%2F%2Fwww.amazon.com%2Fdp%2FB08Z9QY793%3Fth%3D1%26psc%3D1%26tag%3Dsdcdeals03-20", "Amazon Link")</f>
        <v>Amazon Link</v>
      </c>
      <c r="G407" s="11" t="s">
        <v>36</v>
      </c>
      <c r="H407" s="14" t="s">
        <v>7177</v>
      </c>
      <c r="I407" s="11" t="str">
        <f>HYPERLINK("https://redirect.sdcdeals.com/redirect?code=763034&amp;mavely=https://mavely.app.link/e/bhESV2wGrGb&amp;destination=https%3A%2F%2Fwww.kohls.com%2Fsearch.jsp%3Fsubmit-search%3Dweb-regular%26search%3D49703746", "Retail Link")</f>
        <v>Retail Link</v>
      </c>
      <c r="J407" s="14" t="s">
        <v>7158</v>
      </c>
      <c r="K407" s="13" t="s">
        <v>7178</v>
      </c>
      <c r="L407" s="15">
        <v>11.52</v>
      </c>
      <c r="M407" s="15">
        <v>33.99</v>
      </c>
      <c r="N407" s="15">
        <v>11.551500000000001</v>
      </c>
      <c r="O407" s="15">
        <f>V407-M407</f>
        <v>0.10000000000000142</v>
      </c>
      <c r="P407" s="16">
        <f>N407/L407</f>
        <v>1.0027343750000002</v>
      </c>
      <c r="Q407" s="14">
        <v>24851</v>
      </c>
      <c r="R407" s="14"/>
      <c r="S407" s="17">
        <v>0.87302952</v>
      </c>
      <c r="T407" s="15">
        <v>33.99</v>
      </c>
      <c r="U407" s="15">
        <v>33.799999999999997</v>
      </c>
      <c r="V407" s="15">
        <v>34.090000000000003</v>
      </c>
      <c r="W407" s="14" t="s">
        <v>316</v>
      </c>
      <c r="X407" s="14">
        <v>1</v>
      </c>
      <c r="Y407" s="10">
        <f>AC407-AB407</f>
        <v>2299</v>
      </c>
      <c r="Z407" s="18">
        <v>31</v>
      </c>
      <c r="AA407" s="18">
        <v>95</v>
      </c>
      <c r="AB407" s="18">
        <v>1</v>
      </c>
      <c r="AC407" s="18">
        <v>2300</v>
      </c>
      <c r="AD407" s="1" t="s">
        <v>7160</v>
      </c>
      <c r="AE407" s="1" t="s">
        <v>7170</v>
      </c>
      <c r="AF407" s="4">
        <v>5.78</v>
      </c>
      <c r="AG407" s="4">
        <v>5.82</v>
      </c>
    </row>
    <row r="408" spans="1:33" ht="47.25" customHeight="1" x14ac:dyDescent="0.25">
      <c r="A408" s="10" t="s">
        <v>1514</v>
      </c>
      <c r="B408" s="11" t="s">
        <v>33</v>
      </c>
      <c r="C408" s="12" t="s">
        <v>1515</v>
      </c>
      <c r="D408" s="27"/>
      <c r="E408" s="14" t="s">
        <v>35</v>
      </c>
      <c r="F408" s="11" t="str">
        <f>HYPERLINK("https://redirect.sdcdeals.com/redirect?destination=https%3A%2F%2Fwww.amazon.com%2Fdp%2FB0BLZSKK61%3Fth%3D1%26psc%3D1%26tag%3Dsdcdeals03-20", "Amazon Link")</f>
        <v>Amazon Link</v>
      </c>
      <c r="G408" s="11" t="s">
        <v>36</v>
      </c>
      <c r="H408" s="14" t="s">
        <v>1516</v>
      </c>
      <c r="I408" s="11" t="str">
        <f>HYPERLINK("https://redirect.sdcdeals.com/redirect?code=763034&amp;mavely=https://mavely.app.link/e/bhESV2wGrGb&amp;destination=https%3A%2F%2Fwww.kohls.com%2Fsearch.jsp%3Fsubmit-search%3Dweb-regular%26search%3D30076274", "Retail Link")</f>
        <v>Retail Link</v>
      </c>
      <c r="J408" s="14" t="s">
        <v>1517</v>
      </c>
      <c r="K408" s="13" t="s">
        <v>1518</v>
      </c>
      <c r="L408" s="15">
        <v>5.9920000000000009</v>
      </c>
      <c r="M408" s="15">
        <v>18.989999999999998</v>
      </c>
      <c r="N408" s="15">
        <v>5.9994999999999958</v>
      </c>
      <c r="O408" s="15">
        <f>V408-M408</f>
        <v>0.95000000000000284</v>
      </c>
      <c r="P408" s="16">
        <f>N408/L408</f>
        <v>1.0012516688918549</v>
      </c>
      <c r="Q408" s="14">
        <v>143809</v>
      </c>
      <c r="R408" s="14"/>
      <c r="S408" s="17">
        <v>9.9207900000000002E-2</v>
      </c>
      <c r="T408" s="15">
        <v>18.989999999999998</v>
      </c>
      <c r="U408" s="15">
        <v>19.93</v>
      </c>
      <c r="V408" s="15">
        <v>19.940000000000001</v>
      </c>
      <c r="W408" s="14" t="s">
        <v>240</v>
      </c>
      <c r="X408" s="14">
        <v>3</v>
      </c>
      <c r="Y408" s="10">
        <f>AC408-AB408</f>
        <v>31</v>
      </c>
      <c r="Z408" s="18">
        <v>6</v>
      </c>
      <c r="AA408" s="18">
        <v>31</v>
      </c>
      <c r="AB408" s="18">
        <v>1</v>
      </c>
      <c r="AC408" s="18">
        <v>32</v>
      </c>
      <c r="AF408" s="4">
        <v>2.85</v>
      </c>
      <c r="AG408" s="4">
        <v>4.1500000000000004</v>
      </c>
    </row>
    <row r="409" spans="1:33" ht="47.25" hidden="1" customHeight="1" x14ac:dyDescent="0.25">
      <c r="A409" s="10" t="s">
        <v>6380</v>
      </c>
      <c r="B409" s="11" t="s">
        <v>33</v>
      </c>
      <c r="C409" s="12" t="s">
        <v>6381</v>
      </c>
      <c r="D409" s="27"/>
      <c r="E409" s="14" t="s">
        <v>35</v>
      </c>
      <c r="F409" s="11" t="str">
        <f>HYPERLINK("https://redirect.sdcdeals.com/redirect?destination=https%3A%2F%2Fwww.amazon.com%2Fdp%2FB0CLPM11GF%3Fth%3D1%26psc%3D1%26tag%3Dsdcdeals03-20", "Amazon Link")</f>
        <v>Amazon Link</v>
      </c>
      <c r="G409" s="11" t="s">
        <v>36</v>
      </c>
      <c r="H409" s="14" t="s">
        <v>6382</v>
      </c>
      <c r="I409" s="11" t="str">
        <f>HYPERLINK("https://redirect.sdcdeals.com/redirect?code=763034&amp;mavely=https://mavely.app.link/e/bhESV2wGrGb&amp;destination=https%3A%2F%2Fwww.kohls.com%2Fsearch.jsp%3Fsubmit-search%3Dweb-regular%26search%3D19951467", "Retail Link")</f>
        <v>Retail Link</v>
      </c>
      <c r="J409" s="14" t="s">
        <v>6383</v>
      </c>
      <c r="K409" s="13" t="s">
        <v>6384</v>
      </c>
      <c r="L409" s="15">
        <v>16.792000000000002</v>
      </c>
      <c r="M409" s="15">
        <v>48.12</v>
      </c>
      <c r="N409" s="15">
        <v>16.789999999999988</v>
      </c>
      <c r="O409" s="15">
        <f>V409-M409</f>
        <v>-48.12</v>
      </c>
      <c r="P409" s="16">
        <f>N409/L409</f>
        <v>0.99988089566460137</v>
      </c>
      <c r="Q409" s="14"/>
      <c r="R409" s="14"/>
      <c r="S409" s="17">
        <v>1.7416498</v>
      </c>
      <c r="T409" s="15">
        <v>48.12</v>
      </c>
      <c r="U409" s="15"/>
      <c r="V409" s="15"/>
      <c r="W409" s="14" t="s">
        <v>964</v>
      </c>
      <c r="X409" s="14">
        <v>1</v>
      </c>
      <c r="Y409" s="10">
        <f>AC409-AB409</f>
        <v>0</v>
      </c>
      <c r="Z409" s="18">
        <v>-1</v>
      </c>
      <c r="AA409" s="18">
        <v>-1</v>
      </c>
      <c r="AB409" s="18"/>
      <c r="AC409" s="18"/>
      <c r="AD409" s="1" t="s">
        <v>5939</v>
      </c>
      <c r="AE409" s="1" t="s">
        <v>6385</v>
      </c>
      <c r="AG409" s="4">
        <v>7.32</v>
      </c>
    </row>
    <row r="410" spans="1:33" ht="47.25" customHeight="1" x14ac:dyDescent="0.25">
      <c r="A410" s="10" t="s">
        <v>3278</v>
      </c>
      <c r="B410" s="11" t="s">
        <v>33</v>
      </c>
      <c r="C410" s="12" t="s">
        <v>3279</v>
      </c>
      <c r="D410" s="27"/>
      <c r="E410" s="14" t="s">
        <v>35</v>
      </c>
      <c r="F410" s="11" t="str">
        <f>HYPERLINK("https://redirect.sdcdeals.com/redirect?destination=https%3A%2F%2Fwww.amazon.com%2Fdp%2FB0BPDZSSN5%3Fth%3D1%26psc%3D1%26tag%3Dsdcdeals03-20", "Amazon Link")</f>
        <v>Amazon Link</v>
      </c>
      <c r="G410" s="11" t="s">
        <v>36</v>
      </c>
      <c r="H410" s="14" t="s">
        <v>3280</v>
      </c>
      <c r="I410" s="11" t="str">
        <f>HYPERLINK("https://redirect.sdcdeals.com/redirect?code=763034&amp;mavely=https://mavely.app.link/e/bhESV2wGrGb&amp;destination=https%3A%2F%2Fwww.kohls.com%2Fsearch.jsp%3Fsubmit-search%3Dweb-regular%26search%3D30479043", "Retail Link")</f>
        <v>Retail Link</v>
      </c>
      <c r="J410" s="14" t="s">
        <v>3281</v>
      </c>
      <c r="K410" s="13" t="s">
        <v>3282</v>
      </c>
      <c r="L410" s="15">
        <v>5.4960000000000004</v>
      </c>
      <c r="M410" s="15">
        <v>19.420000000000002</v>
      </c>
      <c r="N410" s="15">
        <v>5.4910000000000014</v>
      </c>
      <c r="O410" s="15">
        <f>V410-M410</f>
        <v>0</v>
      </c>
      <c r="P410" s="16">
        <f>N410/L410</f>
        <v>0.99909024745269304</v>
      </c>
      <c r="Q410" s="14">
        <v>57922</v>
      </c>
      <c r="R410" s="14"/>
      <c r="S410" s="17">
        <v>0.31305603999999998</v>
      </c>
      <c r="T410" s="15"/>
      <c r="U410" s="15"/>
      <c r="V410" s="15">
        <v>19.420000000000002</v>
      </c>
      <c r="W410" s="14" t="s">
        <v>88</v>
      </c>
      <c r="X410" s="14"/>
      <c r="Y410" s="10">
        <f>AC410-AB410</f>
        <v>121</v>
      </c>
      <c r="Z410" s="18">
        <v>0</v>
      </c>
      <c r="AA410" s="18">
        <v>6</v>
      </c>
      <c r="AB410" s="18">
        <v>0</v>
      </c>
      <c r="AC410" s="18">
        <v>121</v>
      </c>
      <c r="AD410" s="1" t="s">
        <v>3283</v>
      </c>
      <c r="AE410" s="1" t="s">
        <v>3284</v>
      </c>
      <c r="AG410" s="4">
        <v>5.52</v>
      </c>
    </row>
    <row r="411" spans="1:33" ht="47.25" customHeight="1" x14ac:dyDescent="0.25">
      <c r="A411" s="10" t="s">
        <v>2194</v>
      </c>
      <c r="B411" s="11" t="s">
        <v>33</v>
      </c>
      <c r="C411" s="12" t="s">
        <v>2195</v>
      </c>
      <c r="D411" s="27"/>
      <c r="E411" s="14" t="s">
        <v>35</v>
      </c>
      <c r="F411" s="11" t="str">
        <f>HYPERLINK("https://redirect.sdcdeals.com/redirect?destination=https%3A%2F%2Fwww.amazon.com%2Fdp%2FB08FV48HS6%3Fth%3D1%26psc%3D1%26tag%3Dsdcdeals03-20", "Amazon Link")</f>
        <v>Amazon Link</v>
      </c>
      <c r="G411" s="11" t="s">
        <v>36</v>
      </c>
      <c r="H411" s="14" t="s">
        <v>2196</v>
      </c>
      <c r="I411" s="11" t="str">
        <f>HYPERLINK("https://redirect.sdcdeals.com/redirect?code=763034&amp;mavely=https://mavely.app.link/e/bhESV2wGrGb&amp;destination=https%3A%2F%2Fwww.kohls.com%2Fsearch.jsp%3Fsubmit-search%3Dweb-regular%26search%3D77408858", "Retail Link")</f>
        <v>Retail Link</v>
      </c>
      <c r="J411" s="14" t="s">
        <v>2173</v>
      </c>
      <c r="K411" s="13" t="s">
        <v>2197</v>
      </c>
      <c r="L411" s="15">
        <v>15.4</v>
      </c>
      <c r="M411" s="15">
        <v>42.94</v>
      </c>
      <c r="N411" s="15">
        <v>15.278999999999989</v>
      </c>
      <c r="O411" s="15">
        <f>V411-M411</f>
        <v>3.7000000000000028</v>
      </c>
      <c r="P411" s="16">
        <f>N411/L411</f>
        <v>0.99214285714285644</v>
      </c>
      <c r="Q411" s="14">
        <v>16913</v>
      </c>
      <c r="R411" s="14"/>
      <c r="S411" s="17">
        <v>0.57099657999999998</v>
      </c>
      <c r="T411" s="15">
        <v>42.9</v>
      </c>
      <c r="U411" s="15">
        <v>45.55</v>
      </c>
      <c r="V411" s="15">
        <v>46.64</v>
      </c>
      <c r="W411" s="14" t="s">
        <v>2198</v>
      </c>
      <c r="X411" s="14">
        <v>3</v>
      </c>
      <c r="Y411" s="10">
        <f>AC411-AB411</f>
        <v>1218</v>
      </c>
      <c r="Z411" s="18">
        <v>41</v>
      </c>
      <c r="AA411" s="18">
        <v>93</v>
      </c>
      <c r="AB411" s="18">
        <v>7</v>
      </c>
      <c r="AC411" s="18">
        <v>1225</v>
      </c>
      <c r="AD411" s="1" t="s">
        <v>2175</v>
      </c>
      <c r="AE411" s="1" t="s">
        <v>1705</v>
      </c>
      <c r="AF411" s="4">
        <v>7.3</v>
      </c>
      <c r="AG411" s="4">
        <v>5.82</v>
      </c>
    </row>
    <row r="412" spans="1:33" ht="47.25" customHeight="1" x14ac:dyDescent="0.25">
      <c r="A412" s="10" t="s">
        <v>6086</v>
      </c>
      <c r="B412" s="11" t="s">
        <v>33</v>
      </c>
      <c r="C412" s="12" t="s">
        <v>6087</v>
      </c>
      <c r="D412" s="27"/>
      <c r="E412" s="14" t="s">
        <v>35</v>
      </c>
      <c r="F412" s="11" t="str">
        <f>HYPERLINK("https://redirect.sdcdeals.com/redirect?destination=https%3A%2F%2Fwww.amazon.com%2Fdp%2FB0BFT5892K%3Fth%3D1%26psc%3D1%26tag%3Dsdcdeals03-20", "Amazon Link")</f>
        <v>Amazon Link</v>
      </c>
      <c r="G412" s="11" t="s">
        <v>36</v>
      </c>
      <c r="H412" s="14" t="s">
        <v>6088</v>
      </c>
      <c r="I412" s="11" t="str">
        <f>HYPERLINK("https://redirect.sdcdeals.com/redirect?code=763034&amp;mavely=https://mavely.app.link/e/bhESV2wGrGb&amp;destination=https%3A%2F%2Fwww.kohls.com%2Fsearch.jsp%3Fsubmit-search%3Dweb-regular%26search%3D80018202", "Retail Link")</f>
        <v>Retail Link</v>
      </c>
      <c r="J412" s="14" t="s">
        <v>6065</v>
      </c>
      <c r="K412" s="13" t="s">
        <v>6089</v>
      </c>
      <c r="L412" s="15">
        <v>54</v>
      </c>
      <c r="M412" s="15">
        <v>142.69999999999999</v>
      </c>
      <c r="N412" s="15">
        <v>53.505000000000003</v>
      </c>
      <c r="O412" s="15">
        <f>V412-M412</f>
        <v>0</v>
      </c>
      <c r="P412" s="16">
        <f>N412/L412</f>
        <v>0.99083333333333334</v>
      </c>
      <c r="Q412" s="14">
        <v>2558383</v>
      </c>
      <c r="R412" s="14"/>
      <c r="S412" s="17">
        <v>2.5000390800000001</v>
      </c>
      <c r="T412" s="15"/>
      <c r="U412" s="15"/>
      <c r="V412" s="15">
        <v>142.69999999999999</v>
      </c>
      <c r="W412" s="14" t="s">
        <v>654</v>
      </c>
      <c r="X412" s="14"/>
      <c r="Y412" s="10">
        <f>AC412-AB412</f>
        <v>1</v>
      </c>
      <c r="Z412" s="18">
        <v>1</v>
      </c>
      <c r="AA412" s="18">
        <v>1</v>
      </c>
      <c r="AB412" s="18">
        <v>0</v>
      </c>
      <c r="AC412" s="18">
        <v>1</v>
      </c>
      <c r="AD412" s="1" t="s">
        <v>6067</v>
      </c>
      <c r="AE412" s="1" t="s">
        <v>76</v>
      </c>
      <c r="AG412" s="4">
        <v>13.79</v>
      </c>
    </row>
    <row r="413" spans="1:33" ht="47.25" customHeight="1" x14ac:dyDescent="0.25">
      <c r="A413" s="10" t="s">
        <v>4357</v>
      </c>
      <c r="B413" s="11" t="s">
        <v>33</v>
      </c>
      <c r="C413" s="12" t="s">
        <v>4358</v>
      </c>
      <c r="D413" s="27"/>
      <c r="E413" s="14" t="s">
        <v>35</v>
      </c>
      <c r="F413" s="11" t="str">
        <f>HYPERLINK("https://redirect.sdcdeals.com/redirect?destination=https%3A%2F%2Fwww.amazon.com%2Fdp%2FB0B1JSMHX8%3Fth%3D1%26psc%3D1%26tag%3Dsdcdeals03-20", "Amazon Link")</f>
        <v>Amazon Link</v>
      </c>
      <c r="G413" s="11" t="s">
        <v>36</v>
      </c>
      <c r="H413" s="14" t="s">
        <v>4359</v>
      </c>
      <c r="I413" s="11" t="str">
        <f>HYPERLINK("https://redirect.sdcdeals.com/redirect?code=763034&amp;mavely=https://mavely.app.link/e/bhESV2wGrGb&amp;destination=https%3A%2F%2Fwww.kohls.com%2Fsearch.jsp%3Fsubmit-search%3Dweb-regular%26search%3D39483048", "Retail Link")</f>
        <v>Retail Link</v>
      </c>
      <c r="J413" s="14" t="s">
        <v>4347</v>
      </c>
      <c r="K413" s="13" t="s">
        <v>4360</v>
      </c>
      <c r="L413" s="15">
        <v>20.847999999999999</v>
      </c>
      <c r="M413" s="15">
        <v>56.68</v>
      </c>
      <c r="N413" s="15">
        <v>20.52</v>
      </c>
      <c r="O413" s="15">
        <f>V413-M413</f>
        <v>-1.4799999999999969</v>
      </c>
      <c r="P413" s="16">
        <f>N413/L413</f>
        <v>0.98426707597851115</v>
      </c>
      <c r="Q413" s="14">
        <v>798</v>
      </c>
      <c r="R413" s="14"/>
      <c r="S413" s="17">
        <v>1.1949040399999999</v>
      </c>
      <c r="T413" s="15">
        <v>56.68</v>
      </c>
      <c r="U413" s="15">
        <v>57.86</v>
      </c>
      <c r="V413" s="15">
        <v>55.2</v>
      </c>
      <c r="W413" s="14" t="s">
        <v>1143</v>
      </c>
      <c r="X413" s="14">
        <v>1</v>
      </c>
      <c r="Y413" s="10">
        <f>AC413-AB413</f>
        <v>47596</v>
      </c>
      <c r="Z413" s="18">
        <v>39</v>
      </c>
      <c r="AA413" s="18">
        <v>111</v>
      </c>
      <c r="AB413" s="18">
        <v>0</v>
      </c>
      <c r="AC413" s="18">
        <v>47596</v>
      </c>
      <c r="AD413" s="1" t="s">
        <v>4349</v>
      </c>
      <c r="AE413" s="1" t="s">
        <v>4350</v>
      </c>
      <c r="AF413" s="4">
        <v>9.64</v>
      </c>
      <c r="AG413" s="4">
        <v>6.81</v>
      </c>
    </row>
    <row r="414" spans="1:33" ht="47.25" customHeight="1" x14ac:dyDescent="0.25">
      <c r="A414" s="10" t="s">
        <v>7166</v>
      </c>
      <c r="B414" s="11" t="s">
        <v>33</v>
      </c>
      <c r="C414" s="12" t="s">
        <v>7167</v>
      </c>
      <c r="D414" s="27"/>
      <c r="E414" s="14" t="s">
        <v>35</v>
      </c>
      <c r="F414" s="11" t="str">
        <f>HYPERLINK("https://redirect.sdcdeals.com/redirect?destination=https%3A%2F%2Fwww.amazon.com%2Fdp%2FB08ZB2KGHL%3Fth%3D1%26psc%3D1%26tag%3Dsdcdeals03-20", "Amazon Link")</f>
        <v>Amazon Link</v>
      </c>
      <c r="G414" s="11" t="s">
        <v>36</v>
      </c>
      <c r="H414" s="14" t="s">
        <v>7168</v>
      </c>
      <c r="I414" s="11" t="str">
        <f>HYPERLINK("https://redirect.sdcdeals.com/redirect?code=763034&amp;mavely=https://mavely.app.link/e/bhESV2wGrGb&amp;destination=https%3A%2F%2Fwww.kohls.com%2Fsearch.jsp%3Fsubmit-search%3Dweb-regular%26search%3D49703745", "Retail Link")</f>
        <v>Retail Link</v>
      </c>
      <c r="J414" s="14" t="s">
        <v>7158</v>
      </c>
      <c r="K414" s="13" t="s">
        <v>7169</v>
      </c>
      <c r="L414" s="15">
        <v>11.52</v>
      </c>
      <c r="M414" s="15">
        <v>33.99</v>
      </c>
      <c r="N414" s="15">
        <v>11.3215</v>
      </c>
      <c r="O414" s="15">
        <f>V414-M414</f>
        <v>1.3099999999999952</v>
      </c>
      <c r="P414" s="16">
        <f>N414/L414</f>
        <v>0.98276909722222228</v>
      </c>
      <c r="Q414" s="14">
        <v>24851</v>
      </c>
      <c r="R414" s="14"/>
      <c r="S414" s="17">
        <v>1.25883802</v>
      </c>
      <c r="T414" s="15">
        <v>33.99</v>
      </c>
      <c r="U414" s="15">
        <v>33.89</v>
      </c>
      <c r="V414" s="15">
        <v>35.299999999999997</v>
      </c>
      <c r="W414" s="14" t="s">
        <v>296</v>
      </c>
      <c r="X414" s="14">
        <v>1</v>
      </c>
      <c r="Y414" s="10">
        <f>AC414-AB414</f>
        <v>2296</v>
      </c>
      <c r="Z414" s="18">
        <v>26</v>
      </c>
      <c r="AA414" s="18">
        <v>96</v>
      </c>
      <c r="AB414" s="18">
        <v>3</v>
      </c>
      <c r="AC414" s="18">
        <v>2299</v>
      </c>
      <c r="AD414" s="1" t="s">
        <v>7160</v>
      </c>
      <c r="AE414" s="1" t="s">
        <v>7170</v>
      </c>
      <c r="AF414" s="4">
        <v>5.78</v>
      </c>
      <c r="AG414" s="4">
        <v>6.05</v>
      </c>
    </row>
    <row r="415" spans="1:33" ht="47.25" customHeight="1" x14ac:dyDescent="0.25">
      <c r="A415" s="10" t="s">
        <v>1875</v>
      </c>
      <c r="B415" s="11" t="s">
        <v>33</v>
      </c>
      <c r="C415" s="12" t="s">
        <v>1876</v>
      </c>
      <c r="D415" s="27"/>
      <c r="E415" s="14" t="s">
        <v>35</v>
      </c>
      <c r="F415" s="11" t="str">
        <f>HYPERLINK("https://redirect.sdcdeals.com/redirect?destination=https%3A%2F%2Fwww.amazon.com%2Fdp%2FB0BGW1GQXS%3Fth%3D1%26psc%3D1%26tag%3Dsdcdeals03-20", "Amazon Link")</f>
        <v>Amazon Link</v>
      </c>
      <c r="G415" s="11" t="s">
        <v>36</v>
      </c>
      <c r="H415" s="14" t="s">
        <v>1877</v>
      </c>
      <c r="I415" s="11" t="str">
        <f>HYPERLINK("https://redirect.sdcdeals.com/redirect?code=763034&amp;mavely=https://mavely.app.link/e/bhESV2wGrGb&amp;destination=https%3A%2F%2Fwww.kohls.com%2Fsearch.jsp%3Fsubmit-search%3Dweb-regular%26search%3D63445469", "Retail Link")</f>
        <v>Retail Link</v>
      </c>
      <c r="J415" s="14" t="s">
        <v>1856</v>
      </c>
      <c r="K415" s="13" t="s">
        <v>1878</v>
      </c>
      <c r="L415" s="15">
        <v>14.295999999999999</v>
      </c>
      <c r="M415" s="15">
        <v>41.12</v>
      </c>
      <c r="N415" s="15">
        <v>13.986000000000001</v>
      </c>
      <c r="O415" s="15">
        <f>V415-M415</f>
        <v>0.85000000000000142</v>
      </c>
      <c r="P415" s="16">
        <f>N415/L415</f>
        <v>0.97831561275881374</v>
      </c>
      <c r="Q415" s="14">
        <v>57946</v>
      </c>
      <c r="R415" s="14"/>
      <c r="S415" s="17">
        <v>0.94798660000000001</v>
      </c>
      <c r="T415" s="15">
        <v>41.12</v>
      </c>
      <c r="U415" s="15">
        <v>40.880000000000003</v>
      </c>
      <c r="V415" s="15">
        <v>41.97</v>
      </c>
      <c r="W415" s="14" t="s">
        <v>1879</v>
      </c>
      <c r="X415" s="14">
        <v>11</v>
      </c>
      <c r="Y415" s="10">
        <f>AC415-AB415</f>
        <v>369</v>
      </c>
      <c r="Z415" s="18">
        <v>55</v>
      </c>
      <c r="AA415" s="18">
        <v>171</v>
      </c>
      <c r="AB415" s="18">
        <v>11</v>
      </c>
      <c r="AC415" s="18">
        <v>380</v>
      </c>
      <c r="AD415" s="1" t="s">
        <v>1858</v>
      </c>
      <c r="AE415" s="1" t="s">
        <v>1865</v>
      </c>
      <c r="AF415" s="4">
        <v>6.99</v>
      </c>
      <c r="AG415" s="4">
        <v>6.67</v>
      </c>
    </row>
    <row r="416" spans="1:33" ht="47.25" hidden="1" customHeight="1" x14ac:dyDescent="0.25">
      <c r="A416" s="10" t="s">
        <v>6129</v>
      </c>
      <c r="B416" s="11" t="s">
        <v>33</v>
      </c>
      <c r="C416" s="12" t="s">
        <v>6130</v>
      </c>
      <c r="D416" s="27"/>
      <c r="E416" s="14" t="s">
        <v>35</v>
      </c>
      <c r="F416" s="11" t="str">
        <f>HYPERLINK("https://redirect.sdcdeals.com/redirect?destination=https%3A%2F%2Fwww.amazon.com%2Fdp%2FB0CYQPHFBM%3Fth%3D1%26psc%3D1%26tag%3Dsdcdeals03-20", "Amazon Link")</f>
        <v>Amazon Link</v>
      </c>
      <c r="G416" s="11" t="s">
        <v>36</v>
      </c>
      <c r="H416" s="14" t="s">
        <v>6131</v>
      </c>
      <c r="I416" s="11" t="str">
        <f>HYPERLINK("https://redirect.sdcdeals.com/redirect?code=763034&amp;mavely=https://mavely.app.link/e/bhESV2wGrGb&amp;destination=https%3A%2F%2Fwww.kohls.com%2Fsearch.jsp%3Fsubmit-search%3Dweb-regular%26search%3D64965050", "Retail Link")</f>
        <v>Retail Link</v>
      </c>
      <c r="J416" s="14" t="s">
        <v>6121</v>
      </c>
      <c r="K416" s="13" t="s">
        <v>6122</v>
      </c>
      <c r="L416" s="15">
        <v>18.2</v>
      </c>
      <c r="M416" s="15">
        <v>52</v>
      </c>
      <c r="N416" s="15">
        <v>17.8</v>
      </c>
      <c r="O416" s="15">
        <f>V416-M416</f>
        <v>5.6400000000000006</v>
      </c>
      <c r="P416" s="16">
        <f>N416/L416</f>
        <v>0.9780219780219781</v>
      </c>
      <c r="Q416" s="14"/>
      <c r="R416" s="14"/>
      <c r="S416" s="17">
        <v>2.46035592</v>
      </c>
      <c r="T416" s="15">
        <v>52</v>
      </c>
      <c r="U416" s="15">
        <v>57.64</v>
      </c>
      <c r="V416" s="15">
        <v>57.64</v>
      </c>
      <c r="W416" s="14" t="s">
        <v>113</v>
      </c>
      <c r="X416" s="14">
        <v>1</v>
      </c>
      <c r="Y416" s="10">
        <f>AC416-AB416</f>
        <v>0</v>
      </c>
      <c r="Z416" s="18">
        <v>-1</v>
      </c>
      <c r="AA416" s="18">
        <v>-1</v>
      </c>
      <c r="AB416" s="18"/>
      <c r="AC416" s="18"/>
      <c r="AE416" s="1" t="s">
        <v>6124</v>
      </c>
      <c r="AF416" s="4">
        <v>8.84</v>
      </c>
      <c r="AG416" s="4">
        <v>8.1999999999999993</v>
      </c>
    </row>
    <row r="417" spans="1:33" ht="47.25" hidden="1" customHeight="1" x14ac:dyDescent="0.25">
      <c r="A417" s="10" t="s">
        <v>6132</v>
      </c>
      <c r="B417" s="11" t="s">
        <v>33</v>
      </c>
      <c r="C417" s="12" t="s">
        <v>6133</v>
      </c>
      <c r="D417" s="27"/>
      <c r="E417" s="14" t="s">
        <v>35</v>
      </c>
      <c r="F417" s="11" t="str">
        <f>HYPERLINK("https://redirect.sdcdeals.com/redirect?destination=https%3A%2F%2Fwww.amazon.com%2Fdp%2FB0CYQKMKDH%3Fth%3D1%26psc%3D1%26tag%3Dsdcdeals03-20", "Amazon Link")</f>
        <v>Amazon Link</v>
      </c>
      <c r="G417" s="11" t="s">
        <v>36</v>
      </c>
      <c r="H417" s="14" t="s">
        <v>6134</v>
      </c>
      <c r="I417" s="11" t="str">
        <f>HYPERLINK("https://redirect.sdcdeals.com/redirect?code=763034&amp;mavely=https://mavely.app.link/e/bhESV2wGrGb&amp;destination=https%3A%2F%2Fwww.kohls.com%2Fsearch.jsp%3Fsubmit-search%3Dweb-regular%26search%3D64965051", "Retail Link")</f>
        <v>Retail Link</v>
      </c>
      <c r="J417" s="14" t="s">
        <v>6121</v>
      </c>
      <c r="K417" s="13" t="s">
        <v>6122</v>
      </c>
      <c r="L417" s="15">
        <v>18.2</v>
      </c>
      <c r="M417" s="15">
        <v>52</v>
      </c>
      <c r="N417" s="15">
        <v>17.8</v>
      </c>
      <c r="O417" s="15">
        <f>V417-M417</f>
        <v>5.8699999999999974</v>
      </c>
      <c r="P417" s="16">
        <f>N417/L417</f>
        <v>0.9780219780219781</v>
      </c>
      <c r="Q417" s="14"/>
      <c r="R417" s="14"/>
      <c r="S417" s="17">
        <v>2.46035592</v>
      </c>
      <c r="T417" s="15">
        <v>52</v>
      </c>
      <c r="U417" s="15">
        <v>57.87</v>
      </c>
      <c r="V417" s="15">
        <v>57.87</v>
      </c>
      <c r="W417" s="14" t="s">
        <v>613</v>
      </c>
      <c r="X417" s="14">
        <v>1</v>
      </c>
      <c r="Y417" s="10">
        <f>AC417-AB417</f>
        <v>0</v>
      </c>
      <c r="Z417" s="18">
        <v>-1</v>
      </c>
      <c r="AA417" s="18">
        <v>-1</v>
      </c>
      <c r="AB417" s="18"/>
      <c r="AC417" s="18"/>
      <c r="AE417" s="1" t="s">
        <v>6124</v>
      </c>
      <c r="AF417" s="4">
        <v>8.84</v>
      </c>
      <c r="AG417" s="4">
        <v>8.1999999999999993</v>
      </c>
    </row>
    <row r="418" spans="1:33" ht="47.25" customHeight="1" x14ac:dyDescent="0.25">
      <c r="A418" s="10" t="s">
        <v>2158</v>
      </c>
      <c r="B418" s="11" t="s">
        <v>33</v>
      </c>
      <c r="C418" s="12" t="s">
        <v>2159</v>
      </c>
      <c r="D418" s="27"/>
      <c r="E418" s="14" t="s">
        <v>35</v>
      </c>
      <c r="F418" s="11" t="str">
        <f>HYPERLINK("https://redirect.sdcdeals.com/redirect?destination=https%3A%2F%2Fwww.amazon.com%2Fdp%2FB0BGVZSNVX%3Fth%3D1%26psc%3D1%26tag%3Dsdcdeals03-20", "Amazon Link")</f>
        <v>Amazon Link</v>
      </c>
      <c r="G418" s="11" t="s">
        <v>36</v>
      </c>
      <c r="H418" s="14" t="s">
        <v>2160</v>
      </c>
      <c r="I418" s="11" t="str">
        <f>HYPERLINK("https://redirect.sdcdeals.com/redirect?code=763034&amp;mavely=https://mavely.app.link/e/bhESV2wGrGb&amp;destination=https%3A%2F%2Fwww.kohls.com%2Fsearch.jsp%3Fsubmit-search%3Dweb-regular%26search%3D58732108", "Retail Link")</f>
        <v>Retail Link</v>
      </c>
      <c r="J418" s="14" t="s">
        <v>2131</v>
      </c>
      <c r="K418" s="13" t="s">
        <v>2161</v>
      </c>
      <c r="L418" s="15">
        <v>16.8</v>
      </c>
      <c r="M418" s="15">
        <v>47.79</v>
      </c>
      <c r="N418" s="15">
        <v>16.421500000000002</v>
      </c>
      <c r="O418" s="15">
        <f>V418-M418</f>
        <v>8.8100000000000023</v>
      </c>
      <c r="P418" s="16">
        <f>N418/L418</f>
        <v>0.97747023809523814</v>
      </c>
      <c r="Q418" s="14">
        <v>59807</v>
      </c>
      <c r="R418" s="14"/>
      <c r="S418" s="17">
        <v>0.91491730000000004</v>
      </c>
      <c r="T418" s="15">
        <v>38.450000000000003</v>
      </c>
      <c r="U418" s="15">
        <v>56.85</v>
      </c>
      <c r="V418" s="15">
        <v>56.6</v>
      </c>
      <c r="W418" s="14" t="s">
        <v>450</v>
      </c>
      <c r="X418" s="14">
        <v>7</v>
      </c>
      <c r="Y418" s="10">
        <f>AC418-AB418</f>
        <v>46</v>
      </c>
      <c r="Z418" s="18">
        <v>18</v>
      </c>
      <c r="AA418" s="18">
        <v>59</v>
      </c>
      <c r="AB418" s="18">
        <v>3</v>
      </c>
      <c r="AC418" s="18">
        <v>49</v>
      </c>
      <c r="AD418" s="1" t="s">
        <v>2133</v>
      </c>
      <c r="AE418" s="1" t="s">
        <v>2144</v>
      </c>
      <c r="AF418" s="4">
        <v>8.1199999999999992</v>
      </c>
      <c r="AG418" s="4">
        <v>7.4</v>
      </c>
    </row>
    <row r="419" spans="1:33" ht="47.25" customHeight="1" x14ac:dyDescent="0.25">
      <c r="A419" s="10" t="s">
        <v>5217</v>
      </c>
      <c r="B419" s="11" t="s">
        <v>33</v>
      </c>
      <c r="C419" s="12" t="s">
        <v>5218</v>
      </c>
      <c r="D419" s="27"/>
      <c r="E419" s="14" t="s">
        <v>35</v>
      </c>
      <c r="F419" s="11" t="str">
        <f>HYPERLINK("https://redirect.sdcdeals.com/redirect?destination=https%3A%2F%2Fwww.amazon.com%2Fdp%2FB093S12MHH%3Fth%3D1%26psc%3D1%26tag%3Dsdcdeals03-20", "Amazon Link")</f>
        <v>Amazon Link</v>
      </c>
      <c r="G419" s="11" t="s">
        <v>36</v>
      </c>
      <c r="H419" s="14" t="s">
        <v>5219</v>
      </c>
      <c r="I419" s="11" t="str">
        <f>HYPERLINK("https://redirect.sdcdeals.com/redirect?code=763034&amp;mavely=https://mavely.app.link/e/bhESV2wGrGb&amp;destination=https%3A%2F%2Fwww.kohls.com%2Fsearch.jsp%3Fsubmit-search%3Dweb-regular%26search%3D37910681", "Retail Link")</f>
        <v>Retail Link</v>
      </c>
      <c r="J419" s="14" t="s">
        <v>5206</v>
      </c>
      <c r="K419" s="13" t="s">
        <v>5220</v>
      </c>
      <c r="L419" s="15">
        <v>8.4</v>
      </c>
      <c r="M419" s="15">
        <v>26.48</v>
      </c>
      <c r="N419" s="15">
        <v>8.2079999999999966</v>
      </c>
      <c r="O419" s="15">
        <f>V419-M419</f>
        <v>-1.3399999999999999</v>
      </c>
      <c r="P419" s="16">
        <f>N419/L419</f>
        <v>0.97714285714285665</v>
      </c>
      <c r="Q419" s="14">
        <v>104530</v>
      </c>
      <c r="R419" s="14"/>
      <c r="S419" s="17">
        <v>0.18077884</v>
      </c>
      <c r="T419" s="15">
        <v>18.53</v>
      </c>
      <c r="U419" s="15">
        <v>32.590000000000003</v>
      </c>
      <c r="V419" s="15">
        <v>25.14</v>
      </c>
      <c r="W419" s="14" t="s">
        <v>2879</v>
      </c>
      <c r="X419" s="14">
        <v>3</v>
      </c>
      <c r="Y419" s="10">
        <f>AC419-AB419</f>
        <v>118</v>
      </c>
      <c r="Z419" s="18">
        <v>30</v>
      </c>
      <c r="AA419" s="18">
        <v>76</v>
      </c>
      <c r="AB419" s="18">
        <v>0</v>
      </c>
      <c r="AC419" s="18">
        <v>118</v>
      </c>
      <c r="AD419" s="1" t="s">
        <v>5208</v>
      </c>
      <c r="AE419" s="1" t="s">
        <v>273</v>
      </c>
      <c r="AF419" s="4">
        <v>4.5</v>
      </c>
      <c r="AG419" s="4">
        <v>5.9</v>
      </c>
    </row>
    <row r="420" spans="1:33" ht="47.25" customHeight="1" x14ac:dyDescent="0.25">
      <c r="A420" s="10" t="s">
        <v>4989</v>
      </c>
      <c r="B420" s="11" t="s">
        <v>33</v>
      </c>
      <c r="C420" s="12" t="s">
        <v>4990</v>
      </c>
      <c r="D420" s="27"/>
      <c r="E420" s="14" t="s">
        <v>35</v>
      </c>
      <c r="F420" s="11" t="str">
        <f>HYPERLINK("https://redirect.sdcdeals.com/redirect?destination=https%3A%2F%2Fwww.amazon.com%2Fdp%2FB0B1JPXPRM%3Fth%3D1%26psc%3D1%26tag%3Dsdcdeals03-20", "Amazon Link")</f>
        <v>Amazon Link</v>
      </c>
      <c r="G420" s="11" t="s">
        <v>36</v>
      </c>
      <c r="H420" s="14" t="s">
        <v>4991</v>
      </c>
      <c r="I420" s="11" t="str">
        <f>HYPERLINK("https://redirect.sdcdeals.com/redirect?code=763034&amp;mavely=https://mavely.app.link/e/bhESV2wGrGb&amp;destination=https%3A%2F%2Fwww.kohls.com%2Fsearch.jsp%3Fsubmit-search%3Dweb-regular%26search%3D76965220", "Retail Link")</f>
        <v>Retail Link</v>
      </c>
      <c r="J420" s="14" t="s">
        <v>4992</v>
      </c>
      <c r="K420" s="13" t="s">
        <v>4993</v>
      </c>
      <c r="L420" s="15">
        <v>20.847999999999999</v>
      </c>
      <c r="M420" s="15">
        <v>56.39</v>
      </c>
      <c r="N420" s="15">
        <v>20.273499999999999</v>
      </c>
      <c r="O420" s="15">
        <f>V420-M420</f>
        <v>-7.32</v>
      </c>
      <c r="P420" s="16">
        <f>N420/L420</f>
        <v>0.97244339984650807</v>
      </c>
      <c r="Q420" s="14">
        <v>135514</v>
      </c>
      <c r="R420" s="14"/>
      <c r="S420" s="17">
        <v>1.07585456</v>
      </c>
      <c r="T420" s="15">
        <v>56.39</v>
      </c>
      <c r="U420" s="15">
        <v>51.42</v>
      </c>
      <c r="V420" s="15">
        <v>49.07</v>
      </c>
      <c r="W420" s="14" t="s">
        <v>301</v>
      </c>
      <c r="X420" s="14">
        <v>1</v>
      </c>
      <c r="Y420" s="10">
        <f>AC420-AB420</f>
        <v>74</v>
      </c>
      <c r="Z420" s="18">
        <v>15</v>
      </c>
      <c r="AA420" s="18">
        <v>55</v>
      </c>
      <c r="AB420" s="18">
        <v>0</v>
      </c>
      <c r="AC420" s="18">
        <v>74</v>
      </c>
      <c r="AD420" s="1" t="s">
        <v>4994</v>
      </c>
      <c r="AE420" s="1" t="s">
        <v>4995</v>
      </c>
      <c r="AF420" s="4">
        <v>9.59</v>
      </c>
      <c r="AG420" s="4">
        <v>6.81</v>
      </c>
    </row>
    <row r="421" spans="1:33" ht="47.25" customHeight="1" x14ac:dyDescent="0.25">
      <c r="A421" s="10" t="s">
        <v>4314</v>
      </c>
      <c r="B421" s="11" t="s">
        <v>33</v>
      </c>
      <c r="C421" s="12" t="s">
        <v>4315</v>
      </c>
      <c r="D421" s="27"/>
      <c r="E421" s="14" t="s">
        <v>35</v>
      </c>
      <c r="F421" s="11" t="str">
        <f>HYPERLINK("https://redirect.sdcdeals.com/redirect?destination=https%3A%2F%2Fwww.amazon.com%2Fdp%2FB0C8BKP666%3Fth%3D1%26psc%3D1%26tag%3Dsdcdeals03-20", "Amazon Link")</f>
        <v>Amazon Link</v>
      </c>
      <c r="G421" s="11" t="s">
        <v>36</v>
      </c>
      <c r="H421" s="14" t="s">
        <v>4316</v>
      </c>
      <c r="I421" s="11" t="str">
        <f>HYPERLINK("https://redirect.sdcdeals.com/redirect?code=763034&amp;mavely=https://mavely.app.link/e/bhESV2wGrGb&amp;destination=https%3A%2F%2Fwww.kohls.com%2Fsearch.jsp%3Fsubmit-search%3Dweb-regular%26search%3D28150532", "Retail Link")</f>
        <v>Retail Link</v>
      </c>
      <c r="J421" s="14" t="s">
        <v>4310</v>
      </c>
      <c r="K421" s="13" t="s">
        <v>4317</v>
      </c>
      <c r="L421" s="15">
        <v>6.9840000000000009</v>
      </c>
      <c r="M421" s="15">
        <v>21.6</v>
      </c>
      <c r="N421" s="15">
        <v>6.7659999999999991</v>
      </c>
      <c r="O421" s="15">
        <f>V421-M421</f>
        <v>0</v>
      </c>
      <c r="P421" s="16">
        <f>N421/L421</f>
        <v>0.96878579610538351</v>
      </c>
      <c r="Q421" s="14">
        <v>299819</v>
      </c>
      <c r="R421" s="14"/>
      <c r="S421" s="17">
        <v>0.25353130000000001</v>
      </c>
      <c r="T421" s="15"/>
      <c r="U421" s="15"/>
      <c r="V421" s="15">
        <v>21.6</v>
      </c>
      <c r="W421" s="14" t="s">
        <v>306</v>
      </c>
      <c r="X421" s="14">
        <v>1</v>
      </c>
      <c r="Y421" s="10">
        <f>AC421-AB421</f>
        <v>294</v>
      </c>
      <c r="Z421" s="18">
        <v>1</v>
      </c>
      <c r="AA421" s="18">
        <v>36</v>
      </c>
      <c r="AB421" s="18">
        <v>8</v>
      </c>
      <c r="AC421" s="18">
        <v>302</v>
      </c>
      <c r="AD421" s="1" t="s">
        <v>4312</v>
      </c>
      <c r="AE421" s="1" t="s">
        <v>4313</v>
      </c>
      <c r="AG421" s="4">
        <v>4.6100000000000003</v>
      </c>
    </row>
    <row r="422" spans="1:33" ht="47.25" customHeight="1" x14ac:dyDescent="0.25">
      <c r="A422" s="10" t="s">
        <v>4146</v>
      </c>
      <c r="B422" s="11" t="s">
        <v>33</v>
      </c>
      <c r="C422" s="12" t="s">
        <v>4147</v>
      </c>
      <c r="D422" s="27"/>
      <c r="E422" s="14" t="s">
        <v>35</v>
      </c>
      <c r="F422" s="11" t="str">
        <f>HYPERLINK("https://redirect.sdcdeals.com/redirect?destination=https%3A%2F%2Fwww.amazon.com%2Fdp%2FB0BKR6PFDH%3Fth%3D1%26psc%3D1%26tag%3Dsdcdeals03-20", "Amazon Link")</f>
        <v>Amazon Link</v>
      </c>
      <c r="G422" s="11" t="s">
        <v>36</v>
      </c>
      <c r="H422" s="14" t="s">
        <v>4148</v>
      </c>
      <c r="I422" s="11" t="str">
        <f>HYPERLINK("https://redirect.sdcdeals.com/redirect?code=763034&amp;mavely=https://mavely.app.link/e/bhESV2wGrGb&amp;destination=https%3A%2F%2Fwww.kohls.com%2Fsearch.jsp%3Fsubmit-search%3Dweb-regular%26search%3D71992599", "Retail Link")</f>
        <v>Retail Link</v>
      </c>
      <c r="J422" s="14" t="s">
        <v>4089</v>
      </c>
      <c r="K422" s="13" t="s">
        <v>4149</v>
      </c>
      <c r="L422" s="15">
        <v>39.6</v>
      </c>
      <c r="M422" s="15">
        <v>105.15</v>
      </c>
      <c r="N422" s="15">
        <v>38.267499999999991</v>
      </c>
      <c r="O422" s="15">
        <f>V422-M422</f>
        <v>-1.1900000000000119</v>
      </c>
      <c r="P422" s="16">
        <f>N422/L422</f>
        <v>0.96635101010100988</v>
      </c>
      <c r="Q422" s="14">
        <v>648044</v>
      </c>
      <c r="R422" s="14"/>
      <c r="S422" s="17">
        <v>1.0802638</v>
      </c>
      <c r="T422" s="15">
        <v>105.15</v>
      </c>
      <c r="U422" s="15">
        <v>103.96</v>
      </c>
      <c r="V422" s="15">
        <v>103.96</v>
      </c>
      <c r="W422" s="14" t="s">
        <v>598</v>
      </c>
      <c r="X422" s="14">
        <v>2</v>
      </c>
      <c r="Y422" s="10">
        <f>AC422-AB422</f>
        <v>0</v>
      </c>
      <c r="Z422" s="18">
        <v>12</v>
      </c>
      <c r="AA422" s="18">
        <v>44</v>
      </c>
      <c r="AB422" s="18">
        <v>0</v>
      </c>
      <c r="AC422" s="18"/>
      <c r="AD422" s="1" t="s">
        <v>4091</v>
      </c>
      <c r="AE422" s="1" t="s">
        <v>1406</v>
      </c>
      <c r="AF422" s="4">
        <v>17.88</v>
      </c>
      <c r="AG422" s="4">
        <v>11.51</v>
      </c>
    </row>
    <row r="423" spans="1:33" ht="47.25" customHeight="1" x14ac:dyDescent="0.25">
      <c r="A423" s="10" t="s">
        <v>498</v>
      </c>
      <c r="B423" s="11" t="s">
        <v>33</v>
      </c>
      <c r="C423" s="12" t="s">
        <v>499</v>
      </c>
      <c r="D423" s="27"/>
      <c r="E423" s="14" t="s">
        <v>35</v>
      </c>
      <c r="F423" s="11" t="str">
        <f>HYPERLINK("https://redirect.sdcdeals.com/redirect?destination=https%3A%2F%2Fwww.amazon.com%2Fdp%2FB0CL5F2THN%3Fth%3D1%26psc%3D1%26tag%3Dsdcdeals03-20", "Amazon Link")</f>
        <v>Amazon Link</v>
      </c>
      <c r="G423" s="11" t="s">
        <v>36</v>
      </c>
      <c r="H423" s="14" t="s">
        <v>500</v>
      </c>
      <c r="I423" s="11" t="str">
        <f>HYPERLINK("https://redirect.sdcdeals.com/redirect?code=763034&amp;mavely=https://mavely.app.link/e/bhESV2wGrGb&amp;destination=https%3A%2F%2Fwww.kohls.com%2Fsearch.jsp%3Fsubmit-search%3Dweb-regular%26search%3D68737402", "Retail Link")</f>
        <v>Retail Link</v>
      </c>
      <c r="J423" s="14" t="s">
        <v>490</v>
      </c>
      <c r="K423" s="13" t="s">
        <v>501</v>
      </c>
      <c r="L423" s="15">
        <v>6.4</v>
      </c>
      <c r="M423" s="15">
        <v>20.22</v>
      </c>
      <c r="N423" s="15">
        <v>6.1769999999999978</v>
      </c>
      <c r="O423" s="15">
        <f>V423-M423</f>
        <v>4.1700000000000017</v>
      </c>
      <c r="P423" s="16">
        <f>N423/L423</f>
        <v>0.9651562499999996</v>
      </c>
      <c r="Q423" s="14">
        <v>5352579</v>
      </c>
      <c r="R423" s="14"/>
      <c r="S423" s="17">
        <v>0.22928048000000001</v>
      </c>
      <c r="T423" s="15">
        <v>20</v>
      </c>
      <c r="U423" s="15">
        <v>21.9</v>
      </c>
      <c r="V423" s="15">
        <v>24.39</v>
      </c>
      <c r="W423" s="14" t="s">
        <v>199</v>
      </c>
      <c r="X423" s="14">
        <v>4</v>
      </c>
      <c r="Y423" s="10">
        <f>AC423-AB423</f>
        <v>0</v>
      </c>
      <c r="Z423" s="18">
        <v>1</v>
      </c>
      <c r="AA423" s="18">
        <v>4</v>
      </c>
      <c r="AB423" s="18">
        <v>0</v>
      </c>
      <c r="AC423" s="18"/>
      <c r="AE423" s="1" t="s">
        <v>492</v>
      </c>
      <c r="AF423" s="4">
        <v>3.44</v>
      </c>
      <c r="AG423" s="4">
        <v>4.6100000000000003</v>
      </c>
    </row>
    <row r="424" spans="1:33" ht="47.25" customHeight="1" x14ac:dyDescent="0.25">
      <c r="A424" s="10" t="s">
        <v>943</v>
      </c>
      <c r="B424" s="11" t="s">
        <v>33</v>
      </c>
      <c r="C424" s="12" t="s">
        <v>944</v>
      </c>
      <c r="D424" s="27"/>
      <c r="E424" s="14" t="s">
        <v>35</v>
      </c>
      <c r="F424" s="11" t="str">
        <f>HYPERLINK("https://redirect.sdcdeals.com/redirect?destination=https%3A%2F%2Fwww.amazon.com%2Fdp%2FB09QH7DZKZ%3Fth%3D1%26psc%3D1%26tag%3Dsdcdeals03-20", "Amazon Link")</f>
        <v>Amazon Link</v>
      </c>
      <c r="G424" s="11" t="s">
        <v>36</v>
      </c>
      <c r="H424" s="14" t="s">
        <v>945</v>
      </c>
      <c r="I424" s="11" t="str">
        <f>HYPERLINK("https://redirect.sdcdeals.com/redirect?code=763034&amp;mavely=https://mavely.app.link/e/bhESV2wGrGb&amp;destination=https%3A%2F%2Fwww.kohls.com%2Fsearch.jsp%3Fsubmit-search%3Dweb-regular%26search%3D83022883", "Retail Link")</f>
        <v>Retail Link</v>
      </c>
      <c r="J424" s="14" t="s">
        <v>946</v>
      </c>
      <c r="K424" s="13" t="s">
        <v>947</v>
      </c>
      <c r="L424" s="15">
        <v>17.815999999999999</v>
      </c>
      <c r="M424" s="15">
        <v>49.6</v>
      </c>
      <c r="N424" s="15">
        <v>17.184000000000001</v>
      </c>
      <c r="O424" s="15">
        <f>V424-M424</f>
        <v>2.9299999999999997</v>
      </c>
      <c r="P424" s="16">
        <f>N424/L424</f>
        <v>0.96452626852267631</v>
      </c>
      <c r="Q424" s="14">
        <v>1637108</v>
      </c>
      <c r="R424" s="14"/>
      <c r="S424" s="17">
        <v>1.6975574</v>
      </c>
      <c r="T424" s="15">
        <v>40.65</v>
      </c>
      <c r="U424" s="15">
        <v>44.4</v>
      </c>
      <c r="V424" s="15">
        <v>52.53</v>
      </c>
      <c r="W424" s="14" t="s">
        <v>53</v>
      </c>
      <c r="X424" s="14">
        <v>2</v>
      </c>
      <c r="Y424" s="10">
        <f>AC424-AB424</f>
        <v>32</v>
      </c>
      <c r="Z424" s="18">
        <v>4</v>
      </c>
      <c r="AA424" s="18">
        <v>10</v>
      </c>
      <c r="AB424" s="18">
        <v>0</v>
      </c>
      <c r="AC424" s="18">
        <v>32</v>
      </c>
      <c r="AD424" s="1" t="s">
        <v>948</v>
      </c>
      <c r="AE424" s="1" t="s">
        <v>805</v>
      </c>
      <c r="AF424" s="4">
        <v>7.44</v>
      </c>
      <c r="AG424" s="4">
        <v>7.16</v>
      </c>
    </row>
    <row r="425" spans="1:33" ht="47.25" customHeight="1" x14ac:dyDescent="0.25">
      <c r="A425" s="10" t="s">
        <v>70</v>
      </c>
      <c r="B425" s="11" t="s">
        <v>33</v>
      </c>
      <c r="C425" s="12" t="s">
        <v>71</v>
      </c>
      <c r="D425" s="27"/>
      <c r="E425" s="14" t="s">
        <v>35</v>
      </c>
      <c r="F425" s="11" t="str">
        <f>HYPERLINK("https://redirect.sdcdeals.com/redirect?destination=https%3A%2F%2Fwww.amazon.com%2Fdp%2FB095WY3PK2%3Fth%3D1%26psc%3D1%26tag%3Dsdcdeals03-20", "Amazon Link")</f>
        <v>Amazon Link</v>
      </c>
      <c r="G425" s="11" t="s">
        <v>36</v>
      </c>
      <c r="H425" s="14" t="s">
        <v>72</v>
      </c>
      <c r="I425" s="11" t="str">
        <f>HYPERLINK("https://redirect.sdcdeals.com/redirect?code=763034&amp;mavely=https://mavely.app.link/e/bhESV2wGrGb&amp;destination=https%3A%2F%2Fwww.kohls.com%2Fsearch.jsp%3Fsubmit-search%3Dweb-regular%26search%3D81181110", "Retail Link")</f>
        <v>Retail Link</v>
      </c>
      <c r="J425" s="14" t="s">
        <v>65</v>
      </c>
      <c r="K425" s="13" t="s">
        <v>73</v>
      </c>
      <c r="L425" s="15">
        <v>7.6000000000000014</v>
      </c>
      <c r="M425" s="15">
        <v>24.39</v>
      </c>
      <c r="N425" s="15">
        <v>7.3114999999999988</v>
      </c>
      <c r="O425" s="15">
        <f>V425-M425</f>
        <v>-2.8900000000000006</v>
      </c>
      <c r="P425" s="16">
        <f>N425/L425</f>
        <v>0.96203947368421017</v>
      </c>
      <c r="Q425" s="14">
        <v>195734</v>
      </c>
      <c r="R425" s="14"/>
      <c r="S425" s="17">
        <v>0.39903622</v>
      </c>
      <c r="T425" s="15">
        <v>14.8</v>
      </c>
      <c r="U425" s="15">
        <v>21.5</v>
      </c>
      <c r="V425" s="15">
        <v>21.5</v>
      </c>
      <c r="W425" s="14" t="s">
        <v>74</v>
      </c>
      <c r="X425" s="14">
        <v>7</v>
      </c>
      <c r="Y425" s="10">
        <f>AC425-AB425</f>
        <v>124</v>
      </c>
      <c r="Z425" s="18">
        <v>23</v>
      </c>
      <c r="AA425" s="18">
        <v>80</v>
      </c>
      <c r="AB425" s="18">
        <v>0</v>
      </c>
      <c r="AC425" s="18">
        <v>124</v>
      </c>
      <c r="AD425" s="1" t="s">
        <v>75</v>
      </c>
      <c r="AE425" s="1" t="s">
        <v>76</v>
      </c>
      <c r="AF425" s="4">
        <v>4.1500000000000004</v>
      </c>
      <c r="AG425" s="4">
        <v>5.82</v>
      </c>
    </row>
    <row r="426" spans="1:33" ht="47.25" customHeight="1" x14ac:dyDescent="0.25">
      <c r="A426" s="10" t="s">
        <v>5033</v>
      </c>
      <c r="B426" s="11" t="s">
        <v>33</v>
      </c>
      <c r="C426" s="12" t="s">
        <v>5034</v>
      </c>
      <c r="D426" s="27"/>
      <c r="E426" s="14" t="s">
        <v>35</v>
      </c>
      <c r="F426" s="11" t="str">
        <f>HYPERLINK("https://redirect.sdcdeals.com/redirect?destination=https%3A%2F%2Fwww.amazon.com%2Fdp%2FB088P2ZPY8%3Fth%3D1%26psc%3D1%26tag%3Dsdcdeals03-20", "Amazon Link")</f>
        <v>Amazon Link</v>
      </c>
      <c r="G426" s="11" t="s">
        <v>36</v>
      </c>
      <c r="H426" s="14" t="s">
        <v>5035</v>
      </c>
      <c r="I426" s="11" t="str">
        <f>HYPERLINK("https://redirect.sdcdeals.com/redirect?code=763034&amp;mavely=https://mavely.app.link/e/bhESV2wGrGb&amp;destination=https%3A%2F%2Fwww.kohls.com%2Fsearch.jsp%3Fsubmit-search%3Dweb-regular%26search%3D75104124", "Retail Link")</f>
        <v>Retail Link</v>
      </c>
      <c r="J426" s="14" t="s">
        <v>5013</v>
      </c>
      <c r="K426" s="13" t="s">
        <v>5036</v>
      </c>
      <c r="L426" s="15">
        <v>16.8</v>
      </c>
      <c r="M426" s="15">
        <v>45.98</v>
      </c>
      <c r="N426" s="15">
        <v>16.143000000000001</v>
      </c>
      <c r="O426" s="15">
        <f>V426-M426</f>
        <v>-7</v>
      </c>
      <c r="P426" s="16">
        <f>N426/L426</f>
        <v>0.9608928571428571</v>
      </c>
      <c r="Q426" s="14">
        <v>1275753</v>
      </c>
      <c r="R426" s="14"/>
      <c r="S426" s="17">
        <v>0.24250820000000001</v>
      </c>
      <c r="T426" s="15">
        <v>39.99</v>
      </c>
      <c r="U426" s="15">
        <v>44.71</v>
      </c>
      <c r="V426" s="15">
        <v>38.979999999999997</v>
      </c>
      <c r="W426" s="14" t="s">
        <v>903</v>
      </c>
      <c r="X426" s="14">
        <v>4</v>
      </c>
      <c r="Y426" s="10">
        <f>AC426-AB426</f>
        <v>17</v>
      </c>
      <c r="Z426" s="18">
        <v>3</v>
      </c>
      <c r="AA426" s="18">
        <v>30</v>
      </c>
      <c r="AB426" s="18">
        <v>4</v>
      </c>
      <c r="AC426" s="18">
        <v>21</v>
      </c>
      <c r="AD426" s="1" t="s">
        <v>5015</v>
      </c>
      <c r="AE426" s="1" t="s">
        <v>278</v>
      </c>
      <c r="AF426" s="4">
        <v>7.82</v>
      </c>
      <c r="AG426" s="4">
        <v>6.14</v>
      </c>
    </row>
    <row r="427" spans="1:33" ht="47.25" customHeight="1" x14ac:dyDescent="0.25">
      <c r="A427" s="10" t="s">
        <v>5041</v>
      </c>
      <c r="B427" s="11" t="s">
        <v>33</v>
      </c>
      <c r="C427" s="12" t="s">
        <v>5042</v>
      </c>
      <c r="D427" s="27"/>
      <c r="E427" s="14" t="s">
        <v>35</v>
      </c>
      <c r="F427" s="11" t="str">
        <f>HYPERLINK("https://redirect.sdcdeals.com/redirect?destination=https%3A%2F%2Fwww.amazon.com%2Fdp%2FB088P3TC5Z%3Fth%3D1%26psc%3D1%26tag%3Dsdcdeals03-20", "Amazon Link")</f>
        <v>Amazon Link</v>
      </c>
      <c r="G427" s="11" t="s">
        <v>36</v>
      </c>
      <c r="H427" s="14" t="s">
        <v>5043</v>
      </c>
      <c r="I427" s="11" t="str">
        <f>HYPERLINK("https://redirect.sdcdeals.com/redirect?code=763034&amp;mavely=https://mavely.app.link/e/bhESV2wGrGb&amp;destination=https%3A%2F%2Fwww.kohls.com%2Fsearch.jsp%3Fsubmit-search%3Dweb-regular%26search%3D75104125", "Retail Link")</f>
        <v>Retail Link</v>
      </c>
      <c r="J427" s="14" t="s">
        <v>5013</v>
      </c>
      <c r="K427" s="13" t="s">
        <v>5044</v>
      </c>
      <c r="L427" s="15">
        <v>16.8</v>
      </c>
      <c r="M427" s="15">
        <v>45.98</v>
      </c>
      <c r="N427" s="15">
        <v>16.143000000000001</v>
      </c>
      <c r="O427" s="15">
        <f>V427-M427</f>
        <v>-4.9399999999999977</v>
      </c>
      <c r="P427" s="16">
        <f>N427/L427</f>
        <v>0.9608928571428571</v>
      </c>
      <c r="Q427" s="14">
        <v>1275753</v>
      </c>
      <c r="R427" s="14"/>
      <c r="S427" s="17">
        <v>0.39903622</v>
      </c>
      <c r="T427" s="15">
        <v>39.99</v>
      </c>
      <c r="U427" s="15">
        <v>45.54</v>
      </c>
      <c r="V427" s="15">
        <v>41.04</v>
      </c>
      <c r="W427" s="14" t="s">
        <v>2022</v>
      </c>
      <c r="X427" s="14">
        <v>4</v>
      </c>
      <c r="Y427" s="10">
        <f>AC427-AB427</f>
        <v>19</v>
      </c>
      <c r="Z427" s="18">
        <v>3</v>
      </c>
      <c r="AA427" s="18">
        <v>26</v>
      </c>
      <c r="AB427" s="18">
        <v>2</v>
      </c>
      <c r="AC427" s="18">
        <v>21</v>
      </c>
      <c r="AD427" s="1" t="s">
        <v>5015</v>
      </c>
      <c r="AE427" s="1" t="s">
        <v>278</v>
      </c>
      <c r="AF427" s="4">
        <v>7.82</v>
      </c>
      <c r="AG427" s="4">
        <v>6.14</v>
      </c>
    </row>
    <row r="428" spans="1:33" ht="47.25" customHeight="1" x14ac:dyDescent="0.25">
      <c r="A428" s="10" t="s">
        <v>734</v>
      </c>
      <c r="B428" s="11" t="s">
        <v>33</v>
      </c>
      <c r="C428" s="12" t="s">
        <v>735</v>
      </c>
      <c r="D428" s="27"/>
      <c r="E428" s="14" t="s">
        <v>35</v>
      </c>
      <c r="F428" s="11" t="str">
        <f>HYPERLINK("https://redirect.sdcdeals.com/redirect?destination=https%3A%2F%2Fwww.amazon.com%2Fdp%2FB0BFTRHR8P%3Fth%3D1%26psc%3D1%26tag%3Dsdcdeals03-20", "Amazon Link")</f>
        <v>Amazon Link</v>
      </c>
      <c r="G428" s="11" t="s">
        <v>36</v>
      </c>
      <c r="H428" s="14" t="s">
        <v>736</v>
      </c>
      <c r="I428" s="11" t="str">
        <f>HYPERLINK("https://redirect.sdcdeals.com/redirect?code=763034&amp;mavely=https://mavely.app.link/e/bhESV2wGrGb&amp;destination=https%3A%2F%2Fwww.kohls.com%2Fsearch.jsp%3Fsubmit-search%3Dweb-regular%26search%3D20255786", "Retail Link")</f>
        <v>Retail Link</v>
      </c>
      <c r="J428" s="14" t="s">
        <v>696</v>
      </c>
      <c r="K428" s="13" t="s">
        <v>737</v>
      </c>
      <c r="L428" s="15">
        <v>44.095999999999997</v>
      </c>
      <c r="M428" s="15">
        <v>122.79</v>
      </c>
      <c r="N428" s="15">
        <v>42.305500000000002</v>
      </c>
      <c r="O428" s="15">
        <f>V428-M428</f>
        <v>-9.9900000000000091</v>
      </c>
      <c r="P428" s="16">
        <f>N428/L428</f>
        <v>0.95939541001451389</v>
      </c>
      <c r="Q428" s="14">
        <v>3328345</v>
      </c>
      <c r="R428" s="14"/>
      <c r="S428" s="17">
        <v>1.3668644000000001</v>
      </c>
      <c r="T428" s="15">
        <v>122.79</v>
      </c>
      <c r="U428" s="15">
        <v>116.98</v>
      </c>
      <c r="V428" s="15">
        <v>112.8</v>
      </c>
      <c r="W428" s="14" t="s">
        <v>199</v>
      </c>
      <c r="X428" s="14">
        <v>1</v>
      </c>
      <c r="Y428" s="10">
        <f>AC428-AB428</f>
        <v>2</v>
      </c>
      <c r="Z428" s="18">
        <v>1</v>
      </c>
      <c r="AA428" s="18">
        <v>3</v>
      </c>
      <c r="AB428" s="18">
        <v>0</v>
      </c>
      <c r="AC428" s="18">
        <v>2</v>
      </c>
      <c r="AD428" s="1" t="s">
        <v>699</v>
      </c>
      <c r="AE428" s="1" t="s">
        <v>700</v>
      </c>
      <c r="AF428" s="4">
        <v>20.87</v>
      </c>
      <c r="AG428" s="4">
        <v>17.97</v>
      </c>
    </row>
    <row r="429" spans="1:33" ht="47.25" customHeight="1" x14ac:dyDescent="0.25">
      <c r="A429" s="10" t="s">
        <v>368</v>
      </c>
      <c r="B429" s="11" t="s">
        <v>33</v>
      </c>
      <c r="C429" s="12" t="s">
        <v>369</v>
      </c>
      <c r="D429" s="27"/>
      <c r="E429" s="14" t="s">
        <v>35</v>
      </c>
      <c r="F429" s="11" t="str">
        <f>HYPERLINK("https://redirect.sdcdeals.com/redirect?destination=https%3A%2F%2Fwww.amazon.com%2Fdp%2FB0BKQX5VJR%3Fth%3D1%26psc%3D1%26tag%3Dsdcdeals03-20", "Amazon Link")</f>
        <v>Amazon Link</v>
      </c>
      <c r="G429" s="11" t="s">
        <v>36</v>
      </c>
      <c r="H429" s="14" t="s">
        <v>370</v>
      </c>
      <c r="I429" s="11" t="str">
        <f>HYPERLINK("https://redirect.sdcdeals.com/redirect?code=763034&amp;mavely=https://mavely.app.link/e/bhESV2wGrGb&amp;destination=https%3A%2F%2Fwww.kohls.com%2Fsearch.jsp%3Fsubmit-search%3Dweb-regular%26search%3D54785107", "Retail Link")</f>
        <v>Retail Link</v>
      </c>
      <c r="J429" s="14" t="s">
        <v>371</v>
      </c>
      <c r="K429" s="13" t="s">
        <v>372</v>
      </c>
      <c r="L429" s="15">
        <v>39.6</v>
      </c>
      <c r="M429" s="15">
        <v>105.15</v>
      </c>
      <c r="N429" s="15">
        <v>37.887500000000003</v>
      </c>
      <c r="O429" s="15">
        <f>V429-M429</f>
        <v>-32.370000000000005</v>
      </c>
      <c r="P429" s="16">
        <f>N429/L429</f>
        <v>0.9567550505050505</v>
      </c>
      <c r="Q429" s="14">
        <v>588067</v>
      </c>
      <c r="R429" s="14"/>
      <c r="S429" s="17">
        <v>1.51898318</v>
      </c>
      <c r="T429" s="15">
        <v>105.15</v>
      </c>
      <c r="U429" s="15">
        <v>57.76</v>
      </c>
      <c r="V429" s="15">
        <v>72.78</v>
      </c>
      <c r="W429" s="14" t="s">
        <v>118</v>
      </c>
      <c r="X429" s="14">
        <v>2</v>
      </c>
      <c r="Y429" s="10">
        <f>AC429-AB429</f>
        <v>8</v>
      </c>
      <c r="Z429" s="18">
        <v>7</v>
      </c>
      <c r="AA429" s="18">
        <v>43</v>
      </c>
      <c r="AB429" s="18">
        <v>0</v>
      </c>
      <c r="AC429" s="18">
        <v>8</v>
      </c>
      <c r="AD429" s="1" t="s">
        <v>373</v>
      </c>
      <c r="AE429" s="1" t="s">
        <v>374</v>
      </c>
      <c r="AG429" s="4">
        <v>11.89</v>
      </c>
    </row>
    <row r="430" spans="1:33" ht="47.25" customHeight="1" x14ac:dyDescent="0.25">
      <c r="A430" s="10" t="s">
        <v>4092</v>
      </c>
      <c r="B430" s="11" t="s">
        <v>33</v>
      </c>
      <c r="C430" s="12" t="s">
        <v>4093</v>
      </c>
      <c r="D430" s="27"/>
      <c r="E430" s="14" t="s">
        <v>35</v>
      </c>
      <c r="F430" s="11" t="str">
        <f>HYPERLINK("https://redirect.sdcdeals.com/redirect?destination=https%3A%2F%2Fwww.amazon.com%2Fdp%2FB0BKQT6JDB%3Fth%3D1%26psc%3D1%26tag%3Dsdcdeals03-20", "Amazon Link")</f>
        <v>Amazon Link</v>
      </c>
      <c r="G430" s="11" t="s">
        <v>36</v>
      </c>
      <c r="H430" s="14" t="s">
        <v>4094</v>
      </c>
      <c r="I430" s="11" t="str">
        <f>HYPERLINK("https://redirect.sdcdeals.com/redirect?code=763034&amp;mavely=https://mavely.app.link/e/bhESV2wGrGb&amp;destination=https%3A%2F%2Fwww.kohls.com%2Fsearch.jsp%3Fsubmit-search%3Dweb-regular%26search%3D71992639", "Retail Link")</f>
        <v>Retail Link</v>
      </c>
      <c r="J430" s="14" t="s">
        <v>4089</v>
      </c>
      <c r="K430" s="13" t="s">
        <v>4095</v>
      </c>
      <c r="L430" s="15">
        <v>39.6</v>
      </c>
      <c r="M430" s="15">
        <v>105.15</v>
      </c>
      <c r="N430" s="15">
        <v>37.887500000000003</v>
      </c>
      <c r="O430" s="15">
        <f>V430-M430</f>
        <v>-50.290000000000006</v>
      </c>
      <c r="P430" s="16">
        <f>N430/L430</f>
        <v>0.9567550505050505</v>
      </c>
      <c r="Q430" s="14">
        <v>648044</v>
      </c>
      <c r="R430" s="14"/>
      <c r="S430" s="17">
        <v>1.23017796</v>
      </c>
      <c r="T430" s="15">
        <v>105.15</v>
      </c>
      <c r="U430" s="15">
        <v>48</v>
      </c>
      <c r="V430" s="15">
        <v>54.86</v>
      </c>
      <c r="W430" s="14" t="s">
        <v>1621</v>
      </c>
      <c r="X430" s="14">
        <v>1</v>
      </c>
      <c r="Y430" s="10">
        <f>AC430-AB430</f>
        <v>12</v>
      </c>
      <c r="Z430" s="18">
        <v>13</v>
      </c>
      <c r="AA430" s="18">
        <v>31</v>
      </c>
      <c r="AB430" s="18">
        <v>0</v>
      </c>
      <c r="AC430" s="18">
        <v>12</v>
      </c>
      <c r="AD430" s="1" t="s">
        <v>4091</v>
      </c>
      <c r="AE430" s="1" t="s">
        <v>2213</v>
      </c>
      <c r="AG430" s="4">
        <v>11.89</v>
      </c>
    </row>
    <row r="431" spans="1:33" ht="47.25" customHeight="1" x14ac:dyDescent="0.25">
      <c r="A431" s="10" t="s">
        <v>4119</v>
      </c>
      <c r="B431" s="11" t="s">
        <v>33</v>
      </c>
      <c r="C431" s="12" t="s">
        <v>4120</v>
      </c>
      <c r="D431" s="27"/>
      <c r="E431" s="14" t="s">
        <v>35</v>
      </c>
      <c r="F431" s="11" t="str">
        <f>HYPERLINK("https://redirect.sdcdeals.com/redirect?destination=https%3A%2F%2Fwww.amazon.com%2Fdp%2FB0BKQVXSGP%3Fth%3D1%26psc%3D1%26tag%3Dsdcdeals03-20", "Amazon Link")</f>
        <v>Amazon Link</v>
      </c>
      <c r="G431" s="11" t="s">
        <v>36</v>
      </c>
      <c r="H431" s="14" t="s">
        <v>4121</v>
      </c>
      <c r="I431" s="11" t="str">
        <f>HYPERLINK("https://redirect.sdcdeals.com/redirect?code=763034&amp;mavely=https://mavely.app.link/e/bhESV2wGrGb&amp;destination=https%3A%2F%2Fwww.kohls.com%2Fsearch.jsp%3Fsubmit-search%3Dweb-regular%26search%3D71992591", "Retail Link")</f>
        <v>Retail Link</v>
      </c>
      <c r="J431" s="14" t="s">
        <v>4089</v>
      </c>
      <c r="K431" s="13" t="s">
        <v>4122</v>
      </c>
      <c r="L431" s="15">
        <v>39.6</v>
      </c>
      <c r="M431" s="15">
        <v>105.15</v>
      </c>
      <c r="N431" s="15">
        <v>37.887500000000003</v>
      </c>
      <c r="O431" s="15">
        <f>V431-M431</f>
        <v>-7.3500000000000085</v>
      </c>
      <c r="P431" s="16">
        <f>N431/L431</f>
        <v>0.9567550505050505</v>
      </c>
      <c r="Q431" s="14">
        <v>413931</v>
      </c>
      <c r="R431" s="14"/>
      <c r="S431" s="17">
        <v>1.1684486000000001</v>
      </c>
      <c r="T431" s="15">
        <v>105.15</v>
      </c>
      <c r="U431" s="15">
        <v>89.25</v>
      </c>
      <c r="V431" s="15">
        <v>97.8</v>
      </c>
      <c r="W431" s="14" t="s">
        <v>1924</v>
      </c>
      <c r="X431" s="14">
        <v>1</v>
      </c>
      <c r="Y431" s="10">
        <f>AC431-AB431</f>
        <v>15</v>
      </c>
      <c r="Z431" s="18">
        <v>17</v>
      </c>
      <c r="AA431" s="18">
        <v>36</v>
      </c>
      <c r="AB431" s="18">
        <v>0</v>
      </c>
      <c r="AC431" s="18">
        <v>15</v>
      </c>
      <c r="AD431" s="1" t="s">
        <v>4091</v>
      </c>
      <c r="AE431" s="1" t="s">
        <v>1406</v>
      </c>
      <c r="AF431" s="4">
        <v>17.88</v>
      </c>
      <c r="AG431" s="4">
        <v>11.89</v>
      </c>
    </row>
    <row r="432" spans="1:33" ht="47.25" customHeight="1" x14ac:dyDescent="0.25">
      <c r="A432" s="10" t="s">
        <v>3230</v>
      </c>
      <c r="B432" s="11" t="s">
        <v>33</v>
      </c>
      <c r="C432" s="12" t="s">
        <v>3231</v>
      </c>
      <c r="D432" s="27"/>
      <c r="E432" s="14" t="s">
        <v>35</v>
      </c>
      <c r="F432" s="11" t="str">
        <f>HYPERLINK("https://redirect.sdcdeals.com/redirect?destination=https%3A%2F%2Fwww.amazon.com%2Fdp%2FB0815J4LGR%3Fth%3D1%26psc%3D1%26tag%3Dsdcdeals03-20", "Amazon Link")</f>
        <v>Amazon Link</v>
      </c>
      <c r="G432" s="11" t="s">
        <v>36</v>
      </c>
      <c r="H432" s="14" t="s">
        <v>3232</v>
      </c>
      <c r="I432" s="11" t="str">
        <f>HYPERLINK("https://redirect.sdcdeals.com/redirect?code=763034&amp;mavely=https://mavely.app.link/e/bhESV2wGrGb&amp;destination=https%3A%2F%2Fwww.kohls.com%2Fsearch.jsp%3Fsubmit-search%3Dweb-regular%26search%3D75883035", "Retail Link")</f>
        <v>Retail Link</v>
      </c>
      <c r="J432" s="14" t="s">
        <v>3216</v>
      </c>
      <c r="K432" s="13" t="s">
        <v>3233</v>
      </c>
      <c r="L432" s="15">
        <v>15.4</v>
      </c>
      <c r="M432" s="15">
        <v>48.99</v>
      </c>
      <c r="N432" s="15">
        <v>14.7315</v>
      </c>
      <c r="O432" s="15">
        <f>V432-M432</f>
        <v>-13.260000000000005</v>
      </c>
      <c r="P432" s="16">
        <f>N432/L432</f>
        <v>0.95659090909090905</v>
      </c>
      <c r="Q432" s="14">
        <v>611270</v>
      </c>
      <c r="R432" s="14"/>
      <c r="S432" s="17">
        <v>0.81570940000000003</v>
      </c>
      <c r="T432" s="15">
        <v>48.99</v>
      </c>
      <c r="U432" s="15">
        <v>32.49</v>
      </c>
      <c r="V432" s="15">
        <v>35.729999999999997</v>
      </c>
      <c r="W432" s="14" t="s">
        <v>3234</v>
      </c>
      <c r="X432" s="14">
        <v>2</v>
      </c>
      <c r="Y432" s="10">
        <f>AC432-AB432</f>
        <v>0</v>
      </c>
      <c r="Z432" s="18">
        <v>10</v>
      </c>
      <c r="AA432" s="18">
        <v>27</v>
      </c>
      <c r="AB432" s="18">
        <v>29</v>
      </c>
      <c r="AC432" s="18">
        <v>29</v>
      </c>
      <c r="AD432" s="1" t="s">
        <v>3218</v>
      </c>
      <c r="AE432" s="1" t="s">
        <v>3219</v>
      </c>
      <c r="AG432" s="4">
        <v>11.51</v>
      </c>
    </row>
    <row r="433" spans="1:33" ht="47.25" customHeight="1" x14ac:dyDescent="0.25">
      <c r="A433" s="10" t="s">
        <v>730</v>
      </c>
      <c r="B433" s="11" t="s">
        <v>33</v>
      </c>
      <c r="C433" s="12" t="s">
        <v>731</v>
      </c>
      <c r="D433" s="27"/>
      <c r="E433" s="14" t="s">
        <v>35</v>
      </c>
      <c r="F433" s="11" t="str">
        <f>HYPERLINK("https://redirect.sdcdeals.com/redirect?destination=https%3A%2F%2Fwww.amazon.com%2Fdp%2FB0BFTTCG2S%3Fth%3D1%26psc%3D1%26tag%3Dsdcdeals03-20", "Amazon Link")</f>
        <v>Amazon Link</v>
      </c>
      <c r="G433" s="11" t="s">
        <v>36</v>
      </c>
      <c r="H433" s="14" t="s">
        <v>732</v>
      </c>
      <c r="I433" s="11" t="str">
        <f>HYPERLINK("https://redirect.sdcdeals.com/redirect?code=763034&amp;mavely=https://mavely.app.link/e/bhESV2wGrGb&amp;destination=https%3A%2F%2Fwww.kohls.com%2Fsearch.jsp%3Fsubmit-search%3Dweb-regular%26search%3D20255781", "Retail Link")</f>
        <v>Retail Link</v>
      </c>
      <c r="J433" s="14" t="s">
        <v>696</v>
      </c>
      <c r="K433" s="13" t="s">
        <v>733</v>
      </c>
      <c r="L433" s="15">
        <v>44.095999999999997</v>
      </c>
      <c r="M433" s="15">
        <v>120.21</v>
      </c>
      <c r="N433" s="15">
        <v>42.012500000000003</v>
      </c>
      <c r="O433" s="15">
        <f>V433-M433</f>
        <v>-13.689999999999998</v>
      </c>
      <c r="P433" s="16">
        <f>N433/L433</f>
        <v>0.95275081640058068</v>
      </c>
      <c r="Q433" s="14">
        <v>5986832</v>
      </c>
      <c r="R433" s="14"/>
      <c r="S433" s="17">
        <v>1.44623072</v>
      </c>
      <c r="T433" s="15">
        <v>120.21</v>
      </c>
      <c r="U433" s="15">
        <v>114.04</v>
      </c>
      <c r="V433" s="15">
        <v>106.52</v>
      </c>
      <c r="W433" s="14" t="s">
        <v>306</v>
      </c>
      <c r="X433" s="14">
        <v>1</v>
      </c>
      <c r="Y433" s="10">
        <f>AC433-AB433</f>
        <v>0</v>
      </c>
      <c r="Z433" s="18">
        <v>0</v>
      </c>
      <c r="AA433" s="18">
        <v>0</v>
      </c>
      <c r="AB433" s="18">
        <v>1</v>
      </c>
      <c r="AC433" s="18">
        <v>1</v>
      </c>
      <c r="AD433" s="1" t="s">
        <v>699</v>
      </c>
      <c r="AE433" s="1" t="s">
        <v>76</v>
      </c>
      <c r="AF433" s="4">
        <v>20.440000000000001</v>
      </c>
      <c r="AG433" s="4">
        <v>16.07</v>
      </c>
    </row>
    <row r="434" spans="1:33" ht="47.25" customHeight="1" x14ac:dyDescent="0.25">
      <c r="A434" s="10" t="s">
        <v>2116</v>
      </c>
      <c r="B434" s="11" t="s">
        <v>33</v>
      </c>
      <c r="C434" s="12" t="s">
        <v>2117</v>
      </c>
      <c r="D434" s="27"/>
      <c r="E434" s="14" t="s">
        <v>35</v>
      </c>
      <c r="F434" s="11" t="str">
        <f>HYPERLINK("https://redirect.sdcdeals.com/redirect?destination=https%3A%2F%2Fwww.amazon.com%2Fdp%2FB07D1NZ6MX%3Fth%3D1%26psc%3D1%26tag%3Dsdcdeals03-20", "Amazon Link")</f>
        <v>Amazon Link</v>
      </c>
      <c r="G434" s="11" t="s">
        <v>36</v>
      </c>
      <c r="H434" s="14" t="s">
        <v>2118</v>
      </c>
      <c r="I434" s="11" t="str">
        <f>HYPERLINK("https://redirect.sdcdeals.com/redirect?code=763034&amp;mavely=https://mavely.app.link/e/bhESV2wGrGb&amp;destination=https%3A%2F%2Fwww.kohls.com%2Fsearch.jsp%3Fsubmit-search%3Dweb-regular%26search%3D54174618", "Retail Link")</f>
        <v>Retail Link</v>
      </c>
      <c r="J434" s="14" t="s">
        <v>2048</v>
      </c>
      <c r="K434" s="13" t="s">
        <v>2119</v>
      </c>
      <c r="L434" s="15">
        <v>9.6000000000000014</v>
      </c>
      <c r="M434" s="15">
        <v>29.13</v>
      </c>
      <c r="N434" s="15">
        <v>9.1104999999999947</v>
      </c>
      <c r="O434" s="15">
        <f>V434-M434</f>
        <v>3.84</v>
      </c>
      <c r="P434" s="16">
        <f>N434/L434</f>
        <v>0.94901041666666597</v>
      </c>
      <c r="Q434" s="14">
        <v>581</v>
      </c>
      <c r="R434" s="14"/>
      <c r="S434" s="17">
        <v>1.06042222</v>
      </c>
      <c r="T434" s="15">
        <v>29.13</v>
      </c>
      <c r="U434" s="15">
        <v>31.2</v>
      </c>
      <c r="V434" s="15">
        <v>32.97</v>
      </c>
      <c r="W434" s="14" t="s">
        <v>164</v>
      </c>
      <c r="X434" s="14">
        <v>2</v>
      </c>
      <c r="Y434" s="10">
        <f>AC434-AB434</f>
        <v>53283</v>
      </c>
      <c r="Z434" s="18">
        <v>51</v>
      </c>
      <c r="AA434" s="18">
        <v>156</v>
      </c>
      <c r="AB434" s="18">
        <v>17</v>
      </c>
      <c r="AC434" s="18">
        <v>53300</v>
      </c>
      <c r="AD434" s="1" t="s">
        <v>2050</v>
      </c>
      <c r="AE434" s="1" t="s">
        <v>2084</v>
      </c>
      <c r="AF434" s="4">
        <v>4.95</v>
      </c>
      <c r="AG434" s="4">
        <v>6.05</v>
      </c>
    </row>
    <row r="435" spans="1:33" ht="47.25" customHeight="1" x14ac:dyDescent="0.25">
      <c r="A435" s="10" t="s">
        <v>2875</v>
      </c>
      <c r="B435" s="11" t="s">
        <v>33</v>
      </c>
      <c r="C435" s="12" t="s">
        <v>2876</v>
      </c>
      <c r="D435" s="27"/>
      <c r="E435" s="14" t="s">
        <v>35</v>
      </c>
      <c r="F435" s="11" t="str">
        <f>HYPERLINK("https://redirect.sdcdeals.com/redirect?destination=https%3A%2F%2Fwww.amazon.com%2Fdp%2FB0BKQXLQ6L%3Fth%3D1%26psc%3D1%26tag%3Dsdcdeals03-20", "Amazon Link")</f>
        <v>Amazon Link</v>
      </c>
      <c r="G435" s="11" t="s">
        <v>36</v>
      </c>
      <c r="H435" s="14" t="s">
        <v>2877</v>
      </c>
      <c r="I435" s="11" t="str">
        <f>HYPERLINK("https://redirect.sdcdeals.com/redirect?code=763034&amp;mavely=https://mavely.app.link/e/bhESV2wGrGb&amp;destination=https%3A%2F%2Fwww.kohls.com%2Fsearch.jsp%3Fsubmit-search%3Dweb-regular%26search%3D76932881", "Retail Link")</f>
        <v>Retail Link</v>
      </c>
      <c r="J435" s="14" t="s">
        <v>2863</v>
      </c>
      <c r="K435" s="13" t="s">
        <v>2878</v>
      </c>
      <c r="L435" s="15">
        <v>39.6</v>
      </c>
      <c r="M435" s="15">
        <v>105.13</v>
      </c>
      <c r="N435" s="15">
        <v>37.49049999999999</v>
      </c>
      <c r="O435" s="15">
        <f>V435-M435</f>
        <v>-22.61</v>
      </c>
      <c r="P435" s="16">
        <f>N435/L435</f>
        <v>0.94672979797979773</v>
      </c>
      <c r="Q435" s="14">
        <v>748350</v>
      </c>
      <c r="R435" s="14"/>
      <c r="S435" s="17">
        <v>2.70947798</v>
      </c>
      <c r="T435" s="15">
        <v>105.13</v>
      </c>
      <c r="U435" s="15">
        <v>59.67</v>
      </c>
      <c r="V435" s="15">
        <v>82.52</v>
      </c>
      <c r="W435" s="14" t="s">
        <v>2879</v>
      </c>
      <c r="X435" s="14">
        <v>2</v>
      </c>
      <c r="Y435" s="10">
        <f>AC435-AB435</f>
        <v>62</v>
      </c>
      <c r="Z435" s="18">
        <v>10</v>
      </c>
      <c r="AA435" s="18">
        <v>48</v>
      </c>
      <c r="AB435" s="18">
        <v>0</v>
      </c>
      <c r="AC435" s="18">
        <v>62</v>
      </c>
      <c r="AD435" s="1" t="s">
        <v>2865</v>
      </c>
      <c r="AE435" s="1" t="s">
        <v>2213</v>
      </c>
      <c r="AG435" s="4">
        <v>12.27</v>
      </c>
    </row>
    <row r="436" spans="1:33" ht="47.25" customHeight="1" x14ac:dyDescent="0.25">
      <c r="A436" s="10" t="s">
        <v>4829</v>
      </c>
      <c r="B436" s="11" t="s">
        <v>33</v>
      </c>
      <c r="C436" s="12" t="s">
        <v>4830</v>
      </c>
      <c r="D436" s="27"/>
      <c r="E436" s="14" t="s">
        <v>35</v>
      </c>
      <c r="F436" s="11" t="str">
        <f>HYPERLINK("https://redirect.sdcdeals.com/redirect?destination=https%3A%2F%2Fwww.amazon.com%2Fdp%2FB08YGTMR74%3Fth%3D1%26psc%3D1%26tag%3Dsdcdeals03-20", "Amazon Link")</f>
        <v>Amazon Link</v>
      </c>
      <c r="G436" s="11" t="s">
        <v>36</v>
      </c>
      <c r="H436" s="14" t="s">
        <v>4831</v>
      </c>
      <c r="I436" s="11" t="str">
        <f>HYPERLINK("https://redirect.sdcdeals.com/redirect?code=763034&amp;mavely=https://mavely.app.link/e/bhESV2wGrGb&amp;destination=https%3A%2F%2Fwww.kohls.com%2Fsearch.jsp%3Fsubmit-search%3Dweb-regular%26search%3D77032483", "Retail Link")</f>
        <v>Retail Link</v>
      </c>
      <c r="J436" s="14" t="s">
        <v>4825</v>
      </c>
      <c r="K436" s="13" t="s">
        <v>4832</v>
      </c>
      <c r="L436" s="15">
        <v>13.192</v>
      </c>
      <c r="M436" s="15">
        <v>38</v>
      </c>
      <c r="N436" s="15">
        <v>12.488</v>
      </c>
      <c r="O436" s="15">
        <f>V436-M436</f>
        <v>23.25</v>
      </c>
      <c r="P436" s="16">
        <f>N436/L436</f>
        <v>0.9466343238326258</v>
      </c>
      <c r="Q436" s="14">
        <v>222081</v>
      </c>
      <c r="R436" s="14"/>
      <c r="S436" s="17">
        <v>1.3492274399999999</v>
      </c>
      <c r="T436" s="15">
        <v>38</v>
      </c>
      <c r="U436" s="15">
        <v>60.55</v>
      </c>
      <c r="V436" s="15">
        <v>61.25</v>
      </c>
      <c r="W436" s="14" t="s">
        <v>964</v>
      </c>
      <c r="X436" s="14">
        <v>3</v>
      </c>
      <c r="Y436" s="10">
        <f>AC436-AB436</f>
        <v>2228</v>
      </c>
      <c r="Z436" s="18">
        <v>30</v>
      </c>
      <c r="AA436" s="18">
        <v>57</v>
      </c>
      <c r="AB436" s="18">
        <v>2</v>
      </c>
      <c r="AC436" s="18">
        <v>2230</v>
      </c>
      <c r="AD436" s="1" t="s">
        <v>4827</v>
      </c>
      <c r="AE436" s="1" t="s">
        <v>4828</v>
      </c>
      <c r="AG436" s="4">
        <v>6.62</v>
      </c>
    </row>
    <row r="437" spans="1:33" ht="47.25" customHeight="1" x14ac:dyDescent="0.25">
      <c r="A437" s="10" t="s">
        <v>6611</v>
      </c>
      <c r="B437" s="11" t="s">
        <v>33</v>
      </c>
      <c r="C437" s="12" t="s">
        <v>6612</v>
      </c>
      <c r="D437" s="27"/>
      <c r="E437" s="14" t="s">
        <v>35</v>
      </c>
      <c r="F437" s="11" t="str">
        <f>HYPERLINK("https://redirect.sdcdeals.com/redirect?destination=https%3A%2F%2Fwww.amazon.com%2Fdp%2FB07D1CF6T1%3Fth%3D1%26psc%3D1%26tag%3Dsdcdeals03-20", "Amazon Link")</f>
        <v>Amazon Link</v>
      </c>
      <c r="G437" s="11" t="s">
        <v>36</v>
      </c>
      <c r="H437" s="14" t="s">
        <v>6613</v>
      </c>
      <c r="I437" s="11" t="str">
        <f>HYPERLINK("https://redirect.sdcdeals.com/redirect?code=763034&amp;mavely=https://mavely.app.link/e/bhESV2wGrGb&amp;destination=https%3A%2F%2Fwww.kohls.com%2Fsearch.jsp%3Fsubmit-search%3Dweb-regular%26search%3D66875120", "Retail Link")</f>
        <v>Retail Link</v>
      </c>
      <c r="J437" s="14" t="s">
        <v>6581</v>
      </c>
      <c r="K437" s="13" t="s">
        <v>6614</v>
      </c>
      <c r="L437" s="15">
        <v>20.847999999999999</v>
      </c>
      <c r="M437" s="15">
        <v>55.97</v>
      </c>
      <c r="N437" s="15">
        <v>19.706500000000009</v>
      </c>
      <c r="O437" s="15">
        <f>V437-M437</f>
        <v>-5.5</v>
      </c>
      <c r="P437" s="16">
        <f>N437/L437</f>
        <v>0.94524654643131278</v>
      </c>
      <c r="Q437" s="14">
        <v>758</v>
      </c>
      <c r="R437" s="14"/>
      <c r="S437" s="17">
        <v>1.7592867599999999</v>
      </c>
      <c r="T437" s="15">
        <v>55.67</v>
      </c>
      <c r="U437" s="15">
        <v>53.34</v>
      </c>
      <c r="V437" s="15">
        <v>50.47</v>
      </c>
      <c r="W437" s="14" t="s">
        <v>131</v>
      </c>
      <c r="X437" s="14">
        <v>3</v>
      </c>
      <c r="Y437" s="10">
        <f>AC437-AB437</f>
        <v>47602</v>
      </c>
      <c r="Z437" s="18">
        <v>53</v>
      </c>
      <c r="AA437" s="18">
        <v>160</v>
      </c>
      <c r="AB437" s="18">
        <v>2</v>
      </c>
      <c r="AC437" s="18">
        <v>47604</v>
      </c>
      <c r="AD437" s="1" t="s">
        <v>6615</v>
      </c>
      <c r="AE437" s="1" t="s">
        <v>6616</v>
      </c>
      <c r="AF437" s="4">
        <v>9.52</v>
      </c>
      <c r="AG437" s="4">
        <v>7.02</v>
      </c>
    </row>
    <row r="438" spans="1:33" ht="47.25" customHeight="1" x14ac:dyDescent="0.25">
      <c r="A438" s="10" t="s">
        <v>1711</v>
      </c>
      <c r="B438" s="11" t="s">
        <v>33</v>
      </c>
      <c r="C438" s="12" t="s">
        <v>1712</v>
      </c>
      <c r="D438" s="27"/>
      <c r="E438" s="14" t="s">
        <v>35</v>
      </c>
      <c r="F438" s="11" t="str">
        <f>HYPERLINK("https://redirect.sdcdeals.com/redirect?destination=https%3A%2F%2Fwww.amazon.com%2Fdp%2FB08NYJWLN8%3Fth%3D1%26psc%3D1%26tag%3Dsdcdeals03-20", "Amazon Link")</f>
        <v>Amazon Link</v>
      </c>
      <c r="G438" s="11" t="s">
        <v>36</v>
      </c>
      <c r="H438" s="14" t="s">
        <v>1713</v>
      </c>
      <c r="I438" s="11" t="str">
        <f>HYPERLINK("https://redirect.sdcdeals.com/redirect?code=763034&amp;mavely=https://mavely.app.link/e/bhESV2wGrGb&amp;destination=https%3A%2F%2Fwww.kohls.com%2Fsearch.jsp%3Fsubmit-search%3Dweb-regular%26search%3D75742816", "Retail Link")</f>
        <v>Retail Link</v>
      </c>
      <c r="J438" s="14" t="s">
        <v>1701</v>
      </c>
      <c r="K438" s="13" t="s">
        <v>1714</v>
      </c>
      <c r="L438" s="15">
        <v>15.4</v>
      </c>
      <c r="M438" s="15">
        <v>42.99</v>
      </c>
      <c r="N438" s="15">
        <v>14.541499999999999</v>
      </c>
      <c r="O438" s="15">
        <f>V438-M438</f>
        <v>-8.8800000000000026</v>
      </c>
      <c r="P438" s="16">
        <f>N438/L438</f>
        <v>0.94425324675324673</v>
      </c>
      <c r="Q438" s="14">
        <v>102803</v>
      </c>
      <c r="R438" s="14"/>
      <c r="S438" s="17">
        <v>0.63933980000000001</v>
      </c>
      <c r="T438" s="15">
        <v>42.99</v>
      </c>
      <c r="U438" s="15">
        <v>35.17</v>
      </c>
      <c r="V438" s="15">
        <v>34.11</v>
      </c>
      <c r="W438" s="14" t="s">
        <v>1715</v>
      </c>
      <c r="X438" s="14">
        <v>6</v>
      </c>
      <c r="Y438" s="10">
        <f>AC438-AB438</f>
        <v>149</v>
      </c>
      <c r="Z438" s="18">
        <v>33</v>
      </c>
      <c r="AA438" s="18">
        <v>121</v>
      </c>
      <c r="AB438" s="18">
        <v>6</v>
      </c>
      <c r="AC438" s="18">
        <v>155</v>
      </c>
      <c r="AD438" s="1" t="s">
        <v>1704</v>
      </c>
      <c r="AE438" s="1" t="s">
        <v>1490</v>
      </c>
      <c r="AF438" s="4">
        <v>7.31</v>
      </c>
      <c r="AG438" s="4">
        <v>6.6</v>
      </c>
    </row>
    <row r="439" spans="1:33" ht="47.25" customHeight="1" x14ac:dyDescent="0.25">
      <c r="A439" s="10" t="s">
        <v>2085</v>
      </c>
      <c r="B439" s="11" t="s">
        <v>33</v>
      </c>
      <c r="C439" s="12" t="s">
        <v>2086</v>
      </c>
      <c r="D439" s="27"/>
      <c r="E439" s="14" t="s">
        <v>35</v>
      </c>
      <c r="F439" s="11" t="str">
        <f>HYPERLINK("https://redirect.sdcdeals.com/redirect?destination=https%3A%2F%2Fwww.amazon.com%2Fdp%2FB08DJ8S7J2%3Fth%3D1%26psc%3D1%26tag%3Dsdcdeals03-20", "Amazon Link")</f>
        <v>Amazon Link</v>
      </c>
      <c r="G439" s="11" t="s">
        <v>36</v>
      </c>
      <c r="H439" s="14" t="s">
        <v>2087</v>
      </c>
      <c r="I439" s="11" t="str">
        <f>HYPERLINK("https://redirect.sdcdeals.com/redirect?code=763034&amp;mavely=https://mavely.app.link/e/bhESV2wGrGb&amp;destination=https%3A%2F%2Fwww.kohls.com%2Fsearch.jsp%3Fsubmit-search%3Dweb-regular%26search%3D45976790", "Retail Link")</f>
        <v>Retail Link</v>
      </c>
      <c r="J439" s="14" t="s">
        <v>2048</v>
      </c>
      <c r="K439" s="13" t="s">
        <v>2088</v>
      </c>
      <c r="L439" s="15">
        <v>9.6000000000000014</v>
      </c>
      <c r="M439" s="15">
        <v>28.8</v>
      </c>
      <c r="N439" s="15">
        <v>9.0599999999999987</v>
      </c>
      <c r="O439" s="15">
        <f>V439-M439</f>
        <v>4.3499999999999979</v>
      </c>
      <c r="P439" s="16">
        <f>N439/L439</f>
        <v>0.94374999999999976</v>
      </c>
      <c r="Q439" s="14">
        <v>581</v>
      </c>
      <c r="R439" s="14"/>
      <c r="S439" s="17">
        <v>0.93696350000000006</v>
      </c>
      <c r="T439" s="15">
        <v>28.8</v>
      </c>
      <c r="U439" s="15">
        <v>30.67</v>
      </c>
      <c r="V439" s="15">
        <v>33.15</v>
      </c>
      <c r="W439" s="14" t="s">
        <v>342</v>
      </c>
      <c r="X439" s="14">
        <v>1</v>
      </c>
      <c r="Y439" s="10">
        <f>AC439-AB439</f>
        <v>53290</v>
      </c>
      <c r="Z439" s="18">
        <v>59</v>
      </c>
      <c r="AA439" s="18">
        <v>161</v>
      </c>
      <c r="AB439" s="18">
        <v>8</v>
      </c>
      <c r="AC439" s="18">
        <v>53298</v>
      </c>
      <c r="AD439" s="1" t="s">
        <v>2050</v>
      </c>
      <c r="AE439" s="1" t="s">
        <v>2089</v>
      </c>
      <c r="AF439" s="4">
        <v>4.9000000000000004</v>
      </c>
      <c r="AG439" s="4">
        <v>5.82</v>
      </c>
    </row>
    <row r="440" spans="1:33" ht="47.25" customHeight="1" x14ac:dyDescent="0.25">
      <c r="A440" s="10" t="s">
        <v>1937</v>
      </c>
      <c r="B440" s="11" t="s">
        <v>33</v>
      </c>
      <c r="C440" s="12" t="s">
        <v>1938</v>
      </c>
      <c r="D440" s="27"/>
      <c r="E440" s="14" t="s">
        <v>35</v>
      </c>
      <c r="F440" s="11" t="str">
        <f>HYPERLINK("https://redirect.sdcdeals.com/redirect?destination=https%3A%2F%2Fwww.amazon.com%2Fdp%2FB0BGV9NR52%3Fth%3D1%26psc%3D1%26tag%3Dsdcdeals03-20", "Amazon Link")</f>
        <v>Amazon Link</v>
      </c>
      <c r="G440" s="11" t="s">
        <v>36</v>
      </c>
      <c r="H440" s="14" t="s">
        <v>1939</v>
      </c>
      <c r="I440" s="11" t="str">
        <f>HYPERLINK("https://redirect.sdcdeals.com/redirect?code=763034&amp;mavely=https://mavely.app.link/e/bhESV2wGrGb&amp;destination=https%3A%2F%2Fwww.kohls.com%2Fsearch.jsp%3Fsubmit-search%3Dweb-regular%26search%3D79034051", "Retail Link")</f>
        <v>Retail Link</v>
      </c>
      <c r="J440" s="14" t="s">
        <v>1940</v>
      </c>
      <c r="K440" s="13" t="s">
        <v>1941</v>
      </c>
      <c r="L440" s="15">
        <v>14.295999999999999</v>
      </c>
      <c r="M440" s="15">
        <v>41</v>
      </c>
      <c r="N440" s="15">
        <v>13.474</v>
      </c>
      <c r="O440" s="15">
        <f>V440-M440</f>
        <v>-4.3699999999999974</v>
      </c>
      <c r="P440" s="16">
        <f>N440/L440</f>
        <v>0.94250139899272534</v>
      </c>
      <c r="Q440" s="14">
        <v>20186</v>
      </c>
      <c r="R440" s="14"/>
      <c r="S440" s="17">
        <v>1.1684486000000001</v>
      </c>
      <c r="T440" s="15">
        <v>37.61</v>
      </c>
      <c r="U440" s="15">
        <v>38.03</v>
      </c>
      <c r="V440" s="15">
        <v>36.630000000000003</v>
      </c>
      <c r="W440" s="14" t="s">
        <v>269</v>
      </c>
      <c r="X440" s="14">
        <v>13</v>
      </c>
      <c r="Y440" s="10">
        <f>AC440-AB440</f>
        <v>14217</v>
      </c>
      <c r="Z440" s="18">
        <v>56</v>
      </c>
      <c r="AA440" s="18">
        <v>175</v>
      </c>
      <c r="AB440" s="18">
        <v>13</v>
      </c>
      <c r="AC440" s="18">
        <v>14230</v>
      </c>
      <c r="AD440" s="1" t="s">
        <v>1942</v>
      </c>
      <c r="AE440" s="1" t="s">
        <v>1943</v>
      </c>
      <c r="AF440" s="4">
        <v>6.97</v>
      </c>
      <c r="AG440" s="4">
        <v>7.08</v>
      </c>
    </row>
    <row r="441" spans="1:33" ht="47.25" customHeight="1" x14ac:dyDescent="0.25">
      <c r="A441" s="10" t="s">
        <v>5666</v>
      </c>
      <c r="B441" s="11" t="s">
        <v>33</v>
      </c>
      <c r="C441" s="12" t="s">
        <v>5667</v>
      </c>
      <c r="D441" s="27"/>
      <c r="E441" s="14" t="s">
        <v>35</v>
      </c>
      <c r="F441" s="11" t="str">
        <f>HYPERLINK("https://redirect.sdcdeals.com/redirect?destination=https%3A%2F%2Fwww.amazon.com%2Fdp%2FB0C81SWYSX%3Fth%3D1%26psc%3D1%26tag%3Dsdcdeals03-20", "Amazon Link")</f>
        <v>Amazon Link</v>
      </c>
      <c r="G441" s="11" t="s">
        <v>36</v>
      </c>
      <c r="H441" s="14" t="s">
        <v>5668</v>
      </c>
      <c r="I441" s="11" t="str">
        <f>HYPERLINK("https://redirect.sdcdeals.com/redirect?code=763034&amp;mavely=https://mavely.app.link/e/bhESV2wGrGb&amp;destination=https%3A%2F%2Fwww.kohls.com%2Fsearch.jsp%3Fsubmit-search%3Dweb-regular%26search%3D73070722", "Retail Link")</f>
        <v>Retail Link</v>
      </c>
      <c r="J441" s="14" t="s">
        <v>5669</v>
      </c>
      <c r="K441" s="13" t="s">
        <v>5670</v>
      </c>
      <c r="L441" s="15">
        <v>12.48</v>
      </c>
      <c r="M441" s="15">
        <v>35.29</v>
      </c>
      <c r="N441" s="15">
        <v>11.6965</v>
      </c>
      <c r="O441" s="15">
        <f>V441-M441</f>
        <v>-7.18</v>
      </c>
      <c r="P441" s="16">
        <f>N441/L441</f>
        <v>0.93721955128205126</v>
      </c>
      <c r="Q441" s="14">
        <v>428869</v>
      </c>
      <c r="R441" s="14"/>
      <c r="S441" s="17">
        <v>0.5401319</v>
      </c>
      <c r="T441" s="15">
        <v>27.34</v>
      </c>
      <c r="U441" s="15">
        <v>21.56</v>
      </c>
      <c r="V441" s="15">
        <v>28.11</v>
      </c>
      <c r="W441" s="14" t="s">
        <v>3815</v>
      </c>
      <c r="X441" s="14">
        <v>8</v>
      </c>
      <c r="Y441" s="10">
        <f>AC441-AB441</f>
        <v>17</v>
      </c>
      <c r="Z441" s="18">
        <v>18</v>
      </c>
      <c r="AA441" s="18">
        <v>59</v>
      </c>
      <c r="AB441" s="18">
        <v>1</v>
      </c>
      <c r="AC441" s="18">
        <v>18</v>
      </c>
      <c r="AD441" s="1" t="s">
        <v>5671</v>
      </c>
      <c r="AE441" s="1" t="s">
        <v>5672</v>
      </c>
      <c r="AF441" s="4">
        <v>6</v>
      </c>
      <c r="AG441" s="4">
        <v>5.82</v>
      </c>
    </row>
    <row r="442" spans="1:33" ht="47.25" customHeight="1" x14ac:dyDescent="0.25">
      <c r="A442" s="10" t="s">
        <v>1121</v>
      </c>
      <c r="B442" s="11" t="s">
        <v>33</v>
      </c>
      <c r="C442" s="12" t="s">
        <v>1122</v>
      </c>
      <c r="D442" s="27"/>
      <c r="E442" s="14" t="s">
        <v>35</v>
      </c>
      <c r="F442" s="11" t="str">
        <f>HYPERLINK("https://redirect.sdcdeals.com/redirect?destination=https%3A%2F%2Fwww.amazon.com%2Fdp%2FB0BM1XLG5B%3Fth%3D1%26psc%3D1%26tag%3Dsdcdeals03-20", "Amazon Link")</f>
        <v>Amazon Link</v>
      </c>
      <c r="G442" s="11" t="s">
        <v>36</v>
      </c>
      <c r="H442" s="14" t="s">
        <v>1123</v>
      </c>
      <c r="I442" s="11" t="str">
        <f>HYPERLINK("https://redirect.sdcdeals.com/redirect?code=763034&amp;mavely=https://mavely.app.link/e/bhESV2wGrGb&amp;destination=https%3A%2F%2Fwww.kohls.com%2Fsearch.jsp%3Fsubmit-search%3Dweb-regular%26search%3D78173788", "Retail Link")</f>
        <v>Retail Link</v>
      </c>
      <c r="J442" s="14" t="s">
        <v>1124</v>
      </c>
      <c r="K442" s="13" t="s">
        <v>1125</v>
      </c>
      <c r="L442" s="15">
        <v>5.9920000000000009</v>
      </c>
      <c r="M442" s="15">
        <v>19</v>
      </c>
      <c r="N442" s="15">
        <v>5.607999999999997</v>
      </c>
      <c r="O442" s="15">
        <f>V442-M442</f>
        <v>0.55999999999999872</v>
      </c>
      <c r="P442" s="16">
        <f>N442/L442</f>
        <v>0.93591455273698199</v>
      </c>
      <c r="Q442" s="14">
        <v>220126</v>
      </c>
      <c r="R442" s="14"/>
      <c r="S442" s="17">
        <v>0.13007257999999999</v>
      </c>
      <c r="T442" s="15">
        <v>19</v>
      </c>
      <c r="U442" s="15">
        <v>19.12</v>
      </c>
      <c r="V442" s="15">
        <v>19.559999999999999</v>
      </c>
      <c r="W442" s="14" t="s">
        <v>330</v>
      </c>
      <c r="X442" s="14">
        <v>4</v>
      </c>
      <c r="Y442" s="10">
        <f>AC442-AB442</f>
        <v>9</v>
      </c>
      <c r="Z442" s="18">
        <v>1</v>
      </c>
      <c r="AA442" s="18">
        <v>8</v>
      </c>
      <c r="AB442" s="18">
        <v>1</v>
      </c>
      <c r="AC442" s="18">
        <v>10</v>
      </c>
      <c r="AF442" s="4">
        <v>2.85</v>
      </c>
      <c r="AG442" s="4">
        <v>4.55</v>
      </c>
    </row>
    <row r="443" spans="1:33" ht="47.25" customHeight="1" x14ac:dyDescent="0.25">
      <c r="A443" s="10" t="s">
        <v>5903</v>
      </c>
      <c r="B443" s="11" t="s">
        <v>33</v>
      </c>
      <c r="C443" s="12" t="s">
        <v>5904</v>
      </c>
      <c r="D443" s="27"/>
      <c r="E443" s="14" t="s">
        <v>35</v>
      </c>
      <c r="F443" s="11" t="str">
        <f>HYPERLINK("https://redirect.sdcdeals.com/redirect?destination=https%3A%2F%2Fwww.amazon.com%2Fdp%2FB09LF1HJY3%3Fth%3D1%26psc%3D1%26tag%3Dsdcdeals03-20", "Amazon Link")</f>
        <v>Amazon Link</v>
      </c>
      <c r="G443" s="11" t="s">
        <v>36</v>
      </c>
      <c r="H443" s="14" t="s">
        <v>5905</v>
      </c>
      <c r="I443" s="11" t="str">
        <f>HYPERLINK("https://redirect.sdcdeals.com/redirect?code=763034&amp;mavely=https://mavely.app.link/e/bhESV2wGrGb&amp;destination=https%3A%2F%2Fwww.kohls.com%2Fsearch.jsp%3Fsubmit-search%3Dweb-regular%26search%3D75460045", "Retail Link")</f>
        <v>Retail Link</v>
      </c>
      <c r="J443" s="14" t="s">
        <v>5900</v>
      </c>
      <c r="K443" s="13" t="s">
        <v>5906</v>
      </c>
      <c r="L443" s="15">
        <v>17.591999999999999</v>
      </c>
      <c r="M443" s="15">
        <v>48.33</v>
      </c>
      <c r="N443" s="15">
        <v>16.4085</v>
      </c>
      <c r="O443" s="15">
        <f>V443-M443</f>
        <v>38.519999999999996</v>
      </c>
      <c r="P443" s="16">
        <f>N443/L443</f>
        <v>0.93272510231923611</v>
      </c>
      <c r="Q443" s="14">
        <v>2309980</v>
      </c>
      <c r="R443" s="14"/>
      <c r="S443" s="17">
        <v>1.8298346000000001</v>
      </c>
      <c r="T443" s="15">
        <v>40.380000000000003</v>
      </c>
      <c r="U443" s="15">
        <v>86.48</v>
      </c>
      <c r="V443" s="15">
        <v>86.85</v>
      </c>
      <c r="W443" s="14" t="s">
        <v>269</v>
      </c>
      <c r="X443" s="14">
        <v>3</v>
      </c>
      <c r="Y443" s="10">
        <f>AC443-AB443</f>
        <v>16</v>
      </c>
      <c r="Z443" s="18">
        <v>0</v>
      </c>
      <c r="AA443" s="18">
        <v>0</v>
      </c>
      <c r="AB443" s="18">
        <v>0</v>
      </c>
      <c r="AC443" s="18">
        <v>16</v>
      </c>
      <c r="AD443" s="1" t="s">
        <v>5902</v>
      </c>
      <c r="AE443" s="1" t="s">
        <v>3567</v>
      </c>
      <c r="AF443" s="4">
        <v>7.25</v>
      </c>
      <c r="AG443" s="4">
        <v>7.08</v>
      </c>
    </row>
    <row r="444" spans="1:33" ht="47.25" customHeight="1" x14ac:dyDescent="0.25">
      <c r="A444" s="10" t="s">
        <v>6738</v>
      </c>
      <c r="B444" s="11" t="s">
        <v>33</v>
      </c>
      <c r="C444" s="12" t="s">
        <v>6739</v>
      </c>
      <c r="D444" s="27"/>
      <c r="E444" s="14" t="s">
        <v>35</v>
      </c>
      <c r="F444" s="11" t="str">
        <f>HYPERLINK("https://redirect.sdcdeals.com/redirect?destination=https%3A%2F%2Fwww.amazon.com%2Fdp%2FB0BFV739QT%3Fth%3D1%26psc%3D1%26tag%3Dsdcdeals03-20", "Amazon Link")</f>
        <v>Amazon Link</v>
      </c>
      <c r="G444" s="11" t="s">
        <v>36</v>
      </c>
      <c r="H444" s="14" t="s">
        <v>6740</v>
      </c>
      <c r="I444" s="11" t="str">
        <f>HYPERLINK("https://redirect.sdcdeals.com/redirect?code=763034&amp;mavely=https://mavely.app.link/e/bhESV2wGrGb&amp;destination=https%3A%2F%2Fwww.kohls.com%2Fsearch.jsp%3Fsubmit-search%3Dweb-regular%26search%3D77474812", "Retail Link")</f>
        <v>Retail Link</v>
      </c>
      <c r="J444" s="14" t="s">
        <v>6710</v>
      </c>
      <c r="K444" s="13" t="s">
        <v>6741</v>
      </c>
      <c r="L444" s="15">
        <v>63</v>
      </c>
      <c r="M444" s="15">
        <v>162.57</v>
      </c>
      <c r="N444" s="15">
        <v>58.734499999999983</v>
      </c>
      <c r="O444" s="15">
        <f>V444-M444</f>
        <v>0</v>
      </c>
      <c r="P444" s="16">
        <f>N444/L444</f>
        <v>0.93229365079365056</v>
      </c>
      <c r="Q444" s="14">
        <v>3639163</v>
      </c>
      <c r="R444" s="14"/>
      <c r="S444" s="17">
        <v>3.28047456</v>
      </c>
      <c r="T444" s="15"/>
      <c r="U444" s="15"/>
      <c r="V444" s="15">
        <v>162.57</v>
      </c>
      <c r="W444" s="14" t="s">
        <v>60</v>
      </c>
      <c r="X444" s="14"/>
      <c r="Y444" s="10">
        <f>AC444-AB444</f>
        <v>8</v>
      </c>
      <c r="Z444" s="18">
        <v>0</v>
      </c>
      <c r="AA444" s="18">
        <v>1</v>
      </c>
      <c r="AB444" s="18">
        <v>1</v>
      </c>
      <c r="AC444" s="18">
        <v>9</v>
      </c>
      <c r="AD444" s="1" t="s">
        <v>6712</v>
      </c>
      <c r="AE444" s="1" t="s">
        <v>6717</v>
      </c>
      <c r="AG444" s="4">
        <v>16.45</v>
      </c>
    </row>
    <row r="445" spans="1:33" ht="47.25" customHeight="1" x14ac:dyDescent="0.25">
      <c r="A445" s="10" t="s">
        <v>1720</v>
      </c>
      <c r="B445" s="11" t="s">
        <v>33</v>
      </c>
      <c r="C445" s="12" t="s">
        <v>1721</v>
      </c>
      <c r="D445" s="27"/>
      <c r="E445" s="14" t="s">
        <v>35</v>
      </c>
      <c r="F445" s="11" t="str">
        <f>HYPERLINK("https://redirect.sdcdeals.com/redirect?destination=https%3A%2F%2Fwww.amazon.com%2Fdp%2FB08NYJFFQB%3Fth%3D1%26psc%3D1%26tag%3Dsdcdeals03-20", "Amazon Link")</f>
        <v>Amazon Link</v>
      </c>
      <c r="G445" s="11" t="s">
        <v>36</v>
      </c>
      <c r="H445" s="14" t="s">
        <v>1722</v>
      </c>
      <c r="I445" s="11" t="str">
        <f>HYPERLINK("https://redirect.sdcdeals.com/redirect?code=763034&amp;mavely=https://mavely.app.link/e/bhESV2wGrGb&amp;destination=https%3A%2F%2Fwww.kohls.com%2Fsearch.jsp%3Fsubmit-search%3Dweb-regular%26search%3D75742817", "Retail Link")</f>
        <v>Retail Link</v>
      </c>
      <c r="J445" s="14" t="s">
        <v>1701</v>
      </c>
      <c r="K445" s="13" t="s">
        <v>1723</v>
      </c>
      <c r="L445" s="15">
        <v>15.4</v>
      </c>
      <c r="M445" s="15">
        <v>42.85</v>
      </c>
      <c r="N445" s="15">
        <v>14.352499999999999</v>
      </c>
      <c r="O445" s="15">
        <f>V445-M445</f>
        <v>-3.509999999999998</v>
      </c>
      <c r="P445" s="16">
        <f>N445/L445</f>
        <v>0.93198051948051941</v>
      </c>
      <c r="Q445" s="14">
        <v>1373793</v>
      </c>
      <c r="R445" s="14"/>
      <c r="S445" s="17">
        <v>0.70547840000000006</v>
      </c>
      <c r="T445" s="15">
        <v>39.99</v>
      </c>
      <c r="U445" s="15">
        <v>41.77</v>
      </c>
      <c r="V445" s="15">
        <v>39.340000000000003</v>
      </c>
      <c r="W445" s="14" t="s">
        <v>843</v>
      </c>
      <c r="X445" s="14">
        <v>9</v>
      </c>
      <c r="Y445" s="10">
        <f>AC445-AB445</f>
        <v>0</v>
      </c>
      <c r="Z445" s="18">
        <v>5</v>
      </c>
      <c r="AA445" s="18">
        <v>78</v>
      </c>
      <c r="AB445" s="18">
        <v>8</v>
      </c>
      <c r="AC445" s="18">
        <v>8</v>
      </c>
      <c r="AD445" s="1" t="s">
        <v>1704</v>
      </c>
      <c r="AE445" s="1" t="s">
        <v>1490</v>
      </c>
      <c r="AF445" s="4">
        <v>7.28</v>
      </c>
      <c r="AG445" s="4">
        <v>6.67</v>
      </c>
    </row>
    <row r="446" spans="1:33" ht="47.25" customHeight="1" x14ac:dyDescent="0.25">
      <c r="A446" s="10" t="s">
        <v>6901</v>
      </c>
      <c r="B446" s="11" t="s">
        <v>33</v>
      </c>
      <c r="C446" s="12" t="s">
        <v>6902</v>
      </c>
      <c r="D446" s="27"/>
      <c r="E446" s="14" t="s">
        <v>35</v>
      </c>
      <c r="F446" s="11" t="str">
        <f>HYPERLINK("https://redirect.sdcdeals.com/redirect?destination=https%3A%2F%2Fwww.amazon.com%2Fdp%2FB0BKR38ZX3%3Fth%3D1%26psc%3D1%26tag%3Dsdcdeals03-20", "Amazon Link")</f>
        <v>Amazon Link</v>
      </c>
      <c r="G446" s="11" t="s">
        <v>36</v>
      </c>
      <c r="H446" s="14" t="s">
        <v>6903</v>
      </c>
      <c r="I446" s="11" t="str">
        <f>HYPERLINK("https://redirect.sdcdeals.com/redirect?code=763034&amp;mavely=https://mavely.app.link/e/bhESV2wGrGb&amp;destination=https%3A%2F%2Fwww.kohls.com%2Fsearch.jsp%3Fsubmit-search%3Dweb-regular%26search%3D81836388", "Retail Link")</f>
        <v>Retail Link</v>
      </c>
      <c r="J446" s="14" t="s">
        <v>6897</v>
      </c>
      <c r="K446" s="13" t="s">
        <v>6904</v>
      </c>
      <c r="L446" s="15">
        <v>13</v>
      </c>
      <c r="M446" s="15">
        <v>36.479999999999997</v>
      </c>
      <c r="N446" s="15">
        <v>12.108000000000001</v>
      </c>
      <c r="O446" s="15">
        <f>V446-M446</f>
        <v>-2.9099999999999966</v>
      </c>
      <c r="P446" s="16">
        <f>N446/L446</f>
        <v>0.93138461538461548</v>
      </c>
      <c r="Q446" s="14">
        <v>473134</v>
      </c>
      <c r="R446" s="14"/>
      <c r="S446" s="17">
        <v>0.41887780000000002</v>
      </c>
      <c r="T446" s="15">
        <v>29.99</v>
      </c>
      <c r="U446" s="15">
        <v>30.64</v>
      </c>
      <c r="V446" s="15">
        <v>33.57</v>
      </c>
      <c r="W446" s="14" t="s">
        <v>290</v>
      </c>
      <c r="X446" s="14">
        <v>2</v>
      </c>
      <c r="Y446" s="10">
        <f>AC446-AB446</f>
        <v>15</v>
      </c>
      <c r="Z446" s="18">
        <v>10</v>
      </c>
      <c r="AA446" s="18">
        <v>34</v>
      </c>
      <c r="AB446" s="18">
        <v>0</v>
      </c>
      <c r="AC446" s="18">
        <v>15</v>
      </c>
      <c r="AD446" s="1" t="s">
        <v>6899</v>
      </c>
      <c r="AE446" s="1" t="s">
        <v>6905</v>
      </c>
      <c r="AF446" s="4">
        <v>6.2</v>
      </c>
      <c r="AG446" s="4">
        <v>5.9</v>
      </c>
    </row>
    <row r="447" spans="1:33" ht="47.25" customHeight="1" x14ac:dyDescent="0.25">
      <c r="A447" s="10" t="s">
        <v>6077</v>
      </c>
      <c r="B447" s="11" t="s">
        <v>33</v>
      </c>
      <c r="C447" s="12" t="s">
        <v>6078</v>
      </c>
      <c r="D447" s="27"/>
      <c r="E447" s="14" t="s">
        <v>35</v>
      </c>
      <c r="F447" s="11" t="str">
        <f>HYPERLINK("https://redirect.sdcdeals.com/redirect?destination=https%3A%2F%2Fwww.amazon.com%2Fdp%2FB0BFV741Q4%3Fth%3D1%26psc%3D1%26tag%3Dsdcdeals03-20", "Amazon Link")</f>
        <v>Amazon Link</v>
      </c>
      <c r="G447" s="11" t="s">
        <v>36</v>
      </c>
      <c r="H447" s="14" t="s">
        <v>6079</v>
      </c>
      <c r="I447" s="11" t="str">
        <f>HYPERLINK("https://redirect.sdcdeals.com/redirect?code=763034&amp;mavely=https://mavely.app.link/e/bhESV2wGrGb&amp;destination=https%3A%2F%2Fwww.kohls.com%2Fsearch.jsp%3Fsubmit-search%3Dweb-regular%26search%3D66293132", "Retail Link")</f>
        <v>Retail Link</v>
      </c>
      <c r="J447" s="14" t="s">
        <v>6065</v>
      </c>
      <c r="K447" s="13" t="s">
        <v>6080</v>
      </c>
      <c r="L447" s="15">
        <v>54</v>
      </c>
      <c r="M447" s="15">
        <v>139.35</v>
      </c>
      <c r="N447" s="15">
        <v>50.277499999999989</v>
      </c>
      <c r="O447" s="15">
        <f>V447-M447</f>
        <v>0</v>
      </c>
      <c r="P447" s="16">
        <f>N447/L447</f>
        <v>0.93106481481481462</v>
      </c>
      <c r="Q447" s="14">
        <v>2561331</v>
      </c>
      <c r="R447" s="14"/>
      <c r="S447" s="17">
        <v>2.5992469800000002</v>
      </c>
      <c r="T447" s="15"/>
      <c r="U447" s="15"/>
      <c r="V447" s="15">
        <v>139.35</v>
      </c>
      <c r="W447" s="14" t="s">
        <v>705</v>
      </c>
      <c r="X447" s="14"/>
      <c r="Y447" s="10">
        <f>AC447-AB447</f>
        <v>1</v>
      </c>
      <c r="Z447" s="18">
        <v>0</v>
      </c>
      <c r="AA447" s="18">
        <v>1</v>
      </c>
      <c r="AB447" s="18">
        <v>0</v>
      </c>
      <c r="AC447" s="18">
        <v>1</v>
      </c>
      <c r="AD447" s="1" t="s">
        <v>6067</v>
      </c>
      <c r="AE447" s="1" t="s">
        <v>6081</v>
      </c>
      <c r="AG447" s="4">
        <v>14.17</v>
      </c>
    </row>
    <row r="448" spans="1:33" ht="47.25" customHeight="1" x14ac:dyDescent="0.25">
      <c r="A448" s="10" t="s">
        <v>2214</v>
      </c>
      <c r="B448" s="11" t="s">
        <v>33</v>
      </c>
      <c r="C448" s="12" t="s">
        <v>2215</v>
      </c>
      <c r="D448" s="27"/>
      <c r="E448" s="14" t="s">
        <v>35</v>
      </c>
      <c r="F448" s="11" t="str">
        <f>HYPERLINK("https://redirect.sdcdeals.com/redirect?destination=https%3A%2F%2Fwww.amazon.com%2Fdp%2FB0BKQWYH4T%3Fth%3D1%26psc%3D1%26tag%3Dsdcdeals03-20", "Amazon Link")</f>
        <v>Amazon Link</v>
      </c>
      <c r="G448" s="11" t="s">
        <v>36</v>
      </c>
      <c r="H448" s="14" t="s">
        <v>2216</v>
      </c>
      <c r="I448" s="11" t="str">
        <f>HYPERLINK("https://redirect.sdcdeals.com/redirect?code=763034&amp;mavely=https://mavely.app.link/e/bhESV2wGrGb&amp;destination=https%3A%2F%2Fwww.kohls.com%2Fsearch.jsp%3Fsubmit-search%3Dweb-regular%26search%3D62949705", "Retail Link")</f>
        <v>Retail Link</v>
      </c>
      <c r="J448" s="14" t="s">
        <v>2210</v>
      </c>
      <c r="K448" s="13" t="s">
        <v>2217</v>
      </c>
      <c r="L448" s="15">
        <v>52.8</v>
      </c>
      <c r="M448" s="15">
        <v>136.47999999999999</v>
      </c>
      <c r="N448" s="15">
        <v>49.037999999999982</v>
      </c>
      <c r="O448" s="15">
        <f>V448-M448</f>
        <v>7.710000000000008</v>
      </c>
      <c r="P448" s="16">
        <f>N448/L448</f>
        <v>0.92874999999999974</v>
      </c>
      <c r="Q448" s="14">
        <v>1323131</v>
      </c>
      <c r="R448" s="14"/>
      <c r="S448" s="17">
        <v>2.2707586000000002</v>
      </c>
      <c r="T448" s="15">
        <v>136.47999999999999</v>
      </c>
      <c r="U448" s="15">
        <v>148.84</v>
      </c>
      <c r="V448" s="15">
        <v>144.19</v>
      </c>
      <c r="W448" s="14" t="s">
        <v>781</v>
      </c>
      <c r="X448" s="14">
        <v>2</v>
      </c>
      <c r="Y448" s="10">
        <f>AC448-AB448</f>
        <v>8</v>
      </c>
      <c r="Z448" s="18">
        <v>5</v>
      </c>
      <c r="AA448" s="18">
        <v>16</v>
      </c>
      <c r="AB448" s="18">
        <v>0</v>
      </c>
      <c r="AC448" s="18">
        <v>8</v>
      </c>
      <c r="AD448" s="1" t="s">
        <v>2212</v>
      </c>
      <c r="AE448" s="1" t="s">
        <v>1406</v>
      </c>
      <c r="AF448" s="4">
        <v>23.2</v>
      </c>
      <c r="AG448" s="4">
        <v>14.17</v>
      </c>
    </row>
    <row r="449" spans="1:33" ht="47.25" customHeight="1" x14ac:dyDescent="0.25">
      <c r="A449" s="10" t="s">
        <v>2190</v>
      </c>
      <c r="B449" s="11" t="s">
        <v>33</v>
      </c>
      <c r="C449" s="12" t="s">
        <v>2191</v>
      </c>
      <c r="D449" s="27"/>
      <c r="E449" s="14" t="s">
        <v>35</v>
      </c>
      <c r="F449" s="11" t="str">
        <f>HYPERLINK("https://redirect.sdcdeals.com/redirect?destination=https%3A%2F%2Fwww.amazon.com%2Fdp%2FB08FVNSH9S%3Fth%3D1%26psc%3D1%26tag%3Dsdcdeals03-20", "Amazon Link")</f>
        <v>Amazon Link</v>
      </c>
      <c r="G449" s="11" t="s">
        <v>36</v>
      </c>
      <c r="H449" s="14" t="s">
        <v>2192</v>
      </c>
      <c r="I449" s="11" t="str">
        <f>HYPERLINK("https://redirect.sdcdeals.com/redirect?code=763034&amp;mavely=https://mavely.app.link/e/bhESV2wGrGb&amp;destination=https%3A%2F%2Fwww.kohls.com%2Fsearch.jsp%3Fsubmit-search%3Dweb-regular%26search%3D77408857", "Retail Link")</f>
        <v>Retail Link</v>
      </c>
      <c r="J449" s="14" t="s">
        <v>2173</v>
      </c>
      <c r="K449" s="13" t="s">
        <v>2193</v>
      </c>
      <c r="L449" s="15">
        <v>15.4</v>
      </c>
      <c r="M449" s="15">
        <v>41.88</v>
      </c>
      <c r="N449" s="15">
        <v>14.298</v>
      </c>
      <c r="O449" s="15">
        <f>V449-M449</f>
        <v>2.1699999999999946</v>
      </c>
      <c r="P449" s="16">
        <f>N449/L449</f>
        <v>0.9284415584415584</v>
      </c>
      <c r="Q449" s="14">
        <v>16913</v>
      </c>
      <c r="R449" s="14"/>
      <c r="S449" s="17">
        <v>0.52910880000000005</v>
      </c>
      <c r="T449" s="15">
        <v>41.85</v>
      </c>
      <c r="U449" s="15">
        <v>40.299999999999997</v>
      </c>
      <c r="V449" s="15">
        <v>44.05</v>
      </c>
      <c r="W449" s="14" t="s">
        <v>613</v>
      </c>
      <c r="X449" s="14">
        <v>3</v>
      </c>
      <c r="Y449" s="10">
        <f>AC449-AB449</f>
        <v>1220</v>
      </c>
      <c r="Z449" s="18">
        <v>46</v>
      </c>
      <c r="AA449" s="18">
        <v>97</v>
      </c>
      <c r="AB449" s="18">
        <v>5</v>
      </c>
      <c r="AC449" s="18">
        <v>1225</v>
      </c>
      <c r="AD449" s="1" t="s">
        <v>2175</v>
      </c>
      <c r="AE449" s="1" t="s">
        <v>1705</v>
      </c>
      <c r="AF449" s="4">
        <v>7.12</v>
      </c>
      <c r="AG449" s="4">
        <v>5.9</v>
      </c>
    </row>
    <row r="450" spans="1:33" ht="47.25" customHeight="1" x14ac:dyDescent="0.25">
      <c r="A450" s="10" t="s">
        <v>2267</v>
      </c>
      <c r="B450" s="11" t="s">
        <v>33</v>
      </c>
      <c r="C450" s="12" t="s">
        <v>2268</v>
      </c>
      <c r="D450" s="27"/>
      <c r="E450" s="14" t="s">
        <v>35</v>
      </c>
      <c r="F450" s="11" t="str">
        <f>HYPERLINK("https://redirect.sdcdeals.com/redirect?destination=https%3A%2F%2Fwww.amazon.com%2Fdp%2FB0BKQX27KS%3Fth%3D1%26psc%3D1%26tag%3Dsdcdeals03-20", "Amazon Link")</f>
        <v>Amazon Link</v>
      </c>
      <c r="G450" s="11" t="s">
        <v>36</v>
      </c>
      <c r="H450" s="14" t="s">
        <v>2269</v>
      </c>
      <c r="I450" s="11" t="str">
        <f>HYPERLINK("https://redirect.sdcdeals.com/redirect?code=763034&amp;mavely=https://mavely.app.link/e/bhESV2wGrGb&amp;destination=https%3A%2F%2Fwww.kohls.com%2Fsearch.jsp%3Fsubmit-search%3Dweb-regular%26search%3D62949708", "Retail Link")</f>
        <v>Retail Link</v>
      </c>
      <c r="J450" s="14" t="s">
        <v>2210</v>
      </c>
      <c r="K450" s="13" t="s">
        <v>2270</v>
      </c>
      <c r="L450" s="15">
        <v>52.8</v>
      </c>
      <c r="M450" s="15">
        <v>129.78</v>
      </c>
      <c r="N450" s="15">
        <v>48.993000000000009</v>
      </c>
      <c r="O450" s="15">
        <f>V450-M450</f>
        <v>-8.3100000000000023</v>
      </c>
      <c r="P450" s="16">
        <f>N450/L450</f>
        <v>0.92789772727272746</v>
      </c>
      <c r="Q450" s="14">
        <v>1316697</v>
      </c>
      <c r="R450" s="14"/>
      <c r="S450" s="17">
        <v>2.5397222400000001</v>
      </c>
      <c r="T450" s="15">
        <v>129.78</v>
      </c>
      <c r="U450" s="15">
        <v>117.43</v>
      </c>
      <c r="V450" s="15">
        <v>121.47</v>
      </c>
      <c r="W450" s="14" t="s">
        <v>1134</v>
      </c>
      <c r="X450" s="14">
        <v>2</v>
      </c>
      <c r="Y450" s="10">
        <f>AC450-AB450</f>
        <v>8</v>
      </c>
      <c r="Z450" s="18">
        <v>5</v>
      </c>
      <c r="AA450" s="18">
        <v>21</v>
      </c>
      <c r="AB450" s="18">
        <v>0</v>
      </c>
      <c r="AC450" s="18">
        <v>8</v>
      </c>
      <c r="AD450" s="1" t="s">
        <v>2212</v>
      </c>
      <c r="AE450" s="1" t="s">
        <v>1406</v>
      </c>
      <c r="AF450" s="4">
        <v>22.06</v>
      </c>
      <c r="AG450" s="4">
        <v>8.52</v>
      </c>
    </row>
    <row r="451" spans="1:33" ht="47.25" customHeight="1" x14ac:dyDescent="0.25">
      <c r="A451" s="10" t="s">
        <v>521</v>
      </c>
      <c r="B451" s="11" t="s">
        <v>33</v>
      </c>
      <c r="C451" s="12" t="s">
        <v>522</v>
      </c>
      <c r="D451" s="27"/>
      <c r="E451" s="14" t="s">
        <v>35</v>
      </c>
      <c r="F451" s="11" t="str">
        <f>HYPERLINK("https://redirect.sdcdeals.com/redirect?destination=https%3A%2F%2Fwww.amazon.com%2Fdp%2FB0BNSJSV9J%3Fth%3D1%26psc%3D1%26tag%3Dsdcdeals03-20", "Amazon Link")</f>
        <v>Amazon Link</v>
      </c>
      <c r="G451" s="11" t="s">
        <v>36</v>
      </c>
      <c r="H451" s="14" t="s">
        <v>523</v>
      </c>
      <c r="I451" s="11" t="str">
        <f>HYPERLINK("https://redirect.sdcdeals.com/redirect?code=763034&amp;mavely=https://mavely.app.link/e/bhESV2wGrGb&amp;destination=https%3A%2F%2Fwww.kohls.com%2Fsearch.jsp%3Fsubmit-search%3Dweb-regular%26search%3D76784484", "Retail Link")</f>
        <v>Retail Link</v>
      </c>
      <c r="J451" s="14" t="s">
        <v>505</v>
      </c>
      <c r="K451" s="13" t="s">
        <v>524</v>
      </c>
      <c r="L451" s="15">
        <v>19.600000000000001</v>
      </c>
      <c r="M451" s="15">
        <v>51.3</v>
      </c>
      <c r="N451" s="15">
        <v>18.105</v>
      </c>
      <c r="O451" s="15">
        <f>V451-M451</f>
        <v>-9.11</v>
      </c>
      <c r="P451" s="16">
        <f>N451/L451</f>
        <v>0.92372448979591837</v>
      </c>
      <c r="Q451" s="14">
        <v>1359101</v>
      </c>
      <c r="R451" s="14"/>
      <c r="S451" s="17">
        <v>0.33069300000000001</v>
      </c>
      <c r="T451" s="15">
        <v>43.35</v>
      </c>
      <c r="U451" s="15">
        <v>43.09</v>
      </c>
      <c r="V451" s="15">
        <v>42.19</v>
      </c>
      <c r="W451" s="14" t="s">
        <v>88</v>
      </c>
      <c r="X451" s="14">
        <v>2</v>
      </c>
      <c r="Y451" s="10">
        <f>AC451-AB451</f>
        <v>5</v>
      </c>
      <c r="Z451" s="18">
        <v>9</v>
      </c>
      <c r="AA451" s="18">
        <v>29</v>
      </c>
      <c r="AB451" s="18">
        <v>0</v>
      </c>
      <c r="AC451" s="18">
        <v>5</v>
      </c>
      <c r="AD451" s="1" t="s">
        <v>507</v>
      </c>
      <c r="AE451" s="1" t="s">
        <v>278</v>
      </c>
      <c r="AF451" s="4">
        <v>8.7200000000000006</v>
      </c>
      <c r="AG451" s="4">
        <v>5.9</v>
      </c>
    </row>
    <row r="452" spans="1:33" ht="47.25" customHeight="1" x14ac:dyDescent="0.25">
      <c r="A452" s="10" t="s">
        <v>2930</v>
      </c>
      <c r="B452" s="11" t="s">
        <v>33</v>
      </c>
      <c r="C452" s="12" t="s">
        <v>2931</v>
      </c>
      <c r="D452" s="27"/>
      <c r="E452" s="14" t="s">
        <v>35</v>
      </c>
      <c r="F452" s="11" t="str">
        <f>HYPERLINK("https://redirect.sdcdeals.com/redirect?destination=https%3A%2F%2Fwww.amazon.com%2Fdp%2FB09KMGBGNK%3Fth%3D1%26psc%3D1%26tag%3Dsdcdeals03-20", "Amazon Link")</f>
        <v>Amazon Link</v>
      </c>
      <c r="G452" s="11" t="s">
        <v>36</v>
      </c>
      <c r="H452" s="14" t="s">
        <v>2932</v>
      </c>
      <c r="I452" s="11" t="str">
        <f>HYPERLINK("https://redirect.sdcdeals.com/redirect?code=763034&amp;mavely=https://mavely.app.link/e/bhESV2wGrGb&amp;destination=https%3A%2F%2Fwww.kohls.com%2Fsearch.jsp%3Fsubmit-search%3Dweb-regular%26search%3D61935480", "Retail Link")</f>
        <v>Retail Link</v>
      </c>
      <c r="J452" s="14" t="s">
        <v>2908</v>
      </c>
      <c r="K452" s="13" t="s">
        <v>2933</v>
      </c>
      <c r="L452" s="15">
        <v>57.2</v>
      </c>
      <c r="M452" s="15">
        <v>144.69</v>
      </c>
      <c r="N452" s="15">
        <v>52.756499999999988</v>
      </c>
      <c r="O452" s="15">
        <f>V452-M452</f>
        <v>-28.340000000000003</v>
      </c>
      <c r="P452" s="16">
        <f>N452/L452</f>
        <v>0.92231643356643334</v>
      </c>
      <c r="Q452" s="14">
        <v>824673</v>
      </c>
      <c r="R452" s="14"/>
      <c r="S452" s="17">
        <v>3.1305603999999998</v>
      </c>
      <c r="T452" s="15">
        <v>144.69</v>
      </c>
      <c r="U452" s="15">
        <v>107.66</v>
      </c>
      <c r="V452" s="15">
        <v>116.35</v>
      </c>
      <c r="W452" s="14" t="s">
        <v>352</v>
      </c>
      <c r="X452" s="14">
        <v>2</v>
      </c>
      <c r="Y452" s="10">
        <f>AC452-AB452</f>
        <v>8</v>
      </c>
      <c r="Z452" s="18">
        <v>7</v>
      </c>
      <c r="AA452" s="18">
        <v>22</v>
      </c>
      <c r="AB452" s="18">
        <v>0</v>
      </c>
      <c r="AC452" s="18">
        <v>8</v>
      </c>
      <c r="AD452" s="1" t="s">
        <v>2911</v>
      </c>
      <c r="AE452" s="1" t="s">
        <v>1211</v>
      </c>
      <c r="AG452" s="4">
        <v>13.03</v>
      </c>
    </row>
    <row r="453" spans="1:33" ht="47.25" customHeight="1" x14ac:dyDescent="0.25">
      <c r="A453" s="10" t="s">
        <v>4128</v>
      </c>
      <c r="B453" s="11" t="s">
        <v>33</v>
      </c>
      <c r="C453" s="12" t="s">
        <v>4129</v>
      </c>
      <c r="D453" s="27"/>
      <c r="E453" s="14" t="s">
        <v>35</v>
      </c>
      <c r="F453" s="11" t="str">
        <f>HYPERLINK("https://redirect.sdcdeals.com/redirect?destination=https%3A%2F%2Fwww.amazon.com%2Fdp%2FB0BKR19GS8%3Fth%3D1%26psc%3D1%26tag%3Dsdcdeals03-20", "Amazon Link")</f>
        <v>Amazon Link</v>
      </c>
      <c r="G453" s="11" t="s">
        <v>36</v>
      </c>
      <c r="H453" s="14" t="s">
        <v>4130</v>
      </c>
      <c r="I453" s="11" t="str">
        <f>HYPERLINK("https://redirect.sdcdeals.com/redirect?code=763034&amp;mavely=https://mavely.app.link/e/bhESV2wGrGb&amp;destination=https%3A%2F%2Fwww.kohls.com%2Fsearch.jsp%3Fsubmit-search%3Dweb-regular%26search%3D71992642", "Retail Link")</f>
        <v>Retail Link</v>
      </c>
      <c r="J453" s="14" t="s">
        <v>4089</v>
      </c>
      <c r="K453" s="13" t="s">
        <v>4131</v>
      </c>
      <c r="L453" s="15">
        <v>39.6</v>
      </c>
      <c r="M453" s="15">
        <v>105.15</v>
      </c>
      <c r="N453" s="15">
        <v>36.3675</v>
      </c>
      <c r="O453" s="15">
        <f>V453-M453</f>
        <v>-21.680000000000007</v>
      </c>
      <c r="P453" s="16">
        <f>N453/L453</f>
        <v>0.91837121212121209</v>
      </c>
      <c r="Q453" s="14">
        <v>594490</v>
      </c>
      <c r="R453" s="14"/>
      <c r="S453" s="17">
        <v>1.3007257999999999</v>
      </c>
      <c r="T453" s="15">
        <v>105.15</v>
      </c>
      <c r="U453" s="15">
        <v>77.11</v>
      </c>
      <c r="V453" s="15">
        <v>83.47</v>
      </c>
      <c r="W453" s="14" t="s">
        <v>2099</v>
      </c>
      <c r="X453" s="14">
        <v>2</v>
      </c>
      <c r="Y453" s="10">
        <f>AC453-AB453</f>
        <v>12</v>
      </c>
      <c r="Z453" s="18">
        <v>8</v>
      </c>
      <c r="AA453" s="18">
        <v>31</v>
      </c>
      <c r="AB453" s="18">
        <v>2</v>
      </c>
      <c r="AC453" s="18">
        <v>14</v>
      </c>
      <c r="AD453" s="1" t="s">
        <v>4091</v>
      </c>
      <c r="AE453" s="1" t="s">
        <v>2213</v>
      </c>
      <c r="AF453" s="4">
        <v>17.88</v>
      </c>
      <c r="AG453" s="4">
        <v>13.41</v>
      </c>
    </row>
    <row r="454" spans="1:33" ht="47.25" customHeight="1" x14ac:dyDescent="0.25">
      <c r="A454" s="10" t="s">
        <v>56</v>
      </c>
      <c r="B454" s="11" t="s">
        <v>33</v>
      </c>
      <c r="C454" s="12" t="s">
        <v>57</v>
      </c>
      <c r="D454" s="27"/>
      <c r="E454" s="14" t="s">
        <v>35</v>
      </c>
      <c r="F454" s="11" t="str">
        <f>HYPERLINK("https://redirect.sdcdeals.com/redirect?destination=https%3A%2F%2Fwww.amazon.com%2Fdp%2FB0C3SSVTCH%3Fth%3D1%26psc%3D1%26tag%3Dsdcdeals03-20", "Amazon Link")</f>
        <v>Amazon Link</v>
      </c>
      <c r="G454" s="11" t="s">
        <v>36</v>
      </c>
      <c r="H454" s="14" t="s">
        <v>58</v>
      </c>
      <c r="I454" s="11" t="str">
        <f>HYPERLINK("https://redirect.sdcdeals.com/redirect?code=763034&amp;mavely=https://mavely.app.link/e/bhESV2wGrGb&amp;destination=https%3A%2F%2Fwww.kohls.com%2Fsearch.jsp%3Fsubmit-search%3Dweb-regular%26search%3D29368541", "Retail Link")</f>
        <v>Retail Link</v>
      </c>
      <c r="J454" s="14" t="s">
        <v>51</v>
      </c>
      <c r="K454" s="13" t="s">
        <v>59</v>
      </c>
      <c r="L454" s="15">
        <v>17.920000000000002</v>
      </c>
      <c r="M454" s="15">
        <v>49.82</v>
      </c>
      <c r="N454" s="15">
        <v>16.387</v>
      </c>
      <c r="O454" s="15">
        <f>V454-M454</f>
        <v>-17.899999999999999</v>
      </c>
      <c r="P454" s="16">
        <f>N454/L454</f>
        <v>0.91445312499999998</v>
      </c>
      <c r="Q454" s="14">
        <v>2586623</v>
      </c>
      <c r="R454" s="14"/>
      <c r="S454" s="17">
        <v>1.08467304</v>
      </c>
      <c r="T454" s="15">
        <v>49.82</v>
      </c>
      <c r="U454" s="15">
        <v>33.75</v>
      </c>
      <c r="V454" s="15">
        <v>31.92</v>
      </c>
      <c r="W454" s="14" t="s">
        <v>60</v>
      </c>
      <c r="X454" s="14">
        <v>1</v>
      </c>
      <c r="Y454" s="10">
        <f>AC454-AB454</f>
        <v>1</v>
      </c>
      <c r="Z454" s="18">
        <v>0</v>
      </c>
      <c r="AA454" s="18">
        <v>8</v>
      </c>
      <c r="AB454" s="18">
        <v>0</v>
      </c>
      <c r="AC454" s="18">
        <v>1</v>
      </c>
      <c r="AD454" s="1" t="s">
        <v>54</v>
      </c>
      <c r="AE454" s="1" t="s">
        <v>61</v>
      </c>
      <c r="AF454" s="4">
        <v>8.4700000000000006</v>
      </c>
      <c r="AG454" s="4">
        <v>8.0399999999999991</v>
      </c>
    </row>
    <row r="455" spans="1:33" ht="47.25" customHeight="1" x14ac:dyDescent="0.25">
      <c r="A455" s="10" t="s">
        <v>2244</v>
      </c>
      <c r="B455" s="11" t="s">
        <v>33</v>
      </c>
      <c r="C455" s="12" t="s">
        <v>2245</v>
      </c>
      <c r="D455" s="27"/>
      <c r="E455" s="14" t="s">
        <v>35</v>
      </c>
      <c r="F455" s="11" t="str">
        <f>HYPERLINK("https://redirect.sdcdeals.com/redirect?destination=https%3A%2F%2Fwww.amazon.com%2Fdp%2FB0BKQY887Z%3Fth%3D1%26psc%3D1%26tag%3Dsdcdeals03-20", "Amazon Link")</f>
        <v>Amazon Link</v>
      </c>
      <c r="G455" s="11" t="s">
        <v>36</v>
      </c>
      <c r="H455" s="14" t="s">
        <v>2246</v>
      </c>
      <c r="I455" s="11" t="str">
        <f>HYPERLINK("https://redirect.sdcdeals.com/redirect?code=763034&amp;mavely=https://mavely.app.link/e/bhESV2wGrGb&amp;destination=https%3A%2F%2Fwww.kohls.com%2Fsearch.jsp%3Fsubmit-search%3Dweb-regular%26search%3D62949716", "Retail Link")</f>
        <v>Retail Link</v>
      </c>
      <c r="J455" s="14" t="s">
        <v>2210</v>
      </c>
      <c r="K455" s="13" t="s">
        <v>2247</v>
      </c>
      <c r="L455" s="15">
        <v>52.8</v>
      </c>
      <c r="M455" s="15">
        <v>136.47999999999999</v>
      </c>
      <c r="N455" s="15">
        <v>48.277999999999977</v>
      </c>
      <c r="O455" s="15">
        <f>V455-M455</f>
        <v>-20.449999999999989</v>
      </c>
      <c r="P455" s="16">
        <f>N455/L455</f>
        <v>0.91435606060606023</v>
      </c>
      <c r="Q455" s="14">
        <v>1362042</v>
      </c>
      <c r="R455" s="14"/>
      <c r="S455" s="17">
        <v>2.70947798</v>
      </c>
      <c r="T455" s="15">
        <v>136.47999999999999</v>
      </c>
      <c r="U455" s="15">
        <v>85</v>
      </c>
      <c r="V455" s="15">
        <v>116.03</v>
      </c>
      <c r="W455" s="14" t="s">
        <v>2248</v>
      </c>
      <c r="X455" s="14">
        <v>2</v>
      </c>
      <c r="Y455" s="10">
        <f>AC455-AB455</f>
        <v>8</v>
      </c>
      <c r="Z455" s="18">
        <v>4</v>
      </c>
      <c r="AA455" s="18">
        <v>27</v>
      </c>
      <c r="AB455" s="18">
        <v>0</v>
      </c>
      <c r="AC455" s="18">
        <v>8</v>
      </c>
      <c r="AD455" s="1" t="s">
        <v>2212</v>
      </c>
      <c r="AE455" s="1" t="s">
        <v>1211</v>
      </c>
      <c r="AG455" s="4">
        <v>14.93</v>
      </c>
    </row>
    <row r="456" spans="1:33" ht="47.25" customHeight="1" x14ac:dyDescent="0.25">
      <c r="A456" s="10" t="s">
        <v>6906</v>
      </c>
      <c r="B456" s="11" t="s">
        <v>33</v>
      </c>
      <c r="C456" s="12" t="s">
        <v>6907</v>
      </c>
      <c r="D456" s="27"/>
      <c r="E456" s="14" t="s">
        <v>35</v>
      </c>
      <c r="F456" s="11" t="str">
        <f>HYPERLINK("https://redirect.sdcdeals.com/redirect?destination=https%3A%2F%2Fwww.amazon.com%2Fdp%2FB0BKR8NJHD%3Fth%3D1%26psc%3D1%26tag%3Dsdcdeals03-20", "Amazon Link")</f>
        <v>Amazon Link</v>
      </c>
      <c r="G456" s="11" t="s">
        <v>36</v>
      </c>
      <c r="H456" s="14" t="s">
        <v>6908</v>
      </c>
      <c r="I456" s="11" t="str">
        <f>HYPERLINK("https://redirect.sdcdeals.com/redirect?code=763034&amp;mavely=https://mavely.app.link/e/bhESV2wGrGb&amp;destination=https%3A%2F%2Fwww.kohls.com%2Fsearch.jsp%3Fsubmit-search%3Dweb-regular%26search%3D81836389", "Retail Link")</f>
        <v>Retail Link</v>
      </c>
      <c r="J456" s="14" t="s">
        <v>6897</v>
      </c>
      <c r="K456" s="13" t="s">
        <v>6909</v>
      </c>
      <c r="L456" s="15">
        <v>13</v>
      </c>
      <c r="M456" s="15">
        <v>36.479999999999997</v>
      </c>
      <c r="N456" s="15">
        <v>11.86799999999999</v>
      </c>
      <c r="O456" s="15">
        <f>V456-M456</f>
        <v>-4.6599999999999966</v>
      </c>
      <c r="P456" s="16">
        <f>N456/L456</f>
        <v>0.91292307692307617</v>
      </c>
      <c r="Q456" s="14">
        <v>283935</v>
      </c>
      <c r="R456" s="14"/>
      <c r="S456" s="17">
        <v>0.47399330000000001</v>
      </c>
      <c r="T456" s="15">
        <v>28.12</v>
      </c>
      <c r="U456" s="15">
        <v>31.28</v>
      </c>
      <c r="V456" s="15">
        <v>31.82</v>
      </c>
      <c r="W456" s="14" t="s">
        <v>2253</v>
      </c>
      <c r="X456" s="14">
        <v>2</v>
      </c>
      <c r="Y456" s="10">
        <f>AC456-AB456</f>
        <v>14</v>
      </c>
      <c r="Z456" s="18">
        <v>9</v>
      </c>
      <c r="AA456" s="18">
        <v>30</v>
      </c>
      <c r="AB456" s="18">
        <v>1</v>
      </c>
      <c r="AC456" s="18">
        <v>15</v>
      </c>
      <c r="AD456" s="1" t="s">
        <v>6899</v>
      </c>
      <c r="AE456" s="1" t="s">
        <v>6905</v>
      </c>
      <c r="AF456" s="4">
        <v>6.2</v>
      </c>
      <c r="AG456" s="4">
        <v>6.14</v>
      </c>
    </row>
    <row r="457" spans="1:33" ht="47.25" customHeight="1" x14ac:dyDescent="0.25">
      <c r="A457" s="10" t="s">
        <v>2912</v>
      </c>
      <c r="B457" s="11" t="s">
        <v>33</v>
      </c>
      <c r="C457" s="12" t="s">
        <v>2913</v>
      </c>
      <c r="D457" s="27"/>
      <c r="E457" s="14" t="s">
        <v>35</v>
      </c>
      <c r="F457" s="11" t="str">
        <f>HYPERLINK("https://redirect.sdcdeals.com/redirect?destination=https%3A%2F%2Fwww.amazon.com%2Fdp%2FB09KMFYH9H%3Fth%3D1%26psc%3D1%26tag%3Dsdcdeals03-20", "Amazon Link")</f>
        <v>Amazon Link</v>
      </c>
      <c r="G457" s="11" t="s">
        <v>36</v>
      </c>
      <c r="H457" s="14" t="s">
        <v>2914</v>
      </c>
      <c r="I457" s="11" t="str">
        <f>HYPERLINK("https://redirect.sdcdeals.com/redirect?code=763034&amp;mavely=https://mavely.app.link/e/bhESV2wGrGb&amp;destination=https%3A%2F%2Fwww.kohls.com%2Fsearch.jsp%3Fsubmit-search%3Dweb-regular%26search%3D61935473", "Retail Link")</f>
        <v>Retail Link</v>
      </c>
      <c r="J457" s="14" t="s">
        <v>2908</v>
      </c>
      <c r="K457" s="13" t="s">
        <v>2915</v>
      </c>
      <c r="L457" s="15">
        <v>57.2</v>
      </c>
      <c r="M457" s="15">
        <v>144.69</v>
      </c>
      <c r="N457" s="15">
        <v>51.996499999999983</v>
      </c>
      <c r="O457" s="15">
        <f>V457-M457</f>
        <v>-21.039999999999992</v>
      </c>
      <c r="P457" s="16">
        <f>N457/L457</f>
        <v>0.90902972027971995</v>
      </c>
      <c r="Q457" s="14">
        <v>824673</v>
      </c>
      <c r="R457" s="14"/>
      <c r="S457" s="17">
        <v>2.72931956</v>
      </c>
      <c r="T457" s="15">
        <v>144.69</v>
      </c>
      <c r="U457" s="15"/>
      <c r="V457" s="15">
        <v>123.65</v>
      </c>
      <c r="W457" s="14" t="s">
        <v>95</v>
      </c>
      <c r="X457" s="14">
        <v>1</v>
      </c>
      <c r="Y457" s="10">
        <f>AC457-AB457</f>
        <v>9</v>
      </c>
      <c r="Z457" s="18">
        <v>14</v>
      </c>
      <c r="AA457" s="18">
        <v>35</v>
      </c>
      <c r="AB457" s="18">
        <v>0</v>
      </c>
      <c r="AC457" s="18">
        <v>9</v>
      </c>
      <c r="AD457" s="1" t="s">
        <v>2911</v>
      </c>
      <c r="AE457" s="1" t="s">
        <v>1211</v>
      </c>
      <c r="AG457" s="4">
        <v>13.79</v>
      </c>
    </row>
    <row r="458" spans="1:33" ht="47.25" customHeight="1" x14ac:dyDescent="0.25">
      <c r="A458" s="10" t="s">
        <v>3833</v>
      </c>
      <c r="B458" s="11" t="s">
        <v>33</v>
      </c>
      <c r="C458" s="12" t="s">
        <v>3834</v>
      </c>
      <c r="D458" s="27"/>
      <c r="E458" s="14" t="s">
        <v>35</v>
      </c>
      <c r="F458" s="11" t="str">
        <f>HYPERLINK("https://redirect.sdcdeals.com/redirect?destination=https%3A%2F%2Fwww.amazon.com%2Fdp%2FB0BGVXJTWM%3Fth%3D1%26psc%3D1%26tag%3Dsdcdeals03-20", "Amazon Link")</f>
        <v>Amazon Link</v>
      </c>
      <c r="G458" s="11" t="s">
        <v>36</v>
      </c>
      <c r="H458" s="14" t="s">
        <v>3835</v>
      </c>
      <c r="I458" s="11" t="str">
        <f>HYPERLINK("https://redirect.sdcdeals.com/redirect?code=763034&amp;mavely=https://mavely.app.link/e/bhESV2wGrGb&amp;destination=https%3A%2F%2Fwww.kohls.com%2Fsearch.jsp%3Fsubmit-search%3Dweb-regular%26search%3D37226369", "Retail Link")</f>
        <v>Retail Link</v>
      </c>
      <c r="J458" s="14" t="s">
        <v>3813</v>
      </c>
      <c r="K458" s="13" t="s">
        <v>3836</v>
      </c>
      <c r="L458" s="15">
        <v>12.6</v>
      </c>
      <c r="M458" s="15">
        <v>35.130000000000003</v>
      </c>
      <c r="N458" s="15">
        <v>11.4405</v>
      </c>
      <c r="O458" s="15">
        <f>V458-M458</f>
        <v>9.0599999999999952</v>
      </c>
      <c r="P458" s="16">
        <f>N458/L458</f>
        <v>0.90797619047619049</v>
      </c>
      <c r="Q458" s="14">
        <v>508841</v>
      </c>
      <c r="R458" s="14"/>
      <c r="S458" s="17">
        <v>0.35053457999999998</v>
      </c>
      <c r="T458" s="15">
        <v>27.03</v>
      </c>
      <c r="U458" s="15">
        <v>43.01</v>
      </c>
      <c r="V458" s="15">
        <v>44.19</v>
      </c>
      <c r="W458" s="14" t="s">
        <v>2797</v>
      </c>
      <c r="X458" s="14">
        <v>7</v>
      </c>
      <c r="Y458" s="10">
        <f>AC458-AB458</f>
        <v>0</v>
      </c>
      <c r="Z458" s="18">
        <v>14</v>
      </c>
      <c r="AA458" s="18">
        <v>45</v>
      </c>
      <c r="AB458" s="18">
        <v>1</v>
      </c>
      <c r="AC458" s="18">
        <v>1</v>
      </c>
      <c r="AD458" s="1" t="s">
        <v>3816</v>
      </c>
      <c r="AE458" s="1" t="s">
        <v>3822</v>
      </c>
      <c r="AF458" s="4">
        <v>5.97</v>
      </c>
      <c r="AG458" s="4">
        <v>5.82</v>
      </c>
    </row>
    <row r="459" spans="1:33" ht="47.25" customHeight="1" x14ac:dyDescent="0.25">
      <c r="A459" s="10" t="s">
        <v>3992</v>
      </c>
      <c r="B459" s="11" t="s">
        <v>33</v>
      </c>
      <c r="C459" s="12" t="s">
        <v>3993</v>
      </c>
      <c r="D459" s="27"/>
      <c r="E459" s="14" t="s">
        <v>35</v>
      </c>
      <c r="F459" s="11" t="str">
        <f>HYPERLINK("https://redirect.sdcdeals.com/redirect?destination=https%3A%2F%2Fwww.amazon.com%2Fdp%2FB0BZDXC318%3Fth%3D1%26psc%3D1%26tag%3Dsdcdeals03-20", "Amazon Link")</f>
        <v>Amazon Link</v>
      </c>
      <c r="G459" s="11" t="s">
        <v>36</v>
      </c>
      <c r="H459" s="14" t="s">
        <v>3994</v>
      </c>
      <c r="I459" s="11" t="str">
        <f>HYPERLINK("https://redirect.sdcdeals.com/redirect?code=763034&amp;mavely=https://mavely.app.link/e/bhESV2wGrGb&amp;destination=https%3A%2F%2Fwww.kohls.com%2Fsearch.jsp%3Fsubmit-search%3Dweb-regular%26search%3D18760742", "Retail Link")</f>
        <v>Retail Link</v>
      </c>
      <c r="J459" s="14" t="s">
        <v>3942</v>
      </c>
      <c r="K459" s="13" t="s">
        <v>3948</v>
      </c>
      <c r="L459" s="15">
        <v>12.48</v>
      </c>
      <c r="M459" s="15">
        <v>41.76</v>
      </c>
      <c r="N459" s="15">
        <v>11.326000000000001</v>
      </c>
      <c r="O459" s="15">
        <f>V459-M459</f>
        <v>3.6499999999999986</v>
      </c>
      <c r="P459" s="16">
        <f>N459/L459</f>
        <v>0.90753205128205128</v>
      </c>
      <c r="Q459" s="14">
        <v>109841</v>
      </c>
      <c r="R459" s="14"/>
      <c r="S459" s="17">
        <v>1.8695177599999999</v>
      </c>
      <c r="T459" s="15">
        <v>41.76</v>
      </c>
      <c r="U459" s="15">
        <v>46.02</v>
      </c>
      <c r="V459" s="15">
        <v>45.41</v>
      </c>
      <c r="W459" s="14" t="s">
        <v>234</v>
      </c>
      <c r="X459" s="14">
        <v>1</v>
      </c>
      <c r="Y459" s="10">
        <f>AC459-AB459</f>
        <v>823</v>
      </c>
      <c r="Z459" s="18">
        <v>23</v>
      </c>
      <c r="AA459" s="18">
        <v>82</v>
      </c>
      <c r="AB459" s="18">
        <v>0</v>
      </c>
      <c r="AC459" s="18">
        <v>823</v>
      </c>
      <c r="AD459" s="1" t="s">
        <v>2991</v>
      </c>
      <c r="AE459" s="1" t="s">
        <v>3949</v>
      </c>
      <c r="AF459" s="4">
        <v>7.1</v>
      </c>
      <c r="AG459" s="4">
        <v>11.69</v>
      </c>
    </row>
    <row r="460" spans="1:33" ht="47.25" customHeight="1" x14ac:dyDescent="0.25">
      <c r="A460" s="10" t="s">
        <v>2234</v>
      </c>
      <c r="B460" s="11" t="s">
        <v>33</v>
      </c>
      <c r="C460" s="12" t="s">
        <v>2235</v>
      </c>
      <c r="D460" s="27"/>
      <c r="E460" s="14" t="s">
        <v>35</v>
      </c>
      <c r="F460" s="11" t="str">
        <f>HYPERLINK("https://redirect.sdcdeals.com/redirect?destination=https%3A%2F%2Fwww.amazon.com%2Fdp%2FB0BKQX3LV1%3Fth%3D1%26psc%3D1%26tag%3Dsdcdeals03-20", "Amazon Link")</f>
        <v>Amazon Link</v>
      </c>
      <c r="G460" s="11" t="s">
        <v>36</v>
      </c>
      <c r="H460" s="14" t="s">
        <v>2236</v>
      </c>
      <c r="I460" s="11" t="str">
        <f>HYPERLINK("https://redirect.sdcdeals.com/redirect?code=763034&amp;mavely=https://mavely.app.link/e/bhESV2wGrGb&amp;destination=https%3A%2F%2Fwww.kohls.com%2Fsearch.jsp%3Fsubmit-search%3Dweb-regular%26search%3D62949715", "Retail Link")</f>
        <v>Retail Link</v>
      </c>
      <c r="J460" s="14" t="s">
        <v>2210</v>
      </c>
      <c r="K460" s="13" t="s">
        <v>2237</v>
      </c>
      <c r="L460" s="15">
        <v>52.8</v>
      </c>
      <c r="M460" s="15">
        <v>136.47999999999999</v>
      </c>
      <c r="N460" s="15">
        <v>47.897999999999982</v>
      </c>
      <c r="O460" s="15">
        <f>V460-M460</f>
        <v>-24.329999999999984</v>
      </c>
      <c r="P460" s="16">
        <f>N460/L460</f>
        <v>0.90715909090909064</v>
      </c>
      <c r="Q460" s="14">
        <v>1340694</v>
      </c>
      <c r="R460" s="14"/>
      <c r="S460" s="17">
        <v>2.44933282</v>
      </c>
      <c r="T460" s="15">
        <v>136.47999999999999</v>
      </c>
      <c r="U460" s="15">
        <v>85</v>
      </c>
      <c r="V460" s="15">
        <v>112.15</v>
      </c>
      <c r="W460" s="14" t="s">
        <v>2238</v>
      </c>
      <c r="X460" s="14">
        <v>2</v>
      </c>
      <c r="Y460" s="10">
        <f>AC460-AB460</f>
        <v>8</v>
      </c>
      <c r="Z460" s="18">
        <v>6</v>
      </c>
      <c r="AA460" s="18">
        <v>28</v>
      </c>
      <c r="AB460" s="18">
        <v>0</v>
      </c>
      <c r="AC460" s="18">
        <v>8</v>
      </c>
      <c r="AD460" s="1" t="s">
        <v>2212</v>
      </c>
      <c r="AE460" s="1" t="s">
        <v>1211</v>
      </c>
      <c r="AG460" s="4">
        <v>15.31</v>
      </c>
    </row>
    <row r="461" spans="1:33" ht="47.25" customHeight="1" x14ac:dyDescent="0.25">
      <c r="A461" s="10" t="s">
        <v>7368</v>
      </c>
      <c r="B461" s="11" t="s">
        <v>33</v>
      </c>
      <c r="C461" s="12" t="s">
        <v>7369</v>
      </c>
      <c r="D461" s="27"/>
      <c r="E461" s="14" t="s">
        <v>35</v>
      </c>
      <c r="F461" s="11" t="str">
        <f>HYPERLINK("https://redirect.sdcdeals.com/redirect?destination=https%3A%2F%2Fwww.amazon.com%2Fdp%2FB0CH6J1BRM%3Fth%3D1%26psc%3D1%26tag%3Dsdcdeals03-20", "Amazon Link")</f>
        <v>Amazon Link</v>
      </c>
      <c r="G461" s="11" t="s">
        <v>36</v>
      </c>
      <c r="H461" s="14" t="s">
        <v>7370</v>
      </c>
      <c r="I461" s="11" t="str">
        <f>HYPERLINK("https://redirect.sdcdeals.com/redirect?code=763034&amp;mavely=https://mavely.app.link/e/bhESV2wGrGb&amp;destination=https%3A%2F%2Fwww.kohls.com%2Fsearch.jsp%3Fsubmit-search%3Dweb-regular%26search%3D49598803", "Retail Link")</f>
        <v>Retail Link</v>
      </c>
      <c r="J461" s="14" t="s">
        <v>7357</v>
      </c>
      <c r="K461" s="13" t="s">
        <v>7371</v>
      </c>
      <c r="L461" s="15">
        <v>16.8</v>
      </c>
      <c r="M461" s="15">
        <v>46.4</v>
      </c>
      <c r="N461" s="15">
        <v>15.24</v>
      </c>
      <c r="O461" s="15">
        <f>V461-M461</f>
        <v>2.8700000000000045</v>
      </c>
      <c r="P461" s="16">
        <f>N461/L461</f>
        <v>0.90714285714285714</v>
      </c>
      <c r="Q461" s="14">
        <v>4409386</v>
      </c>
      <c r="R461" s="14"/>
      <c r="S461" s="17">
        <v>0.82011864000000001</v>
      </c>
      <c r="T461" s="15">
        <v>38.409999999999997</v>
      </c>
      <c r="U461" s="15">
        <v>74.16</v>
      </c>
      <c r="V461" s="15">
        <v>49.27</v>
      </c>
      <c r="W461" s="14" t="s">
        <v>95</v>
      </c>
      <c r="X461" s="14">
        <v>3</v>
      </c>
      <c r="Y461" s="10">
        <f>AC461-AB461</f>
        <v>0</v>
      </c>
      <c r="Z461" s="18">
        <v>0</v>
      </c>
      <c r="AA461" s="18">
        <v>4</v>
      </c>
      <c r="AB461" s="18"/>
      <c r="AC461" s="18"/>
      <c r="AD461" s="1" t="s">
        <v>7359</v>
      </c>
      <c r="AE461" s="1" t="s">
        <v>76</v>
      </c>
      <c r="AF461" s="4">
        <v>7.89</v>
      </c>
      <c r="AG461" s="4">
        <v>7.4</v>
      </c>
    </row>
    <row r="462" spans="1:33" ht="47.25" customHeight="1" x14ac:dyDescent="0.25">
      <c r="A462" s="10" t="s">
        <v>6658</v>
      </c>
      <c r="B462" s="11" t="s">
        <v>33</v>
      </c>
      <c r="C462" s="12" t="s">
        <v>6659</v>
      </c>
      <c r="D462" s="27"/>
      <c r="E462" s="14" t="s">
        <v>35</v>
      </c>
      <c r="F462" s="11" t="str">
        <f>HYPERLINK("https://redirect.sdcdeals.com/redirect?destination=https%3A%2F%2Fwww.amazon.com%2Fdp%2FB09KMJ9KTX%3Fth%3D1%26psc%3D1%26tag%3Dsdcdeals03-20", "Amazon Link")</f>
        <v>Amazon Link</v>
      </c>
      <c r="G462" s="11" t="s">
        <v>36</v>
      </c>
      <c r="H462" s="14" t="s">
        <v>6660</v>
      </c>
      <c r="I462" s="11" t="str">
        <f>HYPERLINK("https://redirect.sdcdeals.com/redirect?code=763034&amp;mavely=https://mavely.app.link/e/bhESV2wGrGb&amp;destination=https%3A%2F%2Fwww.kohls.com%2Fsearch.jsp%3Fsubmit-search%3Dweb-regular%26search%3D62596899", "Retail Link")</f>
        <v>Retail Link</v>
      </c>
      <c r="J462" s="14" t="s">
        <v>6661</v>
      </c>
      <c r="K462" s="13" t="s">
        <v>6662</v>
      </c>
      <c r="L462" s="15">
        <v>15.6</v>
      </c>
      <c r="M462" s="15">
        <v>44</v>
      </c>
      <c r="N462" s="15">
        <v>14.08</v>
      </c>
      <c r="O462" s="15">
        <f>V462-M462</f>
        <v>25.959999999999994</v>
      </c>
      <c r="P462" s="16">
        <f>N462/L462</f>
        <v>0.90256410256410258</v>
      </c>
      <c r="Q462" s="14">
        <v>4880</v>
      </c>
      <c r="R462" s="14"/>
      <c r="S462" s="17">
        <v>1.0141252000000001</v>
      </c>
      <c r="T462" s="15">
        <v>36.01</v>
      </c>
      <c r="U462" s="15">
        <v>62.58</v>
      </c>
      <c r="V462" s="15">
        <v>69.959999999999994</v>
      </c>
      <c r="W462" s="14" t="s">
        <v>582</v>
      </c>
      <c r="X462" s="14">
        <v>3</v>
      </c>
      <c r="Y462" s="10">
        <f>AC462-AB462</f>
        <v>0</v>
      </c>
      <c r="Z462" s="18">
        <v>61</v>
      </c>
      <c r="AA462" s="18">
        <v>183</v>
      </c>
      <c r="AB462" s="18">
        <v>0</v>
      </c>
      <c r="AC462" s="18"/>
      <c r="AD462" s="1" t="s">
        <v>6663</v>
      </c>
      <c r="AE462" s="1" t="s">
        <v>6664</v>
      </c>
      <c r="AF462" s="4">
        <v>7.48</v>
      </c>
      <c r="AG462" s="4">
        <v>7.72</v>
      </c>
    </row>
    <row r="463" spans="1:33" ht="47.25" hidden="1" customHeight="1" x14ac:dyDescent="0.25">
      <c r="A463" s="10" t="s">
        <v>3773</v>
      </c>
      <c r="B463" s="11" t="s">
        <v>33</v>
      </c>
      <c r="C463" s="12" t="s">
        <v>3774</v>
      </c>
      <c r="D463" s="27"/>
      <c r="E463" s="14" t="s">
        <v>35</v>
      </c>
      <c r="F463" s="11" t="str">
        <f>HYPERLINK("https://redirect.sdcdeals.com/redirect?destination=https%3A%2F%2Fwww.amazon.com%2Fdp%2FB0BQ7JRZVY%3Fth%3D1%26psc%3D1%26tag%3Dsdcdeals03-20", "Amazon Link")</f>
        <v>Amazon Link</v>
      </c>
      <c r="G463" s="11" t="s">
        <v>36</v>
      </c>
      <c r="H463" s="14" t="s">
        <v>3775</v>
      </c>
      <c r="I463" s="11" t="str">
        <f>HYPERLINK("https://redirect.sdcdeals.com/redirect?code=763034&amp;mavely=https://mavely.app.link/e/bhESV2wGrGb&amp;destination=https%3A%2F%2Fwww.kohls.com%2Fsearch.jsp%3Fsubmit-search%3Dweb-regular%26search%3D37802345", "Retail Link")</f>
        <v>Retail Link</v>
      </c>
      <c r="J463" s="14" t="s">
        <v>3766</v>
      </c>
      <c r="K463" s="13" t="s">
        <v>3767</v>
      </c>
      <c r="L463" s="15">
        <v>43.2</v>
      </c>
      <c r="M463" s="15">
        <v>111.87</v>
      </c>
      <c r="N463" s="15">
        <v>38.859499999999997</v>
      </c>
      <c r="O463" s="15">
        <f>V463-M463</f>
        <v>55.22999999999999</v>
      </c>
      <c r="P463" s="16">
        <f>N463/L463</f>
        <v>0.89952546296296287</v>
      </c>
      <c r="Q463" s="14"/>
      <c r="R463" s="14"/>
      <c r="S463" s="17">
        <v>1.1684486000000001</v>
      </c>
      <c r="T463" s="15">
        <v>111.87</v>
      </c>
      <c r="U463" s="15">
        <v>179.31</v>
      </c>
      <c r="V463" s="15">
        <v>167.1</v>
      </c>
      <c r="W463" s="14" t="s">
        <v>3258</v>
      </c>
      <c r="X463" s="14">
        <v>1</v>
      </c>
      <c r="Y463" s="10">
        <f>AC463-AB463</f>
        <v>1</v>
      </c>
      <c r="Z463" s="18">
        <v>-1</v>
      </c>
      <c r="AA463" s="18">
        <v>-1</v>
      </c>
      <c r="AB463" s="18"/>
      <c r="AC463" s="18">
        <v>1</v>
      </c>
      <c r="AD463" s="1" t="s">
        <v>3768</v>
      </c>
      <c r="AE463" s="1" t="s">
        <v>3769</v>
      </c>
      <c r="AG463" s="4">
        <v>13.03</v>
      </c>
    </row>
    <row r="464" spans="1:33" ht="47.25" customHeight="1" x14ac:dyDescent="0.25">
      <c r="A464" s="10" t="s">
        <v>172</v>
      </c>
      <c r="B464" s="11" t="s">
        <v>33</v>
      </c>
      <c r="C464" s="12" t="s">
        <v>173</v>
      </c>
      <c r="D464" s="27"/>
      <c r="E464" s="14" t="s">
        <v>35</v>
      </c>
      <c r="F464" s="11" t="str">
        <f>HYPERLINK("https://redirect.sdcdeals.com/redirect?destination=https%3A%2F%2Fwww.amazon.com%2Fdp%2FB09N6FR1V4%3Fth%3D1%26psc%3D1%26tag%3Dsdcdeals03-20", "Amazon Link")</f>
        <v>Amazon Link</v>
      </c>
      <c r="G464" s="11" t="s">
        <v>36</v>
      </c>
      <c r="H464" s="14" t="s">
        <v>174</v>
      </c>
      <c r="I464" s="11" t="str">
        <f>HYPERLINK("https://redirect.sdcdeals.com/redirect?code=763034&amp;mavely=https://mavely.app.link/e/bhESV2wGrGb&amp;destination=https%3A%2F%2Fwww.kohls.com%2Fsearch.jsp%3Fsubmit-search%3Dweb-regular%26search%3D46688121", "Retail Link")</f>
        <v>Retail Link</v>
      </c>
      <c r="J464" s="14" t="s">
        <v>175</v>
      </c>
      <c r="K464" s="13" t="s">
        <v>176</v>
      </c>
      <c r="L464" s="15">
        <v>18.064</v>
      </c>
      <c r="M464" s="15">
        <v>48.1</v>
      </c>
      <c r="N464" s="15">
        <v>16.221</v>
      </c>
      <c r="O464" s="15">
        <f>V464-M464</f>
        <v>2.8799999999999955</v>
      </c>
      <c r="P464" s="16">
        <f>N464/L464</f>
        <v>0.8979738706820195</v>
      </c>
      <c r="Q464" s="14">
        <v>11310</v>
      </c>
      <c r="R464" s="14"/>
      <c r="S464" s="17">
        <v>1.2566333999999999</v>
      </c>
      <c r="T464" s="15"/>
      <c r="U464" s="15">
        <v>48.1</v>
      </c>
      <c r="V464" s="15">
        <v>50.98</v>
      </c>
      <c r="W464" s="14" t="s">
        <v>164</v>
      </c>
      <c r="X464" s="14">
        <v>1</v>
      </c>
      <c r="Y464" s="10">
        <f>AC464-AB464</f>
        <v>9719</v>
      </c>
      <c r="Z464" s="18">
        <v>5</v>
      </c>
      <c r="AA464" s="18">
        <v>60</v>
      </c>
      <c r="AB464" s="18">
        <v>0</v>
      </c>
      <c r="AC464" s="18">
        <v>9719</v>
      </c>
      <c r="AD464" s="1" t="s">
        <v>177</v>
      </c>
      <c r="AE464" s="1" t="s">
        <v>178</v>
      </c>
      <c r="AG464" s="4">
        <v>6.6</v>
      </c>
    </row>
    <row r="465" spans="1:33" ht="47.25" customHeight="1" x14ac:dyDescent="0.25">
      <c r="A465" s="10" t="s">
        <v>2982</v>
      </c>
      <c r="B465" s="11" t="s">
        <v>33</v>
      </c>
      <c r="C465" s="12" t="s">
        <v>2983</v>
      </c>
      <c r="D465" s="27"/>
      <c r="E465" s="14" t="s">
        <v>35</v>
      </c>
      <c r="F465" s="11" t="str">
        <f>HYPERLINK("https://redirect.sdcdeals.com/redirect?destination=https%3A%2F%2Fwww.amazon.com%2Fdp%2FB0BKQZFPNF%3Fth%3D1%26psc%3D1%26tag%3Dsdcdeals03-20", "Amazon Link")</f>
        <v>Amazon Link</v>
      </c>
      <c r="G465" s="11" t="s">
        <v>36</v>
      </c>
      <c r="H465" s="14" t="s">
        <v>2984</v>
      </c>
      <c r="I465" s="11" t="str">
        <f>HYPERLINK("https://redirect.sdcdeals.com/redirect?code=763034&amp;mavely=https://mavely.app.link/e/bhESV2wGrGb&amp;destination=https%3A%2F%2Fwww.kohls.com%2Fsearch.jsp%3Fsubmit-search%3Dweb-regular%26search%3D29976326", "Retail Link")</f>
        <v>Retail Link</v>
      </c>
      <c r="J465" s="14" t="s">
        <v>2908</v>
      </c>
      <c r="K465" s="13" t="s">
        <v>2985</v>
      </c>
      <c r="L465" s="15">
        <v>57.2</v>
      </c>
      <c r="M465" s="15">
        <v>143</v>
      </c>
      <c r="N465" s="15">
        <v>51.319999999999993</v>
      </c>
      <c r="O465" s="15">
        <f>V465-M465</f>
        <v>-32.870000000000005</v>
      </c>
      <c r="P465" s="16">
        <f>N465/L465</f>
        <v>0.89720279720279705</v>
      </c>
      <c r="Q465" s="14">
        <v>740362</v>
      </c>
      <c r="R465" s="14"/>
      <c r="S465" s="17">
        <v>2.9100983999999999</v>
      </c>
      <c r="T465" s="15">
        <v>137.99</v>
      </c>
      <c r="U465" s="15">
        <v>114.28</v>
      </c>
      <c r="V465" s="15">
        <v>110.13</v>
      </c>
      <c r="W465" s="14" t="s">
        <v>964</v>
      </c>
      <c r="X465" s="14">
        <v>1</v>
      </c>
      <c r="Y465" s="10">
        <f>AC465-AB465</f>
        <v>9</v>
      </c>
      <c r="Z465" s="18">
        <v>9</v>
      </c>
      <c r="AA465" s="18">
        <v>20</v>
      </c>
      <c r="AB465" s="18">
        <v>0</v>
      </c>
      <c r="AC465" s="18">
        <v>9</v>
      </c>
      <c r="AD465" s="1" t="s">
        <v>2911</v>
      </c>
      <c r="AE465" s="1" t="s">
        <v>2213</v>
      </c>
      <c r="AF465" s="4">
        <v>24.31</v>
      </c>
      <c r="AG465" s="4">
        <v>13.03</v>
      </c>
    </row>
    <row r="466" spans="1:33" ht="47.25" hidden="1" customHeight="1" x14ac:dyDescent="0.25">
      <c r="A466" s="10" t="s">
        <v>5864</v>
      </c>
      <c r="B466" s="11" t="s">
        <v>33</v>
      </c>
      <c r="C466" s="12" t="s">
        <v>5865</v>
      </c>
      <c r="D466" s="27"/>
      <c r="E466" s="14" t="s">
        <v>35</v>
      </c>
      <c r="F466" s="11" t="str">
        <f>HYPERLINK("https://redirect.sdcdeals.com/redirect?destination=https%3A%2F%2Fwww.amazon.com%2Fdp%2FB0CYQH8ZPJ%3Fth%3D1%26psc%3D1%26tag%3Dsdcdeals03-20", "Amazon Link")</f>
        <v>Amazon Link</v>
      </c>
      <c r="G466" s="11" t="s">
        <v>36</v>
      </c>
      <c r="H466" s="14" t="s">
        <v>5866</v>
      </c>
      <c r="I466" s="11" t="str">
        <f>HYPERLINK("https://redirect.sdcdeals.com/redirect?code=763034&amp;mavely=https://mavely.app.link/e/bhESV2wGrGb&amp;destination=https%3A%2F%2Fwww.kohls.com%2Fsearch.jsp%3Fsubmit-search%3Dweb-regular%26search%3D80453132", "Retail Link")</f>
        <v>Retail Link</v>
      </c>
      <c r="J466" s="14" t="s">
        <v>5867</v>
      </c>
      <c r="K466" s="13" t="s">
        <v>5868</v>
      </c>
      <c r="L466" s="15">
        <v>15.4</v>
      </c>
      <c r="M466" s="15">
        <v>44</v>
      </c>
      <c r="N466" s="15">
        <v>13.8</v>
      </c>
      <c r="O466" s="15">
        <f>V466-M466</f>
        <v>7.3500000000000014</v>
      </c>
      <c r="P466" s="16">
        <f>N466/L466</f>
        <v>0.89610389610389618</v>
      </c>
      <c r="Q466" s="14"/>
      <c r="R466" s="14"/>
      <c r="S466" s="17">
        <v>2.46035592</v>
      </c>
      <c r="T466" s="15">
        <v>44</v>
      </c>
      <c r="U466" s="15">
        <v>51.35</v>
      </c>
      <c r="V466" s="15">
        <v>51.35</v>
      </c>
      <c r="W466" s="14" t="s">
        <v>959</v>
      </c>
      <c r="X466" s="14">
        <v>1</v>
      </c>
      <c r="Y466" s="10">
        <f>AC466-AB466</f>
        <v>0</v>
      </c>
      <c r="Z466" s="18">
        <v>-1</v>
      </c>
      <c r="AA466" s="18">
        <v>-1</v>
      </c>
      <c r="AB466" s="18"/>
      <c r="AC466" s="18"/>
      <c r="AE466" s="1" t="s">
        <v>1747</v>
      </c>
      <c r="AF466" s="4">
        <v>7.48</v>
      </c>
      <c r="AG466" s="4">
        <v>8.1999999999999993</v>
      </c>
    </row>
    <row r="467" spans="1:33" ht="47.25" hidden="1" customHeight="1" x14ac:dyDescent="0.25">
      <c r="A467" s="10" t="s">
        <v>5869</v>
      </c>
      <c r="B467" s="11" t="s">
        <v>33</v>
      </c>
      <c r="C467" s="12" t="s">
        <v>5870</v>
      </c>
      <c r="D467" s="27"/>
      <c r="E467" s="14" t="s">
        <v>35</v>
      </c>
      <c r="F467" s="11" t="str">
        <f>HYPERLINK("https://redirect.sdcdeals.com/redirect?destination=https%3A%2F%2Fwww.amazon.com%2Fdp%2FB0CYQJNS9V%3Fth%3D1%26psc%3D1%26tag%3Dsdcdeals03-20", "Amazon Link")</f>
        <v>Amazon Link</v>
      </c>
      <c r="G467" s="11" t="s">
        <v>36</v>
      </c>
      <c r="H467" s="14" t="s">
        <v>5871</v>
      </c>
      <c r="I467" s="11" t="str">
        <f>HYPERLINK("https://redirect.sdcdeals.com/redirect?code=763034&amp;mavely=https://mavely.app.link/e/bhESV2wGrGb&amp;destination=https%3A%2F%2Fwww.kohls.com%2Fsearch.jsp%3Fsubmit-search%3Dweb-regular%26search%3D80453133", "Retail Link")</f>
        <v>Retail Link</v>
      </c>
      <c r="J467" s="14" t="s">
        <v>5867</v>
      </c>
      <c r="K467" s="13" t="s">
        <v>5868</v>
      </c>
      <c r="L467" s="15">
        <v>15.4</v>
      </c>
      <c r="M467" s="15">
        <v>44</v>
      </c>
      <c r="N467" s="15">
        <v>13.8</v>
      </c>
      <c r="O467" s="15">
        <f>V467-M467</f>
        <v>7.509999999999998</v>
      </c>
      <c r="P467" s="16">
        <f>N467/L467</f>
        <v>0.89610389610389618</v>
      </c>
      <c r="Q467" s="14"/>
      <c r="R467" s="14"/>
      <c r="S467" s="17">
        <v>2.46035592</v>
      </c>
      <c r="T467" s="15">
        <v>44</v>
      </c>
      <c r="U467" s="15">
        <v>51.51</v>
      </c>
      <c r="V467" s="15">
        <v>51.51</v>
      </c>
      <c r="W467" s="14" t="s">
        <v>1134</v>
      </c>
      <c r="X467" s="14">
        <v>1</v>
      </c>
      <c r="Y467" s="10">
        <f>AC467-AB467</f>
        <v>0</v>
      </c>
      <c r="Z467" s="18">
        <v>-1</v>
      </c>
      <c r="AA467" s="18">
        <v>-1</v>
      </c>
      <c r="AB467" s="18"/>
      <c r="AC467" s="18"/>
      <c r="AE467" s="1" t="s">
        <v>1747</v>
      </c>
      <c r="AF467" s="4">
        <v>7.48</v>
      </c>
      <c r="AG467" s="4">
        <v>8.1999999999999993</v>
      </c>
    </row>
    <row r="468" spans="1:33" ht="47.25" hidden="1" customHeight="1" x14ac:dyDescent="0.25">
      <c r="A468" s="10" t="s">
        <v>5872</v>
      </c>
      <c r="B468" s="11" t="s">
        <v>33</v>
      </c>
      <c r="C468" s="12" t="s">
        <v>5873</v>
      </c>
      <c r="D468" s="27"/>
      <c r="E468" s="14" t="s">
        <v>35</v>
      </c>
      <c r="F468" s="11" t="str">
        <f>HYPERLINK("https://redirect.sdcdeals.com/redirect?destination=https%3A%2F%2Fwww.amazon.com%2Fdp%2FB0CYQJSSRS%3Fth%3D1%26psc%3D1%26tag%3Dsdcdeals03-20", "Amazon Link")</f>
        <v>Amazon Link</v>
      </c>
      <c r="G468" s="11" t="s">
        <v>36</v>
      </c>
      <c r="H468" s="14" t="s">
        <v>5874</v>
      </c>
      <c r="I468" s="11" t="str">
        <f>HYPERLINK("https://redirect.sdcdeals.com/redirect?code=763034&amp;mavely=https://mavely.app.link/e/bhESV2wGrGb&amp;destination=https%3A%2F%2Fwww.kohls.com%2Fsearch.jsp%3Fsubmit-search%3Dweb-regular%26search%3D80453142", "Retail Link")</f>
        <v>Retail Link</v>
      </c>
      <c r="J468" s="14" t="s">
        <v>5867</v>
      </c>
      <c r="K468" s="13" t="s">
        <v>5868</v>
      </c>
      <c r="L468" s="15">
        <v>15.4</v>
      </c>
      <c r="M468" s="15">
        <v>44</v>
      </c>
      <c r="N468" s="15">
        <v>13.8</v>
      </c>
      <c r="O468" s="15">
        <f>V468-M468</f>
        <v>6.759999999999998</v>
      </c>
      <c r="P468" s="16">
        <f>N468/L468</f>
        <v>0.89610389610389618</v>
      </c>
      <c r="Q468" s="14"/>
      <c r="R468" s="14"/>
      <c r="S468" s="17">
        <v>2.46035592</v>
      </c>
      <c r="T468" s="15">
        <v>44</v>
      </c>
      <c r="U468" s="15">
        <v>50.76</v>
      </c>
      <c r="V468" s="15">
        <v>50.76</v>
      </c>
      <c r="W468" s="14" t="s">
        <v>342</v>
      </c>
      <c r="X468" s="14">
        <v>2</v>
      </c>
      <c r="Y468" s="10">
        <f>AC468-AB468</f>
        <v>0</v>
      </c>
      <c r="Z468" s="18">
        <v>-1</v>
      </c>
      <c r="AA468" s="18">
        <v>-1</v>
      </c>
      <c r="AB468" s="18"/>
      <c r="AC468" s="18"/>
      <c r="AE468" s="1" t="s">
        <v>1747</v>
      </c>
      <c r="AF468" s="4">
        <v>7.48</v>
      </c>
      <c r="AG468" s="4">
        <v>8.1999999999999993</v>
      </c>
    </row>
    <row r="469" spans="1:33" ht="47.25" customHeight="1" x14ac:dyDescent="0.25">
      <c r="A469" s="10" t="s">
        <v>3682</v>
      </c>
      <c r="B469" s="11" t="s">
        <v>33</v>
      </c>
      <c r="C469" s="12" t="s">
        <v>3683</v>
      </c>
      <c r="D469" s="27"/>
      <c r="E469" s="14" t="s">
        <v>35</v>
      </c>
      <c r="F469" s="11" t="str">
        <f>HYPERLINK("https://redirect.sdcdeals.com/redirect?destination=https%3A%2F%2Fwww.amazon.com%2Fdp%2FB0C8FWFMYN%3Fth%3D1%26psc%3D1%26tag%3Dsdcdeals03-20", "Amazon Link")</f>
        <v>Amazon Link</v>
      </c>
      <c r="G469" s="11" t="s">
        <v>36</v>
      </c>
      <c r="H469" s="14" t="s">
        <v>3684</v>
      </c>
      <c r="I469" s="11" t="str">
        <f>HYPERLINK("https://redirect.sdcdeals.com/redirect?code=763034&amp;mavely=https://mavely.app.link/e/bhESV2wGrGb&amp;destination=https%3A%2F%2Fwww.kohls.com%2Fsearch.jsp%3Fsubmit-search%3Dweb-regular%26search%3D74734551", "Retail Link")</f>
        <v>Retail Link</v>
      </c>
      <c r="J469" s="14" t="s">
        <v>3669</v>
      </c>
      <c r="K469" s="13" t="s">
        <v>3685</v>
      </c>
      <c r="L469" s="15">
        <v>45</v>
      </c>
      <c r="M469" s="15">
        <v>120.13</v>
      </c>
      <c r="N469" s="15">
        <v>40.280499999999989</v>
      </c>
      <c r="O469" s="15">
        <f>V469-M469</f>
        <v>54.710000000000008</v>
      </c>
      <c r="P469" s="16">
        <f>N469/L469</f>
        <v>0.89512222222222193</v>
      </c>
      <c r="Q469" s="14">
        <v>3885274</v>
      </c>
      <c r="R469" s="14"/>
      <c r="S469" s="17">
        <v>2.0106134400000002</v>
      </c>
      <c r="T469" s="15">
        <v>98.05</v>
      </c>
      <c r="U469" s="15">
        <v>129.76</v>
      </c>
      <c r="V469" s="15">
        <v>174.84</v>
      </c>
      <c r="W469" s="14" t="s">
        <v>626</v>
      </c>
      <c r="X469" s="14">
        <v>3</v>
      </c>
      <c r="Y469" s="10">
        <f>AC469-AB469</f>
        <v>1</v>
      </c>
      <c r="Z469" s="18">
        <v>0</v>
      </c>
      <c r="AA469" s="18">
        <v>3</v>
      </c>
      <c r="AB469" s="18">
        <v>0</v>
      </c>
      <c r="AC469" s="18">
        <v>1</v>
      </c>
      <c r="AE469" s="1" t="s">
        <v>3676</v>
      </c>
      <c r="AF469" s="4">
        <v>20.420000000000002</v>
      </c>
      <c r="AG469" s="4">
        <v>16.829999999999998</v>
      </c>
    </row>
    <row r="470" spans="1:33" ht="47.25" customHeight="1" x14ac:dyDescent="0.25">
      <c r="A470" s="10" t="s">
        <v>2934</v>
      </c>
      <c r="B470" s="11" t="s">
        <v>33</v>
      </c>
      <c r="C470" s="12" t="s">
        <v>2935</v>
      </c>
      <c r="D470" s="27"/>
      <c r="E470" s="14" t="s">
        <v>35</v>
      </c>
      <c r="F470" s="11" t="str">
        <f>HYPERLINK("https://redirect.sdcdeals.com/redirect?destination=https%3A%2F%2Fwww.amazon.com%2Fdp%2FB09KMFG928%3Fth%3D1%26psc%3D1%26tag%3Dsdcdeals03-20", "Amazon Link")</f>
        <v>Amazon Link</v>
      </c>
      <c r="G470" s="11" t="s">
        <v>36</v>
      </c>
      <c r="H470" s="14" t="s">
        <v>2936</v>
      </c>
      <c r="I470" s="11" t="str">
        <f>HYPERLINK("https://redirect.sdcdeals.com/redirect?code=763034&amp;mavely=https://mavely.app.link/e/bhESV2wGrGb&amp;destination=https%3A%2F%2Fwww.kohls.com%2Fsearch.jsp%3Fsubmit-search%3Dweb-regular%26search%3D61935452", "Retail Link")</f>
        <v>Retail Link</v>
      </c>
      <c r="J470" s="14" t="s">
        <v>2908</v>
      </c>
      <c r="K470" s="13" t="s">
        <v>2937</v>
      </c>
      <c r="L470" s="15">
        <v>57.2</v>
      </c>
      <c r="M470" s="15">
        <v>142.69</v>
      </c>
      <c r="N470" s="15">
        <v>51.056499999999993</v>
      </c>
      <c r="O470" s="15">
        <f>V470-M470</f>
        <v>-4.4499999999999886</v>
      </c>
      <c r="P470" s="16">
        <f>N470/L470</f>
        <v>0.89259615384615365</v>
      </c>
      <c r="Q470" s="14">
        <v>740362</v>
      </c>
      <c r="R470" s="14"/>
      <c r="S470" s="17">
        <v>2.9100983999999999</v>
      </c>
      <c r="T470" s="15">
        <v>142.69</v>
      </c>
      <c r="U470" s="15">
        <v>144.22999999999999</v>
      </c>
      <c r="V470" s="15">
        <v>138.24</v>
      </c>
      <c r="W470" s="14" t="s">
        <v>342</v>
      </c>
      <c r="X470" s="14">
        <v>3</v>
      </c>
      <c r="Y470" s="10">
        <f>AC470-AB470</f>
        <v>7</v>
      </c>
      <c r="Z470" s="18">
        <v>12</v>
      </c>
      <c r="AA470" s="18">
        <v>35</v>
      </c>
      <c r="AB470" s="18">
        <v>2</v>
      </c>
      <c r="AC470" s="18">
        <v>9</v>
      </c>
      <c r="AD470" s="1" t="s">
        <v>2911</v>
      </c>
      <c r="AE470" s="1" t="s">
        <v>76</v>
      </c>
      <c r="AG470" s="4">
        <v>13.03</v>
      </c>
    </row>
    <row r="471" spans="1:33" ht="47.25" customHeight="1" x14ac:dyDescent="0.25">
      <c r="A471" s="10" t="s">
        <v>5376</v>
      </c>
      <c r="B471" s="11" t="s">
        <v>33</v>
      </c>
      <c r="C471" s="12" t="s">
        <v>5377</v>
      </c>
      <c r="D471" s="27"/>
      <c r="E471" s="14" t="s">
        <v>35</v>
      </c>
      <c r="F471" s="11" t="str">
        <f>HYPERLINK("https://redirect.sdcdeals.com/redirect?destination=https%3A%2F%2Fwww.amazon.com%2Fdp%2FB0B49NHF8R%3Fth%3D1%26psc%3D1%26tag%3Dsdcdeals03-20", "Amazon Link")</f>
        <v>Amazon Link</v>
      </c>
      <c r="G471" s="11" t="s">
        <v>36</v>
      </c>
      <c r="H471" s="14" t="s">
        <v>5378</v>
      </c>
      <c r="I471" s="11" t="str">
        <f>HYPERLINK("https://redirect.sdcdeals.com/redirect?code=763034&amp;mavely=https://mavely.app.link/e/bhESV2wGrGb&amp;destination=https%3A%2F%2Fwww.kohls.com%2Fsearch.jsp%3Fsubmit-search%3Dweb-regular%26search%3D45872360", "Retail Link")</f>
        <v>Retail Link</v>
      </c>
      <c r="J471" s="14" t="s">
        <v>5361</v>
      </c>
      <c r="K471" s="13" t="s">
        <v>5379</v>
      </c>
      <c r="L471" s="15">
        <v>36</v>
      </c>
      <c r="M471" s="15">
        <v>101.23</v>
      </c>
      <c r="N471" s="15">
        <v>32.075500000000012</v>
      </c>
      <c r="O471" s="15">
        <f>V471-M471</f>
        <v>1.9999999999996021E-2</v>
      </c>
      <c r="P471" s="16">
        <f>N471/L471</f>
        <v>0.89098611111111148</v>
      </c>
      <c r="Q471" s="14">
        <v>1680195</v>
      </c>
      <c r="R471" s="14"/>
      <c r="S471" s="17">
        <v>2.8197089800000001</v>
      </c>
      <c r="T471" s="15">
        <v>101.23</v>
      </c>
      <c r="U471" s="15">
        <v>100.11</v>
      </c>
      <c r="V471" s="15">
        <v>101.25</v>
      </c>
      <c r="W471" s="14" t="s">
        <v>582</v>
      </c>
      <c r="X471" s="14">
        <v>1</v>
      </c>
      <c r="Y471" s="10">
        <f>AC471-AB471</f>
        <v>20</v>
      </c>
      <c r="Z471" s="18">
        <v>2</v>
      </c>
      <c r="AA471" s="18">
        <v>12</v>
      </c>
      <c r="AB471" s="18">
        <v>0</v>
      </c>
      <c r="AC471" s="18">
        <v>20</v>
      </c>
      <c r="AD471" s="1" t="s">
        <v>5380</v>
      </c>
      <c r="AE471" s="1" t="s">
        <v>5364</v>
      </c>
      <c r="AF471" s="4">
        <v>17.21</v>
      </c>
      <c r="AG471" s="4">
        <v>17.97</v>
      </c>
    </row>
    <row r="472" spans="1:33" ht="47.25" customHeight="1" x14ac:dyDescent="0.25">
      <c r="A472" s="10" t="s">
        <v>3806</v>
      </c>
      <c r="B472" s="11" t="s">
        <v>33</v>
      </c>
      <c r="C472" s="12" t="s">
        <v>3807</v>
      </c>
      <c r="D472" s="27"/>
      <c r="E472" s="14" t="s">
        <v>35</v>
      </c>
      <c r="F472" s="11" t="str">
        <f>HYPERLINK("https://redirect.sdcdeals.com/redirect?destination=https%3A%2F%2Fwww.amazon.com%2Fdp%2FB0CKD8KS63%3Fth%3D1%26psc%3D1%26tag%3Dsdcdeals03-20", "Amazon Link")</f>
        <v>Amazon Link</v>
      </c>
      <c r="G472" s="11" t="s">
        <v>36</v>
      </c>
      <c r="H472" s="14" t="s">
        <v>3808</v>
      </c>
      <c r="I472" s="11" t="str">
        <f>HYPERLINK("https://redirect.sdcdeals.com/redirect?code=763034&amp;mavely=https://mavely.app.link/e/bhESV2wGrGb&amp;destination=https%3A%2F%2Fwww.kohls.com%2Fsearch.jsp%3Fsubmit-search%3Dweb-regular%26search%3D54672403", "Retail Link")</f>
        <v>Retail Link</v>
      </c>
      <c r="J472" s="14" t="s">
        <v>3803</v>
      </c>
      <c r="K472" s="13" t="s">
        <v>3809</v>
      </c>
      <c r="L472" s="15">
        <v>4.8000000000000007</v>
      </c>
      <c r="M472" s="15">
        <v>15.91</v>
      </c>
      <c r="N472" s="15">
        <v>4.2734999999999994</v>
      </c>
      <c r="O472" s="15">
        <f>V472-M472</f>
        <v>4.379999999999999</v>
      </c>
      <c r="P472" s="16">
        <f>N472/L472</f>
        <v>0.89031249999999973</v>
      </c>
      <c r="Q472" s="14">
        <v>9489510</v>
      </c>
      <c r="R472" s="14"/>
      <c r="S472" s="17">
        <v>0.50044874000000006</v>
      </c>
      <c r="T472" s="15"/>
      <c r="U472" s="15">
        <v>15.91</v>
      </c>
      <c r="V472" s="15">
        <v>20.29</v>
      </c>
      <c r="W472" s="14" t="s">
        <v>698</v>
      </c>
      <c r="X472" s="14">
        <v>1</v>
      </c>
      <c r="Y472" s="10">
        <f>AC472-AB472</f>
        <v>0</v>
      </c>
      <c r="Z472" s="18">
        <v>0</v>
      </c>
      <c r="AA472" s="18">
        <v>0</v>
      </c>
      <c r="AB472" s="18"/>
      <c r="AC472" s="18"/>
      <c r="AE472" s="1" t="s">
        <v>3805</v>
      </c>
      <c r="AG472" s="4">
        <v>4.45</v>
      </c>
    </row>
    <row r="473" spans="1:33" ht="47.25" customHeight="1" x14ac:dyDescent="0.25">
      <c r="A473" s="10" t="s">
        <v>2386</v>
      </c>
      <c r="B473" s="11" t="s">
        <v>33</v>
      </c>
      <c r="C473" s="12" t="s">
        <v>2387</v>
      </c>
      <c r="D473" s="27"/>
      <c r="E473" s="14" t="s">
        <v>35</v>
      </c>
      <c r="F473" s="11" t="str">
        <f>HYPERLINK("https://redirect.sdcdeals.com/redirect?destination=https%3A%2F%2Fwww.amazon.com%2Fdp%2FB08V7JFFC8%3Fth%3D1%26psc%3D1%26tag%3Dsdcdeals03-20", "Amazon Link")</f>
        <v>Amazon Link</v>
      </c>
      <c r="G473" s="11" t="s">
        <v>36</v>
      </c>
      <c r="H473" s="14" t="s">
        <v>2388</v>
      </c>
      <c r="I473" s="11" t="str">
        <f>HYPERLINK("https://redirect.sdcdeals.com/redirect?code=763034&amp;mavely=https://mavely.app.link/e/bhESV2wGrGb&amp;destination=https%3A%2F%2Fwww.kohls.com%2Fsearch.jsp%3Fsubmit-search%3Dweb-regular%26search%3D71108014", "Retail Link")</f>
        <v>Retail Link</v>
      </c>
      <c r="J473" s="14" t="s">
        <v>2389</v>
      </c>
      <c r="K473" s="13" t="s">
        <v>2390</v>
      </c>
      <c r="L473" s="15">
        <v>17.992000000000001</v>
      </c>
      <c r="M473" s="15">
        <v>58</v>
      </c>
      <c r="N473" s="15">
        <v>15.99799999999999</v>
      </c>
      <c r="O473" s="15">
        <f>V473-M473</f>
        <v>-0.92999999999999972</v>
      </c>
      <c r="P473" s="16">
        <f>N473/L473</f>
        <v>0.88917296576256055</v>
      </c>
      <c r="Q473" s="14">
        <v>104592</v>
      </c>
      <c r="R473" s="14"/>
      <c r="S473" s="17">
        <v>6.9004605999999997</v>
      </c>
      <c r="T473" s="15">
        <v>58</v>
      </c>
      <c r="U473" s="15">
        <v>58.54</v>
      </c>
      <c r="V473" s="15">
        <v>57.07</v>
      </c>
      <c r="W473" s="14" t="s">
        <v>342</v>
      </c>
      <c r="X473" s="14">
        <v>11</v>
      </c>
      <c r="Y473" s="10">
        <f>AC473-AB473</f>
        <v>1762</v>
      </c>
      <c r="Z473" s="18">
        <v>62</v>
      </c>
      <c r="AA473" s="18">
        <v>166</v>
      </c>
      <c r="AB473" s="18">
        <v>508</v>
      </c>
      <c r="AC473" s="18">
        <v>2270</v>
      </c>
      <c r="AD473" s="1" t="s">
        <v>2391</v>
      </c>
      <c r="AE473" s="1" t="s">
        <v>497</v>
      </c>
      <c r="AG473" s="4">
        <v>15.31</v>
      </c>
    </row>
    <row r="474" spans="1:33" ht="47.25" customHeight="1" x14ac:dyDescent="0.25">
      <c r="A474" s="10" t="s">
        <v>5893</v>
      </c>
      <c r="B474" s="11" t="s">
        <v>33</v>
      </c>
      <c r="C474" s="12" t="s">
        <v>5894</v>
      </c>
      <c r="D474" s="27"/>
      <c r="E474" s="14" t="s">
        <v>35</v>
      </c>
      <c r="F474" s="11" t="str">
        <f>HYPERLINK("https://redirect.sdcdeals.com/redirect?destination=https%3A%2F%2Fwww.amazon.com%2Fdp%2FB0CL5SKM8F%3Fth%3D1%26psc%3D1%26tag%3Dsdcdeals03-20", "Amazon Link")</f>
        <v>Amazon Link</v>
      </c>
      <c r="G474" s="11" t="s">
        <v>36</v>
      </c>
      <c r="H474" s="14" t="s">
        <v>5895</v>
      </c>
      <c r="I474" s="11" t="str">
        <f>HYPERLINK("https://redirect.sdcdeals.com/redirect?code=763034&amp;mavely=https://mavely.app.link/e/bhESV2wGrGb&amp;destination=https%3A%2F%2Fwww.kohls.com%2Fsearch.jsp%3Fsubmit-search%3Dweb-regular%26search%3D34133441", "Retail Link")</f>
        <v>Retail Link</v>
      </c>
      <c r="J474" s="14" t="s">
        <v>5878</v>
      </c>
      <c r="K474" s="13" t="s">
        <v>5896</v>
      </c>
      <c r="L474" s="15">
        <v>7.6000000000000014</v>
      </c>
      <c r="M474" s="15">
        <v>20.82</v>
      </c>
      <c r="N474" s="15">
        <v>6.7469999999999981</v>
      </c>
      <c r="O474" s="15">
        <f>V474-M474</f>
        <v>-0.28000000000000114</v>
      </c>
      <c r="P474" s="16">
        <f>N474/L474</f>
        <v>0.88776315789473648</v>
      </c>
      <c r="Q474" s="14">
        <v>70317</v>
      </c>
      <c r="R474" s="14"/>
      <c r="S474" s="17">
        <v>0.39903622</v>
      </c>
      <c r="T474" s="15">
        <v>20.56</v>
      </c>
      <c r="U474" s="15">
        <v>20.56</v>
      </c>
      <c r="V474" s="15">
        <v>20.54</v>
      </c>
      <c r="W474" s="14" t="s">
        <v>379</v>
      </c>
      <c r="X474" s="14">
        <v>14</v>
      </c>
      <c r="Y474" s="10">
        <f>AC474-AB474</f>
        <v>569</v>
      </c>
      <c r="Z474" s="18">
        <v>16</v>
      </c>
      <c r="AA474" s="18">
        <v>88</v>
      </c>
      <c r="AB474" s="18">
        <v>0</v>
      </c>
      <c r="AC474" s="18">
        <v>569</v>
      </c>
      <c r="AD474" s="1" t="s">
        <v>1452</v>
      </c>
      <c r="AE474" s="1" t="s">
        <v>5880</v>
      </c>
      <c r="AF474" s="4">
        <v>3.54</v>
      </c>
      <c r="AG474" s="4">
        <v>3.35</v>
      </c>
    </row>
    <row r="475" spans="1:33" ht="47.25" customHeight="1" x14ac:dyDescent="0.25">
      <c r="A475" s="10" t="s">
        <v>7372</v>
      </c>
      <c r="B475" s="11" t="s">
        <v>33</v>
      </c>
      <c r="C475" s="12" t="s">
        <v>7373</v>
      </c>
      <c r="D475" s="27"/>
      <c r="E475" s="14" t="s">
        <v>35</v>
      </c>
      <c r="F475" s="11" t="str">
        <f>HYPERLINK("https://redirect.sdcdeals.com/redirect?destination=https%3A%2F%2Fwww.amazon.com%2Fdp%2FB0B1KF7KP7%3Fth%3D1%26psc%3D1%26tag%3Dsdcdeals03-20", "Amazon Link")</f>
        <v>Amazon Link</v>
      </c>
      <c r="G475" s="11" t="s">
        <v>36</v>
      </c>
      <c r="H475" s="14" t="s">
        <v>7374</v>
      </c>
      <c r="I475" s="11" t="str">
        <f>HYPERLINK("https://redirect.sdcdeals.com/redirect?code=763034&amp;mavely=https://mavely.app.link/e/bhESV2wGrGb&amp;destination=https%3A%2F%2Fwww.kohls.com%2Fsearch.jsp%3Fsubmit-search%3Dweb-regular%26search%3D45944206", "Retail Link")</f>
        <v>Retail Link</v>
      </c>
      <c r="J475" s="14" t="s">
        <v>7375</v>
      </c>
      <c r="K475" s="13" t="s">
        <v>7376</v>
      </c>
      <c r="L475" s="15">
        <v>14.183999999999999</v>
      </c>
      <c r="M475" s="15">
        <v>38.57</v>
      </c>
      <c r="N475" s="15">
        <v>12.5505</v>
      </c>
      <c r="O475" s="15">
        <f>V475-M475</f>
        <v>7.2100000000000009</v>
      </c>
      <c r="P475" s="16">
        <f>N475/L475</f>
        <v>0.88483502538071068</v>
      </c>
      <c r="Q475" s="14">
        <v>109227</v>
      </c>
      <c r="R475" s="14"/>
      <c r="S475" s="17">
        <v>0.55115499999999995</v>
      </c>
      <c r="T475" s="15">
        <v>38.57</v>
      </c>
      <c r="U475" s="15">
        <v>42.44</v>
      </c>
      <c r="V475" s="15">
        <v>45.78</v>
      </c>
      <c r="W475" s="14" t="s">
        <v>282</v>
      </c>
      <c r="X475" s="14">
        <v>1</v>
      </c>
      <c r="Y475" s="10">
        <f>AC475-AB475</f>
        <v>463</v>
      </c>
      <c r="Z475" s="18">
        <v>15</v>
      </c>
      <c r="AA475" s="18">
        <v>51</v>
      </c>
      <c r="AB475" s="18">
        <v>1</v>
      </c>
      <c r="AC475" s="18">
        <v>464</v>
      </c>
      <c r="AD475" s="1" t="s">
        <v>7377</v>
      </c>
      <c r="AE475" s="1" t="s">
        <v>7378</v>
      </c>
      <c r="AF475" s="4">
        <v>6.56</v>
      </c>
      <c r="AG475" s="4">
        <v>6.05</v>
      </c>
    </row>
    <row r="476" spans="1:33" ht="47.25" customHeight="1" x14ac:dyDescent="0.25">
      <c r="A476" s="10" t="s">
        <v>615</v>
      </c>
      <c r="B476" s="11" t="s">
        <v>33</v>
      </c>
      <c r="C476" s="12" t="s">
        <v>616</v>
      </c>
      <c r="D476" s="27"/>
      <c r="E476" s="14" t="s">
        <v>35</v>
      </c>
      <c r="F476" s="11" t="str">
        <f>HYPERLINK("https://redirect.sdcdeals.com/redirect?destination=https%3A%2F%2Fwww.amazon.com%2Fdp%2FB09SR6NX98%3Fth%3D1%26psc%3D1%26tag%3Dsdcdeals03-20", "Amazon Link")</f>
        <v>Amazon Link</v>
      </c>
      <c r="G476" s="11" t="s">
        <v>36</v>
      </c>
      <c r="H476" s="14" t="s">
        <v>617</v>
      </c>
      <c r="I476" s="11" t="str">
        <f>HYPERLINK("https://redirect.sdcdeals.com/redirect?code=763034&amp;mavely=https://mavely.app.link/e/bhESV2wGrGb&amp;destination=https%3A%2F%2Fwww.kohls.com%2Fsearch.jsp%3Fsubmit-search%3Dweb-regular%26search%3D29801972", "Retail Link")</f>
        <v>Retail Link</v>
      </c>
      <c r="J476" s="14" t="s">
        <v>618</v>
      </c>
      <c r="K476" s="13" t="s">
        <v>619</v>
      </c>
      <c r="L476" s="15">
        <v>4.16</v>
      </c>
      <c r="M476" s="15">
        <v>15.99</v>
      </c>
      <c r="N476" s="15">
        <v>3.6615000000000002</v>
      </c>
      <c r="O476" s="15">
        <f>V476-M476</f>
        <v>-1.8499999999999996</v>
      </c>
      <c r="P476" s="16">
        <f>N476/L476</f>
        <v>0.8801682692307693</v>
      </c>
      <c r="Q476" s="14">
        <v>341368</v>
      </c>
      <c r="R476" s="14"/>
      <c r="S476" s="17">
        <v>1.1023099999999999</v>
      </c>
      <c r="T476" s="15">
        <v>15.99</v>
      </c>
      <c r="U476" s="15">
        <v>13.03</v>
      </c>
      <c r="V476" s="15">
        <v>14.14</v>
      </c>
      <c r="W476" s="14" t="s">
        <v>436</v>
      </c>
      <c r="X476" s="14">
        <v>3</v>
      </c>
      <c r="Y476" s="10">
        <f>AC476-AB476</f>
        <v>36</v>
      </c>
      <c r="Z476" s="18">
        <v>11</v>
      </c>
      <c r="AA476" s="18">
        <v>38</v>
      </c>
      <c r="AB476" s="18"/>
      <c r="AC476" s="18">
        <v>36</v>
      </c>
      <c r="AD476" s="1" t="s">
        <v>620</v>
      </c>
      <c r="AE476" s="1" t="s">
        <v>497</v>
      </c>
      <c r="AG476" s="4">
        <v>5.77</v>
      </c>
    </row>
    <row r="477" spans="1:33" ht="47.25" customHeight="1" x14ac:dyDescent="0.25">
      <c r="A477" s="10" t="s">
        <v>3544</v>
      </c>
      <c r="B477" s="11" t="s">
        <v>33</v>
      </c>
      <c r="C477" s="12" t="s">
        <v>3545</v>
      </c>
      <c r="D477" s="27"/>
      <c r="E477" s="14" t="s">
        <v>35</v>
      </c>
      <c r="F477" s="11" t="str">
        <f>HYPERLINK("https://redirect.sdcdeals.com/redirect?destination=https%3A%2F%2Fwww.amazon.com%2Fdp%2FB0BKR18T5P%3Fth%3D1%26psc%3D1%26tag%3Dsdcdeals03-20", "Amazon Link")</f>
        <v>Amazon Link</v>
      </c>
      <c r="G477" s="11" t="s">
        <v>36</v>
      </c>
      <c r="H477" s="14" t="s">
        <v>3546</v>
      </c>
      <c r="I477" s="11" t="str">
        <f>HYPERLINK("https://redirect.sdcdeals.com/redirect?code=763034&amp;mavely=https://mavely.app.link/e/bhESV2wGrGb&amp;destination=https%3A%2F%2Fwww.kohls.com%2Fsearch.jsp%3Fsubmit-search%3Dweb-regular%26search%3D58450471", "Retail Link")</f>
        <v>Retail Link</v>
      </c>
      <c r="J477" s="14" t="s">
        <v>3497</v>
      </c>
      <c r="K477" s="13" t="s">
        <v>3547</v>
      </c>
      <c r="L477" s="15">
        <v>24</v>
      </c>
      <c r="M477" s="15">
        <v>67.94</v>
      </c>
      <c r="N477" s="15">
        <v>21.099</v>
      </c>
      <c r="O477" s="15">
        <f>V477-M477</f>
        <v>-21.839999999999996</v>
      </c>
      <c r="P477" s="16">
        <f>N477/L477</f>
        <v>0.87912500000000005</v>
      </c>
      <c r="Q477" s="14">
        <v>826894</v>
      </c>
      <c r="R477" s="14"/>
      <c r="S477" s="17">
        <v>1.06042222</v>
      </c>
      <c r="T477" s="15">
        <v>67.94</v>
      </c>
      <c r="U477" s="15">
        <v>35</v>
      </c>
      <c r="V477" s="15">
        <v>46.1</v>
      </c>
      <c r="W477" s="14" t="s">
        <v>301</v>
      </c>
      <c r="X477" s="14">
        <v>1</v>
      </c>
      <c r="Y477" s="10">
        <f>AC477-AB477</f>
        <v>0</v>
      </c>
      <c r="Z477" s="18">
        <v>7</v>
      </c>
      <c r="AA477" s="18">
        <v>24</v>
      </c>
      <c r="AB477" s="18">
        <v>0</v>
      </c>
      <c r="AC477" s="18"/>
      <c r="AD477" s="1" t="s">
        <v>3499</v>
      </c>
      <c r="AE477" s="1" t="s">
        <v>3500</v>
      </c>
      <c r="AG477" s="4">
        <v>12.65</v>
      </c>
    </row>
    <row r="478" spans="1:33" ht="47.25" hidden="1" customHeight="1" x14ac:dyDescent="0.25">
      <c r="A478" s="10" t="s">
        <v>3770</v>
      </c>
      <c r="B478" s="11" t="s">
        <v>33</v>
      </c>
      <c r="C478" s="12" t="s">
        <v>3771</v>
      </c>
      <c r="D478" s="27"/>
      <c r="E478" s="14" t="s">
        <v>35</v>
      </c>
      <c r="F478" s="11" t="str">
        <f>HYPERLINK("https://redirect.sdcdeals.com/redirect?destination=https%3A%2F%2Fwww.amazon.com%2Fdp%2FB0BQ7JTYWZ%3Fth%3D1%26psc%3D1%26tag%3Dsdcdeals03-20", "Amazon Link")</f>
        <v>Amazon Link</v>
      </c>
      <c r="G478" s="11" t="s">
        <v>36</v>
      </c>
      <c r="H478" s="14" t="s">
        <v>3772</v>
      </c>
      <c r="I478" s="11" t="str">
        <f>HYPERLINK("https://redirect.sdcdeals.com/redirect?code=763034&amp;mavely=https://mavely.app.link/e/bhESV2wGrGb&amp;destination=https%3A%2F%2Fwww.kohls.com%2Fsearch.jsp%3Fsubmit-search%3Dweb-regular%26search%3D37802344", "Retail Link")</f>
        <v>Retail Link</v>
      </c>
      <c r="J478" s="14" t="s">
        <v>3766</v>
      </c>
      <c r="K478" s="13" t="s">
        <v>3767</v>
      </c>
      <c r="L478" s="15">
        <v>43.2</v>
      </c>
      <c r="M478" s="15">
        <v>104.72</v>
      </c>
      <c r="N478" s="15">
        <v>37.932000000000002</v>
      </c>
      <c r="O478" s="15">
        <f>V478-M478</f>
        <v>9.0000000000003411E-2</v>
      </c>
      <c r="P478" s="16">
        <f>N478/L478</f>
        <v>0.87805555555555559</v>
      </c>
      <c r="Q478" s="14"/>
      <c r="R478" s="14"/>
      <c r="S478" s="17">
        <v>0.99207900000000004</v>
      </c>
      <c r="T478" s="15">
        <v>99.99</v>
      </c>
      <c r="U478" s="15">
        <v>104.82</v>
      </c>
      <c r="V478" s="15">
        <v>104.81</v>
      </c>
      <c r="W478" s="14" t="s">
        <v>2022</v>
      </c>
      <c r="X478" s="14">
        <v>3</v>
      </c>
      <c r="Y478" s="10">
        <f>AC478-AB478</f>
        <v>0</v>
      </c>
      <c r="Z478" s="18">
        <v>-1</v>
      </c>
      <c r="AA478" s="18">
        <v>-1</v>
      </c>
      <c r="AB478" s="18"/>
      <c r="AC478" s="18"/>
      <c r="AD478" s="1" t="s">
        <v>3768</v>
      </c>
      <c r="AE478" s="1" t="s">
        <v>3769</v>
      </c>
      <c r="AF478" s="4">
        <v>17.8</v>
      </c>
      <c r="AG478" s="4">
        <v>7.88</v>
      </c>
    </row>
    <row r="479" spans="1:33" ht="47.25" customHeight="1" x14ac:dyDescent="0.25">
      <c r="A479" s="10" t="s">
        <v>7279</v>
      </c>
      <c r="B479" s="11" t="s">
        <v>33</v>
      </c>
      <c r="C479" s="12" t="s">
        <v>7280</v>
      </c>
      <c r="D479" s="27"/>
      <c r="E479" s="14" t="s">
        <v>35</v>
      </c>
      <c r="F479" s="11" t="str">
        <f>HYPERLINK("https://redirect.sdcdeals.com/redirect?destination=https%3A%2F%2Fwww.amazon.com%2Fdp%2FB0B96YKJJZ%3Fth%3D1%26psc%3D1%26tag%3Dsdcdeals03-20", "Amazon Link")</f>
        <v>Amazon Link</v>
      </c>
      <c r="G479" s="11" t="s">
        <v>36</v>
      </c>
      <c r="H479" s="14" t="s">
        <v>7281</v>
      </c>
      <c r="I479" s="11" t="str">
        <f>HYPERLINK("https://redirect.sdcdeals.com/redirect?code=763034&amp;mavely=https://mavely.app.link/e/bhESV2wGrGb&amp;destination=https%3A%2F%2Fwww.kohls.com%2Fsearch.jsp%3Fsubmit-search%3Dweb-regular%26search%3D61824571", "Retail Link")</f>
        <v>Retail Link</v>
      </c>
      <c r="J479" s="14" t="s">
        <v>7256</v>
      </c>
      <c r="K479" s="13" t="s">
        <v>7282</v>
      </c>
      <c r="L479" s="15">
        <v>9.9920000000000009</v>
      </c>
      <c r="M479" s="15">
        <v>28.95</v>
      </c>
      <c r="N479" s="15">
        <v>8.7454999999999963</v>
      </c>
      <c r="O479" s="15">
        <f>V479-M479</f>
        <v>10.220000000000002</v>
      </c>
      <c r="P479" s="16">
        <f>N479/L479</f>
        <v>0.87525020016012767</v>
      </c>
      <c r="Q479" s="14">
        <v>1548234</v>
      </c>
      <c r="R479" s="14"/>
      <c r="S479" s="17">
        <v>1.32056738</v>
      </c>
      <c r="T479" s="15">
        <v>28.95</v>
      </c>
      <c r="U479" s="15">
        <v>34.29</v>
      </c>
      <c r="V479" s="15">
        <v>39.17</v>
      </c>
      <c r="W479" s="14" t="s">
        <v>164</v>
      </c>
      <c r="X479" s="14">
        <v>5</v>
      </c>
      <c r="Y479" s="10">
        <f>AC479-AB479</f>
        <v>84</v>
      </c>
      <c r="Z479" s="18">
        <v>0</v>
      </c>
      <c r="AA479" s="18">
        <v>4</v>
      </c>
      <c r="AB479" s="18">
        <v>3</v>
      </c>
      <c r="AC479" s="18">
        <v>87</v>
      </c>
      <c r="AD479" s="1" t="s">
        <v>7258</v>
      </c>
      <c r="AE479" s="1" t="s">
        <v>1675</v>
      </c>
      <c r="AF479" s="4">
        <v>4.34</v>
      </c>
      <c r="AG479" s="4">
        <v>5.87</v>
      </c>
    </row>
    <row r="480" spans="1:33" ht="47.25" customHeight="1" x14ac:dyDescent="0.25">
      <c r="A480" s="10" t="s">
        <v>5453</v>
      </c>
      <c r="B480" s="11" t="s">
        <v>33</v>
      </c>
      <c r="C480" s="12" t="s">
        <v>5454</v>
      </c>
      <c r="D480" s="27"/>
      <c r="E480" s="14" t="s">
        <v>35</v>
      </c>
      <c r="F480" s="11" t="str">
        <f>HYPERLINK("https://redirect.sdcdeals.com/redirect?destination=https%3A%2F%2Fwww.amazon.com%2Fdp%2FB0BGZ5JW4K%3Fth%3D1%26psc%3D1%26tag%3Dsdcdeals03-20", "Amazon Link")</f>
        <v>Amazon Link</v>
      </c>
      <c r="G480" s="11" t="s">
        <v>36</v>
      </c>
      <c r="H480" s="14" t="s">
        <v>5455</v>
      </c>
      <c r="I480" s="11" t="str">
        <f>HYPERLINK("https://redirect.sdcdeals.com/redirect?code=763034&amp;mavely=https://mavely.app.link/e/bhESV2wGrGb&amp;destination=https%3A%2F%2Fwww.kohls.com%2Fsearch.jsp%3Fsubmit-search%3Dweb-regular%26search%3D58226304", "Retail Link")</f>
        <v>Retail Link</v>
      </c>
      <c r="J480" s="14" t="s">
        <v>5456</v>
      </c>
      <c r="K480" s="13" t="s">
        <v>5457</v>
      </c>
      <c r="L480" s="15">
        <v>9</v>
      </c>
      <c r="M480" s="15">
        <v>26.97</v>
      </c>
      <c r="N480" s="15">
        <v>7.8744999999999976</v>
      </c>
      <c r="O480" s="15">
        <f>V480-M480</f>
        <v>1.6300000000000026</v>
      </c>
      <c r="P480" s="16">
        <f>N480/L480</f>
        <v>0.87494444444444419</v>
      </c>
      <c r="Q480" s="14">
        <v>1291827</v>
      </c>
      <c r="R480" s="14"/>
      <c r="S480" s="17">
        <v>0.46076558000000001</v>
      </c>
      <c r="T480" s="15">
        <v>22.2</v>
      </c>
      <c r="U480" s="15">
        <v>30.45</v>
      </c>
      <c r="V480" s="15">
        <v>28.6</v>
      </c>
      <c r="W480" s="14" t="s">
        <v>255</v>
      </c>
      <c r="X480" s="14">
        <v>6</v>
      </c>
      <c r="Y480" s="10">
        <f>AC480-AB480</f>
        <v>7</v>
      </c>
      <c r="Z480" s="18">
        <v>7</v>
      </c>
      <c r="AA480" s="18">
        <v>40</v>
      </c>
      <c r="AB480" s="18">
        <v>0</v>
      </c>
      <c r="AC480" s="18">
        <v>7</v>
      </c>
      <c r="AD480" s="1" t="s">
        <v>5458</v>
      </c>
      <c r="AE480" s="1" t="s">
        <v>5459</v>
      </c>
      <c r="AF480" s="4">
        <v>4.58</v>
      </c>
      <c r="AG480" s="4">
        <v>6.05</v>
      </c>
    </row>
    <row r="481" spans="1:33" ht="47.25" customHeight="1" x14ac:dyDescent="0.25">
      <c r="A481" s="10" t="s">
        <v>5460</v>
      </c>
      <c r="B481" s="11" t="s">
        <v>33</v>
      </c>
      <c r="C481" s="12" t="s">
        <v>5461</v>
      </c>
      <c r="D481" s="27"/>
      <c r="E481" s="14" t="s">
        <v>35</v>
      </c>
      <c r="F481" s="11" t="str">
        <f>HYPERLINK("https://redirect.sdcdeals.com/redirect?destination=https%3A%2F%2Fwww.amazon.com%2Fdp%2FB0BGYD8VDZ%3Fth%3D1%26psc%3D1%26tag%3Dsdcdeals03-20", "Amazon Link")</f>
        <v>Amazon Link</v>
      </c>
      <c r="G481" s="11" t="s">
        <v>36</v>
      </c>
      <c r="H481" s="14" t="s">
        <v>5462</v>
      </c>
      <c r="I481" s="11" t="str">
        <f>HYPERLINK("https://redirect.sdcdeals.com/redirect?code=763034&amp;mavely=https://mavely.app.link/e/bhESV2wGrGb&amp;destination=https%3A%2F%2Fwww.kohls.com%2Fsearch.jsp%3Fsubmit-search%3Dweb-regular%26search%3D58226305", "Retail Link")</f>
        <v>Retail Link</v>
      </c>
      <c r="J481" s="14" t="s">
        <v>5456</v>
      </c>
      <c r="K481" s="13" t="s">
        <v>5463</v>
      </c>
      <c r="L481" s="15">
        <v>9</v>
      </c>
      <c r="M481" s="15">
        <v>26.97</v>
      </c>
      <c r="N481" s="15">
        <v>7.8744999999999976</v>
      </c>
      <c r="O481" s="15">
        <f>V481-M481</f>
        <v>4.5</v>
      </c>
      <c r="P481" s="16">
        <f>N481/L481</f>
        <v>0.87494444444444419</v>
      </c>
      <c r="Q481" s="14">
        <v>1291827</v>
      </c>
      <c r="R481" s="14"/>
      <c r="S481" s="17">
        <v>0.65918138000000004</v>
      </c>
      <c r="T481" s="15">
        <v>22.2</v>
      </c>
      <c r="U481" s="15">
        <v>32.03</v>
      </c>
      <c r="V481" s="15">
        <v>31.47</v>
      </c>
      <c r="W481" s="14" t="s">
        <v>366</v>
      </c>
      <c r="X481" s="14">
        <v>5</v>
      </c>
      <c r="Y481" s="10">
        <f>AC481-AB481</f>
        <v>7</v>
      </c>
      <c r="Z481" s="18">
        <v>7</v>
      </c>
      <c r="AA481" s="18">
        <v>37</v>
      </c>
      <c r="AB481" s="18">
        <v>0</v>
      </c>
      <c r="AC481" s="18">
        <v>7</v>
      </c>
      <c r="AD481" s="1" t="s">
        <v>5458</v>
      </c>
      <c r="AE481" s="1" t="s">
        <v>5459</v>
      </c>
      <c r="AF481" s="4">
        <v>4.58</v>
      </c>
      <c r="AG481" s="4">
        <v>6.05</v>
      </c>
    </row>
    <row r="482" spans="1:33" ht="47.25" customHeight="1" x14ac:dyDescent="0.25">
      <c r="A482" s="10" t="s">
        <v>5464</v>
      </c>
      <c r="B482" s="11" t="s">
        <v>33</v>
      </c>
      <c r="C482" s="12" t="s">
        <v>5465</v>
      </c>
      <c r="D482" s="27"/>
      <c r="E482" s="14" t="s">
        <v>35</v>
      </c>
      <c r="F482" s="11" t="str">
        <f>HYPERLINK("https://redirect.sdcdeals.com/redirect?destination=https%3A%2F%2Fwww.amazon.com%2Fdp%2FB0BGYFZFM2%3Fth%3D1%26psc%3D1%26tag%3Dsdcdeals03-20", "Amazon Link")</f>
        <v>Amazon Link</v>
      </c>
      <c r="G482" s="11" t="s">
        <v>36</v>
      </c>
      <c r="H482" s="14" t="s">
        <v>5466</v>
      </c>
      <c r="I482" s="11" t="str">
        <f>HYPERLINK("https://redirect.sdcdeals.com/redirect?code=763034&amp;mavely=https://mavely.app.link/e/bhESV2wGrGb&amp;destination=https%3A%2F%2Fwww.kohls.com%2Fsearch.jsp%3Fsubmit-search%3Dweb-regular%26search%3D58226311", "Retail Link")</f>
        <v>Retail Link</v>
      </c>
      <c r="J482" s="14" t="s">
        <v>5456</v>
      </c>
      <c r="K482" s="13" t="s">
        <v>5467</v>
      </c>
      <c r="L482" s="15">
        <v>9</v>
      </c>
      <c r="M482" s="15">
        <v>26.97</v>
      </c>
      <c r="N482" s="15">
        <v>7.8744999999999976</v>
      </c>
      <c r="O482" s="15">
        <f>V482-M482</f>
        <v>1.5800000000000018</v>
      </c>
      <c r="P482" s="16">
        <f>N482/L482</f>
        <v>0.87494444444444419</v>
      </c>
      <c r="Q482" s="14">
        <v>1291827</v>
      </c>
      <c r="R482" s="14"/>
      <c r="S482" s="17">
        <v>0.63933980000000001</v>
      </c>
      <c r="T482" s="15">
        <v>22.2</v>
      </c>
      <c r="U482" s="15">
        <v>30.72</v>
      </c>
      <c r="V482" s="15">
        <v>28.55</v>
      </c>
      <c r="W482" s="14" t="s">
        <v>352</v>
      </c>
      <c r="X482" s="14">
        <v>5</v>
      </c>
      <c r="Y482" s="10">
        <f>AC482-AB482</f>
        <v>7</v>
      </c>
      <c r="Z482" s="18">
        <v>6</v>
      </c>
      <c r="AA482" s="18">
        <v>26</v>
      </c>
      <c r="AB482" s="18">
        <v>0</v>
      </c>
      <c r="AC482" s="18">
        <v>7</v>
      </c>
      <c r="AD482" s="1" t="s">
        <v>5458</v>
      </c>
      <c r="AE482" s="1" t="s">
        <v>5459</v>
      </c>
      <c r="AF482" s="4">
        <v>4.58</v>
      </c>
      <c r="AG482" s="4">
        <v>6.05</v>
      </c>
    </row>
    <row r="483" spans="1:33" ht="47.25" customHeight="1" x14ac:dyDescent="0.25">
      <c r="A483" s="10" t="s">
        <v>2682</v>
      </c>
      <c r="B483" s="11" t="s">
        <v>33</v>
      </c>
      <c r="C483" s="12" t="s">
        <v>2683</v>
      </c>
      <c r="D483" s="27"/>
      <c r="E483" s="14" t="s">
        <v>35</v>
      </c>
      <c r="F483" s="11" t="str">
        <f>HYPERLINK("https://redirect.sdcdeals.com/redirect?destination=https%3A%2F%2Fwww.amazon.com%2Fdp%2FB0BKQT57KK%3Fth%3D1%26psc%3D1%26tag%3Dsdcdeals03-20", "Amazon Link")</f>
        <v>Amazon Link</v>
      </c>
      <c r="G483" s="11" t="s">
        <v>36</v>
      </c>
      <c r="H483" s="14" t="s">
        <v>2684</v>
      </c>
      <c r="I483" s="11" t="str">
        <f>HYPERLINK("https://redirect.sdcdeals.com/redirect?code=763034&amp;mavely=https://mavely.app.link/e/bhESV2wGrGb&amp;destination=https%3A%2F%2Fwww.kohls.com%2Fsearch.jsp%3Fsubmit-search%3Dweb-regular%26search%3D46946426", "Retail Link")</f>
        <v>Retail Link</v>
      </c>
      <c r="J483" s="14" t="s">
        <v>2685</v>
      </c>
      <c r="K483" s="13" t="s">
        <v>2686</v>
      </c>
      <c r="L483" s="15">
        <v>62.400000000000013</v>
      </c>
      <c r="M483" s="15">
        <v>156</v>
      </c>
      <c r="N483" s="15">
        <v>54.509999999999977</v>
      </c>
      <c r="O483" s="15">
        <f>V483-M483</f>
        <v>-34.180000000000007</v>
      </c>
      <c r="P483" s="16">
        <f>N483/L483</f>
        <v>0.87355769230769176</v>
      </c>
      <c r="Q483" s="14">
        <v>634466</v>
      </c>
      <c r="R483" s="14"/>
      <c r="S483" s="17">
        <v>2.3104417599999998</v>
      </c>
      <c r="T483" s="15">
        <v>156</v>
      </c>
      <c r="U483" s="15">
        <v>123.85</v>
      </c>
      <c r="V483" s="15">
        <v>121.82</v>
      </c>
      <c r="W483" s="14" t="s">
        <v>385</v>
      </c>
      <c r="X483" s="14">
        <v>1</v>
      </c>
      <c r="Y483" s="10">
        <f>AC483-AB483</f>
        <v>32</v>
      </c>
      <c r="Z483" s="18">
        <v>24</v>
      </c>
      <c r="AA483" s="18">
        <v>62</v>
      </c>
      <c r="AB483" s="18">
        <v>0</v>
      </c>
      <c r="AC483" s="18">
        <v>32</v>
      </c>
      <c r="AD483" s="1" t="s">
        <v>2687</v>
      </c>
      <c r="AE483" s="1" t="s">
        <v>2688</v>
      </c>
      <c r="AF483" s="4">
        <v>26.52</v>
      </c>
      <c r="AG483" s="4">
        <v>15.69</v>
      </c>
    </row>
    <row r="484" spans="1:33" ht="47.25" customHeight="1" x14ac:dyDescent="0.25">
      <c r="A484" s="10" t="s">
        <v>291</v>
      </c>
      <c r="B484" s="11" t="s">
        <v>33</v>
      </c>
      <c r="C484" s="12" t="s">
        <v>292</v>
      </c>
      <c r="D484" s="27"/>
      <c r="E484" s="14" t="s">
        <v>35</v>
      </c>
      <c r="F484" s="11" t="str">
        <f>HYPERLINK("https://redirect.sdcdeals.com/redirect?destination=https%3A%2F%2Fwww.amazon.com%2Fdp%2FB0BLZVMHX9%3Fth%3D1%26psc%3D1%26tag%3Dsdcdeals03-20", "Amazon Link")</f>
        <v>Amazon Link</v>
      </c>
      <c r="G484" s="11" t="s">
        <v>36</v>
      </c>
      <c r="H484" s="14" t="s">
        <v>293</v>
      </c>
      <c r="I484" s="11" t="str">
        <f>HYPERLINK("https://redirect.sdcdeals.com/redirect?code=763034&amp;mavely=https://mavely.app.link/e/bhESV2wGrGb&amp;destination=https%3A%2F%2Fwww.kohls.com%2Fsearch.jsp%3Fsubmit-search%3Dweb-regular%26search%3D80341005", "Retail Link")</f>
        <v>Retail Link</v>
      </c>
      <c r="J484" s="14" t="s">
        <v>294</v>
      </c>
      <c r="K484" s="13" t="s">
        <v>295</v>
      </c>
      <c r="L484" s="15">
        <v>11.192</v>
      </c>
      <c r="M484" s="15">
        <v>29.99</v>
      </c>
      <c r="N484" s="15">
        <v>9.7494999999999976</v>
      </c>
      <c r="O484" s="15">
        <f>V484-M484</f>
        <v>-4.1199999999999974</v>
      </c>
      <c r="P484" s="16">
        <f>N484/L484</f>
        <v>0.87111329521086467</v>
      </c>
      <c r="Q484" s="14">
        <v>100566</v>
      </c>
      <c r="R484" s="14"/>
      <c r="S484" s="17">
        <v>0.110231</v>
      </c>
      <c r="T484" s="15">
        <v>29.99</v>
      </c>
      <c r="U484" s="15">
        <v>28.14</v>
      </c>
      <c r="V484" s="15">
        <v>25.87</v>
      </c>
      <c r="W484" s="14" t="s">
        <v>296</v>
      </c>
      <c r="X484" s="14">
        <v>1</v>
      </c>
      <c r="Y484" s="10">
        <f>AC484-AB484</f>
        <v>71</v>
      </c>
      <c r="Z484" s="18">
        <v>10</v>
      </c>
      <c r="AA484" s="18">
        <v>39</v>
      </c>
      <c r="AB484" s="18">
        <v>6</v>
      </c>
      <c r="AC484" s="18">
        <v>77</v>
      </c>
      <c r="AF484" s="4">
        <v>4.5</v>
      </c>
      <c r="AG484" s="4">
        <v>4.55</v>
      </c>
    </row>
    <row r="485" spans="1:33" ht="47.25" customHeight="1" x14ac:dyDescent="0.25">
      <c r="A485" s="10" t="s">
        <v>6495</v>
      </c>
      <c r="B485" s="11" t="s">
        <v>33</v>
      </c>
      <c r="C485" s="12" t="s">
        <v>6496</v>
      </c>
      <c r="D485" s="27"/>
      <c r="E485" s="14" t="s">
        <v>35</v>
      </c>
      <c r="F485" s="11" t="str">
        <f>HYPERLINK("https://redirect.sdcdeals.com/redirect?destination=https%3A%2F%2Fwww.amazon.com%2Fdp%2FB0BHXGSXZM%3Fth%3D1%26psc%3D1%26tag%3Dsdcdeals03-20", "Amazon Link")</f>
        <v>Amazon Link</v>
      </c>
      <c r="G485" s="11" t="s">
        <v>36</v>
      </c>
      <c r="H485" s="14" t="s">
        <v>6497</v>
      </c>
      <c r="I485" s="11" t="str">
        <f>HYPERLINK("https://redirect.sdcdeals.com/redirect?code=763034&amp;mavely=https://mavely.app.link/e/bhESV2wGrGb&amp;destination=https%3A%2F%2Fwww.kohls.com%2Fsearch.jsp%3Fsubmit-search%3Dweb-regular%26search%3D75436223", "Retail Link")</f>
        <v>Retail Link</v>
      </c>
      <c r="J485" s="14" t="s">
        <v>6488</v>
      </c>
      <c r="K485" s="13" t="s">
        <v>6498</v>
      </c>
      <c r="L485" s="15">
        <v>11.76</v>
      </c>
      <c r="M485" s="15">
        <v>31.91</v>
      </c>
      <c r="N485" s="15">
        <v>10.243499999999999</v>
      </c>
      <c r="O485" s="15">
        <f>V485-M485</f>
        <v>0</v>
      </c>
      <c r="P485" s="16">
        <f>N485/L485</f>
        <v>0.87104591836734691</v>
      </c>
      <c r="Q485" s="14">
        <v>2112772</v>
      </c>
      <c r="R485" s="14"/>
      <c r="S485" s="17">
        <v>0.31966990000000001</v>
      </c>
      <c r="T485" s="15"/>
      <c r="U485" s="15"/>
      <c r="V485" s="15">
        <v>31.91</v>
      </c>
      <c r="W485" s="14" t="s">
        <v>88</v>
      </c>
      <c r="X485" s="14"/>
      <c r="Y485" s="10">
        <f>AC485-AB485</f>
        <v>0</v>
      </c>
      <c r="Z485" s="18">
        <v>1</v>
      </c>
      <c r="AA485" s="18">
        <v>1</v>
      </c>
      <c r="AB485" s="18">
        <v>0</v>
      </c>
      <c r="AC485" s="18"/>
      <c r="AD485" s="1" t="s">
        <v>6490</v>
      </c>
      <c r="AE485" s="1" t="s">
        <v>546</v>
      </c>
      <c r="AG485" s="4">
        <v>5.12</v>
      </c>
    </row>
    <row r="486" spans="1:33" ht="47.25" customHeight="1" x14ac:dyDescent="0.25">
      <c r="A486" s="10" t="s">
        <v>3338</v>
      </c>
      <c r="B486" s="11" t="s">
        <v>33</v>
      </c>
      <c r="C486" s="12" t="s">
        <v>3339</v>
      </c>
      <c r="D486" s="27"/>
      <c r="E486" s="14" t="s">
        <v>35</v>
      </c>
      <c r="F486" s="11" t="str">
        <f>HYPERLINK("https://redirect.sdcdeals.com/redirect?destination=https%3A%2F%2Fwww.amazon.com%2Fdp%2FB0BKQZV9F3%3Fth%3D1%26psc%3D1%26tag%3Dsdcdeals03-20", "Amazon Link")</f>
        <v>Amazon Link</v>
      </c>
      <c r="G486" s="11" t="s">
        <v>36</v>
      </c>
      <c r="H486" s="14" t="s">
        <v>3340</v>
      </c>
      <c r="I486" s="11" t="str">
        <f>HYPERLINK("https://redirect.sdcdeals.com/redirect?code=763034&amp;mavely=https://mavely.app.link/e/bhESV2wGrGb&amp;destination=https%3A%2F%2Fwww.kohls.com%2Fsearch.jsp%3Fsubmit-search%3Dweb-regular%26search%3D75541535", "Retail Link")</f>
        <v>Retail Link</v>
      </c>
      <c r="J486" s="14" t="s">
        <v>3318</v>
      </c>
      <c r="K486" s="13" t="s">
        <v>3341</v>
      </c>
      <c r="L486" s="15">
        <v>39.6</v>
      </c>
      <c r="M486" s="15">
        <v>104.99</v>
      </c>
      <c r="N486" s="15">
        <v>34.331499999999977</v>
      </c>
      <c r="O486" s="15">
        <f>V486-M486</f>
        <v>-4.1700000000000017</v>
      </c>
      <c r="P486" s="16">
        <f>N486/L486</f>
        <v>0.86695707070707007</v>
      </c>
      <c r="Q486" s="14">
        <v>452401</v>
      </c>
      <c r="R486" s="14"/>
      <c r="S486" s="17">
        <v>2.2707586000000002</v>
      </c>
      <c r="T486" s="15">
        <v>104.99</v>
      </c>
      <c r="U486" s="15">
        <v>104.8</v>
      </c>
      <c r="V486" s="15">
        <v>100.82</v>
      </c>
      <c r="W486" s="14" t="s">
        <v>2697</v>
      </c>
      <c r="X486" s="14">
        <v>1</v>
      </c>
      <c r="Y486" s="10">
        <f>AC486-AB486</f>
        <v>0</v>
      </c>
      <c r="Z486" s="18">
        <v>7</v>
      </c>
      <c r="AA486" s="18">
        <v>33</v>
      </c>
      <c r="AB486" s="18">
        <v>0</v>
      </c>
      <c r="AC486" s="18"/>
      <c r="AD486" s="1" t="s">
        <v>3320</v>
      </c>
      <c r="AE486" s="1" t="s">
        <v>2213</v>
      </c>
      <c r="AF486" s="4">
        <v>17.850000000000001</v>
      </c>
      <c r="AG486" s="4">
        <v>15.31</v>
      </c>
    </row>
    <row r="487" spans="1:33" ht="47.25" hidden="1" customHeight="1" x14ac:dyDescent="0.25">
      <c r="A487" s="10" t="s">
        <v>2744</v>
      </c>
      <c r="B487" s="11" t="s">
        <v>33</v>
      </c>
      <c r="C487" s="12" t="s">
        <v>2745</v>
      </c>
      <c r="D487" s="27"/>
      <c r="E487" s="14" t="s">
        <v>35</v>
      </c>
      <c r="F487" s="11" t="str">
        <f>HYPERLINK("https://redirect.sdcdeals.com/redirect?destination=https%3A%2F%2Fwww.amazon.com%2Fdp%2FB0CCBKF4RH%3Fth%3D1%26psc%3D1%26tag%3Dsdcdeals03-20", "Amazon Link")</f>
        <v>Amazon Link</v>
      </c>
      <c r="G487" s="11" t="s">
        <v>36</v>
      </c>
      <c r="H487" s="14" t="s">
        <v>2746</v>
      </c>
      <c r="I487" s="11" t="str">
        <f>HYPERLINK("https://redirect.sdcdeals.com/redirect?code=763034&amp;mavely=https://mavely.app.link/e/bhESV2wGrGb&amp;destination=https%3A%2F%2Fwww.kohls.com%2Fsearch.jsp%3Fsubmit-search%3Dweb-regular%26search%3D64250554", "Retail Link")</f>
        <v>Retail Link</v>
      </c>
      <c r="J487" s="14" t="s">
        <v>2705</v>
      </c>
      <c r="K487" s="13" t="s">
        <v>2711</v>
      </c>
      <c r="L487" s="15">
        <v>13.2</v>
      </c>
      <c r="M487" s="15">
        <v>36.99</v>
      </c>
      <c r="N487" s="15">
        <v>11.4115</v>
      </c>
      <c r="O487" s="15">
        <f>V487-M487</f>
        <v>-4.5399999999999991</v>
      </c>
      <c r="P487" s="16">
        <f>N487/L487</f>
        <v>0.86450757575757586</v>
      </c>
      <c r="Q487" s="14"/>
      <c r="R487" s="14"/>
      <c r="S487" s="17">
        <v>0.88184799999999997</v>
      </c>
      <c r="T487" s="15">
        <v>36.99</v>
      </c>
      <c r="U487" s="15">
        <v>31.26</v>
      </c>
      <c r="V487" s="15">
        <v>32.450000000000003</v>
      </c>
      <c r="W487" s="14" t="s">
        <v>2747</v>
      </c>
      <c r="X487" s="14">
        <v>1</v>
      </c>
      <c r="Y487" s="10">
        <f>AC487-AB487</f>
        <v>2</v>
      </c>
      <c r="Z487" s="18">
        <v>-1</v>
      </c>
      <c r="AA487" s="18">
        <v>-1</v>
      </c>
      <c r="AB487" s="18"/>
      <c r="AC487" s="18">
        <v>2</v>
      </c>
      <c r="AD487" s="1" t="s">
        <v>2748</v>
      </c>
      <c r="AE487" s="1" t="s">
        <v>2713</v>
      </c>
      <c r="AF487" s="4">
        <v>6.29</v>
      </c>
      <c r="AG487" s="4">
        <v>6.83</v>
      </c>
    </row>
    <row r="488" spans="1:33" ht="47.25" hidden="1" customHeight="1" x14ac:dyDescent="0.25">
      <c r="A488" s="10" t="s">
        <v>2755</v>
      </c>
      <c r="B488" s="11" t="s">
        <v>33</v>
      </c>
      <c r="C488" s="12" t="s">
        <v>2756</v>
      </c>
      <c r="D488" s="27"/>
      <c r="E488" s="14" t="s">
        <v>35</v>
      </c>
      <c r="F488" s="11" t="str">
        <f>HYPERLINK("https://redirect.sdcdeals.com/redirect?destination=https%3A%2F%2Fwww.amazon.com%2Fdp%2FB0CCBH79PL%3Fth%3D1%26psc%3D1%26tag%3Dsdcdeals03-20", "Amazon Link")</f>
        <v>Amazon Link</v>
      </c>
      <c r="G488" s="11" t="s">
        <v>36</v>
      </c>
      <c r="H488" s="14" t="s">
        <v>2757</v>
      </c>
      <c r="I488" s="11" t="str">
        <f>HYPERLINK("https://redirect.sdcdeals.com/redirect?code=763034&amp;mavely=https://mavely.app.link/e/bhESV2wGrGb&amp;destination=https%3A%2F%2Fwww.kohls.com%2Fsearch.jsp%3Fsubmit-search%3Dweb-regular%26search%3D49706587", "Retail Link")</f>
        <v>Retail Link</v>
      </c>
      <c r="J488" s="14" t="s">
        <v>2705</v>
      </c>
      <c r="K488" s="13" t="s">
        <v>2758</v>
      </c>
      <c r="L488" s="15">
        <v>13.2</v>
      </c>
      <c r="M488" s="15">
        <v>36.99</v>
      </c>
      <c r="N488" s="15">
        <v>11.4115</v>
      </c>
      <c r="O488" s="15">
        <f>V488-M488</f>
        <v>-9.8300000000000018</v>
      </c>
      <c r="P488" s="16">
        <f>N488/L488</f>
        <v>0.86450757575757586</v>
      </c>
      <c r="Q488" s="14"/>
      <c r="R488" s="14"/>
      <c r="S488" s="17">
        <v>0.88184799999999997</v>
      </c>
      <c r="T488" s="15">
        <v>36.99</v>
      </c>
      <c r="U488" s="15">
        <v>24.84</v>
      </c>
      <c r="V488" s="15">
        <v>27.16</v>
      </c>
      <c r="W488" s="14" t="s">
        <v>926</v>
      </c>
      <c r="X488" s="14">
        <v>2</v>
      </c>
      <c r="Y488" s="10">
        <f>AC488-AB488</f>
        <v>4</v>
      </c>
      <c r="Z488" s="18">
        <v>-1</v>
      </c>
      <c r="AA488" s="18">
        <v>-1</v>
      </c>
      <c r="AB488" s="18">
        <v>0</v>
      </c>
      <c r="AC488" s="18">
        <v>4</v>
      </c>
      <c r="AD488" s="1" t="s">
        <v>2712</v>
      </c>
      <c r="AE488" s="1" t="s">
        <v>2713</v>
      </c>
      <c r="AF488" s="4">
        <v>6.29</v>
      </c>
      <c r="AG488" s="4">
        <v>6.83</v>
      </c>
    </row>
    <row r="489" spans="1:33" ht="47.25" hidden="1" customHeight="1" x14ac:dyDescent="0.25">
      <c r="A489" s="10" t="s">
        <v>2766</v>
      </c>
      <c r="B489" s="11" t="s">
        <v>33</v>
      </c>
      <c r="C489" s="12" t="s">
        <v>2767</v>
      </c>
      <c r="D489" s="27"/>
      <c r="E489" s="14" t="s">
        <v>35</v>
      </c>
      <c r="F489" s="11" t="str">
        <f>HYPERLINK("https://redirect.sdcdeals.com/redirect?destination=https%3A%2F%2Fwww.amazon.com%2Fdp%2FB0CCBBZN63%3Fth%3D1%26psc%3D1%26tag%3Dsdcdeals03-20", "Amazon Link")</f>
        <v>Amazon Link</v>
      </c>
      <c r="G489" s="11" t="s">
        <v>36</v>
      </c>
      <c r="H489" s="14" t="s">
        <v>2768</v>
      </c>
      <c r="I489" s="11" t="str">
        <f>HYPERLINK("https://redirect.sdcdeals.com/redirect?code=763034&amp;mavely=https://mavely.app.link/e/bhESV2wGrGb&amp;destination=https%3A%2F%2Fwww.kohls.com%2Fsearch.jsp%3Fsubmit-search%3Dweb-regular%26search%3D67197130", "Retail Link")</f>
        <v>Retail Link</v>
      </c>
      <c r="J489" s="14" t="s">
        <v>2705</v>
      </c>
      <c r="K489" s="13" t="s">
        <v>2769</v>
      </c>
      <c r="L489" s="15">
        <v>13.2</v>
      </c>
      <c r="M489" s="15">
        <v>36.99</v>
      </c>
      <c r="N489" s="15">
        <v>11.4115</v>
      </c>
      <c r="O489" s="15">
        <f>V489-M489</f>
        <v>-6.1000000000000014</v>
      </c>
      <c r="P489" s="16">
        <f>N489/L489</f>
        <v>0.86450757575757586</v>
      </c>
      <c r="Q489" s="14"/>
      <c r="R489" s="14"/>
      <c r="S489" s="17">
        <v>0.88184799999999997</v>
      </c>
      <c r="T489" s="15">
        <v>36.99</v>
      </c>
      <c r="U489" s="15">
        <v>34.54</v>
      </c>
      <c r="V489" s="15">
        <v>30.89</v>
      </c>
      <c r="W489" s="14" t="s">
        <v>516</v>
      </c>
      <c r="X489" s="14">
        <v>1</v>
      </c>
      <c r="Y489" s="10">
        <f>AC489-AB489</f>
        <v>2</v>
      </c>
      <c r="Z489" s="18">
        <v>-1</v>
      </c>
      <c r="AA489" s="18">
        <v>-1</v>
      </c>
      <c r="AB489" s="18"/>
      <c r="AC489" s="18">
        <v>2</v>
      </c>
      <c r="AD489" s="1" t="s">
        <v>2737</v>
      </c>
      <c r="AE489" s="1" t="s">
        <v>2738</v>
      </c>
      <c r="AF489" s="4">
        <v>6.29</v>
      </c>
      <c r="AG489" s="4">
        <v>6.83</v>
      </c>
    </row>
    <row r="490" spans="1:33" ht="47.25" hidden="1" customHeight="1" x14ac:dyDescent="0.25">
      <c r="A490" s="10" t="s">
        <v>2777</v>
      </c>
      <c r="B490" s="11" t="s">
        <v>33</v>
      </c>
      <c r="C490" s="12" t="s">
        <v>2778</v>
      </c>
      <c r="D490" s="27"/>
      <c r="E490" s="14" t="s">
        <v>35</v>
      </c>
      <c r="F490" s="11" t="str">
        <f>HYPERLINK("https://redirect.sdcdeals.com/redirect?destination=https%3A%2F%2Fwww.amazon.com%2Fdp%2FB0CCBNBZXF%3Fth%3D1%26psc%3D1%26tag%3Dsdcdeals03-20", "Amazon Link")</f>
        <v>Amazon Link</v>
      </c>
      <c r="G490" s="11" t="s">
        <v>36</v>
      </c>
      <c r="H490" s="14" t="s">
        <v>2779</v>
      </c>
      <c r="I490" s="11" t="str">
        <f>HYPERLINK("https://redirect.sdcdeals.com/redirect?code=763034&amp;mavely=https://mavely.app.link/e/bhESV2wGrGb&amp;destination=https%3A%2F%2Fwww.kohls.com%2Fsearch.jsp%3Fsubmit-search%3Dweb-regular%26search%3D49706589", "Retail Link")</f>
        <v>Retail Link</v>
      </c>
      <c r="J490" s="14" t="s">
        <v>2705</v>
      </c>
      <c r="K490" s="13" t="s">
        <v>2711</v>
      </c>
      <c r="L490" s="15">
        <v>13.2</v>
      </c>
      <c r="M490" s="15">
        <v>36.99</v>
      </c>
      <c r="N490" s="15">
        <v>11.4115</v>
      </c>
      <c r="O490" s="15">
        <f>V490-M490</f>
        <v>-7.9500000000000028</v>
      </c>
      <c r="P490" s="16">
        <f>N490/L490</f>
        <v>0.86450757575757586</v>
      </c>
      <c r="Q490" s="14"/>
      <c r="R490" s="14"/>
      <c r="S490" s="17">
        <v>0.88184799999999997</v>
      </c>
      <c r="T490" s="15">
        <v>36.99</v>
      </c>
      <c r="U490" s="15">
        <v>29.94</v>
      </c>
      <c r="V490" s="15">
        <v>29.04</v>
      </c>
      <c r="W490" s="14" t="s">
        <v>321</v>
      </c>
      <c r="X490" s="14">
        <v>1</v>
      </c>
      <c r="Y490" s="10">
        <f>AC490-AB490</f>
        <v>3</v>
      </c>
      <c r="Z490" s="18">
        <v>-1</v>
      </c>
      <c r="AA490" s="18">
        <v>-1</v>
      </c>
      <c r="AB490" s="18"/>
      <c r="AC490" s="18">
        <v>3</v>
      </c>
      <c r="AD490" s="1" t="s">
        <v>2712</v>
      </c>
      <c r="AE490" s="1" t="s">
        <v>2713</v>
      </c>
      <c r="AF490" s="4">
        <v>6.29</v>
      </c>
      <c r="AG490" s="4">
        <v>6.83</v>
      </c>
    </row>
    <row r="491" spans="1:33" ht="47.25" hidden="1" customHeight="1" x14ac:dyDescent="0.25">
      <c r="A491" s="10" t="s">
        <v>2791</v>
      </c>
      <c r="B491" s="11" t="s">
        <v>33</v>
      </c>
      <c r="C491" s="12" t="s">
        <v>2792</v>
      </c>
      <c r="D491" s="27"/>
      <c r="E491" s="14" t="s">
        <v>35</v>
      </c>
      <c r="F491" s="11" t="str">
        <f>HYPERLINK("https://redirect.sdcdeals.com/redirect?destination=https%3A%2F%2Fwww.amazon.com%2Fdp%2FB0CCC269KV%3Fth%3D1%26psc%3D1%26tag%3Dsdcdeals03-20", "Amazon Link")</f>
        <v>Amazon Link</v>
      </c>
      <c r="G491" s="11" t="s">
        <v>36</v>
      </c>
      <c r="H491" s="14" t="s">
        <v>2793</v>
      </c>
      <c r="I491" s="11" t="str">
        <f>HYPERLINK("https://redirect.sdcdeals.com/redirect?code=763034&amp;mavely=https://mavely.app.link/e/bhESV2wGrGb&amp;destination=https%3A%2F%2Fwww.kohls.com%2Fsearch.jsp%3Fsubmit-search%3Dweb-regular%26search%3D67197131", "Retail Link")</f>
        <v>Retail Link</v>
      </c>
      <c r="J491" s="14" t="s">
        <v>2705</v>
      </c>
      <c r="K491" s="13" t="s">
        <v>2769</v>
      </c>
      <c r="L491" s="15">
        <v>13.2</v>
      </c>
      <c r="M491" s="15">
        <v>36.99</v>
      </c>
      <c r="N491" s="15">
        <v>11.4115</v>
      </c>
      <c r="O491" s="15">
        <f>V491-M491</f>
        <v>-5.5500000000000007</v>
      </c>
      <c r="P491" s="16">
        <f>N491/L491</f>
        <v>0.86450757575757586</v>
      </c>
      <c r="Q491" s="14"/>
      <c r="R491" s="14"/>
      <c r="S491" s="17">
        <v>0.88184799999999997</v>
      </c>
      <c r="T491" s="15">
        <v>36.99</v>
      </c>
      <c r="U491" s="15">
        <v>35.17</v>
      </c>
      <c r="V491" s="15">
        <v>31.44</v>
      </c>
      <c r="W491" s="14" t="s">
        <v>835</v>
      </c>
      <c r="X491" s="14">
        <v>1</v>
      </c>
      <c r="Y491" s="10">
        <f>AC491-AB491</f>
        <v>2</v>
      </c>
      <c r="Z491" s="18">
        <v>-1</v>
      </c>
      <c r="AA491" s="18">
        <v>-1</v>
      </c>
      <c r="AB491" s="18"/>
      <c r="AC491" s="18">
        <v>2</v>
      </c>
      <c r="AD491" s="1" t="s">
        <v>2737</v>
      </c>
      <c r="AE491" s="1" t="s">
        <v>2738</v>
      </c>
      <c r="AF491" s="4">
        <v>3.7</v>
      </c>
      <c r="AG491" s="4">
        <v>6.83</v>
      </c>
    </row>
    <row r="492" spans="1:33" ht="47.25" hidden="1" customHeight="1" x14ac:dyDescent="0.25">
      <c r="A492" s="10" t="s">
        <v>2808</v>
      </c>
      <c r="B492" s="11" t="s">
        <v>33</v>
      </c>
      <c r="C492" s="12" t="s">
        <v>2809</v>
      </c>
      <c r="D492" s="27"/>
      <c r="E492" s="14" t="s">
        <v>35</v>
      </c>
      <c r="F492" s="11" t="str">
        <f>HYPERLINK("https://redirect.sdcdeals.com/redirect?destination=https%3A%2F%2Fwww.amazon.com%2Fdp%2FB0CCCDR815%3Fth%3D1%26psc%3D1%26tag%3Dsdcdeals03-20", "Amazon Link")</f>
        <v>Amazon Link</v>
      </c>
      <c r="G492" s="11" t="s">
        <v>36</v>
      </c>
      <c r="H492" s="14" t="s">
        <v>2810</v>
      </c>
      <c r="I492" s="11" t="str">
        <f>HYPERLINK("https://redirect.sdcdeals.com/redirect?code=763034&amp;mavely=https://mavely.app.link/e/bhESV2wGrGb&amp;destination=https%3A%2F%2Fwww.kohls.com%2Fsearch.jsp%3Fsubmit-search%3Dweb-regular%26search%3D53952535", "Retail Link")</f>
        <v>Retail Link</v>
      </c>
      <c r="J492" s="14" t="s">
        <v>2705</v>
      </c>
      <c r="K492" s="13" t="s">
        <v>2742</v>
      </c>
      <c r="L492" s="15">
        <v>13.2</v>
      </c>
      <c r="M492" s="15">
        <v>36.99</v>
      </c>
      <c r="N492" s="15">
        <v>11.4115</v>
      </c>
      <c r="O492" s="15">
        <f>V492-M492</f>
        <v>-6.23</v>
      </c>
      <c r="P492" s="16">
        <f>N492/L492</f>
        <v>0.86450757575757586</v>
      </c>
      <c r="Q492" s="14"/>
      <c r="R492" s="14"/>
      <c r="S492" s="17">
        <v>0.88184799999999997</v>
      </c>
      <c r="T492" s="15">
        <v>36.99</v>
      </c>
      <c r="U492" s="15">
        <v>30.02</v>
      </c>
      <c r="V492" s="15">
        <v>30.76</v>
      </c>
      <c r="W492" s="14" t="s">
        <v>1459</v>
      </c>
      <c r="X492" s="14">
        <v>2</v>
      </c>
      <c r="Y492" s="10">
        <f>AC492-AB492</f>
        <v>2</v>
      </c>
      <c r="Z492" s="18">
        <v>-1</v>
      </c>
      <c r="AA492" s="18">
        <v>-1</v>
      </c>
      <c r="AB492" s="18"/>
      <c r="AC492" s="18">
        <v>2</v>
      </c>
      <c r="AD492" s="1" t="s">
        <v>2724</v>
      </c>
      <c r="AE492" s="1" t="s">
        <v>2725</v>
      </c>
      <c r="AF492" s="4">
        <v>6.28</v>
      </c>
      <c r="AG492" s="4">
        <v>6.83</v>
      </c>
    </row>
    <row r="493" spans="1:33" ht="47.25" customHeight="1" x14ac:dyDescent="0.25">
      <c r="A493" s="10" t="s">
        <v>1870</v>
      </c>
      <c r="B493" s="11" t="s">
        <v>33</v>
      </c>
      <c r="C493" s="12" t="s">
        <v>1871</v>
      </c>
      <c r="D493" s="27"/>
      <c r="E493" s="14" t="s">
        <v>35</v>
      </c>
      <c r="F493" s="11" t="str">
        <f>HYPERLINK("https://redirect.sdcdeals.com/redirect?destination=https%3A%2F%2Fwww.amazon.com%2Fdp%2FB0BGVPZK97%3Fth%3D1%26psc%3D1%26tag%3Dsdcdeals03-20", "Amazon Link")</f>
        <v>Amazon Link</v>
      </c>
      <c r="G493" s="11" t="s">
        <v>36</v>
      </c>
      <c r="H493" s="14" t="s">
        <v>1872</v>
      </c>
      <c r="I493" s="11" t="str">
        <f>HYPERLINK("https://redirect.sdcdeals.com/redirect?code=763034&amp;mavely=https://mavely.app.link/e/bhESV2wGrGb&amp;destination=https%3A%2F%2Fwww.kohls.com%2Fsearch.jsp%3Fsubmit-search%3Dweb-regular%26search%3D63445468", "Retail Link")</f>
        <v>Retail Link</v>
      </c>
      <c r="J493" s="14" t="s">
        <v>1856</v>
      </c>
      <c r="K493" s="13" t="s">
        <v>1873</v>
      </c>
      <c r="L493" s="15">
        <v>14.295999999999999</v>
      </c>
      <c r="M493" s="15">
        <v>38.979999999999997</v>
      </c>
      <c r="N493" s="15">
        <v>12.356999999999999</v>
      </c>
      <c r="O493" s="15">
        <f>V493-M493</f>
        <v>2.0100000000000051</v>
      </c>
      <c r="P493" s="16">
        <f>N493/L493</f>
        <v>0.86436765528819248</v>
      </c>
      <c r="Q493" s="14">
        <v>57946</v>
      </c>
      <c r="R493" s="14"/>
      <c r="S493" s="17">
        <v>0.83775560000000004</v>
      </c>
      <c r="T493" s="15">
        <v>30.13</v>
      </c>
      <c r="U493" s="15">
        <v>41.72</v>
      </c>
      <c r="V493" s="15">
        <v>40.99</v>
      </c>
      <c r="W493" s="14" t="s">
        <v>1874</v>
      </c>
      <c r="X493" s="14">
        <v>12</v>
      </c>
      <c r="Y493" s="10">
        <f>AC493-AB493</f>
        <v>354</v>
      </c>
      <c r="Z493" s="18">
        <v>62</v>
      </c>
      <c r="AA493" s="18">
        <v>193</v>
      </c>
      <c r="AB493" s="18">
        <v>26</v>
      </c>
      <c r="AC493" s="18">
        <v>380</v>
      </c>
      <c r="AD493" s="1" t="s">
        <v>1858</v>
      </c>
      <c r="AE493" s="1" t="s">
        <v>1865</v>
      </c>
      <c r="AF493" s="4">
        <v>6.63</v>
      </c>
      <c r="AG493" s="4">
        <v>6.48</v>
      </c>
    </row>
    <row r="494" spans="1:33" ht="47.25" customHeight="1" x14ac:dyDescent="0.25">
      <c r="A494" s="10" t="s">
        <v>6695</v>
      </c>
      <c r="B494" s="11" t="s">
        <v>33</v>
      </c>
      <c r="C494" s="12" t="s">
        <v>6696</v>
      </c>
      <c r="D494" s="27"/>
      <c r="E494" s="14" t="s">
        <v>35</v>
      </c>
      <c r="F494" s="11" t="str">
        <f>HYPERLINK("https://redirect.sdcdeals.com/redirect?destination=https%3A%2F%2Fwww.amazon.com%2Fdp%2FB0BNR5KNHP%3Fth%3D1%26psc%3D1%26tag%3Dsdcdeals03-20", "Amazon Link")</f>
        <v>Amazon Link</v>
      </c>
      <c r="G494" s="11" t="s">
        <v>36</v>
      </c>
      <c r="H494" s="14" t="s">
        <v>6697</v>
      </c>
      <c r="I494" s="11" t="str">
        <f>HYPERLINK("https://redirect.sdcdeals.com/redirect?code=763034&amp;mavely=https://mavely.app.link/e/bhESV2wGrGb&amp;destination=https%3A%2F%2Fwww.kohls.com%2Fsearch.jsp%3Fsubmit-search%3Dweb-regular%26search%3D63562508", "Retail Link")</f>
        <v>Retail Link</v>
      </c>
      <c r="J494" s="14" t="s">
        <v>6668</v>
      </c>
      <c r="K494" s="13" t="s">
        <v>6698</v>
      </c>
      <c r="L494" s="15">
        <v>19.600000000000001</v>
      </c>
      <c r="M494" s="15">
        <v>50.18</v>
      </c>
      <c r="N494" s="15">
        <v>16.913</v>
      </c>
      <c r="O494" s="15">
        <f>V494-M494</f>
        <v>-15.979999999999997</v>
      </c>
      <c r="P494" s="16">
        <f>N494/L494</f>
        <v>0.86290816326530606</v>
      </c>
      <c r="Q494" s="14">
        <v>303411</v>
      </c>
      <c r="R494" s="14"/>
      <c r="S494" s="17">
        <v>0.29100984000000002</v>
      </c>
      <c r="T494" s="15">
        <v>42.23</v>
      </c>
      <c r="U494" s="15">
        <v>43.86</v>
      </c>
      <c r="V494" s="15">
        <v>34.200000000000003</v>
      </c>
      <c r="W494" s="14" t="s">
        <v>1236</v>
      </c>
      <c r="X494" s="14">
        <v>4</v>
      </c>
      <c r="Y494" s="10">
        <f>AC494-AB494</f>
        <v>2</v>
      </c>
      <c r="Z494" s="18">
        <v>0</v>
      </c>
      <c r="AA494" s="18">
        <v>8</v>
      </c>
      <c r="AB494" s="18">
        <v>1</v>
      </c>
      <c r="AC494" s="18">
        <v>3</v>
      </c>
      <c r="AD494" s="1" t="s">
        <v>6670</v>
      </c>
      <c r="AE494" s="1" t="s">
        <v>76</v>
      </c>
      <c r="AF494" s="4">
        <v>8.5399999999999991</v>
      </c>
      <c r="AG494" s="4">
        <v>6.14</v>
      </c>
    </row>
    <row r="495" spans="1:33" ht="47.25" customHeight="1" x14ac:dyDescent="0.25">
      <c r="A495" s="10" t="s">
        <v>5358</v>
      </c>
      <c r="B495" s="11" t="s">
        <v>33</v>
      </c>
      <c r="C495" s="12" t="s">
        <v>5359</v>
      </c>
      <c r="D495" s="27"/>
      <c r="E495" s="14" t="s">
        <v>35</v>
      </c>
      <c r="F495" s="11" t="str">
        <f>HYPERLINK("https://redirect.sdcdeals.com/redirect?destination=https%3A%2F%2Fwww.amazon.com%2Fdp%2FB0B49P7CKT%3Fth%3D1%26psc%3D1%26tag%3Dsdcdeals03-20", "Amazon Link")</f>
        <v>Amazon Link</v>
      </c>
      <c r="G495" s="11" t="s">
        <v>36</v>
      </c>
      <c r="H495" s="14" t="s">
        <v>5360</v>
      </c>
      <c r="I495" s="11" t="str">
        <f>HYPERLINK("https://redirect.sdcdeals.com/redirect?code=763034&amp;mavely=https://mavely.app.link/e/bhESV2wGrGb&amp;destination=https%3A%2F%2Fwww.kohls.com%2Fsearch.jsp%3Fsubmit-search%3Dweb-regular%26search%3D45872359", "Retail Link")</f>
        <v>Retail Link</v>
      </c>
      <c r="J495" s="14" t="s">
        <v>5361</v>
      </c>
      <c r="K495" s="13" t="s">
        <v>5362</v>
      </c>
      <c r="L495" s="15">
        <v>36</v>
      </c>
      <c r="M495" s="15">
        <v>99.99</v>
      </c>
      <c r="N495" s="15">
        <v>31.021499999999989</v>
      </c>
      <c r="O495" s="15">
        <f>V495-M495</f>
        <v>-0.92999999999999261</v>
      </c>
      <c r="P495" s="16">
        <f>N495/L495</f>
        <v>0.86170833333333308</v>
      </c>
      <c r="Q495" s="14">
        <v>1678312</v>
      </c>
      <c r="R495" s="14"/>
      <c r="S495" s="17">
        <v>2.5992469800000002</v>
      </c>
      <c r="T495" s="15">
        <v>99.99</v>
      </c>
      <c r="U495" s="15">
        <v>97.83</v>
      </c>
      <c r="V495" s="15">
        <v>99.06</v>
      </c>
      <c r="W495" s="14" t="s">
        <v>255</v>
      </c>
      <c r="X495" s="14">
        <v>1</v>
      </c>
      <c r="Y495" s="10">
        <f>AC495-AB495</f>
        <v>18</v>
      </c>
      <c r="Z495" s="18">
        <v>2</v>
      </c>
      <c r="AA495" s="18">
        <v>10</v>
      </c>
      <c r="AB495" s="18">
        <v>2</v>
      </c>
      <c r="AC495" s="18">
        <v>20</v>
      </c>
      <c r="AD495" s="1" t="s">
        <v>5363</v>
      </c>
      <c r="AE495" s="1" t="s">
        <v>5364</v>
      </c>
      <c r="AF495" s="4">
        <v>17</v>
      </c>
      <c r="AG495" s="4">
        <v>17.97</v>
      </c>
    </row>
    <row r="496" spans="1:33" ht="47.25" customHeight="1" x14ac:dyDescent="0.25">
      <c r="A496" s="10" t="s">
        <v>4395</v>
      </c>
      <c r="B496" s="11" t="s">
        <v>33</v>
      </c>
      <c r="C496" s="12" t="s">
        <v>4396</v>
      </c>
      <c r="D496" s="27"/>
      <c r="E496" s="14" t="s">
        <v>35</v>
      </c>
      <c r="F496" s="11" t="str">
        <f>HYPERLINK("https://redirect.sdcdeals.com/redirect?destination=https%3A%2F%2Fwww.amazon.com%2Fdp%2FB0B1K9HT2M%3Fth%3D1%26psc%3D1%26tag%3Dsdcdeals03-20", "Amazon Link")</f>
        <v>Amazon Link</v>
      </c>
      <c r="G496" s="11" t="s">
        <v>36</v>
      </c>
      <c r="H496" s="14" t="s">
        <v>4397</v>
      </c>
      <c r="I496" s="11" t="str">
        <f>HYPERLINK("https://redirect.sdcdeals.com/redirect?code=763034&amp;mavely=https://mavely.app.link/e/bhESV2wGrGb&amp;destination=https%3A%2F%2Fwww.kohls.com%2Fsearch.jsp%3Fsubmit-search%3Dweb-regular%26search%3D68949078", "Retail Link")</f>
        <v>Retail Link</v>
      </c>
      <c r="J496" s="14" t="s">
        <v>4347</v>
      </c>
      <c r="K496" s="13" t="s">
        <v>4398</v>
      </c>
      <c r="L496" s="15">
        <v>20.847999999999999</v>
      </c>
      <c r="M496" s="15">
        <v>53.27</v>
      </c>
      <c r="N496" s="15">
        <v>17.951499999999999</v>
      </c>
      <c r="O496" s="15">
        <f>V496-M496</f>
        <v>0</v>
      </c>
      <c r="P496" s="16">
        <f>N496/L496</f>
        <v>0.86106580966999235</v>
      </c>
      <c r="Q496" s="14">
        <v>846</v>
      </c>
      <c r="R496" s="14"/>
      <c r="S496" s="17">
        <v>1.2786796</v>
      </c>
      <c r="T496" s="15"/>
      <c r="U496" s="15"/>
      <c r="V496" s="15">
        <v>53.27</v>
      </c>
      <c r="W496" s="14" t="s">
        <v>106</v>
      </c>
      <c r="X496" s="14"/>
      <c r="Y496" s="10">
        <f>AC496-AB496</f>
        <v>46279</v>
      </c>
      <c r="Z496" s="18">
        <v>8</v>
      </c>
      <c r="AA496" s="18">
        <v>25</v>
      </c>
      <c r="AB496" s="18">
        <v>0</v>
      </c>
      <c r="AC496" s="18">
        <v>46279</v>
      </c>
      <c r="AD496" s="1" t="s">
        <v>4355</v>
      </c>
      <c r="AE496" s="1" t="s">
        <v>4356</v>
      </c>
      <c r="AG496" s="4">
        <v>6.48</v>
      </c>
    </row>
    <row r="497" spans="1:33" ht="47.25" customHeight="1" x14ac:dyDescent="0.25">
      <c r="A497" s="10" t="s">
        <v>2986</v>
      </c>
      <c r="B497" s="11" t="s">
        <v>33</v>
      </c>
      <c r="C497" s="12" t="s">
        <v>2987</v>
      </c>
      <c r="D497" s="27"/>
      <c r="E497" s="14" t="s">
        <v>35</v>
      </c>
      <c r="F497" s="11" t="str">
        <f>HYPERLINK("https://redirect.sdcdeals.com/redirect?destination=https%3A%2F%2Fwww.amazon.com%2Fdp%2FB09B69N5C3%3Fth%3D1%26psc%3D1%26tag%3Dsdcdeals03-20", "Amazon Link")</f>
        <v>Amazon Link</v>
      </c>
      <c r="G497" s="11" t="s">
        <v>36</v>
      </c>
      <c r="H497" s="14" t="s">
        <v>2988</v>
      </c>
      <c r="I497" s="11" t="str">
        <f>HYPERLINK("https://redirect.sdcdeals.com/redirect?code=763034&amp;mavely=https://mavely.app.link/e/bhESV2wGrGb&amp;destination=https%3A%2F%2Fwww.kohls.com%2Fsearch.jsp%3Fsubmit-search%3Dweb-regular%26search%3D30476602", "Retail Link")</f>
        <v>Retail Link</v>
      </c>
      <c r="J497" s="14" t="s">
        <v>2989</v>
      </c>
      <c r="K497" s="13" t="s">
        <v>2990</v>
      </c>
      <c r="L497" s="15">
        <v>11.52</v>
      </c>
      <c r="M497" s="15">
        <v>32.06</v>
      </c>
      <c r="N497" s="15">
        <v>9.9110000000000014</v>
      </c>
      <c r="O497" s="15">
        <f>V497-M497</f>
        <v>3.8699999999999974</v>
      </c>
      <c r="P497" s="16">
        <f>N497/L497</f>
        <v>0.86032986111111132</v>
      </c>
      <c r="Q497" s="14">
        <v>99860</v>
      </c>
      <c r="R497" s="14"/>
      <c r="S497" s="17">
        <v>1.1993132799999999</v>
      </c>
      <c r="T497" s="15">
        <v>32.06</v>
      </c>
      <c r="U497" s="15">
        <v>31.54</v>
      </c>
      <c r="V497" s="15">
        <v>35.93</v>
      </c>
      <c r="W497" s="14" t="s">
        <v>742</v>
      </c>
      <c r="X497" s="14">
        <v>2</v>
      </c>
      <c r="Y497" s="10">
        <f>AC497-AB497</f>
        <v>820</v>
      </c>
      <c r="Z497" s="18">
        <v>32</v>
      </c>
      <c r="AA497" s="18">
        <v>86</v>
      </c>
      <c r="AB497" s="18">
        <v>3</v>
      </c>
      <c r="AC497" s="18">
        <v>823</v>
      </c>
      <c r="AD497" s="1" t="s">
        <v>2991</v>
      </c>
      <c r="AE497" s="1" t="s">
        <v>2992</v>
      </c>
      <c r="AF497" s="4">
        <v>5.45</v>
      </c>
      <c r="AG497" s="4">
        <v>5.82</v>
      </c>
    </row>
    <row r="498" spans="1:33" ht="47.25" hidden="1" customHeight="1" x14ac:dyDescent="0.25">
      <c r="A498" s="10" t="s">
        <v>7348</v>
      </c>
      <c r="B498" s="11" t="s">
        <v>33</v>
      </c>
      <c r="C498" s="12" t="s">
        <v>7349</v>
      </c>
      <c r="D498" s="27"/>
      <c r="E498" s="14" t="s">
        <v>35</v>
      </c>
      <c r="F498" s="11" t="str">
        <f>HYPERLINK("https://redirect.sdcdeals.com/redirect?destination=https%3A%2F%2Fwww.amazon.com%2Fdp%2FB0CL5S6SQS%3Fth%3D1%26psc%3D1%26tag%3Dsdcdeals03-20", "Amazon Link")</f>
        <v>Amazon Link</v>
      </c>
      <c r="G498" s="11" t="s">
        <v>36</v>
      </c>
      <c r="H498" s="14" t="s">
        <v>7350</v>
      </c>
      <c r="I498" s="11" t="str">
        <f>HYPERLINK("https://redirect.sdcdeals.com/redirect?code=763034&amp;mavely=https://mavely.app.link/e/bhESV2wGrGb&amp;destination=https%3A%2F%2Fwww.kohls.com%2Fsearch.jsp%3Fsubmit-search%3Dweb-regular%26search%3D56074301", "Retail Link")</f>
        <v>Retail Link</v>
      </c>
      <c r="J498" s="14" t="s">
        <v>7351</v>
      </c>
      <c r="K498" s="13" t="s">
        <v>7352</v>
      </c>
      <c r="L498" s="15">
        <v>6.8000000000000007</v>
      </c>
      <c r="M498" s="15">
        <v>18.899999999999999</v>
      </c>
      <c r="N498" s="15">
        <v>5.8449999999999971</v>
      </c>
      <c r="O498" s="15">
        <f>V498-M498</f>
        <v>11.73</v>
      </c>
      <c r="P498" s="16">
        <f>N498/L498</f>
        <v>0.85955882352941126</v>
      </c>
      <c r="Q498" s="14"/>
      <c r="R498" s="14"/>
      <c r="S498" s="17">
        <v>0.39903622</v>
      </c>
      <c r="T498" s="15">
        <v>18.899999999999999</v>
      </c>
      <c r="U498" s="15">
        <v>28.39</v>
      </c>
      <c r="V498" s="15">
        <v>30.63</v>
      </c>
      <c r="W498" s="14" t="s">
        <v>199</v>
      </c>
      <c r="X498" s="14">
        <v>2</v>
      </c>
      <c r="Y498" s="10">
        <f>AC498-AB498</f>
        <v>0</v>
      </c>
      <c r="Z498" s="18">
        <v>0</v>
      </c>
      <c r="AA498" s="18">
        <v>0</v>
      </c>
      <c r="AB498" s="18">
        <v>0</v>
      </c>
      <c r="AC498" s="18"/>
      <c r="AE498" s="1" t="s">
        <v>7353</v>
      </c>
      <c r="AF498" s="4">
        <v>1.89</v>
      </c>
      <c r="AG498" s="4">
        <v>3.42</v>
      </c>
    </row>
    <row r="499" spans="1:33" ht="47.25" customHeight="1" x14ac:dyDescent="0.25">
      <c r="A499" s="10" t="s">
        <v>1130</v>
      </c>
      <c r="B499" s="11" t="s">
        <v>33</v>
      </c>
      <c r="C499" s="12" t="s">
        <v>1131</v>
      </c>
      <c r="D499" s="27"/>
      <c r="E499" s="14" t="s">
        <v>35</v>
      </c>
      <c r="F499" s="11" t="str">
        <f>HYPERLINK("https://redirect.sdcdeals.com/redirect?destination=https%3A%2F%2Fwww.amazon.com%2Fdp%2FB0BLZSRCRB%3Fth%3D1%26psc%3D1%26tag%3Dsdcdeals03-20", "Amazon Link")</f>
        <v>Amazon Link</v>
      </c>
      <c r="G499" s="11" t="s">
        <v>36</v>
      </c>
      <c r="H499" s="14" t="s">
        <v>1132</v>
      </c>
      <c r="I499" s="11" t="str">
        <f>HYPERLINK("https://redirect.sdcdeals.com/redirect?code=763034&amp;mavely=https://mavely.app.link/e/bhESV2wGrGb&amp;destination=https%3A%2F%2Fwww.kohls.com%2Fsearch.jsp%3Fsubmit-search%3Dweb-regular%26search%3D65185977", "Retail Link")</f>
        <v>Retail Link</v>
      </c>
      <c r="J499" s="14" t="s">
        <v>1124</v>
      </c>
      <c r="K499" s="13" t="s">
        <v>1133</v>
      </c>
      <c r="L499" s="15">
        <v>5.9920000000000009</v>
      </c>
      <c r="M499" s="15">
        <v>19.989999999999998</v>
      </c>
      <c r="N499" s="15">
        <v>5.1294999999999966</v>
      </c>
      <c r="O499" s="15">
        <f>V499-M499</f>
        <v>0</v>
      </c>
      <c r="P499" s="16">
        <f>N499/L499</f>
        <v>0.85605807743658147</v>
      </c>
      <c r="Q499" s="14">
        <v>219755</v>
      </c>
      <c r="R499" s="14"/>
      <c r="S499" s="17">
        <v>0.22046199999999999</v>
      </c>
      <c r="T499" s="15">
        <v>19.989999999999998</v>
      </c>
      <c r="U499" s="15">
        <v>19.989999999999998</v>
      </c>
      <c r="V499" s="15">
        <v>19.989999999999998</v>
      </c>
      <c r="W499" s="14" t="s">
        <v>1134</v>
      </c>
      <c r="X499" s="14">
        <v>2</v>
      </c>
      <c r="Y499" s="10">
        <f>AC499-AB499</f>
        <v>9</v>
      </c>
      <c r="Z499" s="18">
        <v>1</v>
      </c>
      <c r="AA499" s="18">
        <v>8</v>
      </c>
      <c r="AB499" s="18">
        <v>1</v>
      </c>
      <c r="AC499" s="18">
        <v>10</v>
      </c>
      <c r="AF499" s="4">
        <v>3</v>
      </c>
      <c r="AG499" s="4">
        <v>5.87</v>
      </c>
    </row>
    <row r="500" spans="1:33" ht="47.25" customHeight="1" x14ac:dyDescent="0.25">
      <c r="A500" s="10" t="s">
        <v>2377</v>
      </c>
      <c r="B500" s="11" t="s">
        <v>33</v>
      </c>
      <c r="C500" s="12" t="s">
        <v>2378</v>
      </c>
      <c r="D500" s="27"/>
      <c r="E500" s="14" t="s">
        <v>35</v>
      </c>
      <c r="F500" s="11" t="str">
        <f>HYPERLINK("https://redirect.sdcdeals.com/redirect?destination=https%3A%2F%2Fwww.amazon.com%2Fdp%2FB09KMRVW3M%3Fth%3D1%26psc%3D1%26tag%3Dsdcdeals03-20", "Amazon Link")</f>
        <v>Amazon Link</v>
      </c>
      <c r="G500" s="11" t="s">
        <v>36</v>
      </c>
      <c r="H500" s="14" t="s">
        <v>2379</v>
      </c>
      <c r="I500" s="11" t="str">
        <f>HYPERLINK("https://redirect.sdcdeals.com/redirect?code=763034&amp;mavely=https://mavely.app.link/e/bhESV2wGrGb&amp;destination=https%3A%2F%2Fwww.kohls.com%2Fsearch.jsp%3Fsubmit-search%3Dweb-regular%26search%3D54082539", "Retail Link")</f>
        <v>Retail Link</v>
      </c>
      <c r="J500" s="14" t="s">
        <v>2362</v>
      </c>
      <c r="K500" s="13" t="s">
        <v>2380</v>
      </c>
      <c r="L500" s="15">
        <v>15.4</v>
      </c>
      <c r="M500" s="15">
        <v>41.25</v>
      </c>
      <c r="N500" s="15">
        <v>13.182499999999999</v>
      </c>
      <c r="O500" s="15">
        <f>V500-M500</f>
        <v>9.4399999999999977</v>
      </c>
      <c r="P500" s="16">
        <f>N500/L500</f>
        <v>0.85600649350649338</v>
      </c>
      <c r="Q500" s="14">
        <v>176994</v>
      </c>
      <c r="R500" s="14"/>
      <c r="S500" s="17">
        <v>0.79366320000000001</v>
      </c>
      <c r="T500" s="15">
        <v>41.25</v>
      </c>
      <c r="U500" s="15">
        <v>54.54</v>
      </c>
      <c r="V500" s="15">
        <v>50.69</v>
      </c>
      <c r="W500" s="14" t="s">
        <v>2381</v>
      </c>
      <c r="X500" s="14">
        <v>4</v>
      </c>
      <c r="Y500" s="10">
        <f>AC500-AB500</f>
        <v>199</v>
      </c>
      <c r="Z500" s="18">
        <v>36</v>
      </c>
      <c r="AA500" s="18">
        <v>82</v>
      </c>
      <c r="AB500" s="18">
        <v>8</v>
      </c>
      <c r="AC500" s="18">
        <v>207</v>
      </c>
      <c r="AD500" s="1" t="s">
        <v>2365</v>
      </c>
      <c r="AE500" s="1" t="s">
        <v>2366</v>
      </c>
      <c r="AF500" s="4">
        <v>7.01</v>
      </c>
      <c r="AG500" s="4">
        <v>6.48</v>
      </c>
    </row>
    <row r="501" spans="1:33" ht="47.25" customHeight="1" x14ac:dyDescent="0.25">
      <c r="A501" s="10" t="s">
        <v>7024</v>
      </c>
      <c r="B501" s="11" t="s">
        <v>33</v>
      </c>
      <c r="C501" s="12" t="s">
        <v>7025</v>
      </c>
      <c r="D501" s="27"/>
      <c r="E501" s="14" t="s">
        <v>35</v>
      </c>
      <c r="F501" s="11" t="str">
        <f>HYPERLINK("https://redirect.sdcdeals.com/redirect?destination=https%3A%2F%2Fwww.amazon.com%2Fdp%2FB0CH1QDFQT%3Fth%3D1%26psc%3D1%26tag%3Dsdcdeals03-20", "Amazon Link")</f>
        <v>Amazon Link</v>
      </c>
      <c r="G501" s="11" t="s">
        <v>36</v>
      </c>
      <c r="H501" s="14" t="s">
        <v>7026</v>
      </c>
      <c r="I501" s="11" t="str">
        <f>HYPERLINK("https://redirect.sdcdeals.com/redirect?code=763034&amp;mavely=https://mavely.app.link/e/bhESV2wGrGb&amp;destination=https%3A%2F%2Fwww.kohls.com%2Fsearch.jsp%3Fsubmit-search%3Dweb-regular%26search%3D75601111", "Retail Link")</f>
        <v>Retail Link</v>
      </c>
      <c r="J501" s="14" t="s">
        <v>7027</v>
      </c>
      <c r="K501" s="13" t="s">
        <v>7028</v>
      </c>
      <c r="L501" s="15">
        <v>6.4</v>
      </c>
      <c r="M501" s="15">
        <v>19.39</v>
      </c>
      <c r="N501" s="15">
        <v>5.4715000000000007</v>
      </c>
      <c r="O501" s="15">
        <f>V501-M501</f>
        <v>-0.24000000000000199</v>
      </c>
      <c r="P501" s="16">
        <f>N501/L501</f>
        <v>0.85492187500000005</v>
      </c>
      <c r="Q501" s="14">
        <v>53837</v>
      </c>
      <c r="R501" s="14"/>
      <c r="S501" s="17">
        <v>0.33069300000000001</v>
      </c>
      <c r="T501" s="15">
        <v>19.39</v>
      </c>
      <c r="U501" s="15">
        <v>17.02</v>
      </c>
      <c r="V501" s="15">
        <v>19.149999999999999</v>
      </c>
      <c r="W501" s="14" t="s">
        <v>613</v>
      </c>
      <c r="X501" s="14">
        <v>7</v>
      </c>
      <c r="Y501" s="10">
        <f>AC501-AB501</f>
        <v>569</v>
      </c>
      <c r="Z501" s="18">
        <v>32</v>
      </c>
      <c r="AA501" s="18">
        <v>90</v>
      </c>
      <c r="AB501" s="18">
        <v>0</v>
      </c>
      <c r="AC501" s="18">
        <v>569</v>
      </c>
      <c r="AD501" s="1" t="s">
        <v>4680</v>
      </c>
      <c r="AE501" s="1" t="s">
        <v>7029</v>
      </c>
      <c r="AF501" s="4">
        <v>1.94</v>
      </c>
      <c r="AG501" s="4">
        <v>4.6100000000000003</v>
      </c>
    </row>
    <row r="502" spans="1:33" ht="47.25" customHeight="1" x14ac:dyDescent="0.25">
      <c r="A502" s="10" t="s">
        <v>1400</v>
      </c>
      <c r="B502" s="11" t="s">
        <v>33</v>
      </c>
      <c r="C502" s="12" t="s">
        <v>1401</v>
      </c>
      <c r="D502" s="27"/>
      <c r="E502" s="14" t="s">
        <v>35</v>
      </c>
      <c r="F502" s="11" t="str">
        <f>HYPERLINK("https://redirect.sdcdeals.com/redirect?destination=https%3A%2F%2Fwww.amazon.com%2Fdp%2FB09Z558W4C%3Fth%3D1%26psc%3D1%26tag%3Dsdcdeals03-20", "Amazon Link")</f>
        <v>Amazon Link</v>
      </c>
      <c r="G502" s="11" t="s">
        <v>36</v>
      </c>
      <c r="H502" s="14" t="s">
        <v>1402</v>
      </c>
      <c r="I502" s="11" t="str">
        <f>HYPERLINK("https://redirect.sdcdeals.com/redirect?code=763034&amp;mavely=https://mavely.app.link/e/bhESV2wGrGb&amp;destination=https%3A%2F%2Fwww.kohls.com%2Fsearch.jsp%3Fsubmit-search%3Dweb-regular%26search%3D37226438", "Retail Link")</f>
        <v>Retail Link</v>
      </c>
      <c r="J502" s="14" t="s">
        <v>1403</v>
      </c>
      <c r="K502" s="13" t="s">
        <v>1404</v>
      </c>
      <c r="L502" s="15">
        <v>18.2</v>
      </c>
      <c r="M502" s="15">
        <v>47.55</v>
      </c>
      <c r="N502" s="15">
        <v>15.547499999999999</v>
      </c>
      <c r="O502" s="15">
        <f>V502-M502</f>
        <v>-5.3699999999999974</v>
      </c>
      <c r="P502" s="16">
        <f>N502/L502</f>
        <v>0.85425824175824172</v>
      </c>
      <c r="Q502" s="14">
        <v>256723</v>
      </c>
      <c r="R502" s="14"/>
      <c r="S502" s="17">
        <v>0.67902295999999995</v>
      </c>
      <c r="T502" s="15">
        <v>47.55</v>
      </c>
      <c r="U502" s="15">
        <v>40.869999999999997</v>
      </c>
      <c r="V502" s="15">
        <v>42.18</v>
      </c>
      <c r="W502" s="14" t="s">
        <v>282</v>
      </c>
      <c r="X502" s="14">
        <v>7</v>
      </c>
      <c r="Y502" s="10">
        <f>AC502-AB502</f>
        <v>90</v>
      </c>
      <c r="Z502" s="18">
        <v>32</v>
      </c>
      <c r="AA502" s="18">
        <v>84</v>
      </c>
      <c r="AB502" s="18">
        <v>0</v>
      </c>
      <c r="AC502" s="18">
        <v>90</v>
      </c>
      <c r="AD502" s="1" t="s">
        <v>1405</v>
      </c>
      <c r="AE502" s="1" t="s">
        <v>1406</v>
      </c>
      <c r="AG502" s="4">
        <v>6.67</v>
      </c>
    </row>
    <row r="503" spans="1:33" ht="47.25" customHeight="1" x14ac:dyDescent="0.25">
      <c r="A503" s="10" t="s">
        <v>6037</v>
      </c>
      <c r="B503" s="11" t="s">
        <v>33</v>
      </c>
      <c r="C503" s="12" t="s">
        <v>6038</v>
      </c>
      <c r="D503" s="27"/>
      <c r="E503" s="14" t="s">
        <v>35</v>
      </c>
      <c r="F503" s="11" t="str">
        <f>HYPERLINK("https://redirect.sdcdeals.com/redirect?destination=https%3A%2F%2Fwww.amazon.com%2Fdp%2FB0BN6SC2R9%3Fth%3D1%26psc%3D1%26tag%3Dsdcdeals03-20", "Amazon Link")</f>
        <v>Amazon Link</v>
      </c>
      <c r="G503" s="11" t="s">
        <v>36</v>
      </c>
      <c r="H503" s="14" t="s">
        <v>6039</v>
      </c>
      <c r="I503" s="11" t="str">
        <f>HYPERLINK("https://redirect.sdcdeals.com/redirect?code=763034&amp;mavely=https://mavely.app.link/e/bhESV2wGrGb&amp;destination=https%3A%2F%2Fwww.kohls.com%2Fsearch.jsp%3Fsubmit-search%3Dweb-regular%26search%3D58450743", "Retail Link")</f>
        <v>Retail Link</v>
      </c>
      <c r="J503" s="14" t="s">
        <v>6040</v>
      </c>
      <c r="K503" s="13" t="s">
        <v>6041</v>
      </c>
      <c r="L503" s="15">
        <v>9.2000000000000011</v>
      </c>
      <c r="M503" s="15">
        <v>27</v>
      </c>
      <c r="N503" s="15">
        <v>7.8499999999999961</v>
      </c>
      <c r="O503" s="15">
        <f>V503-M503</f>
        <v>-5.23</v>
      </c>
      <c r="P503" s="16">
        <f>N503/L503</f>
        <v>0.85326086956521685</v>
      </c>
      <c r="Q503" s="14">
        <v>192652</v>
      </c>
      <c r="R503" s="14"/>
      <c r="S503" s="17">
        <v>0.40344545999999998</v>
      </c>
      <c r="T503" s="15">
        <v>27</v>
      </c>
      <c r="U503" s="15">
        <v>28.16</v>
      </c>
      <c r="V503" s="15">
        <v>21.77</v>
      </c>
      <c r="W503" s="14" t="s">
        <v>781</v>
      </c>
      <c r="X503" s="14">
        <v>2</v>
      </c>
      <c r="Y503" s="10">
        <f>AC503-AB503</f>
        <v>38</v>
      </c>
      <c r="Z503" s="18">
        <v>14</v>
      </c>
      <c r="AA503" s="18">
        <v>23</v>
      </c>
      <c r="AB503" s="18">
        <v>0</v>
      </c>
      <c r="AC503" s="18">
        <v>38</v>
      </c>
      <c r="AD503" s="1" t="s">
        <v>6042</v>
      </c>
      <c r="AE503" s="1" t="s">
        <v>6043</v>
      </c>
      <c r="AF503" s="4">
        <v>4.59</v>
      </c>
      <c r="AG503" s="4">
        <v>5.9</v>
      </c>
    </row>
    <row r="504" spans="1:33" ht="47.25" hidden="1" customHeight="1" x14ac:dyDescent="0.25">
      <c r="A504" s="10" t="s">
        <v>5087</v>
      </c>
      <c r="B504" s="11" t="s">
        <v>33</v>
      </c>
      <c r="C504" s="12" t="s">
        <v>5088</v>
      </c>
      <c r="D504" s="27"/>
      <c r="E504" s="14" t="s">
        <v>35</v>
      </c>
      <c r="F504" s="11" t="str">
        <f>HYPERLINK("https://redirect.sdcdeals.com/redirect?destination=https%3A%2F%2Fwww.amazon.com%2Fdp%2FB0CL5KSTNL%3Fth%3D1%26psc%3D1%26tag%3Dsdcdeals03-20", "Amazon Link")</f>
        <v>Amazon Link</v>
      </c>
      <c r="G504" s="11" t="s">
        <v>36</v>
      </c>
      <c r="H504" s="14" t="s">
        <v>5089</v>
      </c>
      <c r="I504" s="11" t="str">
        <f>HYPERLINK("https://redirect.sdcdeals.com/redirect?code=763034&amp;mavely=https://mavely.app.link/e/bhESV2wGrGb&amp;destination=https%3A%2F%2Fwww.kohls.com%2Fsearch.jsp%3Fsubmit-search%3Dweb-regular%26search%3D18796705", "Retail Link")</f>
        <v>Retail Link</v>
      </c>
      <c r="J504" s="14" t="s">
        <v>5090</v>
      </c>
      <c r="K504" s="13" t="s">
        <v>5091</v>
      </c>
      <c r="L504" s="15">
        <v>7.6000000000000014</v>
      </c>
      <c r="M504" s="15">
        <v>24.57</v>
      </c>
      <c r="N504" s="15">
        <v>6.474499999999999</v>
      </c>
      <c r="O504" s="15">
        <f>V504-M504</f>
        <v>12.29</v>
      </c>
      <c r="P504" s="16">
        <f>N504/L504</f>
        <v>0.85190789473684181</v>
      </c>
      <c r="Q504" s="14"/>
      <c r="R504" s="14"/>
      <c r="S504" s="17">
        <v>2.7800258200000001</v>
      </c>
      <c r="T504" s="15">
        <v>24.57</v>
      </c>
      <c r="U504" s="15">
        <v>37.340000000000003</v>
      </c>
      <c r="V504" s="15">
        <v>36.86</v>
      </c>
      <c r="W504" s="14" t="s">
        <v>659</v>
      </c>
      <c r="X504" s="14">
        <v>5</v>
      </c>
      <c r="Y504" s="10">
        <f>AC504-AB504</f>
        <v>0</v>
      </c>
      <c r="Z504" s="18">
        <v>0</v>
      </c>
      <c r="AA504" s="18">
        <v>33</v>
      </c>
      <c r="AB504" s="18">
        <v>0</v>
      </c>
      <c r="AC504" s="18"/>
      <c r="AE504" s="1" t="s">
        <v>5092</v>
      </c>
      <c r="AG504" s="4">
        <v>6.81</v>
      </c>
    </row>
    <row r="505" spans="1:33" ht="47.25" customHeight="1" x14ac:dyDescent="0.25">
      <c r="A505" s="10" t="s">
        <v>1581</v>
      </c>
      <c r="B505" s="11" t="s">
        <v>33</v>
      </c>
      <c r="C505" s="12" t="s">
        <v>1582</v>
      </c>
      <c r="D505" s="27"/>
      <c r="E505" s="14" t="s">
        <v>35</v>
      </c>
      <c r="F505" s="11" t="str">
        <f>HYPERLINK("https://redirect.sdcdeals.com/redirect?destination=https%3A%2F%2Fwww.amazon.com%2Fdp%2FB09S9T6RFB%3Fth%3D1%26psc%3D1%26tag%3Dsdcdeals03-20", "Amazon Link")</f>
        <v>Amazon Link</v>
      </c>
      <c r="G505" s="11" t="s">
        <v>36</v>
      </c>
      <c r="H505" s="14" t="s">
        <v>1583</v>
      </c>
      <c r="I505" s="11" t="str">
        <f>HYPERLINK("https://redirect.sdcdeals.com/redirect?code=763034&amp;mavely=https://mavely.app.link/e/bhESV2wGrGb&amp;destination=https%3A%2F%2Fwww.kohls.com%2Fsearch.jsp%3Fsubmit-search%3Dweb-regular%26search%3D44190087", "Retail Link")</f>
        <v>Retail Link</v>
      </c>
      <c r="J505" s="14" t="s">
        <v>1553</v>
      </c>
      <c r="K505" s="13" t="s">
        <v>1584</v>
      </c>
      <c r="L505" s="15">
        <v>4.1920000000000002</v>
      </c>
      <c r="M505" s="15">
        <v>15</v>
      </c>
      <c r="N505" s="15">
        <v>3.5680000000000001</v>
      </c>
      <c r="O505" s="15">
        <f>V505-M505</f>
        <v>0</v>
      </c>
      <c r="P505" s="16">
        <f>N505/L505</f>
        <v>0.85114503816793896</v>
      </c>
      <c r="Q505" s="14">
        <v>234567</v>
      </c>
      <c r="R505" s="14"/>
      <c r="S505" s="17">
        <v>0.18077884</v>
      </c>
      <c r="T505" s="15">
        <v>15</v>
      </c>
      <c r="U505" s="15">
        <v>15</v>
      </c>
      <c r="V505" s="15">
        <v>15</v>
      </c>
      <c r="W505" s="14" t="s">
        <v>975</v>
      </c>
      <c r="X505" s="14">
        <v>1</v>
      </c>
      <c r="Y505" s="10">
        <f>AC505-AB505</f>
        <v>0</v>
      </c>
      <c r="Z505" s="18">
        <v>0</v>
      </c>
      <c r="AA505" s="18">
        <v>0</v>
      </c>
      <c r="AB505" s="18">
        <v>2</v>
      </c>
      <c r="AC505" s="18">
        <v>2</v>
      </c>
      <c r="AD505" s="1" t="s">
        <v>1585</v>
      </c>
      <c r="AE505" s="1" t="s">
        <v>1556</v>
      </c>
      <c r="AF505" s="4">
        <v>2.25</v>
      </c>
      <c r="AG505" s="4">
        <v>4.99</v>
      </c>
    </row>
    <row r="506" spans="1:33" ht="47.25" customHeight="1" x14ac:dyDescent="0.25">
      <c r="A506" s="10" t="s">
        <v>4543</v>
      </c>
      <c r="B506" s="11" t="s">
        <v>33</v>
      </c>
      <c r="C506" s="12" t="s">
        <v>4544</v>
      </c>
      <c r="D506" s="27"/>
      <c r="E506" s="14" t="s">
        <v>35</v>
      </c>
      <c r="F506" s="11" t="str">
        <f>HYPERLINK("https://redirect.sdcdeals.com/redirect?destination=https%3A%2F%2Fwww.amazon.com%2Fdp%2FB0B1JSGV3K%3Fth%3D1%26psc%3D1%26tag%3Dsdcdeals03-20", "Amazon Link")</f>
        <v>Amazon Link</v>
      </c>
      <c r="G506" s="11" t="s">
        <v>36</v>
      </c>
      <c r="H506" s="14" t="s">
        <v>4545</v>
      </c>
      <c r="I506" s="11" t="str">
        <f>HYPERLINK("https://redirect.sdcdeals.com/redirect?code=763034&amp;mavely=https://mavely.app.link/e/bhESV2wGrGb&amp;destination=https%3A%2F%2Fwww.kohls.com%2Fsearch.jsp%3Fsubmit-search%3Dweb-regular%26search%3D69117073", "Retail Link")</f>
        <v>Retail Link</v>
      </c>
      <c r="J506" s="14" t="s">
        <v>4347</v>
      </c>
      <c r="K506" s="13" t="s">
        <v>4546</v>
      </c>
      <c r="L506" s="15">
        <v>20.847999999999999</v>
      </c>
      <c r="M506" s="15">
        <v>53.39</v>
      </c>
      <c r="N506" s="15">
        <v>17.723500000000001</v>
      </c>
      <c r="O506" s="15">
        <f>V506-M506</f>
        <v>2.0700000000000003</v>
      </c>
      <c r="P506" s="16">
        <f>N506/L506</f>
        <v>0.85012950882578675</v>
      </c>
      <c r="Q506" s="14">
        <v>846</v>
      </c>
      <c r="R506" s="14"/>
      <c r="S506" s="17">
        <v>1.5410293799999999</v>
      </c>
      <c r="T506" s="15">
        <v>53.39</v>
      </c>
      <c r="U506" s="15">
        <v>58.18</v>
      </c>
      <c r="V506" s="15">
        <v>55.46</v>
      </c>
      <c r="W506" s="14" t="s">
        <v>2697</v>
      </c>
      <c r="X506" s="14">
        <v>1</v>
      </c>
      <c r="Y506" s="10">
        <f>AC506-AB506</f>
        <v>47534</v>
      </c>
      <c r="Z506" s="18">
        <v>38</v>
      </c>
      <c r="AA506" s="18">
        <v>116</v>
      </c>
      <c r="AB506" s="18">
        <v>0</v>
      </c>
      <c r="AC506" s="18">
        <v>47534</v>
      </c>
      <c r="AD506" s="1" t="s">
        <v>4419</v>
      </c>
      <c r="AE506" s="1" t="s">
        <v>4420</v>
      </c>
      <c r="AF506" s="4">
        <v>9.08</v>
      </c>
      <c r="AG506" s="4">
        <v>6.81</v>
      </c>
    </row>
    <row r="507" spans="1:33" ht="47.25" customHeight="1" x14ac:dyDescent="0.25">
      <c r="A507" s="10" t="s">
        <v>2207</v>
      </c>
      <c r="B507" s="11" t="s">
        <v>33</v>
      </c>
      <c r="C507" s="12" t="s">
        <v>2208</v>
      </c>
      <c r="D507" s="27"/>
      <c r="E507" s="14" t="s">
        <v>35</v>
      </c>
      <c r="F507" s="11" t="str">
        <f>HYPERLINK("https://redirect.sdcdeals.com/redirect?destination=https%3A%2F%2Fwww.amazon.com%2Fdp%2FB0BKQN544Q%3Fth%3D1%26psc%3D1%26tag%3Dsdcdeals03-20", "Amazon Link")</f>
        <v>Amazon Link</v>
      </c>
      <c r="G507" s="11" t="s">
        <v>36</v>
      </c>
      <c r="H507" s="14" t="s">
        <v>2209</v>
      </c>
      <c r="I507" s="11" t="str">
        <f>HYPERLINK("https://redirect.sdcdeals.com/redirect?code=763034&amp;mavely=https://mavely.app.link/e/bhESV2wGrGb&amp;destination=https%3A%2F%2Fwww.kohls.com%2Fsearch.jsp%3Fsubmit-search%3Dweb-regular%26search%3D62949696", "Retail Link")</f>
        <v>Retail Link</v>
      </c>
      <c r="J507" s="14" t="s">
        <v>2210</v>
      </c>
      <c r="K507" s="13" t="s">
        <v>2211</v>
      </c>
      <c r="L507" s="15">
        <v>52.8</v>
      </c>
      <c r="M507" s="15">
        <v>129.78</v>
      </c>
      <c r="N507" s="15">
        <v>44.863</v>
      </c>
      <c r="O507" s="15">
        <f>V507-M507</f>
        <v>-21.290000000000006</v>
      </c>
      <c r="P507" s="16">
        <f>N507/L507</f>
        <v>0.84967803030303035</v>
      </c>
      <c r="Q507" s="14">
        <v>1340694</v>
      </c>
      <c r="R507" s="14"/>
      <c r="S507" s="17">
        <v>2.2707586000000002</v>
      </c>
      <c r="T507" s="15">
        <v>129.78</v>
      </c>
      <c r="U507" s="15">
        <v>83.39</v>
      </c>
      <c r="V507" s="15">
        <v>108.49</v>
      </c>
      <c r="W507" s="14" t="s">
        <v>321</v>
      </c>
      <c r="X507" s="14">
        <v>2</v>
      </c>
      <c r="Y507" s="10">
        <f>AC507-AB507</f>
        <v>8</v>
      </c>
      <c r="Z507" s="18">
        <v>3</v>
      </c>
      <c r="AA507" s="18">
        <v>27</v>
      </c>
      <c r="AB507" s="18">
        <v>0</v>
      </c>
      <c r="AC507" s="18">
        <v>8</v>
      </c>
      <c r="AD507" s="1" t="s">
        <v>2212</v>
      </c>
      <c r="AE507" s="1" t="s">
        <v>2213</v>
      </c>
      <c r="AG507" s="4">
        <v>12.65</v>
      </c>
    </row>
    <row r="508" spans="1:33" ht="47.25" customHeight="1" x14ac:dyDescent="0.25">
      <c r="A508" s="10" t="s">
        <v>3522</v>
      </c>
      <c r="B508" s="11" t="s">
        <v>33</v>
      </c>
      <c r="C508" s="12" t="s">
        <v>3523</v>
      </c>
      <c r="D508" s="27"/>
      <c r="E508" s="14" t="s">
        <v>35</v>
      </c>
      <c r="F508" s="11" t="str">
        <f>HYPERLINK("https://redirect.sdcdeals.com/redirect?destination=https%3A%2F%2Fwww.amazon.com%2Fdp%2FB0BKQXNXS9%3Fth%3D1%26psc%3D1%26tag%3Dsdcdeals03-20", "Amazon Link")</f>
        <v>Amazon Link</v>
      </c>
      <c r="G508" s="11" t="s">
        <v>36</v>
      </c>
      <c r="H508" s="14" t="s">
        <v>3524</v>
      </c>
      <c r="I508" s="11" t="str">
        <f>HYPERLINK("https://redirect.sdcdeals.com/redirect?code=763034&amp;mavely=https://mavely.app.link/e/bhESV2wGrGb&amp;destination=https%3A%2F%2Fwww.kohls.com%2Fsearch.jsp%3Fsubmit-search%3Dweb-regular%26search%3D58450465", "Retail Link")</f>
        <v>Retail Link</v>
      </c>
      <c r="J508" s="14" t="s">
        <v>3497</v>
      </c>
      <c r="K508" s="13" t="s">
        <v>3525</v>
      </c>
      <c r="L508" s="15">
        <v>24</v>
      </c>
      <c r="M508" s="15">
        <v>67.5</v>
      </c>
      <c r="N508" s="15">
        <v>20.344999999999999</v>
      </c>
      <c r="O508" s="15">
        <f>V508-M508</f>
        <v>-19.240000000000002</v>
      </c>
      <c r="P508" s="16">
        <f>N508/L508</f>
        <v>0.84770833333333329</v>
      </c>
      <c r="Q508" s="14">
        <v>815706</v>
      </c>
      <c r="R508" s="14"/>
      <c r="S508" s="17">
        <v>1.2808842199999999</v>
      </c>
      <c r="T508" s="15">
        <v>67.5</v>
      </c>
      <c r="U508" s="15">
        <v>35</v>
      </c>
      <c r="V508" s="15">
        <v>48.26</v>
      </c>
      <c r="W508" s="14" t="s">
        <v>359</v>
      </c>
      <c r="X508" s="14">
        <v>1</v>
      </c>
      <c r="Y508" s="10">
        <f>AC508-AB508</f>
        <v>8</v>
      </c>
      <c r="Z508" s="18">
        <v>7</v>
      </c>
      <c r="AA508" s="18">
        <v>29</v>
      </c>
      <c r="AB508" s="18">
        <v>0</v>
      </c>
      <c r="AC508" s="18">
        <v>8</v>
      </c>
      <c r="AD508" s="1" t="s">
        <v>3499</v>
      </c>
      <c r="AE508" s="1" t="s">
        <v>3500</v>
      </c>
      <c r="AG508" s="4">
        <v>13.03</v>
      </c>
    </row>
    <row r="509" spans="1:33" ht="47.25" customHeight="1" x14ac:dyDescent="0.25">
      <c r="A509" s="10" t="s">
        <v>7133</v>
      </c>
      <c r="B509" s="11" t="s">
        <v>33</v>
      </c>
      <c r="C509" s="12" t="s">
        <v>7134</v>
      </c>
      <c r="D509" s="27"/>
      <c r="E509" s="14" t="s">
        <v>35</v>
      </c>
      <c r="F509" s="11" t="str">
        <f>HYPERLINK("https://redirect.sdcdeals.com/redirect?destination=https%3A%2F%2Fwww.amazon.com%2Fdp%2FB0BKQXSPNV%3Fth%3D1%26psc%3D1%26tag%3Dsdcdeals03-20", "Amazon Link")</f>
        <v>Amazon Link</v>
      </c>
      <c r="G509" s="11" t="s">
        <v>36</v>
      </c>
      <c r="H509" s="14" t="s">
        <v>7135</v>
      </c>
      <c r="I509" s="11" t="str">
        <f>HYPERLINK("https://redirect.sdcdeals.com/redirect?code=763034&amp;mavely=https://mavely.app.link/e/bhESV2wGrGb&amp;destination=https%3A%2F%2Fwww.kohls.com%2Fsearch.jsp%3Fsubmit-search%3Dweb-regular%26search%3D46955689", "Retail Link")</f>
        <v>Retail Link</v>
      </c>
      <c r="J509" s="14" t="s">
        <v>7117</v>
      </c>
      <c r="K509" s="13" t="s">
        <v>7136</v>
      </c>
      <c r="L509" s="15">
        <v>19.8</v>
      </c>
      <c r="M509" s="15">
        <v>52.65</v>
      </c>
      <c r="N509" s="15">
        <v>16.752499999999991</v>
      </c>
      <c r="O509" s="15">
        <f>V509-M509</f>
        <v>-12.740000000000002</v>
      </c>
      <c r="P509" s="16">
        <f>N509/L509</f>
        <v>0.84608585858585805</v>
      </c>
      <c r="Q509" s="14">
        <v>1282059</v>
      </c>
      <c r="R509" s="14"/>
      <c r="S509" s="17">
        <v>1.10010538</v>
      </c>
      <c r="T509" s="15">
        <v>52.65</v>
      </c>
      <c r="U509" s="15">
        <v>30.18</v>
      </c>
      <c r="V509" s="15">
        <v>39.909999999999997</v>
      </c>
      <c r="W509" s="14" t="s">
        <v>60</v>
      </c>
      <c r="X509" s="14">
        <v>2</v>
      </c>
      <c r="Y509" s="10">
        <f>AC509-AB509</f>
        <v>1</v>
      </c>
      <c r="Z509" s="18">
        <v>3</v>
      </c>
      <c r="AA509" s="18">
        <v>15</v>
      </c>
      <c r="AB509" s="18">
        <v>0</v>
      </c>
      <c r="AC509" s="18">
        <v>1</v>
      </c>
      <c r="AD509" s="1" t="s">
        <v>7119</v>
      </c>
      <c r="AE509" s="1" t="s">
        <v>7137</v>
      </c>
      <c r="AG509" s="4">
        <v>8.1999999999999993</v>
      </c>
    </row>
    <row r="510" spans="1:33" ht="47.25" customHeight="1" x14ac:dyDescent="0.25">
      <c r="A510" s="10" t="s">
        <v>914</v>
      </c>
      <c r="B510" s="11" t="s">
        <v>33</v>
      </c>
      <c r="C510" s="12" t="s">
        <v>915</v>
      </c>
      <c r="D510" s="27"/>
      <c r="E510" s="14" t="s">
        <v>35</v>
      </c>
      <c r="F510" s="11" t="str">
        <f>HYPERLINK("https://redirect.sdcdeals.com/redirect?destination=https%3A%2F%2Fwww.amazon.com%2Fdp%2FB09KMFZWRW%3Fth%3D1%26psc%3D1%26tag%3Dsdcdeals03-20", "Amazon Link")</f>
        <v>Amazon Link</v>
      </c>
      <c r="G510" s="11" t="s">
        <v>36</v>
      </c>
      <c r="H510" s="14" t="s">
        <v>916</v>
      </c>
      <c r="I510" s="11" t="str">
        <f>HYPERLINK("https://redirect.sdcdeals.com/redirect?code=763034&amp;mavely=https://mavely.app.link/e/bhESV2wGrGb&amp;destination=https%3A%2F%2Fwww.kohls.com%2Fsearch.jsp%3Fsubmit-search%3Dweb-regular%26search%3D63943880", "Retail Link")</f>
        <v>Retail Link</v>
      </c>
      <c r="J510" s="14" t="s">
        <v>917</v>
      </c>
      <c r="K510" s="13" t="s">
        <v>918</v>
      </c>
      <c r="L510" s="15">
        <v>53.2</v>
      </c>
      <c r="M510" s="15">
        <v>129.94</v>
      </c>
      <c r="N510" s="15">
        <v>44.978999999999999</v>
      </c>
      <c r="O510" s="15">
        <f>V510-M510</f>
        <v>-15.969999999999999</v>
      </c>
      <c r="P510" s="16">
        <f>N510/L510</f>
        <v>0.84546992481202998</v>
      </c>
      <c r="Q510" s="14">
        <v>234606</v>
      </c>
      <c r="R510" s="14"/>
      <c r="S510" s="17">
        <v>1.8518808</v>
      </c>
      <c r="T510" s="15">
        <v>129.94</v>
      </c>
      <c r="U510" s="15">
        <v>115.8</v>
      </c>
      <c r="V510" s="15">
        <v>113.97</v>
      </c>
      <c r="W510" s="14" t="s">
        <v>290</v>
      </c>
      <c r="X510" s="14">
        <v>8</v>
      </c>
      <c r="Y510" s="10">
        <f>AC510-AB510</f>
        <v>238</v>
      </c>
      <c r="Z510" s="18">
        <v>29</v>
      </c>
      <c r="AA510" s="18">
        <v>72</v>
      </c>
      <c r="AB510" s="18">
        <v>3</v>
      </c>
      <c r="AC510" s="18">
        <v>241</v>
      </c>
      <c r="AD510" s="1" t="s">
        <v>919</v>
      </c>
      <c r="AE510" s="1" t="s">
        <v>920</v>
      </c>
      <c r="AF510" s="4">
        <v>22.09</v>
      </c>
      <c r="AG510" s="4">
        <v>12.27</v>
      </c>
    </row>
    <row r="511" spans="1:33" ht="47.25" customHeight="1" x14ac:dyDescent="0.25">
      <c r="A511" s="10" t="s">
        <v>2675</v>
      </c>
      <c r="B511" s="11" t="s">
        <v>33</v>
      </c>
      <c r="C511" s="12" t="s">
        <v>2676</v>
      </c>
      <c r="D511" s="27"/>
      <c r="E511" s="14" t="s">
        <v>35</v>
      </c>
      <c r="F511" s="11" t="str">
        <f>HYPERLINK("https://redirect.sdcdeals.com/redirect?destination=https%3A%2F%2Fwww.amazon.com%2Fdp%2FB0CYV3YWWS%3Fth%3D1%26psc%3D1%26tag%3Dsdcdeals03-20", "Amazon Link")</f>
        <v>Amazon Link</v>
      </c>
      <c r="G511" s="11" t="s">
        <v>36</v>
      </c>
      <c r="H511" s="14" t="s">
        <v>2677</v>
      </c>
      <c r="I511" s="11" t="str">
        <f>HYPERLINK("https://redirect.sdcdeals.com/redirect?code=763034&amp;mavely=https://mavely.app.link/e/bhESV2wGrGb&amp;destination=https%3A%2F%2Fwww.kohls.com%2Fsearch.jsp%3Fsubmit-search%3Dweb-regular%26search%3D83440010", "Retail Link")</f>
        <v>Retail Link</v>
      </c>
      <c r="J511" s="14" t="s">
        <v>2678</v>
      </c>
      <c r="K511" s="13" t="s">
        <v>2679</v>
      </c>
      <c r="L511" s="15">
        <v>26.6</v>
      </c>
      <c r="M511" s="15">
        <v>64.66</v>
      </c>
      <c r="N511" s="15">
        <v>22.460999999999999</v>
      </c>
      <c r="O511" s="15">
        <f>V511-M511</f>
        <v>34.02000000000001</v>
      </c>
      <c r="P511" s="16">
        <f>N511/L511</f>
        <v>0.84439849624060137</v>
      </c>
      <c r="Q511" s="14">
        <v>8084768</v>
      </c>
      <c r="R511" s="14"/>
      <c r="S511" s="17">
        <v>0.55997348000000002</v>
      </c>
      <c r="T511" s="15">
        <v>56.71</v>
      </c>
      <c r="U511" s="15">
        <v>98.68</v>
      </c>
      <c r="V511" s="15">
        <v>98.68</v>
      </c>
      <c r="W511" s="14" t="s">
        <v>277</v>
      </c>
      <c r="X511" s="14">
        <v>3</v>
      </c>
      <c r="Y511" s="10">
        <f>AC511-AB511</f>
        <v>0</v>
      </c>
      <c r="Z511" s="18">
        <v>0</v>
      </c>
      <c r="AA511" s="18">
        <v>0</v>
      </c>
      <c r="AB511" s="18"/>
      <c r="AC511" s="18"/>
      <c r="AD511" s="1" t="s">
        <v>2680</v>
      </c>
      <c r="AE511" s="1" t="s">
        <v>2681</v>
      </c>
      <c r="AF511" s="4">
        <v>10.99</v>
      </c>
      <c r="AG511" s="4">
        <v>5.9</v>
      </c>
    </row>
    <row r="512" spans="1:33" ht="47.25" customHeight="1" x14ac:dyDescent="0.25">
      <c r="A512" s="10" t="s">
        <v>1716</v>
      </c>
      <c r="B512" s="11" t="s">
        <v>33</v>
      </c>
      <c r="C512" s="12" t="s">
        <v>1717</v>
      </c>
      <c r="D512" s="27"/>
      <c r="E512" s="14" t="s">
        <v>35</v>
      </c>
      <c r="F512" s="11" t="str">
        <f>HYPERLINK("https://redirect.sdcdeals.com/redirect?destination=https%3A%2F%2Fwww.amazon.com%2Fdp%2FB08NYJZWBQ%3Fth%3D1%26psc%3D1%26tag%3Dsdcdeals03-20", "Amazon Link")</f>
        <v>Amazon Link</v>
      </c>
      <c r="G512" s="11" t="s">
        <v>36</v>
      </c>
      <c r="H512" s="14" t="s">
        <v>1718</v>
      </c>
      <c r="I512" s="11" t="str">
        <f>HYPERLINK("https://redirect.sdcdeals.com/redirect?code=763034&amp;mavely=https://mavely.app.link/e/bhESV2wGrGb&amp;destination=https%3A%2F%2Fwww.kohls.com%2Fsearch.jsp%3Fsubmit-search%3Dweb-regular%26search%3D75742806", "Retail Link")</f>
        <v>Retail Link</v>
      </c>
      <c r="J512" s="14" t="s">
        <v>1701</v>
      </c>
      <c r="K512" s="13" t="s">
        <v>1719</v>
      </c>
      <c r="L512" s="15">
        <v>15.4</v>
      </c>
      <c r="M512" s="15">
        <v>40.94</v>
      </c>
      <c r="N512" s="15">
        <v>12.919</v>
      </c>
      <c r="O512" s="15">
        <f>V512-M512</f>
        <v>1.5200000000000031</v>
      </c>
      <c r="P512" s="16">
        <f>N512/L512</f>
        <v>0.83889610389610392</v>
      </c>
      <c r="Q512" s="14">
        <v>111227</v>
      </c>
      <c r="R512" s="14"/>
      <c r="S512" s="17">
        <v>0.72752459999999997</v>
      </c>
      <c r="T512" s="15">
        <v>40.94</v>
      </c>
      <c r="U512" s="15">
        <v>46.56</v>
      </c>
      <c r="V512" s="15">
        <v>42.46</v>
      </c>
      <c r="W512" s="14" t="s">
        <v>1143</v>
      </c>
      <c r="X512" s="14">
        <v>7</v>
      </c>
      <c r="Y512" s="10">
        <f>AC512-AB512</f>
        <v>144</v>
      </c>
      <c r="Z512" s="18">
        <v>38</v>
      </c>
      <c r="AA512" s="18">
        <v>131</v>
      </c>
      <c r="AB512" s="18">
        <v>11</v>
      </c>
      <c r="AC512" s="18">
        <v>155</v>
      </c>
      <c r="AD512" s="1" t="s">
        <v>1704</v>
      </c>
      <c r="AE512" s="1" t="s">
        <v>1705</v>
      </c>
      <c r="AG512" s="4">
        <v>6.48</v>
      </c>
    </row>
    <row r="513" spans="1:33" ht="47.25" customHeight="1" x14ac:dyDescent="0.25">
      <c r="A513" s="10" t="s">
        <v>2946</v>
      </c>
      <c r="B513" s="11" t="s">
        <v>33</v>
      </c>
      <c r="C513" s="12" t="s">
        <v>2947</v>
      </c>
      <c r="D513" s="27"/>
      <c r="E513" s="14" t="s">
        <v>35</v>
      </c>
      <c r="F513" s="11" t="str">
        <f>HYPERLINK("https://redirect.sdcdeals.com/redirect?destination=https%3A%2F%2Fwww.amazon.com%2Fdp%2FB0BKQTM34L%3Fth%3D1%26psc%3D1%26tag%3Dsdcdeals03-20", "Amazon Link")</f>
        <v>Amazon Link</v>
      </c>
      <c r="G513" s="11" t="s">
        <v>36</v>
      </c>
      <c r="H513" s="14" t="s">
        <v>2948</v>
      </c>
      <c r="I513" s="11" t="str">
        <f>HYPERLINK("https://redirect.sdcdeals.com/redirect?code=763034&amp;mavely=https://mavely.app.link/e/bhESV2wGrGb&amp;destination=https%3A%2F%2Fwww.kohls.com%2Fsearch.jsp%3Fsubmit-search%3Dweb-regular%26search%3D29976334", "Retail Link")</f>
        <v>Retail Link</v>
      </c>
      <c r="J513" s="14" t="s">
        <v>2908</v>
      </c>
      <c r="K513" s="13" t="s">
        <v>2949</v>
      </c>
      <c r="L513" s="15">
        <v>57.2</v>
      </c>
      <c r="M513" s="15">
        <v>137.99</v>
      </c>
      <c r="N513" s="15">
        <v>47.8215</v>
      </c>
      <c r="O513" s="15">
        <f>V513-M513</f>
        <v>-9.0900000000000034</v>
      </c>
      <c r="P513" s="16">
        <f>N513/L513</f>
        <v>0.83604020979020977</v>
      </c>
      <c r="Q513" s="14">
        <v>824673</v>
      </c>
      <c r="R513" s="14"/>
      <c r="S513" s="17">
        <v>2.9497815599999999</v>
      </c>
      <c r="T513" s="15">
        <v>137.99</v>
      </c>
      <c r="U513" s="15">
        <v>130.1</v>
      </c>
      <c r="V513" s="15">
        <v>128.9</v>
      </c>
      <c r="W513" s="14" t="s">
        <v>352</v>
      </c>
      <c r="X513" s="14">
        <v>2</v>
      </c>
      <c r="Y513" s="10">
        <f>AC513-AB513</f>
        <v>8</v>
      </c>
      <c r="Z513" s="18">
        <v>9</v>
      </c>
      <c r="AA513" s="18">
        <v>27</v>
      </c>
      <c r="AB513" s="18">
        <v>0</v>
      </c>
      <c r="AC513" s="18">
        <v>8</v>
      </c>
      <c r="AD513" s="1" t="s">
        <v>2911</v>
      </c>
      <c r="AE513" s="1" t="s">
        <v>2929</v>
      </c>
      <c r="AG513" s="4">
        <v>12.27</v>
      </c>
    </row>
    <row r="514" spans="1:33" ht="47.25" customHeight="1" x14ac:dyDescent="0.25">
      <c r="A514" s="10" t="s">
        <v>6454</v>
      </c>
      <c r="B514" s="11" t="s">
        <v>33</v>
      </c>
      <c r="C514" s="12" t="s">
        <v>6455</v>
      </c>
      <c r="D514" s="27"/>
      <c r="E514" s="14" t="s">
        <v>35</v>
      </c>
      <c r="F514" s="11" t="str">
        <f>HYPERLINK("https://redirect.sdcdeals.com/redirect?destination=https%3A%2F%2Fwww.amazon.com%2Fdp%2FB0BPDZJMVS%3Fth%3D1%26psc%3D1%26tag%3Dsdcdeals03-20", "Amazon Link")</f>
        <v>Amazon Link</v>
      </c>
      <c r="G514" s="11" t="s">
        <v>36</v>
      </c>
      <c r="H514" s="14" t="s">
        <v>6456</v>
      </c>
      <c r="I514" s="11" t="str">
        <f>HYPERLINK("https://redirect.sdcdeals.com/redirect?code=763034&amp;mavely=https://mavely.app.link/e/bhESV2wGrGb&amp;destination=https%3A%2F%2Fwww.kohls.com%2Fsearch.jsp%3Fsubmit-search%3Dweb-regular%26search%3D74405942", "Retail Link")</f>
        <v>Retail Link</v>
      </c>
      <c r="J514" s="14" t="s">
        <v>6447</v>
      </c>
      <c r="K514" s="13" t="s">
        <v>6457</v>
      </c>
      <c r="L514" s="15">
        <v>4.84</v>
      </c>
      <c r="M514" s="15">
        <v>15.4</v>
      </c>
      <c r="N514" s="15">
        <v>4.0300000000000011</v>
      </c>
      <c r="O514" s="15">
        <f>V514-M514</f>
        <v>-1.2800000000000011</v>
      </c>
      <c r="P514" s="16">
        <f>N514/L514</f>
        <v>0.83264462809917383</v>
      </c>
      <c r="Q514" s="14">
        <v>80937</v>
      </c>
      <c r="R514" s="14"/>
      <c r="S514" s="17">
        <v>0.26014515999999999</v>
      </c>
      <c r="T514" s="15">
        <v>10.79</v>
      </c>
      <c r="U514" s="15">
        <v>13.81</v>
      </c>
      <c r="V514" s="15">
        <v>14.12</v>
      </c>
      <c r="W514" s="14" t="s">
        <v>229</v>
      </c>
      <c r="X514" s="14">
        <v>3</v>
      </c>
      <c r="Y514" s="10">
        <f>AC514-AB514</f>
        <v>27</v>
      </c>
      <c r="Z514" s="18">
        <v>29</v>
      </c>
      <c r="AA514" s="18">
        <v>72</v>
      </c>
      <c r="AB514" s="18">
        <v>0</v>
      </c>
      <c r="AC514" s="18">
        <v>27</v>
      </c>
      <c r="AD514" s="1" t="s">
        <v>6449</v>
      </c>
      <c r="AE514" s="1" t="s">
        <v>5497</v>
      </c>
      <c r="AF514" s="4">
        <v>2.3199999999999998</v>
      </c>
      <c r="AG514" s="4">
        <v>4.22</v>
      </c>
    </row>
    <row r="515" spans="1:33" ht="47.25" customHeight="1" x14ac:dyDescent="0.25">
      <c r="A515" s="10" t="s">
        <v>1032</v>
      </c>
      <c r="B515" s="11" t="s">
        <v>33</v>
      </c>
      <c r="C515" s="12" t="s">
        <v>1033</v>
      </c>
      <c r="D515" s="27"/>
      <c r="E515" s="14" t="s">
        <v>35</v>
      </c>
      <c r="F515" s="11" t="str">
        <f>HYPERLINK("https://redirect.sdcdeals.com/redirect?destination=https%3A%2F%2Fwww.amazon.com%2Fdp%2FB0C699RHPJ%3Fth%3D1%26psc%3D1%26tag%3Dsdcdeals03-20", "Amazon Link")</f>
        <v>Amazon Link</v>
      </c>
      <c r="G515" s="11" t="s">
        <v>36</v>
      </c>
      <c r="H515" s="14" t="s">
        <v>1034</v>
      </c>
      <c r="I515" s="11" t="str">
        <f>HYPERLINK("https://redirect.sdcdeals.com/redirect?code=763034&amp;mavely=https://mavely.app.link/e/bhESV2wGrGb&amp;destination=https%3A%2F%2Fwww.kohls.com%2Fsearch.jsp%3Fsubmit-search%3Dweb-regular%26search%3D86730572", "Retail Link")</f>
        <v>Retail Link</v>
      </c>
      <c r="J515" s="14" t="s">
        <v>1035</v>
      </c>
      <c r="K515" s="13" t="s">
        <v>1036</v>
      </c>
      <c r="L515" s="15">
        <v>11.52</v>
      </c>
      <c r="M515" s="15">
        <v>33.07</v>
      </c>
      <c r="N515" s="15">
        <v>9.5695000000000014</v>
      </c>
      <c r="O515" s="15">
        <f>V515-M515</f>
        <v>7.4200000000000017</v>
      </c>
      <c r="P515" s="16">
        <f>N515/L515</f>
        <v>0.83068576388888904</v>
      </c>
      <c r="Q515" s="14">
        <v>95891</v>
      </c>
      <c r="R515" s="14"/>
      <c r="S515" s="17">
        <v>1.0008974799999999</v>
      </c>
      <c r="T515" s="15">
        <v>33.07</v>
      </c>
      <c r="U515" s="15">
        <v>37.99</v>
      </c>
      <c r="V515" s="15">
        <v>40.49</v>
      </c>
      <c r="W515" s="14" t="s">
        <v>106</v>
      </c>
      <c r="X515" s="14">
        <v>1</v>
      </c>
      <c r="Y515" s="10">
        <f>AC515-AB515</f>
        <v>3500</v>
      </c>
      <c r="Z515" s="18">
        <v>25</v>
      </c>
      <c r="AA515" s="18">
        <v>76</v>
      </c>
      <c r="AB515" s="18">
        <v>0</v>
      </c>
      <c r="AC515" s="18">
        <v>3500</v>
      </c>
      <c r="AD515" s="1" t="s">
        <v>1037</v>
      </c>
      <c r="AE515" s="1" t="s">
        <v>1038</v>
      </c>
      <c r="AF515" s="4">
        <v>5.62</v>
      </c>
      <c r="AG515" s="4">
        <v>7.02</v>
      </c>
    </row>
    <row r="516" spans="1:33" ht="47.25" customHeight="1" x14ac:dyDescent="0.25">
      <c r="A516" s="10" t="s">
        <v>5002</v>
      </c>
      <c r="B516" s="11" t="s">
        <v>33</v>
      </c>
      <c r="C516" s="12" t="s">
        <v>5003</v>
      </c>
      <c r="D516" s="27"/>
      <c r="E516" s="14" t="s">
        <v>35</v>
      </c>
      <c r="F516" s="11" t="str">
        <f>HYPERLINK("https://redirect.sdcdeals.com/redirect?destination=https%3A%2F%2Fwww.amazon.com%2Fdp%2FB0B1KFW5F6%3Fth%3D1%26psc%3D1%26tag%3Dsdcdeals03-20", "Amazon Link")</f>
        <v>Amazon Link</v>
      </c>
      <c r="G516" s="11" t="s">
        <v>36</v>
      </c>
      <c r="H516" s="14" t="s">
        <v>5004</v>
      </c>
      <c r="I516" s="11" t="str">
        <f>HYPERLINK("https://redirect.sdcdeals.com/redirect?code=763034&amp;mavely=https://mavely.app.link/e/bhESV2wGrGb&amp;destination=https%3A%2F%2Fwww.kohls.com%2Fsearch.jsp%3Fsubmit-search%3Dweb-regular%26search%3D82007970", "Retail Link")</f>
        <v>Retail Link</v>
      </c>
      <c r="J516" s="14" t="s">
        <v>4992</v>
      </c>
      <c r="K516" s="13" t="s">
        <v>5005</v>
      </c>
      <c r="L516" s="15">
        <v>20.847999999999999</v>
      </c>
      <c r="M516" s="15">
        <v>52.12</v>
      </c>
      <c r="N516" s="15">
        <v>17.314</v>
      </c>
      <c r="O516" s="15">
        <f>V516-M516</f>
        <v>0.21000000000000085</v>
      </c>
      <c r="P516" s="16">
        <f>N516/L516</f>
        <v>0.83048733691481202</v>
      </c>
      <c r="Q516" s="14">
        <v>135514</v>
      </c>
      <c r="R516" s="14"/>
      <c r="S516" s="17">
        <v>1.0493991199999999</v>
      </c>
      <c r="T516" s="15">
        <v>52.12</v>
      </c>
      <c r="U516" s="15">
        <v>51.13</v>
      </c>
      <c r="V516" s="15">
        <v>52.33</v>
      </c>
      <c r="W516" s="14" t="s">
        <v>705</v>
      </c>
      <c r="X516" s="14">
        <v>1</v>
      </c>
      <c r="Y516" s="10">
        <f>AC516-AB516</f>
        <v>76</v>
      </c>
      <c r="Z516" s="18">
        <v>14</v>
      </c>
      <c r="AA516" s="18">
        <v>36</v>
      </c>
      <c r="AB516" s="18">
        <v>2</v>
      </c>
      <c r="AC516" s="18">
        <v>78</v>
      </c>
      <c r="AD516" s="1" t="s">
        <v>5000</v>
      </c>
      <c r="AE516" s="1" t="s">
        <v>5001</v>
      </c>
      <c r="AF516" s="4">
        <v>8.86</v>
      </c>
      <c r="AG516" s="4">
        <v>6.14</v>
      </c>
    </row>
    <row r="517" spans="1:33" ht="47.25" customHeight="1" x14ac:dyDescent="0.25">
      <c r="A517" s="10" t="s">
        <v>2916</v>
      </c>
      <c r="B517" s="11" t="s">
        <v>33</v>
      </c>
      <c r="C517" s="12" t="s">
        <v>2917</v>
      </c>
      <c r="D517" s="27"/>
      <c r="E517" s="14" t="s">
        <v>35</v>
      </c>
      <c r="F517" s="11" t="str">
        <f>HYPERLINK("https://redirect.sdcdeals.com/redirect?destination=https%3A%2F%2Fwww.amazon.com%2Fdp%2FB0BKQTCHVS%3Fth%3D1%26psc%3D1%26tag%3Dsdcdeals03-20", "Amazon Link")</f>
        <v>Amazon Link</v>
      </c>
      <c r="G517" s="11" t="s">
        <v>36</v>
      </c>
      <c r="H517" s="14" t="s">
        <v>2918</v>
      </c>
      <c r="I517" s="11" t="str">
        <f>HYPERLINK("https://redirect.sdcdeals.com/redirect?code=763034&amp;mavely=https://mavely.app.link/e/bhESV2wGrGb&amp;destination=https%3A%2F%2Fwww.kohls.com%2Fsearch.jsp%3Fsubmit-search%3Dweb-regular%26search%3D29976314", "Retail Link")</f>
        <v>Retail Link</v>
      </c>
      <c r="J517" s="14" t="s">
        <v>2908</v>
      </c>
      <c r="K517" s="13" t="s">
        <v>2919</v>
      </c>
      <c r="L517" s="15">
        <v>57.2</v>
      </c>
      <c r="M517" s="15">
        <v>137.99</v>
      </c>
      <c r="N517" s="15">
        <v>47.441499999999991</v>
      </c>
      <c r="O517" s="15">
        <f>V517-M517</f>
        <v>1.5499999999999829</v>
      </c>
      <c r="P517" s="16">
        <f>N517/L517</f>
        <v>0.82939685314685296</v>
      </c>
      <c r="Q517" s="14">
        <v>693078</v>
      </c>
      <c r="R517" s="14"/>
      <c r="S517" s="17">
        <v>2.7800258200000001</v>
      </c>
      <c r="T517" s="15">
        <v>137.99</v>
      </c>
      <c r="U517" s="15">
        <v>90</v>
      </c>
      <c r="V517" s="15">
        <v>139.54</v>
      </c>
      <c r="W517" s="14" t="s">
        <v>1536</v>
      </c>
      <c r="X517" s="14">
        <v>2</v>
      </c>
      <c r="Y517" s="10">
        <f>AC517-AB517</f>
        <v>9</v>
      </c>
      <c r="Z517" s="18">
        <v>3</v>
      </c>
      <c r="AA517" s="18">
        <v>18</v>
      </c>
      <c r="AB517" s="18">
        <v>0</v>
      </c>
      <c r="AC517" s="18">
        <v>9</v>
      </c>
      <c r="AD517" s="1" t="s">
        <v>2911</v>
      </c>
      <c r="AE517" s="1" t="s">
        <v>2213</v>
      </c>
      <c r="AG517" s="4">
        <v>12.65</v>
      </c>
    </row>
    <row r="518" spans="1:33" ht="47.25" customHeight="1" x14ac:dyDescent="0.25">
      <c r="A518" s="10" t="s">
        <v>2938</v>
      </c>
      <c r="B518" s="11" t="s">
        <v>33</v>
      </c>
      <c r="C518" s="12" t="s">
        <v>2939</v>
      </c>
      <c r="D518" s="27"/>
      <c r="E518" s="14" t="s">
        <v>35</v>
      </c>
      <c r="F518" s="11" t="str">
        <f>HYPERLINK("https://redirect.sdcdeals.com/redirect?destination=https%3A%2F%2Fwww.amazon.com%2Fdp%2FB0BKQT64XG%3Fth%3D1%26psc%3D1%26tag%3Dsdcdeals03-20", "Amazon Link")</f>
        <v>Amazon Link</v>
      </c>
      <c r="G518" s="11" t="s">
        <v>36</v>
      </c>
      <c r="H518" s="14" t="s">
        <v>2940</v>
      </c>
      <c r="I518" s="11" t="str">
        <f>HYPERLINK("https://redirect.sdcdeals.com/redirect?code=763034&amp;mavely=https://mavely.app.link/e/bhESV2wGrGb&amp;destination=https%3A%2F%2Fwww.kohls.com%2Fsearch.jsp%3Fsubmit-search%3Dweb-regular%26search%3D29976316", "Retail Link")</f>
        <v>Retail Link</v>
      </c>
      <c r="J518" s="14" t="s">
        <v>2908</v>
      </c>
      <c r="K518" s="13" t="s">
        <v>2941</v>
      </c>
      <c r="L518" s="15">
        <v>57.2</v>
      </c>
      <c r="M518" s="15">
        <v>137.99</v>
      </c>
      <c r="N518" s="15">
        <v>47.441499999999991</v>
      </c>
      <c r="O518" s="15">
        <f>V518-M518</f>
        <v>3.5999999999999943</v>
      </c>
      <c r="P518" s="16">
        <f>N518/L518</f>
        <v>0.82939685314685296</v>
      </c>
      <c r="Q518" s="14">
        <v>824673</v>
      </c>
      <c r="R518" s="14"/>
      <c r="S518" s="17">
        <v>2.9299399799999999</v>
      </c>
      <c r="T518" s="15">
        <v>137.99</v>
      </c>
      <c r="U518" s="15">
        <v>132.82</v>
      </c>
      <c r="V518" s="15">
        <v>141.59</v>
      </c>
      <c r="W518" s="14" t="s">
        <v>1573</v>
      </c>
      <c r="X518" s="14">
        <v>2</v>
      </c>
      <c r="Y518" s="10">
        <f>AC518-AB518</f>
        <v>0</v>
      </c>
      <c r="Z518" s="18">
        <v>3</v>
      </c>
      <c r="AA518" s="18">
        <v>13</v>
      </c>
      <c r="AB518" s="18">
        <v>0</v>
      </c>
      <c r="AC518" s="18"/>
      <c r="AD518" s="1" t="s">
        <v>2911</v>
      </c>
      <c r="AE518" s="1" t="s">
        <v>2213</v>
      </c>
      <c r="AG518" s="4">
        <v>12.65</v>
      </c>
    </row>
    <row r="519" spans="1:33" ht="47.25" customHeight="1" x14ac:dyDescent="0.25">
      <c r="A519" s="10" t="s">
        <v>1902</v>
      </c>
      <c r="B519" s="11" t="s">
        <v>33</v>
      </c>
      <c r="C519" s="12" t="s">
        <v>1903</v>
      </c>
      <c r="D519" s="27"/>
      <c r="E519" s="14" t="s">
        <v>35</v>
      </c>
      <c r="F519" s="11" t="str">
        <f>HYPERLINK("https://redirect.sdcdeals.com/redirect?destination=https%3A%2F%2Fwww.amazon.com%2Fdp%2FB01IE1ODP4%3Fth%3D1%26psc%3D1%26tag%3Dsdcdeals03-20", "Amazon Link")</f>
        <v>Amazon Link</v>
      </c>
      <c r="G519" s="11" t="s">
        <v>36</v>
      </c>
      <c r="H519" s="14" t="s">
        <v>1904</v>
      </c>
      <c r="I519" s="11" t="str">
        <f>HYPERLINK("https://redirect.sdcdeals.com/redirect?code=763034&amp;mavely=https://mavely.app.link/e/bhESV2wGrGb&amp;destination=https%3A%2F%2Fwww.kohls.com%2Fsearch.jsp%3Fsubmit-search%3Dweb-regular%26search%3D46361239", "Retail Link")</f>
        <v>Retail Link</v>
      </c>
      <c r="J519" s="14" t="s">
        <v>1897</v>
      </c>
      <c r="K519" s="13" t="s">
        <v>1898</v>
      </c>
      <c r="L519" s="15">
        <v>10.8</v>
      </c>
      <c r="M519" s="15">
        <v>31.52</v>
      </c>
      <c r="N519" s="15">
        <v>8.9119999999999955</v>
      </c>
      <c r="O519" s="15">
        <f>V519-M519</f>
        <v>1.4899999999999984</v>
      </c>
      <c r="P519" s="16">
        <f>N519/L519</f>
        <v>0.82518518518518469</v>
      </c>
      <c r="Q519" s="14">
        <v>1165</v>
      </c>
      <c r="R519" s="14">
        <v>100</v>
      </c>
      <c r="S519" s="17">
        <v>0.97003280000000003</v>
      </c>
      <c r="T519" s="15"/>
      <c r="U519" s="15">
        <v>31.52</v>
      </c>
      <c r="V519" s="15">
        <v>33.01</v>
      </c>
      <c r="W519" s="14" t="s">
        <v>1905</v>
      </c>
      <c r="X519" s="14">
        <v>4</v>
      </c>
      <c r="Y519" s="10">
        <f>AC519-AB519</f>
        <v>17456</v>
      </c>
      <c r="Z519" s="18">
        <v>62</v>
      </c>
      <c r="AA519" s="18">
        <v>157</v>
      </c>
      <c r="AB519" s="18">
        <v>447</v>
      </c>
      <c r="AC519" s="18">
        <v>17903</v>
      </c>
      <c r="AD519" s="1" t="s">
        <v>1900</v>
      </c>
      <c r="AE519" s="1" t="s">
        <v>1906</v>
      </c>
      <c r="AG519" s="4">
        <v>7.08</v>
      </c>
    </row>
    <row r="520" spans="1:33" ht="47.25" customHeight="1" x14ac:dyDescent="0.25">
      <c r="A520" s="10" t="s">
        <v>2239</v>
      </c>
      <c r="B520" s="11" t="s">
        <v>33</v>
      </c>
      <c r="C520" s="12" t="s">
        <v>2240</v>
      </c>
      <c r="D520" s="27"/>
      <c r="E520" s="14" t="s">
        <v>35</v>
      </c>
      <c r="F520" s="11" t="str">
        <f>HYPERLINK("https://redirect.sdcdeals.com/redirect?destination=https%3A%2F%2Fwww.amazon.com%2Fdp%2FB0BKQX5C8L%3Fth%3D1%26psc%3D1%26tag%3Dsdcdeals03-20", "Amazon Link")</f>
        <v>Amazon Link</v>
      </c>
      <c r="G520" s="11" t="s">
        <v>36</v>
      </c>
      <c r="H520" s="14" t="s">
        <v>2241</v>
      </c>
      <c r="I520" s="11" t="str">
        <f>HYPERLINK("https://redirect.sdcdeals.com/redirect?code=763034&amp;mavely=https://mavely.app.link/e/bhESV2wGrGb&amp;destination=https%3A%2F%2Fwww.kohls.com%2Fsearch.jsp%3Fsubmit-search%3Dweb-regular%26search%3D62949698", "Retail Link")</f>
        <v>Retail Link</v>
      </c>
      <c r="J520" s="14" t="s">
        <v>2210</v>
      </c>
      <c r="K520" s="13" t="s">
        <v>2242</v>
      </c>
      <c r="L520" s="15">
        <v>52.8</v>
      </c>
      <c r="M520" s="15">
        <v>129.78</v>
      </c>
      <c r="N520" s="15">
        <v>43.343000000000004</v>
      </c>
      <c r="O520" s="15">
        <f>V520-M520</f>
        <v>-31.17</v>
      </c>
      <c r="P520" s="16">
        <f>N520/L520</f>
        <v>0.82089015151515166</v>
      </c>
      <c r="Q520" s="14">
        <v>1323131</v>
      </c>
      <c r="R520" s="14"/>
      <c r="S520" s="17">
        <v>2.5397222400000001</v>
      </c>
      <c r="T520" s="15">
        <v>129.78</v>
      </c>
      <c r="U520" s="15">
        <v>84.19</v>
      </c>
      <c r="V520" s="15">
        <v>98.61</v>
      </c>
      <c r="W520" s="14" t="s">
        <v>2243</v>
      </c>
      <c r="X520" s="14">
        <v>1</v>
      </c>
      <c r="Y520" s="10">
        <f>AC520-AB520</f>
        <v>7</v>
      </c>
      <c r="Z520" s="18">
        <v>6</v>
      </c>
      <c r="AA520" s="18">
        <v>17</v>
      </c>
      <c r="AB520" s="18">
        <v>0</v>
      </c>
      <c r="AC520" s="18">
        <v>7</v>
      </c>
      <c r="AD520" s="1" t="s">
        <v>2212</v>
      </c>
      <c r="AE520" s="1" t="s">
        <v>2213</v>
      </c>
      <c r="AG520" s="4">
        <v>14.17</v>
      </c>
    </row>
    <row r="521" spans="1:33" ht="47.25" customHeight="1" x14ac:dyDescent="0.25">
      <c r="A521" s="10" t="s">
        <v>3453</v>
      </c>
      <c r="B521" s="11" t="s">
        <v>33</v>
      </c>
      <c r="C521" s="12" t="s">
        <v>3454</v>
      </c>
      <c r="D521" s="27"/>
      <c r="E521" s="14" t="s">
        <v>35</v>
      </c>
      <c r="F521" s="11" t="str">
        <f>HYPERLINK("https://redirect.sdcdeals.com/redirect?destination=https%3A%2F%2Fwww.amazon.com%2Fdp%2FB09B69HG46%3Fth%3D1%26psc%3D1%26tag%3Dsdcdeals03-20", "Amazon Link")</f>
        <v>Amazon Link</v>
      </c>
      <c r="G521" s="11" t="s">
        <v>36</v>
      </c>
      <c r="H521" s="14" t="s">
        <v>3455</v>
      </c>
      <c r="I521" s="11" t="str">
        <f>HYPERLINK("https://redirect.sdcdeals.com/redirect?code=763034&amp;mavely=https://mavely.app.link/e/bhESV2wGrGb&amp;destination=https%3A%2F%2Fwww.kohls.com%2Fsearch.jsp%3Fsubmit-search%3Dweb-regular%26search%3D49703959", "Retail Link")</f>
        <v>Retail Link</v>
      </c>
      <c r="J521" s="14" t="s">
        <v>3413</v>
      </c>
      <c r="K521" s="13" t="s">
        <v>3456</v>
      </c>
      <c r="L521" s="15">
        <v>12.48</v>
      </c>
      <c r="M521" s="15">
        <v>38.69</v>
      </c>
      <c r="N521" s="15">
        <v>10.236499999999999</v>
      </c>
      <c r="O521" s="15">
        <f>V521-M521</f>
        <v>-1.1899999999999977</v>
      </c>
      <c r="P521" s="16">
        <f>N521/L521</f>
        <v>0.82023237179487174</v>
      </c>
      <c r="Q521" s="14">
        <v>95891</v>
      </c>
      <c r="R521" s="14"/>
      <c r="S521" s="17">
        <v>1.433003</v>
      </c>
      <c r="T521" s="15">
        <v>38.69</v>
      </c>
      <c r="U521" s="15">
        <v>37.590000000000003</v>
      </c>
      <c r="V521" s="15">
        <v>37.5</v>
      </c>
      <c r="W521" s="14" t="s">
        <v>3457</v>
      </c>
      <c r="X521" s="14">
        <v>1</v>
      </c>
      <c r="Y521" s="10">
        <f>AC521-AB521</f>
        <v>3484</v>
      </c>
      <c r="Z521" s="18">
        <v>20</v>
      </c>
      <c r="AA521" s="18">
        <v>72</v>
      </c>
      <c r="AB521" s="18">
        <v>16</v>
      </c>
      <c r="AC521" s="18">
        <v>3500</v>
      </c>
      <c r="AD521" s="1" t="s">
        <v>1037</v>
      </c>
      <c r="AE521" s="1" t="s">
        <v>3416</v>
      </c>
      <c r="AF521" s="4">
        <v>6.58</v>
      </c>
      <c r="AG521" s="4">
        <v>10.17</v>
      </c>
    </row>
    <row r="522" spans="1:33" ht="47.25" customHeight="1" x14ac:dyDescent="0.25">
      <c r="A522" s="10" t="s">
        <v>4671</v>
      </c>
      <c r="B522" s="11" t="s">
        <v>33</v>
      </c>
      <c r="C522" s="12" t="s">
        <v>4672</v>
      </c>
      <c r="D522" s="27"/>
      <c r="E522" s="14" t="s">
        <v>35</v>
      </c>
      <c r="F522" s="11" t="str">
        <f>HYPERLINK("https://redirect.sdcdeals.com/redirect?destination=https%3A%2F%2Fwww.amazon.com%2Fdp%2FB0CKWCLNDN%3Fth%3D1%26psc%3D1%26tag%3Dsdcdeals03-20", "Amazon Link")</f>
        <v>Amazon Link</v>
      </c>
      <c r="G522" s="11" t="s">
        <v>36</v>
      </c>
      <c r="H522" s="14" t="s">
        <v>4673</v>
      </c>
      <c r="I522" s="11" t="str">
        <f>HYPERLINK("https://redirect.sdcdeals.com/redirect?code=763034&amp;mavely=https://mavely.app.link/e/bhESV2wGrGb&amp;destination=https%3A%2F%2Fwww.kohls.com%2Fsearch.jsp%3Fsubmit-search%3Dweb-regular%26search%3D30108386", "Retail Link")</f>
        <v>Retail Link</v>
      </c>
      <c r="J522" s="14" t="s">
        <v>4663</v>
      </c>
      <c r="K522" s="13" t="s">
        <v>4674</v>
      </c>
      <c r="L522" s="15">
        <v>6.8000000000000007</v>
      </c>
      <c r="M522" s="15">
        <v>19.98</v>
      </c>
      <c r="N522" s="15">
        <v>5.5730000000000004</v>
      </c>
      <c r="O522" s="15">
        <f>V522-M522</f>
        <v>1.5500000000000007</v>
      </c>
      <c r="P522" s="16">
        <f>N522/L522</f>
        <v>0.81955882352941178</v>
      </c>
      <c r="Q522" s="14">
        <v>71394</v>
      </c>
      <c r="R522" s="14"/>
      <c r="S522" s="17">
        <v>0.33069300000000001</v>
      </c>
      <c r="T522" s="15">
        <v>19.98</v>
      </c>
      <c r="U522" s="15">
        <v>18.3</v>
      </c>
      <c r="V522" s="15">
        <v>21.53</v>
      </c>
      <c r="W522" s="14" t="s">
        <v>1795</v>
      </c>
      <c r="X522" s="14">
        <v>7</v>
      </c>
      <c r="Y522" s="10">
        <f>AC522-AB522</f>
        <v>562</v>
      </c>
      <c r="Z522" s="18">
        <v>9</v>
      </c>
      <c r="AA522" s="18">
        <v>75</v>
      </c>
      <c r="AB522" s="18">
        <v>0</v>
      </c>
      <c r="AC522" s="18">
        <v>562</v>
      </c>
      <c r="AD522" s="1" t="s">
        <v>4665</v>
      </c>
      <c r="AE522" s="1" t="s">
        <v>4666</v>
      </c>
      <c r="AF522" s="4">
        <v>2</v>
      </c>
      <c r="AG522" s="4">
        <v>4.6100000000000003</v>
      </c>
    </row>
    <row r="523" spans="1:33" ht="47.25" customHeight="1" x14ac:dyDescent="0.25">
      <c r="A523" s="10" t="s">
        <v>3630</v>
      </c>
      <c r="B523" s="11" t="s">
        <v>33</v>
      </c>
      <c r="C523" s="12" t="s">
        <v>3631</v>
      </c>
      <c r="D523" s="27"/>
      <c r="E523" s="14" t="s">
        <v>35</v>
      </c>
      <c r="F523" s="11" t="str">
        <f>HYPERLINK("https://redirect.sdcdeals.com/redirect?destination=https%3A%2F%2Fwww.amazon.com%2Fdp%2FB0C824TXJB%3Fth%3D1%26psc%3D1%26tag%3Dsdcdeals03-20", "Amazon Link")</f>
        <v>Amazon Link</v>
      </c>
      <c r="G523" s="11" t="s">
        <v>36</v>
      </c>
      <c r="H523" s="14" t="s">
        <v>3632</v>
      </c>
      <c r="I523" s="11" t="str">
        <f>HYPERLINK("https://redirect.sdcdeals.com/redirect?code=763034&amp;mavely=https://mavely.app.link/e/bhESV2wGrGb&amp;destination=https%3A%2F%2Fwww.kohls.com%2Fsearch.jsp%3Fsubmit-search%3Dweb-regular%26search%3D20552284", "Retail Link")</f>
        <v>Retail Link</v>
      </c>
      <c r="J523" s="14" t="s">
        <v>3633</v>
      </c>
      <c r="K523" s="13" t="s">
        <v>3634</v>
      </c>
      <c r="L523" s="15">
        <v>11.44</v>
      </c>
      <c r="M523" s="15">
        <v>33.75</v>
      </c>
      <c r="N523" s="15">
        <v>9.3675000000000015</v>
      </c>
      <c r="O523" s="15">
        <f>V523-M523</f>
        <v>-3.5799999999999983</v>
      </c>
      <c r="P523" s="16">
        <f>N523/L523</f>
        <v>0.81883741258741272</v>
      </c>
      <c r="Q523" s="14">
        <v>1479263</v>
      </c>
      <c r="R523" s="14"/>
      <c r="S523" s="17">
        <v>0.46076558000000001</v>
      </c>
      <c r="T523" s="15">
        <v>25.8</v>
      </c>
      <c r="U523" s="15">
        <v>27.86</v>
      </c>
      <c r="V523" s="15">
        <v>30.17</v>
      </c>
      <c r="W523" s="14" t="s">
        <v>3378</v>
      </c>
      <c r="X523" s="14">
        <v>6</v>
      </c>
      <c r="Y523" s="10">
        <f>AC523-AB523</f>
        <v>2</v>
      </c>
      <c r="Z523" s="18">
        <v>6</v>
      </c>
      <c r="AA523" s="18">
        <v>22</v>
      </c>
      <c r="AB523" s="18">
        <v>0</v>
      </c>
      <c r="AC523" s="18">
        <v>2</v>
      </c>
      <c r="AD523" s="1" t="s">
        <v>3635</v>
      </c>
      <c r="AE523" s="1" t="s">
        <v>3636</v>
      </c>
      <c r="AF523" s="4">
        <v>5.74</v>
      </c>
      <c r="AG523" s="4">
        <v>7.88</v>
      </c>
    </row>
    <row r="524" spans="1:33" ht="47.25" customHeight="1" x14ac:dyDescent="0.25">
      <c r="A524" s="10" t="s">
        <v>2254</v>
      </c>
      <c r="B524" s="11" t="s">
        <v>33</v>
      </c>
      <c r="C524" s="12" t="s">
        <v>2255</v>
      </c>
      <c r="D524" s="27"/>
      <c r="E524" s="14" t="s">
        <v>35</v>
      </c>
      <c r="F524" s="11" t="str">
        <f>HYPERLINK("https://redirect.sdcdeals.com/redirect?destination=https%3A%2F%2Fwww.amazon.com%2Fdp%2FB0BKQXQFFR%3Fth%3D1%26psc%3D1%26tag%3Dsdcdeals03-20", "Amazon Link")</f>
        <v>Amazon Link</v>
      </c>
      <c r="G524" s="11" t="s">
        <v>36</v>
      </c>
      <c r="H524" s="14" t="s">
        <v>2256</v>
      </c>
      <c r="I524" s="11" t="str">
        <f>HYPERLINK("https://redirect.sdcdeals.com/redirect?code=763034&amp;mavely=https://mavely.app.link/e/bhESV2wGrGb&amp;destination=https%3A%2F%2Fwww.kohls.com%2Fsearch.jsp%3Fsubmit-search%3Dweb-regular%26search%3D62949699", "Retail Link")</f>
        <v>Retail Link</v>
      </c>
      <c r="J524" s="14" t="s">
        <v>2210</v>
      </c>
      <c r="K524" s="13" t="s">
        <v>2257</v>
      </c>
      <c r="L524" s="15">
        <v>52.8</v>
      </c>
      <c r="M524" s="15">
        <v>129.78</v>
      </c>
      <c r="N524" s="15">
        <v>42.963000000000008</v>
      </c>
      <c r="O524" s="15">
        <f>V524-M524</f>
        <v>-0.18000000000000682</v>
      </c>
      <c r="P524" s="16">
        <f>N524/L524</f>
        <v>0.81369318181818207</v>
      </c>
      <c r="Q524" s="14">
        <v>1312989</v>
      </c>
      <c r="R524" s="14"/>
      <c r="S524" s="17">
        <v>2.6499532399999999</v>
      </c>
      <c r="T524" s="15">
        <v>129.78</v>
      </c>
      <c r="U524" s="15">
        <v>123.97</v>
      </c>
      <c r="V524" s="15">
        <v>129.6</v>
      </c>
      <c r="W524" s="14" t="s">
        <v>2138</v>
      </c>
      <c r="X524" s="14">
        <v>2</v>
      </c>
      <c r="Y524" s="10">
        <f>AC524-AB524</f>
        <v>8</v>
      </c>
      <c r="Z524" s="18">
        <v>5</v>
      </c>
      <c r="AA524" s="18">
        <v>22</v>
      </c>
      <c r="AB524" s="18">
        <v>0</v>
      </c>
      <c r="AC524" s="18">
        <v>8</v>
      </c>
      <c r="AD524" s="1" t="s">
        <v>2212</v>
      </c>
      <c r="AE524" s="1" t="s">
        <v>2213</v>
      </c>
      <c r="AG524" s="4">
        <v>14.55</v>
      </c>
    </row>
    <row r="525" spans="1:33" ht="47.25" customHeight="1" x14ac:dyDescent="0.25">
      <c r="A525" s="10" t="s">
        <v>354</v>
      </c>
      <c r="B525" s="11" t="s">
        <v>33</v>
      </c>
      <c r="C525" s="12" t="s">
        <v>355</v>
      </c>
      <c r="D525" s="27"/>
      <c r="E525" s="14" t="s">
        <v>35</v>
      </c>
      <c r="F525" s="11" t="str">
        <f>HYPERLINK("https://redirect.sdcdeals.com/redirect?destination=https%3A%2F%2Fwww.amazon.com%2Fdp%2FB0C62HGRHP%3Fth%3D1%26psc%3D1%26tag%3Dsdcdeals03-20", "Amazon Link")</f>
        <v>Amazon Link</v>
      </c>
      <c r="G525" s="11" t="s">
        <v>36</v>
      </c>
      <c r="H525" s="14" t="s">
        <v>356</v>
      </c>
      <c r="I525" s="11" t="str">
        <f>HYPERLINK("https://redirect.sdcdeals.com/redirect?code=763034&amp;mavely=https://mavely.app.link/e/bhESV2wGrGb&amp;destination=https%3A%2F%2Fwww.kohls.com%2Fsearch.jsp%3Fsubmit-search%3Dweb-regular%26search%3D37564069", "Retail Link")</f>
        <v>Retail Link</v>
      </c>
      <c r="J525" s="14" t="s">
        <v>357</v>
      </c>
      <c r="K525" s="13" t="s">
        <v>358</v>
      </c>
      <c r="L525" s="15">
        <v>8.8000000000000007</v>
      </c>
      <c r="M525" s="15">
        <v>25.65</v>
      </c>
      <c r="N525" s="15">
        <v>7.1324999999999967</v>
      </c>
      <c r="O525" s="15">
        <f>V525-M525</f>
        <v>10.800000000000004</v>
      </c>
      <c r="P525" s="16">
        <f>N525/L525</f>
        <v>0.81051136363636322</v>
      </c>
      <c r="Q525" s="14">
        <v>468816</v>
      </c>
      <c r="R525" s="14"/>
      <c r="S525" s="17">
        <v>0.81791402000000002</v>
      </c>
      <c r="T525" s="15">
        <v>25.65</v>
      </c>
      <c r="U525" s="15">
        <v>36.450000000000003</v>
      </c>
      <c r="V525" s="15">
        <v>36.450000000000003</v>
      </c>
      <c r="W525" s="14" t="s">
        <v>359</v>
      </c>
      <c r="X525" s="14">
        <v>1</v>
      </c>
      <c r="Y525" s="10">
        <f>AC525-AB525</f>
        <v>0</v>
      </c>
      <c r="Z525" s="18">
        <v>12</v>
      </c>
      <c r="AA525" s="18">
        <v>51</v>
      </c>
      <c r="AB525" s="18">
        <v>0</v>
      </c>
      <c r="AC525" s="18"/>
      <c r="AD525" s="1" t="s">
        <v>360</v>
      </c>
      <c r="AE525" s="1" t="s">
        <v>361</v>
      </c>
      <c r="AG525" s="4">
        <v>5.87</v>
      </c>
    </row>
    <row r="526" spans="1:33" ht="47.25" customHeight="1" x14ac:dyDescent="0.25">
      <c r="A526" s="10" t="s">
        <v>362</v>
      </c>
      <c r="B526" s="11" t="s">
        <v>33</v>
      </c>
      <c r="C526" s="12" t="s">
        <v>363</v>
      </c>
      <c r="D526" s="27"/>
      <c r="E526" s="14" t="s">
        <v>35</v>
      </c>
      <c r="F526" s="11" t="str">
        <f>HYPERLINK("https://redirect.sdcdeals.com/redirect?destination=https%3A%2F%2Fwww.amazon.com%2Fdp%2FB0C62KKHWM%3Fth%3D1%26psc%3D1%26tag%3Dsdcdeals03-20", "Amazon Link")</f>
        <v>Amazon Link</v>
      </c>
      <c r="G526" s="11" t="s">
        <v>36</v>
      </c>
      <c r="H526" s="14" t="s">
        <v>364</v>
      </c>
      <c r="I526" s="11" t="str">
        <f>HYPERLINK("https://redirect.sdcdeals.com/redirect?code=763034&amp;mavely=https://mavely.app.link/e/bhESV2wGrGb&amp;destination=https%3A%2F%2Fwww.kohls.com%2Fsearch.jsp%3Fsubmit-search%3Dweb-regular%26search%3D37564078", "Retail Link")</f>
        <v>Retail Link</v>
      </c>
      <c r="J526" s="14" t="s">
        <v>357</v>
      </c>
      <c r="K526" s="13" t="s">
        <v>365</v>
      </c>
      <c r="L526" s="15">
        <v>8.8000000000000007</v>
      </c>
      <c r="M526" s="15">
        <v>25.65</v>
      </c>
      <c r="N526" s="15">
        <v>7.1324999999999967</v>
      </c>
      <c r="O526" s="15">
        <f>V526-M526</f>
        <v>12.54</v>
      </c>
      <c r="P526" s="16">
        <f>N526/L526</f>
        <v>0.81051136363636322</v>
      </c>
      <c r="Q526" s="14">
        <v>417814</v>
      </c>
      <c r="R526" s="14"/>
      <c r="S526" s="17">
        <v>0.81791402000000002</v>
      </c>
      <c r="T526" s="15">
        <v>25.65</v>
      </c>
      <c r="U526" s="15">
        <v>38.19</v>
      </c>
      <c r="V526" s="15">
        <v>38.19</v>
      </c>
      <c r="W526" s="14" t="s">
        <v>366</v>
      </c>
      <c r="X526" s="14">
        <v>1</v>
      </c>
      <c r="Y526" s="10">
        <f>AC526-AB526</f>
        <v>51</v>
      </c>
      <c r="Z526" s="18">
        <v>12</v>
      </c>
      <c r="AA526" s="18">
        <v>37</v>
      </c>
      <c r="AB526" s="18">
        <v>0</v>
      </c>
      <c r="AC526" s="18">
        <v>51</v>
      </c>
      <c r="AD526" s="1" t="s">
        <v>360</v>
      </c>
      <c r="AE526" s="1" t="s">
        <v>367</v>
      </c>
      <c r="AG526" s="4">
        <v>5.87</v>
      </c>
    </row>
    <row r="527" spans="1:33" ht="47.25" customHeight="1" x14ac:dyDescent="0.25">
      <c r="A527" s="10" t="s">
        <v>5245</v>
      </c>
      <c r="B527" s="11" t="s">
        <v>33</v>
      </c>
      <c r="C527" s="12" t="s">
        <v>5246</v>
      </c>
      <c r="D527" s="27"/>
      <c r="E527" s="14" t="s">
        <v>35</v>
      </c>
      <c r="F527" s="11" t="str">
        <f>HYPERLINK("https://redirect.sdcdeals.com/redirect?destination=https%3A%2F%2Fwww.amazon.com%2Fdp%2FB093G5798D%3Fth%3D1%26psc%3D1%26tag%3Dsdcdeals03-20", "Amazon Link")</f>
        <v>Amazon Link</v>
      </c>
      <c r="G527" s="11" t="s">
        <v>36</v>
      </c>
      <c r="H527" s="14" t="s">
        <v>5247</v>
      </c>
      <c r="I527" s="11" t="str">
        <f>HYPERLINK("https://redirect.sdcdeals.com/redirect?code=763034&amp;mavely=https://mavely.app.link/e/bhESV2wGrGb&amp;destination=https%3A%2F%2Fwww.kohls.com%2Fsearch.jsp%3Fsubmit-search%3Dweb-regular%26search%3D67183661", "Retail Link")</f>
        <v>Retail Link</v>
      </c>
      <c r="J527" s="14" t="s">
        <v>5206</v>
      </c>
      <c r="K527" s="13" t="s">
        <v>5248</v>
      </c>
      <c r="L527" s="15">
        <v>8.4</v>
      </c>
      <c r="M527" s="15">
        <v>21.73</v>
      </c>
      <c r="N527" s="15">
        <v>6.8005000000000013</v>
      </c>
      <c r="O527" s="15">
        <f>V527-M527</f>
        <v>0.23000000000000043</v>
      </c>
      <c r="P527" s="16">
        <f>N527/L527</f>
        <v>0.80958333333333343</v>
      </c>
      <c r="Q527" s="14">
        <v>84810</v>
      </c>
      <c r="R527" s="14"/>
      <c r="S527" s="17">
        <v>0.22046199999999999</v>
      </c>
      <c r="T527" s="15">
        <v>21.73</v>
      </c>
      <c r="U527" s="15">
        <v>29.1</v>
      </c>
      <c r="V527" s="15">
        <v>21.96</v>
      </c>
      <c r="W527" s="14" t="s">
        <v>4327</v>
      </c>
      <c r="X527" s="14">
        <v>2</v>
      </c>
      <c r="Y527" s="10">
        <f>AC527-AB527</f>
        <v>110</v>
      </c>
      <c r="Z527" s="18">
        <v>27</v>
      </c>
      <c r="AA527" s="18">
        <v>63</v>
      </c>
      <c r="AB527" s="18">
        <v>8</v>
      </c>
      <c r="AC527" s="18">
        <v>118</v>
      </c>
      <c r="AD527" s="1" t="s">
        <v>5208</v>
      </c>
      <c r="AE527" s="1" t="s">
        <v>76</v>
      </c>
      <c r="AF527" s="4">
        <v>3.69</v>
      </c>
      <c r="AG527" s="4">
        <v>3.27</v>
      </c>
    </row>
    <row r="528" spans="1:33" ht="47.25" customHeight="1" x14ac:dyDescent="0.25">
      <c r="A528" s="10" t="s">
        <v>4433</v>
      </c>
      <c r="B528" s="11" t="s">
        <v>33</v>
      </c>
      <c r="C528" s="12" t="s">
        <v>4434</v>
      </c>
      <c r="D528" s="27"/>
      <c r="E528" s="14" t="s">
        <v>35</v>
      </c>
      <c r="F528" s="11" t="str">
        <f>HYPERLINK("https://redirect.sdcdeals.com/redirect?destination=https%3A%2F%2Fwww.amazon.com%2Fdp%2FB0B1KCYQTS%3Fth%3D1%26psc%3D1%26tag%3Dsdcdeals03-20", "Amazon Link")</f>
        <v>Amazon Link</v>
      </c>
      <c r="G528" s="11" t="s">
        <v>36</v>
      </c>
      <c r="H528" s="14" t="s">
        <v>4435</v>
      </c>
      <c r="I528" s="11" t="str">
        <f>HYPERLINK("https://redirect.sdcdeals.com/redirect?code=763034&amp;mavely=https://mavely.app.link/e/bhESV2wGrGb&amp;destination=https%3A%2F%2Fwww.kohls.com%2Fsearch.jsp%3Fsubmit-search%3Dweb-regular%26search%3D68949178", "Retail Link")</f>
        <v>Retail Link</v>
      </c>
      <c r="J528" s="14" t="s">
        <v>4347</v>
      </c>
      <c r="K528" s="13" t="s">
        <v>4436</v>
      </c>
      <c r="L528" s="15">
        <v>20.847999999999999</v>
      </c>
      <c r="M528" s="15">
        <v>52.12</v>
      </c>
      <c r="N528" s="15">
        <v>16.853999999999999</v>
      </c>
      <c r="O528" s="15">
        <f>V528-M528</f>
        <v>-0.9199999999999946</v>
      </c>
      <c r="P528" s="16">
        <f>N528/L528</f>
        <v>0.80842287029930926</v>
      </c>
      <c r="Q528" s="14">
        <v>846</v>
      </c>
      <c r="R528" s="14"/>
      <c r="S528" s="17">
        <v>1.44623072</v>
      </c>
      <c r="T528" s="15"/>
      <c r="U528" s="15">
        <v>52.12</v>
      </c>
      <c r="V528" s="15">
        <v>51.2</v>
      </c>
      <c r="W528" s="14" t="s">
        <v>88</v>
      </c>
      <c r="X528" s="14">
        <v>1</v>
      </c>
      <c r="Y528" s="10">
        <f>AC528-AB528</f>
        <v>46430</v>
      </c>
      <c r="Z528" s="18">
        <v>5</v>
      </c>
      <c r="AA528" s="18">
        <v>34</v>
      </c>
      <c r="AB528" s="18">
        <v>0</v>
      </c>
      <c r="AC528" s="18">
        <v>46430</v>
      </c>
      <c r="AD528" s="1" t="s">
        <v>4355</v>
      </c>
      <c r="AE528" s="1" t="s">
        <v>4356</v>
      </c>
      <c r="AG528" s="4">
        <v>6.6</v>
      </c>
    </row>
    <row r="529" spans="1:33" ht="47.25" customHeight="1" x14ac:dyDescent="0.25">
      <c r="A529" s="10" t="s">
        <v>2218</v>
      </c>
      <c r="B529" s="11" t="s">
        <v>33</v>
      </c>
      <c r="C529" s="12" t="s">
        <v>2219</v>
      </c>
      <c r="D529" s="27"/>
      <c r="E529" s="14" t="s">
        <v>35</v>
      </c>
      <c r="F529" s="11" t="str">
        <f>HYPERLINK("https://redirect.sdcdeals.com/redirect?destination=https%3A%2F%2Fwww.amazon.com%2Fdp%2FB0BKQWNN6D%3Fth%3D1%26psc%3D1%26tag%3Dsdcdeals03-20", "Amazon Link")</f>
        <v>Amazon Link</v>
      </c>
      <c r="G529" s="11" t="s">
        <v>36</v>
      </c>
      <c r="H529" s="14" t="s">
        <v>2220</v>
      </c>
      <c r="I529" s="11" t="str">
        <f>HYPERLINK("https://redirect.sdcdeals.com/redirect?code=763034&amp;mavely=https://mavely.app.link/e/bhESV2wGrGb&amp;destination=https%3A%2F%2Fwww.kohls.com%2Fsearch.jsp%3Fsubmit-search%3Dweb-regular%26search%3D62949714", "Retail Link")</f>
        <v>Retail Link</v>
      </c>
      <c r="J529" s="14" t="s">
        <v>2210</v>
      </c>
      <c r="K529" s="13" t="s">
        <v>2221</v>
      </c>
      <c r="L529" s="15">
        <v>52.8</v>
      </c>
      <c r="M529" s="15">
        <v>129.78</v>
      </c>
      <c r="N529" s="15">
        <v>42.583000000000013</v>
      </c>
      <c r="O529" s="15">
        <f>V529-M529</f>
        <v>-45.58</v>
      </c>
      <c r="P529" s="16">
        <f>N529/L529</f>
        <v>0.80649621212121236</v>
      </c>
      <c r="Q529" s="14">
        <v>1323131</v>
      </c>
      <c r="R529" s="14"/>
      <c r="S529" s="17">
        <v>2.2707586000000002</v>
      </c>
      <c r="T529" s="15">
        <v>129.78</v>
      </c>
      <c r="U529" s="15">
        <v>84.2</v>
      </c>
      <c r="V529" s="15">
        <v>84.2</v>
      </c>
      <c r="W529" s="14" t="s">
        <v>664</v>
      </c>
      <c r="X529" s="14">
        <v>3</v>
      </c>
      <c r="Y529" s="10">
        <f>AC529-AB529</f>
        <v>8</v>
      </c>
      <c r="Z529" s="18">
        <v>8</v>
      </c>
      <c r="AA529" s="18">
        <v>36</v>
      </c>
      <c r="AB529" s="18">
        <v>0</v>
      </c>
      <c r="AC529" s="18">
        <v>8</v>
      </c>
      <c r="AD529" s="1" t="s">
        <v>2212</v>
      </c>
      <c r="AE529" s="1" t="s">
        <v>1211</v>
      </c>
      <c r="AG529" s="4">
        <v>14.93</v>
      </c>
    </row>
    <row r="530" spans="1:33" ht="47.25" customHeight="1" x14ac:dyDescent="0.25">
      <c r="A530" s="10" t="s">
        <v>2271</v>
      </c>
      <c r="B530" s="11" t="s">
        <v>33</v>
      </c>
      <c r="C530" s="12" t="s">
        <v>2272</v>
      </c>
      <c r="D530" s="27"/>
      <c r="E530" s="14" t="s">
        <v>35</v>
      </c>
      <c r="F530" s="11" t="str">
        <f>HYPERLINK("https://redirect.sdcdeals.com/redirect?destination=https%3A%2F%2Fwww.amazon.com%2Fdp%2FB0BKQYTP23%3Fth%3D1%26psc%3D1%26tag%3Dsdcdeals03-20", "Amazon Link")</f>
        <v>Amazon Link</v>
      </c>
      <c r="G530" s="11" t="s">
        <v>36</v>
      </c>
      <c r="H530" s="14" t="s">
        <v>2273</v>
      </c>
      <c r="I530" s="11" t="str">
        <f>HYPERLINK("https://redirect.sdcdeals.com/redirect?code=763034&amp;mavely=https://mavely.app.link/e/bhESV2wGrGb&amp;destination=https%3A%2F%2Fwww.kohls.com%2Fsearch.jsp%3Fsubmit-search%3Dweb-regular%26search%3D62949727", "Retail Link")</f>
        <v>Retail Link</v>
      </c>
      <c r="J530" s="14" t="s">
        <v>2210</v>
      </c>
      <c r="K530" s="13" t="s">
        <v>2274</v>
      </c>
      <c r="L530" s="15">
        <v>52.8</v>
      </c>
      <c r="M530" s="15">
        <v>129.78</v>
      </c>
      <c r="N530" s="15">
        <v>42.583000000000013</v>
      </c>
      <c r="O530" s="15">
        <f>V530-M530</f>
        <v>0.71999999999999886</v>
      </c>
      <c r="P530" s="16">
        <f>N530/L530</f>
        <v>0.80649621212121236</v>
      </c>
      <c r="Q530" s="14">
        <v>1340694</v>
      </c>
      <c r="R530" s="14"/>
      <c r="S530" s="17">
        <v>2.7601842400000001</v>
      </c>
      <c r="T530" s="15">
        <v>129.78</v>
      </c>
      <c r="U530" s="15">
        <v>115.71</v>
      </c>
      <c r="V530" s="15">
        <v>130.5</v>
      </c>
      <c r="W530" s="14" t="s">
        <v>255</v>
      </c>
      <c r="X530" s="14">
        <v>2</v>
      </c>
      <c r="Y530" s="10">
        <f>AC530-AB530</f>
        <v>6</v>
      </c>
      <c r="Z530" s="18">
        <v>6</v>
      </c>
      <c r="AA530" s="18">
        <v>30</v>
      </c>
      <c r="AB530" s="18">
        <v>1</v>
      </c>
      <c r="AC530" s="18">
        <v>7</v>
      </c>
      <c r="AD530" s="1" t="s">
        <v>2212</v>
      </c>
      <c r="AE530" s="1" t="s">
        <v>76</v>
      </c>
      <c r="AF530" s="4">
        <v>22.06</v>
      </c>
      <c r="AG530" s="4">
        <v>14.93</v>
      </c>
    </row>
    <row r="531" spans="1:33" ht="47.25" customHeight="1" x14ac:dyDescent="0.25">
      <c r="A531" s="10" t="s">
        <v>4852</v>
      </c>
      <c r="B531" s="11" t="s">
        <v>33</v>
      </c>
      <c r="C531" s="12" t="s">
        <v>4853</v>
      </c>
      <c r="D531" s="27"/>
      <c r="E531" s="14" t="s">
        <v>35</v>
      </c>
      <c r="F531" s="11" t="str">
        <f>HYPERLINK("https://redirect.sdcdeals.com/redirect?destination=https%3A%2F%2Fwww.amazon.com%2Fdp%2FB078MNTD5B%3Fth%3D1%26psc%3D1%26tag%3Dsdcdeals03-20", "Amazon Link")</f>
        <v>Amazon Link</v>
      </c>
      <c r="G531" s="11" t="s">
        <v>36</v>
      </c>
      <c r="H531" s="14" t="s">
        <v>4854</v>
      </c>
      <c r="I531" s="11" t="str">
        <f>HYPERLINK("https://redirect.sdcdeals.com/redirect?code=763034&amp;mavely=https://mavely.app.link/e/bhESV2wGrGb&amp;destination=https%3A%2F%2Fwww.kohls.com%2Fsearch.jsp%3Fsubmit-search%3Dweb-regular%26search%3D20872340", "Retail Link")</f>
        <v>Retail Link</v>
      </c>
      <c r="J531" s="14" t="s">
        <v>4843</v>
      </c>
      <c r="K531" s="13" t="s">
        <v>4855</v>
      </c>
      <c r="L531" s="15">
        <v>15.896000000000001</v>
      </c>
      <c r="M531" s="15">
        <v>40.81</v>
      </c>
      <c r="N531" s="15">
        <v>12.7425</v>
      </c>
      <c r="O531" s="15">
        <f>V531-M531</f>
        <v>14.589999999999996</v>
      </c>
      <c r="P531" s="16">
        <f>N531/L531</f>
        <v>0.80161675893306483</v>
      </c>
      <c r="Q531" s="14">
        <v>1362</v>
      </c>
      <c r="R531" s="14"/>
      <c r="S531" s="17">
        <v>1.67771582</v>
      </c>
      <c r="T531" s="15">
        <v>19.87</v>
      </c>
      <c r="U531" s="15">
        <v>57.41</v>
      </c>
      <c r="V531" s="15">
        <v>55.4</v>
      </c>
      <c r="W531" s="14" t="s">
        <v>282</v>
      </c>
      <c r="X531" s="14">
        <v>2</v>
      </c>
      <c r="Y531" s="10">
        <f>AC531-AB531</f>
        <v>968</v>
      </c>
      <c r="Z531" s="18">
        <v>56</v>
      </c>
      <c r="AA531" s="18">
        <v>107</v>
      </c>
      <c r="AB531" s="18">
        <v>13</v>
      </c>
      <c r="AC531" s="18">
        <v>981</v>
      </c>
      <c r="AD531" s="1" t="s">
        <v>4850</v>
      </c>
      <c r="AE531" s="1" t="s">
        <v>4851</v>
      </c>
      <c r="AF531" s="4">
        <v>6.94</v>
      </c>
      <c r="AG531" s="4">
        <v>6.05</v>
      </c>
    </row>
    <row r="532" spans="1:33" ht="47.25" customHeight="1" x14ac:dyDescent="0.25">
      <c r="A532" s="10" t="s">
        <v>4864</v>
      </c>
      <c r="B532" s="11" t="s">
        <v>33</v>
      </c>
      <c r="C532" s="12" t="s">
        <v>4865</v>
      </c>
      <c r="D532" s="27"/>
      <c r="E532" s="14" t="s">
        <v>35</v>
      </c>
      <c r="F532" s="11" t="str">
        <f>HYPERLINK("https://redirect.sdcdeals.com/redirect?destination=https%3A%2F%2Fwww.amazon.com%2Fdp%2FB078MNRXZD%3Fth%3D1%26psc%3D1%26tag%3Dsdcdeals03-20", "Amazon Link")</f>
        <v>Amazon Link</v>
      </c>
      <c r="G532" s="11" t="s">
        <v>36</v>
      </c>
      <c r="H532" s="14" t="s">
        <v>4866</v>
      </c>
      <c r="I532" s="11" t="str">
        <f>HYPERLINK("https://redirect.sdcdeals.com/redirect?code=763034&amp;mavely=https://mavely.app.link/e/bhESV2wGrGb&amp;destination=https%3A%2F%2Fwww.kohls.com%2Fsearch.jsp%3Fsubmit-search%3Dweb-regular%26search%3D20872343", "Retail Link")</f>
        <v>Retail Link</v>
      </c>
      <c r="J532" s="14" t="s">
        <v>4843</v>
      </c>
      <c r="K532" s="13" t="s">
        <v>4867</v>
      </c>
      <c r="L532" s="15">
        <v>15.896000000000001</v>
      </c>
      <c r="M532" s="15">
        <v>40.81</v>
      </c>
      <c r="N532" s="15">
        <v>12.7425</v>
      </c>
      <c r="O532" s="15">
        <f>V532-M532</f>
        <v>16.149999999999999</v>
      </c>
      <c r="P532" s="16">
        <f>N532/L532</f>
        <v>0.80161675893306483</v>
      </c>
      <c r="Q532" s="14">
        <v>1362</v>
      </c>
      <c r="R532" s="14"/>
      <c r="S532" s="17">
        <v>1.67771582</v>
      </c>
      <c r="T532" s="15">
        <v>19.87</v>
      </c>
      <c r="U532" s="15">
        <v>55.49</v>
      </c>
      <c r="V532" s="15">
        <v>56.96</v>
      </c>
      <c r="W532" s="14" t="s">
        <v>60</v>
      </c>
      <c r="X532" s="14">
        <v>3</v>
      </c>
      <c r="Y532" s="10">
        <f>AC532-AB532</f>
        <v>972</v>
      </c>
      <c r="Z532" s="18">
        <v>55</v>
      </c>
      <c r="AA532" s="18">
        <v>96</v>
      </c>
      <c r="AB532" s="18">
        <v>9</v>
      </c>
      <c r="AC532" s="18">
        <v>981</v>
      </c>
      <c r="AD532" s="1" t="s">
        <v>4850</v>
      </c>
      <c r="AE532" s="1" t="s">
        <v>4851</v>
      </c>
      <c r="AF532" s="4">
        <v>6.94</v>
      </c>
      <c r="AG532" s="4">
        <v>6.05</v>
      </c>
    </row>
    <row r="533" spans="1:33" ht="47.25" customHeight="1" x14ac:dyDescent="0.25">
      <c r="A533" s="10" t="s">
        <v>1481</v>
      </c>
      <c r="B533" s="11" t="s">
        <v>33</v>
      </c>
      <c r="C533" s="12" t="s">
        <v>1482</v>
      </c>
      <c r="D533" s="27"/>
      <c r="E533" s="14" t="s">
        <v>35</v>
      </c>
      <c r="F533" s="11" t="str">
        <f>HYPERLINK("https://redirect.sdcdeals.com/redirect?destination=https%3A%2F%2Fwww.amazon.com%2Fdp%2FB0CCZTNKK4%3Fth%3D1%26psc%3D1%26tag%3Dsdcdeals03-20", "Amazon Link")</f>
        <v>Amazon Link</v>
      </c>
      <c r="G533" s="11" t="s">
        <v>36</v>
      </c>
      <c r="H533" s="14" t="s">
        <v>1483</v>
      </c>
      <c r="I533" s="11" t="str">
        <f>HYPERLINK("https://redirect.sdcdeals.com/redirect?code=763034&amp;mavely=https://mavely.app.link/e/bhESV2wGrGb&amp;destination=https%3A%2F%2Fwww.kohls.com%2Fsearch.jsp%3Fsubmit-search%3Dweb-regular%26search%3D86836455", "Retail Link")</f>
        <v>Retail Link</v>
      </c>
      <c r="J533" s="14" t="s">
        <v>1471</v>
      </c>
      <c r="K533" s="13" t="s">
        <v>1472</v>
      </c>
      <c r="L533" s="15">
        <v>20.847999999999999</v>
      </c>
      <c r="M533" s="15">
        <v>51.3</v>
      </c>
      <c r="N533" s="15">
        <v>16.707000000000001</v>
      </c>
      <c r="O533" s="15">
        <f>V533-M533</f>
        <v>-0.93999999999999773</v>
      </c>
      <c r="P533" s="16">
        <f>N533/L533</f>
        <v>0.80137183422870306</v>
      </c>
      <c r="Q533" s="14">
        <v>6208</v>
      </c>
      <c r="R533" s="14"/>
      <c r="S533" s="17">
        <v>1.5498478600000001</v>
      </c>
      <c r="T533" s="15"/>
      <c r="U533" s="15">
        <v>51.3</v>
      </c>
      <c r="V533" s="15">
        <v>50.36</v>
      </c>
      <c r="W533" s="14" t="s">
        <v>106</v>
      </c>
      <c r="X533" s="14">
        <v>1</v>
      </c>
      <c r="Y533" s="10">
        <f>AC533-AB533</f>
        <v>8386</v>
      </c>
      <c r="Z533" s="18">
        <v>1</v>
      </c>
      <c r="AA533" s="18">
        <v>43</v>
      </c>
      <c r="AB533" s="18">
        <v>1</v>
      </c>
      <c r="AC533" s="18">
        <v>8387</v>
      </c>
      <c r="AD533" s="1" t="s">
        <v>1473</v>
      </c>
      <c r="AE533" s="1" t="s">
        <v>1474</v>
      </c>
      <c r="AG533" s="4">
        <v>6.05</v>
      </c>
    </row>
    <row r="534" spans="1:33" ht="47.25" customHeight="1" x14ac:dyDescent="0.25">
      <c r="A534" s="10" t="s">
        <v>3199</v>
      </c>
      <c r="B534" s="11" t="s">
        <v>33</v>
      </c>
      <c r="C534" s="12" t="s">
        <v>3200</v>
      </c>
      <c r="D534" s="27"/>
      <c r="E534" s="14" t="s">
        <v>35</v>
      </c>
      <c r="F534" s="11" t="str">
        <f>HYPERLINK("https://redirect.sdcdeals.com/redirect?destination=https%3A%2F%2Fwww.amazon.com%2Fdp%2FB0CL5RJTWQ%3Fth%3D1%26psc%3D1%26tag%3Dsdcdeals03-20", "Amazon Link")</f>
        <v>Amazon Link</v>
      </c>
      <c r="G534" s="11" t="s">
        <v>36</v>
      </c>
      <c r="H534" s="14" t="s">
        <v>3201</v>
      </c>
      <c r="I534" s="11" t="str">
        <f>HYPERLINK("https://redirect.sdcdeals.com/redirect?code=763034&amp;mavely=https://mavely.app.link/e/bhESV2wGrGb&amp;destination=https%3A%2F%2Fwww.kohls.com%2Fsearch.jsp%3Fsubmit-search%3Dweb-regular%26search%3D37530938", "Retail Link")</f>
        <v>Retail Link</v>
      </c>
      <c r="J534" s="14" t="s">
        <v>3188</v>
      </c>
      <c r="K534" s="13" t="s">
        <v>3202</v>
      </c>
      <c r="L534" s="15">
        <v>7.6000000000000014</v>
      </c>
      <c r="M534" s="15">
        <v>20.04</v>
      </c>
      <c r="N534" s="15">
        <v>6.0839999999999979</v>
      </c>
      <c r="O534" s="15">
        <f>V534-M534</f>
        <v>2.0800000000000018</v>
      </c>
      <c r="P534" s="16">
        <f>N534/L534</f>
        <v>0.8005263157894732</v>
      </c>
      <c r="Q534" s="14">
        <v>70317</v>
      </c>
      <c r="R534" s="14"/>
      <c r="S534" s="17">
        <v>0.39903622</v>
      </c>
      <c r="T534" s="15">
        <v>20.04</v>
      </c>
      <c r="U534" s="15">
        <v>20.399999999999999</v>
      </c>
      <c r="V534" s="15">
        <v>22.12</v>
      </c>
      <c r="W534" s="14" t="s">
        <v>3203</v>
      </c>
      <c r="X534" s="14">
        <v>7</v>
      </c>
      <c r="Y534" s="10">
        <f>AC534-AB534</f>
        <v>569</v>
      </c>
      <c r="Z534" s="18">
        <v>13</v>
      </c>
      <c r="AA534" s="18">
        <v>80</v>
      </c>
      <c r="AB534" s="18">
        <v>0</v>
      </c>
      <c r="AC534" s="18">
        <v>569</v>
      </c>
      <c r="AD534" s="1" t="s">
        <v>1452</v>
      </c>
      <c r="AE534" s="1" t="s">
        <v>3190</v>
      </c>
      <c r="AF534" s="4">
        <v>3.41</v>
      </c>
      <c r="AG534" s="4">
        <v>3.35</v>
      </c>
    </row>
    <row r="535" spans="1:33" ht="47.25" customHeight="1" x14ac:dyDescent="0.25">
      <c r="A535" s="10" t="s">
        <v>5818</v>
      </c>
      <c r="B535" s="11" t="s">
        <v>33</v>
      </c>
      <c r="C535" s="12" t="s">
        <v>5819</v>
      </c>
      <c r="D535" s="27"/>
      <c r="E535" s="14" t="s">
        <v>35</v>
      </c>
      <c r="F535" s="11" t="str">
        <f>HYPERLINK("https://redirect.sdcdeals.com/redirect?destination=https%3A%2F%2Fwww.amazon.com%2Fdp%2FB0BNJWP76D%3Fth%3D1%26psc%3D1%26tag%3Dsdcdeals03-20", "Amazon Link")</f>
        <v>Amazon Link</v>
      </c>
      <c r="G535" s="11" t="s">
        <v>36</v>
      </c>
      <c r="H535" s="14" t="s">
        <v>5820</v>
      </c>
      <c r="I535" s="11" t="str">
        <f>HYPERLINK("https://redirect.sdcdeals.com/redirect?code=763034&amp;mavely=https://mavely.app.link/e/bhESV2wGrGb&amp;destination=https%3A%2F%2Fwww.kohls.com%2Fsearch.jsp%3Fsubmit-search%3Dweb-regular%26search%3D27564339", "Retail Link")</f>
        <v>Retail Link</v>
      </c>
      <c r="J535" s="14" t="s">
        <v>5814</v>
      </c>
      <c r="K535" s="13" t="s">
        <v>5821</v>
      </c>
      <c r="L535" s="15">
        <v>21.6</v>
      </c>
      <c r="M535" s="15">
        <v>60.82</v>
      </c>
      <c r="N535" s="15">
        <v>17.266999999999999</v>
      </c>
      <c r="O535" s="15">
        <f>V535-M535</f>
        <v>-6.1300000000000026</v>
      </c>
      <c r="P535" s="16">
        <f>N535/L535</f>
        <v>0.79939814814814802</v>
      </c>
      <c r="Q535" s="14">
        <v>509857</v>
      </c>
      <c r="R535" s="14"/>
      <c r="S535" s="17">
        <v>2.7337288000000002</v>
      </c>
      <c r="T535" s="15">
        <v>60.82</v>
      </c>
      <c r="U535" s="15">
        <v>42.32</v>
      </c>
      <c r="V535" s="15">
        <v>54.69</v>
      </c>
      <c r="W535" s="14" t="s">
        <v>229</v>
      </c>
      <c r="X535" s="14">
        <v>1</v>
      </c>
      <c r="Y535" s="10">
        <f>AC535-AB535</f>
        <v>29</v>
      </c>
      <c r="Z535" s="18">
        <v>20</v>
      </c>
      <c r="AA535" s="18">
        <v>50</v>
      </c>
      <c r="AB535" s="18">
        <v>6</v>
      </c>
      <c r="AC535" s="18">
        <v>35</v>
      </c>
      <c r="AD535" s="1" t="s">
        <v>5816</v>
      </c>
      <c r="AE535" s="1" t="s">
        <v>5817</v>
      </c>
      <c r="AF535" s="4">
        <v>10.35</v>
      </c>
      <c r="AG535" s="4">
        <v>12.83</v>
      </c>
    </row>
    <row r="536" spans="1:33" ht="47.25" customHeight="1" x14ac:dyDescent="0.25">
      <c r="A536" s="10" t="s">
        <v>2199</v>
      </c>
      <c r="B536" s="11" t="s">
        <v>33</v>
      </c>
      <c r="C536" s="12" t="s">
        <v>2200</v>
      </c>
      <c r="D536" s="27"/>
      <c r="E536" s="14" t="s">
        <v>35</v>
      </c>
      <c r="F536" s="11" t="str">
        <f>HYPERLINK("https://redirect.sdcdeals.com/redirect?destination=https%3A%2F%2Fwww.amazon.com%2Fdp%2FB09JNGRTHN%3Fth%3D1%26psc%3D1%26tag%3Dsdcdeals03-20", "Amazon Link")</f>
        <v>Amazon Link</v>
      </c>
      <c r="G536" s="11" t="s">
        <v>36</v>
      </c>
      <c r="H536" s="14" t="s">
        <v>2201</v>
      </c>
      <c r="I536" s="11" t="str">
        <f>HYPERLINK("https://redirect.sdcdeals.com/redirect?code=763034&amp;mavely=https://mavely.app.link/e/bhESV2wGrGb&amp;destination=https%3A%2F%2Fwww.kohls.com%2Fsearch.jsp%3Fsubmit-search%3Dweb-regular%26search%3D38790675", "Retail Link")</f>
        <v>Retail Link</v>
      </c>
      <c r="J536" s="14" t="s">
        <v>2202</v>
      </c>
      <c r="K536" s="13" t="s">
        <v>2203</v>
      </c>
      <c r="L536" s="15">
        <v>7</v>
      </c>
      <c r="M536" s="15">
        <v>20.239999999999998</v>
      </c>
      <c r="N536" s="15">
        <v>5.5939999999999976</v>
      </c>
      <c r="O536" s="15">
        <f>V536-M536</f>
        <v>-0.2099999999999973</v>
      </c>
      <c r="P536" s="16">
        <f>N536/L536</f>
        <v>0.79914285714285682</v>
      </c>
      <c r="Q536" s="14">
        <v>26</v>
      </c>
      <c r="R536" s="14">
        <v>50</v>
      </c>
      <c r="S536" s="17">
        <v>0.3086468</v>
      </c>
      <c r="T536" s="15">
        <v>17.649999999999999</v>
      </c>
      <c r="U536" s="15">
        <v>20.37</v>
      </c>
      <c r="V536" s="15">
        <v>20.03</v>
      </c>
      <c r="W536" s="14" t="s">
        <v>2204</v>
      </c>
      <c r="X536" s="14">
        <v>10</v>
      </c>
      <c r="Y536" s="10">
        <f>AC536-AB536</f>
        <v>91793</v>
      </c>
      <c r="Z536" s="18">
        <v>70</v>
      </c>
      <c r="AA536" s="18">
        <v>201</v>
      </c>
      <c r="AB536" s="18">
        <v>15</v>
      </c>
      <c r="AC536" s="18">
        <v>91808</v>
      </c>
      <c r="AD536" s="1" t="s">
        <v>2205</v>
      </c>
      <c r="AE536" s="1" t="s">
        <v>2206</v>
      </c>
      <c r="AF536" s="4">
        <v>2.0299999999999998</v>
      </c>
      <c r="AG536" s="4">
        <v>4.6100000000000003</v>
      </c>
    </row>
    <row r="537" spans="1:33" ht="47.25" customHeight="1" x14ac:dyDescent="0.25">
      <c r="A537" s="10" t="s">
        <v>6044</v>
      </c>
      <c r="B537" s="11" t="s">
        <v>33</v>
      </c>
      <c r="C537" s="12" t="s">
        <v>6045</v>
      </c>
      <c r="D537" s="27"/>
      <c r="E537" s="14" t="s">
        <v>35</v>
      </c>
      <c r="F537" s="11" t="str">
        <f>HYPERLINK("https://redirect.sdcdeals.com/redirect?destination=https%3A%2F%2Fwww.amazon.com%2Fdp%2FB0BN6WDMZS%3Fth%3D1%26psc%3D1%26tag%3Dsdcdeals03-20", "Amazon Link")</f>
        <v>Amazon Link</v>
      </c>
      <c r="G537" s="11" t="s">
        <v>36</v>
      </c>
      <c r="H537" s="14" t="s">
        <v>6046</v>
      </c>
      <c r="I537" s="11" t="str">
        <f>HYPERLINK("https://redirect.sdcdeals.com/redirect?code=763034&amp;mavely=https://mavely.app.link/e/bhESV2wGrGb&amp;destination=https%3A%2F%2Fwww.kohls.com%2Fsearch.jsp%3Fsubmit-search%3Dweb-regular%26search%3D65859644", "Retail Link")</f>
        <v>Retail Link</v>
      </c>
      <c r="J537" s="14" t="s">
        <v>6040</v>
      </c>
      <c r="K537" s="13" t="s">
        <v>6047</v>
      </c>
      <c r="L537" s="15">
        <v>7.3599999999999994</v>
      </c>
      <c r="M537" s="15">
        <v>22.8</v>
      </c>
      <c r="N537" s="15">
        <v>5.879999999999999</v>
      </c>
      <c r="O537" s="15">
        <f>V537-M537</f>
        <v>-5.740000000000002</v>
      </c>
      <c r="P537" s="16">
        <f>N537/L537</f>
        <v>0.79891304347826075</v>
      </c>
      <c r="Q537" s="14">
        <v>220156</v>
      </c>
      <c r="R537" s="14"/>
      <c r="S537" s="17">
        <v>0.35273919999999997</v>
      </c>
      <c r="T537" s="15">
        <v>22.8</v>
      </c>
      <c r="U537" s="15">
        <v>22.01</v>
      </c>
      <c r="V537" s="15">
        <v>17.059999999999999</v>
      </c>
      <c r="W537" s="14" t="s">
        <v>113</v>
      </c>
      <c r="X537" s="14">
        <v>1</v>
      </c>
      <c r="Y537" s="10">
        <f>AC537-AB537</f>
        <v>39</v>
      </c>
      <c r="Z537" s="18">
        <v>22</v>
      </c>
      <c r="AA537" s="18">
        <v>59</v>
      </c>
      <c r="AB537" s="18">
        <v>0</v>
      </c>
      <c r="AC537" s="18">
        <v>39</v>
      </c>
      <c r="AD537" s="1" t="s">
        <v>6048</v>
      </c>
      <c r="AE537" s="1" t="s">
        <v>6049</v>
      </c>
      <c r="AF537" s="4">
        <v>3.88</v>
      </c>
      <c r="AG537" s="4">
        <v>6.14</v>
      </c>
    </row>
    <row r="538" spans="1:33" ht="47.25" customHeight="1" x14ac:dyDescent="0.25">
      <c r="A538" s="10" t="s">
        <v>6151</v>
      </c>
      <c r="B538" s="11" t="s">
        <v>33</v>
      </c>
      <c r="C538" s="12" t="s">
        <v>6152</v>
      </c>
      <c r="D538" s="27"/>
      <c r="E538" s="14" t="s">
        <v>35</v>
      </c>
      <c r="F538" s="11" t="str">
        <f>HYPERLINK("https://redirect.sdcdeals.com/redirect?destination=https%3A%2F%2Fwww.amazon.com%2Fdp%2FB0CL5RTZ5L%3Fth%3D1%26psc%3D1%26tag%3Dsdcdeals03-20", "Amazon Link")</f>
        <v>Amazon Link</v>
      </c>
      <c r="G538" s="11" t="s">
        <v>36</v>
      </c>
      <c r="H538" s="14" t="s">
        <v>6153</v>
      </c>
      <c r="I538" s="11" t="str">
        <f>HYPERLINK("https://redirect.sdcdeals.com/redirect?code=763034&amp;mavely=https://mavely.app.link/e/bhESV2wGrGb&amp;destination=https%3A%2F%2Fwww.kohls.com%2Fsearch.jsp%3Fsubmit-search%3Dweb-regular%26search%3D62953091", "Retail Link")</f>
        <v>Retail Link</v>
      </c>
      <c r="J538" s="14" t="s">
        <v>6148</v>
      </c>
      <c r="K538" s="13" t="s">
        <v>6154</v>
      </c>
      <c r="L538" s="15">
        <v>7.6000000000000014</v>
      </c>
      <c r="M538" s="15">
        <v>20.010000000000002</v>
      </c>
      <c r="N538" s="15">
        <v>6.0585000000000004</v>
      </c>
      <c r="O538" s="15">
        <f>V538-M538</f>
        <v>4.5499999999999972</v>
      </c>
      <c r="P538" s="16">
        <f>N538/L538</f>
        <v>0.79717105263157884</v>
      </c>
      <c r="Q538" s="14">
        <v>53837</v>
      </c>
      <c r="R538" s="14"/>
      <c r="S538" s="17">
        <v>0.39903622</v>
      </c>
      <c r="T538" s="15">
        <v>20</v>
      </c>
      <c r="U538" s="15">
        <v>21.4</v>
      </c>
      <c r="V538" s="15">
        <v>24.56</v>
      </c>
      <c r="W538" s="14" t="s">
        <v>6155</v>
      </c>
      <c r="X538" s="14">
        <v>18</v>
      </c>
      <c r="Y538" s="10">
        <f>AC538-AB538</f>
        <v>562</v>
      </c>
      <c r="Z538" s="18">
        <v>12</v>
      </c>
      <c r="AA538" s="18">
        <v>77</v>
      </c>
      <c r="AB538" s="18">
        <v>0</v>
      </c>
      <c r="AC538" s="18">
        <v>562</v>
      </c>
      <c r="AD538" s="1" t="s">
        <v>1452</v>
      </c>
      <c r="AE538" s="1" t="s">
        <v>6150</v>
      </c>
      <c r="AF538" s="4">
        <v>3.4</v>
      </c>
      <c r="AG538" s="4">
        <v>3.35</v>
      </c>
    </row>
    <row r="539" spans="1:33" ht="47.25" customHeight="1" x14ac:dyDescent="0.25">
      <c r="A539" s="10" t="s">
        <v>208</v>
      </c>
      <c r="B539" s="11" t="s">
        <v>33</v>
      </c>
      <c r="C539" s="12" t="s">
        <v>209</v>
      </c>
      <c r="D539" s="27"/>
      <c r="E539" s="14" t="s">
        <v>35</v>
      </c>
      <c r="F539" s="11" t="str">
        <f>HYPERLINK("https://redirect.sdcdeals.com/redirect?destination=https%3A%2F%2Fwww.amazon.com%2Fdp%2FB09N6DDNPP%3Fth%3D1%26psc%3D1%26tag%3Dsdcdeals03-20", "Amazon Link")</f>
        <v>Amazon Link</v>
      </c>
      <c r="G539" s="11" t="s">
        <v>36</v>
      </c>
      <c r="H539" s="14" t="s">
        <v>210</v>
      </c>
      <c r="I539" s="11" t="str">
        <f>HYPERLINK("https://redirect.sdcdeals.com/redirect?code=763034&amp;mavely=https://mavely.app.link/e/bhESV2wGrGb&amp;destination=https%3A%2F%2Fwww.kohls.com%2Fsearch.jsp%3Fsubmit-search%3Dweb-regular%26search%3D46688144", "Retail Link")</f>
        <v>Retail Link</v>
      </c>
      <c r="J539" s="14" t="s">
        <v>175</v>
      </c>
      <c r="K539" s="13" t="s">
        <v>211</v>
      </c>
      <c r="L539" s="15">
        <v>18.064</v>
      </c>
      <c r="M539" s="15">
        <v>45.94</v>
      </c>
      <c r="N539" s="15">
        <v>14.385</v>
      </c>
      <c r="O539" s="15">
        <f>V539-M539</f>
        <v>1.7600000000000051</v>
      </c>
      <c r="P539" s="16">
        <f>N539/L539</f>
        <v>0.79633525243578385</v>
      </c>
      <c r="Q539" s="14">
        <v>11310</v>
      </c>
      <c r="R539" s="14"/>
      <c r="S539" s="17">
        <v>1.543234</v>
      </c>
      <c r="T539" s="15"/>
      <c r="U539" s="15">
        <v>45.94</v>
      </c>
      <c r="V539" s="15">
        <v>47.7</v>
      </c>
      <c r="W539" s="14" t="s">
        <v>88</v>
      </c>
      <c r="X539" s="14">
        <v>1</v>
      </c>
      <c r="Y539" s="10">
        <f>AC539-AB539</f>
        <v>9763</v>
      </c>
      <c r="Z539" s="18">
        <v>5</v>
      </c>
      <c r="AA539" s="18">
        <v>77</v>
      </c>
      <c r="AB539" s="18">
        <v>0</v>
      </c>
      <c r="AC539" s="18">
        <v>9763</v>
      </c>
      <c r="AD539" s="1" t="s">
        <v>177</v>
      </c>
      <c r="AE539" s="1" t="s">
        <v>178</v>
      </c>
      <c r="AG539" s="4">
        <v>6.6</v>
      </c>
    </row>
    <row r="540" spans="1:33" ht="47.25" customHeight="1" x14ac:dyDescent="0.25">
      <c r="A540" s="10" t="s">
        <v>3209</v>
      </c>
      <c r="B540" s="11" t="s">
        <v>33</v>
      </c>
      <c r="C540" s="12" t="s">
        <v>3210</v>
      </c>
      <c r="D540" s="27"/>
      <c r="E540" s="14" t="s">
        <v>35</v>
      </c>
      <c r="F540" s="11" t="str">
        <f>HYPERLINK("https://redirect.sdcdeals.com/redirect?destination=https%3A%2F%2Fwww.amazon.com%2Fdp%2FB0CL5R932P%3Fth%3D1%26psc%3D1%26tag%3Dsdcdeals03-20", "Amazon Link")</f>
        <v>Amazon Link</v>
      </c>
      <c r="G540" s="11" t="s">
        <v>36</v>
      </c>
      <c r="H540" s="14" t="s">
        <v>3211</v>
      </c>
      <c r="I540" s="11" t="str">
        <f>HYPERLINK("https://redirect.sdcdeals.com/redirect?code=763034&amp;mavely=https://mavely.app.link/e/bhESV2wGrGb&amp;destination=https%3A%2F%2Fwww.kohls.com%2Fsearch.jsp%3Fsubmit-search%3Dweb-regular%26search%3D37530940", "Retail Link")</f>
        <v>Retail Link</v>
      </c>
      <c r="J540" s="14" t="s">
        <v>3188</v>
      </c>
      <c r="K540" s="13" t="s">
        <v>3212</v>
      </c>
      <c r="L540" s="15">
        <v>7.6000000000000014</v>
      </c>
      <c r="M540" s="15">
        <v>20</v>
      </c>
      <c r="N540" s="15">
        <v>6.0499999999999989</v>
      </c>
      <c r="O540" s="15">
        <f>V540-M540</f>
        <v>8.23</v>
      </c>
      <c r="P540" s="16">
        <f>N540/L540</f>
        <v>0.79605263157894712</v>
      </c>
      <c r="Q540" s="14">
        <v>53837</v>
      </c>
      <c r="R540" s="14"/>
      <c r="S540" s="17">
        <v>0.39903622</v>
      </c>
      <c r="T540" s="15">
        <v>20</v>
      </c>
      <c r="U540" s="15">
        <v>25.39</v>
      </c>
      <c r="V540" s="15">
        <v>28.23</v>
      </c>
      <c r="W540" s="14" t="s">
        <v>1790</v>
      </c>
      <c r="X540" s="14">
        <v>4</v>
      </c>
      <c r="Y540" s="10">
        <f>AC540-AB540</f>
        <v>567</v>
      </c>
      <c r="Z540" s="18">
        <v>12</v>
      </c>
      <c r="AA540" s="18">
        <v>78</v>
      </c>
      <c r="AB540" s="18">
        <v>2</v>
      </c>
      <c r="AC540" s="18">
        <v>569</v>
      </c>
      <c r="AD540" s="1" t="s">
        <v>1452</v>
      </c>
      <c r="AE540" s="1" t="s">
        <v>3190</v>
      </c>
      <c r="AF540" s="4">
        <v>2</v>
      </c>
      <c r="AG540" s="4">
        <v>3.35</v>
      </c>
    </row>
    <row r="541" spans="1:33" ht="47.25" hidden="1" customHeight="1" x14ac:dyDescent="0.25">
      <c r="A541" s="10" t="s">
        <v>6169</v>
      </c>
      <c r="B541" s="11" t="s">
        <v>33</v>
      </c>
      <c r="C541" s="12" t="s">
        <v>6170</v>
      </c>
      <c r="D541" s="27"/>
      <c r="E541" s="14" t="s">
        <v>35</v>
      </c>
      <c r="F541" s="11" t="str">
        <f>HYPERLINK("https://redirect.sdcdeals.com/redirect?destination=https%3A%2F%2Fwww.amazon.com%2Fdp%2FB0CL5RGBBQ%3Fth%3D1%26psc%3D1%26tag%3Dsdcdeals03-20", "Amazon Link")</f>
        <v>Amazon Link</v>
      </c>
      <c r="G541" s="11" t="s">
        <v>36</v>
      </c>
      <c r="H541" s="14" t="s">
        <v>6171</v>
      </c>
      <c r="I541" s="11" t="str">
        <f>HYPERLINK("https://redirect.sdcdeals.com/redirect?code=763034&amp;mavely=https://mavely.app.link/e/bhESV2wGrGb&amp;destination=https%3A%2F%2Fwww.kohls.com%2Fsearch.jsp%3Fsubmit-search%3Dweb-regular%26search%3D62953100", "Retail Link")</f>
        <v>Retail Link</v>
      </c>
      <c r="J541" s="14" t="s">
        <v>6148</v>
      </c>
      <c r="K541" s="13" t="s">
        <v>6172</v>
      </c>
      <c r="L541" s="15">
        <v>7.6000000000000014</v>
      </c>
      <c r="M541" s="15">
        <v>20</v>
      </c>
      <c r="N541" s="15">
        <v>6.0499999999999989</v>
      </c>
      <c r="O541" s="15">
        <f>V541-M541</f>
        <v>2.4899999999999984</v>
      </c>
      <c r="P541" s="16">
        <f>N541/L541</f>
        <v>0.79605263157894712</v>
      </c>
      <c r="Q541" s="14"/>
      <c r="R541" s="14"/>
      <c r="S541" s="17">
        <v>0.39903622</v>
      </c>
      <c r="T541" s="15">
        <v>20</v>
      </c>
      <c r="U541" s="15">
        <v>18.09</v>
      </c>
      <c r="V541" s="15">
        <v>22.49</v>
      </c>
      <c r="W541" s="14" t="s">
        <v>3076</v>
      </c>
      <c r="X541" s="14">
        <v>11</v>
      </c>
      <c r="Y541" s="10">
        <f>AC541-AB541</f>
        <v>561</v>
      </c>
      <c r="Z541" s="18">
        <v>0</v>
      </c>
      <c r="AA541" s="18">
        <v>75</v>
      </c>
      <c r="AB541" s="18">
        <v>0</v>
      </c>
      <c r="AC541" s="18">
        <v>561</v>
      </c>
      <c r="AE541" s="1" t="s">
        <v>6150</v>
      </c>
      <c r="AF541" s="4">
        <v>3.4</v>
      </c>
      <c r="AG541" s="4">
        <v>3.35</v>
      </c>
    </row>
    <row r="542" spans="1:33" ht="47.25" customHeight="1" x14ac:dyDescent="0.25">
      <c r="A542" s="10" t="s">
        <v>5799</v>
      </c>
      <c r="B542" s="11" t="s">
        <v>33</v>
      </c>
      <c r="C542" s="12" t="s">
        <v>5800</v>
      </c>
      <c r="D542" s="27"/>
      <c r="E542" s="14" t="s">
        <v>35</v>
      </c>
      <c r="F542" s="11" t="str">
        <f>HYPERLINK("https://redirect.sdcdeals.com/redirect?destination=https%3A%2F%2Fwww.amazon.com%2Fdp%2FB0BGVSCHB5%3Fth%3D1%26psc%3D1%26tag%3Dsdcdeals03-20", "Amazon Link")</f>
        <v>Amazon Link</v>
      </c>
      <c r="G542" s="11" t="s">
        <v>36</v>
      </c>
      <c r="H542" s="14" t="s">
        <v>5801</v>
      </c>
      <c r="I542" s="11" t="str">
        <f>HYPERLINK("https://redirect.sdcdeals.com/redirect?code=763034&amp;mavely=https://mavely.app.link/e/bhESV2wGrGb&amp;destination=https%3A%2F%2Fwww.kohls.com%2Fsearch.jsp%3Fsubmit-search%3Dweb-regular%26search%3D55600955", "Retail Link")</f>
        <v>Retail Link</v>
      </c>
      <c r="J542" s="14" t="s">
        <v>5788</v>
      </c>
      <c r="K542" s="13" t="s">
        <v>5802</v>
      </c>
      <c r="L542" s="15">
        <v>10.8</v>
      </c>
      <c r="M542" s="15">
        <v>29.63</v>
      </c>
      <c r="N542" s="15">
        <v>8.5654999999999966</v>
      </c>
      <c r="O542" s="15">
        <f>V542-M542</f>
        <v>10.970000000000002</v>
      </c>
      <c r="P542" s="16">
        <f>N542/L542</f>
        <v>0.79310185185185145</v>
      </c>
      <c r="Q542" s="14">
        <v>617311</v>
      </c>
      <c r="R542" s="14"/>
      <c r="S542" s="17">
        <v>0.44092399999999998</v>
      </c>
      <c r="T542" s="15">
        <v>21.68</v>
      </c>
      <c r="U542" s="15">
        <v>41.51</v>
      </c>
      <c r="V542" s="15">
        <v>40.6</v>
      </c>
      <c r="W542" s="14" t="s">
        <v>2787</v>
      </c>
      <c r="X542" s="14">
        <v>5</v>
      </c>
      <c r="Y542" s="10">
        <f>AC542-AB542</f>
        <v>0</v>
      </c>
      <c r="Z542" s="18">
        <v>16</v>
      </c>
      <c r="AA542" s="18">
        <v>56</v>
      </c>
      <c r="AB542" s="18">
        <v>0</v>
      </c>
      <c r="AC542" s="18"/>
      <c r="AD542" s="1" t="s">
        <v>5790</v>
      </c>
      <c r="AE542" s="1" t="s">
        <v>4889</v>
      </c>
      <c r="AF542" s="4">
        <v>5.04</v>
      </c>
      <c r="AG542" s="4">
        <v>5.82</v>
      </c>
    </row>
    <row r="543" spans="1:33" ht="47.25" customHeight="1" x14ac:dyDescent="0.25">
      <c r="A543" s="10" t="s">
        <v>5807</v>
      </c>
      <c r="B543" s="11" t="s">
        <v>33</v>
      </c>
      <c r="C543" s="12" t="s">
        <v>5808</v>
      </c>
      <c r="D543" s="27"/>
      <c r="E543" s="14" t="s">
        <v>35</v>
      </c>
      <c r="F543" s="11" t="str">
        <f>HYPERLINK("https://redirect.sdcdeals.com/redirect?destination=https%3A%2F%2Fwww.amazon.com%2Fdp%2FB0BGWGK25D%3Fth%3D1%26psc%3D1%26tag%3Dsdcdeals03-20", "Amazon Link")</f>
        <v>Amazon Link</v>
      </c>
      <c r="G543" s="11" t="s">
        <v>36</v>
      </c>
      <c r="H543" s="14" t="s">
        <v>5809</v>
      </c>
      <c r="I543" s="11" t="str">
        <f>HYPERLINK("https://redirect.sdcdeals.com/redirect?code=763034&amp;mavely=https://mavely.app.link/e/bhESV2wGrGb&amp;destination=https%3A%2F%2Fwww.kohls.com%2Fsearch.jsp%3Fsubmit-search%3Dweb-regular%26search%3D55600956", "Retail Link")</f>
        <v>Retail Link</v>
      </c>
      <c r="J543" s="14" t="s">
        <v>5788</v>
      </c>
      <c r="K543" s="13" t="s">
        <v>5810</v>
      </c>
      <c r="L543" s="15">
        <v>10.8</v>
      </c>
      <c r="M543" s="15">
        <v>29.63</v>
      </c>
      <c r="N543" s="15">
        <v>8.5654999999999966</v>
      </c>
      <c r="O543" s="15">
        <f>V543-M543</f>
        <v>13.440000000000001</v>
      </c>
      <c r="P543" s="16">
        <f>N543/L543</f>
        <v>0.79310185185185145</v>
      </c>
      <c r="Q543" s="14">
        <v>617311</v>
      </c>
      <c r="R543" s="14"/>
      <c r="S543" s="17">
        <v>0.52910880000000005</v>
      </c>
      <c r="T543" s="15">
        <v>21.68</v>
      </c>
      <c r="U543" s="15">
        <v>41.59</v>
      </c>
      <c r="V543" s="15">
        <v>43.07</v>
      </c>
      <c r="W543" s="14" t="s">
        <v>975</v>
      </c>
      <c r="X543" s="14">
        <v>6</v>
      </c>
      <c r="Y543" s="10">
        <f>AC543-AB543</f>
        <v>0</v>
      </c>
      <c r="Z543" s="18">
        <v>14</v>
      </c>
      <c r="AA543" s="18">
        <v>46</v>
      </c>
      <c r="AB543" s="18">
        <v>0</v>
      </c>
      <c r="AC543" s="18"/>
      <c r="AD543" s="1" t="s">
        <v>5790</v>
      </c>
      <c r="AE543" s="1" t="s">
        <v>4889</v>
      </c>
      <c r="AF543" s="4">
        <v>5.04</v>
      </c>
      <c r="AG543" s="4">
        <v>5.82</v>
      </c>
    </row>
    <row r="544" spans="1:33" ht="47.25" customHeight="1" x14ac:dyDescent="0.25">
      <c r="A544" s="10" t="s">
        <v>3458</v>
      </c>
      <c r="B544" s="11" t="s">
        <v>33</v>
      </c>
      <c r="C544" s="12" t="s">
        <v>3459</v>
      </c>
      <c r="D544" s="27"/>
      <c r="E544" s="14" t="s">
        <v>35</v>
      </c>
      <c r="F544" s="11" t="str">
        <f>HYPERLINK("https://redirect.sdcdeals.com/redirect?destination=https%3A%2F%2Fwww.amazon.com%2Fdp%2FB09B69P7HZ%3Fth%3D1%26psc%3D1%26tag%3Dsdcdeals03-20", "Amazon Link")</f>
        <v>Amazon Link</v>
      </c>
      <c r="G544" s="11" t="s">
        <v>36</v>
      </c>
      <c r="H544" s="14" t="s">
        <v>3460</v>
      </c>
      <c r="I544" s="11" t="str">
        <f>HYPERLINK("https://redirect.sdcdeals.com/redirect?code=763034&amp;mavely=https://mavely.app.link/e/bhESV2wGrGb&amp;destination=https%3A%2F%2Fwww.kohls.com%2Fsearch.jsp%3Fsubmit-search%3Dweb-regular%26search%3D49703960", "Retail Link")</f>
        <v>Retail Link</v>
      </c>
      <c r="J544" s="14" t="s">
        <v>3413</v>
      </c>
      <c r="K544" s="13" t="s">
        <v>3461</v>
      </c>
      <c r="L544" s="15">
        <v>12.48</v>
      </c>
      <c r="M544" s="15">
        <v>38.69</v>
      </c>
      <c r="N544" s="15">
        <v>9.8564999999999969</v>
      </c>
      <c r="O544" s="15">
        <f>V544-M544</f>
        <v>-1.5799999999999983</v>
      </c>
      <c r="P544" s="16">
        <f>N544/L544</f>
        <v>0.78978365384615357</v>
      </c>
      <c r="Q544" s="14">
        <v>95891</v>
      </c>
      <c r="R544" s="14"/>
      <c r="S544" s="17">
        <v>1.51898318</v>
      </c>
      <c r="T544" s="15">
        <v>38.69</v>
      </c>
      <c r="U544" s="15">
        <v>37.880000000000003</v>
      </c>
      <c r="V544" s="15">
        <v>37.11</v>
      </c>
      <c r="W544" s="14" t="s">
        <v>2238</v>
      </c>
      <c r="X544" s="14">
        <v>1</v>
      </c>
      <c r="Y544" s="10">
        <f>AC544-AB544</f>
        <v>3494</v>
      </c>
      <c r="Z544" s="18">
        <v>28</v>
      </c>
      <c r="AA544" s="18">
        <v>95</v>
      </c>
      <c r="AB544" s="18">
        <v>6</v>
      </c>
      <c r="AC544" s="18">
        <v>3500</v>
      </c>
      <c r="AD544" s="1" t="s">
        <v>1037</v>
      </c>
      <c r="AE544" s="1" t="s">
        <v>3416</v>
      </c>
      <c r="AF544" s="4">
        <v>6.58</v>
      </c>
      <c r="AG544" s="4">
        <v>10.55</v>
      </c>
    </row>
    <row r="545" spans="1:33" ht="47.25" customHeight="1" x14ac:dyDescent="0.25">
      <c r="A545" s="10" t="s">
        <v>3471</v>
      </c>
      <c r="B545" s="11" t="s">
        <v>33</v>
      </c>
      <c r="C545" s="12" t="s">
        <v>3472</v>
      </c>
      <c r="D545" s="27"/>
      <c r="E545" s="14" t="s">
        <v>35</v>
      </c>
      <c r="F545" s="11" t="str">
        <f>HYPERLINK("https://redirect.sdcdeals.com/redirect?destination=https%3A%2F%2Fwww.amazon.com%2Fdp%2FB09B69DZWL%3Fth%3D1%26psc%3D1%26tag%3Dsdcdeals03-20", "Amazon Link")</f>
        <v>Amazon Link</v>
      </c>
      <c r="G545" s="11" t="s">
        <v>36</v>
      </c>
      <c r="H545" s="14" t="s">
        <v>3473</v>
      </c>
      <c r="I545" s="11" t="str">
        <f>HYPERLINK("https://redirect.sdcdeals.com/redirect?code=763034&amp;mavely=https://mavely.app.link/e/bhESV2wGrGb&amp;destination=https%3A%2F%2Fwww.kohls.com%2Fsearch.jsp%3Fsubmit-search%3Dweb-regular%26search%3D49703961", "Retail Link")</f>
        <v>Retail Link</v>
      </c>
      <c r="J545" s="14" t="s">
        <v>3413</v>
      </c>
      <c r="K545" s="13" t="s">
        <v>3474</v>
      </c>
      <c r="L545" s="15">
        <v>12.48</v>
      </c>
      <c r="M545" s="15">
        <v>38.69</v>
      </c>
      <c r="N545" s="15">
        <v>9.8564999999999969</v>
      </c>
      <c r="O545" s="15">
        <f>V545-M545</f>
        <v>-0.22999999999999687</v>
      </c>
      <c r="P545" s="16">
        <f>N545/L545</f>
        <v>0.78978365384615357</v>
      </c>
      <c r="Q545" s="14">
        <v>95891</v>
      </c>
      <c r="R545" s="14"/>
      <c r="S545" s="17">
        <v>1.5410293799999999</v>
      </c>
      <c r="T545" s="15">
        <v>38.69</v>
      </c>
      <c r="U545" s="15">
        <v>39.979999999999997</v>
      </c>
      <c r="V545" s="15">
        <v>38.46</v>
      </c>
      <c r="W545" s="14" t="s">
        <v>870</v>
      </c>
      <c r="X545" s="14">
        <v>1</v>
      </c>
      <c r="Y545" s="10">
        <f>AC545-AB545</f>
        <v>3494</v>
      </c>
      <c r="Z545" s="18">
        <v>21</v>
      </c>
      <c r="AA545" s="18">
        <v>68</v>
      </c>
      <c r="AB545" s="18">
        <v>6</v>
      </c>
      <c r="AC545" s="18">
        <v>3500</v>
      </c>
      <c r="AD545" s="1" t="s">
        <v>1037</v>
      </c>
      <c r="AE545" s="1" t="s">
        <v>3416</v>
      </c>
      <c r="AF545" s="4">
        <v>6.58</v>
      </c>
      <c r="AG545" s="4">
        <v>10.55</v>
      </c>
    </row>
    <row r="546" spans="1:33" ht="47.25" customHeight="1" x14ac:dyDescent="0.25">
      <c r="A546" s="10" t="s">
        <v>4323</v>
      </c>
      <c r="B546" s="11" t="s">
        <v>33</v>
      </c>
      <c r="C546" s="12" t="s">
        <v>4324</v>
      </c>
      <c r="D546" s="27"/>
      <c r="E546" s="14" t="s">
        <v>35</v>
      </c>
      <c r="F546" s="11" t="str">
        <f>HYPERLINK("https://redirect.sdcdeals.com/redirect?destination=https%3A%2F%2Fwww.amazon.com%2Fdp%2FB0C8BNN2ZH%3Fth%3D1%26psc%3D1%26tag%3Dsdcdeals03-20", "Amazon Link")</f>
        <v>Amazon Link</v>
      </c>
      <c r="G546" s="11" t="s">
        <v>36</v>
      </c>
      <c r="H546" s="14" t="s">
        <v>4325</v>
      </c>
      <c r="I546" s="11" t="str">
        <f>HYPERLINK("https://redirect.sdcdeals.com/redirect?code=763034&amp;mavely=https://mavely.app.link/e/bhESV2wGrGb&amp;destination=https%3A%2F%2Fwww.kohls.com%2Fsearch.jsp%3Fsubmit-search%3Dweb-regular%26search%3D28150535", "Retail Link")</f>
        <v>Retail Link</v>
      </c>
      <c r="J546" s="14" t="s">
        <v>4310</v>
      </c>
      <c r="K546" s="13" t="s">
        <v>4326</v>
      </c>
      <c r="L546" s="15">
        <v>6.9840000000000009</v>
      </c>
      <c r="M546" s="15">
        <v>20.64</v>
      </c>
      <c r="N546" s="15">
        <v>5.5099999999999989</v>
      </c>
      <c r="O546" s="15">
        <f>V546-M546</f>
        <v>-0.55000000000000071</v>
      </c>
      <c r="P546" s="16">
        <f>N546/L546</f>
        <v>0.78894616265750261</v>
      </c>
      <c r="Q546" s="14">
        <v>263538</v>
      </c>
      <c r="R546" s="14"/>
      <c r="S546" s="17">
        <v>0.42328704</v>
      </c>
      <c r="T546" s="15"/>
      <c r="U546" s="15">
        <v>20.64</v>
      </c>
      <c r="V546" s="15">
        <v>20.09</v>
      </c>
      <c r="W546" s="14" t="s">
        <v>4327</v>
      </c>
      <c r="X546" s="14">
        <v>1</v>
      </c>
      <c r="Y546" s="10">
        <f>AC546-AB546</f>
        <v>298</v>
      </c>
      <c r="Z546" s="18">
        <v>2</v>
      </c>
      <c r="AA546" s="18">
        <v>30</v>
      </c>
      <c r="AB546" s="18">
        <v>6</v>
      </c>
      <c r="AC546" s="18">
        <v>304</v>
      </c>
      <c r="AD546" s="1" t="s">
        <v>4312</v>
      </c>
      <c r="AE546" s="1" t="s">
        <v>4313</v>
      </c>
      <c r="AG546" s="4">
        <v>5.05</v>
      </c>
    </row>
    <row r="547" spans="1:33" ht="47.25" customHeight="1" x14ac:dyDescent="0.25">
      <c r="A547" s="10" t="s">
        <v>7162</v>
      </c>
      <c r="B547" s="11" t="s">
        <v>33</v>
      </c>
      <c r="C547" s="12" t="s">
        <v>7163</v>
      </c>
      <c r="D547" s="27"/>
      <c r="E547" s="14" t="s">
        <v>35</v>
      </c>
      <c r="F547" s="11" t="str">
        <f>HYPERLINK("https://redirect.sdcdeals.com/redirect?destination=https%3A%2F%2Fwww.amazon.com%2Fdp%2FB08Z9TTYFC%3Fth%3D1%26psc%3D1%26tag%3Dsdcdeals03-20", "Amazon Link")</f>
        <v>Amazon Link</v>
      </c>
      <c r="G547" s="11" t="s">
        <v>36</v>
      </c>
      <c r="H547" s="14" t="s">
        <v>7164</v>
      </c>
      <c r="I547" s="11" t="str">
        <f>HYPERLINK("https://redirect.sdcdeals.com/redirect?code=763034&amp;mavely=https://mavely.app.link/e/bhESV2wGrGb&amp;destination=https%3A%2F%2Fwww.kohls.com%2Fsearch.jsp%3Fsubmit-search%3Dweb-regular%26search%3D49703737", "Retail Link")</f>
        <v>Retail Link</v>
      </c>
      <c r="J547" s="14" t="s">
        <v>7158</v>
      </c>
      <c r="K547" s="13" t="s">
        <v>7165</v>
      </c>
      <c r="L547" s="15">
        <v>11.52</v>
      </c>
      <c r="M547" s="15">
        <v>32.07</v>
      </c>
      <c r="N547" s="15">
        <v>9.0695000000000014</v>
      </c>
      <c r="O547" s="15">
        <f>V547-M547</f>
        <v>1.7899999999999991</v>
      </c>
      <c r="P547" s="16">
        <f>N547/L547</f>
        <v>0.78728298611111125</v>
      </c>
      <c r="Q547" s="14">
        <v>24289</v>
      </c>
      <c r="R547" s="14"/>
      <c r="S547" s="17">
        <v>1.3867059799999999</v>
      </c>
      <c r="T547" s="15">
        <v>32.07</v>
      </c>
      <c r="U547" s="15">
        <v>32.6</v>
      </c>
      <c r="V547" s="15">
        <v>33.86</v>
      </c>
      <c r="W547" s="14" t="s">
        <v>3258</v>
      </c>
      <c r="X547" s="14">
        <v>2</v>
      </c>
      <c r="Y547" s="10">
        <f>AC547-AB547</f>
        <v>2296</v>
      </c>
      <c r="Z547" s="18">
        <v>38</v>
      </c>
      <c r="AA547" s="18">
        <v>133</v>
      </c>
      <c r="AB547" s="18">
        <v>4</v>
      </c>
      <c r="AC547" s="18">
        <v>2300</v>
      </c>
      <c r="AD547" s="1" t="s">
        <v>7160</v>
      </c>
      <c r="AE547" s="1" t="s">
        <v>7161</v>
      </c>
      <c r="AF547" s="4">
        <v>5.45</v>
      </c>
      <c r="AG547" s="4">
        <v>6.67</v>
      </c>
    </row>
    <row r="548" spans="1:33" ht="47.25" customHeight="1" x14ac:dyDescent="0.25">
      <c r="A548" s="10" t="s">
        <v>7171</v>
      </c>
      <c r="B548" s="11" t="s">
        <v>33</v>
      </c>
      <c r="C548" s="12" t="s">
        <v>7172</v>
      </c>
      <c r="D548" s="27"/>
      <c r="E548" s="14" t="s">
        <v>35</v>
      </c>
      <c r="F548" s="11" t="str">
        <f>HYPERLINK("https://redirect.sdcdeals.com/redirect?destination=https%3A%2F%2Fwww.amazon.com%2Fdp%2FB08Z9L3Q6V%3Fth%3D1%26psc%3D1%26tag%3Dsdcdeals03-20", "Amazon Link")</f>
        <v>Amazon Link</v>
      </c>
      <c r="G548" s="11" t="s">
        <v>36</v>
      </c>
      <c r="H548" s="14" t="s">
        <v>7173</v>
      </c>
      <c r="I548" s="11" t="str">
        <f>HYPERLINK("https://redirect.sdcdeals.com/redirect?code=763034&amp;mavely=https://mavely.app.link/e/bhESV2wGrGb&amp;destination=https%3A%2F%2Fwww.kohls.com%2Fsearch.jsp%3Fsubmit-search%3Dweb-regular%26search%3D49703738", "Retail Link")</f>
        <v>Retail Link</v>
      </c>
      <c r="J548" s="14" t="s">
        <v>7158</v>
      </c>
      <c r="K548" s="13" t="s">
        <v>7174</v>
      </c>
      <c r="L548" s="15">
        <v>11.52</v>
      </c>
      <c r="M548" s="15">
        <v>32.07</v>
      </c>
      <c r="N548" s="15">
        <v>9.0695000000000014</v>
      </c>
      <c r="O548" s="15">
        <f>V548-M548</f>
        <v>1.8100000000000023</v>
      </c>
      <c r="P548" s="16">
        <f>N548/L548</f>
        <v>0.78728298611111125</v>
      </c>
      <c r="Q548" s="14">
        <v>24289</v>
      </c>
      <c r="R548" s="14"/>
      <c r="S548" s="17">
        <v>1.433003</v>
      </c>
      <c r="T548" s="15">
        <v>32.07</v>
      </c>
      <c r="U548" s="15">
        <v>32.659999999999997</v>
      </c>
      <c r="V548" s="15">
        <v>33.880000000000003</v>
      </c>
      <c r="W548" s="14" t="s">
        <v>598</v>
      </c>
      <c r="X548" s="14">
        <v>2</v>
      </c>
      <c r="Y548" s="10">
        <f>AC548-AB548</f>
        <v>2295</v>
      </c>
      <c r="Z548" s="18">
        <v>33</v>
      </c>
      <c r="AA548" s="18">
        <v>109</v>
      </c>
      <c r="AB548" s="18">
        <v>5</v>
      </c>
      <c r="AC548" s="18">
        <v>2300</v>
      </c>
      <c r="AD548" s="1" t="s">
        <v>7160</v>
      </c>
      <c r="AE548" s="1" t="s">
        <v>7161</v>
      </c>
      <c r="AF548" s="4">
        <v>5.45</v>
      </c>
      <c r="AG548" s="4">
        <v>6.67</v>
      </c>
    </row>
    <row r="549" spans="1:33" ht="47.25" customHeight="1" x14ac:dyDescent="0.25">
      <c r="A549" s="10" t="s">
        <v>3738</v>
      </c>
      <c r="B549" s="11" t="s">
        <v>33</v>
      </c>
      <c r="C549" s="12" t="s">
        <v>3739</v>
      </c>
      <c r="D549" s="27"/>
      <c r="E549" s="14" t="s">
        <v>35</v>
      </c>
      <c r="F549" s="11" t="str">
        <f>HYPERLINK("https://redirect.sdcdeals.com/redirect?destination=https%3A%2F%2Fwww.amazon.com%2Fdp%2FB0BS3PLYSG%3Fth%3D1%26psc%3D1%26tag%3Dsdcdeals03-20", "Amazon Link")</f>
        <v>Amazon Link</v>
      </c>
      <c r="G549" s="11" t="s">
        <v>36</v>
      </c>
      <c r="H549" s="14" t="s">
        <v>3740</v>
      </c>
      <c r="I549" s="11" t="str">
        <f>HYPERLINK("https://redirect.sdcdeals.com/redirect?code=763034&amp;mavely=https://mavely.app.link/e/bhESV2wGrGb&amp;destination=https%3A%2F%2Fwww.kohls.com%2Fsearch.jsp%3Fsubmit-search%3Dweb-regular%26search%3D65548344", "Retail Link")</f>
        <v>Retail Link</v>
      </c>
      <c r="J549" s="14" t="s">
        <v>3741</v>
      </c>
      <c r="K549" s="13" t="s">
        <v>3742</v>
      </c>
      <c r="L549" s="15">
        <v>9.6000000000000014</v>
      </c>
      <c r="M549" s="15">
        <v>27.95</v>
      </c>
      <c r="N549" s="15">
        <v>7.5574999999999974</v>
      </c>
      <c r="O549" s="15">
        <f>V549-M549</f>
        <v>-6.3099999999999987</v>
      </c>
      <c r="P549" s="16">
        <f>N549/L549</f>
        <v>0.78723958333333299</v>
      </c>
      <c r="Q549" s="14">
        <v>5266148</v>
      </c>
      <c r="R549" s="14"/>
      <c r="S549" s="17">
        <v>1.4991416</v>
      </c>
      <c r="T549" s="15">
        <v>27.95</v>
      </c>
      <c r="U549" s="15">
        <v>14.97</v>
      </c>
      <c r="V549" s="15">
        <v>21.64</v>
      </c>
      <c r="W549" s="14" t="s">
        <v>106</v>
      </c>
      <c r="X549" s="14">
        <v>2</v>
      </c>
      <c r="Y549" s="10">
        <f>AC549-AB549</f>
        <v>0</v>
      </c>
      <c r="Z549" s="18">
        <v>1</v>
      </c>
      <c r="AA549" s="18">
        <v>4</v>
      </c>
      <c r="AB549" s="18"/>
      <c r="AC549" s="18"/>
      <c r="AE549" s="1" t="s">
        <v>76</v>
      </c>
      <c r="AF549" s="4">
        <v>4.75</v>
      </c>
      <c r="AG549" s="4">
        <v>6.6</v>
      </c>
    </row>
    <row r="550" spans="1:33" ht="47.25" customHeight="1" x14ac:dyDescent="0.25">
      <c r="A550" s="10" t="s">
        <v>4403</v>
      </c>
      <c r="B550" s="11" t="s">
        <v>33</v>
      </c>
      <c r="C550" s="12" t="s">
        <v>4404</v>
      </c>
      <c r="D550" s="27"/>
      <c r="E550" s="14" t="s">
        <v>35</v>
      </c>
      <c r="F550" s="11" t="str">
        <f>HYPERLINK("https://redirect.sdcdeals.com/redirect?destination=https%3A%2F%2Fwww.amazon.com%2Fdp%2FB0B1JT3SZQ%3Fth%3D1%26psc%3D1%26tag%3Dsdcdeals03-20", "Amazon Link")</f>
        <v>Amazon Link</v>
      </c>
      <c r="G550" s="11" t="s">
        <v>36</v>
      </c>
      <c r="H550" s="14" t="s">
        <v>4405</v>
      </c>
      <c r="I550" s="11" t="str">
        <f>HYPERLINK("https://redirect.sdcdeals.com/redirect?code=763034&amp;mavely=https://mavely.app.link/e/bhESV2wGrGb&amp;destination=https%3A%2F%2Fwww.kohls.com%2Fsearch.jsp%3Fsubmit-search%3Dweb-regular%26search%3D68949108", "Retail Link")</f>
        <v>Retail Link</v>
      </c>
      <c r="J550" s="14" t="s">
        <v>4347</v>
      </c>
      <c r="K550" s="13" t="s">
        <v>4406</v>
      </c>
      <c r="L550" s="15">
        <v>20.847999999999999</v>
      </c>
      <c r="M550" s="15">
        <v>51.81</v>
      </c>
      <c r="N550" s="15">
        <v>16.380500000000001</v>
      </c>
      <c r="O550" s="15">
        <f>V550-M550</f>
        <v>-1.5300000000000011</v>
      </c>
      <c r="P550" s="16">
        <f>N550/L550</f>
        <v>0.78571085955487352</v>
      </c>
      <c r="Q550" s="14">
        <v>846</v>
      </c>
      <c r="R550" s="14"/>
      <c r="S550" s="17">
        <v>1.42859376</v>
      </c>
      <c r="T550" s="15"/>
      <c r="U550" s="15">
        <v>51.81</v>
      </c>
      <c r="V550" s="15">
        <v>50.28</v>
      </c>
      <c r="W550" s="14" t="s">
        <v>53</v>
      </c>
      <c r="X550" s="14">
        <v>1</v>
      </c>
      <c r="Y550" s="10">
        <f>AC550-AB550</f>
        <v>46465</v>
      </c>
      <c r="Z550" s="18">
        <v>10</v>
      </c>
      <c r="AA550" s="18">
        <v>33</v>
      </c>
      <c r="AB550" s="18">
        <v>0</v>
      </c>
      <c r="AC550" s="18">
        <v>46465</v>
      </c>
      <c r="AD550" s="1" t="s">
        <v>4355</v>
      </c>
      <c r="AE550" s="1" t="s">
        <v>4356</v>
      </c>
      <c r="AG550" s="4">
        <v>6.81</v>
      </c>
    </row>
    <row r="551" spans="1:33" ht="47.25" customHeight="1" x14ac:dyDescent="0.25">
      <c r="A551" s="10" t="s">
        <v>1501</v>
      </c>
      <c r="B551" s="11" t="s">
        <v>33</v>
      </c>
      <c r="C551" s="12" t="s">
        <v>1502</v>
      </c>
      <c r="D551" s="27"/>
      <c r="E551" s="14" t="s">
        <v>35</v>
      </c>
      <c r="F551" s="11" t="str">
        <f>HYPERLINK("https://redirect.sdcdeals.com/redirect?destination=https%3A%2F%2Fwww.amazon.com%2Fdp%2FB0BKR5QFBV%3Fth%3D1%26psc%3D1%26tag%3Dsdcdeals03-20", "Amazon Link")</f>
        <v>Amazon Link</v>
      </c>
      <c r="G551" s="11" t="s">
        <v>36</v>
      </c>
      <c r="H551" s="14" t="s">
        <v>1503</v>
      </c>
      <c r="I551" s="11" t="str">
        <f>HYPERLINK("https://redirect.sdcdeals.com/redirect?code=763034&amp;mavely=https://mavely.app.link/e/bhESV2wGrGb&amp;destination=https%3A%2F%2Fwww.kohls.com%2Fsearch.jsp%3Fsubmit-search%3Dweb-regular%26search%3D65850268", "Retail Link")</f>
        <v>Retail Link</v>
      </c>
      <c r="J551" s="14" t="s">
        <v>1504</v>
      </c>
      <c r="K551" s="13" t="s">
        <v>1505</v>
      </c>
      <c r="L551" s="15">
        <v>18</v>
      </c>
      <c r="M551" s="15">
        <v>44.99</v>
      </c>
      <c r="N551" s="15">
        <v>14.1015</v>
      </c>
      <c r="O551" s="15">
        <f>V551-M551</f>
        <v>5.0399999999999991</v>
      </c>
      <c r="P551" s="16">
        <f>N551/L551</f>
        <v>0.78341666666666665</v>
      </c>
      <c r="Q551" s="14">
        <v>1381077</v>
      </c>
      <c r="R551" s="14"/>
      <c r="S551" s="17">
        <v>0.76941238000000001</v>
      </c>
      <c r="T551" s="15">
        <v>44.99</v>
      </c>
      <c r="U551" s="15">
        <v>45.73</v>
      </c>
      <c r="V551" s="15">
        <v>50.03</v>
      </c>
      <c r="W551" s="14" t="s">
        <v>53</v>
      </c>
      <c r="X551" s="14">
        <v>2</v>
      </c>
      <c r="Y551" s="10">
        <f>AC551-AB551</f>
        <v>0</v>
      </c>
      <c r="Z551" s="18">
        <v>6</v>
      </c>
      <c r="AA551" s="18">
        <v>29</v>
      </c>
      <c r="AB551" s="18">
        <v>0</v>
      </c>
      <c r="AC551" s="18"/>
      <c r="AD551" s="1" t="s">
        <v>1506</v>
      </c>
      <c r="AE551" s="1" t="s">
        <v>1335</v>
      </c>
      <c r="AF551" s="4">
        <v>7.65</v>
      </c>
      <c r="AG551" s="4">
        <v>6.14</v>
      </c>
    </row>
    <row r="552" spans="1:33" ht="47.25" customHeight="1" x14ac:dyDescent="0.25">
      <c r="A552" s="10" t="s">
        <v>6164</v>
      </c>
      <c r="B552" s="11" t="s">
        <v>33</v>
      </c>
      <c r="C552" s="12" t="s">
        <v>6165</v>
      </c>
      <c r="D552" s="27"/>
      <c r="E552" s="14" t="s">
        <v>35</v>
      </c>
      <c r="F552" s="11" t="str">
        <f>HYPERLINK("https://redirect.sdcdeals.com/redirect?destination=https%3A%2F%2Fwww.amazon.com%2Fdp%2FB0CL5QLZVL%3Fth%3D1%26psc%3D1%26tag%3Dsdcdeals03-20", "Amazon Link")</f>
        <v>Amazon Link</v>
      </c>
      <c r="G552" s="11" t="s">
        <v>36</v>
      </c>
      <c r="H552" s="14" t="s">
        <v>6166</v>
      </c>
      <c r="I552" s="11" t="str">
        <f>HYPERLINK("https://redirect.sdcdeals.com/redirect?code=763034&amp;mavely=https://mavely.app.link/e/bhESV2wGrGb&amp;destination=https%3A%2F%2Fwww.kohls.com%2Fsearch.jsp%3Fsubmit-search%3Dweb-regular%26search%3D62953093", "Retail Link")</f>
        <v>Retail Link</v>
      </c>
      <c r="J552" s="14" t="s">
        <v>6148</v>
      </c>
      <c r="K552" s="13" t="s">
        <v>6167</v>
      </c>
      <c r="L552" s="15">
        <v>7.6000000000000014</v>
      </c>
      <c r="M552" s="15">
        <v>19.88</v>
      </c>
      <c r="N552" s="15">
        <v>5.9479999999999986</v>
      </c>
      <c r="O552" s="15">
        <f>V552-M552</f>
        <v>3.0800000000000018</v>
      </c>
      <c r="P552" s="16">
        <f>N552/L552</f>
        <v>0.78263157894736812</v>
      </c>
      <c r="Q552" s="14">
        <v>70317</v>
      </c>
      <c r="R552" s="14"/>
      <c r="S552" s="17">
        <v>0.39903622</v>
      </c>
      <c r="T552" s="15">
        <v>19.88</v>
      </c>
      <c r="U552" s="15">
        <v>18.41</v>
      </c>
      <c r="V552" s="15">
        <v>22.96</v>
      </c>
      <c r="W552" s="14" t="s">
        <v>6168</v>
      </c>
      <c r="X552" s="14">
        <v>17</v>
      </c>
      <c r="Y552" s="10">
        <f>AC552-AB552</f>
        <v>562</v>
      </c>
      <c r="Z552" s="18">
        <v>22</v>
      </c>
      <c r="AA552" s="18">
        <v>99</v>
      </c>
      <c r="AB552" s="18">
        <v>0</v>
      </c>
      <c r="AC552" s="18">
        <v>562</v>
      </c>
      <c r="AD552" s="1" t="s">
        <v>1452</v>
      </c>
      <c r="AE552" s="1" t="s">
        <v>6150</v>
      </c>
      <c r="AF552" s="4">
        <v>1.99</v>
      </c>
      <c r="AG552" s="4">
        <v>3.35</v>
      </c>
    </row>
    <row r="553" spans="1:33" ht="47.25" customHeight="1" x14ac:dyDescent="0.25">
      <c r="A553" s="10" t="s">
        <v>3614</v>
      </c>
      <c r="B553" s="11" t="s">
        <v>33</v>
      </c>
      <c r="C553" s="12" t="s">
        <v>3615</v>
      </c>
      <c r="D553" s="27"/>
      <c r="E553" s="14" t="s">
        <v>35</v>
      </c>
      <c r="F553" s="11" t="str">
        <f>HYPERLINK("https://redirect.sdcdeals.com/redirect?destination=https%3A%2F%2Fwww.amazon.com%2Fdp%2FB0792FQPCQ%3Fth%3D1%26psc%3D1%26tag%3Dsdcdeals03-20", "Amazon Link")</f>
        <v>Amazon Link</v>
      </c>
      <c r="G553" s="11" t="s">
        <v>36</v>
      </c>
      <c r="H553" s="14" t="s">
        <v>3616</v>
      </c>
      <c r="I553" s="11" t="str">
        <f>HYPERLINK("https://redirect.sdcdeals.com/redirect?code=763034&amp;mavely=https://mavely.app.link/e/bhESV2wGrGb&amp;destination=https%3A%2F%2Fwww.kohls.com%2Fsearch.jsp%3Fsubmit-search%3Dweb-regular%26search%3D63989896", "Retail Link")</f>
        <v>Retail Link</v>
      </c>
      <c r="J553" s="14" t="s">
        <v>3555</v>
      </c>
      <c r="K553" s="13" t="s">
        <v>3617</v>
      </c>
      <c r="L553" s="15">
        <v>10.56</v>
      </c>
      <c r="M553" s="15">
        <v>29.9</v>
      </c>
      <c r="N553" s="15">
        <v>8.2549999999999972</v>
      </c>
      <c r="O553" s="15">
        <f>V553-M553</f>
        <v>9.5300000000000011</v>
      </c>
      <c r="P553" s="16">
        <f>N553/L553</f>
        <v>0.78172348484848453</v>
      </c>
      <c r="Q553" s="14">
        <v>1878941</v>
      </c>
      <c r="R553" s="14"/>
      <c r="S553" s="17">
        <v>0.74957079999999998</v>
      </c>
      <c r="T553" s="15">
        <v>29</v>
      </c>
      <c r="U553" s="15">
        <v>32.1</v>
      </c>
      <c r="V553" s="15">
        <v>39.43</v>
      </c>
      <c r="W553" s="14" t="s">
        <v>2884</v>
      </c>
      <c r="X553" s="14">
        <v>3</v>
      </c>
      <c r="Y553" s="10">
        <f>AC553-AB553</f>
        <v>94</v>
      </c>
      <c r="Z553" s="18">
        <v>5</v>
      </c>
      <c r="AA553" s="18">
        <v>10</v>
      </c>
      <c r="AB553" s="18">
        <v>1</v>
      </c>
      <c r="AC553" s="18">
        <v>95</v>
      </c>
      <c r="AD553" s="1" t="s">
        <v>3557</v>
      </c>
      <c r="AE553" s="1" t="s">
        <v>3567</v>
      </c>
      <c r="AF553" s="4">
        <v>5.09</v>
      </c>
      <c r="AG553" s="4">
        <v>6.6</v>
      </c>
    </row>
    <row r="554" spans="1:33" ht="47.25" customHeight="1" x14ac:dyDescent="0.25">
      <c r="A554" s="10" t="s">
        <v>7179</v>
      </c>
      <c r="B554" s="11" t="s">
        <v>33</v>
      </c>
      <c r="C554" s="12" t="s">
        <v>7180</v>
      </c>
      <c r="D554" s="27"/>
      <c r="E554" s="14" t="s">
        <v>35</v>
      </c>
      <c r="F554" s="11" t="str">
        <f>HYPERLINK("https://redirect.sdcdeals.com/redirect?destination=https%3A%2F%2Fwww.amazon.com%2Fdp%2FB08ZB5FSDQ%3Fth%3D1%26psc%3D1%26tag%3Dsdcdeals03-20", "Amazon Link")</f>
        <v>Amazon Link</v>
      </c>
      <c r="G554" s="11" t="s">
        <v>36</v>
      </c>
      <c r="H554" s="14" t="s">
        <v>7181</v>
      </c>
      <c r="I554" s="11" t="str">
        <f>HYPERLINK("https://redirect.sdcdeals.com/redirect?code=763034&amp;mavely=https://mavely.app.link/e/bhESV2wGrGb&amp;destination=https%3A%2F%2Fwww.kohls.com%2Fsearch.jsp%3Fsubmit-search%3Dweb-regular%26search%3D49703742", "Retail Link")</f>
        <v>Retail Link</v>
      </c>
      <c r="J554" s="14" t="s">
        <v>7158</v>
      </c>
      <c r="K554" s="13" t="s">
        <v>7182</v>
      </c>
      <c r="L554" s="15">
        <v>11.52</v>
      </c>
      <c r="M554" s="15">
        <v>31.95</v>
      </c>
      <c r="N554" s="15">
        <v>8.9674999999999976</v>
      </c>
      <c r="O554" s="15">
        <f>V554-M554</f>
        <v>3.860000000000003</v>
      </c>
      <c r="P554" s="16">
        <f>N554/L554</f>
        <v>0.77842881944444431</v>
      </c>
      <c r="Q554" s="14">
        <v>24289</v>
      </c>
      <c r="R554" s="14"/>
      <c r="S554" s="17">
        <v>1.37347826</v>
      </c>
      <c r="T554" s="15">
        <v>31.95</v>
      </c>
      <c r="U554" s="15">
        <v>32.96</v>
      </c>
      <c r="V554" s="15">
        <v>35.81</v>
      </c>
      <c r="W554" s="14" t="s">
        <v>301</v>
      </c>
      <c r="X554" s="14">
        <v>2</v>
      </c>
      <c r="Y554" s="10">
        <f>AC554-AB554</f>
        <v>2295</v>
      </c>
      <c r="Z554" s="18">
        <v>40</v>
      </c>
      <c r="AA554" s="18">
        <v>126</v>
      </c>
      <c r="AB554" s="18">
        <v>5</v>
      </c>
      <c r="AC554" s="18">
        <v>2300</v>
      </c>
      <c r="AD554" s="1" t="s">
        <v>7160</v>
      </c>
      <c r="AE554" s="1" t="s">
        <v>7183</v>
      </c>
      <c r="AF554" s="4">
        <v>5.43</v>
      </c>
      <c r="AG554" s="4">
        <v>6.67</v>
      </c>
    </row>
    <row r="555" spans="1:33" ht="47.25" customHeight="1" x14ac:dyDescent="0.25">
      <c r="A555" s="10" t="s">
        <v>1889</v>
      </c>
      <c r="B555" s="11" t="s">
        <v>33</v>
      </c>
      <c r="C555" s="12" t="s">
        <v>1890</v>
      </c>
      <c r="D555" s="27"/>
      <c r="E555" s="14" t="s">
        <v>35</v>
      </c>
      <c r="F555" s="11" t="str">
        <f>HYPERLINK("https://redirect.sdcdeals.com/redirect?destination=https%3A%2F%2Fwww.amazon.com%2Fdp%2FB0BGVZVPNC%3Fth%3D1%26psc%3D1%26tag%3Dsdcdeals03-20", "Amazon Link")</f>
        <v>Amazon Link</v>
      </c>
      <c r="G555" s="11" t="s">
        <v>36</v>
      </c>
      <c r="H555" s="14" t="s">
        <v>1891</v>
      </c>
      <c r="I555" s="11" t="str">
        <f>HYPERLINK("https://redirect.sdcdeals.com/redirect?code=763034&amp;mavely=https://mavely.app.link/e/bhESV2wGrGb&amp;destination=https%3A%2F%2Fwww.kohls.com%2Fsearch.jsp%3Fsubmit-search%3Dweb-regular%26search%3D63445474", "Retail Link")</f>
        <v>Retail Link</v>
      </c>
      <c r="J555" s="14" t="s">
        <v>1856</v>
      </c>
      <c r="K555" s="13" t="s">
        <v>1892</v>
      </c>
      <c r="L555" s="15">
        <v>14.295999999999999</v>
      </c>
      <c r="M555" s="15">
        <v>37.96</v>
      </c>
      <c r="N555" s="15">
        <v>11.11</v>
      </c>
      <c r="O555" s="15">
        <f>V555-M555</f>
        <v>1.2199999999999989</v>
      </c>
      <c r="P555" s="16">
        <f>N555/L555</f>
        <v>0.77714045886961391</v>
      </c>
      <c r="Q555" s="14">
        <v>57946</v>
      </c>
      <c r="R555" s="14"/>
      <c r="S555" s="17">
        <v>1.0141252000000001</v>
      </c>
      <c r="T555" s="15">
        <v>37.96</v>
      </c>
      <c r="U555" s="15">
        <v>37.299999999999997</v>
      </c>
      <c r="V555" s="15">
        <v>39.18</v>
      </c>
      <c r="W555" s="14" t="s">
        <v>1893</v>
      </c>
      <c r="X555" s="14">
        <v>14</v>
      </c>
      <c r="Y555" s="10">
        <f>AC555-AB555</f>
        <v>374</v>
      </c>
      <c r="Z555" s="18">
        <v>32</v>
      </c>
      <c r="AA555" s="18">
        <v>112</v>
      </c>
      <c r="AB555" s="18">
        <v>6</v>
      </c>
      <c r="AC555" s="18">
        <v>380</v>
      </c>
      <c r="AD555" s="1" t="s">
        <v>1858</v>
      </c>
      <c r="AE555" s="1" t="s">
        <v>1865</v>
      </c>
      <c r="AF555" s="4">
        <v>6.45</v>
      </c>
      <c r="AG555" s="4">
        <v>6.86</v>
      </c>
    </row>
    <row r="556" spans="1:33" ht="47.25" customHeight="1" x14ac:dyDescent="0.25">
      <c r="A556" s="10" t="s">
        <v>2702</v>
      </c>
      <c r="B556" s="11" t="s">
        <v>33</v>
      </c>
      <c r="C556" s="12" t="s">
        <v>2703</v>
      </c>
      <c r="D556" s="27"/>
      <c r="E556" s="14" t="s">
        <v>35</v>
      </c>
      <c r="F556" s="11" t="str">
        <f>HYPERLINK("https://redirect.sdcdeals.com/redirect?destination=https%3A%2F%2Fwww.amazon.com%2Fdp%2FB0CRLJJP56%3Fth%3D1%26psc%3D1%26tag%3Dsdcdeals03-20", "Amazon Link")</f>
        <v>Amazon Link</v>
      </c>
      <c r="G556" s="11" t="s">
        <v>36</v>
      </c>
      <c r="H556" s="14" t="s">
        <v>2704</v>
      </c>
      <c r="I556" s="11" t="str">
        <f>HYPERLINK("https://redirect.sdcdeals.com/redirect?code=763034&amp;mavely=https://mavely.app.link/e/bhESV2wGrGb&amp;destination=https%3A%2F%2Fwww.kohls.com%2Fsearch.jsp%3Fsubmit-search%3Dweb-regular%26search%3D58105566", "Retail Link")</f>
        <v>Retail Link</v>
      </c>
      <c r="J556" s="14" t="s">
        <v>2705</v>
      </c>
      <c r="K556" s="13" t="s">
        <v>2706</v>
      </c>
      <c r="L556" s="15">
        <v>13.2</v>
      </c>
      <c r="M556" s="15">
        <v>34.799999999999997</v>
      </c>
      <c r="N556" s="15">
        <v>10.24</v>
      </c>
      <c r="O556" s="15">
        <f>V556-M556</f>
        <v>7.470000000000006</v>
      </c>
      <c r="P556" s="16">
        <f>N556/L556</f>
        <v>0.77575757575757587</v>
      </c>
      <c r="Q556" s="14">
        <v>97930</v>
      </c>
      <c r="R556" s="14"/>
      <c r="S556" s="17">
        <v>0.74957079999999998</v>
      </c>
      <c r="T556" s="15">
        <v>34.799999999999997</v>
      </c>
      <c r="U556" s="15">
        <v>42.07</v>
      </c>
      <c r="V556" s="15">
        <v>42.27</v>
      </c>
      <c r="W556" s="14" t="s">
        <v>199</v>
      </c>
      <c r="X556" s="14">
        <v>2</v>
      </c>
      <c r="Y556" s="10">
        <f>AC556-AB556</f>
        <v>58</v>
      </c>
      <c r="Z556" s="18">
        <v>12</v>
      </c>
      <c r="AA556" s="18">
        <v>13</v>
      </c>
      <c r="AB556" s="18">
        <v>0</v>
      </c>
      <c r="AC556" s="18">
        <v>58</v>
      </c>
      <c r="AD556" s="1" t="s">
        <v>2707</v>
      </c>
      <c r="AE556" s="1" t="s">
        <v>278</v>
      </c>
      <c r="AF556" s="4">
        <v>5.92</v>
      </c>
      <c r="AG556" s="4">
        <v>6.14</v>
      </c>
    </row>
    <row r="557" spans="1:33" ht="47.25" customHeight="1" x14ac:dyDescent="0.25">
      <c r="A557" s="10" t="s">
        <v>7155</v>
      </c>
      <c r="B557" s="11" t="s">
        <v>33</v>
      </c>
      <c r="C557" s="12" t="s">
        <v>7156</v>
      </c>
      <c r="D557" s="27"/>
      <c r="E557" s="14" t="s">
        <v>35</v>
      </c>
      <c r="F557" s="11" t="str">
        <f>HYPERLINK("https://redirect.sdcdeals.com/redirect?destination=https%3A%2F%2Fwww.amazon.com%2Fdp%2FB08Z9WY4QC%3Fth%3D1%26psc%3D1%26tag%3Dsdcdeals03-20", "Amazon Link")</f>
        <v>Amazon Link</v>
      </c>
      <c r="G557" s="11" t="s">
        <v>36</v>
      </c>
      <c r="H557" s="14" t="s">
        <v>7157</v>
      </c>
      <c r="I557" s="11" t="str">
        <f>HYPERLINK("https://redirect.sdcdeals.com/redirect?code=763034&amp;mavely=https://mavely.app.link/e/bhESV2wGrGb&amp;destination=https%3A%2F%2Fwww.kohls.com%2Fsearch.jsp%3Fsubmit-search%3Dweb-regular%26search%3D49703736", "Retail Link")</f>
        <v>Retail Link</v>
      </c>
      <c r="J557" s="14" t="s">
        <v>7158</v>
      </c>
      <c r="K557" s="13" t="s">
        <v>7159</v>
      </c>
      <c r="L557" s="15">
        <v>11.52</v>
      </c>
      <c r="M557" s="15">
        <v>32.07</v>
      </c>
      <c r="N557" s="15">
        <v>8.8795000000000002</v>
      </c>
      <c r="O557" s="15">
        <f>V557-M557</f>
        <v>1.6000000000000014</v>
      </c>
      <c r="P557" s="16">
        <f>N557/L557</f>
        <v>0.77078993055555556</v>
      </c>
      <c r="Q557" s="14">
        <v>24289</v>
      </c>
      <c r="R557" s="14"/>
      <c r="S557" s="17">
        <v>1.2808842199999999</v>
      </c>
      <c r="T557" s="15">
        <v>32.07</v>
      </c>
      <c r="U557" s="15">
        <v>32.450000000000003</v>
      </c>
      <c r="V557" s="15">
        <v>33.67</v>
      </c>
      <c r="W557" s="14" t="s">
        <v>95</v>
      </c>
      <c r="X557" s="14">
        <v>2</v>
      </c>
      <c r="Y557" s="10">
        <f>AC557-AB557</f>
        <v>2284</v>
      </c>
      <c r="Z557" s="18">
        <v>33</v>
      </c>
      <c r="AA557" s="18">
        <v>120</v>
      </c>
      <c r="AB557" s="18">
        <v>16</v>
      </c>
      <c r="AC557" s="18">
        <v>2300</v>
      </c>
      <c r="AD557" s="1" t="s">
        <v>7160</v>
      </c>
      <c r="AE557" s="1" t="s">
        <v>7161</v>
      </c>
      <c r="AF557" s="4">
        <v>5.45</v>
      </c>
      <c r="AG557" s="4">
        <v>6.86</v>
      </c>
    </row>
    <row r="558" spans="1:33" ht="47.25" customHeight="1" x14ac:dyDescent="0.25">
      <c r="A558" s="10" t="s">
        <v>3748</v>
      </c>
      <c r="B558" s="11" t="s">
        <v>33</v>
      </c>
      <c r="C558" s="12" t="s">
        <v>3749</v>
      </c>
      <c r="D558" s="27"/>
      <c r="E558" s="14" t="s">
        <v>35</v>
      </c>
      <c r="F558" s="11" t="str">
        <f>HYPERLINK("https://redirect.sdcdeals.com/redirect?destination=https%3A%2F%2Fwww.amazon.com%2Fdp%2FB0BRR51384%3Fth%3D1%26psc%3D1%26tag%3Dsdcdeals03-20", "Amazon Link")</f>
        <v>Amazon Link</v>
      </c>
      <c r="G558" s="11" t="s">
        <v>36</v>
      </c>
      <c r="H558" s="14" t="s">
        <v>3750</v>
      </c>
      <c r="I558" s="11" t="str">
        <f>HYPERLINK("https://redirect.sdcdeals.com/redirect?code=763034&amp;mavely=https://mavely.app.link/e/bhESV2wGrGb&amp;destination=https%3A%2F%2Fwww.kohls.com%2Fsearch.jsp%3Fsubmit-search%3Dweb-regular%26search%3D37703762", "Retail Link")</f>
        <v>Retail Link</v>
      </c>
      <c r="J558" s="14" t="s">
        <v>3751</v>
      </c>
      <c r="K558" s="13" t="s">
        <v>3752</v>
      </c>
      <c r="L558" s="15">
        <v>15.391999999999999</v>
      </c>
      <c r="M558" s="15">
        <v>40.29</v>
      </c>
      <c r="N558" s="15">
        <v>11.8445</v>
      </c>
      <c r="O558" s="15">
        <f>V558-M558</f>
        <v>8.7100000000000009</v>
      </c>
      <c r="P558" s="16">
        <f>N558/L558</f>
        <v>0.76952312889812891</v>
      </c>
      <c r="Q558" s="14">
        <v>276519</v>
      </c>
      <c r="R558" s="14"/>
      <c r="S558" s="17">
        <v>2.20902924</v>
      </c>
      <c r="T558" s="15">
        <v>40.29</v>
      </c>
      <c r="U558" s="15">
        <v>48.1</v>
      </c>
      <c r="V558" s="15">
        <v>49</v>
      </c>
      <c r="W558" s="14" t="s">
        <v>53</v>
      </c>
      <c r="X558" s="14">
        <v>2</v>
      </c>
      <c r="Y558" s="10">
        <f>AC558-AB558</f>
        <v>1019</v>
      </c>
      <c r="Z558" s="18">
        <v>27</v>
      </c>
      <c r="AA558" s="18">
        <v>65</v>
      </c>
      <c r="AB558" s="18">
        <v>0</v>
      </c>
      <c r="AC558" s="18">
        <v>1019</v>
      </c>
      <c r="AD558" s="1" t="s">
        <v>3753</v>
      </c>
      <c r="AE558" s="1" t="s">
        <v>3754</v>
      </c>
      <c r="AF558" s="4">
        <v>6.04</v>
      </c>
      <c r="AG558" s="4">
        <v>7.01</v>
      </c>
    </row>
    <row r="559" spans="1:33" ht="47.25" customHeight="1" x14ac:dyDescent="0.25">
      <c r="A559" s="10" t="s">
        <v>7059</v>
      </c>
      <c r="B559" s="11" t="s">
        <v>33</v>
      </c>
      <c r="C559" s="12" t="s">
        <v>7060</v>
      </c>
      <c r="D559" s="27"/>
      <c r="E559" s="14" t="s">
        <v>35</v>
      </c>
      <c r="F559" s="11" t="str">
        <f>HYPERLINK("https://redirect.sdcdeals.com/redirect?destination=https%3A%2F%2Fwww.amazon.com%2Fdp%2FB0C86TD2TJ%3Fth%3D1%26psc%3D1%26tag%3Dsdcdeals03-20", "Amazon Link")</f>
        <v>Amazon Link</v>
      </c>
      <c r="G559" s="11" t="s">
        <v>36</v>
      </c>
      <c r="H559" s="14" t="s">
        <v>7061</v>
      </c>
      <c r="I559" s="11" t="str">
        <f>HYPERLINK("https://redirect.sdcdeals.com/redirect?code=763034&amp;mavely=https://mavely.app.link/e/bhESV2wGrGb&amp;destination=https%3A%2F%2Fwww.kohls.com%2Fsearch.jsp%3Fsubmit-search%3Dweb-regular%26search%3D70986826", "Retail Link")</f>
        <v>Retail Link</v>
      </c>
      <c r="J559" s="14" t="s">
        <v>7062</v>
      </c>
      <c r="K559" s="13" t="s">
        <v>7063</v>
      </c>
      <c r="L559" s="15">
        <v>7.2</v>
      </c>
      <c r="M559" s="15">
        <v>20.399999999999999</v>
      </c>
      <c r="N559" s="15">
        <v>5.53</v>
      </c>
      <c r="O559" s="15">
        <f>V559-M559</f>
        <v>-2.389999999999997</v>
      </c>
      <c r="P559" s="16">
        <f>N559/L559</f>
        <v>0.7680555555555556</v>
      </c>
      <c r="Q559" s="14">
        <v>391381</v>
      </c>
      <c r="R559" s="14"/>
      <c r="S559" s="17">
        <v>0.37037616000000001</v>
      </c>
      <c r="T559" s="15">
        <v>19.54</v>
      </c>
      <c r="U559" s="15">
        <v>17.46</v>
      </c>
      <c r="V559" s="15">
        <v>18.010000000000002</v>
      </c>
      <c r="W559" s="14" t="s">
        <v>2099</v>
      </c>
      <c r="X559" s="14">
        <v>3</v>
      </c>
      <c r="Y559" s="10">
        <f>AC559-AB559</f>
        <v>407</v>
      </c>
      <c r="Z559" s="18">
        <v>20</v>
      </c>
      <c r="AA559" s="18">
        <v>63</v>
      </c>
      <c r="AB559" s="18">
        <v>1</v>
      </c>
      <c r="AC559" s="18">
        <v>408</v>
      </c>
      <c r="AD559" s="1" t="s">
        <v>7064</v>
      </c>
      <c r="AE559" s="1" t="s">
        <v>7065</v>
      </c>
      <c r="AF559" s="4">
        <v>3.47</v>
      </c>
      <c r="AG559" s="4">
        <v>4.6100000000000003</v>
      </c>
    </row>
    <row r="560" spans="1:33" ht="47.25" customHeight="1" x14ac:dyDescent="0.25">
      <c r="A560" s="10" t="s">
        <v>348</v>
      </c>
      <c r="B560" s="11" t="s">
        <v>33</v>
      </c>
      <c r="C560" s="12" t="s">
        <v>349</v>
      </c>
      <c r="D560" s="27"/>
      <c r="E560" s="14" t="s">
        <v>35</v>
      </c>
      <c r="F560" s="11" t="str">
        <f>HYPERLINK("https://redirect.sdcdeals.com/redirect?destination=https%3A%2F%2Fwww.amazon.com%2Fdp%2FB08N2T218K%3Fth%3D1%26psc%3D1%26tag%3Dsdcdeals03-20", "Amazon Link")</f>
        <v>Amazon Link</v>
      </c>
      <c r="G560" s="11" t="s">
        <v>36</v>
      </c>
      <c r="H560" s="14" t="s">
        <v>350</v>
      </c>
      <c r="I560" s="11" t="str">
        <f>HYPERLINK("https://redirect.sdcdeals.com/redirect?code=763034&amp;mavely=https://mavely.app.link/e/bhESV2wGrGb&amp;destination=https%3A%2F%2Fwww.kohls.com%2Fsearch.jsp%3Fsubmit-search%3Dweb-regular%26search%3D76899450", "Retail Link")</f>
        <v>Retail Link</v>
      </c>
      <c r="J560" s="14" t="s">
        <v>334</v>
      </c>
      <c r="K560" s="13" t="s">
        <v>351</v>
      </c>
      <c r="L560" s="15">
        <v>18.2</v>
      </c>
      <c r="M560" s="15">
        <v>44.99</v>
      </c>
      <c r="N560" s="15">
        <v>13.9015</v>
      </c>
      <c r="O560" s="15">
        <f>V560-M560</f>
        <v>-13.23</v>
      </c>
      <c r="P560" s="16">
        <f>N560/L560</f>
        <v>0.76381868131868136</v>
      </c>
      <c r="Q560" s="14">
        <v>111915</v>
      </c>
      <c r="R560" s="14"/>
      <c r="S560" s="17">
        <v>0.78484472000000005</v>
      </c>
      <c r="T560" s="15">
        <v>44.99</v>
      </c>
      <c r="U560" s="15">
        <v>24.6</v>
      </c>
      <c r="V560" s="15">
        <v>31.76</v>
      </c>
      <c r="W560" s="14" t="s">
        <v>352</v>
      </c>
      <c r="X560" s="14">
        <v>2</v>
      </c>
      <c r="Y560" s="10">
        <f>AC560-AB560</f>
        <v>0</v>
      </c>
      <c r="Z560" s="18">
        <v>25</v>
      </c>
      <c r="AA560" s="18">
        <v>68</v>
      </c>
      <c r="AB560" s="18">
        <v>4</v>
      </c>
      <c r="AC560" s="18">
        <v>4</v>
      </c>
      <c r="AD560" s="1" t="s">
        <v>336</v>
      </c>
      <c r="AE560" s="1" t="s">
        <v>353</v>
      </c>
      <c r="AG560" s="4">
        <v>6.14</v>
      </c>
    </row>
    <row r="561" spans="1:33" ht="47.25" customHeight="1" x14ac:dyDescent="0.25">
      <c r="A561" s="10" t="s">
        <v>3531</v>
      </c>
      <c r="B561" s="11" t="s">
        <v>33</v>
      </c>
      <c r="C561" s="12" t="s">
        <v>3532</v>
      </c>
      <c r="D561" s="27"/>
      <c r="E561" s="14" t="s">
        <v>35</v>
      </c>
      <c r="F561" s="11" t="str">
        <f>HYPERLINK("https://redirect.sdcdeals.com/redirect?destination=https%3A%2F%2Fwww.amazon.com%2Fdp%2FB0BKQY4WSS%3Fth%3D1%26psc%3D1%26tag%3Dsdcdeals03-20", "Amazon Link")</f>
        <v>Amazon Link</v>
      </c>
      <c r="G561" s="11" t="s">
        <v>36</v>
      </c>
      <c r="H561" s="14" t="s">
        <v>3533</v>
      </c>
      <c r="I561" s="11" t="str">
        <f>HYPERLINK("https://redirect.sdcdeals.com/redirect?code=763034&amp;mavely=https://mavely.app.link/e/bhESV2wGrGb&amp;destination=https%3A%2F%2Fwww.kohls.com%2Fsearch.jsp%3Fsubmit-search%3Dweb-regular%26search%3D58450435", "Retail Link")</f>
        <v>Retail Link</v>
      </c>
      <c r="J561" s="14" t="s">
        <v>3497</v>
      </c>
      <c r="K561" s="13" t="s">
        <v>3534</v>
      </c>
      <c r="L561" s="15">
        <v>24</v>
      </c>
      <c r="M561" s="15">
        <v>55.03</v>
      </c>
      <c r="N561" s="15">
        <v>18.325500000000002</v>
      </c>
      <c r="O561" s="15">
        <f>V561-M561</f>
        <v>-1.9100000000000037</v>
      </c>
      <c r="P561" s="16">
        <f>N561/L561</f>
        <v>0.76356250000000003</v>
      </c>
      <c r="Q561" s="14">
        <v>826894</v>
      </c>
      <c r="R561" s="14"/>
      <c r="S561" s="17">
        <v>0.24030357999999999</v>
      </c>
      <c r="T561" s="15">
        <v>55.03</v>
      </c>
      <c r="U561" s="15">
        <v>47.11</v>
      </c>
      <c r="V561" s="15">
        <v>53.12</v>
      </c>
      <c r="W561" s="14" t="s">
        <v>835</v>
      </c>
      <c r="X561" s="14">
        <v>2</v>
      </c>
      <c r="Y561" s="10">
        <f>AC561-AB561</f>
        <v>8</v>
      </c>
      <c r="Z561" s="18">
        <v>12</v>
      </c>
      <c r="AA561" s="18">
        <v>36</v>
      </c>
      <c r="AB561" s="18">
        <v>0</v>
      </c>
      <c r="AC561" s="18">
        <v>8</v>
      </c>
      <c r="AD561" s="1" t="s">
        <v>3499</v>
      </c>
      <c r="AE561" s="1" t="s">
        <v>3535</v>
      </c>
      <c r="AF561" s="4">
        <v>9.36</v>
      </c>
      <c r="AG561" s="4">
        <v>4.45</v>
      </c>
    </row>
    <row r="562" spans="1:33" ht="47.25" customHeight="1" x14ac:dyDescent="0.25">
      <c r="A562" s="10" t="s">
        <v>1653</v>
      </c>
      <c r="B562" s="11" t="s">
        <v>33</v>
      </c>
      <c r="C562" s="12" t="s">
        <v>1654</v>
      </c>
      <c r="D562" s="27"/>
      <c r="E562" s="14" t="s">
        <v>35</v>
      </c>
      <c r="F562" s="11" t="str">
        <f>HYPERLINK("https://redirect.sdcdeals.com/redirect?destination=https%3A%2F%2Fwww.amazon.com%2Fdp%2FB0BFVKJJXT%3Fth%3D1%26psc%3D1%26tag%3Dsdcdeals03-20", "Amazon Link")</f>
        <v>Amazon Link</v>
      </c>
      <c r="G562" s="11" t="s">
        <v>36</v>
      </c>
      <c r="H562" s="14" t="s">
        <v>1655</v>
      </c>
      <c r="I562" s="11" t="str">
        <f>HYPERLINK("https://redirect.sdcdeals.com/redirect?code=763034&amp;mavely=https://mavely.app.link/e/bhESV2wGrGb&amp;destination=https%3A%2F%2Fwww.kohls.com%2Fsearch.jsp%3Fsubmit-search%3Dweb-regular%26search%3D71786104", "Retail Link")</f>
        <v>Retail Link</v>
      </c>
      <c r="J562" s="14" t="s">
        <v>1614</v>
      </c>
      <c r="K562" s="13" t="s">
        <v>1656</v>
      </c>
      <c r="L562" s="15">
        <v>44.095999999999997</v>
      </c>
      <c r="M562" s="15">
        <v>107.08</v>
      </c>
      <c r="N562" s="15">
        <v>33.512000000000008</v>
      </c>
      <c r="O562" s="15">
        <f>V562-M562</f>
        <v>0</v>
      </c>
      <c r="P562" s="16">
        <f>N562/L562</f>
        <v>0.75997822931785219</v>
      </c>
      <c r="Q562" s="14">
        <v>2197019</v>
      </c>
      <c r="R562" s="14"/>
      <c r="S562" s="17">
        <v>1.64905576</v>
      </c>
      <c r="T562" s="15"/>
      <c r="U562" s="15"/>
      <c r="V562" s="15">
        <v>107.08</v>
      </c>
      <c r="W562" s="14" t="s">
        <v>964</v>
      </c>
      <c r="X562" s="14"/>
      <c r="Y562" s="10">
        <f>AC562-AB562</f>
        <v>0</v>
      </c>
      <c r="Z562" s="18">
        <v>1</v>
      </c>
      <c r="AA562" s="18">
        <v>2</v>
      </c>
      <c r="AB562" s="18"/>
      <c r="AC562" s="18"/>
      <c r="AD562" s="1" t="s">
        <v>1616</v>
      </c>
      <c r="AE562" s="1" t="s">
        <v>700</v>
      </c>
      <c r="AG562" s="4">
        <v>13.41</v>
      </c>
    </row>
    <row r="563" spans="1:33" ht="47.25" customHeight="1" x14ac:dyDescent="0.25">
      <c r="A563" s="10" t="s">
        <v>1599</v>
      </c>
      <c r="B563" s="11" t="s">
        <v>33</v>
      </c>
      <c r="C563" s="12" t="s">
        <v>1600</v>
      </c>
      <c r="D563" s="27"/>
      <c r="E563" s="14" t="s">
        <v>35</v>
      </c>
      <c r="F563" s="11" t="str">
        <f>HYPERLINK("https://redirect.sdcdeals.com/redirect?destination=https%3A%2F%2Fwww.amazon.com%2Fdp%2FB0BKQW4CM4%3Fth%3D1%26psc%3D1%26tag%3Dsdcdeals03-20", "Amazon Link")</f>
        <v>Amazon Link</v>
      </c>
      <c r="G563" s="11" t="s">
        <v>36</v>
      </c>
      <c r="H563" s="14" t="s">
        <v>1601</v>
      </c>
      <c r="I563" s="11" t="str">
        <f>HYPERLINK("https://redirect.sdcdeals.com/redirect?code=763034&amp;mavely=https://mavely.app.link/e/bhESV2wGrGb&amp;destination=https%3A%2F%2Fwww.kohls.com%2Fsearch.jsp%3Fsubmit-search%3Dweb-regular%26search%3D74360632", "Retail Link")</f>
        <v>Retail Link</v>
      </c>
      <c r="J563" s="14" t="s">
        <v>1602</v>
      </c>
      <c r="K563" s="13" t="s">
        <v>1603</v>
      </c>
      <c r="L563" s="15">
        <v>19.8</v>
      </c>
      <c r="M563" s="15">
        <v>48.74</v>
      </c>
      <c r="N563" s="15">
        <v>14.959</v>
      </c>
      <c r="O563" s="15">
        <f>V563-M563</f>
        <v>2.4699999999999989</v>
      </c>
      <c r="P563" s="16">
        <f>N563/L563</f>
        <v>0.75550505050505046</v>
      </c>
      <c r="Q563" s="14">
        <v>266073</v>
      </c>
      <c r="R563" s="14"/>
      <c r="S563" s="17">
        <v>1.0361714</v>
      </c>
      <c r="T563" s="15">
        <v>39.950000000000003</v>
      </c>
      <c r="U563" s="15">
        <v>47.28</v>
      </c>
      <c r="V563" s="15">
        <v>51.21</v>
      </c>
      <c r="W563" s="14" t="s">
        <v>53</v>
      </c>
      <c r="X563" s="14">
        <v>2</v>
      </c>
      <c r="Y563" s="10">
        <f>AC563-AB563</f>
        <v>18</v>
      </c>
      <c r="Z563" s="18">
        <v>10</v>
      </c>
      <c r="AA563" s="18">
        <v>38</v>
      </c>
      <c r="AB563" s="18">
        <v>1</v>
      </c>
      <c r="AC563" s="18">
        <v>19</v>
      </c>
      <c r="AD563" s="1" t="s">
        <v>1604</v>
      </c>
      <c r="AE563" s="1" t="s">
        <v>1605</v>
      </c>
      <c r="AF563" s="4">
        <v>8.2899999999999991</v>
      </c>
      <c r="AG563" s="4">
        <v>6.67</v>
      </c>
    </row>
    <row r="564" spans="1:33" ht="47.25" customHeight="1" x14ac:dyDescent="0.25">
      <c r="A564" s="10" t="s">
        <v>5538</v>
      </c>
      <c r="B564" s="11" t="s">
        <v>33</v>
      </c>
      <c r="C564" s="12" t="s">
        <v>5539</v>
      </c>
      <c r="D564" s="27"/>
      <c r="E564" s="14" t="s">
        <v>35</v>
      </c>
      <c r="F564" s="11" t="str">
        <f>HYPERLINK("https://redirect.sdcdeals.com/redirect?destination=https%3A%2F%2Fwww.amazon.com%2Fdp%2FB0B3MLWTRY%3Fth%3D1%26psc%3D1%26tag%3Dsdcdeals03-20", "Amazon Link")</f>
        <v>Amazon Link</v>
      </c>
      <c r="G564" s="11" t="s">
        <v>36</v>
      </c>
      <c r="H564" s="14" t="s">
        <v>5540</v>
      </c>
      <c r="I564" s="11" t="str">
        <f>HYPERLINK("https://redirect.sdcdeals.com/redirect?code=763034&amp;mavely=https://mavely.app.link/e/bhESV2wGrGb&amp;destination=https%3A%2F%2Fwww.kohls.com%2Fsearch.jsp%3Fsubmit-search%3Dweb-regular%26search%3D29094196", "Retail Link")</f>
        <v>Retail Link</v>
      </c>
      <c r="J564" s="14" t="s">
        <v>5541</v>
      </c>
      <c r="K564" s="13" t="s">
        <v>5542</v>
      </c>
      <c r="L564" s="15">
        <v>6.76</v>
      </c>
      <c r="M564" s="15">
        <v>19.98</v>
      </c>
      <c r="N564" s="15">
        <v>5.1029999999999998</v>
      </c>
      <c r="O564" s="15">
        <f>V564-M564</f>
        <v>2.2199999999999989</v>
      </c>
      <c r="P564" s="16">
        <f>N564/L564</f>
        <v>0.75488165680473374</v>
      </c>
      <c r="Q564" s="14">
        <v>4554941</v>
      </c>
      <c r="R564" s="14"/>
      <c r="S564" s="17">
        <v>0.31085141999999999</v>
      </c>
      <c r="T564" s="15">
        <v>19.100000000000001</v>
      </c>
      <c r="U564" s="15">
        <v>21.35</v>
      </c>
      <c r="V564" s="15">
        <v>22.2</v>
      </c>
      <c r="W564" s="14" t="s">
        <v>781</v>
      </c>
      <c r="X564" s="14">
        <v>4</v>
      </c>
      <c r="Y564" s="10">
        <f>AC564-AB564</f>
        <v>1</v>
      </c>
      <c r="Z564" s="18">
        <v>0</v>
      </c>
      <c r="AA564" s="18">
        <v>0</v>
      </c>
      <c r="AB564" s="18">
        <v>0</v>
      </c>
      <c r="AC564" s="18">
        <v>1</v>
      </c>
      <c r="AD564" s="1" t="s">
        <v>5543</v>
      </c>
      <c r="AE564" s="1" t="s">
        <v>76</v>
      </c>
      <c r="AF564" s="4">
        <v>2</v>
      </c>
      <c r="AG564" s="4">
        <v>5.12</v>
      </c>
    </row>
    <row r="565" spans="1:33" ht="47.25" customHeight="1" x14ac:dyDescent="0.25">
      <c r="A565" s="10" t="s">
        <v>4996</v>
      </c>
      <c r="B565" s="11" t="s">
        <v>33</v>
      </c>
      <c r="C565" s="12" t="s">
        <v>4997</v>
      </c>
      <c r="D565" s="27"/>
      <c r="E565" s="14" t="s">
        <v>35</v>
      </c>
      <c r="F565" s="11" t="str">
        <f>HYPERLINK("https://redirect.sdcdeals.com/redirect?destination=https%3A%2F%2Fwww.amazon.com%2Fdp%2FB0B1KBWCCK%3Fth%3D1%26psc%3D1%26tag%3Dsdcdeals03-20", "Amazon Link")</f>
        <v>Amazon Link</v>
      </c>
      <c r="G565" s="11" t="s">
        <v>36</v>
      </c>
      <c r="H565" s="14" t="s">
        <v>4998</v>
      </c>
      <c r="I565" s="11" t="str">
        <f>HYPERLINK("https://redirect.sdcdeals.com/redirect?code=763034&amp;mavely=https://mavely.app.link/e/bhESV2wGrGb&amp;destination=https%3A%2F%2Fwww.kohls.com%2Fsearch.jsp%3Fsubmit-search%3Dweb-regular%26search%3D82007968", "Retail Link")</f>
        <v>Retail Link</v>
      </c>
      <c r="J565" s="14" t="s">
        <v>4992</v>
      </c>
      <c r="K565" s="13" t="s">
        <v>4999</v>
      </c>
      <c r="L565" s="15">
        <v>20.847999999999999</v>
      </c>
      <c r="M565" s="15">
        <v>52.12</v>
      </c>
      <c r="N565" s="15">
        <v>15.734</v>
      </c>
      <c r="O565" s="15">
        <f>V565-M565</f>
        <v>-0.82999999999999829</v>
      </c>
      <c r="P565" s="16">
        <f>N565/L565</f>
        <v>0.75470069071373758</v>
      </c>
      <c r="Q565" s="14">
        <v>135514</v>
      </c>
      <c r="R565" s="14"/>
      <c r="S565" s="17">
        <v>1.0493991199999999</v>
      </c>
      <c r="T565" s="15">
        <v>52.12</v>
      </c>
      <c r="U565" s="15">
        <v>51.22</v>
      </c>
      <c r="V565" s="15">
        <v>51.29</v>
      </c>
      <c r="W565" s="14" t="s">
        <v>959</v>
      </c>
      <c r="X565" s="14">
        <v>1</v>
      </c>
      <c r="Y565" s="10">
        <f>AC565-AB565</f>
        <v>77</v>
      </c>
      <c r="Z565" s="18">
        <v>21</v>
      </c>
      <c r="AA565" s="18">
        <v>55</v>
      </c>
      <c r="AB565" s="18">
        <v>1</v>
      </c>
      <c r="AC565" s="18">
        <v>78</v>
      </c>
      <c r="AD565" s="1" t="s">
        <v>5000</v>
      </c>
      <c r="AE565" s="1" t="s">
        <v>5001</v>
      </c>
      <c r="AF565" s="4">
        <v>8.86</v>
      </c>
      <c r="AG565" s="4">
        <v>7.72</v>
      </c>
    </row>
    <row r="566" spans="1:33" ht="47.25" customHeight="1" x14ac:dyDescent="0.25">
      <c r="A566" s="10" t="s">
        <v>3945</v>
      </c>
      <c r="B566" s="11" t="s">
        <v>33</v>
      </c>
      <c r="C566" s="12" t="s">
        <v>3946</v>
      </c>
      <c r="D566" s="27"/>
      <c r="E566" s="14" t="s">
        <v>35</v>
      </c>
      <c r="F566" s="11" t="str">
        <f>HYPERLINK("https://redirect.sdcdeals.com/redirect?destination=https%3A%2F%2Fwww.amazon.com%2Fdp%2FB0BZDWLWZR%3Fth%3D1%26psc%3D1%26tag%3Dsdcdeals03-20", "Amazon Link")</f>
        <v>Amazon Link</v>
      </c>
      <c r="G566" s="11" t="s">
        <v>36</v>
      </c>
      <c r="H566" s="14" t="s">
        <v>3947</v>
      </c>
      <c r="I566" s="11" t="str">
        <f>HYPERLINK("https://redirect.sdcdeals.com/redirect?code=763034&amp;mavely=https://mavely.app.link/e/bhESV2wGrGb&amp;destination=https%3A%2F%2Fwww.kohls.com%2Fsearch.jsp%3Fsubmit-search%3Dweb-regular%26search%3D18760702", "Retail Link")</f>
        <v>Retail Link</v>
      </c>
      <c r="J566" s="14" t="s">
        <v>3942</v>
      </c>
      <c r="K566" s="13" t="s">
        <v>3948</v>
      </c>
      <c r="L566" s="15">
        <v>12.48</v>
      </c>
      <c r="M566" s="15">
        <v>38.619999999999997</v>
      </c>
      <c r="N566" s="15">
        <v>9.416999999999998</v>
      </c>
      <c r="O566" s="15">
        <f>V566-M566</f>
        <v>2.9000000000000057</v>
      </c>
      <c r="P566" s="16">
        <f>N566/L566</f>
        <v>0.75456730769230751</v>
      </c>
      <c r="Q566" s="14">
        <v>99860</v>
      </c>
      <c r="R566" s="14"/>
      <c r="S566" s="17">
        <v>1.4793000199999999</v>
      </c>
      <c r="T566" s="15">
        <v>38.619999999999997</v>
      </c>
      <c r="U566" s="15">
        <v>40.130000000000003</v>
      </c>
      <c r="V566" s="15">
        <v>41.52</v>
      </c>
      <c r="W566" s="14" t="s">
        <v>875</v>
      </c>
      <c r="X566" s="14">
        <v>1</v>
      </c>
      <c r="Y566" s="10">
        <f>AC566-AB566</f>
        <v>823</v>
      </c>
      <c r="Z566" s="18">
        <v>27</v>
      </c>
      <c r="AA566" s="18">
        <v>83</v>
      </c>
      <c r="AB566" s="18">
        <v>0</v>
      </c>
      <c r="AC566" s="18">
        <v>823</v>
      </c>
      <c r="AD566" s="1" t="s">
        <v>2991</v>
      </c>
      <c r="AE566" s="1" t="s">
        <v>3949</v>
      </c>
      <c r="AF566" s="4">
        <v>6.57</v>
      </c>
      <c r="AG566" s="4">
        <v>10.93</v>
      </c>
    </row>
    <row r="567" spans="1:33" ht="47.25" customHeight="1" x14ac:dyDescent="0.25">
      <c r="A567" s="10" t="s">
        <v>2588</v>
      </c>
      <c r="B567" s="11" t="s">
        <v>33</v>
      </c>
      <c r="C567" s="12" t="s">
        <v>2589</v>
      </c>
      <c r="D567" s="27"/>
      <c r="E567" s="14" t="s">
        <v>35</v>
      </c>
      <c r="F567" s="11" t="str">
        <f>HYPERLINK("https://redirect.sdcdeals.com/redirect?destination=https%3A%2F%2Fwww.amazon.com%2Fdp%2FB09Y2BNCM7%3Fth%3D1%26psc%3D1%26tag%3Dsdcdeals03-20", "Amazon Link")</f>
        <v>Amazon Link</v>
      </c>
      <c r="G567" s="11" t="s">
        <v>36</v>
      </c>
      <c r="H567" s="14" t="s">
        <v>2590</v>
      </c>
      <c r="I567" s="11" t="str">
        <f>HYPERLINK("https://redirect.sdcdeals.com/redirect?code=763034&amp;mavely=https://mavely.app.link/e/bhESV2wGrGb&amp;destination=https%3A%2F%2Fwww.kohls.com%2Fsearch.jsp%3Fsubmit-search%3Dweb-regular%26search%3D73547776", "Retail Link")</f>
        <v>Retail Link</v>
      </c>
      <c r="J567" s="14" t="s">
        <v>2570</v>
      </c>
      <c r="K567" s="13" t="s">
        <v>2591</v>
      </c>
      <c r="L567" s="15">
        <v>7.6959999999999997</v>
      </c>
      <c r="M567" s="15">
        <v>23</v>
      </c>
      <c r="N567" s="15">
        <v>5.8040000000000003</v>
      </c>
      <c r="O567" s="15">
        <f>V567-M567</f>
        <v>-3.2800000000000011</v>
      </c>
      <c r="P567" s="16">
        <f>N567/L567</f>
        <v>0.75415800415800427</v>
      </c>
      <c r="Q567" s="14">
        <v>127440</v>
      </c>
      <c r="R567" s="14"/>
      <c r="S567" s="17">
        <v>0.54895037999999996</v>
      </c>
      <c r="T567" s="15">
        <v>23</v>
      </c>
      <c r="U567" s="15">
        <v>17.07</v>
      </c>
      <c r="V567" s="15">
        <v>19.72</v>
      </c>
      <c r="W567" s="14" t="s">
        <v>1143</v>
      </c>
      <c r="X567" s="14">
        <v>3</v>
      </c>
      <c r="Y567" s="10">
        <f>AC567-AB567</f>
        <v>389</v>
      </c>
      <c r="Z567" s="18">
        <v>24</v>
      </c>
      <c r="AA567" s="18">
        <v>81</v>
      </c>
      <c r="AB567" s="18">
        <v>10</v>
      </c>
      <c r="AC567" s="18">
        <v>399</v>
      </c>
      <c r="AD567" s="1" t="s">
        <v>2573</v>
      </c>
      <c r="AE567" s="1" t="s">
        <v>76</v>
      </c>
      <c r="AG567" s="4">
        <v>6.05</v>
      </c>
    </row>
    <row r="568" spans="1:33" ht="47.25" customHeight="1" x14ac:dyDescent="0.25">
      <c r="A568" s="10" t="s">
        <v>1636</v>
      </c>
      <c r="B568" s="11" t="s">
        <v>33</v>
      </c>
      <c r="C568" s="12" t="s">
        <v>1637</v>
      </c>
      <c r="D568" s="27"/>
      <c r="E568" s="14" t="s">
        <v>35</v>
      </c>
      <c r="F568" s="11" t="str">
        <f>HYPERLINK("https://redirect.sdcdeals.com/redirect?destination=https%3A%2F%2Fwww.amazon.com%2Fdp%2FB0BFTK1FB3%3Fth%3D1%26psc%3D1%26tag%3Dsdcdeals03-20", "Amazon Link")</f>
        <v>Amazon Link</v>
      </c>
      <c r="G568" s="11" t="s">
        <v>36</v>
      </c>
      <c r="H568" s="14" t="s">
        <v>1638</v>
      </c>
      <c r="I568" s="11" t="str">
        <f>HYPERLINK("https://redirect.sdcdeals.com/redirect?code=763034&amp;mavely=https://mavely.app.link/e/bhESV2wGrGb&amp;destination=https%3A%2F%2Fwww.kohls.com%2Fsearch.jsp%3Fsubmit-search%3Dweb-regular%26search%3D71786077", "Retail Link")</f>
        <v>Retail Link</v>
      </c>
      <c r="J568" s="14" t="s">
        <v>1614</v>
      </c>
      <c r="K568" s="13" t="s">
        <v>1639</v>
      </c>
      <c r="L568" s="15">
        <v>44.095999999999997</v>
      </c>
      <c r="M568" s="15">
        <v>110.43</v>
      </c>
      <c r="N568" s="15">
        <v>32.939500000000002</v>
      </c>
      <c r="O568" s="15">
        <f>V568-M568</f>
        <v>0</v>
      </c>
      <c r="P568" s="16">
        <f>N568/L568</f>
        <v>0.7469951923076924</v>
      </c>
      <c r="Q568" s="14">
        <v>2197019</v>
      </c>
      <c r="R568" s="14"/>
      <c r="S568" s="17">
        <v>1.64905576</v>
      </c>
      <c r="T568" s="15"/>
      <c r="U568" s="15"/>
      <c r="V568" s="15">
        <v>110.43</v>
      </c>
      <c r="W568" s="14" t="s">
        <v>396</v>
      </c>
      <c r="X568" s="14"/>
      <c r="Y568" s="10">
        <f>AC568-AB568</f>
        <v>0</v>
      </c>
      <c r="Z568" s="18">
        <v>0</v>
      </c>
      <c r="AA568" s="18">
        <v>0</v>
      </c>
      <c r="AB568" s="18"/>
      <c r="AC568" s="18"/>
      <c r="AD568" s="1" t="s">
        <v>1616</v>
      </c>
      <c r="AE568" s="1" t="s">
        <v>1627</v>
      </c>
      <c r="AG568" s="4">
        <v>16.829999999999998</v>
      </c>
    </row>
    <row r="569" spans="1:33" ht="47.25" customHeight="1" x14ac:dyDescent="0.25">
      <c r="A569" s="10" t="s">
        <v>5021</v>
      </c>
      <c r="B569" s="11" t="s">
        <v>33</v>
      </c>
      <c r="C569" s="12" t="s">
        <v>5022</v>
      </c>
      <c r="D569" s="27"/>
      <c r="E569" s="14" t="s">
        <v>35</v>
      </c>
      <c r="F569" s="11" t="str">
        <f>HYPERLINK("https://redirect.sdcdeals.com/redirect?destination=https%3A%2F%2Fwww.amazon.com%2Fdp%2FB088P446DD%3Fth%3D1%26psc%3D1%26tag%3Dsdcdeals03-20", "Amazon Link")</f>
        <v>Amazon Link</v>
      </c>
      <c r="G569" s="11" t="s">
        <v>36</v>
      </c>
      <c r="H569" s="14" t="s">
        <v>5023</v>
      </c>
      <c r="I569" s="11" t="str">
        <f>HYPERLINK("https://redirect.sdcdeals.com/redirect?code=763034&amp;mavely=https://mavely.app.link/e/bhESV2wGrGb&amp;destination=https%3A%2F%2Fwww.kohls.com%2Fsearch.jsp%3Fsubmit-search%3Dweb-regular%26search%3D75104123", "Retail Link")</f>
        <v>Retail Link</v>
      </c>
      <c r="J569" s="14" t="s">
        <v>5013</v>
      </c>
      <c r="K569" s="13" t="s">
        <v>5024</v>
      </c>
      <c r="L569" s="15">
        <v>16.8</v>
      </c>
      <c r="M569" s="15">
        <v>39.99</v>
      </c>
      <c r="N569" s="15">
        <v>12.5215</v>
      </c>
      <c r="O569" s="15">
        <f>V569-M569</f>
        <v>-1.7199999999999989</v>
      </c>
      <c r="P569" s="16">
        <f>N569/L569</f>
        <v>0.74532738095238094</v>
      </c>
      <c r="Q569" s="14">
        <v>1275753</v>
      </c>
      <c r="R569" s="14"/>
      <c r="S569" s="17">
        <v>0.35273919999999997</v>
      </c>
      <c r="T569" s="15">
        <v>39.99</v>
      </c>
      <c r="U569" s="15">
        <v>45.26</v>
      </c>
      <c r="V569" s="15">
        <v>38.270000000000003</v>
      </c>
      <c r="W569" s="14" t="s">
        <v>1579</v>
      </c>
      <c r="X569" s="14">
        <v>4</v>
      </c>
      <c r="Y569" s="10">
        <f>AC569-AB569</f>
        <v>17</v>
      </c>
      <c r="Z569" s="18">
        <v>6</v>
      </c>
      <c r="AA569" s="18">
        <v>32</v>
      </c>
      <c r="AB569" s="18">
        <v>4</v>
      </c>
      <c r="AC569" s="18">
        <v>21</v>
      </c>
      <c r="AD569" s="1" t="s">
        <v>5015</v>
      </c>
      <c r="AE569" s="1" t="s">
        <v>278</v>
      </c>
      <c r="AG569" s="4">
        <v>4.67</v>
      </c>
    </row>
    <row r="570" spans="1:33" ht="47.25" customHeight="1" x14ac:dyDescent="0.25">
      <c r="A570" s="10" t="s">
        <v>4421</v>
      </c>
      <c r="B570" s="11" t="s">
        <v>33</v>
      </c>
      <c r="C570" s="12" t="s">
        <v>4422</v>
      </c>
      <c r="D570" s="27"/>
      <c r="E570" s="14" t="s">
        <v>35</v>
      </c>
      <c r="F570" s="11" t="str">
        <f>HYPERLINK("https://redirect.sdcdeals.com/redirect?destination=https%3A%2F%2Fwww.amazon.com%2Fdp%2FB0B1K9XLPQ%3Fth%3D1%26psc%3D1%26tag%3Dsdcdeals03-20", "Amazon Link")</f>
        <v>Amazon Link</v>
      </c>
      <c r="G570" s="11" t="s">
        <v>36</v>
      </c>
      <c r="H570" s="14" t="s">
        <v>4423</v>
      </c>
      <c r="I570" s="11" t="str">
        <f>HYPERLINK("https://redirect.sdcdeals.com/redirect?code=763034&amp;mavely=https://mavely.app.link/e/bhESV2wGrGb&amp;destination=https%3A%2F%2Fwww.kohls.com%2Fsearch.jsp%3Fsubmit-search%3Dweb-regular%26search%3D68949158", "Retail Link")</f>
        <v>Retail Link</v>
      </c>
      <c r="J570" s="14" t="s">
        <v>4347</v>
      </c>
      <c r="K570" s="13" t="s">
        <v>4424</v>
      </c>
      <c r="L570" s="15">
        <v>20.847999999999999</v>
      </c>
      <c r="M570" s="15">
        <v>51.08</v>
      </c>
      <c r="N570" s="15">
        <v>15.49</v>
      </c>
      <c r="O570" s="15">
        <f>V570-M570</f>
        <v>0.42000000000000171</v>
      </c>
      <c r="P570" s="16">
        <f>N570/L570</f>
        <v>0.74299693016116664</v>
      </c>
      <c r="Q570" s="14">
        <v>846</v>
      </c>
      <c r="R570" s="14"/>
      <c r="S570" s="17">
        <v>1.44182148</v>
      </c>
      <c r="T570" s="15"/>
      <c r="U570" s="15">
        <v>51.08</v>
      </c>
      <c r="V570" s="15">
        <v>51.5</v>
      </c>
      <c r="W570" s="14" t="s">
        <v>106</v>
      </c>
      <c r="X570" s="14">
        <v>1</v>
      </c>
      <c r="Y570" s="10">
        <f>AC570-AB570</f>
        <v>46728</v>
      </c>
      <c r="Z570" s="18">
        <v>8</v>
      </c>
      <c r="AA570" s="18">
        <v>43</v>
      </c>
      <c r="AB570" s="18">
        <v>0</v>
      </c>
      <c r="AC570" s="18">
        <v>46728</v>
      </c>
      <c r="AD570" s="1" t="s">
        <v>4355</v>
      </c>
      <c r="AE570" s="1" t="s">
        <v>4356</v>
      </c>
      <c r="AG570" s="4">
        <v>7.08</v>
      </c>
    </row>
    <row r="571" spans="1:33" ht="47.25" customHeight="1" x14ac:dyDescent="0.25">
      <c r="A571" s="10" t="s">
        <v>5045</v>
      </c>
      <c r="B571" s="11" t="s">
        <v>33</v>
      </c>
      <c r="C571" s="12" t="s">
        <v>5046</v>
      </c>
      <c r="D571" s="27"/>
      <c r="E571" s="14" t="s">
        <v>35</v>
      </c>
      <c r="F571" s="11" t="str">
        <f>HYPERLINK("https://redirect.sdcdeals.com/redirect?destination=https%3A%2F%2Fwww.amazon.com%2Fdp%2FB0BNSWLFXF%3Fth%3D1%26psc%3D1%26tag%3Dsdcdeals03-20", "Amazon Link")</f>
        <v>Amazon Link</v>
      </c>
      <c r="G571" s="11" t="s">
        <v>36</v>
      </c>
      <c r="H571" s="14" t="s">
        <v>5047</v>
      </c>
      <c r="I571" s="11" t="str">
        <f>HYPERLINK("https://redirect.sdcdeals.com/redirect?code=763034&amp;mavely=https://mavely.app.link/e/bhESV2wGrGb&amp;destination=https%3A%2F%2Fwww.kohls.com%2Fsearch.jsp%3Fsubmit-search%3Dweb-regular%26search%3D73620866", "Retail Link")</f>
        <v>Retail Link</v>
      </c>
      <c r="J571" s="14" t="s">
        <v>5013</v>
      </c>
      <c r="K571" s="13" t="s">
        <v>5048</v>
      </c>
      <c r="L571" s="15">
        <v>15.4</v>
      </c>
      <c r="M571" s="15">
        <v>38.5</v>
      </c>
      <c r="N571" s="15">
        <v>11.425000000000001</v>
      </c>
      <c r="O571" s="15">
        <f>V571-M571</f>
        <v>-6.6999999999999993</v>
      </c>
      <c r="P571" s="16">
        <f>N571/L571</f>
        <v>0.74188311688311692</v>
      </c>
      <c r="Q571" s="14">
        <v>393774</v>
      </c>
      <c r="R571" s="14"/>
      <c r="S571" s="17">
        <v>0.42108242000000001</v>
      </c>
      <c r="T571" s="15">
        <v>29.5</v>
      </c>
      <c r="U571" s="15">
        <v>34.56</v>
      </c>
      <c r="V571" s="15">
        <v>31.8</v>
      </c>
      <c r="W571" s="14" t="s">
        <v>240</v>
      </c>
      <c r="X571" s="14">
        <v>3</v>
      </c>
      <c r="Y571" s="10">
        <f>AC571-AB571</f>
        <v>6</v>
      </c>
      <c r="Z571" s="18">
        <v>11</v>
      </c>
      <c r="AA571" s="18">
        <v>37</v>
      </c>
      <c r="AB571" s="18">
        <v>0</v>
      </c>
      <c r="AC571" s="18">
        <v>6</v>
      </c>
      <c r="AD571" s="1" t="s">
        <v>5020</v>
      </c>
      <c r="AE571" s="1" t="s">
        <v>856</v>
      </c>
      <c r="AF571" s="4">
        <v>6.55</v>
      </c>
      <c r="AG571" s="4">
        <v>5.9</v>
      </c>
    </row>
    <row r="572" spans="1:33" ht="47.25" customHeight="1" x14ac:dyDescent="0.25">
      <c r="A572" s="10" t="s">
        <v>5057</v>
      </c>
      <c r="B572" s="11" t="s">
        <v>33</v>
      </c>
      <c r="C572" s="12" t="s">
        <v>5058</v>
      </c>
      <c r="D572" s="27"/>
      <c r="E572" s="14" t="s">
        <v>35</v>
      </c>
      <c r="F572" s="11" t="str">
        <f>HYPERLINK("https://redirect.sdcdeals.com/redirect?destination=https%3A%2F%2Fwww.amazon.com%2Fdp%2FB0BNR66PGR%3Fth%3D1%26psc%3D1%26tag%3Dsdcdeals03-20", "Amazon Link")</f>
        <v>Amazon Link</v>
      </c>
      <c r="G572" s="11" t="s">
        <v>36</v>
      </c>
      <c r="H572" s="14" t="s">
        <v>5059</v>
      </c>
      <c r="I572" s="11" t="str">
        <f>HYPERLINK("https://redirect.sdcdeals.com/redirect?code=763034&amp;mavely=https://mavely.app.link/e/bhESV2wGrGb&amp;destination=https%3A%2F%2Fwww.kohls.com%2Fsearch.jsp%3Fsubmit-search%3Dweb-regular%26search%3D73620868", "Retail Link")</f>
        <v>Retail Link</v>
      </c>
      <c r="J572" s="14" t="s">
        <v>5013</v>
      </c>
      <c r="K572" s="13" t="s">
        <v>5060</v>
      </c>
      <c r="L572" s="15">
        <v>15.4</v>
      </c>
      <c r="M572" s="15">
        <v>38.5</v>
      </c>
      <c r="N572" s="15">
        <v>11.425000000000001</v>
      </c>
      <c r="O572" s="15">
        <f>V572-M572</f>
        <v>-11.23</v>
      </c>
      <c r="P572" s="16">
        <f>N572/L572</f>
        <v>0.74188311688311692</v>
      </c>
      <c r="Q572" s="14">
        <v>393774</v>
      </c>
      <c r="R572" s="14"/>
      <c r="S572" s="17">
        <v>0.4629702</v>
      </c>
      <c r="T572" s="15">
        <v>38.5</v>
      </c>
      <c r="U572" s="15">
        <v>36.96</v>
      </c>
      <c r="V572" s="15">
        <v>27.27</v>
      </c>
      <c r="W572" s="14" t="s">
        <v>53</v>
      </c>
      <c r="X572" s="14">
        <v>2</v>
      </c>
      <c r="Y572" s="10">
        <f>AC572-AB572</f>
        <v>5</v>
      </c>
      <c r="Z572" s="18">
        <v>11</v>
      </c>
      <c r="AA572" s="18">
        <v>34</v>
      </c>
      <c r="AB572" s="18">
        <v>1</v>
      </c>
      <c r="AC572" s="18">
        <v>6</v>
      </c>
      <c r="AD572" s="1" t="s">
        <v>5020</v>
      </c>
      <c r="AE572" s="1" t="s">
        <v>856</v>
      </c>
      <c r="AF572" s="4">
        <v>6.55</v>
      </c>
      <c r="AG572" s="4">
        <v>5.9</v>
      </c>
    </row>
    <row r="573" spans="1:33" ht="47.25" customHeight="1" x14ac:dyDescent="0.25">
      <c r="A573" s="10" t="s">
        <v>1623</v>
      </c>
      <c r="B573" s="11" t="s">
        <v>33</v>
      </c>
      <c r="C573" s="12" t="s">
        <v>1624</v>
      </c>
      <c r="D573" s="27"/>
      <c r="E573" s="14" t="s">
        <v>35</v>
      </c>
      <c r="F573" s="11" t="str">
        <f>HYPERLINK("https://redirect.sdcdeals.com/redirect?destination=https%3A%2F%2Fwww.amazon.com%2Fdp%2FB0BFV9Z1TP%3Fth%3D1%26psc%3D1%26tag%3Dsdcdeals03-20", "Amazon Link")</f>
        <v>Amazon Link</v>
      </c>
      <c r="G573" s="11" t="s">
        <v>36</v>
      </c>
      <c r="H573" s="14" t="s">
        <v>1625</v>
      </c>
      <c r="I573" s="11" t="str">
        <f>HYPERLINK("https://redirect.sdcdeals.com/redirect?code=763034&amp;mavely=https://mavely.app.link/e/bhESV2wGrGb&amp;destination=https%3A%2F%2Fwww.kohls.com%2Fsearch.jsp%3Fsubmit-search%3Dweb-regular%26search%3D71786076", "Retail Link")</f>
        <v>Retail Link</v>
      </c>
      <c r="J573" s="14" t="s">
        <v>1614</v>
      </c>
      <c r="K573" s="13" t="s">
        <v>1626</v>
      </c>
      <c r="L573" s="15">
        <v>44.095999999999997</v>
      </c>
      <c r="M573" s="15">
        <v>110.08</v>
      </c>
      <c r="N573" s="15">
        <v>32.642000000000003</v>
      </c>
      <c r="O573" s="15">
        <f>V573-M573</f>
        <v>0</v>
      </c>
      <c r="P573" s="16">
        <f>N573/L573</f>
        <v>0.74024854862119027</v>
      </c>
      <c r="Q573" s="14">
        <v>2197019</v>
      </c>
      <c r="R573" s="14"/>
      <c r="S573" s="17">
        <v>1.64905576</v>
      </c>
      <c r="T573" s="15"/>
      <c r="U573" s="15"/>
      <c r="V573" s="15">
        <v>110.08</v>
      </c>
      <c r="W573" s="14" t="s">
        <v>698</v>
      </c>
      <c r="X573" s="14"/>
      <c r="Y573" s="10">
        <f>AC573-AB573</f>
        <v>0</v>
      </c>
      <c r="Z573" s="18">
        <v>0</v>
      </c>
      <c r="AA573" s="18">
        <v>1</v>
      </c>
      <c r="AB573" s="18"/>
      <c r="AC573" s="18"/>
      <c r="AD573" s="1" t="s">
        <v>1616</v>
      </c>
      <c r="AE573" s="1" t="s">
        <v>1627</v>
      </c>
      <c r="AG573" s="4">
        <v>16.829999999999998</v>
      </c>
    </row>
    <row r="574" spans="1:33" ht="47.25" customHeight="1" x14ac:dyDescent="0.25">
      <c r="A574" s="10" t="s">
        <v>4477</v>
      </c>
      <c r="B574" s="11" t="s">
        <v>33</v>
      </c>
      <c r="C574" s="12" t="s">
        <v>4478</v>
      </c>
      <c r="D574" s="27"/>
      <c r="E574" s="14" t="s">
        <v>35</v>
      </c>
      <c r="F574" s="11" t="str">
        <f>HYPERLINK("https://redirect.sdcdeals.com/redirect?destination=https%3A%2F%2Fwww.amazon.com%2Fdp%2FB0B1KSFQX4%3Fth%3D1%26psc%3D1%26tag%3Dsdcdeals03-20", "Amazon Link")</f>
        <v>Amazon Link</v>
      </c>
      <c r="G574" s="11" t="s">
        <v>36</v>
      </c>
      <c r="H574" s="14" t="s">
        <v>4479</v>
      </c>
      <c r="I574" s="11" t="str">
        <f>HYPERLINK("https://redirect.sdcdeals.com/redirect?code=763034&amp;mavely=https://mavely.app.link/e/bhESV2wGrGb&amp;destination=https%3A%2F%2Fwww.kohls.com%2Fsearch.jsp%3Fsubmit-search%3Dweb-regular%26search%3D69117058", "Retail Link")</f>
        <v>Retail Link</v>
      </c>
      <c r="J574" s="14" t="s">
        <v>4347</v>
      </c>
      <c r="K574" s="13" t="s">
        <v>4480</v>
      </c>
      <c r="L574" s="15">
        <v>20.847999999999999</v>
      </c>
      <c r="M574" s="15">
        <v>50.99</v>
      </c>
      <c r="N574" s="15">
        <v>15.41350000000001</v>
      </c>
      <c r="O574" s="15">
        <f>V574-M574</f>
        <v>5.1699999999999946</v>
      </c>
      <c r="P574" s="16">
        <f>N574/L574</f>
        <v>0.73932751343054537</v>
      </c>
      <c r="Q574" s="14">
        <v>846</v>
      </c>
      <c r="R574" s="14"/>
      <c r="S574" s="17">
        <v>1.4307983799999999</v>
      </c>
      <c r="T574" s="15">
        <v>50.99</v>
      </c>
      <c r="U574" s="15">
        <v>59.01</v>
      </c>
      <c r="V574" s="15">
        <v>56.16</v>
      </c>
      <c r="W574" s="14" t="s">
        <v>290</v>
      </c>
      <c r="X574" s="14">
        <v>1</v>
      </c>
      <c r="Y574" s="10">
        <f>AC574-AB574</f>
        <v>47534</v>
      </c>
      <c r="Z574" s="18">
        <v>47</v>
      </c>
      <c r="AA574" s="18">
        <v>136</v>
      </c>
      <c r="AB574" s="18">
        <v>0</v>
      </c>
      <c r="AC574" s="18">
        <v>47534</v>
      </c>
      <c r="AD574" s="1" t="s">
        <v>4419</v>
      </c>
      <c r="AE574" s="1" t="s">
        <v>4420</v>
      </c>
      <c r="AF574" s="4">
        <v>8.67</v>
      </c>
      <c r="AG574" s="4">
        <v>7.08</v>
      </c>
    </row>
    <row r="575" spans="1:33" ht="47.25" customHeight="1" x14ac:dyDescent="0.25">
      <c r="A575" s="10" t="s">
        <v>3066</v>
      </c>
      <c r="B575" s="11" t="s">
        <v>33</v>
      </c>
      <c r="C575" s="12" t="s">
        <v>3067</v>
      </c>
      <c r="D575" s="27"/>
      <c r="E575" s="14" t="s">
        <v>35</v>
      </c>
      <c r="F575" s="11" t="str">
        <f>HYPERLINK("https://redirect.sdcdeals.com/redirect?destination=https%3A%2F%2Fwww.amazon.com%2Fdp%2FB0CF665ZLL%3Fth%3D1%26psc%3D1%26tag%3Dsdcdeals03-20", "Amazon Link")</f>
        <v>Amazon Link</v>
      </c>
      <c r="G575" s="11" t="s">
        <v>36</v>
      </c>
      <c r="H575" s="14" t="s">
        <v>3068</v>
      </c>
      <c r="I575" s="11" t="str">
        <f>HYPERLINK("https://redirect.sdcdeals.com/redirect?code=763034&amp;mavely=https://mavely.app.link/e/bhESV2wGrGb&amp;destination=https%3A%2F%2Fwww.kohls.com%2Fsearch.jsp%3Fsubmit-search%3Dweb-regular%26search%3D63518816", "Retail Link")</f>
        <v>Retail Link</v>
      </c>
      <c r="J575" s="14" t="s">
        <v>3047</v>
      </c>
      <c r="K575" s="13" t="s">
        <v>3069</v>
      </c>
      <c r="L575" s="15">
        <v>8</v>
      </c>
      <c r="M575" s="15">
        <v>23.99</v>
      </c>
      <c r="N575" s="15">
        <v>5.9114999999999966</v>
      </c>
      <c r="O575" s="15">
        <f>V575-M575</f>
        <v>1.8900000000000006</v>
      </c>
      <c r="P575" s="16">
        <f>N575/L575</f>
        <v>0.73893749999999958</v>
      </c>
      <c r="Q575" s="14">
        <v>1741282</v>
      </c>
      <c r="R575" s="14"/>
      <c r="S575" s="17">
        <v>0.55115499999999995</v>
      </c>
      <c r="T575" s="15">
        <v>20.99</v>
      </c>
      <c r="U575" s="15">
        <v>23.7</v>
      </c>
      <c r="V575" s="15">
        <v>25.88</v>
      </c>
      <c r="W575" s="14" t="s">
        <v>3070</v>
      </c>
      <c r="X575" s="14">
        <v>12</v>
      </c>
      <c r="Y575" s="10">
        <f>AC575-AB575</f>
        <v>0</v>
      </c>
      <c r="Z575" s="18">
        <v>1</v>
      </c>
      <c r="AA575" s="18">
        <v>4</v>
      </c>
      <c r="AB575" s="18">
        <v>1</v>
      </c>
      <c r="AC575" s="18">
        <v>1</v>
      </c>
      <c r="AD575" s="1" t="s">
        <v>3054</v>
      </c>
      <c r="AE575" s="1" t="s">
        <v>3071</v>
      </c>
      <c r="AF575" s="4">
        <v>4.08</v>
      </c>
      <c r="AG575" s="4">
        <v>6.48</v>
      </c>
    </row>
    <row r="576" spans="1:33" ht="47.25" customHeight="1" x14ac:dyDescent="0.25">
      <c r="A576" s="10" t="s">
        <v>187</v>
      </c>
      <c r="B576" s="11" t="s">
        <v>33</v>
      </c>
      <c r="C576" s="12" t="s">
        <v>188</v>
      </c>
      <c r="D576" s="27"/>
      <c r="E576" s="14" t="s">
        <v>35</v>
      </c>
      <c r="F576" s="11" t="str">
        <f>HYPERLINK("https://redirect.sdcdeals.com/redirect?destination=https%3A%2F%2Fwww.amazon.com%2Fdp%2FB09N6P9N91%3Fth%3D1%26psc%3D1%26tag%3Dsdcdeals03-20", "Amazon Link")</f>
        <v>Amazon Link</v>
      </c>
      <c r="G576" s="11" t="s">
        <v>36</v>
      </c>
      <c r="H576" s="14" t="s">
        <v>189</v>
      </c>
      <c r="I576" s="11" t="str">
        <f>HYPERLINK("https://redirect.sdcdeals.com/redirect?code=763034&amp;mavely=https://mavely.app.link/e/bhESV2wGrGb&amp;destination=https%3A%2F%2Fwww.kohls.com%2Fsearch.jsp%3Fsubmit-search%3Dweb-regular%26search%3D46688128", "Retail Link")</f>
        <v>Retail Link</v>
      </c>
      <c r="J576" s="14" t="s">
        <v>175</v>
      </c>
      <c r="K576" s="13" t="s">
        <v>190</v>
      </c>
      <c r="L576" s="15">
        <v>18.064</v>
      </c>
      <c r="M576" s="15">
        <v>44.1</v>
      </c>
      <c r="N576" s="15">
        <v>13.281000000000001</v>
      </c>
      <c r="O576" s="15">
        <f>V576-M576</f>
        <v>0.46999999999999886</v>
      </c>
      <c r="P576" s="16">
        <f>N576/L576</f>
        <v>0.73521922054915856</v>
      </c>
      <c r="Q576" s="14">
        <v>11310</v>
      </c>
      <c r="R576" s="14"/>
      <c r="S576" s="17">
        <v>1.3911152200000001</v>
      </c>
      <c r="T576" s="15"/>
      <c r="U576" s="15">
        <v>44.1</v>
      </c>
      <c r="V576" s="15">
        <v>44.57</v>
      </c>
      <c r="W576" s="14" t="s">
        <v>100</v>
      </c>
      <c r="X576" s="14">
        <v>1</v>
      </c>
      <c r="Y576" s="10">
        <f>AC576-AB576</f>
        <v>9790</v>
      </c>
      <c r="Z576" s="18">
        <v>16</v>
      </c>
      <c r="AA576" s="18">
        <v>79</v>
      </c>
      <c r="AB576" s="18">
        <v>0</v>
      </c>
      <c r="AC576" s="18">
        <v>9790</v>
      </c>
      <c r="AD576" s="1" t="s">
        <v>177</v>
      </c>
      <c r="AE576" s="1" t="s">
        <v>178</v>
      </c>
      <c r="AG576" s="4">
        <v>6.14</v>
      </c>
    </row>
    <row r="577" spans="1:33" ht="47.25" customHeight="1" x14ac:dyDescent="0.25">
      <c r="A577" s="10" t="s">
        <v>1925</v>
      </c>
      <c r="B577" s="11" t="s">
        <v>33</v>
      </c>
      <c r="C577" s="12" t="s">
        <v>1926</v>
      </c>
      <c r="D577" s="27"/>
      <c r="E577" s="14" t="s">
        <v>35</v>
      </c>
      <c r="F577" s="11" t="str">
        <f>HYPERLINK("https://redirect.sdcdeals.com/redirect?destination=https%3A%2F%2Fwww.amazon.com%2Fdp%2FB01IE1ONRW%3Fth%3D1%26psc%3D1%26tag%3Dsdcdeals03-20", "Amazon Link")</f>
        <v>Amazon Link</v>
      </c>
      <c r="G577" s="11" t="s">
        <v>36</v>
      </c>
      <c r="H577" s="14" t="s">
        <v>1927</v>
      </c>
      <c r="I577" s="11" t="str">
        <f>HYPERLINK("https://redirect.sdcdeals.com/redirect?code=763034&amp;mavely=https://mavely.app.link/e/bhESV2wGrGb&amp;destination=https%3A%2F%2Fwww.kohls.com%2Fsearch.jsp%3Fsubmit-search%3Dweb-regular%26search%3D46361253", "Retail Link")</f>
        <v>Retail Link</v>
      </c>
      <c r="J577" s="14" t="s">
        <v>1897</v>
      </c>
      <c r="K577" s="13" t="s">
        <v>1898</v>
      </c>
      <c r="L577" s="15">
        <v>10.8</v>
      </c>
      <c r="M577" s="15">
        <v>30.11</v>
      </c>
      <c r="N577" s="15">
        <v>7.9334999999999987</v>
      </c>
      <c r="O577" s="15">
        <f>V577-M577</f>
        <v>0.90000000000000213</v>
      </c>
      <c r="P577" s="16">
        <f>N577/L577</f>
        <v>0.73458333333333314</v>
      </c>
      <c r="Q577" s="14">
        <v>1165</v>
      </c>
      <c r="R577" s="14">
        <v>200</v>
      </c>
      <c r="S577" s="17">
        <v>1.11994696</v>
      </c>
      <c r="T577" s="15"/>
      <c r="U577" s="15">
        <v>30.11</v>
      </c>
      <c r="V577" s="15">
        <v>31.01</v>
      </c>
      <c r="W577" s="14" t="s">
        <v>1928</v>
      </c>
      <c r="X577" s="14">
        <v>3</v>
      </c>
      <c r="Y577" s="10">
        <f>AC577-AB577</f>
        <v>17060</v>
      </c>
      <c r="Z577" s="18">
        <v>61</v>
      </c>
      <c r="AA577" s="18">
        <v>135</v>
      </c>
      <c r="AB577" s="18">
        <v>843</v>
      </c>
      <c r="AC577" s="18">
        <v>17903</v>
      </c>
      <c r="AD577" s="1" t="s">
        <v>1900</v>
      </c>
      <c r="AE577" s="1" t="s">
        <v>1901</v>
      </c>
      <c r="AG577" s="4">
        <v>6.86</v>
      </c>
    </row>
    <row r="578" spans="1:33" ht="47.25" hidden="1" customHeight="1" x14ac:dyDescent="0.25">
      <c r="A578" s="10" t="s">
        <v>2749</v>
      </c>
      <c r="B578" s="11" t="s">
        <v>33</v>
      </c>
      <c r="C578" s="12" t="s">
        <v>2750</v>
      </c>
      <c r="D578" s="27"/>
      <c r="E578" s="14" t="s">
        <v>35</v>
      </c>
      <c r="F578" s="11" t="str">
        <f>HYPERLINK("https://redirect.sdcdeals.com/redirect?destination=https%3A%2F%2Fwww.amazon.com%2Fdp%2FB0CCBVSD3Q%3Fth%3D1%26psc%3D1%26tag%3Dsdcdeals03-20", "Amazon Link")</f>
        <v>Amazon Link</v>
      </c>
      <c r="G578" s="11" t="s">
        <v>36</v>
      </c>
      <c r="H578" s="14" t="s">
        <v>2751</v>
      </c>
      <c r="I578" s="11" t="str">
        <f>HYPERLINK("https://redirect.sdcdeals.com/redirect?code=763034&amp;mavely=https://mavely.app.link/e/bhESV2wGrGb&amp;destination=https%3A%2F%2Fwww.kohls.com%2Fsearch.jsp%3Fsubmit-search%3Dweb-regular%26search%3D17927045", "Retail Link")</f>
        <v>Retail Link</v>
      </c>
      <c r="J578" s="14" t="s">
        <v>2705</v>
      </c>
      <c r="K578" s="13" t="s">
        <v>2752</v>
      </c>
      <c r="L578" s="15">
        <v>13.2</v>
      </c>
      <c r="M578" s="15">
        <v>34.950000000000003</v>
      </c>
      <c r="N578" s="15">
        <v>9.6775000000000055</v>
      </c>
      <c r="O578" s="15">
        <f>V578-M578</f>
        <v>-4.9200000000000017</v>
      </c>
      <c r="P578" s="16">
        <f>N578/L578</f>
        <v>0.73314393939393985</v>
      </c>
      <c r="Q578" s="14"/>
      <c r="R578" s="14"/>
      <c r="S578" s="17">
        <v>0.88184799999999997</v>
      </c>
      <c r="T578" s="15">
        <v>34.950000000000003</v>
      </c>
      <c r="U578" s="15">
        <v>32.880000000000003</v>
      </c>
      <c r="V578" s="15">
        <v>30.03</v>
      </c>
      <c r="W578" s="14" t="s">
        <v>2753</v>
      </c>
      <c r="X578" s="14">
        <v>2</v>
      </c>
      <c r="Y578" s="10">
        <f>AC578-AB578</f>
        <v>2</v>
      </c>
      <c r="Z578" s="18">
        <v>-1</v>
      </c>
      <c r="AA578" s="18">
        <v>-1</v>
      </c>
      <c r="AB578" s="18"/>
      <c r="AC578" s="18">
        <v>2</v>
      </c>
      <c r="AD578" s="1" t="s">
        <v>2754</v>
      </c>
      <c r="AE578" s="1" t="s">
        <v>2719</v>
      </c>
      <c r="AF578" s="4">
        <v>3.5</v>
      </c>
      <c r="AG578" s="4">
        <v>6.83</v>
      </c>
    </row>
    <row r="579" spans="1:33" ht="47.25" customHeight="1" x14ac:dyDescent="0.25">
      <c r="A579" s="10" t="s">
        <v>3939</v>
      </c>
      <c r="B579" s="11" t="s">
        <v>33</v>
      </c>
      <c r="C579" s="12" t="s">
        <v>3940</v>
      </c>
      <c r="D579" s="27"/>
      <c r="E579" s="14" t="s">
        <v>35</v>
      </c>
      <c r="F579" s="11" t="str">
        <f>HYPERLINK("https://redirect.sdcdeals.com/redirect?destination=https%3A%2F%2Fwww.amazon.com%2Fdp%2FB0C696J1RB%3Fth%3D1%26psc%3D1%26tag%3Dsdcdeals03-20", "Amazon Link")</f>
        <v>Amazon Link</v>
      </c>
      <c r="G579" s="11" t="s">
        <v>36</v>
      </c>
      <c r="H579" s="14" t="s">
        <v>3941</v>
      </c>
      <c r="I579" s="11" t="str">
        <f>HYPERLINK("https://redirect.sdcdeals.com/redirect?code=763034&amp;mavely=https://mavely.app.link/e/bhESV2wGrGb&amp;destination=https%3A%2F%2Fwww.kohls.com%2Fsearch.jsp%3Fsubmit-search%3Dweb-regular%26search%3D80598045", "Retail Link")</f>
        <v>Retail Link</v>
      </c>
      <c r="J579" s="14" t="s">
        <v>3942</v>
      </c>
      <c r="K579" s="13" t="s">
        <v>3943</v>
      </c>
      <c r="L579" s="15">
        <v>12.48</v>
      </c>
      <c r="M579" s="15">
        <v>33.07</v>
      </c>
      <c r="N579" s="15">
        <v>9.1494999999999997</v>
      </c>
      <c r="O579" s="15">
        <f>V579-M579</f>
        <v>9.0499999999999972</v>
      </c>
      <c r="P579" s="16">
        <f>N579/L579</f>
        <v>0.7331330128205128</v>
      </c>
      <c r="Q579" s="14">
        <v>95891</v>
      </c>
      <c r="R579" s="14"/>
      <c r="S579" s="17">
        <v>1.433003</v>
      </c>
      <c r="T579" s="15">
        <v>33.07</v>
      </c>
      <c r="U579" s="15">
        <v>40.76</v>
      </c>
      <c r="V579" s="15">
        <v>42.12</v>
      </c>
      <c r="W579" s="14" t="s">
        <v>3944</v>
      </c>
      <c r="X579" s="14">
        <v>1</v>
      </c>
      <c r="Y579" s="10">
        <f>AC579-AB579</f>
        <v>3499</v>
      </c>
      <c r="Z579" s="18">
        <v>29</v>
      </c>
      <c r="AA579" s="18">
        <v>34</v>
      </c>
      <c r="AB579" s="18">
        <v>1</v>
      </c>
      <c r="AC579" s="18">
        <v>3500</v>
      </c>
      <c r="AD579" s="1" t="s">
        <v>1037</v>
      </c>
      <c r="AE579" s="1" t="s">
        <v>1038</v>
      </c>
      <c r="AF579" s="4">
        <v>5.62</v>
      </c>
      <c r="AG579" s="4">
        <v>6.48</v>
      </c>
    </row>
    <row r="580" spans="1:33" ht="47.25" customHeight="1" x14ac:dyDescent="0.25">
      <c r="A580" s="10" t="s">
        <v>1135</v>
      </c>
      <c r="B580" s="11" t="s">
        <v>33</v>
      </c>
      <c r="C580" s="12" t="s">
        <v>1136</v>
      </c>
      <c r="D580" s="27"/>
      <c r="E580" s="14" t="s">
        <v>35</v>
      </c>
      <c r="F580" s="11" t="str">
        <f>HYPERLINK("https://redirect.sdcdeals.com/redirect?destination=https%3A%2F%2Fwww.amazon.com%2Fdp%2FB0BM1Q2MV6%3Fth%3D1%26psc%3D1%26tag%3Dsdcdeals03-20", "Amazon Link")</f>
        <v>Amazon Link</v>
      </c>
      <c r="G580" s="11" t="s">
        <v>36</v>
      </c>
      <c r="H580" s="14" t="s">
        <v>1137</v>
      </c>
      <c r="I580" s="11" t="str">
        <f>HYPERLINK("https://redirect.sdcdeals.com/redirect?code=763034&amp;mavely=https://mavely.app.link/e/bhESV2wGrGb&amp;destination=https%3A%2F%2Fwww.kohls.com%2Fsearch.jsp%3Fsubmit-search%3Dweb-regular%26search%3D76796276", "Retail Link")</f>
        <v>Retail Link</v>
      </c>
      <c r="J580" s="14" t="s">
        <v>1124</v>
      </c>
      <c r="K580" s="13" t="s">
        <v>1138</v>
      </c>
      <c r="L580" s="15">
        <v>5.9920000000000009</v>
      </c>
      <c r="M580" s="15">
        <v>19.989999999999998</v>
      </c>
      <c r="N580" s="15">
        <v>4.3794999999999966</v>
      </c>
      <c r="O580" s="15">
        <f>V580-M580</f>
        <v>0.38000000000000256</v>
      </c>
      <c r="P580" s="16">
        <f>N580/L580</f>
        <v>0.73089118825100063</v>
      </c>
      <c r="Q580" s="14">
        <v>220199</v>
      </c>
      <c r="R580" s="14"/>
      <c r="S580" s="17">
        <v>0.29100984000000002</v>
      </c>
      <c r="T580" s="15">
        <v>19.989999999999998</v>
      </c>
      <c r="U580" s="15">
        <v>20.75</v>
      </c>
      <c r="V580" s="15">
        <v>20.37</v>
      </c>
      <c r="W580" s="14" t="s">
        <v>301</v>
      </c>
      <c r="X580" s="14">
        <v>2</v>
      </c>
      <c r="Y580" s="10">
        <f>AC580-AB580</f>
        <v>10</v>
      </c>
      <c r="Z580" s="18">
        <v>1</v>
      </c>
      <c r="AA580" s="18">
        <v>7</v>
      </c>
      <c r="AB580" s="18">
        <v>0</v>
      </c>
      <c r="AC580" s="18">
        <v>10</v>
      </c>
      <c r="AF580" s="4">
        <v>3</v>
      </c>
      <c r="AG580" s="4">
        <v>6.62</v>
      </c>
    </row>
    <row r="581" spans="1:33" ht="47.25" customHeight="1" x14ac:dyDescent="0.25">
      <c r="A581" s="10" t="s">
        <v>4523</v>
      </c>
      <c r="B581" s="11" t="s">
        <v>33</v>
      </c>
      <c r="C581" s="12" t="s">
        <v>4524</v>
      </c>
      <c r="D581" s="27"/>
      <c r="E581" s="14" t="s">
        <v>35</v>
      </c>
      <c r="F581" s="11" t="str">
        <f>HYPERLINK("https://redirect.sdcdeals.com/redirect?destination=https%3A%2F%2Fwww.amazon.com%2Fdp%2FB09N6V36GZ%3Fth%3D1%26psc%3D1%26tag%3Dsdcdeals03-20", "Amazon Link")</f>
        <v>Amazon Link</v>
      </c>
      <c r="G581" s="11" t="s">
        <v>36</v>
      </c>
      <c r="H581" s="14" t="s">
        <v>4525</v>
      </c>
      <c r="I581" s="11" t="str">
        <f>HYPERLINK("https://redirect.sdcdeals.com/redirect?code=763034&amp;mavely=https://mavely.app.link/e/bhESV2wGrGb&amp;destination=https%3A%2F%2Fwww.kohls.com%2Fsearch.jsp%3Fsubmit-search%3Dweb-regular%26search%3D37268521", "Retail Link")</f>
        <v>Retail Link</v>
      </c>
      <c r="J581" s="14" t="s">
        <v>4347</v>
      </c>
      <c r="K581" s="13" t="s">
        <v>4526</v>
      </c>
      <c r="L581" s="15">
        <v>20.847999999999999</v>
      </c>
      <c r="M581" s="15">
        <v>50.46</v>
      </c>
      <c r="N581" s="15">
        <v>15.183</v>
      </c>
      <c r="O581" s="15">
        <f>V581-M581</f>
        <v>0</v>
      </c>
      <c r="P581" s="16">
        <f>N581/L581</f>
        <v>0.72827129700690718</v>
      </c>
      <c r="Q581" s="14">
        <v>846</v>
      </c>
      <c r="R581" s="14"/>
      <c r="S581" s="17">
        <v>1.7636959999999999</v>
      </c>
      <c r="T581" s="15"/>
      <c r="U581" s="15"/>
      <c r="V581" s="15">
        <v>50.46</v>
      </c>
      <c r="W581" s="14" t="s">
        <v>53</v>
      </c>
      <c r="X581" s="14"/>
      <c r="Y581" s="10">
        <f>AC581-AB581</f>
        <v>46306</v>
      </c>
      <c r="Z581" s="18">
        <v>12</v>
      </c>
      <c r="AA581" s="18">
        <v>31</v>
      </c>
      <c r="AB581" s="18">
        <v>0</v>
      </c>
      <c r="AC581" s="18">
        <v>46306</v>
      </c>
      <c r="AD581" s="1" t="s">
        <v>4501</v>
      </c>
      <c r="AE581" s="1" t="s">
        <v>4502</v>
      </c>
      <c r="AG581" s="4">
        <v>6.86</v>
      </c>
    </row>
    <row r="582" spans="1:33" ht="47.25" customHeight="1" x14ac:dyDescent="0.25">
      <c r="A582" s="10" t="s">
        <v>3967</v>
      </c>
      <c r="B582" s="11" t="s">
        <v>33</v>
      </c>
      <c r="C582" s="12" t="s">
        <v>3968</v>
      </c>
      <c r="D582" s="27"/>
      <c r="E582" s="14" t="s">
        <v>35</v>
      </c>
      <c r="F582" s="11" t="str">
        <f>HYPERLINK("https://redirect.sdcdeals.com/redirect?destination=https%3A%2F%2Fwww.amazon.com%2Fdp%2FB0C69C6D9Q%3Fth%3D1%26psc%3D1%26tag%3Dsdcdeals03-20", "Amazon Link")</f>
        <v>Amazon Link</v>
      </c>
      <c r="G582" s="11" t="s">
        <v>36</v>
      </c>
      <c r="H582" s="14" t="s">
        <v>3969</v>
      </c>
      <c r="I582" s="11" t="str">
        <f>HYPERLINK("https://redirect.sdcdeals.com/redirect?code=763034&amp;mavely=https://mavely.app.link/e/bhESV2wGrGb&amp;destination=https%3A%2F%2Fwww.kohls.com%2Fsearch.jsp%3Fsubmit-search%3Dweb-regular%26search%3D80598047", "Retail Link")</f>
        <v>Retail Link</v>
      </c>
      <c r="J582" s="14" t="s">
        <v>3942</v>
      </c>
      <c r="K582" s="13" t="s">
        <v>3970</v>
      </c>
      <c r="L582" s="15">
        <v>12.48</v>
      </c>
      <c r="M582" s="15">
        <v>33.07</v>
      </c>
      <c r="N582" s="15">
        <v>9.0295000000000023</v>
      </c>
      <c r="O582" s="15">
        <f>V582-M582</f>
        <v>8.3299999999999983</v>
      </c>
      <c r="P582" s="16">
        <f>N582/L582</f>
        <v>0.72351762820512833</v>
      </c>
      <c r="Q582" s="14">
        <v>95891</v>
      </c>
      <c r="R582" s="14"/>
      <c r="S582" s="17">
        <v>1.543234</v>
      </c>
      <c r="T582" s="15">
        <v>32.99</v>
      </c>
      <c r="U582" s="15">
        <v>39.880000000000003</v>
      </c>
      <c r="V582" s="15">
        <v>41.4</v>
      </c>
      <c r="W582" s="14" t="s">
        <v>2381</v>
      </c>
      <c r="X582" s="14">
        <v>1</v>
      </c>
      <c r="Y582" s="10">
        <f>AC582-AB582</f>
        <v>3500</v>
      </c>
      <c r="Z582" s="18">
        <v>25</v>
      </c>
      <c r="AA582" s="18">
        <v>83</v>
      </c>
      <c r="AB582" s="18">
        <v>0</v>
      </c>
      <c r="AC582" s="18">
        <v>3500</v>
      </c>
      <c r="AD582" s="1" t="s">
        <v>1037</v>
      </c>
      <c r="AE582" s="1" t="s">
        <v>1038</v>
      </c>
      <c r="AF582" s="4">
        <v>5.62</v>
      </c>
      <c r="AG582" s="4">
        <v>6.6</v>
      </c>
    </row>
    <row r="583" spans="1:33" ht="47.25" customHeight="1" x14ac:dyDescent="0.25">
      <c r="A583" s="10" t="s">
        <v>850</v>
      </c>
      <c r="B583" s="11" t="s">
        <v>33</v>
      </c>
      <c r="C583" s="12" t="s">
        <v>851</v>
      </c>
      <c r="D583" s="27"/>
      <c r="E583" s="14" t="s">
        <v>35</v>
      </c>
      <c r="F583" s="11" t="str">
        <f>HYPERLINK("https://redirect.sdcdeals.com/redirect?destination=https%3A%2F%2Fwww.amazon.com%2Fdp%2FB0BNWH4B6T%3Fth%3D1%26psc%3D1%26tag%3Dsdcdeals03-20", "Amazon Link")</f>
        <v>Amazon Link</v>
      </c>
      <c r="G583" s="11" t="s">
        <v>36</v>
      </c>
      <c r="H583" s="14" t="s">
        <v>852</v>
      </c>
      <c r="I583" s="11" t="str">
        <f>HYPERLINK("https://redirect.sdcdeals.com/redirect?code=763034&amp;mavely=https://mavely.app.link/e/bhESV2wGrGb&amp;destination=https%3A%2F%2Fwww.kohls.com%2Fsearch.jsp%3Fsubmit-search%3Dweb-regular%26search%3D20535291", "Retail Link")</f>
        <v>Retail Link</v>
      </c>
      <c r="J583" s="14" t="s">
        <v>853</v>
      </c>
      <c r="K583" s="13" t="s">
        <v>854</v>
      </c>
      <c r="L583" s="15">
        <v>22.4</v>
      </c>
      <c r="M583" s="15">
        <v>52.34</v>
      </c>
      <c r="N583" s="15">
        <v>16.189000000000011</v>
      </c>
      <c r="O583" s="15">
        <f>V583-M583</f>
        <v>12.280000000000001</v>
      </c>
      <c r="P583" s="16">
        <f>N583/L583</f>
        <v>0.72272321428571484</v>
      </c>
      <c r="Q583" s="14">
        <v>2605453</v>
      </c>
      <c r="R583" s="14"/>
      <c r="S583" s="17">
        <v>0.42108242000000001</v>
      </c>
      <c r="T583" s="15">
        <v>44.39</v>
      </c>
      <c r="U583" s="15">
        <v>71.92</v>
      </c>
      <c r="V583" s="15">
        <v>64.62</v>
      </c>
      <c r="W583" s="14" t="s">
        <v>106</v>
      </c>
      <c r="X583" s="14">
        <v>1</v>
      </c>
      <c r="Y583" s="10">
        <f>AC583-AB583</f>
        <v>0</v>
      </c>
      <c r="Z583" s="18">
        <v>2</v>
      </c>
      <c r="AA583" s="18">
        <v>11</v>
      </c>
      <c r="AB583" s="18"/>
      <c r="AC583" s="18"/>
      <c r="AD583" s="1" t="s">
        <v>855</v>
      </c>
      <c r="AE583" s="1" t="s">
        <v>856</v>
      </c>
      <c r="AF583" s="4">
        <v>8.9</v>
      </c>
      <c r="AG583" s="4">
        <v>5.9</v>
      </c>
    </row>
    <row r="584" spans="1:33" ht="47.25" customHeight="1" x14ac:dyDescent="0.25">
      <c r="A584" s="10" t="s">
        <v>2170</v>
      </c>
      <c r="B584" s="11" t="s">
        <v>33</v>
      </c>
      <c r="C584" s="12" t="s">
        <v>2171</v>
      </c>
      <c r="D584" s="27"/>
      <c r="E584" s="14" t="s">
        <v>35</v>
      </c>
      <c r="F584" s="11" t="str">
        <f>HYPERLINK("https://redirect.sdcdeals.com/redirect?destination=https%3A%2F%2Fwww.amazon.com%2Fdp%2FB08FVP7JS6%3Fth%3D1%26psc%3D1%26tag%3Dsdcdeals03-20", "Amazon Link")</f>
        <v>Amazon Link</v>
      </c>
      <c r="G584" s="11" t="s">
        <v>36</v>
      </c>
      <c r="H584" s="14" t="s">
        <v>2172</v>
      </c>
      <c r="I584" s="11" t="str">
        <f>HYPERLINK("https://redirect.sdcdeals.com/redirect?code=763034&amp;mavely=https://mavely.app.link/e/bhESV2wGrGb&amp;destination=https%3A%2F%2Fwww.kohls.com%2Fsearch.jsp%3Fsubmit-search%3Dweb-regular%26search%3D77408854", "Retail Link")</f>
        <v>Retail Link</v>
      </c>
      <c r="J584" s="14" t="s">
        <v>2173</v>
      </c>
      <c r="K584" s="13" t="s">
        <v>2174</v>
      </c>
      <c r="L584" s="15">
        <v>15.4</v>
      </c>
      <c r="M584" s="15">
        <v>37.99</v>
      </c>
      <c r="N584" s="15">
        <v>11.0715</v>
      </c>
      <c r="O584" s="15">
        <f>V584-M584</f>
        <v>3.3999999999999986</v>
      </c>
      <c r="P584" s="16">
        <f>N584/L584</f>
        <v>0.71892857142857147</v>
      </c>
      <c r="Q584" s="14">
        <v>16913</v>
      </c>
      <c r="R584" s="14"/>
      <c r="S584" s="17">
        <v>0.42108242000000001</v>
      </c>
      <c r="T584" s="15">
        <v>36.9</v>
      </c>
      <c r="U584" s="15">
        <v>39.92</v>
      </c>
      <c r="V584" s="15">
        <v>41.39</v>
      </c>
      <c r="W584" s="14" t="s">
        <v>843</v>
      </c>
      <c r="X584" s="14">
        <v>2</v>
      </c>
      <c r="Y584" s="10">
        <f>AC584-AB584</f>
        <v>1223</v>
      </c>
      <c r="Z584" s="18">
        <v>54</v>
      </c>
      <c r="AA584" s="18">
        <v>163</v>
      </c>
      <c r="AB584" s="18">
        <v>2</v>
      </c>
      <c r="AC584" s="18">
        <v>1225</v>
      </c>
      <c r="AD584" s="1" t="s">
        <v>2175</v>
      </c>
      <c r="AE584" s="1" t="s">
        <v>1705</v>
      </c>
      <c r="AF584" s="4">
        <v>6.46</v>
      </c>
      <c r="AG584" s="4">
        <v>5.82</v>
      </c>
    </row>
    <row r="585" spans="1:33" ht="47.25" customHeight="1" x14ac:dyDescent="0.25">
      <c r="A585" s="10" t="s">
        <v>446</v>
      </c>
      <c r="B585" s="11" t="s">
        <v>33</v>
      </c>
      <c r="C585" s="12" t="s">
        <v>447</v>
      </c>
      <c r="D585" s="27"/>
      <c r="E585" s="14" t="s">
        <v>35</v>
      </c>
      <c r="F585" s="11" t="str">
        <f>HYPERLINK("https://redirect.sdcdeals.com/redirect?destination=https%3A%2F%2Fwww.amazon.com%2Fdp%2FB0BHN5SLNX%3Fth%3D1%26psc%3D1%26tag%3Dsdcdeals03-20", "Amazon Link")</f>
        <v>Amazon Link</v>
      </c>
      <c r="G585" s="11" t="s">
        <v>36</v>
      </c>
      <c r="H585" s="14" t="s">
        <v>448</v>
      </c>
      <c r="I585" s="11" t="str">
        <f>HYPERLINK("https://redirect.sdcdeals.com/redirect?code=763034&amp;mavely=https://mavely.app.link/e/bhESV2wGrGb&amp;destination=https%3A%2F%2Fwww.kohls.com%2Fsearch.jsp%3Fsubmit-search%3Dweb-regular%26search%3D83412955", "Retail Link")</f>
        <v>Retail Link</v>
      </c>
      <c r="J585" s="14" t="s">
        <v>442</v>
      </c>
      <c r="K585" s="13" t="s">
        <v>449</v>
      </c>
      <c r="L585" s="15">
        <v>13.2</v>
      </c>
      <c r="M585" s="15">
        <v>34.68</v>
      </c>
      <c r="N585" s="15">
        <v>9.468</v>
      </c>
      <c r="O585" s="15">
        <f>V585-M585</f>
        <v>3.8500000000000014</v>
      </c>
      <c r="P585" s="16">
        <f>N585/L585</f>
        <v>0.71727272727272728</v>
      </c>
      <c r="Q585" s="14">
        <v>1646652</v>
      </c>
      <c r="R585" s="14"/>
      <c r="S585" s="17">
        <v>0.87082490000000001</v>
      </c>
      <c r="T585" s="15">
        <v>28.4</v>
      </c>
      <c r="U585" s="15">
        <v>38.56</v>
      </c>
      <c r="V585" s="15">
        <v>38.53</v>
      </c>
      <c r="W585" s="14" t="s">
        <v>450</v>
      </c>
      <c r="X585" s="14">
        <v>3</v>
      </c>
      <c r="Y585" s="10">
        <f>AC585-AB585</f>
        <v>2</v>
      </c>
      <c r="Z585" s="18">
        <v>3</v>
      </c>
      <c r="AA585" s="18">
        <v>17</v>
      </c>
      <c r="AB585" s="18">
        <v>0</v>
      </c>
      <c r="AC585" s="18">
        <v>2</v>
      </c>
      <c r="AD585" s="1" t="s">
        <v>444</v>
      </c>
      <c r="AE585" s="1" t="s">
        <v>451</v>
      </c>
      <c r="AF585" s="4">
        <v>5.9</v>
      </c>
      <c r="AG585" s="4">
        <v>6.81</v>
      </c>
    </row>
    <row r="586" spans="1:33" ht="47.25" customHeight="1" x14ac:dyDescent="0.25">
      <c r="A586" s="10" t="s">
        <v>3984</v>
      </c>
      <c r="B586" s="11" t="s">
        <v>33</v>
      </c>
      <c r="C586" s="12" t="s">
        <v>3985</v>
      </c>
      <c r="D586" s="27"/>
      <c r="E586" s="14" t="s">
        <v>35</v>
      </c>
      <c r="F586" s="11" t="str">
        <f>HYPERLINK("https://redirect.sdcdeals.com/redirect?destination=https%3A%2F%2Fwww.amazon.com%2Fdp%2FB09B695MMQ%3Fth%3D1%26psc%3D1%26tag%3Dsdcdeals03-20", "Amazon Link")</f>
        <v>Amazon Link</v>
      </c>
      <c r="G586" s="11" t="s">
        <v>36</v>
      </c>
      <c r="H586" s="14" t="s">
        <v>3986</v>
      </c>
      <c r="I586" s="11" t="str">
        <f>HYPERLINK("https://redirect.sdcdeals.com/redirect?code=763034&amp;mavely=https://mavely.app.link/e/bhESV2wGrGb&amp;destination=https%3A%2F%2Fwww.kohls.com%2Fsearch.jsp%3Fsubmit-search%3Dweb-regular%26search%3D78202048", "Retail Link")</f>
        <v>Retail Link</v>
      </c>
      <c r="J586" s="14" t="s">
        <v>3942</v>
      </c>
      <c r="K586" s="13" t="s">
        <v>3987</v>
      </c>
      <c r="L586" s="15">
        <v>12.48</v>
      </c>
      <c r="M586" s="15">
        <v>32.06</v>
      </c>
      <c r="N586" s="15">
        <v>8.9510000000000005</v>
      </c>
      <c r="O586" s="15">
        <f>V586-M586</f>
        <v>1.0700000000000003</v>
      </c>
      <c r="P586" s="16">
        <f>N586/L586</f>
        <v>0.71722756410256416</v>
      </c>
      <c r="Q586" s="14">
        <v>109613</v>
      </c>
      <c r="R586" s="14"/>
      <c r="S586" s="17">
        <v>1.1993132799999999</v>
      </c>
      <c r="T586" s="15">
        <v>32.06</v>
      </c>
      <c r="U586" s="15">
        <v>31.41</v>
      </c>
      <c r="V586" s="15">
        <v>33.130000000000003</v>
      </c>
      <c r="W586" s="14" t="s">
        <v>3988</v>
      </c>
      <c r="X586" s="14">
        <v>2</v>
      </c>
      <c r="Y586" s="10">
        <f>AC586-AB586</f>
        <v>820</v>
      </c>
      <c r="Z586" s="18">
        <v>21</v>
      </c>
      <c r="AA586" s="18">
        <v>81</v>
      </c>
      <c r="AB586" s="18">
        <v>3</v>
      </c>
      <c r="AC586" s="18">
        <v>823</v>
      </c>
      <c r="AD586" s="1" t="s">
        <v>2991</v>
      </c>
      <c r="AE586" s="1" t="s">
        <v>2992</v>
      </c>
      <c r="AF586" s="4">
        <v>5.45</v>
      </c>
      <c r="AG586" s="4">
        <v>5.82</v>
      </c>
    </row>
    <row r="587" spans="1:33" ht="47.25" customHeight="1" x14ac:dyDescent="0.25">
      <c r="A587" s="10" t="s">
        <v>928</v>
      </c>
      <c r="B587" s="11" t="s">
        <v>33</v>
      </c>
      <c r="C587" s="12" t="s">
        <v>929</v>
      </c>
      <c r="D587" s="27"/>
      <c r="E587" s="14" t="s">
        <v>35</v>
      </c>
      <c r="F587" s="11" t="str">
        <f>HYPERLINK("https://redirect.sdcdeals.com/redirect?destination=https%3A%2F%2Fwww.amazon.com%2Fdp%2FB0CJSNW4V7%3Fth%3D1%26psc%3D1%26tag%3Dsdcdeals03-20", "Amazon Link")</f>
        <v>Amazon Link</v>
      </c>
      <c r="G587" s="11" t="s">
        <v>36</v>
      </c>
      <c r="H587" s="14" t="s">
        <v>930</v>
      </c>
      <c r="I587" s="11" t="str">
        <f>HYPERLINK("https://redirect.sdcdeals.com/redirect?code=763034&amp;mavely=https://mavely.app.link/e/bhESV2wGrGb&amp;destination=https%3A%2F%2Fwww.kohls.com%2Fsearch.jsp%3Fsubmit-search%3Dweb-regular%26search%3D55623606", "Retail Link")</f>
        <v>Retail Link</v>
      </c>
      <c r="J587" s="14" t="s">
        <v>931</v>
      </c>
      <c r="K587" s="13" t="s">
        <v>932</v>
      </c>
      <c r="L587" s="15">
        <v>8.4</v>
      </c>
      <c r="M587" s="15">
        <v>25.04</v>
      </c>
      <c r="N587" s="15">
        <v>6.0239999999999991</v>
      </c>
      <c r="O587" s="15">
        <f>V587-M587</f>
        <v>3.0700000000000003</v>
      </c>
      <c r="P587" s="16">
        <f>N587/L587</f>
        <v>0.71714285714285697</v>
      </c>
      <c r="Q587" s="14">
        <v>147475</v>
      </c>
      <c r="R587" s="14"/>
      <c r="S587" s="17">
        <v>0.63933980000000001</v>
      </c>
      <c r="T587" s="15">
        <v>25.04</v>
      </c>
      <c r="U587" s="15">
        <v>28.11</v>
      </c>
      <c r="V587" s="15">
        <v>28.11</v>
      </c>
      <c r="W587" s="14" t="s">
        <v>933</v>
      </c>
      <c r="X587" s="14">
        <v>4</v>
      </c>
      <c r="Y587" s="10">
        <f>AC587-AB587</f>
        <v>38</v>
      </c>
      <c r="Z587" s="18">
        <v>29</v>
      </c>
      <c r="AA587" s="18">
        <v>66</v>
      </c>
      <c r="AB587" s="18">
        <v>2</v>
      </c>
      <c r="AC587" s="18">
        <v>40</v>
      </c>
      <c r="AD587" s="1" t="s">
        <v>934</v>
      </c>
      <c r="AE587" s="1" t="s">
        <v>935</v>
      </c>
      <c r="AG587" s="4">
        <v>6.86</v>
      </c>
    </row>
    <row r="588" spans="1:33" ht="47.25" customHeight="1" x14ac:dyDescent="0.25">
      <c r="A588" s="10" t="s">
        <v>3950</v>
      </c>
      <c r="B588" s="11" t="s">
        <v>33</v>
      </c>
      <c r="C588" s="12" t="s">
        <v>3951</v>
      </c>
      <c r="D588" s="27"/>
      <c r="E588" s="14" t="s">
        <v>35</v>
      </c>
      <c r="F588" s="11" t="str">
        <f>HYPERLINK("https://redirect.sdcdeals.com/redirect?destination=https%3A%2F%2Fwww.amazon.com%2Fdp%2FB09B69MNWH%3Fth%3D1%26psc%3D1%26tag%3Dsdcdeals03-20", "Amazon Link")</f>
        <v>Amazon Link</v>
      </c>
      <c r="G588" s="11" t="s">
        <v>36</v>
      </c>
      <c r="H588" s="14" t="s">
        <v>3952</v>
      </c>
      <c r="I588" s="11" t="str">
        <f>HYPERLINK("https://redirect.sdcdeals.com/redirect?code=763034&amp;mavely=https://mavely.app.link/e/bhESV2wGrGb&amp;destination=https%3A%2F%2Fwww.kohls.com%2Fsearch.jsp%3Fsubmit-search%3Dweb-regular%26search%3D49742196", "Retail Link")</f>
        <v>Retail Link</v>
      </c>
      <c r="J588" s="14" t="s">
        <v>3942</v>
      </c>
      <c r="K588" s="13" t="s">
        <v>3953</v>
      </c>
      <c r="L588" s="15">
        <v>12.48</v>
      </c>
      <c r="M588" s="15">
        <v>32.06</v>
      </c>
      <c r="N588" s="15">
        <v>8.8709999999999987</v>
      </c>
      <c r="O588" s="15">
        <f>V588-M588</f>
        <v>3.8699999999999974</v>
      </c>
      <c r="P588" s="16">
        <f>N588/L588</f>
        <v>0.71081730769230755</v>
      </c>
      <c r="Q588" s="14">
        <v>109613</v>
      </c>
      <c r="R588" s="14"/>
      <c r="S588" s="17">
        <v>1.1993132799999999</v>
      </c>
      <c r="T588" s="15">
        <v>32.06</v>
      </c>
      <c r="U588" s="15">
        <v>31.56</v>
      </c>
      <c r="V588" s="15">
        <v>35.93</v>
      </c>
      <c r="W588" s="14" t="s">
        <v>3954</v>
      </c>
      <c r="X588" s="14">
        <v>2</v>
      </c>
      <c r="Y588" s="10">
        <f>AC588-AB588</f>
        <v>817</v>
      </c>
      <c r="Z588" s="18">
        <v>30</v>
      </c>
      <c r="AA588" s="18">
        <v>87</v>
      </c>
      <c r="AB588" s="18">
        <v>6</v>
      </c>
      <c r="AC588" s="18">
        <v>823</v>
      </c>
      <c r="AD588" s="1" t="s">
        <v>2991</v>
      </c>
      <c r="AE588" s="1" t="s">
        <v>2992</v>
      </c>
      <c r="AF588" s="4">
        <v>5.45</v>
      </c>
      <c r="AG588" s="4">
        <v>5.9</v>
      </c>
    </row>
    <row r="589" spans="1:33" ht="47.25" customHeight="1" x14ac:dyDescent="0.25">
      <c r="A589" s="10" t="s">
        <v>1929</v>
      </c>
      <c r="B589" s="11" t="s">
        <v>33</v>
      </c>
      <c r="C589" s="12" t="s">
        <v>1930</v>
      </c>
      <c r="D589" s="27"/>
      <c r="E589" s="14" t="s">
        <v>35</v>
      </c>
      <c r="F589" s="11" t="str">
        <f>HYPERLINK("https://redirect.sdcdeals.com/redirect?destination=https%3A%2F%2Fwww.amazon.com%2Fdp%2FB01IE1OI2M%3Fth%3D1%26psc%3D1%26tag%3Dsdcdeals03-20", "Amazon Link")</f>
        <v>Amazon Link</v>
      </c>
      <c r="G589" s="11" t="s">
        <v>36</v>
      </c>
      <c r="H589" s="14" t="s">
        <v>1931</v>
      </c>
      <c r="I589" s="11" t="str">
        <f>HYPERLINK("https://redirect.sdcdeals.com/redirect?code=763034&amp;mavely=https://mavely.app.link/e/bhESV2wGrGb&amp;destination=https%3A%2F%2Fwww.kohls.com%2Fsearch.jsp%3Fsubmit-search%3Dweb-regular%26search%3D46361243", "Retail Link")</f>
        <v>Retail Link</v>
      </c>
      <c r="J589" s="14" t="s">
        <v>1897</v>
      </c>
      <c r="K589" s="13" t="s">
        <v>1898</v>
      </c>
      <c r="L589" s="15">
        <v>10.8</v>
      </c>
      <c r="M589" s="15">
        <v>30.53</v>
      </c>
      <c r="N589" s="15">
        <v>7.650500000000001</v>
      </c>
      <c r="O589" s="15">
        <f>V589-M589</f>
        <v>2.0899999999999963</v>
      </c>
      <c r="P589" s="16">
        <f>N589/L589</f>
        <v>0.70837962962962964</v>
      </c>
      <c r="Q589" s="14">
        <v>1552</v>
      </c>
      <c r="R589" s="14">
        <v>100</v>
      </c>
      <c r="S589" s="17">
        <v>1.1904948</v>
      </c>
      <c r="T589" s="15"/>
      <c r="U589" s="15">
        <v>30.53</v>
      </c>
      <c r="V589" s="15">
        <v>32.619999999999997</v>
      </c>
      <c r="W589" s="14" t="s">
        <v>1932</v>
      </c>
      <c r="X589" s="14">
        <v>4</v>
      </c>
      <c r="Y589" s="10">
        <f>AC589-AB589</f>
        <v>16953</v>
      </c>
      <c r="Z589" s="18">
        <v>59</v>
      </c>
      <c r="AA589" s="18">
        <v>146</v>
      </c>
      <c r="AB589" s="18">
        <v>955</v>
      </c>
      <c r="AC589" s="18">
        <v>17908</v>
      </c>
      <c r="AD589" s="1" t="s">
        <v>1900</v>
      </c>
      <c r="AE589" s="1" t="s">
        <v>1906</v>
      </c>
      <c r="AG589" s="4">
        <v>7.5</v>
      </c>
    </row>
    <row r="590" spans="1:33" ht="47.25" customHeight="1" x14ac:dyDescent="0.25">
      <c r="A590" s="10" t="s">
        <v>3426</v>
      </c>
      <c r="B590" s="11" t="s">
        <v>33</v>
      </c>
      <c r="C590" s="12" t="s">
        <v>3427</v>
      </c>
      <c r="D590" s="27"/>
      <c r="E590" s="14" t="s">
        <v>35</v>
      </c>
      <c r="F590" s="11" t="str">
        <f>HYPERLINK("https://redirect.sdcdeals.com/redirect?destination=https%3A%2F%2Fwww.amazon.com%2Fdp%2FB09VGW459K%3Fth%3D1%26psc%3D1%26tag%3Dsdcdeals03-20", "Amazon Link")</f>
        <v>Amazon Link</v>
      </c>
      <c r="G590" s="11" t="s">
        <v>36</v>
      </c>
      <c r="H590" s="14" t="s">
        <v>3428</v>
      </c>
      <c r="I590" s="11" t="str">
        <f>HYPERLINK("https://redirect.sdcdeals.com/redirect?code=763034&amp;mavely=https://mavely.app.link/e/bhESV2wGrGb&amp;destination=https%3A%2F%2Fwww.kohls.com%2Fsearch.jsp%3Fsubmit-search%3Dweb-regular%26search%3D37724578", "Retail Link")</f>
        <v>Retail Link</v>
      </c>
      <c r="J590" s="14" t="s">
        <v>3413</v>
      </c>
      <c r="K590" s="13" t="s">
        <v>3429</v>
      </c>
      <c r="L590" s="15">
        <v>12.48</v>
      </c>
      <c r="M590" s="15">
        <v>33.340000000000003</v>
      </c>
      <c r="N590" s="15">
        <v>8.8390000000000022</v>
      </c>
      <c r="O590" s="15">
        <f>V590-M590</f>
        <v>2.0999999999999943</v>
      </c>
      <c r="P590" s="16">
        <f>N590/L590</f>
        <v>0.70825320512820533</v>
      </c>
      <c r="Q590" s="14">
        <v>95891</v>
      </c>
      <c r="R590" s="14"/>
      <c r="S590" s="17">
        <v>1.3227720000000001</v>
      </c>
      <c r="T590" s="15">
        <v>33.340000000000003</v>
      </c>
      <c r="U590" s="15">
        <v>33.11</v>
      </c>
      <c r="V590" s="15">
        <v>35.44</v>
      </c>
      <c r="W590" s="14" t="s">
        <v>3430</v>
      </c>
      <c r="X590" s="14">
        <v>1</v>
      </c>
      <c r="Y590" s="10">
        <f>AC590-AB590</f>
        <v>3498</v>
      </c>
      <c r="Z590" s="18">
        <v>27</v>
      </c>
      <c r="AA590" s="18">
        <v>82</v>
      </c>
      <c r="AB590" s="18">
        <v>2</v>
      </c>
      <c r="AC590" s="18">
        <v>3500</v>
      </c>
      <c r="AD590" s="1" t="s">
        <v>1037</v>
      </c>
      <c r="AE590" s="1" t="s">
        <v>2089</v>
      </c>
      <c r="AF590" s="4">
        <v>5.67</v>
      </c>
      <c r="AG590" s="4">
        <v>7.02</v>
      </c>
    </row>
    <row r="591" spans="1:33" ht="47.25" customHeight="1" x14ac:dyDescent="0.25">
      <c r="A591" s="10" t="s">
        <v>6321</v>
      </c>
      <c r="B591" s="11" t="s">
        <v>33</v>
      </c>
      <c r="C591" s="12" t="s">
        <v>6322</v>
      </c>
      <c r="D591" s="27"/>
      <c r="E591" s="14" t="s">
        <v>35</v>
      </c>
      <c r="F591" s="11" t="str">
        <f>HYPERLINK("https://redirect.sdcdeals.com/redirect?destination=https%3A%2F%2Fwww.amazon.com%2Fdp%2FB0BN52FPK1%3Fth%3D1%26psc%3D1%26tag%3Dsdcdeals03-20", "Amazon Link")</f>
        <v>Amazon Link</v>
      </c>
      <c r="G591" s="11" t="s">
        <v>36</v>
      </c>
      <c r="H591" s="14" t="s">
        <v>6323</v>
      </c>
      <c r="I591" s="11" t="str">
        <f>HYPERLINK("https://redirect.sdcdeals.com/redirect?code=763034&amp;mavely=https://mavely.app.link/e/bhESV2wGrGb&amp;destination=https%3A%2F%2Fwww.kohls.com%2Fsearch.jsp%3Fsubmit-search%3Dweb-regular%26search%3D82000457", "Retail Link")</f>
        <v>Retail Link</v>
      </c>
      <c r="J591" s="14" t="s">
        <v>6311</v>
      </c>
      <c r="K591" s="13" t="s">
        <v>6324</v>
      </c>
      <c r="L591" s="15">
        <v>15.288</v>
      </c>
      <c r="M591" s="15">
        <v>38.479999999999997</v>
      </c>
      <c r="N591" s="15">
        <v>10.82</v>
      </c>
      <c r="O591" s="15">
        <f>V591-M591</f>
        <v>3.9200000000000017</v>
      </c>
      <c r="P591" s="16">
        <f>N591/L591</f>
        <v>0.70774463631606488</v>
      </c>
      <c r="Q591" s="14">
        <v>25702</v>
      </c>
      <c r="R591" s="14"/>
      <c r="S591" s="17">
        <v>0.85980180000000006</v>
      </c>
      <c r="T591" s="15"/>
      <c r="U591" s="15">
        <v>38.479999999999997</v>
      </c>
      <c r="V591" s="15">
        <v>42.4</v>
      </c>
      <c r="W591" s="14" t="s">
        <v>436</v>
      </c>
      <c r="X591" s="14">
        <v>1</v>
      </c>
      <c r="Y591" s="10">
        <f>AC591-AB591</f>
        <v>1496</v>
      </c>
      <c r="Z591" s="18">
        <v>3</v>
      </c>
      <c r="AA591" s="18">
        <v>11</v>
      </c>
      <c r="AB591" s="18">
        <v>0</v>
      </c>
      <c r="AC591" s="18">
        <v>1496</v>
      </c>
      <c r="AD591" s="1" t="s">
        <v>6325</v>
      </c>
      <c r="AE591" s="1" t="s">
        <v>6326</v>
      </c>
      <c r="AG591" s="4">
        <v>6.6</v>
      </c>
    </row>
    <row r="592" spans="1:33" ht="47.25" customHeight="1" x14ac:dyDescent="0.25">
      <c r="A592" s="10" t="s">
        <v>7069</v>
      </c>
      <c r="B592" s="11" t="s">
        <v>33</v>
      </c>
      <c r="C592" s="12" t="s">
        <v>7070</v>
      </c>
      <c r="D592" s="27"/>
      <c r="E592" s="14" t="s">
        <v>35</v>
      </c>
      <c r="F592" s="11" t="str">
        <f>HYPERLINK("https://redirect.sdcdeals.com/redirect?destination=https%3A%2F%2Fwww.amazon.com%2Fdp%2FB0C87938BB%3Fth%3D1%26psc%3D1%26tag%3Dsdcdeals03-20", "Amazon Link")</f>
        <v>Amazon Link</v>
      </c>
      <c r="G592" s="11" t="s">
        <v>36</v>
      </c>
      <c r="H592" s="14" t="s">
        <v>7071</v>
      </c>
      <c r="I592" s="11" t="str">
        <f>HYPERLINK("https://redirect.sdcdeals.com/redirect?code=763034&amp;mavely=https://mavely.app.link/e/bhESV2wGrGb&amp;destination=https%3A%2F%2Fwww.kohls.com%2Fsearch.jsp%3Fsubmit-search%3Dweb-regular%26search%3D70986833", "Retail Link")</f>
        <v>Retail Link</v>
      </c>
      <c r="J592" s="14" t="s">
        <v>7062</v>
      </c>
      <c r="K592" s="13" t="s">
        <v>7063</v>
      </c>
      <c r="L592" s="15">
        <v>7.2</v>
      </c>
      <c r="M592" s="15">
        <v>20.399999999999999</v>
      </c>
      <c r="N592" s="15">
        <v>5.089999999999999</v>
      </c>
      <c r="O592" s="15">
        <f>V592-M592</f>
        <v>-1.6199999999999974</v>
      </c>
      <c r="P592" s="16">
        <f>N592/L592</f>
        <v>0.70694444444444426</v>
      </c>
      <c r="Q592" s="14">
        <v>391381</v>
      </c>
      <c r="R592" s="14"/>
      <c r="S592" s="17">
        <v>0.39242236000000003</v>
      </c>
      <c r="T592" s="15">
        <v>20.399999999999999</v>
      </c>
      <c r="U592" s="15">
        <v>18.899999999999999</v>
      </c>
      <c r="V592" s="15">
        <v>18.78</v>
      </c>
      <c r="W592" s="14" t="s">
        <v>164</v>
      </c>
      <c r="X592" s="14">
        <v>2</v>
      </c>
      <c r="Y592" s="10">
        <f>AC592-AB592</f>
        <v>408</v>
      </c>
      <c r="Z592" s="18">
        <v>17</v>
      </c>
      <c r="AA592" s="18">
        <v>47</v>
      </c>
      <c r="AB592" s="18">
        <v>0</v>
      </c>
      <c r="AC592" s="18">
        <v>408</v>
      </c>
      <c r="AD592" s="1" t="s">
        <v>7064</v>
      </c>
      <c r="AE592" s="1" t="s">
        <v>7065</v>
      </c>
      <c r="AF592" s="4">
        <v>3.47</v>
      </c>
      <c r="AG592" s="4">
        <v>5.05</v>
      </c>
    </row>
    <row r="593" spans="1:33" ht="47.25" customHeight="1" x14ac:dyDescent="0.25">
      <c r="A593" s="10" t="s">
        <v>3980</v>
      </c>
      <c r="B593" s="11" t="s">
        <v>33</v>
      </c>
      <c r="C593" s="12" t="s">
        <v>3981</v>
      </c>
      <c r="D593" s="27"/>
      <c r="E593" s="14" t="s">
        <v>35</v>
      </c>
      <c r="F593" s="11" t="str">
        <f>HYPERLINK("https://redirect.sdcdeals.com/redirect?destination=https%3A%2F%2Fwww.amazon.com%2Fdp%2FB0C69BY9QK%3Fth%3D1%26psc%3D1%26tag%3Dsdcdeals03-20", "Amazon Link")</f>
        <v>Amazon Link</v>
      </c>
      <c r="G593" s="11" t="s">
        <v>36</v>
      </c>
      <c r="H593" s="14" t="s">
        <v>3982</v>
      </c>
      <c r="I593" s="11" t="str">
        <f>HYPERLINK("https://redirect.sdcdeals.com/redirect?code=763034&amp;mavely=https://mavely.app.link/e/bhESV2wGrGb&amp;destination=https%3A%2F%2Fwww.kohls.com%2Fsearch.jsp%3Fsubmit-search%3Dweb-regular%26search%3D80598048", "Retail Link")</f>
        <v>Retail Link</v>
      </c>
      <c r="J593" s="14" t="s">
        <v>3942</v>
      </c>
      <c r="K593" s="13" t="s">
        <v>3983</v>
      </c>
      <c r="L593" s="15">
        <v>12.48</v>
      </c>
      <c r="M593" s="15">
        <v>33.07</v>
      </c>
      <c r="N593" s="15">
        <v>8.8195000000000014</v>
      </c>
      <c r="O593" s="15">
        <f>V593-M593</f>
        <v>5.3599999999999994</v>
      </c>
      <c r="P593" s="16">
        <f>N593/L593</f>
        <v>0.7066907051282052</v>
      </c>
      <c r="Q593" s="14">
        <v>95891</v>
      </c>
      <c r="R593" s="14"/>
      <c r="S593" s="17">
        <v>1.5873264</v>
      </c>
      <c r="T593" s="15">
        <v>33.07</v>
      </c>
      <c r="U593" s="15">
        <v>35.659999999999997</v>
      </c>
      <c r="V593" s="15">
        <v>38.43</v>
      </c>
      <c r="W593" s="14" t="s">
        <v>903</v>
      </c>
      <c r="X593" s="14">
        <v>1</v>
      </c>
      <c r="Y593" s="10">
        <f>AC593-AB593</f>
        <v>3500</v>
      </c>
      <c r="Z593" s="18">
        <v>24</v>
      </c>
      <c r="AA593" s="18">
        <v>72</v>
      </c>
      <c r="AB593" s="18">
        <v>0</v>
      </c>
      <c r="AC593" s="18">
        <v>3500</v>
      </c>
      <c r="AD593" s="1" t="s">
        <v>1037</v>
      </c>
      <c r="AE593" s="1" t="s">
        <v>1038</v>
      </c>
      <c r="AF593" s="4">
        <v>5.62</v>
      </c>
      <c r="AG593" s="4">
        <v>6.81</v>
      </c>
    </row>
    <row r="594" spans="1:33" ht="47.25" customHeight="1" x14ac:dyDescent="0.25">
      <c r="A594" s="10" t="s">
        <v>1093</v>
      </c>
      <c r="B594" s="11" t="s">
        <v>33</v>
      </c>
      <c r="C594" s="12" t="s">
        <v>1094</v>
      </c>
      <c r="D594" s="27"/>
      <c r="E594" s="14" t="s">
        <v>35</v>
      </c>
      <c r="F594" s="11" t="str">
        <f>HYPERLINK("https://redirect.sdcdeals.com/redirect?destination=https%3A%2F%2Fwww.amazon.com%2Fdp%2FB07FZDMR27%3Fth%3D1%26psc%3D1%26tag%3Dsdcdeals03-20", "Amazon Link")</f>
        <v>Amazon Link</v>
      </c>
      <c r="G594" s="11" t="s">
        <v>36</v>
      </c>
      <c r="H594" s="14" t="s">
        <v>1095</v>
      </c>
      <c r="I594" s="11" t="str">
        <f>HYPERLINK("https://redirect.sdcdeals.com/redirect?code=763034&amp;mavely=https://mavely.app.link/e/bhESV2wGrGb&amp;destination=https%3A%2F%2Fwww.kohls.com%2Fsearch.jsp%3Fsubmit-search%3Dweb-regular%26search%3D59281944", "Retail Link")</f>
        <v>Retail Link</v>
      </c>
      <c r="J594" s="14" t="s">
        <v>1089</v>
      </c>
      <c r="K594" s="13" t="s">
        <v>1096</v>
      </c>
      <c r="L594" s="15">
        <v>19.687999999999999</v>
      </c>
      <c r="M594" s="15">
        <v>46.52</v>
      </c>
      <c r="N594" s="15">
        <v>13.804000000000009</v>
      </c>
      <c r="O594" s="15">
        <f>V594-M594</f>
        <v>0</v>
      </c>
      <c r="P594" s="16">
        <f>N594/L594</f>
        <v>0.70113774888256852</v>
      </c>
      <c r="Q594" s="14">
        <v>250055</v>
      </c>
      <c r="R594" s="14"/>
      <c r="S594" s="17">
        <v>1.5322108999999999</v>
      </c>
      <c r="T594" s="15">
        <v>38.57</v>
      </c>
      <c r="U594" s="15">
        <v>46.52</v>
      </c>
      <c r="V594" s="15">
        <v>46.52</v>
      </c>
      <c r="W594" s="14" t="s">
        <v>1097</v>
      </c>
      <c r="X594" s="14">
        <v>1</v>
      </c>
      <c r="Y594" s="10">
        <f>AC594-AB594</f>
        <v>124</v>
      </c>
      <c r="Z594" s="18">
        <v>21</v>
      </c>
      <c r="AA594" s="18">
        <v>40</v>
      </c>
      <c r="AB594" s="18">
        <v>6</v>
      </c>
      <c r="AC594" s="18">
        <v>130</v>
      </c>
      <c r="AD594" s="1" t="s">
        <v>1091</v>
      </c>
      <c r="AE594" s="1" t="s">
        <v>1092</v>
      </c>
      <c r="AF594" s="4">
        <v>7.91</v>
      </c>
      <c r="AG594" s="4">
        <v>6.05</v>
      </c>
    </row>
    <row r="595" spans="1:33" ht="47.25" customHeight="1" x14ac:dyDescent="0.25">
      <c r="A595" s="10" t="s">
        <v>681</v>
      </c>
      <c r="B595" s="11" t="s">
        <v>33</v>
      </c>
      <c r="C595" s="12" t="s">
        <v>682</v>
      </c>
      <c r="D595" s="27"/>
      <c r="E595" s="14" t="s">
        <v>35</v>
      </c>
      <c r="F595" s="11" t="str">
        <f>HYPERLINK("https://redirect.sdcdeals.com/redirect?destination=https%3A%2F%2Fwww.amazon.com%2Fdp%2FB0BCCGXCSK%3Fth%3D1%26psc%3D1%26tag%3Dsdcdeals03-20", "Amazon Link")</f>
        <v>Amazon Link</v>
      </c>
      <c r="G595" s="11" t="s">
        <v>36</v>
      </c>
      <c r="H595" s="14" t="s">
        <v>683</v>
      </c>
      <c r="I595" s="11" t="str">
        <f>HYPERLINK("https://redirect.sdcdeals.com/redirect?code=763034&amp;mavely=https://mavely.app.link/e/bhESV2wGrGb&amp;destination=https%3A%2F%2Fwww.kohls.com%2Fsearch.jsp%3Fsubmit-search%3Dweb-regular%26search%3D18431923", "Retail Link")</f>
        <v>Retail Link</v>
      </c>
      <c r="J595" s="14" t="s">
        <v>677</v>
      </c>
      <c r="K595" s="13" t="s">
        <v>684</v>
      </c>
      <c r="L595" s="15">
        <v>12.96</v>
      </c>
      <c r="M595" s="15">
        <v>33.94</v>
      </c>
      <c r="N595" s="15">
        <v>9.0789999999999971</v>
      </c>
      <c r="O595" s="15">
        <f>V595-M595</f>
        <v>-10.649999999999999</v>
      </c>
      <c r="P595" s="16">
        <f>N595/L595</f>
        <v>0.70054012345678984</v>
      </c>
      <c r="Q595" s="14">
        <v>1275331</v>
      </c>
      <c r="R595" s="14"/>
      <c r="S595" s="17">
        <v>1.1133331</v>
      </c>
      <c r="T595" s="15">
        <v>33.94</v>
      </c>
      <c r="U595" s="15">
        <v>27.43</v>
      </c>
      <c r="V595" s="15">
        <v>23.29</v>
      </c>
      <c r="W595" s="14" t="s">
        <v>282</v>
      </c>
      <c r="X595" s="14">
        <v>1</v>
      </c>
      <c r="Y595" s="10">
        <f>AC595-AB595</f>
        <v>2</v>
      </c>
      <c r="Z595" s="18">
        <v>7</v>
      </c>
      <c r="AA595" s="18">
        <v>23</v>
      </c>
      <c r="AB595" s="18">
        <v>0</v>
      </c>
      <c r="AC595" s="18">
        <v>2</v>
      </c>
      <c r="AD595" s="1" t="s">
        <v>679</v>
      </c>
      <c r="AE595" s="1" t="s">
        <v>76</v>
      </c>
      <c r="AF595" s="4">
        <v>5.77</v>
      </c>
      <c r="AG595" s="4">
        <v>6.81</v>
      </c>
    </row>
    <row r="596" spans="1:33" ht="47.25" customHeight="1" x14ac:dyDescent="0.25">
      <c r="A596" s="10" t="s">
        <v>6952</v>
      </c>
      <c r="B596" s="11" t="s">
        <v>33</v>
      </c>
      <c r="C596" s="12" t="s">
        <v>6953</v>
      </c>
      <c r="D596" s="27"/>
      <c r="E596" s="14" t="s">
        <v>35</v>
      </c>
      <c r="F596" s="11" t="str">
        <f>HYPERLINK("https://redirect.sdcdeals.com/redirect?destination=https%3A%2F%2Fwww.amazon.com%2Fdp%2FB09X6J7H5H%3Fth%3D1%26psc%3D1%26tag%3Dsdcdeals03-20", "Amazon Link")</f>
        <v>Amazon Link</v>
      </c>
      <c r="G596" s="11" t="s">
        <v>36</v>
      </c>
      <c r="H596" s="14" t="s">
        <v>6954</v>
      </c>
      <c r="I596" s="11" t="str">
        <f>HYPERLINK("https://redirect.sdcdeals.com/redirect?code=763034&amp;mavely=https://mavely.app.link/e/bhESV2wGrGb&amp;destination=https%3A%2F%2Fwww.kohls.com%2Fsearch.jsp%3Fsubmit-search%3Dweb-regular%26search%3D33236228", "Retail Link")</f>
        <v>Retail Link</v>
      </c>
      <c r="J596" s="14" t="s">
        <v>6932</v>
      </c>
      <c r="K596" s="13" t="s">
        <v>6955</v>
      </c>
      <c r="L596" s="15">
        <v>15.6</v>
      </c>
      <c r="M596" s="15">
        <v>38.97</v>
      </c>
      <c r="N596" s="15">
        <v>10.9245</v>
      </c>
      <c r="O596" s="15">
        <f>V596-M596</f>
        <v>9.7100000000000009</v>
      </c>
      <c r="P596" s="16">
        <f>N596/L596</f>
        <v>0.70028846153846158</v>
      </c>
      <c r="Q596" s="14">
        <v>743804</v>
      </c>
      <c r="R596" s="14"/>
      <c r="S596" s="17">
        <v>1.0141252000000001</v>
      </c>
      <c r="T596" s="15">
        <v>31.94</v>
      </c>
      <c r="U596" s="15">
        <v>48.4</v>
      </c>
      <c r="V596" s="15">
        <v>48.68</v>
      </c>
      <c r="W596" s="14" t="s">
        <v>296</v>
      </c>
      <c r="X596" s="14">
        <v>6</v>
      </c>
      <c r="Y596" s="10">
        <f>AC596-AB596</f>
        <v>0</v>
      </c>
      <c r="Z596" s="18">
        <v>6</v>
      </c>
      <c r="AA596" s="18">
        <v>9</v>
      </c>
      <c r="AB596" s="18">
        <v>0</v>
      </c>
      <c r="AC596" s="18"/>
      <c r="AD596" s="1" t="s">
        <v>6934</v>
      </c>
      <c r="AE596" s="1" t="s">
        <v>6935</v>
      </c>
      <c r="AF596" s="4">
        <v>6.62</v>
      </c>
      <c r="AG596" s="4">
        <v>6.6</v>
      </c>
    </row>
    <row r="597" spans="1:33" ht="47.25" customHeight="1" x14ac:dyDescent="0.25">
      <c r="A597" s="10" t="s">
        <v>3009</v>
      </c>
      <c r="B597" s="11" t="s">
        <v>33</v>
      </c>
      <c r="C597" s="12" t="s">
        <v>3010</v>
      </c>
      <c r="D597" s="27"/>
      <c r="E597" s="14" t="s">
        <v>35</v>
      </c>
      <c r="F597" s="11" t="str">
        <f>HYPERLINK("https://redirect.sdcdeals.com/redirect?destination=https%3A%2F%2Fwww.amazon.com%2Fdp%2FB07N7MKYYQ%3Fth%3D1%26psc%3D1%26tag%3Dsdcdeals03-20", "Amazon Link")</f>
        <v>Amazon Link</v>
      </c>
      <c r="G597" s="11" t="s">
        <v>36</v>
      </c>
      <c r="H597" s="14" t="s">
        <v>3011</v>
      </c>
      <c r="I597" s="11" t="str">
        <f>HYPERLINK("https://redirect.sdcdeals.com/redirect?code=763034&amp;mavely=https://mavely.app.link/e/bhESV2wGrGb&amp;destination=https%3A%2F%2Fwww.kohls.com%2Fsearch.jsp%3Fsubmit-search%3Dweb-regular%26search%3D49891008", "Retail Link")</f>
        <v>Retail Link</v>
      </c>
      <c r="J597" s="14" t="s">
        <v>3012</v>
      </c>
      <c r="K597" s="13" t="s">
        <v>3013</v>
      </c>
      <c r="L597" s="15">
        <v>10.4</v>
      </c>
      <c r="M597" s="15">
        <v>27.91</v>
      </c>
      <c r="N597" s="15">
        <v>7.2734999999999967</v>
      </c>
      <c r="O597" s="15">
        <f>V597-M597</f>
        <v>-7.620000000000001</v>
      </c>
      <c r="P597" s="16">
        <f>N597/L597</f>
        <v>0.69937499999999964</v>
      </c>
      <c r="Q597" s="14">
        <v>254478</v>
      </c>
      <c r="R597" s="14"/>
      <c r="S597" s="17">
        <v>0.70547840000000006</v>
      </c>
      <c r="T597" s="15">
        <v>27.91</v>
      </c>
      <c r="U597" s="15">
        <v>22.36</v>
      </c>
      <c r="V597" s="15">
        <v>20.29</v>
      </c>
      <c r="W597" s="14" t="s">
        <v>2879</v>
      </c>
      <c r="X597" s="14">
        <v>2</v>
      </c>
      <c r="Y597" s="10">
        <f>AC597-AB597</f>
        <v>246</v>
      </c>
      <c r="Z597" s="18">
        <v>24</v>
      </c>
      <c r="AA597" s="18">
        <v>66</v>
      </c>
      <c r="AB597" s="18">
        <v>2</v>
      </c>
      <c r="AC597" s="18">
        <v>248</v>
      </c>
      <c r="AD597" s="1" t="s">
        <v>3014</v>
      </c>
      <c r="AE597" s="1" t="s">
        <v>935</v>
      </c>
      <c r="AF597" s="4">
        <v>4.74</v>
      </c>
      <c r="AG597" s="4">
        <v>6.05</v>
      </c>
    </row>
    <row r="598" spans="1:33" ht="47.25" customHeight="1" x14ac:dyDescent="0.25">
      <c r="A598" s="10" t="s">
        <v>6409</v>
      </c>
      <c r="B598" s="11" t="s">
        <v>33</v>
      </c>
      <c r="C598" s="12" t="s">
        <v>6410</v>
      </c>
      <c r="D598" s="27"/>
      <c r="E598" s="14" t="s">
        <v>35</v>
      </c>
      <c r="F598" s="11" t="str">
        <f>HYPERLINK("https://redirect.sdcdeals.com/redirect?destination=https%3A%2F%2Fwww.amazon.com%2Fdp%2FB0872DS9RL%3Fth%3D1%26psc%3D1%26tag%3Dsdcdeals03-20", "Amazon Link")</f>
        <v>Amazon Link</v>
      </c>
      <c r="G598" s="11" t="s">
        <v>36</v>
      </c>
      <c r="H598" s="14" t="s">
        <v>6411</v>
      </c>
      <c r="I598" s="11" t="str">
        <f>HYPERLINK("https://redirect.sdcdeals.com/redirect?code=763034&amp;mavely=https://mavely.app.link/e/bhESV2wGrGb&amp;destination=https%3A%2F%2Fwww.kohls.com%2Fsearch.jsp%3Fsubmit-search%3Dweb-regular%26search%3D62652856", "Retail Link")</f>
        <v>Retail Link</v>
      </c>
      <c r="J598" s="14" t="s">
        <v>6406</v>
      </c>
      <c r="K598" s="13" t="s">
        <v>6412</v>
      </c>
      <c r="L598" s="15">
        <v>14</v>
      </c>
      <c r="M598" s="15">
        <v>33.92</v>
      </c>
      <c r="N598" s="15">
        <v>9.782</v>
      </c>
      <c r="O598" s="15">
        <f>V598-M598</f>
        <v>6</v>
      </c>
      <c r="P598" s="16">
        <f>N598/L598</f>
        <v>0.69871428571428573</v>
      </c>
      <c r="Q598" s="14">
        <v>8445</v>
      </c>
      <c r="R598" s="14"/>
      <c r="S598" s="17">
        <v>0.42108242000000001</v>
      </c>
      <c r="T598" s="15">
        <v>17.5</v>
      </c>
      <c r="U598" s="15">
        <v>38.39</v>
      </c>
      <c r="V598" s="15">
        <v>39.92</v>
      </c>
      <c r="W598" s="14" t="s">
        <v>164</v>
      </c>
      <c r="X598" s="14">
        <v>4</v>
      </c>
      <c r="Y598" s="10">
        <f>AC598-AB598</f>
        <v>4415</v>
      </c>
      <c r="Z598" s="18">
        <v>93</v>
      </c>
      <c r="AA598" s="18">
        <v>233</v>
      </c>
      <c r="AB598" s="18">
        <v>8</v>
      </c>
      <c r="AC598" s="18">
        <v>4423</v>
      </c>
      <c r="AD598" s="1" t="s">
        <v>6408</v>
      </c>
      <c r="AE598" s="1" t="s">
        <v>3314</v>
      </c>
      <c r="AF598" s="4">
        <v>5.77</v>
      </c>
      <c r="AG598" s="4">
        <v>5.05</v>
      </c>
    </row>
    <row r="599" spans="1:33" ht="47.25" customHeight="1" x14ac:dyDescent="0.25">
      <c r="A599" s="10" t="s">
        <v>5158</v>
      </c>
      <c r="B599" s="11" t="s">
        <v>33</v>
      </c>
      <c r="C599" s="12" t="s">
        <v>5159</v>
      </c>
      <c r="D599" s="27"/>
      <c r="E599" s="14" t="s">
        <v>35</v>
      </c>
      <c r="F599" s="11" t="str">
        <f>HYPERLINK("https://redirect.sdcdeals.com/redirect?destination=https%3A%2F%2Fwww.amazon.com%2Fdp%2FB00YO77F6M%3Fth%3D1%26psc%3D1%26tag%3Dsdcdeals03-20", "Amazon Link")</f>
        <v>Amazon Link</v>
      </c>
      <c r="G599" s="11" t="s">
        <v>36</v>
      </c>
      <c r="H599" s="14" t="s">
        <v>5160</v>
      </c>
      <c r="I599" s="11" t="str">
        <f>HYPERLINK("https://redirect.sdcdeals.com/redirect?code=763034&amp;mavely=https://mavely.app.link/e/bhESV2wGrGb&amp;destination=https%3A%2F%2Fwww.kohls.com%2Fsearch.jsp%3Fsubmit-search%3Dweb-regular%26search%3D84919929", "Retail Link")</f>
        <v>Retail Link</v>
      </c>
      <c r="J599" s="14" t="s">
        <v>5161</v>
      </c>
      <c r="K599" s="13" t="s">
        <v>5162</v>
      </c>
      <c r="L599" s="15">
        <v>6.9920000000000009</v>
      </c>
      <c r="M599" s="15">
        <v>18.989999999999998</v>
      </c>
      <c r="N599" s="15">
        <v>4.8694999999999951</v>
      </c>
      <c r="O599" s="15">
        <f>V599-M599</f>
        <v>-3.2199999999999989</v>
      </c>
      <c r="P599" s="16">
        <f>N599/L599</f>
        <v>0.6964387871853539</v>
      </c>
      <c r="Q599" s="14">
        <v>5699</v>
      </c>
      <c r="R599" s="14"/>
      <c r="S599" s="17">
        <v>0.1984158</v>
      </c>
      <c r="T599" s="15">
        <v>18.989999999999998</v>
      </c>
      <c r="U599" s="15">
        <v>15.64</v>
      </c>
      <c r="V599" s="15">
        <v>15.77</v>
      </c>
      <c r="W599" s="14" t="s">
        <v>1949</v>
      </c>
      <c r="X599" s="14">
        <v>9</v>
      </c>
      <c r="Y599" s="10">
        <f>AC599-AB599</f>
        <v>0</v>
      </c>
      <c r="Z599" s="18">
        <v>36</v>
      </c>
      <c r="AA599" s="18">
        <v>156</v>
      </c>
      <c r="AB599" s="18">
        <v>57</v>
      </c>
      <c r="AC599" s="18">
        <v>57</v>
      </c>
      <c r="AD599" s="1" t="s">
        <v>5163</v>
      </c>
      <c r="AE599" s="1" t="s">
        <v>5164</v>
      </c>
      <c r="AF599" s="4">
        <v>0.96</v>
      </c>
      <c r="AG599" s="4">
        <v>4.28</v>
      </c>
    </row>
    <row r="600" spans="1:33" ht="47.25" customHeight="1" x14ac:dyDescent="0.25">
      <c r="A600" s="10" t="s">
        <v>2028</v>
      </c>
      <c r="B600" s="11" t="s">
        <v>33</v>
      </c>
      <c r="C600" s="12" t="s">
        <v>2029</v>
      </c>
      <c r="D600" s="27"/>
      <c r="E600" s="14" t="s">
        <v>35</v>
      </c>
      <c r="F600" s="11" t="str">
        <f>HYPERLINK("https://redirect.sdcdeals.com/redirect?destination=https%3A%2F%2Fwww.amazon.com%2Fdp%2FB08LNZWSJV%3Fth%3D1%26psc%3D1%26tag%3Dsdcdeals03-20", "Amazon Link")</f>
        <v>Amazon Link</v>
      </c>
      <c r="G600" s="11" t="s">
        <v>36</v>
      </c>
      <c r="H600" s="14" t="s">
        <v>2030</v>
      </c>
      <c r="I600" s="11" t="str">
        <f>HYPERLINK("https://redirect.sdcdeals.com/redirect?code=763034&amp;mavely=https://mavely.app.link/e/bhESV2wGrGb&amp;destination=https%3A%2F%2Fwww.kohls.com%2Fsearch.jsp%3Fsubmit-search%3Dweb-regular%26search%3D46568056", "Retail Link")</f>
        <v>Retail Link</v>
      </c>
      <c r="J600" s="14" t="s">
        <v>2014</v>
      </c>
      <c r="K600" s="13" t="s">
        <v>2031</v>
      </c>
      <c r="L600" s="15">
        <v>13</v>
      </c>
      <c r="M600" s="15">
        <v>34.39</v>
      </c>
      <c r="N600" s="15">
        <v>9.0515000000000008</v>
      </c>
      <c r="O600" s="15">
        <f>V600-M600</f>
        <v>3.740000000000002</v>
      </c>
      <c r="P600" s="16">
        <f>N600/L600</f>
        <v>0.69626923076923086</v>
      </c>
      <c r="Q600" s="14">
        <v>50737</v>
      </c>
      <c r="R600" s="14"/>
      <c r="S600" s="17">
        <v>0.83996022000000004</v>
      </c>
      <c r="T600" s="15">
        <v>26.69</v>
      </c>
      <c r="U600" s="15">
        <v>35.369999999999997</v>
      </c>
      <c r="V600" s="15">
        <v>38.130000000000003</v>
      </c>
      <c r="W600" s="14" t="s">
        <v>598</v>
      </c>
      <c r="X600" s="14">
        <v>7</v>
      </c>
      <c r="Y600" s="10">
        <f>AC600-AB600</f>
        <v>0</v>
      </c>
      <c r="Z600" s="18">
        <v>19</v>
      </c>
      <c r="AA600" s="18">
        <v>49</v>
      </c>
      <c r="AB600" s="18">
        <v>32</v>
      </c>
      <c r="AC600" s="18">
        <v>32</v>
      </c>
      <c r="AD600" s="1" t="s">
        <v>2016</v>
      </c>
      <c r="AE600" s="1" t="s">
        <v>2017</v>
      </c>
      <c r="AF600" s="4">
        <v>5.85</v>
      </c>
      <c r="AG600" s="4">
        <v>7.18</v>
      </c>
    </row>
    <row r="601" spans="1:33" ht="47.25" hidden="1" customHeight="1" x14ac:dyDescent="0.25">
      <c r="A601" s="10" t="s">
        <v>2509</v>
      </c>
      <c r="B601" s="11" t="s">
        <v>33</v>
      </c>
      <c r="C601" s="12" t="s">
        <v>2510</v>
      </c>
      <c r="D601" s="27"/>
      <c r="E601" s="14" t="s">
        <v>35</v>
      </c>
      <c r="F601" s="11" t="str">
        <f>HYPERLINK("https://redirect.sdcdeals.com/redirect?destination=https%3A%2F%2Fwww.amazon.com%2Fdp%2FB0BJWT449F%3Fth%3D1%26psc%3D1%26tag%3Dsdcdeals03-20", "Amazon Link")</f>
        <v>Amazon Link</v>
      </c>
      <c r="G601" s="11" t="s">
        <v>36</v>
      </c>
      <c r="H601" s="14" t="s">
        <v>2511</v>
      </c>
      <c r="I601" s="11" t="str">
        <f>HYPERLINK("https://redirect.sdcdeals.com/redirect?code=763034&amp;mavely=https://mavely.app.link/e/bhESV2wGrGb&amp;destination=https%3A%2F%2Fwww.kohls.com%2Fsearch.jsp%3Fsubmit-search%3Dweb-regular%26search%3D45961451", "Retail Link")</f>
        <v>Retail Link</v>
      </c>
      <c r="J601" s="14" t="s">
        <v>2500</v>
      </c>
      <c r="K601" s="13" t="s">
        <v>2501</v>
      </c>
      <c r="L601" s="15">
        <v>19.495999999999999</v>
      </c>
      <c r="M601" s="15">
        <v>48.65</v>
      </c>
      <c r="N601" s="15">
        <v>13.5665</v>
      </c>
      <c r="O601" s="15">
        <f>V601-M601</f>
        <v>-48.65</v>
      </c>
      <c r="P601" s="16">
        <f>N601/L601</f>
        <v>0.69586068937217893</v>
      </c>
      <c r="Q601" s="14"/>
      <c r="R601" s="14"/>
      <c r="S601" s="17"/>
      <c r="T601" s="15">
        <v>48.65</v>
      </c>
      <c r="U601" s="15"/>
      <c r="V601" s="15"/>
      <c r="W601" s="14" t="s">
        <v>255</v>
      </c>
      <c r="X601" s="14">
        <v>3</v>
      </c>
      <c r="Y601" s="10">
        <f>AC601-AB601</f>
        <v>35</v>
      </c>
      <c r="Z601" s="18">
        <v>0</v>
      </c>
      <c r="AA601" s="18">
        <v>0</v>
      </c>
      <c r="AB601" s="18">
        <v>0</v>
      </c>
      <c r="AC601" s="18">
        <v>35</v>
      </c>
      <c r="AD601" s="1" t="s">
        <v>2502</v>
      </c>
      <c r="AG601" s="4">
        <v>8.2899999999999991</v>
      </c>
    </row>
    <row r="602" spans="1:33" ht="47.25" customHeight="1" x14ac:dyDescent="0.25">
      <c r="A602" s="10" t="s">
        <v>401</v>
      </c>
      <c r="B602" s="11" t="s">
        <v>33</v>
      </c>
      <c r="C602" s="12" t="s">
        <v>402</v>
      </c>
      <c r="D602" s="27"/>
      <c r="E602" s="14" t="s">
        <v>35</v>
      </c>
      <c r="F602" s="11" t="str">
        <f>HYPERLINK("https://redirect.sdcdeals.com/redirect?destination=https%3A%2F%2Fwww.amazon.com%2Fdp%2FB0BNSS2NY1%3Fth%3D1%26psc%3D1%26tag%3Dsdcdeals03-20", "Amazon Link")</f>
        <v>Amazon Link</v>
      </c>
      <c r="G602" s="11" t="s">
        <v>36</v>
      </c>
      <c r="H602" s="14" t="s">
        <v>403</v>
      </c>
      <c r="I602" s="11" t="str">
        <f>HYPERLINK("https://redirect.sdcdeals.com/redirect?code=763034&amp;mavely=https://mavely.app.link/e/bhESV2wGrGb&amp;destination=https%3A%2F%2Fwww.kohls.com%2Fsearch.jsp%3Fsubmit-search%3Dweb-regular%26search%3D59029173", "Retail Link")</f>
        <v>Retail Link</v>
      </c>
      <c r="J602" s="14" t="s">
        <v>383</v>
      </c>
      <c r="K602" s="13" t="s">
        <v>404</v>
      </c>
      <c r="L602" s="15">
        <v>18.2</v>
      </c>
      <c r="M602" s="15">
        <v>42.3</v>
      </c>
      <c r="N602" s="15">
        <v>12.635</v>
      </c>
      <c r="O602" s="15">
        <f>V602-M602</f>
        <v>-7.1999999999999957</v>
      </c>
      <c r="P602" s="16">
        <f>N602/L602</f>
        <v>0.69423076923076921</v>
      </c>
      <c r="Q602" s="14">
        <v>581091</v>
      </c>
      <c r="R602" s="14"/>
      <c r="S602" s="17">
        <v>0.29100984000000002</v>
      </c>
      <c r="T602" s="15">
        <v>33.25</v>
      </c>
      <c r="U602" s="15">
        <v>33.630000000000003</v>
      </c>
      <c r="V602" s="15">
        <v>35.1</v>
      </c>
      <c r="W602" s="14" t="s">
        <v>269</v>
      </c>
      <c r="X602" s="14">
        <v>2</v>
      </c>
      <c r="Y602" s="10">
        <f>AC602-AB602</f>
        <v>1</v>
      </c>
      <c r="Z602" s="18">
        <v>9</v>
      </c>
      <c r="AA602" s="18">
        <v>19</v>
      </c>
      <c r="AB602" s="18">
        <v>0</v>
      </c>
      <c r="AC602" s="18">
        <v>1</v>
      </c>
      <c r="AD602" s="1" t="s">
        <v>386</v>
      </c>
      <c r="AE602" s="1" t="s">
        <v>387</v>
      </c>
      <c r="AF602" s="4">
        <v>7.19</v>
      </c>
      <c r="AG602" s="4">
        <v>5.12</v>
      </c>
    </row>
    <row r="603" spans="1:33" ht="47.25" customHeight="1" x14ac:dyDescent="0.25">
      <c r="A603" s="10" t="s">
        <v>1468</v>
      </c>
      <c r="B603" s="11" t="s">
        <v>33</v>
      </c>
      <c r="C603" s="12" t="s">
        <v>1469</v>
      </c>
      <c r="D603" s="27"/>
      <c r="E603" s="14" t="s">
        <v>35</v>
      </c>
      <c r="F603" s="11" t="str">
        <f>HYPERLINK("https://redirect.sdcdeals.com/redirect?destination=https%3A%2F%2Fwww.amazon.com%2Fdp%2FB0CD1139F8%3Fth%3D1%26psc%3D1%26tag%3Dsdcdeals03-20", "Amazon Link")</f>
        <v>Amazon Link</v>
      </c>
      <c r="G603" s="11" t="s">
        <v>36</v>
      </c>
      <c r="H603" s="14" t="s">
        <v>1470</v>
      </c>
      <c r="I603" s="11" t="str">
        <f>HYPERLINK("https://redirect.sdcdeals.com/redirect?code=763034&amp;mavely=https://mavely.app.link/e/bhESV2wGrGb&amp;destination=https%3A%2F%2Fwww.kohls.com%2Fsearch.jsp%3Fsubmit-search%3Dweb-regular%26search%3D86836402", "Retail Link")</f>
        <v>Retail Link</v>
      </c>
      <c r="J603" s="14" t="s">
        <v>1471</v>
      </c>
      <c r="K603" s="13" t="s">
        <v>1472</v>
      </c>
      <c r="L603" s="15">
        <v>20.847999999999999</v>
      </c>
      <c r="M603" s="15">
        <v>50</v>
      </c>
      <c r="N603" s="15">
        <v>14.472</v>
      </c>
      <c r="O603" s="15">
        <f>V603-M603</f>
        <v>1.0799999999999983</v>
      </c>
      <c r="P603" s="16">
        <f>N603/L603</f>
        <v>0.69416730621642364</v>
      </c>
      <c r="Q603" s="14">
        <v>6253</v>
      </c>
      <c r="R603" s="14"/>
      <c r="S603" s="17">
        <v>1.3492274399999999</v>
      </c>
      <c r="T603" s="15">
        <v>50</v>
      </c>
      <c r="U603" s="15">
        <v>51.13</v>
      </c>
      <c r="V603" s="15">
        <v>51.08</v>
      </c>
      <c r="W603" s="14" t="s">
        <v>53</v>
      </c>
      <c r="X603" s="14">
        <v>1</v>
      </c>
      <c r="Y603" s="10">
        <f>AC603-AB603</f>
        <v>8616</v>
      </c>
      <c r="Z603" s="18">
        <v>39</v>
      </c>
      <c r="AA603" s="18">
        <v>119</v>
      </c>
      <c r="AB603" s="18">
        <v>0</v>
      </c>
      <c r="AC603" s="18">
        <v>8616</v>
      </c>
      <c r="AD603" s="1" t="s">
        <v>1473</v>
      </c>
      <c r="AE603" s="1" t="s">
        <v>1474</v>
      </c>
      <c r="AF603" s="4">
        <v>8.5</v>
      </c>
      <c r="AG603" s="4">
        <v>7.18</v>
      </c>
    </row>
    <row r="604" spans="1:33" ht="47.25" customHeight="1" x14ac:dyDescent="0.25">
      <c r="A604" s="10" t="s">
        <v>3160</v>
      </c>
      <c r="B604" s="11" t="s">
        <v>33</v>
      </c>
      <c r="C604" s="12" t="s">
        <v>3161</v>
      </c>
      <c r="D604" s="27"/>
      <c r="E604" s="14" t="s">
        <v>35</v>
      </c>
      <c r="F604" s="11" t="str">
        <f>HYPERLINK("https://redirect.sdcdeals.com/redirect?destination=https%3A%2F%2Fwww.amazon.com%2Fdp%2FB0B5FDGDPM%3Fth%3D1%26psc%3D1%26tag%3Dsdcdeals03-20", "Amazon Link")</f>
        <v>Amazon Link</v>
      </c>
      <c r="G604" s="11" t="s">
        <v>36</v>
      </c>
      <c r="H604" s="14" t="s">
        <v>3162</v>
      </c>
      <c r="I604" s="11" t="str">
        <f>HYPERLINK("https://redirect.sdcdeals.com/redirect?code=763034&amp;mavely=https://mavely.app.link/e/bhESV2wGrGb&amp;destination=https%3A%2F%2Fwww.kohls.com%2Fsearch.jsp%3Fsubmit-search%3Dweb-regular%26search%3D78064382", "Retail Link")</f>
        <v>Retail Link</v>
      </c>
      <c r="J604" s="14" t="s">
        <v>3090</v>
      </c>
      <c r="K604" s="13" t="s">
        <v>3163</v>
      </c>
      <c r="L604" s="15">
        <v>40</v>
      </c>
      <c r="M604" s="15">
        <v>98.59</v>
      </c>
      <c r="N604" s="15">
        <v>27.731500000000011</v>
      </c>
      <c r="O604" s="15">
        <f>V604-M604</f>
        <v>15.61999999999999</v>
      </c>
      <c r="P604" s="16">
        <f>N604/L604</f>
        <v>0.69328750000000028</v>
      </c>
      <c r="Q604" s="14">
        <v>397142</v>
      </c>
      <c r="R604" s="14"/>
      <c r="S604" s="17">
        <v>3.4943227000000001</v>
      </c>
      <c r="T604" s="15">
        <v>88.05</v>
      </c>
      <c r="U604" s="15">
        <v>106.64</v>
      </c>
      <c r="V604" s="15">
        <v>114.21</v>
      </c>
      <c r="W604" s="14" t="s">
        <v>199</v>
      </c>
      <c r="X604" s="14">
        <v>2</v>
      </c>
      <c r="Y604" s="10">
        <f>AC604-AB604</f>
        <v>1935</v>
      </c>
      <c r="Z604" s="18">
        <v>15</v>
      </c>
      <c r="AA604" s="18">
        <v>43</v>
      </c>
      <c r="AB604" s="18">
        <v>0</v>
      </c>
      <c r="AC604" s="18">
        <v>1935</v>
      </c>
      <c r="AD604" s="1" t="s">
        <v>3164</v>
      </c>
      <c r="AE604" s="1" t="s">
        <v>3133</v>
      </c>
      <c r="AF604" s="4">
        <v>16.760000000000002</v>
      </c>
      <c r="AG604" s="4">
        <v>16.07</v>
      </c>
    </row>
    <row r="605" spans="1:33" ht="47.25" customHeight="1" x14ac:dyDescent="0.25">
      <c r="A605" s="10" t="s">
        <v>5927</v>
      </c>
      <c r="B605" s="11" t="s">
        <v>33</v>
      </c>
      <c r="C605" s="12" t="s">
        <v>5928</v>
      </c>
      <c r="D605" s="27"/>
      <c r="E605" s="14" t="s">
        <v>35</v>
      </c>
      <c r="F605" s="11" t="str">
        <f>HYPERLINK("https://redirect.sdcdeals.com/redirect?destination=https%3A%2F%2Fwww.amazon.com%2Fdp%2FB0BGVRN2KV%3Fth%3D1%26psc%3D1%26tag%3Dsdcdeals03-20", "Amazon Link")</f>
        <v>Amazon Link</v>
      </c>
      <c r="G605" s="11" t="s">
        <v>36</v>
      </c>
      <c r="H605" s="14" t="s">
        <v>5929</v>
      </c>
      <c r="I605" s="11" t="str">
        <f>HYPERLINK("https://redirect.sdcdeals.com/redirect?code=763034&amp;mavely=https://mavely.app.link/e/bhESV2wGrGb&amp;destination=https%3A%2F%2Fwww.kohls.com%2Fsearch.jsp%3Fsubmit-search%3Dweb-regular%26search%3D29847666", "Retail Link")</f>
        <v>Retail Link</v>
      </c>
      <c r="J605" s="14" t="s">
        <v>5930</v>
      </c>
      <c r="K605" s="13" t="s">
        <v>5931</v>
      </c>
      <c r="L605" s="15">
        <v>12.6</v>
      </c>
      <c r="M605" s="15">
        <v>30.45</v>
      </c>
      <c r="N605" s="15">
        <v>8.6725000000000012</v>
      </c>
      <c r="O605" s="15">
        <f>V605-M605</f>
        <v>3.9499999999999993</v>
      </c>
      <c r="P605" s="16">
        <f>N605/L605</f>
        <v>0.6882936507936509</v>
      </c>
      <c r="Q605" s="14">
        <v>84745</v>
      </c>
      <c r="R605" s="14"/>
      <c r="S605" s="17">
        <v>0.22046199999999999</v>
      </c>
      <c r="T605" s="15">
        <v>30.45</v>
      </c>
      <c r="U605" s="15">
        <v>34.04</v>
      </c>
      <c r="V605" s="15">
        <v>34.4</v>
      </c>
      <c r="W605" s="14" t="s">
        <v>277</v>
      </c>
      <c r="X605" s="14">
        <v>7</v>
      </c>
      <c r="Y605" s="10">
        <f>AC605-AB605</f>
        <v>17</v>
      </c>
      <c r="Z605" s="18">
        <v>31</v>
      </c>
      <c r="AA605" s="18">
        <v>76</v>
      </c>
      <c r="AB605" s="18">
        <v>1</v>
      </c>
      <c r="AC605" s="18">
        <v>18</v>
      </c>
      <c r="AD605" s="1" t="s">
        <v>5932</v>
      </c>
      <c r="AE605" s="1" t="s">
        <v>5933</v>
      </c>
      <c r="AF605" s="4">
        <v>5.18</v>
      </c>
      <c r="AG605" s="4">
        <v>4.6100000000000003</v>
      </c>
    </row>
    <row r="606" spans="1:33" ht="47.25" customHeight="1" x14ac:dyDescent="0.25">
      <c r="A606" s="10" t="s">
        <v>2074</v>
      </c>
      <c r="B606" s="11" t="s">
        <v>33</v>
      </c>
      <c r="C606" s="12" t="s">
        <v>2075</v>
      </c>
      <c r="D606" s="27"/>
      <c r="E606" s="14" t="s">
        <v>35</v>
      </c>
      <c r="F606" s="11" t="str">
        <f>HYPERLINK("https://redirect.sdcdeals.com/redirect?destination=https%3A%2F%2Fwww.amazon.com%2Fdp%2FB09P8JNWGG%3Fth%3D1%26psc%3D1%26tag%3Dsdcdeals03-20", "Amazon Link")</f>
        <v>Amazon Link</v>
      </c>
      <c r="G606" s="11" t="s">
        <v>36</v>
      </c>
      <c r="H606" s="14" t="s">
        <v>2076</v>
      </c>
      <c r="I606" s="11" t="str">
        <f>HYPERLINK("https://redirect.sdcdeals.com/redirect?code=763034&amp;mavely=https://mavely.app.link/e/bhESV2wGrGb&amp;destination=https%3A%2F%2Fwww.kohls.com%2Fsearch.jsp%3Fsubmit-search%3Dweb-regular%26search%3D18840119", "Retail Link")</f>
        <v>Retail Link</v>
      </c>
      <c r="J606" s="14" t="s">
        <v>2048</v>
      </c>
      <c r="K606" s="13" t="s">
        <v>2077</v>
      </c>
      <c r="L606" s="15">
        <v>9.6000000000000014</v>
      </c>
      <c r="M606" s="15">
        <v>26.69</v>
      </c>
      <c r="N606" s="15">
        <v>6.6064999999999969</v>
      </c>
      <c r="O606" s="15">
        <f>V606-M606</f>
        <v>4.75</v>
      </c>
      <c r="P606" s="16">
        <f>N606/L606</f>
        <v>0.68817708333333294</v>
      </c>
      <c r="Q606" s="14">
        <v>581</v>
      </c>
      <c r="R606" s="14"/>
      <c r="S606" s="17">
        <v>1.0295575400000001</v>
      </c>
      <c r="T606" s="15">
        <v>26.69</v>
      </c>
      <c r="U606" s="15">
        <v>30.22</v>
      </c>
      <c r="V606" s="15">
        <v>31.44</v>
      </c>
      <c r="W606" s="14" t="s">
        <v>2078</v>
      </c>
      <c r="X606" s="14">
        <v>1</v>
      </c>
      <c r="Y606" s="10">
        <f>AC606-AB606</f>
        <v>53297</v>
      </c>
      <c r="Z606" s="18">
        <v>56</v>
      </c>
      <c r="AA606" s="18">
        <v>167</v>
      </c>
      <c r="AB606" s="18">
        <v>1</v>
      </c>
      <c r="AC606" s="18">
        <v>53298</v>
      </c>
      <c r="AD606" s="1" t="s">
        <v>2050</v>
      </c>
      <c r="AE606" s="1" t="s">
        <v>2079</v>
      </c>
      <c r="AF606" s="4">
        <v>4.54</v>
      </c>
      <c r="AG606" s="4">
        <v>6.48</v>
      </c>
    </row>
    <row r="607" spans="1:33" ht="47.25" customHeight="1" x14ac:dyDescent="0.25">
      <c r="A607" s="10" t="s">
        <v>2592</v>
      </c>
      <c r="B607" s="11" t="s">
        <v>33</v>
      </c>
      <c r="C607" s="12" t="s">
        <v>2593</v>
      </c>
      <c r="D607" s="27"/>
      <c r="E607" s="14" t="s">
        <v>35</v>
      </c>
      <c r="F607" s="11" t="str">
        <f>HYPERLINK("https://redirect.sdcdeals.com/redirect?destination=https%3A%2F%2Fwww.amazon.com%2Fdp%2FB09Y2H1CC3%3Fth%3D1%26psc%3D1%26tag%3Dsdcdeals03-20", "Amazon Link")</f>
        <v>Amazon Link</v>
      </c>
      <c r="G607" s="11" t="s">
        <v>36</v>
      </c>
      <c r="H607" s="14" t="s">
        <v>2594</v>
      </c>
      <c r="I607" s="11" t="str">
        <f>HYPERLINK("https://redirect.sdcdeals.com/redirect?code=763034&amp;mavely=https://mavely.app.link/e/bhESV2wGrGb&amp;destination=https%3A%2F%2Fwww.kohls.com%2Fsearch.jsp%3Fsubmit-search%3Dweb-regular%26search%3D73547777", "Retail Link")</f>
        <v>Retail Link</v>
      </c>
      <c r="J607" s="14" t="s">
        <v>2570</v>
      </c>
      <c r="K607" s="13" t="s">
        <v>2595</v>
      </c>
      <c r="L607" s="15">
        <v>7.6959999999999997</v>
      </c>
      <c r="M607" s="15">
        <v>23.99</v>
      </c>
      <c r="N607" s="15">
        <v>5.295499999999997</v>
      </c>
      <c r="O607" s="15">
        <f>V607-M607</f>
        <v>6.3800000000000026</v>
      </c>
      <c r="P607" s="16">
        <f>N607/L607</f>
        <v>0.68808471933471893</v>
      </c>
      <c r="Q607" s="14">
        <v>124817</v>
      </c>
      <c r="R607" s="14"/>
      <c r="S607" s="17">
        <v>1.1508116399999999</v>
      </c>
      <c r="T607" s="15">
        <v>23.99</v>
      </c>
      <c r="U607" s="15">
        <v>30.27</v>
      </c>
      <c r="V607" s="15">
        <v>30.37</v>
      </c>
      <c r="W607" s="14" t="s">
        <v>2596</v>
      </c>
      <c r="X607" s="14">
        <v>5</v>
      </c>
      <c r="Y607" s="10">
        <f>AC607-AB607</f>
        <v>389</v>
      </c>
      <c r="Z607" s="18">
        <v>22</v>
      </c>
      <c r="AA607" s="18">
        <v>72</v>
      </c>
      <c r="AB607" s="18">
        <v>8</v>
      </c>
      <c r="AC607" s="18">
        <v>397</v>
      </c>
      <c r="AD607" s="1" t="s">
        <v>2573</v>
      </c>
      <c r="AE607" s="1" t="s">
        <v>76</v>
      </c>
      <c r="AF607" s="4">
        <v>3.6</v>
      </c>
      <c r="AG607" s="4">
        <v>7.4</v>
      </c>
    </row>
    <row r="608" spans="1:33" ht="47.25" customHeight="1" x14ac:dyDescent="0.25">
      <c r="A608" s="10" t="s">
        <v>1748</v>
      </c>
      <c r="B608" s="11" t="s">
        <v>33</v>
      </c>
      <c r="C608" s="12" t="s">
        <v>1749</v>
      </c>
      <c r="D608" s="27"/>
      <c r="E608" s="14" t="s">
        <v>35</v>
      </c>
      <c r="F608" s="11" t="str">
        <f>HYPERLINK("https://redirect.sdcdeals.com/redirect?destination=https%3A%2F%2Fwww.amazon.com%2Fdp%2FB0BHKMBCJJ%3Fth%3D1%26psc%3D1%26tag%3Dsdcdeals03-20", "Amazon Link")</f>
        <v>Amazon Link</v>
      </c>
      <c r="G608" s="11" t="s">
        <v>36</v>
      </c>
      <c r="H608" s="14" t="s">
        <v>1750</v>
      </c>
      <c r="I608" s="11" t="str">
        <f>HYPERLINK("https://redirect.sdcdeals.com/redirect?code=763034&amp;mavely=https://mavely.app.link/e/bhESV2wGrGb&amp;destination=https%3A%2F%2Fwww.kohls.com%2Fsearch.jsp%3Fsubmit-search%3Dweb-regular%26search%3D77202422", "Retail Link")</f>
        <v>Retail Link</v>
      </c>
      <c r="J608" s="14" t="s">
        <v>1732</v>
      </c>
      <c r="K608" s="13" t="s">
        <v>1751</v>
      </c>
      <c r="L608" s="15">
        <v>14</v>
      </c>
      <c r="M608" s="15">
        <v>34.92</v>
      </c>
      <c r="N608" s="15">
        <v>9.6320000000000014</v>
      </c>
      <c r="O608" s="15">
        <f>V608-M608</f>
        <v>-2.6400000000000006</v>
      </c>
      <c r="P608" s="16">
        <f>N608/L608</f>
        <v>0.68800000000000006</v>
      </c>
      <c r="Q608" s="14">
        <v>37317</v>
      </c>
      <c r="R608" s="14">
        <v>50</v>
      </c>
      <c r="S608" s="17">
        <v>1.0141252000000001</v>
      </c>
      <c r="T608" s="15">
        <v>34.92</v>
      </c>
      <c r="U608" s="15">
        <v>32.18</v>
      </c>
      <c r="V608" s="15">
        <v>32.28</v>
      </c>
      <c r="W608" s="14" t="s">
        <v>1752</v>
      </c>
      <c r="X608" s="14">
        <v>2</v>
      </c>
      <c r="Y608" s="10">
        <f>AC608-AB608</f>
        <v>66</v>
      </c>
      <c r="Z608" s="18">
        <v>75</v>
      </c>
      <c r="AA608" s="18">
        <v>162</v>
      </c>
      <c r="AB608" s="18">
        <v>6</v>
      </c>
      <c r="AC608" s="18">
        <v>72</v>
      </c>
      <c r="AD608" s="1" t="s">
        <v>1735</v>
      </c>
      <c r="AE608" s="1" t="s">
        <v>76</v>
      </c>
      <c r="AG608" s="4">
        <v>6.05</v>
      </c>
    </row>
    <row r="609" spans="1:33" ht="47.25" customHeight="1" x14ac:dyDescent="0.25">
      <c r="A609" s="10" t="s">
        <v>4209</v>
      </c>
      <c r="B609" s="11" t="s">
        <v>33</v>
      </c>
      <c r="C609" s="12" t="s">
        <v>4210</v>
      </c>
      <c r="D609" s="27"/>
      <c r="E609" s="14" t="s">
        <v>35</v>
      </c>
      <c r="F609" s="11" t="str">
        <f>HYPERLINK("https://redirect.sdcdeals.com/redirect?destination=https%3A%2F%2Fwww.amazon.com%2Fdp%2FB0CGWM7JQM%3Fth%3D1%26psc%3D1%26tag%3Dsdcdeals03-20", "Amazon Link")</f>
        <v>Amazon Link</v>
      </c>
      <c r="G609" s="11" t="s">
        <v>36</v>
      </c>
      <c r="H609" s="14" t="s">
        <v>4211</v>
      </c>
      <c r="I609" s="11" t="str">
        <f>HYPERLINK("https://redirect.sdcdeals.com/redirect?code=763034&amp;mavely=https://mavely.app.link/e/bhESV2wGrGb&amp;destination=https%3A%2F%2Fwww.kohls.com%2Fsearch.jsp%3Fsubmit-search%3Dweb-regular%26search%3D81866574", "Retail Link")</f>
        <v>Retail Link</v>
      </c>
      <c r="J609" s="14" t="s">
        <v>4205</v>
      </c>
      <c r="K609" s="13" t="s">
        <v>4212</v>
      </c>
      <c r="L609" s="15">
        <v>7.6000000000000014</v>
      </c>
      <c r="M609" s="15">
        <v>21.03</v>
      </c>
      <c r="N609" s="15">
        <v>5.2254999999999967</v>
      </c>
      <c r="O609" s="15">
        <f>V609-M609</f>
        <v>6.27</v>
      </c>
      <c r="P609" s="16">
        <f>N609/L609</f>
        <v>0.68756578947368363</v>
      </c>
      <c r="Q609" s="14">
        <v>316879</v>
      </c>
      <c r="R609" s="14"/>
      <c r="S609" s="17">
        <v>0.44533324000000002</v>
      </c>
      <c r="T609" s="15">
        <v>21.03</v>
      </c>
      <c r="U609" s="15">
        <v>27.96</v>
      </c>
      <c r="V609" s="15">
        <v>27.3</v>
      </c>
      <c r="W609" s="14" t="s">
        <v>4213</v>
      </c>
      <c r="X609" s="14">
        <v>3</v>
      </c>
      <c r="Y609" s="10">
        <f>AC609-AB609</f>
        <v>3</v>
      </c>
      <c r="Z609" s="18">
        <v>19</v>
      </c>
      <c r="AA609" s="18">
        <v>39</v>
      </c>
      <c r="AB609" s="18">
        <v>0</v>
      </c>
      <c r="AC609" s="18">
        <v>3</v>
      </c>
      <c r="AE609" s="1" t="s">
        <v>4208</v>
      </c>
      <c r="AF609" s="4">
        <v>3.58</v>
      </c>
      <c r="AG609" s="4">
        <v>5.05</v>
      </c>
    </row>
    <row r="610" spans="1:33" ht="47.25" customHeight="1" x14ac:dyDescent="0.25">
      <c r="A610" s="10" t="s">
        <v>6940</v>
      </c>
      <c r="B610" s="11" t="s">
        <v>33</v>
      </c>
      <c r="C610" s="12" t="s">
        <v>6941</v>
      </c>
      <c r="D610" s="27"/>
      <c r="E610" s="14" t="s">
        <v>35</v>
      </c>
      <c r="F610" s="11" t="str">
        <f>HYPERLINK("https://redirect.sdcdeals.com/redirect?destination=https%3A%2F%2Fwww.amazon.com%2Fdp%2FB09X6GQXN8%3Fth%3D1%26psc%3D1%26tag%3Dsdcdeals03-20", "Amazon Link")</f>
        <v>Amazon Link</v>
      </c>
      <c r="G610" s="11" t="s">
        <v>36</v>
      </c>
      <c r="H610" s="14" t="s">
        <v>6942</v>
      </c>
      <c r="I610" s="11" t="str">
        <f>HYPERLINK("https://redirect.sdcdeals.com/redirect?code=763034&amp;mavely=https://mavely.app.link/e/bhESV2wGrGb&amp;destination=https%3A%2F%2Fwww.kohls.com%2Fsearch.jsp%3Fsubmit-search%3Dweb-regular%26search%3D33236227", "Retail Link")</f>
        <v>Retail Link</v>
      </c>
      <c r="J610" s="14" t="s">
        <v>6932</v>
      </c>
      <c r="K610" s="13" t="s">
        <v>6943</v>
      </c>
      <c r="L610" s="15">
        <v>15.6</v>
      </c>
      <c r="M610" s="15">
        <v>38.97</v>
      </c>
      <c r="N610" s="15">
        <v>10.714499999999999</v>
      </c>
      <c r="O610" s="15">
        <f>V610-M610</f>
        <v>8.5300000000000011</v>
      </c>
      <c r="P610" s="16">
        <f>N610/L610</f>
        <v>0.68682692307692306</v>
      </c>
      <c r="Q610" s="14">
        <v>826304</v>
      </c>
      <c r="R610" s="14"/>
      <c r="S610" s="17">
        <v>0.70547840000000006</v>
      </c>
      <c r="T610" s="15">
        <v>38.97</v>
      </c>
      <c r="U610" s="15">
        <v>48</v>
      </c>
      <c r="V610" s="15">
        <v>47.5</v>
      </c>
      <c r="W610" s="14" t="s">
        <v>626</v>
      </c>
      <c r="X610" s="14">
        <v>5</v>
      </c>
      <c r="Y610" s="10">
        <f>AC610-AB610</f>
        <v>0</v>
      </c>
      <c r="Z610" s="18">
        <v>6</v>
      </c>
      <c r="AA610" s="18">
        <v>10</v>
      </c>
      <c r="AB610" s="18">
        <v>1</v>
      </c>
      <c r="AC610" s="18">
        <v>1</v>
      </c>
      <c r="AD610" s="1" t="s">
        <v>6934</v>
      </c>
      <c r="AE610" s="1" t="s">
        <v>6935</v>
      </c>
      <c r="AF610" s="4">
        <v>6.62</v>
      </c>
      <c r="AG610" s="4">
        <v>6.81</v>
      </c>
    </row>
    <row r="611" spans="1:33" ht="47.25" customHeight="1" x14ac:dyDescent="0.25">
      <c r="A611" s="10" t="s">
        <v>3892</v>
      </c>
      <c r="B611" s="11" t="s">
        <v>33</v>
      </c>
      <c r="C611" s="12" t="s">
        <v>3893</v>
      </c>
      <c r="D611" s="27"/>
      <c r="E611" s="14" t="s">
        <v>35</v>
      </c>
      <c r="F611" s="11" t="str">
        <f>HYPERLINK("https://redirect.sdcdeals.com/redirect?destination=https%3A%2F%2Fwww.amazon.com%2Fdp%2FB0C46VSW4R%3Fth%3D1%26psc%3D1%26tag%3Dsdcdeals03-20", "Amazon Link")</f>
        <v>Amazon Link</v>
      </c>
      <c r="G611" s="11" t="s">
        <v>36</v>
      </c>
      <c r="H611" s="14" t="s">
        <v>3894</v>
      </c>
      <c r="I611" s="11" t="str">
        <f>HYPERLINK("https://redirect.sdcdeals.com/redirect?code=763034&amp;mavely=https://mavely.app.link/e/bhESV2wGrGb&amp;destination=https%3A%2F%2Fwww.kohls.com%2Fsearch.jsp%3Fsubmit-search%3Dweb-regular%26search%3D86687258", "Retail Link")</f>
        <v>Retail Link</v>
      </c>
      <c r="J611" s="14" t="s">
        <v>3870</v>
      </c>
      <c r="K611" s="13" t="s">
        <v>3895</v>
      </c>
      <c r="L611" s="15">
        <v>8.32</v>
      </c>
      <c r="M611" s="15">
        <v>22.44</v>
      </c>
      <c r="N611" s="15">
        <v>5.7040000000000006</v>
      </c>
      <c r="O611" s="15">
        <f>V611-M611</f>
        <v>1.6999999999999993</v>
      </c>
      <c r="P611" s="16">
        <f>N611/L611</f>
        <v>0.68557692307692308</v>
      </c>
      <c r="Q611" s="14">
        <v>30800</v>
      </c>
      <c r="R611" s="14"/>
      <c r="S611" s="17">
        <v>0.33069300000000001</v>
      </c>
      <c r="T611" s="15">
        <v>17.579999999999998</v>
      </c>
      <c r="U611" s="15">
        <v>22.58</v>
      </c>
      <c r="V611" s="15">
        <v>24.14</v>
      </c>
      <c r="W611" s="14" t="s">
        <v>3896</v>
      </c>
      <c r="X611" s="14">
        <v>9</v>
      </c>
      <c r="Y611" s="10">
        <f>AC611-AB611</f>
        <v>16</v>
      </c>
      <c r="Z611" s="18">
        <v>19</v>
      </c>
      <c r="AA611" s="18">
        <v>77</v>
      </c>
      <c r="AB611" s="18">
        <v>1</v>
      </c>
      <c r="AC611" s="18">
        <v>17</v>
      </c>
      <c r="AD611" s="1" t="s">
        <v>3880</v>
      </c>
      <c r="AE611" s="1" t="s">
        <v>3881</v>
      </c>
      <c r="AF611" s="4">
        <v>2.25</v>
      </c>
      <c r="AG611" s="4">
        <v>5.05</v>
      </c>
    </row>
    <row r="612" spans="1:33" ht="47.25" customHeight="1" x14ac:dyDescent="0.25">
      <c r="A612" s="10" t="s">
        <v>3661</v>
      </c>
      <c r="B612" s="11" t="s">
        <v>33</v>
      </c>
      <c r="C612" s="12" t="s">
        <v>3662</v>
      </c>
      <c r="D612" s="27"/>
      <c r="E612" s="14" t="s">
        <v>35</v>
      </c>
      <c r="F612" s="11" t="str">
        <f>HYPERLINK("https://redirect.sdcdeals.com/redirect?destination=https%3A%2F%2Fwww.amazon.com%2Fdp%2FB098SSNR9T%3Fth%3D1%26psc%3D1%26tag%3Dsdcdeals03-20", "Amazon Link")</f>
        <v>Amazon Link</v>
      </c>
      <c r="G612" s="11" t="s">
        <v>36</v>
      </c>
      <c r="H612" s="14" t="s">
        <v>3663</v>
      </c>
      <c r="I612" s="11" t="str">
        <f>HYPERLINK("https://redirect.sdcdeals.com/redirect?code=763034&amp;mavely=https://mavely.app.link/e/bhESV2wGrGb&amp;destination=https%3A%2F%2Fwww.kohls.com%2Fsearch.jsp%3Fsubmit-search%3Dweb-regular%26search%3D48909339", "Retail Link")</f>
        <v>Retail Link</v>
      </c>
      <c r="J612" s="14" t="s">
        <v>3651</v>
      </c>
      <c r="K612" s="13" t="s">
        <v>3664</v>
      </c>
      <c r="L612" s="15">
        <v>11.44</v>
      </c>
      <c r="M612" s="15">
        <v>28.6</v>
      </c>
      <c r="N612" s="15">
        <v>7.8200000000000021</v>
      </c>
      <c r="O612" s="15">
        <f>V612-M612</f>
        <v>3.2799999999999976</v>
      </c>
      <c r="P612" s="16">
        <f>N612/L612</f>
        <v>0.68356643356643376</v>
      </c>
      <c r="Q612" s="14">
        <v>243857</v>
      </c>
      <c r="R612" s="14"/>
      <c r="S612" s="17">
        <v>0.52910880000000005</v>
      </c>
      <c r="T612" s="15">
        <v>28.6</v>
      </c>
      <c r="U612" s="15">
        <v>31.87</v>
      </c>
      <c r="V612" s="15">
        <v>31.88</v>
      </c>
      <c r="W612" s="14" t="s">
        <v>3665</v>
      </c>
      <c r="X612" s="14">
        <v>5</v>
      </c>
      <c r="Y612" s="10">
        <f>AC612-AB612</f>
        <v>30</v>
      </c>
      <c r="Z612" s="18">
        <v>23</v>
      </c>
      <c r="AA612" s="18">
        <v>77</v>
      </c>
      <c r="AB612" s="18">
        <v>4</v>
      </c>
      <c r="AC612" s="18">
        <v>34</v>
      </c>
      <c r="AD612" s="1" t="s">
        <v>3654</v>
      </c>
      <c r="AE612" s="1" t="s">
        <v>3655</v>
      </c>
      <c r="AF612" s="4">
        <v>4.8600000000000003</v>
      </c>
      <c r="AG612" s="4">
        <v>5.05</v>
      </c>
    </row>
    <row r="613" spans="1:33" ht="47.25" customHeight="1" x14ac:dyDescent="0.25">
      <c r="A613" s="10" t="s">
        <v>6818</v>
      </c>
      <c r="B613" s="11" t="s">
        <v>33</v>
      </c>
      <c r="C613" s="12" t="s">
        <v>6819</v>
      </c>
      <c r="D613" s="27"/>
      <c r="E613" s="14" t="s">
        <v>35</v>
      </c>
      <c r="F613" s="11" t="str">
        <f>HYPERLINK("https://redirect.sdcdeals.com/redirect?destination=https%3A%2F%2Fwww.amazon.com%2Fdp%2FB09Z3T54VG%3Fth%3D1%26psc%3D1%26tag%3Dsdcdeals03-20", "Amazon Link")</f>
        <v>Amazon Link</v>
      </c>
      <c r="G613" s="11" t="s">
        <v>36</v>
      </c>
      <c r="H613" s="14" t="s">
        <v>6820</v>
      </c>
      <c r="I613" s="11" t="str">
        <f>HYPERLINK("https://redirect.sdcdeals.com/redirect?code=763034&amp;mavely=https://mavely.app.link/e/bhESV2wGrGb&amp;destination=https%3A%2F%2Fwww.kohls.com%2Fsearch.jsp%3Fsubmit-search%3Dweb-regular%26search%3D49650310", "Retail Link")</f>
        <v>Retail Link</v>
      </c>
      <c r="J613" s="14" t="s">
        <v>6821</v>
      </c>
      <c r="K613" s="13" t="s">
        <v>6822</v>
      </c>
      <c r="L613" s="15">
        <v>15.4</v>
      </c>
      <c r="M613" s="15">
        <v>37.72</v>
      </c>
      <c r="N613" s="15">
        <v>10.522</v>
      </c>
      <c r="O613" s="15">
        <f>V613-M613</f>
        <v>-7.77</v>
      </c>
      <c r="P613" s="16">
        <f>N613/L613</f>
        <v>0.68324675324675321</v>
      </c>
      <c r="Q613" s="14">
        <v>93241</v>
      </c>
      <c r="R613" s="14"/>
      <c r="S613" s="17">
        <v>0.26014515999999999</v>
      </c>
      <c r="T613" s="15">
        <v>29.77</v>
      </c>
      <c r="U613" s="15">
        <v>35.68</v>
      </c>
      <c r="V613" s="15">
        <v>29.95</v>
      </c>
      <c r="W613" s="14" t="s">
        <v>60</v>
      </c>
      <c r="X613" s="14">
        <v>2</v>
      </c>
      <c r="Y613" s="10">
        <f>AC613-AB613</f>
        <v>162</v>
      </c>
      <c r="Z613" s="18">
        <v>25</v>
      </c>
      <c r="AA613" s="18">
        <v>56</v>
      </c>
      <c r="AB613" s="18">
        <v>1</v>
      </c>
      <c r="AC613" s="18">
        <v>163</v>
      </c>
      <c r="AD613" s="1" t="s">
        <v>1222</v>
      </c>
      <c r="AE613" s="1" t="s">
        <v>1406</v>
      </c>
      <c r="AF613" s="4">
        <v>6.42</v>
      </c>
      <c r="AG613" s="4">
        <v>6.14</v>
      </c>
    </row>
    <row r="614" spans="1:33" ht="47.25" customHeight="1" x14ac:dyDescent="0.25">
      <c r="A614" s="10" t="s">
        <v>689</v>
      </c>
      <c r="B614" s="11" t="s">
        <v>33</v>
      </c>
      <c r="C614" s="12" t="s">
        <v>690</v>
      </c>
      <c r="D614" s="27"/>
      <c r="E614" s="14" t="s">
        <v>35</v>
      </c>
      <c r="F614" s="11" t="str">
        <f>HYPERLINK("https://redirect.sdcdeals.com/redirect?destination=https%3A%2F%2Fwww.amazon.com%2Fdp%2FB0BCBKC4DL%3Fth%3D1%26psc%3D1%26tag%3Dsdcdeals03-20", "Amazon Link")</f>
        <v>Amazon Link</v>
      </c>
      <c r="G614" s="11" t="s">
        <v>36</v>
      </c>
      <c r="H614" s="14" t="s">
        <v>691</v>
      </c>
      <c r="I614" s="11" t="str">
        <f>HYPERLINK("https://redirect.sdcdeals.com/redirect?code=763034&amp;mavely=https://mavely.app.link/e/bhESV2wGrGb&amp;destination=https%3A%2F%2Fwww.kohls.com%2Fsearch.jsp%3Fsubmit-search%3Dweb-regular%26search%3D18431934", "Retail Link")</f>
        <v>Retail Link</v>
      </c>
      <c r="J614" s="14" t="s">
        <v>677</v>
      </c>
      <c r="K614" s="13" t="s">
        <v>692</v>
      </c>
      <c r="L614" s="15">
        <v>12.96</v>
      </c>
      <c r="M614" s="15">
        <v>33.619999999999997</v>
      </c>
      <c r="N614" s="15">
        <v>8.8069999999999986</v>
      </c>
      <c r="O614" s="15">
        <f>V614-M614</f>
        <v>-6.3999999999999986</v>
      </c>
      <c r="P614" s="16">
        <f>N614/L614</f>
        <v>0.67955246913580236</v>
      </c>
      <c r="Q614" s="14">
        <v>1321995</v>
      </c>
      <c r="R614" s="14"/>
      <c r="S614" s="17">
        <v>1.1133331</v>
      </c>
      <c r="T614" s="15">
        <v>33.619999999999997</v>
      </c>
      <c r="U614" s="15">
        <v>35.97</v>
      </c>
      <c r="V614" s="15">
        <v>27.22</v>
      </c>
      <c r="W614" s="14" t="s">
        <v>88</v>
      </c>
      <c r="X614" s="14">
        <v>2</v>
      </c>
      <c r="Y614" s="10">
        <f>AC614-AB614</f>
        <v>2</v>
      </c>
      <c r="Z614" s="18">
        <v>5</v>
      </c>
      <c r="AA614" s="18">
        <v>15</v>
      </c>
      <c r="AB614" s="18">
        <v>0</v>
      </c>
      <c r="AC614" s="18">
        <v>2</v>
      </c>
      <c r="AD614" s="1" t="s">
        <v>679</v>
      </c>
      <c r="AE614" s="1" t="s">
        <v>680</v>
      </c>
      <c r="AF614" s="4">
        <v>5.72</v>
      </c>
      <c r="AG614" s="4">
        <v>6.81</v>
      </c>
    </row>
    <row r="615" spans="1:33" ht="47.25" customHeight="1" x14ac:dyDescent="0.25">
      <c r="A615" s="10" t="s">
        <v>191</v>
      </c>
      <c r="B615" s="11" t="s">
        <v>33</v>
      </c>
      <c r="C615" s="12" t="s">
        <v>192</v>
      </c>
      <c r="D615" s="27"/>
      <c r="E615" s="14" t="s">
        <v>35</v>
      </c>
      <c r="F615" s="11" t="str">
        <f>HYPERLINK("https://redirect.sdcdeals.com/redirect?destination=https%3A%2F%2Fwww.amazon.com%2Fdp%2FB09N6D4MFJ%3Fth%3D1%26psc%3D1%26tag%3Dsdcdeals03-20", "Amazon Link")</f>
        <v>Amazon Link</v>
      </c>
      <c r="G615" s="11" t="s">
        <v>36</v>
      </c>
      <c r="H615" s="14" t="s">
        <v>193</v>
      </c>
      <c r="I615" s="11" t="str">
        <f>HYPERLINK("https://redirect.sdcdeals.com/redirect?code=763034&amp;mavely=https://mavely.app.link/e/bhESV2wGrGb&amp;destination=https%3A%2F%2Fwww.kohls.com%2Fsearch.jsp%3Fsubmit-search%3Dweb-regular%26search%3D46688132", "Retail Link")</f>
        <v>Retail Link</v>
      </c>
      <c r="J615" s="14" t="s">
        <v>175</v>
      </c>
      <c r="K615" s="13" t="s">
        <v>194</v>
      </c>
      <c r="L615" s="15">
        <v>18.064</v>
      </c>
      <c r="M615" s="15">
        <v>44.19</v>
      </c>
      <c r="N615" s="15">
        <v>12.25749999999999</v>
      </c>
      <c r="O615" s="15">
        <f>V615-M615</f>
        <v>1.0300000000000011</v>
      </c>
      <c r="P615" s="16">
        <f>N615/L615</f>
        <v>0.67855956598759903</v>
      </c>
      <c r="Q615" s="14">
        <v>11310</v>
      </c>
      <c r="R615" s="14"/>
      <c r="S615" s="17">
        <v>1.1464023999999999</v>
      </c>
      <c r="T615" s="15"/>
      <c r="U615" s="15">
        <v>44.19</v>
      </c>
      <c r="V615" s="15">
        <v>45.22</v>
      </c>
      <c r="W615" s="14" t="s">
        <v>106</v>
      </c>
      <c r="X615" s="14">
        <v>1</v>
      </c>
      <c r="Y615" s="10">
        <f>AC615-AB615</f>
        <v>9730</v>
      </c>
      <c r="Z615" s="18">
        <v>6</v>
      </c>
      <c r="AA615" s="18">
        <v>53</v>
      </c>
      <c r="AB615" s="18">
        <v>0</v>
      </c>
      <c r="AC615" s="18">
        <v>9730</v>
      </c>
      <c r="AD615" s="1" t="s">
        <v>177</v>
      </c>
      <c r="AE615" s="1" t="s">
        <v>178</v>
      </c>
      <c r="AG615" s="4">
        <v>7.24</v>
      </c>
    </row>
    <row r="616" spans="1:33" ht="47.25" customHeight="1" x14ac:dyDescent="0.25">
      <c r="A616" s="10" t="s">
        <v>4249</v>
      </c>
      <c r="B616" s="11" t="s">
        <v>33</v>
      </c>
      <c r="C616" s="12" t="s">
        <v>4250</v>
      </c>
      <c r="D616" s="27"/>
      <c r="E616" s="14" t="s">
        <v>35</v>
      </c>
      <c r="F616" s="11" t="str">
        <f>HYPERLINK("https://redirect.sdcdeals.com/redirect?destination=https%3A%2F%2Fwww.amazon.com%2Fdp%2FB0BKQXRGTX%3Fth%3D1%26psc%3D1%26tag%3Dsdcdeals03-20", "Amazon Link")</f>
        <v>Amazon Link</v>
      </c>
      <c r="G616" s="11" t="s">
        <v>36</v>
      </c>
      <c r="H616" s="14" t="s">
        <v>4251</v>
      </c>
      <c r="I616" s="11" t="str">
        <f>HYPERLINK("https://redirect.sdcdeals.com/redirect?code=763034&amp;mavely=https://mavely.app.link/e/bhESV2wGrGb&amp;destination=https%3A%2F%2Fwww.kohls.com%2Fsearch.jsp%3Fsubmit-search%3Dweb-regular%26search%3D76194422", "Retail Link")</f>
        <v>Retail Link</v>
      </c>
      <c r="J616" s="14" t="s">
        <v>4231</v>
      </c>
      <c r="K616" s="13" t="s">
        <v>4252</v>
      </c>
      <c r="L616" s="15">
        <v>52.8</v>
      </c>
      <c r="M616" s="15">
        <v>119.95</v>
      </c>
      <c r="N616" s="15">
        <v>35.747500000000002</v>
      </c>
      <c r="O616" s="15">
        <f>V616-M616</f>
        <v>-8.2600000000000051</v>
      </c>
      <c r="P616" s="16">
        <f>N616/L616</f>
        <v>0.67703598484848493</v>
      </c>
      <c r="Q616" s="14">
        <v>931412</v>
      </c>
      <c r="R616" s="14"/>
      <c r="S616" s="17">
        <v>2.7601842400000001</v>
      </c>
      <c r="T616" s="15">
        <v>119.95</v>
      </c>
      <c r="U616" s="15">
        <v>101.15</v>
      </c>
      <c r="V616" s="15">
        <v>111.69</v>
      </c>
      <c r="W616" s="14" t="s">
        <v>1143</v>
      </c>
      <c r="X616" s="14">
        <v>5</v>
      </c>
      <c r="Y616" s="10">
        <f>AC616-AB616</f>
        <v>3</v>
      </c>
      <c r="Z616" s="18">
        <v>7</v>
      </c>
      <c r="AA616" s="18">
        <v>29</v>
      </c>
      <c r="AB616" s="18">
        <v>1</v>
      </c>
      <c r="AC616" s="18">
        <v>4</v>
      </c>
      <c r="AD616" s="1" t="s">
        <v>4233</v>
      </c>
      <c r="AE616" s="1" t="s">
        <v>4234</v>
      </c>
      <c r="AG616" s="4">
        <v>13.41</v>
      </c>
    </row>
    <row r="617" spans="1:33" ht="47.25" customHeight="1" x14ac:dyDescent="0.25">
      <c r="A617" s="10" t="s">
        <v>1407</v>
      </c>
      <c r="B617" s="11" t="s">
        <v>33</v>
      </c>
      <c r="C617" s="12" t="s">
        <v>1408</v>
      </c>
      <c r="D617" s="27"/>
      <c r="E617" s="14" t="s">
        <v>35</v>
      </c>
      <c r="F617" s="11" t="str">
        <f>HYPERLINK("https://redirect.sdcdeals.com/redirect?destination=https%3A%2F%2Fwww.amazon.com%2Fdp%2FB07FYXYXBS%3Fth%3D1%26psc%3D1%26tag%3Dsdcdeals03-20", "Amazon Link")</f>
        <v>Amazon Link</v>
      </c>
      <c r="G617" s="11" t="s">
        <v>36</v>
      </c>
      <c r="H617" s="14" t="s">
        <v>1409</v>
      </c>
      <c r="I617" s="11" t="str">
        <f>HYPERLINK("https://redirect.sdcdeals.com/redirect?code=763034&amp;mavely=https://mavely.app.link/e/bhESV2wGrGb&amp;destination=https%3A%2F%2Fwww.kohls.com%2Fsearch.jsp%3Fsubmit-search%3Dweb-regular%26search%3D58259331", "Retail Link")</f>
        <v>Retail Link</v>
      </c>
      <c r="J617" s="14" t="s">
        <v>1410</v>
      </c>
      <c r="K617" s="13" t="s">
        <v>1411</v>
      </c>
      <c r="L617" s="15">
        <v>19.687999999999999</v>
      </c>
      <c r="M617" s="15">
        <v>51.48</v>
      </c>
      <c r="N617" s="15">
        <v>13.32</v>
      </c>
      <c r="O617" s="15">
        <f>V617-M617</f>
        <v>29.839999999999996</v>
      </c>
      <c r="P617" s="16">
        <f>N617/L617</f>
        <v>0.6765542462413654</v>
      </c>
      <c r="Q617" s="14">
        <v>328372</v>
      </c>
      <c r="R617" s="14"/>
      <c r="S617" s="17">
        <v>1.6997620200000001</v>
      </c>
      <c r="T617" s="15">
        <v>43.53</v>
      </c>
      <c r="U617" s="15">
        <v>82</v>
      </c>
      <c r="V617" s="15">
        <v>81.319999999999993</v>
      </c>
      <c r="W617" s="14" t="s">
        <v>282</v>
      </c>
      <c r="X617" s="14">
        <v>3</v>
      </c>
      <c r="Y617" s="10">
        <f>AC617-AB617</f>
        <v>121</v>
      </c>
      <c r="Z617" s="18">
        <v>23</v>
      </c>
      <c r="AA617" s="18">
        <v>63</v>
      </c>
      <c r="AB617" s="18">
        <v>6</v>
      </c>
      <c r="AC617" s="18">
        <v>127</v>
      </c>
      <c r="AD617" s="1" t="s">
        <v>1412</v>
      </c>
      <c r="AE617" s="1" t="s">
        <v>1413</v>
      </c>
      <c r="AF617" s="4">
        <v>8.75</v>
      </c>
      <c r="AG617" s="4">
        <v>10.75</v>
      </c>
    </row>
    <row r="618" spans="1:33" ht="47.25" customHeight="1" x14ac:dyDescent="0.25">
      <c r="A618" s="10" t="s">
        <v>2249</v>
      </c>
      <c r="B618" s="11" t="s">
        <v>33</v>
      </c>
      <c r="C618" s="12" t="s">
        <v>2250</v>
      </c>
      <c r="D618" s="27"/>
      <c r="E618" s="14" t="s">
        <v>35</v>
      </c>
      <c r="F618" s="11" t="str">
        <f>HYPERLINK("https://redirect.sdcdeals.com/redirect?destination=https%3A%2F%2Fwww.amazon.com%2Fdp%2FB0BKQWSR56%3Fth%3D1%26psc%3D1%26tag%3Dsdcdeals03-20", "Amazon Link")</f>
        <v>Amazon Link</v>
      </c>
      <c r="G618" s="11" t="s">
        <v>36</v>
      </c>
      <c r="H618" s="14" t="s">
        <v>2251</v>
      </c>
      <c r="I618" s="11" t="str">
        <f>HYPERLINK("https://redirect.sdcdeals.com/redirect?code=763034&amp;mavely=https://mavely.app.link/e/bhESV2wGrGb&amp;destination=https%3A%2F%2Fwww.kohls.com%2Fsearch.jsp%3Fsubmit-search%3Dweb-regular%26search%3D62949707", "Retail Link")</f>
        <v>Retail Link</v>
      </c>
      <c r="J618" s="14" t="s">
        <v>2210</v>
      </c>
      <c r="K618" s="13" t="s">
        <v>2252</v>
      </c>
      <c r="L618" s="15">
        <v>52.8</v>
      </c>
      <c r="M618" s="15">
        <v>119.83</v>
      </c>
      <c r="N618" s="15">
        <v>35.645499999999998</v>
      </c>
      <c r="O618" s="15">
        <f>V618-M618</f>
        <v>13.86</v>
      </c>
      <c r="P618" s="16">
        <f>N618/L618</f>
        <v>0.67510416666666673</v>
      </c>
      <c r="Q618" s="14">
        <v>1340694</v>
      </c>
      <c r="R618" s="14"/>
      <c r="S618" s="17">
        <v>2.5110621800000001</v>
      </c>
      <c r="T618" s="15">
        <v>119.83</v>
      </c>
      <c r="U618" s="15">
        <v>137.38</v>
      </c>
      <c r="V618" s="15">
        <v>133.69</v>
      </c>
      <c r="W618" s="14" t="s">
        <v>2253</v>
      </c>
      <c r="X618" s="14">
        <v>2</v>
      </c>
      <c r="Y618" s="10">
        <f>AC618-AB618</f>
        <v>8</v>
      </c>
      <c r="Z618" s="18">
        <v>5</v>
      </c>
      <c r="AA618" s="18">
        <v>23</v>
      </c>
      <c r="AB618" s="18">
        <v>0</v>
      </c>
      <c r="AC618" s="18">
        <v>8</v>
      </c>
      <c r="AD618" s="1" t="s">
        <v>2212</v>
      </c>
      <c r="AE618" s="1" t="s">
        <v>1406</v>
      </c>
      <c r="AF618" s="4">
        <v>20.37</v>
      </c>
      <c r="AG618" s="4">
        <v>13.41</v>
      </c>
    </row>
    <row r="619" spans="1:33" ht="47.25" customHeight="1" x14ac:dyDescent="0.25">
      <c r="A619" s="10" t="s">
        <v>183</v>
      </c>
      <c r="B619" s="11" t="s">
        <v>33</v>
      </c>
      <c r="C619" s="12" t="s">
        <v>184</v>
      </c>
      <c r="D619" s="27"/>
      <c r="E619" s="14" t="s">
        <v>35</v>
      </c>
      <c r="F619" s="11" t="str">
        <f>HYPERLINK("https://redirect.sdcdeals.com/redirect?destination=https%3A%2F%2Fwww.amazon.com%2Fdp%2FB09N6F7PR6%3Fth%3D1%26psc%3D1%26tag%3Dsdcdeals03-20", "Amazon Link")</f>
        <v>Amazon Link</v>
      </c>
      <c r="G619" s="11" t="s">
        <v>36</v>
      </c>
      <c r="H619" s="14" t="s">
        <v>185</v>
      </c>
      <c r="I619" s="11" t="str">
        <f>HYPERLINK("https://redirect.sdcdeals.com/redirect?code=763034&amp;mavely=https://mavely.app.link/e/bhESV2wGrGb&amp;destination=https%3A%2F%2Fwww.kohls.com%2Fsearch.jsp%3Fsubmit-search%3Dweb-regular%26search%3D46688126", "Retail Link")</f>
        <v>Retail Link</v>
      </c>
      <c r="J619" s="14" t="s">
        <v>175</v>
      </c>
      <c r="K619" s="13" t="s">
        <v>186</v>
      </c>
      <c r="L619" s="15">
        <v>18.064</v>
      </c>
      <c r="M619" s="15">
        <v>43.54</v>
      </c>
      <c r="N619" s="15">
        <v>12.135</v>
      </c>
      <c r="O619" s="15">
        <f>V619-M619</f>
        <v>1.7100000000000009</v>
      </c>
      <c r="P619" s="16">
        <f>N619/L619</f>
        <v>0.67177812223206379</v>
      </c>
      <c r="Q619" s="14">
        <v>11310</v>
      </c>
      <c r="R619" s="14"/>
      <c r="S619" s="17">
        <v>1.3536366799999999</v>
      </c>
      <c r="T619" s="15"/>
      <c r="U619" s="15">
        <v>43.54</v>
      </c>
      <c r="V619" s="15">
        <v>45.25</v>
      </c>
      <c r="W619" s="14" t="s">
        <v>131</v>
      </c>
      <c r="X619" s="14">
        <v>1</v>
      </c>
      <c r="Y619" s="10">
        <f>AC619-AB619</f>
        <v>9740</v>
      </c>
      <c r="Z619" s="18">
        <v>6</v>
      </c>
      <c r="AA619" s="18">
        <v>67</v>
      </c>
      <c r="AB619" s="18">
        <v>0</v>
      </c>
      <c r="AC619" s="18">
        <v>9740</v>
      </c>
      <c r="AD619" s="1" t="s">
        <v>177</v>
      </c>
      <c r="AE619" s="1" t="s">
        <v>178</v>
      </c>
      <c r="AG619" s="4">
        <v>6.81</v>
      </c>
    </row>
    <row r="620" spans="1:33" ht="47.25" customHeight="1" x14ac:dyDescent="0.25">
      <c r="A620" s="10" t="s">
        <v>3672</v>
      </c>
      <c r="B620" s="11" t="s">
        <v>33</v>
      </c>
      <c r="C620" s="12" t="s">
        <v>3673</v>
      </c>
      <c r="D620" s="27"/>
      <c r="E620" s="14" t="s">
        <v>35</v>
      </c>
      <c r="F620" s="11" t="str">
        <f>HYPERLINK("https://redirect.sdcdeals.com/redirect?destination=https%3A%2F%2Fwww.amazon.com%2Fdp%2FB0C8FVQGYS%3Fth%3D1%26psc%3D1%26tag%3Dsdcdeals03-20", "Amazon Link")</f>
        <v>Amazon Link</v>
      </c>
      <c r="G620" s="11" t="s">
        <v>36</v>
      </c>
      <c r="H620" s="14" t="s">
        <v>3674</v>
      </c>
      <c r="I620" s="11" t="str">
        <f>HYPERLINK("https://redirect.sdcdeals.com/redirect?code=763034&amp;mavely=https://mavely.app.link/e/bhESV2wGrGb&amp;destination=https%3A%2F%2Fwww.kohls.com%2Fsearch.jsp%3Fsubmit-search%3Dweb-regular%26search%3D74734550", "Retail Link")</f>
        <v>Retail Link</v>
      </c>
      <c r="J620" s="14" t="s">
        <v>3669</v>
      </c>
      <c r="K620" s="13" t="s">
        <v>3675</v>
      </c>
      <c r="L620" s="15">
        <v>45</v>
      </c>
      <c r="M620" s="15">
        <v>106</v>
      </c>
      <c r="N620" s="15">
        <v>30.169999999999991</v>
      </c>
      <c r="O620" s="15">
        <f>V620-M620</f>
        <v>0.89000000000000057</v>
      </c>
      <c r="P620" s="16">
        <f>N620/L620</f>
        <v>0.67044444444444429</v>
      </c>
      <c r="Q620" s="14">
        <v>3883540</v>
      </c>
      <c r="R620" s="14"/>
      <c r="S620" s="17">
        <v>1.9599071800000001</v>
      </c>
      <c r="T620" s="15">
        <v>98.05</v>
      </c>
      <c r="U620" s="15">
        <v>106.89</v>
      </c>
      <c r="V620" s="15">
        <v>106.89</v>
      </c>
      <c r="W620" s="14" t="s">
        <v>843</v>
      </c>
      <c r="X620" s="14">
        <v>2</v>
      </c>
      <c r="Y620" s="10">
        <f>AC620-AB620</f>
        <v>1</v>
      </c>
      <c r="Z620" s="18">
        <v>0</v>
      </c>
      <c r="AA620" s="18">
        <v>6</v>
      </c>
      <c r="AB620" s="18">
        <v>0</v>
      </c>
      <c r="AC620" s="18">
        <v>1</v>
      </c>
      <c r="AE620" s="1" t="s">
        <v>3676</v>
      </c>
      <c r="AF620" s="4">
        <v>18.02</v>
      </c>
      <c r="AG620" s="4">
        <v>14.93</v>
      </c>
    </row>
    <row r="621" spans="1:33" ht="47.25" customHeight="1" x14ac:dyDescent="0.25">
      <c r="A621" s="10" t="s">
        <v>2483</v>
      </c>
      <c r="B621" s="11" t="s">
        <v>33</v>
      </c>
      <c r="C621" s="12" t="s">
        <v>2484</v>
      </c>
      <c r="D621" s="27"/>
      <c r="E621" s="14" t="s">
        <v>35</v>
      </c>
      <c r="F621" s="11" t="str">
        <f>HYPERLINK("https://redirect.sdcdeals.com/redirect?destination=https%3A%2F%2Fwww.amazon.com%2Fdp%2FB0C12VNSS6%3Fth%3D1%26psc%3D1%26tag%3Dsdcdeals03-20", "Amazon Link")</f>
        <v>Amazon Link</v>
      </c>
      <c r="G621" s="11" t="s">
        <v>36</v>
      </c>
      <c r="H621" s="14" t="s">
        <v>2485</v>
      </c>
      <c r="I621" s="11" t="str">
        <f>HYPERLINK("https://redirect.sdcdeals.com/redirect?code=763034&amp;mavely=https://mavely.app.link/e/bhESV2wGrGb&amp;destination=https%3A%2F%2Fwww.kohls.com%2Fsearch.jsp%3Fsubmit-search%3Dweb-regular%26search%3D80787756", "Retail Link")</f>
        <v>Retail Link</v>
      </c>
      <c r="J621" s="14" t="s">
        <v>2486</v>
      </c>
      <c r="K621" s="13" t="s">
        <v>2487</v>
      </c>
      <c r="L621" s="15">
        <v>7</v>
      </c>
      <c r="M621" s="15">
        <v>19.25</v>
      </c>
      <c r="N621" s="15">
        <v>4.6925000000000008</v>
      </c>
      <c r="O621" s="15">
        <f>V621-M621</f>
        <v>2.5199999999999996</v>
      </c>
      <c r="P621" s="16">
        <f>N621/L621</f>
        <v>0.67035714285714298</v>
      </c>
      <c r="Q621" s="14">
        <v>4577144</v>
      </c>
      <c r="R621" s="14"/>
      <c r="S621" s="17">
        <v>0.29100984000000002</v>
      </c>
      <c r="T621" s="15">
        <v>19.25</v>
      </c>
      <c r="U621" s="15">
        <v>10</v>
      </c>
      <c r="V621" s="15">
        <v>21.77</v>
      </c>
      <c r="W621" s="14" t="s">
        <v>2488</v>
      </c>
      <c r="X621" s="14">
        <v>5</v>
      </c>
      <c r="Y621" s="10">
        <f>AC621-AB621</f>
        <v>1</v>
      </c>
      <c r="Z621" s="18">
        <v>0</v>
      </c>
      <c r="AA621" s="18">
        <v>4</v>
      </c>
      <c r="AB621" s="18"/>
      <c r="AC621" s="18">
        <v>1</v>
      </c>
      <c r="AD621" s="1" t="s">
        <v>2489</v>
      </c>
      <c r="AE621" s="1" t="s">
        <v>1243</v>
      </c>
      <c r="AG621" s="4">
        <v>4.67</v>
      </c>
    </row>
    <row r="622" spans="1:33" ht="47.25" customHeight="1" x14ac:dyDescent="0.25">
      <c r="A622" s="10" t="s">
        <v>4407</v>
      </c>
      <c r="B622" s="11" t="s">
        <v>33</v>
      </c>
      <c r="C622" s="12" t="s">
        <v>4408</v>
      </c>
      <c r="D622" s="27"/>
      <c r="E622" s="14" t="s">
        <v>35</v>
      </c>
      <c r="F622" s="11" t="str">
        <f>HYPERLINK("https://redirect.sdcdeals.com/redirect?destination=https%3A%2F%2Fwww.amazon.com%2Fdp%2FB0B1JSF7XG%3Fth%3D1%26psc%3D1%26tag%3Dsdcdeals03-20", "Amazon Link")</f>
        <v>Amazon Link</v>
      </c>
      <c r="G622" s="11" t="s">
        <v>36</v>
      </c>
      <c r="H622" s="14" t="s">
        <v>4409</v>
      </c>
      <c r="I622" s="11" t="str">
        <f>HYPERLINK("https://redirect.sdcdeals.com/redirect?code=763034&amp;mavely=https://mavely.app.link/e/bhESV2wGrGb&amp;destination=https%3A%2F%2Fwww.kohls.com%2Fsearch.jsp%3Fsubmit-search%3Dweb-regular%26search%3D68949118", "Retail Link")</f>
        <v>Retail Link</v>
      </c>
      <c r="J622" s="14" t="s">
        <v>4347</v>
      </c>
      <c r="K622" s="13" t="s">
        <v>4410</v>
      </c>
      <c r="L622" s="15">
        <v>20.847999999999999</v>
      </c>
      <c r="M622" s="15">
        <v>49.48</v>
      </c>
      <c r="N622" s="15">
        <v>13.96999999999999</v>
      </c>
      <c r="O622" s="15">
        <f>V622-M622</f>
        <v>2.5500000000000043</v>
      </c>
      <c r="P622" s="16">
        <f>N622/L622</f>
        <v>0.67008825786646153</v>
      </c>
      <c r="Q622" s="14">
        <v>846</v>
      </c>
      <c r="R622" s="14"/>
      <c r="S622" s="17">
        <v>1.41316142</v>
      </c>
      <c r="T622" s="15"/>
      <c r="U622" s="15">
        <v>49.48</v>
      </c>
      <c r="V622" s="15">
        <v>52.03</v>
      </c>
      <c r="W622" s="14" t="s">
        <v>88</v>
      </c>
      <c r="X622" s="14">
        <v>1</v>
      </c>
      <c r="Y622" s="10">
        <f>AC622-AB622</f>
        <v>46739</v>
      </c>
      <c r="Z622" s="18">
        <v>8</v>
      </c>
      <c r="AA622" s="18">
        <v>30</v>
      </c>
      <c r="AB622" s="18">
        <v>1</v>
      </c>
      <c r="AC622" s="18">
        <v>46740</v>
      </c>
      <c r="AD622" s="1" t="s">
        <v>4355</v>
      </c>
      <c r="AE622" s="1" t="s">
        <v>4356</v>
      </c>
      <c r="AG622" s="4">
        <v>7.24</v>
      </c>
    </row>
    <row r="623" spans="1:33" ht="47.25" customHeight="1" x14ac:dyDescent="0.25">
      <c r="A623" s="10" t="s">
        <v>1894</v>
      </c>
      <c r="B623" s="11" t="s">
        <v>33</v>
      </c>
      <c r="C623" s="12" t="s">
        <v>1895</v>
      </c>
      <c r="D623" s="27"/>
      <c r="E623" s="14" t="s">
        <v>35</v>
      </c>
      <c r="F623" s="11" t="str">
        <f>HYPERLINK("https://redirect.sdcdeals.com/redirect?destination=https%3A%2F%2Fwww.amazon.com%2Fdp%2FB01IE1OJQM%3Fth%3D1%26psc%3D1%26tag%3Dsdcdeals03-20", "Amazon Link")</f>
        <v>Amazon Link</v>
      </c>
      <c r="G623" s="11" t="s">
        <v>36</v>
      </c>
      <c r="H623" s="14" t="s">
        <v>1896</v>
      </c>
      <c r="I623" s="11" t="str">
        <f>HYPERLINK("https://redirect.sdcdeals.com/redirect?code=763034&amp;mavely=https://mavely.app.link/e/bhESV2wGrGb&amp;destination=https%3A%2F%2Fwww.kohls.com%2Fsearch.jsp%3Fsubmit-search%3Dweb-regular%26search%3D46361250", "Retail Link")</f>
        <v>Retail Link</v>
      </c>
      <c r="J623" s="14" t="s">
        <v>1897</v>
      </c>
      <c r="K623" s="13" t="s">
        <v>1898</v>
      </c>
      <c r="L623" s="15">
        <v>10.8</v>
      </c>
      <c r="M623" s="15">
        <v>28.98</v>
      </c>
      <c r="N623" s="15">
        <v>7.2330000000000014</v>
      </c>
      <c r="O623" s="15">
        <f>V623-M623</f>
        <v>1.2800000000000011</v>
      </c>
      <c r="P623" s="16">
        <f>N623/L623</f>
        <v>0.66972222222222233</v>
      </c>
      <c r="Q623" s="14">
        <v>1552</v>
      </c>
      <c r="R623" s="14">
        <v>100</v>
      </c>
      <c r="S623" s="17">
        <v>0.93034963999999998</v>
      </c>
      <c r="T623" s="15"/>
      <c r="U623" s="15">
        <v>28.98</v>
      </c>
      <c r="V623" s="15">
        <v>30.26</v>
      </c>
      <c r="W623" s="14" t="s">
        <v>1899</v>
      </c>
      <c r="X623" s="14">
        <v>3</v>
      </c>
      <c r="Y623" s="10">
        <f>AC623-AB623</f>
        <v>17542</v>
      </c>
      <c r="Z623" s="18">
        <v>49</v>
      </c>
      <c r="AA623" s="18">
        <v>134</v>
      </c>
      <c r="AB623" s="18">
        <v>361</v>
      </c>
      <c r="AC623" s="18">
        <v>17903</v>
      </c>
      <c r="AD623" s="1" t="s">
        <v>1900</v>
      </c>
      <c r="AE623" s="1" t="s">
        <v>1901</v>
      </c>
      <c r="AG623" s="4">
        <v>6.6</v>
      </c>
    </row>
    <row r="624" spans="1:33" ht="47.25" customHeight="1" x14ac:dyDescent="0.25">
      <c r="A624" s="10" t="s">
        <v>3405</v>
      </c>
      <c r="B624" s="11" t="s">
        <v>33</v>
      </c>
      <c r="C624" s="12" t="s">
        <v>3406</v>
      </c>
      <c r="D624" s="27"/>
      <c r="E624" s="14" t="s">
        <v>35</v>
      </c>
      <c r="F624" s="11" t="str">
        <f>HYPERLINK("https://redirect.sdcdeals.com/redirect?destination=https%3A%2F%2Fwww.amazon.com%2Fdp%2FB0CL5C7VZL%3Fth%3D1%26psc%3D1%26tag%3Dsdcdeals03-20", "Amazon Link")</f>
        <v>Amazon Link</v>
      </c>
      <c r="G624" s="11" t="s">
        <v>36</v>
      </c>
      <c r="H624" s="14" t="s">
        <v>3407</v>
      </c>
      <c r="I624" s="11" t="str">
        <f>HYPERLINK("https://redirect.sdcdeals.com/redirect?code=763034&amp;mavely=https://mavely.app.link/e/bhESV2wGrGb&amp;destination=https%3A%2F%2Fwww.kohls.com%2Fsearch.jsp%3Fsubmit-search%3Dweb-regular%26search%3D54727589", "Retail Link")</f>
        <v>Retail Link</v>
      </c>
      <c r="J624" s="14" t="s">
        <v>3376</v>
      </c>
      <c r="K624" s="13" t="s">
        <v>3408</v>
      </c>
      <c r="L624" s="15">
        <v>6.4</v>
      </c>
      <c r="M624" s="15">
        <v>17.989999999999998</v>
      </c>
      <c r="N624" s="15">
        <v>4.2814999999999959</v>
      </c>
      <c r="O624" s="15">
        <f>V624-M624</f>
        <v>2.9200000000000017</v>
      </c>
      <c r="P624" s="16">
        <f>N624/L624</f>
        <v>0.6689843749999993</v>
      </c>
      <c r="Q624" s="14">
        <v>2715959</v>
      </c>
      <c r="R624" s="14"/>
      <c r="S624" s="17">
        <v>0.33069300000000001</v>
      </c>
      <c r="T624" s="15">
        <v>17.989999999999998</v>
      </c>
      <c r="U624" s="15">
        <v>17.97</v>
      </c>
      <c r="V624" s="15">
        <v>20.91</v>
      </c>
      <c r="W624" s="14" t="s">
        <v>3409</v>
      </c>
      <c r="X624" s="14">
        <v>10</v>
      </c>
      <c r="Y624" s="10">
        <f>AC624-AB624</f>
        <v>0</v>
      </c>
      <c r="Z624" s="18">
        <v>4</v>
      </c>
      <c r="AA624" s="18">
        <v>4</v>
      </c>
      <c r="AB624" s="18">
        <v>0</v>
      </c>
      <c r="AC624" s="18"/>
      <c r="AE624" s="1" t="s">
        <v>3380</v>
      </c>
      <c r="AF624" s="4">
        <v>1.8</v>
      </c>
      <c r="AG624" s="4">
        <v>4.6100000000000003</v>
      </c>
    </row>
    <row r="625" spans="1:33" ht="47.25" customHeight="1" x14ac:dyDescent="0.25">
      <c r="A625" s="10" t="s">
        <v>6359</v>
      </c>
      <c r="B625" s="11" t="s">
        <v>33</v>
      </c>
      <c r="C625" s="12" t="s">
        <v>6360</v>
      </c>
      <c r="D625" s="27"/>
      <c r="E625" s="14" t="s">
        <v>35</v>
      </c>
      <c r="F625" s="11" t="str">
        <f>HYPERLINK("https://redirect.sdcdeals.com/redirect?destination=https%3A%2F%2Fwww.amazon.com%2Fdp%2FB0CL5CV2FK%3Fth%3D1%26psc%3D1%26tag%3Dsdcdeals03-20", "Amazon Link")</f>
        <v>Amazon Link</v>
      </c>
      <c r="G625" s="11" t="s">
        <v>36</v>
      </c>
      <c r="H625" s="14" t="s">
        <v>6361</v>
      </c>
      <c r="I625" s="11" t="str">
        <f>HYPERLINK("https://redirect.sdcdeals.com/redirect?code=763034&amp;mavely=https://mavely.app.link/e/bhESV2wGrGb&amp;destination=https%3A%2F%2Fwww.kohls.com%2Fsearch.jsp%3Fsubmit-search%3Dweb-regular%26search%3D78738272", "Retail Link")</f>
        <v>Retail Link</v>
      </c>
      <c r="J625" s="14" t="s">
        <v>6356</v>
      </c>
      <c r="K625" s="13" t="s">
        <v>6362</v>
      </c>
      <c r="L625" s="15">
        <v>6.4</v>
      </c>
      <c r="M625" s="15">
        <v>17.989999999999998</v>
      </c>
      <c r="N625" s="15">
        <v>4.2814999999999959</v>
      </c>
      <c r="O625" s="15">
        <f>V625-M625</f>
        <v>3.8900000000000006</v>
      </c>
      <c r="P625" s="16">
        <f>N625/L625</f>
        <v>0.6689843749999993</v>
      </c>
      <c r="Q625" s="14">
        <v>2159335</v>
      </c>
      <c r="R625" s="14"/>
      <c r="S625" s="17">
        <v>0.33069300000000001</v>
      </c>
      <c r="T625" s="15">
        <v>17.989999999999998</v>
      </c>
      <c r="U625" s="15">
        <v>17.18</v>
      </c>
      <c r="V625" s="15">
        <v>21.88</v>
      </c>
      <c r="W625" s="14" t="s">
        <v>986</v>
      </c>
      <c r="X625" s="14">
        <v>14</v>
      </c>
      <c r="Y625" s="10">
        <f>AC625-AB625</f>
        <v>1</v>
      </c>
      <c r="Z625" s="18">
        <v>11</v>
      </c>
      <c r="AA625" s="18">
        <v>11</v>
      </c>
      <c r="AB625" s="18">
        <v>0</v>
      </c>
      <c r="AC625" s="18">
        <v>1</v>
      </c>
      <c r="AD625" s="1" t="s">
        <v>3379</v>
      </c>
      <c r="AE625" s="1" t="s">
        <v>1453</v>
      </c>
      <c r="AF625" s="4">
        <v>1.8</v>
      </c>
      <c r="AG625" s="4">
        <v>4.6100000000000003</v>
      </c>
    </row>
    <row r="626" spans="1:33" ht="47.25" customHeight="1" x14ac:dyDescent="0.25">
      <c r="A626" s="10" t="s">
        <v>2698</v>
      </c>
      <c r="B626" s="11" t="s">
        <v>33</v>
      </c>
      <c r="C626" s="12" t="s">
        <v>2699</v>
      </c>
      <c r="D626" s="27"/>
      <c r="E626" s="14" t="s">
        <v>35</v>
      </c>
      <c r="F626" s="11" t="str">
        <f>HYPERLINK("https://redirect.sdcdeals.com/redirect?destination=https%3A%2F%2Fwww.amazon.com%2Fdp%2FB0BKQWRF74%3Fth%3D1%26psc%3D1%26tag%3Dsdcdeals03-20", "Amazon Link")</f>
        <v>Amazon Link</v>
      </c>
      <c r="G626" s="11" t="s">
        <v>36</v>
      </c>
      <c r="H626" s="14" t="s">
        <v>2700</v>
      </c>
      <c r="I626" s="11" t="str">
        <f>HYPERLINK("https://redirect.sdcdeals.com/redirect?code=763034&amp;mavely=https://mavely.app.link/e/bhESV2wGrGb&amp;destination=https%3A%2F%2Fwww.kohls.com%2Fsearch.jsp%3Fsubmit-search%3Dweb-regular%26search%3D46946428", "Retail Link")</f>
        <v>Retail Link</v>
      </c>
      <c r="J626" s="14" t="s">
        <v>2685</v>
      </c>
      <c r="K626" s="13" t="s">
        <v>2701</v>
      </c>
      <c r="L626" s="15">
        <v>62.400000000000013</v>
      </c>
      <c r="M626" s="15">
        <v>140.08000000000001</v>
      </c>
      <c r="N626" s="15">
        <v>41.737999999999992</v>
      </c>
      <c r="O626" s="15">
        <f>V626-M626</f>
        <v>-1.7400000000000091</v>
      </c>
      <c r="P626" s="16">
        <f>N626/L626</f>
        <v>0.66887820512820484</v>
      </c>
      <c r="Q626" s="14">
        <v>402236</v>
      </c>
      <c r="R626" s="14"/>
      <c r="S626" s="17">
        <v>2.5992469800000002</v>
      </c>
      <c r="T626" s="15">
        <v>129.61000000000001</v>
      </c>
      <c r="U626" s="15">
        <v>138.22</v>
      </c>
      <c r="V626" s="15">
        <v>138.34</v>
      </c>
      <c r="W626" s="14" t="s">
        <v>330</v>
      </c>
      <c r="X626" s="14">
        <v>2</v>
      </c>
      <c r="Y626" s="10">
        <f>AC626-AB626</f>
        <v>32</v>
      </c>
      <c r="Z626" s="18">
        <v>7</v>
      </c>
      <c r="AA626" s="18">
        <v>37</v>
      </c>
      <c r="AB626" s="18">
        <v>0</v>
      </c>
      <c r="AC626" s="18">
        <v>32</v>
      </c>
      <c r="AD626" s="1" t="s">
        <v>2687</v>
      </c>
      <c r="AE626" s="1" t="s">
        <v>2688</v>
      </c>
      <c r="AF626" s="4">
        <v>23.81</v>
      </c>
      <c r="AG626" s="4">
        <v>14.93</v>
      </c>
    </row>
    <row r="627" spans="1:33" ht="47.25" customHeight="1" x14ac:dyDescent="0.25">
      <c r="A627" s="10" t="s">
        <v>5811</v>
      </c>
      <c r="B627" s="11" t="s">
        <v>33</v>
      </c>
      <c r="C627" s="12" t="s">
        <v>5812</v>
      </c>
      <c r="D627" s="27"/>
      <c r="E627" s="14" t="s">
        <v>35</v>
      </c>
      <c r="F627" s="11" t="str">
        <f>HYPERLINK("https://redirect.sdcdeals.com/redirect?destination=https%3A%2F%2Fwww.amazon.com%2Fdp%2FB0BNJZ77LP%3Fth%3D1%26psc%3D1%26tag%3Dsdcdeals03-20", "Amazon Link")</f>
        <v>Amazon Link</v>
      </c>
      <c r="G627" s="11" t="s">
        <v>36</v>
      </c>
      <c r="H627" s="14" t="s">
        <v>5813</v>
      </c>
      <c r="I627" s="11" t="str">
        <f>HYPERLINK("https://redirect.sdcdeals.com/redirect?code=763034&amp;mavely=https://mavely.app.link/e/bhESV2wGrGb&amp;destination=https%3A%2F%2Fwww.kohls.com%2Fsearch.jsp%3Fsubmit-search%3Dweb-regular%26search%3D27564338", "Retail Link")</f>
        <v>Retail Link</v>
      </c>
      <c r="J627" s="14" t="s">
        <v>5814</v>
      </c>
      <c r="K627" s="13" t="s">
        <v>5815</v>
      </c>
      <c r="L627" s="15">
        <v>21.6</v>
      </c>
      <c r="M627" s="15">
        <v>57.28</v>
      </c>
      <c r="N627" s="15">
        <v>14.438000000000001</v>
      </c>
      <c r="O627" s="15">
        <f>V627-M627</f>
        <v>-3.3599999999999994</v>
      </c>
      <c r="P627" s="16">
        <f>N627/L627</f>
        <v>0.66842592592592587</v>
      </c>
      <c r="Q627" s="14">
        <v>509857</v>
      </c>
      <c r="R627" s="14"/>
      <c r="S627" s="17">
        <v>2.6675901999999998</v>
      </c>
      <c r="T627" s="15">
        <v>57.28</v>
      </c>
      <c r="U627" s="15">
        <v>42.15</v>
      </c>
      <c r="V627" s="15">
        <v>53.92</v>
      </c>
      <c r="W627" s="14" t="s">
        <v>53</v>
      </c>
      <c r="X627" s="14">
        <v>1</v>
      </c>
      <c r="Y627" s="10">
        <f>AC627-AB627</f>
        <v>33</v>
      </c>
      <c r="Z627" s="18">
        <v>21</v>
      </c>
      <c r="AA627" s="18">
        <v>69</v>
      </c>
      <c r="AB627" s="18">
        <v>2</v>
      </c>
      <c r="AC627" s="18">
        <v>35</v>
      </c>
      <c r="AD627" s="1" t="s">
        <v>5816</v>
      </c>
      <c r="AE627" s="1" t="s">
        <v>5817</v>
      </c>
      <c r="AF627" s="4">
        <v>9.73</v>
      </c>
      <c r="AG627" s="4">
        <v>12.65</v>
      </c>
    </row>
    <row r="628" spans="1:33" ht="47.25" customHeight="1" x14ac:dyDescent="0.25">
      <c r="A628" s="10" t="s">
        <v>4351</v>
      </c>
      <c r="B628" s="11" t="s">
        <v>33</v>
      </c>
      <c r="C628" s="12" t="s">
        <v>4352</v>
      </c>
      <c r="D628" s="27"/>
      <c r="E628" s="14" t="s">
        <v>35</v>
      </c>
      <c r="F628" s="11" t="str">
        <f>HYPERLINK("https://redirect.sdcdeals.com/redirect?destination=https%3A%2F%2Fwww.amazon.com%2Fdp%2FB0B1KLPNTW%3Fth%3D1%26psc%3D1%26tag%3Dsdcdeals03-20", "Amazon Link")</f>
        <v>Amazon Link</v>
      </c>
      <c r="G628" s="11" t="s">
        <v>36</v>
      </c>
      <c r="H628" s="14" t="s">
        <v>4353</v>
      </c>
      <c r="I628" s="11" t="str">
        <f>HYPERLINK("https://redirect.sdcdeals.com/redirect?code=763034&amp;mavely=https://mavely.app.link/e/bhESV2wGrGb&amp;destination=https%3A%2F%2Fwww.kohls.com%2Fsearch.jsp%3Fsubmit-search%3Dweb-regular%26search%3D68949018", "Retail Link")</f>
        <v>Retail Link</v>
      </c>
      <c r="J628" s="14" t="s">
        <v>4347</v>
      </c>
      <c r="K628" s="13" t="s">
        <v>4354</v>
      </c>
      <c r="L628" s="15">
        <v>20.847999999999999</v>
      </c>
      <c r="M628" s="15">
        <v>48.92</v>
      </c>
      <c r="N628" s="15">
        <v>13.923999999999999</v>
      </c>
      <c r="O628" s="15">
        <f>V628-M628</f>
        <v>0.97999999999999687</v>
      </c>
      <c r="P628" s="16">
        <f>N628/L628</f>
        <v>0.66788181120491175</v>
      </c>
      <c r="Q628" s="14">
        <v>758</v>
      </c>
      <c r="R628" s="14"/>
      <c r="S628" s="17">
        <v>1.2654518800000001</v>
      </c>
      <c r="T628" s="15">
        <v>48.92</v>
      </c>
      <c r="U628" s="15">
        <v>48.37</v>
      </c>
      <c r="V628" s="15">
        <v>49.9</v>
      </c>
      <c r="W628" s="14" t="s">
        <v>106</v>
      </c>
      <c r="X628" s="14">
        <v>1</v>
      </c>
      <c r="Y628" s="10">
        <f>AC628-AB628</f>
        <v>47577</v>
      </c>
      <c r="Z628" s="18">
        <v>55</v>
      </c>
      <c r="AA628" s="18">
        <v>144</v>
      </c>
      <c r="AB628" s="18">
        <v>0</v>
      </c>
      <c r="AC628" s="18">
        <v>47577</v>
      </c>
      <c r="AD628" s="1" t="s">
        <v>4355</v>
      </c>
      <c r="AE628" s="1" t="s">
        <v>4356</v>
      </c>
      <c r="AF628" s="4">
        <v>8.32</v>
      </c>
      <c r="AG628" s="4">
        <v>6.81</v>
      </c>
    </row>
    <row r="629" spans="1:33" ht="47.25" customHeight="1" x14ac:dyDescent="0.25">
      <c r="A629" s="10" t="s">
        <v>3400</v>
      </c>
      <c r="B629" s="11" t="s">
        <v>33</v>
      </c>
      <c r="C629" s="12" t="s">
        <v>3401</v>
      </c>
      <c r="D629" s="27"/>
      <c r="E629" s="14" t="s">
        <v>35</v>
      </c>
      <c r="F629" s="11" t="str">
        <f>HYPERLINK("https://redirect.sdcdeals.com/redirect?destination=https%3A%2F%2Fwww.amazon.com%2Fdp%2FB0CL5CXJCB%3Fth%3D1%26psc%3D1%26tag%3Dsdcdeals03-20", "Amazon Link")</f>
        <v>Amazon Link</v>
      </c>
      <c r="G629" s="11" t="s">
        <v>36</v>
      </c>
      <c r="H629" s="14" t="s">
        <v>3402</v>
      </c>
      <c r="I629" s="11" t="str">
        <f>HYPERLINK("https://redirect.sdcdeals.com/redirect?code=763034&amp;mavely=https://mavely.app.link/e/bhESV2wGrGb&amp;destination=https%3A%2F%2Fwww.kohls.com%2Fsearch.jsp%3Fsubmit-search%3Dweb-regular%26search%3D54727588", "Retail Link")</f>
        <v>Retail Link</v>
      </c>
      <c r="J629" s="14" t="s">
        <v>3376</v>
      </c>
      <c r="K629" s="13" t="s">
        <v>3403</v>
      </c>
      <c r="L629" s="15">
        <v>6.4</v>
      </c>
      <c r="M629" s="15">
        <v>17.98</v>
      </c>
      <c r="N629" s="15">
        <v>4.2729999999999979</v>
      </c>
      <c r="O629" s="15">
        <f>V629-M629</f>
        <v>3.4299999999999997</v>
      </c>
      <c r="P629" s="16">
        <f>N629/L629</f>
        <v>0.66765624999999962</v>
      </c>
      <c r="Q629" s="14">
        <v>2153964</v>
      </c>
      <c r="R629" s="14"/>
      <c r="S629" s="17">
        <v>0.33069300000000001</v>
      </c>
      <c r="T629" s="15">
        <v>17.98</v>
      </c>
      <c r="U629" s="15">
        <v>18.100000000000001</v>
      </c>
      <c r="V629" s="15">
        <v>21.41</v>
      </c>
      <c r="W629" s="14" t="s">
        <v>3404</v>
      </c>
      <c r="X629" s="14">
        <v>10</v>
      </c>
      <c r="Y629" s="10">
        <f>AC629-AB629</f>
        <v>0</v>
      </c>
      <c r="Z629" s="18">
        <v>3</v>
      </c>
      <c r="AA629" s="18">
        <v>65</v>
      </c>
      <c r="AB629" s="18">
        <v>1</v>
      </c>
      <c r="AC629" s="18">
        <v>1</v>
      </c>
      <c r="AE629" s="1" t="s">
        <v>3380</v>
      </c>
      <c r="AF629" s="4">
        <v>1.8</v>
      </c>
      <c r="AG629" s="4">
        <v>4.6100000000000003</v>
      </c>
    </row>
    <row r="630" spans="1:33" ht="47.25" customHeight="1" x14ac:dyDescent="0.25">
      <c r="A630" s="10" t="s">
        <v>1126</v>
      </c>
      <c r="B630" s="11" t="s">
        <v>33</v>
      </c>
      <c r="C630" s="12" t="s">
        <v>1127</v>
      </c>
      <c r="D630" s="27"/>
      <c r="E630" s="14" t="s">
        <v>35</v>
      </c>
      <c r="F630" s="11" t="str">
        <f>HYPERLINK("https://redirect.sdcdeals.com/redirect?destination=https%3A%2F%2Fwww.amazon.com%2Fdp%2FB0BLZPV98D%3Fth%3D1%26psc%3D1%26tag%3Dsdcdeals03-20", "Amazon Link")</f>
        <v>Amazon Link</v>
      </c>
      <c r="G630" s="11" t="s">
        <v>36</v>
      </c>
      <c r="H630" s="14" t="s">
        <v>1128</v>
      </c>
      <c r="I630" s="11" t="str">
        <f>HYPERLINK("https://redirect.sdcdeals.com/redirect?code=763034&amp;mavely=https://mavely.app.link/e/bhESV2wGrGb&amp;destination=https%3A%2F%2Fwww.kohls.com%2Fsearch.jsp%3Fsubmit-search%3Dweb-regular%26search%3D51007640", "Retail Link")</f>
        <v>Retail Link</v>
      </c>
      <c r="J630" s="14" t="s">
        <v>1124</v>
      </c>
      <c r="K630" s="13" t="s">
        <v>1129</v>
      </c>
      <c r="L630" s="15">
        <v>5.9920000000000009</v>
      </c>
      <c r="M630" s="15">
        <v>19.989999999999998</v>
      </c>
      <c r="N630" s="15">
        <v>3.9994999999999981</v>
      </c>
      <c r="O630" s="15">
        <f>V630-M630</f>
        <v>0</v>
      </c>
      <c r="P630" s="16">
        <f>N630/L630</f>
        <v>0.66747329773030661</v>
      </c>
      <c r="Q630" s="14">
        <v>220126</v>
      </c>
      <c r="R630" s="14"/>
      <c r="S630" s="17">
        <v>0.24030357999999999</v>
      </c>
      <c r="T630" s="15">
        <v>19.989999999999998</v>
      </c>
      <c r="U630" s="15">
        <v>19.989999999999998</v>
      </c>
      <c r="V630" s="15">
        <v>19.989999999999998</v>
      </c>
      <c r="W630" s="14" t="s">
        <v>964</v>
      </c>
      <c r="X630" s="14">
        <v>2</v>
      </c>
      <c r="Y630" s="10">
        <f>AC630-AB630</f>
        <v>10</v>
      </c>
      <c r="Z630" s="18">
        <v>1</v>
      </c>
      <c r="AA630" s="18">
        <v>6</v>
      </c>
      <c r="AB630" s="18">
        <v>0</v>
      </c>
      <c r="AC630" s="18">
        <v>10</v>
      </c>
      <c r="AE630" s="1" t="s">
        <v>935</v>
      </c>
      <c r="AF630" s="4">
        <v>3</v>
      </c>
      <c r="AG630" s="4">
        <v>7</v>
      </c>
    </row>
    <row r="631" spans="1:33" ht="47.25" customHeight="1" x14ac:dyDescent="0.25">
      <c r="A631" s="10" t="s">
        <v>7066</v>
      </c>
      <c r="B631" s="11" t="s">
        <v>33</v>
      </c>
      <c r="C631" s="12" t="s">
        <v>7067</v>
      </c>
      <c r="D631" s="27"/>
      <c r="E631" s="14" t="s">
        <v>35</v>
      </c>
      <c r="F631" s="11" t="str">
        <f>HYPERLINK("https://redirect.sdcdeals.com/redirect?destination=https%3A%2F%2Fwww.amazon.com%2Fdp%2FB0C878Z28W%3Fth%3D1%26psc%3D1%26tag%3Dsdcdeals03-20", "Amazon Link")</f>
        <v>Amazon Link</v>
      </c>
      <c r="G631" s="11" t="s">
        <v>36</v>
      </c>
      <c r="H631" s="14" t="s">
        <v>7068</v>
      </c>
      <c r="I631" s="11" t="str">
        <f>HYPERLINK("https://redirect.sdcdeals.com/redirect?code=763034&amp;mavely=https://mavely.app.link/e/bhESV2wGrGb&amp;destination=https%3A%2F%2Fwww.kohls.com%2Fsearch.jsp%3Fsubmit-search%3Dweb-regular%26search%3D70986827", "Retail Link")</f>
        <v>Retail Link</v>
      </c>
      <c r="J631" s="14" t="s">
        <v>7062</v>
      </c>
      <c r="K631" s="13" t="s">
        <v>7063</v>
      </c>
      <c r="L631" s="15">
        <v>7.2</v>
      </c>
      <c r="M631" s="15">
        <v>19.54</v>
      </c>
      <c r="N631" s="15">
        <v>4.7989999999999986</v>
      </c>
      <c r="O631" s="15">
        <f>V631-M631</f>
        <v>-0.82000000000000028</v>
      </c>
      <c r="P631" s="16">
        <f>N631/L631</f>
        <v>0.66652777777777761</v>
      </c>
      <c r="Q631" s="14">
        <v>384180</v>
      </c>
      <c r="R631" s="14"/>
      <c r="S631" s="17">
        <v>0.31085141999999999</v>
      </c>
      <c r="T631" s="15">
        <v>19.54</v>
      </c>
      <c r="U631" s="15">
        <v>18.93</v>
      </c>
      <c r="V631" s="15">
        <v>18.72</v>
      </c>
      <c r="W631" s="14" t="s">
        <v>1710</v>
      </c>
      <c r="X631" s="14">
        <v>2</v>
      </c>
      <c r="Y631" s="10">
        <f>AC631-AB631</f>
        <v>406</v>
      </c>
      <c r="Z631" s="18">
        <v>23</v>
      </c>
      <c r="AA631" s="18">
        <v>61</v>
      </c>
      <c r="AB631" s="18">
        <v>2</v>
      </c>
      <c r="AC631" s="18">
        <v>408</v>
      </c>
      <c r="AD631" s="1" t="s">
        <v>7064</v>
      </c>
      <c r="AE631" s="1" t="s">
        <v>7065</v>
      </c>
      <c r="AG631" s="4">
        <v>4.6100000000000003</v>
      </c>
    </row>
    <row r="632" spans="1:33" ht="47.25" customHeight="1" x14ac:dyDescent="0.25">
      <c r="A632" s="10" t="s">
        <v>4815</v>
      </c>
      <c r="B632" s="11" t="s">
        <v>33</v>
      </c>
      <c r="C632" s="12" t="s">
        <v>4816</v>
      </c>
      <c r="D632" s="27"/>
      <c r="E632" s="14" t="s">
        <v>35</v>
      </c>
      <c r="F632" s="11" t="str">
        <f>HYPERLINK("https://redirect.sdcdeals.com/redirect?destination=https%3A%2F%2Fwww.amazon.com%2Fdp%2FB09HWGGLHM%3Fth%3D1%26psc%3D1%26tag%3Dsdcdeals03-20", "Amazon Link")</f>
        <v>Amazon Link</v>
      </c>
      <c r="G632" s="11" t="s">
        <v>36</v>
      </c>
      <c r="H632" s="14" t="s">
        <v>4817</v>
      </c>
      <c r="I632" s="11" t="str">
        <f>HYPERLINK("https://redirect.sdcdeals.com/redirect?code=763034&amp;mavely=https://mavely.app.link/e/bhESV2wGrGb&amp;destination=https%3A%2F%2Fwww.kohls.com%2Fsearch.jsp%3Fsubmit-search%3Dweb-regular%26search%3D28699404", "Retail Link")</f>
        <v>Retail Link</v>
      </c>
      <c r="J632" s="14" t="s">
        <v>4818</v>
      </c>
      <c r="K632" s="13" t="s">
        <v>4819</v>
      </c>
      <c r="L632" s="15">
        <v>3.3759999999999999</v>
      </c>
      <c r="M632" s="15">
        <v>11.5</v>
      </c>
      <c r="N632" s="15">
        <v>2.2490000000000001</v>
      </c>
      <c r="O632" s="15">
        <f>V632-M632</f>
        <v>0.16999999999999993</v>
      </c>
      <c r="P632" s="16">
        <f>N632/L632</f>
        <v>0.66617298578199058</v>
      </c>
      <c r="Q632" s="14">
        <v>320208</v>
      </c>
      <c r="R632" s="14"/>
      <c r="S632" s="17">
        <v>0.28660059999999998</v>
      </c>
      <c r="T632" s="15">
        <v>8.5</v>
      </c>
      <c r="U632" s="15">
        <v>11.46</v>
      </c>
      <c r="V632" s="15">
        <v>11.67</v>
      </c>
      <c r="W632" s="14" t="s">
        <v>530</v>
      </c>
      <c r="X632" s="14">
        <v>25</v>
      </c>
      <c r="Y632" s="10">
        <f>AC632-AB632</f>
        <v>77</v>
      </c>
      <c r="Z632" s="18">
        <v>7</v>
      </c>
      <c r="AA632" s="18">
        <v>30</v>
      </c>
      <c r="AB632" s="18"/>
      <c r="AC632" s="18">
        <v>77</v>
      </c>
      <c r="AD632" s="1" t="s">
        <v>4820</v>
      </c>
      <c r="AE632" s="1" t="s">
        <v>4821</v>
      </c>
      <c r="AF632" s="4">
        <v>1.73</v>
      </c>
      <c r="AG632" s="4">
        <v>4.1500000000000004</v>
      </c>
    </row>
    <row r="633" spans="1:33" ht="47.25" customHeight="1" x14ac:dyDescent="0.25">
      <c r="A633" s="10" t="s">
        <v>195</v>
      </c>
      <c r="B633" s="11" t="s">
        <v>33</v>
      </c>
      <c r="C633" s="12" t="s">
        <v>196</v>
      </c>
      <c r="D633" s="27"/>
      <c r="E633" s="14" t="s">
        <v>35</v>
      </c>
      <c r="F633" s="11" t="str">
        <f>HYPERLINK("https://redirect.sdcdeals.com/redirect?destination=https%3A%2F%2Fwww.amazon.com%2Fdp%2FB09N6PBFVW%3Fth%3D1%26psc%3D1%26tag%3Dsdcdeals03-20", "Amazon Link")</f>
        <v>Amazon Link</v>
      </c>
      <c r="G633" s="11" t="s">
        <v>36</v>
      </c>
      <c r="H633" s="14" t="s">
        <v>197</v>
      </c>
      <c r="I633" s="11" t="str">
        <f>HYPERLINK("https://redirect.sdcdeals.com/redirect?code=763034&amp;mavely=https://mavely.app.link/e/bhESV2wGrGb&amp;destination=https%3A%2F%2Fwww.kohls.com%2Fsearch.jsp%3Fsubmit-search%3Dweb-regular%26search%3D46688135", "Retail Link")</f>
        <v>Retail Link</v>
      </c>
      <c r="J633" s="14" t="s">
        <v>175</v>
      </c>
      <c r="K633" s="13" t="s">
        <v>198</v>
      </c>
      <c r="L633" s="15">
        <v>18.064</v>
      </c>
      <c r="M633" s="15">
        <v>42.63</v>
      </c>
      <c r="N633" s="15">
        <v>12.031499999999999</v>
      </c>
      <c r="O633" s="15">
        <f>V633-M633</f>
        <v>1.4699999999999989</v>
      </c>
      <c r="P633" s="16">
        <f>N633/L633</f>
        <v>0.66604849424269263</v>
      </c>
      <c r="Q633" s="14">
        <v>11310</v>
      </c>
      <c r="R633" s="14"/>
      <c r="S633" s="17">
        <v>1.4837092599999999</v>
      </c>
      <c r="T633" s="15"/>
      <c r="U633" s="15">
        <v>42.63</v>
      </c>
      <c r="V633" s="15">
        <v>44.1</v>
      </c>
      <c r="W633" s="14" t="s">
        <v>199</v>
      </c>
      <c r="X633" s="14">
        <v>1</v>
      </c>
      <c r="Y633" s="10">
        <f>AC633-AB633</f>
        <v>9726</v>
      </c>
      <c r="Z633" s="18">
        <v>4</v>
      </c>
      <c r="AA633" s="18">
        <v>60</v>
      </c>
      <c r="AB633" s="18">
        <v>0</v>
      </c>
      <c r="AC633" s="18">
        <v>9726</v>
      </c>
      <c r="AD633" s="1" t="s">
        <v>177</v>
      </c>
      <c r="AE633" s="1" t="s">
        <v>178</v>
      </c>
      <c r="AG633" s="4">
        <v>6.14</v>
      </c>
    </row>
    <row r="634" spans="1:33" ht="47.25" customHeight="1" x14ac:dyDescent="0.25">
      <c r="A634" s="10" t="s">
        <v>1729</v>
      </c>
      <c r="B634" s="11" t="s">
        <v>33</v>
      </c>
      <c r="C634" s="12" t="s">
        <v>1730</v>
      </c>
      <c r="D634" s="27"/>
      <c r="E634" s="14" t="s">
        <v>35</v>
      </c>
      <c r="F634" s="11" t="str">
        <f>HYPERLINK("https://redirect.sdcdeals.com/redirect?destination=https%3A%2F%2Fwww.amazon.com%2Fdp%2FB0BJ6DXJ9B%3Fth%3D1%26psc%3D1%26tag%3Dsdcdeals03-20", "Amazon Link")</f>
        <v>Amazon Link</v>
      </c>
      <c r="G634" s="11" t="s">
        <v>36</v>
      </c>
      <c r="H634" s="14" t="s">
        <v>1731</v>
      </c>
      <c r="I634" s="11" t="str">
        <f>HYPERLINK("https://redirect.sdcdeals.com/redirect?code=763034&amp;mavely=https://mavely.app.link/e/bhESV2wGrGb&amp;destination=https%3A%2F%2Fwww.kohls.com%2Fsearch.jsp%3Fsubmit-search%3Dweb-regular%26search%3D79062521", "Retail Link")</f>
        <v>Retail Link</v>
      </c>
      <c r="J634" s="14" t="s">
        <v>1732</v>
      </c>
      <c r="K634" s="13" t="s">
        <v>1733</v>
      </c>
      <c r="L634" s="15">
        <v>14</v>
      </c>
      <c r="M634" s="15">
        <v>35.5</v>
      </c>
      <c r="N634" s="15">
        <v>9.3150000000000013</v>
      </c>
      <c r="O634" s="15">
        <f>V634-M634</f>
        <v>1.3299999999999983</v>
      </c>
      <c r="P634" s="16">
        <f>N634/L634</f>
        <v>0.66535714285714298</v>
      </c>
      <c r="Q634" s="14">
        <v>37317</v>
      </c>
      <c r="R634" s="14"/>
      <c r="S634" s="17">
        <v>0.95900969999999996</v>
      </c>
      <c r="T634" s="15">
        <v>35.5</v>
      </c>
      <c r="U634" s="15">
        <v>42.5</v>
      </c>
      <c r="V634" s="15">
        <v>36.83</v>
      </c>
      <c r="W634" s="14" t="s">
        <v>1734</v>
      </c>
      <c r="X634" s="14">
        <v>6</v>
      </c>
      <c r="Y634" s="10">
        <f>AC634-AB634</f>
        <v>70</v>
      </c>
      <c r="Z634" s="18">
        <v>68</v>
      </c>
      <c r="AA634" s="18">
        <v>166</v>
      </c>
      <c r="AB634" s="18">
        <v>2</v>
      </c>
      <c r="AC634" s="18">
        <v>72</v>
      </c>
      <c r="AD634" s="1" t="s">
        <v>1735</v>
      </c>
      <c r="AE634" s="1" t="s">
        <v>1736</v>
      </c>
      <c r="AG634" s="4">
        <v>6.86</v>
      </c>
    </row>
    <row r="635" spans="1:33" ht="47.25" customHeight="1" x14ac:dyDescent="0.25">
      <c r="A635" s="10" t="s">
        <v>4465</v>
      </c>
      <c r="B635" s="11" t="s">
        <v>33</v>
      </c>
      <c r="C635" s="12" t="s">
        <v>4466</v>
      </c>
      <c r="D635" s="27"/>
      <c r="E635" s="14" t="s">
        <v>35</v>
      </c>
      <c r="F635" s="11" t="str">
        <f>HYPERLINK("https://redirect.sdcdeals.com/redirect?destination=https%3A%2F%2Fwww.amazon.com%2Fdp%2FB0B1K3X756%3Fth%3D1%26psc%3D1%26tag%3Dsdcdeals03-20", "Amazon Link")</f>
        <v>Amazon Link</v>
      </c>
      <c r="G635" s="11" t="s">
        <v>36</v>
      </c>
      <c r="H635" s="14" t="s">
        <v>4467</v>
      </c>
      <c r="I635" s="11" t="str">
        <f>HYPERLINK("https://redirect.sdcdeals.com/redirect?code=763034&amp;mavely=https://mavely.app.link/e/bhESV2wGrGb&amp;destination=https%3A%2F%2Fwww.kohls.com%2Fsearch.jsp%3Fsubmit-search%3Dweb-regular%26search%3D39483083", "Retail Link")</f>
        <v>Retail Link</v>
      </c>
      <c r="J635" s="14" t="s">
        <v>4347</v>
      </c>
      <c r="K635" s="13" t="s">
        <v>4468</v>
      </c>
      <c r="L635" s="15">
        <v>20.847999999999999</v>
      </c>
      <c r="M635" s="15">
        <v>48.57</v>
      </c>
      <c r="N635" s="15">
        <v>13.836499999999999</v>
      </c>
      <c r="O635" s="15">
        <f>V635-M635</f>
        <v>0</v>
      </c>
      <c r="P635" s="16">
        <f>N635/L635</f>
        <v>0.66368476592478898</v>
      </c>
      <c r="Q635" s="14">
        <v>846</v>
      </c>
      <c r="R635" s="14"/>
      <c r="S635" s="17">
        <v>1.5498478600000001</v>
      </c>
      <c r="T635" s="15"/>
      <c r="U635" s="15"/>
      <c r="V635" s="15">
        <v>48.57</v>
      </c>
      <c r="W635" s="14" t="s">
        <v>330</v>
      </c>
      <c r="X635" s="14"/>
      <c r="Y635" s="10">
        <f>AC635-AB635</f>
        <v>46035</v>
      </c>
      <c r="Z635" s="18">
        <v>4</v>
      </c>
      <c r="AA635" s="18">
        <v>18</v>
      </c>
      <c r="AB635" s="18">
        <v>0</v>
      </c>
      <c r="AC635" s="18">
        <v>46035</v>
      </c>
      <c r="AD635" s="1" t="s">
        <v>4349</v>
      </c>
      <c r="AE635" s="1" t="s">
        <v>4350</v>
      </c>
      <c r="AG635" s="4">
        <v>6.6</v>
      </c>
    </row>
    <row r="636" spans="1:33" ht="47.25" customHeight="1" x14ac:dyDescent="0.25">
      <c r="A636" s="10" t="s">
        <v>4473</v>
      </c>
      <c r="B636" s="11" t="s">
        <v>33</v>
      </c>
      <c r="C636" s="12" t="s">
        <v>4474</v>
      </c>
      <c r="D636" s="27"/>
      <c r="E636" s="14" t="s">
        <v>35</v>
      </c>
      <c r="F636" s="11" t="str">
        <f>HYPERLINK("https://redirect.sdcdeals.com/redirect?destination=https%3A%2F%2Fwww.amazon.com%2Fdp%2FB0B1KH25QZ%3Fth%3D1%26psc%3D1%26tag%3Dsdcdeals03-20", "Amazon Link")</f>
        <v>Amazon Link</v>
      </c>
      <c r="G636" s="11" t="s">
        <v>36</v>
      </c>
      <c r="H636" s="14" t="s">
        <v>4475</v>
      </c>
      <c r="I636" s="11" t="str">
        <f>HYPERLINK("https://redirect.sdcdeals.com/redirect?code=763034&amp;mavely=https://mavely.app.link/e/bhESV2wGrGb&amp;destination=https%3A%2F%2Fwww.kohls.com%2Fsearch.jsp%3Fsubmit-search%3Dweb-regular%26search%3D39483088", "Retail Link")</f>
        <v>Retail Link</v>
      </c>
      <c r="J636" s="14" t="s">
        <v>4347</v>
      </c>
      <c r="K636" s="13" t="s">
        <v>4476</v>
      </c>
      <c r="L636" s="15">
        <v>20.847999999999999</v>
      </c>
      <c r="M636" s="15">
        <v>48.54</v>
      </c>
      <c r="N636" s="15">
        <v>13.811</v>
      </c>
      <c r="O636" s="15">
        <f>V636-M636</f>
        <v>0</v>
      </c>
      <c r="P636" s="16">
        <f>N636/L636</f>
        <v>0.66246162701458178</v>
      </c>
      <c r="Q636" s="14">
        <v>846</v>
      </c>
      <c r="R636" s="14"/>
      <c r="S636" s="17">
        <v>1.6027587400000001</v>
      </c>
      <c r="T636" s="15"/>
      <c r="U636" s="15"/>
      <c r="V636" s="15">
        <v>48.54</v>
      </c>
      <c r="W636" s="14" t="s">
        <v>286</v>
      </c>
      <c r="X636" s="14"/>
      <c r="Y636" s="10">
        <f>AC636-AB636</f>
        <v>45063</v>
      </c>
      <c r="Z636" s="18">
        <v>7</v>
      </c>
      <c r="AA636" s="18">
        <v>22</v>
      </c>
      <c r="AB636" s="18">
        <v>0</v>
      </c>
      <c r="AC636" s="18">
        <v>45063</v>
      </c>
      <c r="AD636" s="1" t="s">
        <v>4349</v>
      </c>
      <c r="AE636" s="1" t="s">
        <v>4350</v>
      </c>
      <c r="AG636" s="4">
        <v>6.6</v>
      </c>
    </row>
    <row r="637" spans="1:33" ht="47.25" customHeight="1" x14ac:dyDescent="0.25">
      <c r="A637" s="10" t="s">
        <v>200</v>
      </c>
      <c r="B637" s="11" t="s">
        <v>33</v>
      </c>
      <c r="C637" s="12" t="s">
        <v>201</v>
      </c>
      <c r="D637" s="27"/>
      <c r="E637" s="14" t="s">
        <v>35</v>
      </c>
      <c r="F637" s="11" t="str">
        <f>HYPERLINK("https://redirect.sdcdeals.com/redirect?destination=https%3A%2F%2Fwww.amazon.com%2Fdp%2FB09N6PXY4M%3Fth%3D1%26psc%3D1%26tag%3Dsdcdeals03-20", "Amazon Link")</f>
        <v>Amazon Link</v>
      </c>
      <c r="G637" s="11" t="s">
        <v>36</v>
      </c>
      <c r="H637" s="14" t="s">
        <v>202</v>
      </c>
      <c r="I637" s="11" t="str">
        <f>HYPERLINK("https://redirect.sdcdeals.com/redirect?code=763034&amp;mavely=https://mavely.app.link/e/bhESV2wGrGb&amp;destination=https%3A%2F%2Fwww.kohls.com%2Fsearch.jsp%3Fsubmit-search%3Dweb-regular%26search%3D46688142", "Retail Link")</f>
        <v>Retail Link</v>
      </c>
      <c r="J637" s="14" t="s">
        <v>175</v>
      </c>
      <c r="K637" s="13" t="s">
        <v>203</v>
      </c>
      <c r="L637" s="15">
        <v>18.064</v>
      </c>
      <c r="M637" s="15">
        <v>43.32</v>
      </c>
      <c r="N637" s="15">
        <v>11.948</v>
      </c>
      <c r="O637" s="15">
        <f>V637-M637</f>
        <v>0.67000000000000171</v>
      </c>
      <c r="P637" s="16">
        <f>N637/L637</f>
        <v>0.66142604074402123</v>
      </c>
      <c r="Q637" s="14">
        <v>11310</v>
      </c>
      <c r="R637" s="14"/>
      <c r="S637" s="17">
        <v>1.4594584399999999</v>
      </c>
      <c r="T637" s="15"/>
      <c r="U637" s="15">
        <v>43.32</v>
      </c>
      <c r="V637" s="15">
        <v>43.99</v>
      </c>
      <c r="W637" s="14" t="s">
        <v>88</v>
      </c>
      <c r="X637" s="14">
        <v>1</v>
      </c>
      <c r="Y637" s="10">
        <f>AC637-AB637</f>
        <v>9700</v>
      </c>
      <c r="Z637" s="18">
        <v>5</v>
      </c>
      <c r="AA637" s="18">
        <v>55</v>
      </c>
      <c r="AB637" s="18">
        <v>0</v>
      </c>
      <c r="AC637" s="18">
        <v>9700</v>
      </c>
      <c r="AD637" s="1" t="s">
        <v>177</v>
      </c>
      <c r="AE637" s="1" t="s">
        <v>178</v>
      </c>
      <c r="AG637" s="4">
        <v>6.81</v>
      </c>
    </row>
    <row r="638" spans="1:33" ht="47.25" customHeight="1" x14ac:dyDescent="0.25">
      <c r="A638" s="10" t="s">
        <v>154</v>
      </c>
      <c r="B638" s="11" t="s">
        <v>33</v>
      </c>
      <c r="C638" s="12" t="s">
        <v>155</v>
      </c>
      <c r="D638" s="27"/>
      <c r="E638" s="14" t="s">
        <v>35</v>
      </c>
      <c r="F638" s="11" t="str">
        <f>HYPERLINK("https://redirect.sdcdeals.com/redirect?destination=https%3A%2F%2Fwww.amazon.com%2Fdp%2FB09JNL78LN%3Fth%3D1%26psc%3D1%26tag%3Dsdcdeals03-20", "Amazon Link")</f>
        <v>Amazon Link</v>
      </c>
      <c r="G638" s="11" t="s">
        <v>36</v>
      </c>
      <c r="H638" s="14" t="s">
        <v>156</v>
      </c>
      <c r="I638" s="11" t="str">
        <f>HYPERLINK("https://redirect.sdcdeals.com/redirect?code=763034&amp;mavely=https://mavely.app.link/e/bhESV2wGrGb&amp;destination=https%3A%2F%2Fwww.kohls.com%2Fsearch.jsp%3Fsubmit-search%3Dweb-regular%26search%3D83068738", "Retail Link")</f>
        <v>Retail Link</v>
      </c>
      <c r="J638" s="14" t="s">
        <v>149</v>
      </c>
      <c r="K638" s="13" t="s">
        <v>157</v>
      </c>
      <c r="L638" s="15">
        <v>15.6</v>
      </c>
      <c r="M638" s="15">
        <v>39</v>
      </c>
      <c r="N638" s="15">
        <v>10.31</v>
      </c>
      <c r="O638" s="15">
        <f>V638-M638</f>
        <v>-6.0900000000000034</v>
      </c>
      <c r="P638" s="16">
        <f>N638/L638</f>
        <v>0.66089743589743599</v>
      </c>
      <c r="Q638" s="14">
        <v>50994</v>
      </c>
      <c r="R638" s="14"/>
      <c r="S638" s="17">
        <v>0.70547840000000006</v>
      </c>
      <c r="T638" s="15">
        <v>30.6</v>
      </c>
      <c r="U638" s="15">
        <v>31.73</v>
      </c>
      <c r="V638" s="15">
        <v>32.909999999999997</v>
      </c>
      <c r="W638" s="14" t="s">
        <v>158</v>
      </c>
      <c r="X638" s="14">
        <v>17</v>
      </c>
      <c r="Y638" s="10">
        <f>AC638-AB638</f>
        <v>762</v>
      </c>
      <c r="Z638" s="18">
        <v>38</v>
      </c>
      <c r="AA638" s="18">
        <v>153</v>
      </c>
      <c r="AB638" s="18">
        <v>8</v>
      </c>
      <c r="AC638" s="18">
        <v>770</v>
      </c>
      <c r="AD638" s="1" t="s">
        <v>152</v>
      </c>
      <c r="AE638" s="1" t="s">
        <v>153</v>
      </c>
      <c r="AF638" s="4">
        <v>6.63</v>
      </c>
      <c r="AG638" s="4">
        <v>7.24</v>
      </c>
    </row>
    <row r="639" spans="1:33" ht="47.25" customHeight="1" x14ac:dyDescent="0.25">
      <c r="A639" s="10" t="s">
        <v>4497</v>
      </c>
      <c r="B639" s="11" t="s">
        <v>33</v>
      </c>
      <c r="C639" s="12" t="s">
        <v>4498</v>
      </c>
      <c r="D639" s="27"/>
      <c r="E639" s="14" t="s">
        <v>35</v>
      </c>
      <c r="F639" s="11" t="str">
        <f>HYPERLINK("https://redirect.sdcdeals.com/redirect?destination=https%3A%2F%2Fwww.amazon.com%2Fdp%2FB09N6DXCSW%3Fth%3D1%26psc%3D1%26tag%3Dsdcdeals03-20", "Amazon Link")</f>
        <v>Amazon Link</v>
      </c>
      <c r="G639" s="11" t="s">
        <v>36</v>
      </c>
      <c r="H639" s="14" t="s">
        <v>4499</v>
      </c>
      <c r="I639" s="11" t="str">
        <f>HYPERLINK("https://redirect.sdcdeals.com/redirect?code=763034&amp;mavely=https://mavely.app.link/e/bhESV2wGrGb&amp;destination=https%3A%2F%2Fwww.kohls.com%2Fsearch.jsp%3Fsubmit-search%3Dweb-regular%26search%3D37268519", "Retail Link")</f>
        <v>Retail Link</v>
      </c>
      <c r="J639" s="14" t="s">
        <v>4347</v>
      </c>
      <c r="K639" s="13" t="s">
        <v>4500</v>
      </c>
      <c r="L639" s="15">
        <v>20.847999999999999</v>
      </c>
      <c r="M639" s="15">
        <v>49.05</v>
      </c>
      <c r="N639" s="15">
        <v>13.7645</v>
      </c>
      <c r="O639" s="15">
        <f>V639-M639</f>
        <v>1.1600000000000037</v>
      </c>
      <c r="P639" s="16">
        <f>N639/L639</f>
        <v>0.66023119723714507</v>
      </c>
      <c r="Q639" s="14">
        <v>846</v>
      </c>
      <c r="R639" s="14"/>
      <c r="S639" s="17">
        <v>1.6644881</v>
      </c>
      <c r="T639" s="15"/>
      <c r="U639" s="15">
        <v>49.05</v>
      </c>
      <c r="V639" s="15">
        <v>50.21</v>
      </c>
      <c r="W639" s="14" t="s">
        <v>436</v>
      </c>
      <c r="X639" s="14">
        <v>1</v>
      </c>
      <c r="Y639" s="10">
        <f>AC639-AB639</f>
        <v>46829</v>
      </c>
      <c r="Z639" s="18">
        <v>6</v>
      </c>
      <c r="AA639" s="18">
        <v>47</v>
      </c>
      <c r="AB639" s="18">
        <v>1</v>
      </c>
      <c r="AC639" s="18">
        <v>46830</v>
      </c>
      <c r="AD639" s="1" t="s">
        <v>4501</v>
      </c>
      <c r="AE639" s="1" t="s">
        <v>4502</v>
      </c>
      <c r="AG639" s="4">
        <v>7.08</v>
      </c>
    </row>
    <row r="640" spans="1:33" ht="47.25" customHeight="1" x14ac:dyDescent="0.25">
      <c r="A640" s="10" t="s">
        <v>1880</v>
      </c>
      <c r="B640" s="11" t="s">
        <v>33</v>
      </c>
      <c r="C640" s="12" t="s">
        <v>1881</v>
      </c>
      <c r="D640" s="27"/>
      <c r="E640" s="14" t="s">
        <v>35</v>
      </c>
      <c r="F640" s="11" t="str">
        <f>HYPERLINK("https://redirect.sdcdeals.com/redirect?destination=https%3A%2F%2Fwww.amazon.com%2Fdp%2FB0BGW2H7KM%3Fth%3D1%26psc%3D1%26tag%3Dsdcdeals03-20", "Amazon Link")</f>
        <v>Amazon Link</v>
      </c>
      <c r="G640" s="11" t="s">
        <v>36</v>
      </c>
      <c r="H640" s="14" t="s">
        <v>1882</v>
      </c>
      <c r="I640" s="11" t="str">
        <f>HYPERLINK("https://redirect.sdcdeals.com/redirect?code=763034&amp;mavely=https://mavely.app.link/e/bhESV2wGrGb&amp;destination=https%3A%2F%2Fwww.kohls.com%2Fsearch.jsp%3Fsubmit-search%3Dweb-regular%26search%3D63445455", "Retail Link")</f>
        <v>Retail Link</v>
      </c>
      <c r="J640" s="14" t="s">
        <v>1856</v>
      </c>
      <c r="K640" s="13" t="s">
        <v>1883</v>
      </c>
      <c r="L640" s="15">
        <v>14.295999999999999</v>
      </c>
      <c r="M640" s="15">
        <v>35.72</v>
      </c>
      <c r="N640" s="15">
        <v>9.3960000000000008</v>
      </c>
      <c r="O640" s="15">
        <f>V640-M640</f>
        <v>4.6300000000000026</v>
      </c>
      <c r="P640" s="16">
        <f>N640/L640</f>
        <v>0.65724678231673206</v>
      </c>
      <c r="Q640" s="14">
        <v>57946</v>
      </c>
      <c r="R640" s="14">
        <v>50</v>
      </c>
      <c r="S640" s="17">
        <v>0.99207900000000004</v>
      </c>
      <c r="T640" s="15">
        <v>30.45</v>
      </c>
      <c r="U640" s="15">
        <v>37.72</v>
      </c>
      <c r="V640" s="15">
        <v>40.35</v>
      </c>
      <c r="W640" s="14" t="s">
        <v>1884</v>
      </c>
      <c r="X640" s="14">
        <v>11</v>
      </c>
      <c r="Y640" s="10">
        <f>AC640-AB640</f>
        <v>349</v>
      </c>
      <c r="Z640" s="18">
        <v>61</v>
      </c>
      <c r="AA640" s="18">
        <v>195</v>
      </c>
      <c r="AB640" s="18">
        <v>31</v>
      </c>
      <c r="AC640" s="18">
        <v>380</v>
      </c>
      <c r="AD640" s="1" t="s">
        <v>1858</v>
      </c>
      <c r="AE640" s="1" t="s">
        <v>1859</v>
      </c>
      <c r="AF640" s="4">
        <v>6.07</v>
      </c>
      <c r="AG640" s="4">
        <v>6.67</v>
      </c>
    </row>
    <row r="641" spans="1:33" ht="47.25" customHeight="1" x14ac:dyDescent="0.25">
      <c r="A641" s="10" t="s">
        <v>1139</v>
      </c>
      <c r="B641" s="11" t="s">
        <v>33</v>
      </c>
      <c r="C641" s="12" t="s">
        <v>1140</v>
      </c>
      <c r="D641" s="27"/>
      <c r="E641" s="14" t="s">
        <v>35</v>
      </c>
      <c r="F641" s="11" t="str">
        <f>HYPERLINK("https://redirect.sdcdeals.com/redirect?destination=https%3A%2F%2Fwww.amazon.com%2Fdp%2FB0BM1VN6Q6%3Fth%3D1%26psc%3D1%26tag%3Dsdcdeals03-20", "Amazon Link")</f>
        <v>Amazon Link</v>
      </c>
      <c r="G641" s="11" t="s">
        <v>36</v>
      </c>
      <c r="H641" s="14" t="s">
        <v>1141</v>
      </c>
      <c r="I641" s="11" t="str">
        <f>HYPERLINK("https://redirect.sdcdeals.com/redirect?code=763034&amp;mavely=https://mavely.app.link/e/bhESV2wGrGb&amp;destination=https%3A%2F%2Fwww.kohls.com%2Fsearch.jsp%3Fsubmit-search%3Dweb-regular%26search%3D49968500", "Retail Link")</f>
        <v>Retail Link</v>
      </c>
      <c r="J641" s="14" t="s">
        <v>1124</v>
      </c>
      <c r="K641" s="13" t="s">
        <v>1142</v>
      </c>
      <c r="L641" s="15">
        <v>5.9920000000000009</v>
      </c>
      <c r="M641" s="15">
        <v>19.989999999999998</v>
      </c>
      <c r="N641" s="15">
        <v>3.919499999999998</v>
      </c>
      <c r="O641" s="15">
        <f>V641-M641</f>
        <v>0</v>
      </c>
      <c r="P641" s="16">
        <f>N641/L641</f>
        <v>0.65412216288384473</v>
      </c>
      <c r="Q641" s="14">
        <v>220199</v>
      </c>
      <c r="R641" s="14"/>
      <c r="S641" s="17">
        <v>0.31085141999999999</v>
      </c>
      <c r="T641" s="15">
        <v>19.989999999999998</v>
      </c>
      <c r="U641" s="15">
        <v>19.989999999999998</v>
      </c>
      <c r="V641" s="15">
        <v>19.989999999999998</v>
      </c>
      <c r="W641" s="14" t="s">
        <v>1143</v>
      </c>
      <c r="X641" s="14">
        <v>2</v>
      </c>
      <c r="Y641" s="10">
        <f>AC641-AB641</f>
        <v>10</v>
      </c>
      <c r="Z641" s="18">
        <v>1</v>
      </c>
      <c r="AA641" s="18">
        <v>6</v>
      </c>
      <c r="AB641" s="18">
        <v>0</v>
      </c>
      <c r="AC641" s="18">
        <v>10</v>
      </c>
      <c r="AF641" s="4">
        <v>3</v>
      </c>
      <c r="AG641" s="4">
        <v>7.08</v>
      </c>
    </row>
    <row r="642" spans="1:33" ht="47.25" customHeight="1" x14ac:dyDescent="0.25">
      <c r="A642" s="10" t="s">
        <v>4445</v>
      </c>
      <c r="B642" s="11" t="s">
        <v>33</v>
      </c>
      <c r="C642" s="12" t="s">
        <v>4446</v>
      </c>
      <c r="D642" s="27"/>
      <c r="E642" s="14" t="s">
        <v>35</v>
      </c>
      <c r="F642" s="11" t="str">
        <f>HYPERLINK("https://redirect.sdcdeals.com/redirect?destination=https%3A%2F%2Fwww.amazon.com%2Fdp%2FB0B1KCN1V5%3Fth%3D1%26psc%3D1%26tag%3Dsdcdeals03-20", "Amazon Link")</f>
        <v>Amazon Link</v>
      </c>
      <c r="G642" s="11" t="s">
        <v>36</v>
      </c>
      <c r="H642" s="14" t="s">
        <v>4447</v>
      </c>
      <c r="I642" s="11" t="str">
        <f>HYPERLINK("https://redirect.sdcdeals.com/redirect?code=763034&amp;mavely=https://mavely.app.link/e/bhESV2wGrGb&amp;destination=https%3A%2F%2Fwww.kohls.com%2Fsearch.jsp%3Fsubmit-search%3Dweb-regular%26search%3D39483079", "Retail Link")</f>
        <v>Retail Link</v>
      </c>
      <c r="J642" s="14" t="s">
        <v>4347</v>
      </c>
      <c r="K642" s="13" t="s">
        <v>4448</v>
      </c>
      <c r="L642" s="15">
        <v>20.847999999999999</v>
      </c>
      <c r="M642" s="15">
        <v>48.33</v>
      </c>
      <c r="N642" s="15">
        <v>13.6325</v>
      </c>
      <c r="O642" s="15">
        <f>V642-M642</f>
        <v>0</v>
      </c>
      <c r="P642" s="16">
        <f>N642/L642</f>
        <v>0.65389965464313127</v>
      </c>
      <c r="Q642" s="14">
        <v>846</v>
      </c>
      <c r="R642" s="14"/>
      <c r="S642" s="17">
        <v>1.52780166</v>
      </c>
      <c r="T642" s="15"/>
      <c r="U642" s="15"/>
      <c r="V642" s="15">
        <v>48.33</v>
      </c>
      <c r="W642" s="14" t="s">
        <v>301</v>
      </c>
      <c r="X642" s="14"/>
      <c r="Y642" s="10">
        <f>AC642-AB642</f>
        <v>47200</v>
      </c>
      <c r="Z642" s="18">
        <v>7</v>
      </c>
      <c r="AA642" s="18">
        <v>25</v>
      </c>
      <c r="AB642" s="18">
        <v>0</v>
      </c>
      <c r="AC642" s="18">
        <v>47200</v>
      </c>
      <c r="AD642" s="1" t="s">
        <v>4349</v>
      </c>
      <c r="AE642" s="1" t="s">
        <v>4350</v>
      </c>
      <c r="AG642" s="4">
        <v>6.6</v>
      </c>
    </row>
    <row r="643" spans="1:33" ht="47.25" customHeight="1" x14ac:dyDescent="0.25">
      <c r="A643" s="10" t="s">
        <v>2230</v>
      </c>
      <c r="B643" s="11" t="s">
        <v>33</v>
      </c>
      <c r="C643" s="12" t="s">
        <v>2231</v>
      </c>
      <c r="D643" s="27"/>
      <c r="E643" s="14" t="s">
        <v>35</v>
      </c>
      <c r="F643" s="11" t="str">
        <f>HYPERLINK("https://redirect.sdcdeals.com/redirect?destination=https%3A%2F%2Fwww.amazon.com%2Fdp%2FB0BKQWW2QY%3Fth%3D1%26psc%3D1%26tag%3Dsdcdeals03-20", "Amazon Link")</f>
        <v>Amazon Link</v>
      </c>
      <c r="G643" s="11" t="s">
        <v>36</v>
      </c>
      <c r="H643" s="14" t="s">
        <v>2232</v>
      </c>
      <c r="I643" s="11" t="str">
        <f>HYPERLINK("https://redirect.sdcdeals.com/redirect?code=763034&amp;mavely=https://mavely.app.link/e/bhESV2wGrGb&amp;destination=https%3A%2F%2Fwww.kohls.com%2Fsearch.jsp%3Fsubmit-search%3Dweb-regular%26search%3D62949706", "Retail Link")</f>
        <v>Retail Link</v>
      </c>
      <c r="J643" s="14" t="s">
        <v>2210</v>
      </c>
      <c r="K643" s="13" t="s">
        <v>2233</v>
      </c>
      <c r="L643" s="15">
        <v>52.8</v>
      </c>
      <c r="M643" s="15">
        <v>120.28</v>
      </c>
      <c r="N643" s="15">
        <v>34.508000000000003</v>
      </c>
      <c r="O643" s="15">
        <f>V643-M643</f>
        <v>15.409999999999997</v>
      </c>
      <c r="P643" s="16">
        <f>N643/L643</f>
        <v>0.65356060606060618</v>
      </c>
      <c r="Q643" s="14">
        <v>1403714</v>
      </c>
      <c r="R643" s="14"/>
      <c r="S643" s="17">
        <v>2.4691744</v>
      </c>
      <c r="T643" s="15">
        <v>120.28</v>
      </c>
      <c r="U643" s="15">
        <v>138.46</v>
      </c>
      <c r="V643" s="15">
        <v>135.69</v>
      </c>
      <c r="W643" s="14" t="s">
        <v>250</v>
      </c>
      <c r="X643" s="14">
        <v>2</v>
      </c>
      <c r="Y643" s="10">
        <f>AC643-AB643</f>
        <v>8</v>
      </c>
      <c r="Z643" s="18">
        <v>5</v>
      </c>
      <c r="AA643" s="18">
        <v>29</v>
      </c>
      <c r="AB643" s="18">
        <v>0</v>
      </c>
      <c r="AC643" s="18">
        <v>8</v>
      </c>
      <c r="AD643" s="1" t="s">
        <v>2212</v>
      </c>
      <c r="AE643" s="1" t="s">
        <v>1406</v>
      </c>
      <c r="AF643" s="4">
        <v>20.45</v>
      </c>
      <c r="AG643" s="4">
        <v>14.93</v>
      </c>
    </row>
    <row r="644" spans="1:33" ht="47.25" customHeight="1" x14ac:dyDescent="0.25">
      <c r="A644" s="10" t="s">
        <v>392</v>
      </c>
      <c r="B644" s="11" t="s">
        <v>33</v>
      </c>
      <c r="C644" s="12" t="s">
        <v>393</v>
      </c>
      <c r="D644" s="27"/>
      <c r="E644" s="14" t="s">
        <v>35</v>
      </c>
      <c r="F644" s="11" t="str">
        <f>HYPERLINK("https://redirect.sdcdeals.com/redirect?destination=https%3A%2F%2Fwww.amazon.com%2Fdp%2FB0BNR4R4PC%3Fth%3D1%26psc%3D1%26tag%3Dsdcdeals03-20", "Amazon Link")</f>
        <v>Amazon Link</v>
      </c>
      <c r="G644" s="11" t="s">
        <v>36</v>
      </c>
      <c r="H644" s="14" t="s">
        <v>394</v>
      </c>
      <c r="I644" s="11" t="str">
        <f>HYPERLINK("https://redirect.sdcdeals.com/redirect?code=763034&amp;mavely=https://mavely.app.link/e/bhESV2wGrGb&amp;destination=https%3A%2F%2Fwww.kohls.com%2Fsearch.jsp%3Fsubmit-search%3Dweb-regular%26search%3D59029171", "Retail Link")</f>
        <v>Retail Link</v>
      </c>
      <c r="J644" s="14" t="s">
        <v>383</v>
      </c>
      <c r="K644" s="13" t="s">
        <v>395</v>
      </c>
      <c r="L644" s="15">
        <v>18.2</v>
      </c>
      <c r="M644" s="15">
        <v>42.3</v>
      </c>
      <c r="N644" s="15">
        <v>11.855</v>
      </c>
      <c r="O644" s="15">
        <f>V644-M644</f>
        <v>-6.18</v>
      </c>
      <c r="P644" s="16">
        <f>N644/L644</f>
        <v>0.65137362637362639</v>
      </c>
      <c r="Q644" s="14">
        <v>517471</v>
      </c>
      <c r="R644" s="14"/>
      <c r="S644" s="17">
        <v>0.24030357999999999</v>
      </c>
      <c r="T644" s="15">
        <v>33.25</v>
      </c>
      <c r="U644" s="15">
        <v>40.56</v>
      </c>
      <c r="V644" s="15">
        <v>36.119999999999997</v>
      </c>
      <c r="W644" s="14" t="s">
        <v>396</v>
      </c>
      <c r="X644" s="14">
        <v>3</v>
      </c>
      <c r="Y644" s="10">
        <f>AC644-AB644</f>
        <v>1</v>
      </c>
      <c r="Z644" s="18">
        <v>12</v>
      </c>
      <c r="AA644" s="18">
        <v>23</v>
      </c>
      <c r="AB644" s="18">
        <v>0</v>
      </c>
      <c r="AC644" s="18">
        <v>1</v>
      </c>
      <c r="AD644" s="1" t="s">
        <v>386</v>
      </c>
      <c r="AE644" s="1" t="s">
        <v>387</v>
      </c>
      <c r="AF644" s="4">
        <v>7.19</v>
      </c>
      <c r="AG644" s="4">
        <v>5.9</v>
      </c>
    </row>
    <row r="645" spans="1:33" ht="47.25" customHeight="1" x14ac:dyDescent="0.25">
      <c r="A645" s="10" t="s">
        <v>1665</v>
      </c>
      <c r="B645" s="11" t="s">
        <v>33</v>
      </c>
      <c r="C645" s="12" t="s">
        <v>1666</v>
      </c>
      <c r="D645" s="27"/>
      <c r="E645" s="14" t="s">
        <v>35</v>
      </c>
      <c r="F645" s="11" t="str">
        <f>HYPERLINK("https://redirect.sdcdeals.com/redirect?destination=https%3A%2F%2Fwww.amazon.com%2Fdp%2FB0BCM7XZS7%3Fth%3D1%26psc%3D1%26tag%3Dsdcdeals03-20", "Amazon Link")</f>
        <v>Amazon Link</v>
      </c>
      <c r="G645" s="11" t="s">
        <v>36</v>
      </c>
      <c r="H645" s="14" t="s">
        <v>1667</v>
      </c>
      <c r="I645" s="11" t="str">
        <f>HYPERLINK("https://redirect.sdcdeals.com/redirect?code=763034&amp;mavely=https://mavely.app.link/e/bhESV2wGrGb&amp;destination=https%3A%2F%2Fwww.kohls.com%2Fsearch.jsp%3Fsubmit-search%3Dweb-regular%26search%3D80704771", "Retail Link")</f>
        <v>Retail Link</v>
      </c>
      <c r="J645" s="14" t="s">
        <v>1668</v>
      </c>
      <c r="K645" s="13" t="s">
        <v>1669</v>
      </c>
      <c r="L645" s="15">
        <v>9.5200000000000014</v>
      </c>
      <c r="M645" s="15">
        <v>24.51</v>
      </c>
      <c r="N645" s="15">
        <v>6.1934999999999976</v>
      </c>
      <c r="O645" s="15">
        <f>V645-M645</f>
        <v>-1.3000000000000007</v>
      </c>
      <c r="P645" s="16">
        <f>N645/L645</f>
        <v>0.65057773109243666</v>
      </c>
      <c r="Q645" s="14">
        <v>1148603</v>
      </c>
      <c r="R645" s="14"/>
      <c r="S645" s="17">
        <v>0.3086468</v>
      </c>
      <c r="T645" s="15">
        <v>24.51</v>
      </c>
      <c r="U645" s="15">
        <v>26.09</v>
      </c>
      <c r="V645" s="15">
        <v>23.21</v>
      </c>
      <c r="W645" s="14" t="s">
        <v>100</v>
      </c>
      <c r="X645" s="14">
        <v>2</v>
      </c>
      <c r="Y645" s="10">
        <f>AC645-AB645</f>
        <v>17</v>
      </c>
      <c r="Z645" s="18">
        <v>7</v>
      </c>
      <c r="AA645" s="18">
        <v>26</v>
      </c>
      <c r="AB645" s="18">
        <v>0</v>
      </c>
      <c r="AC645" s="18">
        <v>17</v>
      </c>
      <c r="AD645" s="1" t="s">
        <v>1670</v>
      </c>
      <c r="AE645" s="1" t="s">
        <v>1352</v>
      </c>
      <c r="AF645" s="4">
        <v>4.17</v>
      </c>
      <c r="AG645" s="4">
        <v>5.12</v>
      </c>
    </row>
    <row r="646" spans="1:33" ht="47.25" customHeight="1" x14ac:dyDescent="0.25">
      <c r="A646" s="10" t="s">
        <v>2663</v>
      </c>
      <c r="B646" s="11" t="s">
        <v>33</v>
      </c>
      <c r="C646" s="12" t="s">
        <v>2664</v>
      </c>
      <c r="D646" s="27"/>
      <c r="E646" s="14" t="s">
        <v>35</v>
      </c>
      <c r="F646" s="11" t="str">
        <f>HYPERLINK("https://redirect.sdcdeals.com/redirect?destination=https%3A%2F%2Fwww.amazon.com%2Fdp%2FB00008HDLG%3Fth%3D1%26psc%3D1%26tag%3Dsdcdeals03-20", "Amazon Link")</f>
        <v>Amazon Link</v>
      </c>
      <c r="G646" s="11" t="s">
        <v>36</v>
      </c>
      <c r="H646" s="14" t="s">
        <v>2665</v>
      </c>
      <c r="I646" s="11" t="str">
        <f>HYPERLINK("https://redirect.sdcdeals.com/redirect?code=763034&amp;mavely=https://mavely.app.link/e/bhESV2wGrGb&amp;destination=https%3A%2F%2Fwww.kohls.com%2Fsearch.jsp%3Fsubmit-search%3Dweb-regular%26search%3D64086701", "Retail Link")</f>
        <v>Retail Link</v>
      </c>
      <c r="J646" s="14" t="s">
        <v>2666</v>
      </c>
      <c r="K646" s="13" t="s">
        <v>2667</v>
      </c>
      <c r="L646" s="15">
        <v>6.4319999999999986</v>
      </c>
      <c r="M646" s="15">
        <v>16.29</v>
      </c>
      <c r="N646" s="15">
        <v>4.1745000000000001</v>
      </c>
      <c r="O646" s="15">
        <f>V646-M646</f>
        <v>3.990000000000002</v>
      </c>
      <c r="P646" s="16">
        <f>N646/L646</f>
        <v>0.64902052238805985</v>
      </c>
      <c r="Q646" s="14">
        <v>871129</v>
      </c>
      <c r="R646" s="14"/>
      <c r="S646" s="17">
        <v>0.26014515999999999</v>
      </c>
      <c r="T646" s="15">
        <v>16.29</v>
      </c>
      <c r="U646" s="15">
        <v>20.28</v>
      </c>
      <c r="V646" s="15">
        <v>20.28</v>
      </c>
      <c r="W646" s="14" t="s">
        <v>598</v>
      </c>
      <c r="X646" s="14">
        <v>1</v>
      </c>
      <c r="Y646" s="10">
        <f>AC646-AB646</f>
        <v>0</v>
      </c>
      <c r="Z646" s="18">
        <v>0</v>
      </c>
      <c r="AA646" s="18">
        <v>0</v>
      </c>
      <c r="AB646" s="18"/>
      <c r="AC646" s="18"/>
      <c r="AG646" s="4">
        <v>3.24</v>
      </c>
    </row>
    <row r="647" spans="1:33" ht="47.25" customHeight="1" x14ac:dyDescent="0.25">
      <c r="A647" s="10" t="s">
        <v>2186</v>
      </c>
      <c r="B647" s="11" t="s">
        <v>33</v>
      </c>
      <c r="C647" s="12" t="s">
        <v>2187</v>
      </c>
      <c r="D647" s="27"/>
      <c r="E647" s="14" t="s">
        <v>35</v>
      </c>
      <c r="F647" s="11" t="str">
        <f>HYPERLINK("https://redirect.sdcdeals.com/redirect?destination=https%3A%2F%2Fwww.amazon.com%2Fdp%2FB08FVH7MXV%3Fth%3D1%26psc%3D1%26tag%3Dsdcdeals03-20", "Amazon Link")</f>
        <v>Amazon Link</v>
      </c>
      <c r="G647" s="11" t="s">
        <v>36</v>
      </c>
      <c r="H647" s="14" t="s">
        <v>2188</v>
      </c>
      <c r="I647" s="11" t="str">
        <f>HYPERLINK("https://redirect.sdcdeals.com/redirect?code=763034&amp;mavely=https://mavely.app.link/e/bhESV2wGrGb&amp;destination=https%3A%2F%2Fwww.kohls.com%2Fsearch.jsp%3Fsubmit-search%3Dweb-regular%26search%3D77408856", "Retail Link")</f>
        <v>Retail Link</v>
      </c>
      <c r="J647" s="14" t="s">
        <v>2173</v>
      </c>
      <c r="K647" s="13" t="s">
        <v>2189</v>
      </c>
      <c r="L647" s="15">
        <v>15.4</v>
      </c>
      <c r="M647" s="15">
        <v>36.99</v>
      </c>
      <c r="N647" s="15">
        <v>9.9915000000000003</v>
      </c>
      <c r="O647" s="15">
        <f>V647-M647</f>
        <v>1.4399999999999977</v>
      </c>
      <c r="P647" s="16">
        <f>N647/L647</f>
        <v>0.64879870129870132</v>
      </c>
      <c r="Q647" s="14">
        <v>16913</v>
      </c>
      <c r="R647" s="14"/>
      <c r="S647" s="17">
        <v>0.46076558000000001</v>
      </c>
      <c r="T647" s="15">
        <v>36.99</v>
      </c>
      <c r="U647" s="15">
        <v>40.04</v>
      </c>
      <c r="V647" s="15">
        <v>38.43</v>
      </c>
      <c r="W647" s="14" t="s">
        <v>53</v>
      </c>
      <c r="X647" s="14">
        <v>4</v>
      </c>
      <c r="Y647" s="10">
        <f>AC647-AB647</f>
        <v>1213</v>
      </c>
      <c r="Z647" s="18">
        <v>41</v>
      </c>
      <c r="AA647" s="18">
        <v>108</v>
      </c>
      <c r="AB647" s="18">
        <v>12</v>
      </c>
      <c r="AC647" s="18">
        <v>1225</v>
      </c>
      <c r="AD647" s="1" t="s">
        <v>2175</v>
      </c>
      <c r="AE647" s="1" t="s">
        <v>1705</v>
      </c>
      <c r="AF647" s="4">
        <v>6.29</v>
      </c>
      <c r="AG647" s="4">
        <v>6.05</v>
      </c>
    </row>
    <row r="648" spans="1:33" ht="47.25" customHeight="1" x14ac:dyDescent="0.25">
      <c r="A648" s="10" t="s">
        <v>5987</v>
      </c>
      <c r="B648" s="11" t="s">
        <v>33</v>
      </c>
      <c r="C648" s="12" t="s">
        <v>5988</v>
      </c>
      <c r="D648" s="27"/>
      <c r="E648" s="14" t="s">
        <v>35</v>
      </c>
      <c r="F648" s="11" t="str">
        <f>HYPERLINK("https://redirect.sdcdeals.com/redirect?destination=https%3A%2F%2Fwww.amazon.com%2Fdp%2FB0BFV2SYWL%3Fth%3D1%26psc%3D1%26tag%3Dsdcdeals03-20", "Amazon Link")</f>
        <v>Amazon Link</v>
      </c>
      <c r="G648" s="11" t="s">
        <v>36</v>
      </c>
      <c r="H648" s="14" t="s">
        <v>5989</v>
      </c>
      <c r="I648" s="11" t="str">
        <f>HYPERLINK("https://redirect.sdcdeals.com/redirect?code=763034&amp;mavely=https://mavely.app.link/e/bhESV2wGrGb&amp;destination=https%3A%2F%2Fwww.kohls.com%2Fsearch.jsp%3Fsubmit-search%3Dweb-regular%26search%3D72822620", "Retail Link")</f>
        <v>Retail Link</v>
      </c>
      <c r="J648" s="14" t="s">
        <v>5974</v>
      </c>
      <c r="K648" s="13" t="s">
        <v>5990</v>
      </c>
      <c r="L648" s="15">
        <v>44.095999999999997</v>
      </c>
      <c r="M648" s="15">
        <v>108.7</v>
      </c>
      <c r="N648" s="15">
        <v>28.428999999999991</v>
      </c>
      <c r="O648" s="15">
        <f>V648-M648</f>
        <v>4.1599999999999966</v>
      </c>
      <c r="P648" s="16">
        <f>N648/L648</f>
        <v>0.64470700290275751</v>
      </c>
      <c r="Q648" s="14">
        <v>2062384</v>
      </c>
      <c r="R648" s="14"/>
      <c r="S648" s="17">
        <v>1.6821250599999999</v>
      </c>
      <c r="T648" s="15">
        <v>108.7</v>
      </c>
      <c r="U648" s="15">
        <v>113.16</v>
      </c>
      <c r="V648" s="15">
        <v>112.86</v>
      </c>
      <c r="W648" s="14" t="s">
        <v>3184</v>
      </c>
      <c r="X648" s="14">
        <v>1</v>
      </c>
      <c r="Y648" s="10">
        <f>AC648-AB648</f>
        <v>7</v>
      </c>
      <c r="Z648" s="18">
        <v>2</v>
      </c>
      <c r="AA648" s="18">
        <v>14</v>
      </c>
      <c r="AB648" s="18">
        <v>0</v>
      </c>
      <c r="AC648" s="18">
        <v>7</v>
      </c>
      <c r="AD648" s="1" t="s">
        <v>5976</v>
      </c>
      <c r="AE648" s="1" t="s">
        <v>5986</v>
      </c>
      <c r="AF648" s="4">
        <v>18.48</v>
      </c>
      <c r="AG648" s="4">
        <v>19.87</v>
      </c>
    </row>
    <row r="649" spans="1:33" ht="47.25" customHeight="1" x14ac:dyDescent="0.25">
      <c r="A649" s="10" t="s">
        <v>4453</v>
      </c>
      <c r="B649" s="11" t="s">
        <v>33</v>
      </c>
      <c r="C649" s="12" t="s">
        <v>4454</v>
      </c>
      <c r="D649" s="27"/>
      <c r="E649" s="14" t="s">
        <v>35</v>
      </c>
      <c r="F649" s="11" t="str">
        <f>HYPERLINK("https://redirect.sdcdeals.com/redirect?destination=https%3A%2F%2Fwww.amazon.com%2Fdp%2FB0B1KQMPJF%3Fth%3D1%26psc%3D1%26tag%3Dsdcdeals03-20", "Amazon Link")</f>
        <v>Amazon Link</v>
      </c>
      <c r="G649" s="11" t="s">
        <v>36</v>
      </c>
      <c r="H649" s="14" t="s">
        <v>4455</v>
      </c>
      <c r="I649" s="11" t="str">
        <f>HYPERLINK("https://redirect.sdcdeals.com/redirect?code=763034&amp;mavely=https://mavely.app.link/e/bhESV2wGrGb&amp;destination=https%3A%2F%2Fwww.kohls.com%2Fsearch.jsp%3Fsubmit-search%3Dweb-regular%26search%3D69117053", "Retail Link")</f>
        <v>Retail Link</v>
      </c>
      <c r="J649" s="14" t="s">
        <v>4347</v>
      </c>
      <c r="K649" s="13" t="s">
        <v>4456</v>
      </c>
      <c r="L649" s="15">
        <v>20.847999999999999</v>
      </c>
      <c r="M649" s="15">
        <v>48.32</v>
      </c>
      <c r="N649" s="15">
        <v>13.413999999999991</v>
      </c>
      <c r="O649" s="15">
        <f>V649-M649</f>
        <v>3.9699999999999989</v>
      </c>
      <c r="P649" s="16">
        <f>N649/L649</f>
        <v>0.64341903300076708</v>
      </c>
      <c r="Q649" s="14">
        <v>846</v>
      </c>
      <c r="R649" s="14"/>
      <c r="S649" s="17">
        <v>1.39331984</v>
      </c>
      <c r="T649" s="15"/>
      <c r="U649" s="15">
        <v>48.32</v>
      </c>
      <c r="V649" s="15">
        <v>52.29</v>
      </c>
      <c r="W649" s="14" t="s">
        <v>88</v>
      </c>
      <c r="X649" s="14">
        <v>1</v>
      </c>
      <c r="Y649" s="10">
        <f>AC649-AB649</f>
        <v>46739</v>
      </c>
      <c r="Z649" s="18">
        <v>10</v>
      </c>
      <c r="AA649" s="18">
        <v>48</v>
      </c>
      <c r="AB649" s="18">
        <v>1</v>
      </c>
      <c r="AC649" s="18">
        <v>46740</v>
      </c>
      <c r="AD649" s="1" t="s">
        <v>4419</v>
      </c>
      <c r="AE649" s="1" t="s">
        <v>4420</v>
      </c>
      <c r="AG649" s="4">
        <v>6.81</v>
      </c>
    </row>
    <row r="650" spans="1:33" ht="47.25" customHeight="1" x14ac:dyDescent="0.25">
      <c r="A650" s="10" t="s">
        <v>2032</v>
      </c>
      <c r="B650" s="11" t="s">
        <v>33</v>
      </c>
      <c r="C650" s="12" t="s">
        <v>2033</v>
      </c>
      <c r="D650" s="27"/>
      <c r="E650" s="14" t="s">
        <v>35</v>
      </c>
      <c r="F650" s="11" t="str">
        <f>HYPERLINK("https://redirect.sdcdeals.com/redirect?destination=https%3A%2F%2Fwww.amazon.com%2Fdp%2FB08LNXM9Q6%3Fth%3D1%26psc%3D1%26tag%3Dsdcdeals03-20", "Amazon Link")</f>
        <v>Amazon Link</v>
      </c>
      <c r="G650" s="11" t="s">
        <v>36</v>
      </c>
      <c r="H650" s="14" t="s">
        <v>2034</v>
      </c>
      <c r="I650" s="11" t="str">
        <f>HYPERLINK("https://redirect.sdcdeals.com/redirect?code=763034&amp;mavely=https://mavely.app.link/e/bhESV2wGrGb&amp;destination=https%3A%2F%2Fwww.kohls.com%2Fsearch.jsp%3Fsubmit-search%3Dweb-regular%26search%3D46568069", "Retail Link")</f>
        <v>Retail Link</v>
      </c>
      <c r="J650" s="14" t="s">
        <v>2014</v>
      </c>
      <c r="K650" s="13" t="s">
        <v>2035</v>
      </c>
      <c r="L650" s="15">
        <v>13</v>
      </c>
      <c r="M650" s="15">
        <v>33.57</v>
      </c>
      <c r="N650" s="15">
        <v>8.354499999999998</v>
      </c>
      <c r="O650" s="15">
        <f>V650-M650</f>
        <v>7.9799999999999969</v>
      </c>
      <c r="P650" s="16">
        <f>N650/L650</f>
        <v>0.64265384615384602</v>
      </c>
      <c r="Q650" s="14">
        <v>50737</v>
      </c>
      <c r="R650" s="14"/>
      <c r="S650" s="17">
        <v>0.74957079999999998</v>
      </c>
      <c r="T650" s="15">
        <v>25.62</v>
      </c>
      <c r="U650" s="15">
        <v>45.22</v>
      </c>
      <c r="V650" s="15">
        <v>41.55</v>
      </c>
      <c r="W650" s="14" t="s">
        <v>2036</v>
      </c>
      <c r="X650" s="14">
        <v>5</v>
      </c>
      <c r="Y650" s="10">
        <f>AC650-AB650</f>
        <v>0</v>
      </c>
      <c r="Z650" s="18">
        <v>42</v>
      </c>
      <c r="AA650" s="18">
        <v>106</v>
      </c>
      <c r="AB650" s="18">
        <v>7</v>
      </c>
      <c r="AC650" s="18">
        <v>7</v>
      </c>
      <c r="AD650" s="1" t="s">
        <v>2016</v>
      </c>
      <c r="AE650" s="1" t="s">
        <v>2023</v>
      </c>
      <c r="AF650" s="4">
        <v>5.7</v>
      </c>
      <c r="AG650" s="4">
        <v>7.18</v>
      </c>
    </row>
    <row r="651" spans="1:33" ht="47.25" customHeight="1" x14ac:dyDescent="0.25">
      <c r="A651" s="10" t="s">
        <v>1478</v>
      </c>
      <c r="B651" s="11" t="s">
        <v>33</v>
      </c>
      <c r="C651" s="12" t="s">
        <v>1479</v>
      </c>
      <c r="D651" s="27"/>
      <c r="E651" s="14" t="s">
        <v>35</v>
      </c>
      <c r="F651" s="11" t="str">
        <f>HYPERLINK("https://redirect.sdcdeals.com/redirect?destination=https%3A%2F%2Fwww.amazon.com%2Fdp%2FB0CD111PX2%3Fth%3D1%26psc%3D1%26tag%3Dsdcdeals03-20", "Amazon Link")</f>
        <v>Amazon Link</v>
      </c>
      <c r="G651" s="11" t="s">
        <v>36</v>
      </c>
      <c r="H651" s="14" t="s">
        <v>1480</v>
      </c>
      <c r="I651" s="11" t="str">
        <f>HYPERLINK("https://redirect.sdcdeals.com/redirect?code=763034&amp;mavely=https://mavely.app.link/e/bhESV2wGrGb&amp;destination=https%3A%2F%2Fwww.kohls.com%2Fsearch.jsp%3Fsubmit-search%3Dweb-regular%26search%3D86836454", "Retail Link")</f>
        <v>Retail Link</v>
      </c>
      <c r="J651" s="14" t="s">
        <v>1471</v>
      </c>
      <c r="K651" s="13" t="s">
        <v>1472</v>
      </c>
      <c r="L651" s="15">
        <v>20.847999999999999</v>
      </c>
      <c r="M651" s="15">
        <v>47.35</v>
      </c>
      <c r="N651" s="15">
        <v>13.34950000000001</v>
      </c>
      <c r="O651" s="15">
        <f>V651-M651</f>
        <v>0</v>
      </c>
      <c r="P651" s="16">
        <f>N651/L651</f>
        <v>0.64032521105142026</v>
      </c>
      <c r="Q651" s="14">
        <v>6208</v>
      </c>
      <c r="R651" s="14"/>
      <c r="S651" s="17">
        <v>1.5498478600000001</v>
      </c>
      <c r="T651" s="15"/>
      <c r="U651" s="15"/>
      <c r="V651" s="15">
        <v>47.35</v>
      </c>
      <c r="W651" s="14" t="s">
        <v>100</v>
      </c>
      <c r="X651" s="14"/>
      <c r="Y651" s="10">
        <f>AC651-AB651</f>
        <v>8016</v>
      </c>
      <c r="Z651" s="18">
        <v>0</v>
      </c>
      <c r="AA651" s="18">
        <v>9</v>
      </c>
      <c r="AB651" s="18">
        <v>0</v>
      </c>
      <c r="AC651" s="18">
        <v>8016</v>
      </c>
      <c r="AD651" s="1" t="s">
        <v>1473</v>
      </c>
      <c r="AE651" s="1" t="s">
        <v>1474</v>
      </c>
      <c r="AG651" s="4">
        <v>6.05</v>
      </c>
    </row>
    <row r="652" spans="1:33" ht="47.25" customHeight="1" x14ac:dyDescent="0.25">
      <c r="A652" s="10" t="s">
        <v>987</v>
      </c>
      <c r="B652" s="11" t="s">
        <v>33</v>
      </c>
      <c r="C652" s="12" t="s">
        <v>988</v>
      </c>
      <c r="D652" s="27"/>
      <c r="E652" s="14" t="s">
        <v>35</v>
      </c>
      <c r="F652" s="11" t="str">
        <f>HYPERLINK("https://redirect.sdcdeals.com/redirect?destination=https%3A%2F%2Fwww.amazon.com%2Fdp%2FB0BFTZKFF3%3Fth%3D1%26psc%3D1%26tag%3Dsdcdeals03-20", "Amazon Link")</f>
        <v>Amazon Link</v>
      </c>
      <c r="G652" s="11" t="s">
        <v>36</v>
      </c>
      <c r="H652" s="14" t="s">
        <v>989</v>
      </c>
      <c r="I652" s="11" t="str">
        <f>HYPERLINK("https://redirect.sdcdeals.com/redirect?code=763034&amp;mavely=https://mavely.app.link/e/bhESV2wGrGb&amp;destination=https%3A%2F%2Fwww.kohls.com%2Fsearch.jsp%3Fsubmit-search%3Dweb-regular%26search%3D83188589", "Retail Link")</f>
        <v>Retail Link</v>
      </c>
      <c r="J652" s="14" t="s">
        <v>973</v>
      </c>
      <c r="K652" s="13" t="s">
        <v>990</v>
      </c>
      <c r="L652" s="15">
        <v>49.496000000000002</v>
      </c>
      <c r="M652" s="15">
        <v>115.25</v>
      </c>
      <c r="N652" s="15">
        <v>31.636499999999991</v>
      </c>
      <c r="O652" s="15">
        <f>V652-M652</f>
        <v>-5.3299999999999983</v>
      </c>
      <c r="P652" s="16">
        <f>N652/L652</f>
        <v>0.63917286245353133</v>
      </c>
      <c r="Q652" s="14">
        <v>2079619</v>
      </c>
      <c r="R652" s="14"/>
      <c r="S652" s="17">
        <v>1.9797487600000001</v>
      </c>
      <c r="T652" s="15">
        <v>115.25</v>
      </c>
      <c r="U652" s="15">
        <v>107.79</v>
      </c>
      <c r="V652" s="15">
        <v>109.92</v>
      </c>
      <c r="W652" s="14" t="s">
        <v>991</v>
      </c>
      <c r="X652" s="14">
        <v>1</v>
      </c>
      <c r="Y652" s="10">
        <f>AC652-AB652</f>
        <v>1</v>
      </c>
      <c r="Z652" s="18">
        <v>1</v>
      </c>
      <c r="AA652" s="18">
        <v>1</v>
      </c>
      <c r="AB652" s="18">
        <v>0</v>
      </c>
      <c r="AC652" s="18">
        <v>1</v>
      </c>
      <c r="AD652" s="1" t="s">
        <v>976</v>
      </c>
      <c r="AE652" s="1" t="s">
        <v>700</v>
      </c>
      <c r="AF652" s="4">
        <v>19.59</v>
      </c>
      <c r="AG652" s="4">
        <v>16.829999999999998</v>
      </c>
    </row>
    <row r="653" spans="1:33" ht="47.25" customHeight="1" x14ac:dyDescent="0.25">
      <c r="A653" s="10" t="s">
        <v>6713</v>
      </c>
      <c r="B653" s="11" t="s">
        <v>33</v>
      </c>
      <c r="C653" s="12" t="s">
        <v>6714</v>
      </c>
      <c r="D653" s="27"/>
      <c r="E653" s="14" t="s">
        <v>35</v>
      </c>
      <c r="F653" s="11" t="str">
        <f>HYPERLINK("https://redirect.sdcdeals.com/redirect?destination=https%3A%2F%2Fwww.amazon.com%2Fdp%2FB0BFTMWDB4%3Fth%3D1%26psc%3D1%26tag%3Dsdcdeals03-20", "Amazon Link")</f>
        <v>Amazon Link</v>
      </c>
      <c r="G653" s="11" t="s">
        <v>36</v>
      </c>
      <c r="H653" s="14" t="s">
        <v>6715</v>
      </c>
      <c r="I653" s="11" t="str">
        <f>HYPERLINK("https://redirect.sdcdeals.com/redirect?code=763034&amp;mavely=https://mavely.app.link/e/bhESV2wGrGb&amp;destination=https%3A%2F%2Fwww.kohls.com%2Fsearch.jsp%3Fsubmit-search%3Dweb-regular%26search%3D77474810", "Retail Link")</f>
        <v>Retail Link</v>
      </c>
      <c r="J653" s="14" t="s">
        <v>6710</v>
      </c>
      <c r="K653" s="13" t="s">
        <v>6716</v>
      </c>
      <c r="L653" s="15">
        <v>63</v>
      </c>
      <c r="M653" s="15">
        <v>146.62</v>
      </c>
      <c r="N653" s="15">
        <v>40.236999999999988</v>
      </c>
      <c r="O653" s="15">
        <f>V653-M653</f>
        <v>-1.8600000000000136</v>
      </c>
      <c r="P653" s="16">
        <f>N653/L653</f>
        <v>0.63868253968253952</v>
      </c>
      <c r="Q653" s="14">
        <v>3639163</v>
      </c>
      <c r="R653" s="14"/>
      <c r="S653" s="17">
        <v>3.2628376000000001</v>
      </c>
      <c r="T653" s="15">
        <v>146.62</v>
      </c>
      <c r="U653" s="15">
        <v>131.91</v>
      </c>
      <c r="V653" s="15">
        <v>144.76</v>
      </c>
      <c r="W653" s="14" t="s">
        <v>379</v>
      </c>
      <c r="X653" s="14">
        <v>1</v>
      </c>
      <c r="Y653" s="10">
        <f>AC653-AB653</f>
        <v>9</v>
      </c>
      <c r="Z653" s="18">
        <v>1</v>
      </c>
      <c r="AA653" s="18">
        <v>2</v>
      </c>
      <c r="AB653" s="18">
        <v>0</v>
      </c>
      <c r="AC653" s="18">
        <v>9</v>
      </c>
      <c r="AD653" s="1" t="s">
        <v>6712</v>
      </c>
      <c r="AE653" s="1" t="s">
        <v>6717</v>
      </c>
      <c r="AF653" s="4">
        <v>24.93</v>
      </c>
      <c r="AG653" s="4">
        <v>21.39</v>
      </c>
    </row>
    <row r="654" spans="1:33" ht="47.25" customHeight="1" x14ac:dyDescent="0.25">
      <c r="A654" s="10" t="s">
        <v>388</v>
      </c>
      <c r="B654" s="11" t="s">
        <v>33</v>
      </c>
      <c r="C654" s="12" t="s">
        <v>389</v>
      </c>
      <c r="D654" s="27"/>
      <c r="E654" s="14" t="s">
        <v>35</v>
      </c>
      <c r="F654" s="11" t="str">
        <f>HYPERLINK("https://redirect.sdcdeals.com/redirect?destination=https%3A%2F%2Fwww.amazon.com%2Fdp%2FB0BNSKVHRX%3Fth%3D1%26psc%3D1%26tag%3Dsdcdeals03-20", "Amazon Link")</f>
        <v>Amazon Link</v>
      </c>
      <c r="G654" s="11" t="s">
        <v>36</v>
      </c>
      <c r="H654" s="14" t="s">
        <v>390</v>
      </c>
      <c r="I654" s="11" t="str">
        <f>HYPERLINK("https://redirect.sdcdeals.com/redirect?code=763034&amp;mavely=https://mavely.app.link/e/bhESV2wGrGb&amp;destination=https%3A%2F%2Fwww.kohls.com%2Fsearch.jsp%3Fsubmit-search%3Dweb-regular%26search%3D59029170", "Retail Link")</f>
        <v>Retail Link</v>
      </c>
      <c r="J654" s="14" t="s">
        <v>383</v>
      </c>
      <c r="K654" s="13" t="s">
        <v>391</v>
      </c>
      <c r="L654" s="15">
        <v>18.2</v>
      </c>
      <c r="M654" s="15">
        <v>42.3</v>
      </c>
      <c r="N654" s="15">
        <v>11.615</v>
      </c>
      <c r="O654" s="15">
        <f>V654-M654</f>
        <v>-13.379999999999995</v>
      </c>
      <c r="P654" s="16">
        <f>N654/L654</f>
        <v>0.63818681318681325</v>
      </c>
      <c r="Q654" s="14">
        <v>581091</v>
      </c>
      <c r="R654" s="14"/>
      <c r="S654" s="17">
        <v>0.2314851</v>
      </c>
      <c r="T654" s="15">
        <v>33.25</v>
      </c>
      <c r="U654" s="15">
        <v>29.27</v>
      </c>
      <c r="V654" s="15">
        <v>28.92</v>
      </c>
      <c r="W654" s="14" t="s">
        <v>88</v>
      </c>
      <c r="X654" s="14">
        <v>2</v>
      </c>
      <c r="Y654" s="10">
        <f>AC654-AB654</f>
        <v>1</v>
      </c>
      <c r="Z654" s="18">
        <v>11</v>
      </c>
      <c r="AA654" s="18">
        <v>25</v>
      </c>
      <c r="AB654" s="18">
        <v>0</v>
      </c>
      <c r="AC654" s="18">
        <v>1</v>
      </c>
      <c r="AD654" s="1" t="s">
        <v>386</v>
      </c>
      <c r="AE654" s="1" t="s">
        <v>387</v>
      </c>
      <c r="AF654" s="4">
        <v>7.19</v>
      </c>
      <c r="AG654" s="4">
        <v>6.14</v>
      </c>
    </row>
    <row r="655" spans="1:33" ht="47.25" customHeight="1" x14ac:dyDescent="0.25">
      <c r="A655" s="10" t="s">
        <v>2616</v>
      </c>
      <c r="B655" s="11" t="s">
        <v>33</v>
      </c>
      <c r="C655" s="12" t="s">
        <v>2617</v>
      </c>
      <c r="D655" s="27"/>
      <c r="E655" s="14" t="s">
        <v>35</v>
      </c>
      <c r="F655" s="11" t="str">
        <f>HYPERLINK("https://redirect.sdcdeals.com/redirect?destination=https%3A%2F%2Fwww.amazon.com%2Fdp%2FB0BNR1C55R%3Fth%3D1%26psc%3D1%26tag%3Dsdcdeals03-20", "Amazon Link")</f>
        <v>Amazon Link</v>
      </c>
      <c r="G655" s="11" t="s">
        <v>36</v>
      </c>
      <c r="H655" s="14" t="s">
        <v>2618</v>
      </c>
      <c r="I655" s="11" t="str">
        <f>HYPERLINK("https://redirect.sdcdeals.com/redirect?code=763034&amp;mavely=https://mavely.app.link/e/bhESV2wGrGb&amp;destination=https%3A%2F%2Fwww.kohls.com%2Fsearch.jsp%3Fsubmit-search%3Dweb-regular%26search%3D55628706", "Retail Link")</f>
        <v>Retail Link</v>
      </c>
      <c r="J655" s="14" t="s">
        <v>2600</v>
      </c>
      <c r="K655" s="13" t="s">
        <v>2619</v>
      </c>
      <c r="L655" s="15">
        <v>18.2</v>
      </c>
      <c r="M655" s="15">
        <v>41.99</v>
      </c>
      <c r="N655" s="15">
        <v>11.5915</v>
      </c>
      <c r="O655" s="15">
        <f>V655-M655</f>
        <v>-1.5600000000000023</v>
      </c>
      <c r="P655" s="16">
        <f>N655/L655</f>
        <v>0.63689560439560444</v>
      </c>
      <c r="Q655" s="14">
        <v>76198</v>
      </c>
      <c r="R655" s="14"/>
      <c r="S655" s="17">
        <v>0.44092399999999998</v>
      </c>
      <c r="T655" s="15">
        <v>39.979999999999997</v>
      </c>
      <c r="U655" s="15">
        <v>43.3</v>
      </c>
      <c r="V655" s="15">
        <v>40.43</v>
      </c>
      <c r="W655" s="14" t="s">
        <v>2620</v>
      </c>
      <c r="X655" s="14">
        <v>6</v>
      </c>
      <c r="Y655" s="10">
        <f>AC655-AB655</f>
        <v>6</v>
      </c>
      <c r="Z655" s="18">
        <v>25</v>
      </c>
      <c r="AA655" s="18">
        <v>79</v>
      </c>
      <c r="AB655" s="18">
        <v>0</v>
      </c>
      <c r="AC655" s="18">
        <v>6</v>
      </c>
      <c r="AD655" s="1" t="s">
        <v>2602</v>
      </c>
      <c r="AE655" s="1" t="s">
        <v>935</v>
      </c>
      <c r="AF655" s="4">
        <v>7.14</v>
      </c>
      <c r="AG655" s="4">
        <v>5.9</v>
      </c>
    </row>
    <row r="656" spans="1:33" ht="47.25" customHeight="1" x14ac:dyDescent="0.25">
      <c r="A656" s="10" t="s">
        <v>1801</v>
      </c>
      <c r="B656" s="11" t="s">
        <v>33</v>
      </c>
      <c r="C656" s="12" t="s">
        <v>1802</v>
      </c>
      <c r="D656" s="27"/>
      <c r="E656" s="14" t="s">
        <v>35</v>
      </c>
      <c r="F656" s="11" t="str">
        <f>HYPERLINK("https://redirect.sdcdeals.com/redirect?destination=https%3A%2F%2Fwww.amazon.com%2Fdp%2FB0BJ6MWNTR%3Fth%3D1%26psc%3D1%26tag%3Dsdcdeals03-20", "Amazon Link")</f>
        <v>Amazon Link</v>
      </c>
      <c r="G656" s="11" t="s">
        <v>36</v>
      </c>
      <c r="H656" s="14" t="s">
        <v>1803</v>
      </c>
      <c r="I656" s="11" t="str">
        <f>HYPERLINK("https://redirect.sdcdeals.com/redirect?code=763034&amp;mavely=https://mavely.app.link/e/bhESV2wGrGb&amp;destination=https%3A%2F%2Fwww.kohls.com%2Fsearch.jsp%3Fsubmit-search%3Dweb-regular%26search%3D79062526", "Retail Link")</f>
        <v>Retail Link</v>
      </c>
      <c r="J656" s="14" t="s">
        <v>1732</v>
      </c>
      <c r="K656" s="13" t="s">
        <v>1804</v>
      </c>
      <c r="L656" s="15">
        <v>14</v>
      </c>
      <c r="M656" s="15">
        <v>35</v>
      </c>
      <c r="N656" s="15">
        <v>8.89</v>
      </c>
      <c r="O656" s="15">
        <f>V656-M656</f>
        <v>-1.6400000000000006</v>
      </c>
      <c r="P656" s="16">
        <f>N656/L656</f>
        <v>0.63500000000000001</v>
      </c>
      <c r="Q656" s="14">
        <v>37317</v>
      </c>
      <c r="R656" s="14"/>
      <c r="S656" s="17">
        <v>1.2125410000000001</v>
      </c>
      <c r="T656" s="15">
        <v>35</v>
      </c>
      <c r="U656" s="15">
        <v>31.4</v>
      </c>
      <c r="V656" s="15">
        <v>33.36</v>
      </c>
      <c r="W656" s="14" t="s">
        <v>1805</v>
      </c>
      <c r="X656" s="14">
        <v>3</v>
      </c>
      <c r="Y656" s="10">
        <f>AC656-AB656</f>
        <v>68</v>
      </c>
      <c r="Z656" s="18">
        <v>48</v>
      </c>
      <c r="AA656" s="18">
        <v>121</v>
      </c>
      <c r="AB656" s="18">
        <v>4</v>
      </c>
      <c r="AC656" s="18">
        <v>72</v>
      </c>
      <c r="AD656" s="1" t="s">
        <v>1735</v>
      </c>
      <c r="AE656" s="1" t="s">
        <v>1736</v>
      </c>
      <c r="AF656" s="4">
        <v>3.5</v>
      </c>
      <c r="AG656" s="4">
        <v>6.86</v>
      </c>
    </row>
    <row r="657" spans="1:33" ht="47.25" customHeight="1" x14ac:dyDescent="0.25">
      <c r="A657" s="10" t="s">
        <v>375</v>
      </c>
      <c r="B657" s="11" t="s">
        <v>33</v>
      </c>
      <c r="C657" s="12" t="s">
        <v>376</v>
      </c>
      <c r="D657" s="27"/>
      <c r="E657" s="14" t="s">
        <v>35</v>
      </c>
      <c r="F657" s="11" t="str">
        <f>HYPERLINK("https://redirect.sdcdeals.com/redirect?destination=https%3A%2F%2Fwww.amazon.com%2Fdp%2FB0BKQXYYYT%3Fth%3D1%26psc%3D1%26tag%3Dsdcdeals03-20", "Amazon Link")</f>
        <v>Amazon Link</v>
      </c>
      <c r="G657" s="11" t="s">
        <v>36</v>
      </c>
      <c r="H657" s="14" t="s">
        <v>377</v>
      </c>
      <c r="I657" s="11" t="str">
        <f>HYPERLINK("https://redirect.sdcdeals.com/redirect?code=763034&amp;mavely=https://mavely.app.link/e/bhESV2wGrGb&amp;destination=https%3A%2F%2Fwww.kohls.com%2Fsearch.jsp%3Fsubmit-search%3Dweb-regular%26search%3D54785108", "Retail Link")</f>
        <v>Retail Link</v>
      </c>
      <c r="J657" s="14" t="s">
        <v>371</v>
      </c>
      <c r="K657" s="13" t="s">
        <v>378</v>
      </c>
      <c r="L657" s="15">
        <v>39.6</v>
      </c>
      <c r="M657" s="15">
        <v>90</v>
      </c>
      <c r="N657" s="15">
        <v>25.01</v>
      </c>
      <c r="O657" s="15">
        <f>V657-M657</f>
        <v>-21.72</v>
      </c>
      <c r="P657" s="16">
        <f>N657/L657</f>
        <v>0.63156565656565655</v>
      </c>
      <c r="Q657" s="14">
        <v>762036</v>
      </c>
      <c r="R657" s="14"/>
      <c r="S657" s="17">
        <v>1.6799204400000001</v>
      </c>
      <c r="T657" s="15">
        <v>90</v>
      </c>
      <c r="U657" s="15">
        <v>60.1</v>
      </c>
      <c r="V657" s="15">
        <v>68.28</v>
      </c>
      <c r="W657" s="14" t="s">
        <v>379</v>
      </c>
      <c r="X657" s="14">
        <v>2</v>
      </c>
      <c r="Y657" s="10">
        <f>AC657-AB657</f>
        <v>5</v>
      </c>
      <c r="Z657" s="18">
        <v>7</v>
      </c>
      <c r="AA657" s="18">
        <v>27</v>
      </c>
      <c r="AB657" s="18">
        <v>0</v>
      </c>
      <c r="AC657" s="18">
        <v>5</v>
      </c>
      <c r="AD657" s="1" t="s">
        <v>373</v>
      </c>
      <c r="AE657" s="1" t="s">
        <v>374</v>
      </c>
      <c r="AF657" s="4">
        <v>15.3</v>
      </c>
      <c r="AG657" s="4">
        <v>11.89</v>
      </c>
    </row>
    <row r="658" spans="1:33" ht="47.25" customHeight="1" x14ac:dyDescent="0.25">
      <c r="A658" s="10" t="s">
        <v>1778</v>
      </c>
      <c r="B658" s="11" t="s">
        <v>33</v>
      </c>
      <c r="C658" s="12" t="s">
        <v>1779</v>
      </c>
      <c r="D658" s="27"/>
      <c r="E658" s="14" t="s">
        <v>35</v>
      </c>
      <c r="F658" s="11" t="str">
        <f>HYPERLINK("https://redirect.sdcdeals.com/redirect?destination=https%3A%2F%2Fwww.amazon.com%2Fdp%2FB0BJ5S7V12%3Fth%3D1%26psc%3D1%26tag%3Dsdcdeals03-20", "Amazon Link")</f>
        <v>Amazon Link</v>
      </c>
      <c r="G658" s="11" t="s">
        <v>36</v>
      </c>
      <c r="H658" s="14" t="s">
        <v>1780</v>
      </c>
      <c r="I658" s="11" t="str">
        <f>HYPERLINK("https://redirect.sdcdeals.com/redirect?code=763034&amp;mavely=https://mavely.app.link/e/bhESV2wGrGb&amp;destination=https%3A%2F%2Fwww.kohls.com%2Fsearch.jsp%3Fsubmit-search%3Dweb-regular%26search%3D77202424", "Retail Link")</f>
        <v>Retail Link</v>
      </c>
      <c r="J658" s="14" t="s">
        <v>1732</v>
      </c>
      <c r="K658" s="13" t="s">
        <v>1781</v>
      </c>
      <c r="L658" s="15">
        <v>14</v>
      </c>
      <c r="M658" s="15">
        <v>34.71</v>
      </c>
      <c r="N658" s="15">
        <v>8.8335000000000008</v>
      </c>
      <c r="O658" s="15">
        <f>V658-M658</f>
        <v>-0.98000000000000398</v>
      </c>
      <c r="P658" s="16">
        <f>N658/L658</f>
        <v>0.63096428571428576</v>
      </c>
      <c r="Q658" s="14">
        <v>36895</v>
      </c>
      <c r="R658" s="14">
        <v>50</v>
      </c>
      <c r="S658" s="17">
        <v>1.0141252000000001</v>
      </c>
      <c r="T658" s="15">
        <v>26.76</v>
      </c>
      <c r="U658" s="15">
        <v>31.62</v>
      </c>
      <c r="V658" s="15">
        <v>33.729999999999997</v>
      </c>
      <c r="W658" s="14" t="s">
        <v>720</v>
      </c>
      <c r="X658" s="14">
        <v>2</v>
      </c>
      <c r="Y658" s="10">
        <f>AC658-AB658</f>
        <v>70</v>
      </c>
      <c r="Z658" s="18">
        <v>57</v>
      </c>
      <c r="AA658" s="18">
        <v>125</v>
      </c>
      <c r="AB658" s="18">
        <v>2</v>
      </c>
      <c r="AC658" s="18">
        <v>72</v>
      </c>
      <c r="AD658" s="1" t="s">
        <v>1735</v>
      </c>
      <c r="AE658" s="1" t="s">
        <v>76</v>
      </c>
      <c r="AF658" s="4">
        <v>5.9</v>
      </c>
      <c r="AG658" s="4">
        <v>6.67</v>
      </c>
    </row>
    <row r="659" spans="1:33" ht="47.25" customHeight="1" x14ac:dyDescent="0.25">
      <c r="A659" s="10" t="s">
        <v>307</v>
      </c>
      <c r="B659" s="11" t="s">
        <v>33</v>
      </c>
      <c r="C659" s="12" t="s">
        <v>308</v>
      </c>
      <c r="D659" s="27"/>
      <c r="E659" s="14" t="s">
        <v>35</v>
      </c>
      <c r="F659" s="11" t="str">
        <f>HYPERLINK("https://redirect.sdcdeals.com/redirect?destination=https%3A%2F%2Fwww.amazon.com%2Fdp%2FB0BLZT14RM%3Fth%3D1%26psc%3D1%26tag%3Dsdcdeals03-20", "Amazon Link")</f>
        <v>Amazon Link</v>
      </c>
      <c r="G659" s="11" t="s">
        <v>36</v>
      </c>
      <c r="H659" s="14" t="s">
        <v>309</v>
      </c>
      <c r="I659" s="11" t="str">
        <f>HYPERLINK("https://redirect.sdcdeals.com/redirect?code=763034&amp;mavely=https://mavely.app.link/e/bhESV2wGrGb&amp;destination=https%3A%2F%2Fwww.kohls.com%2Fsearch.jsp%3Fsubmit-search%3Dweb-regular%26search%3D65002412", "Retail Link")</f>
        <v>Retail Link</v>
      </c>
      <c r="J659" s="14" t="s">
        <v>294</v>
      </c>
      <c r="K659" s="13" t="s">
        <v>310</v>
      </c>
      <c r="L659" s="15">
        <v>11.192</v>
      </c>
      <c r="M659" s="15">
        <v>29.99</v>
      </c>
      <c r="N659" s="15">
        <v>7.0594999999999999</v>
      </c>
      <c r="O659" s="15">
        <f>V659-M659</f>
        <v>-0.19999999999999929</v>
      </c>
      <c r="P659" s="16">
        <f>N659/L659</f>
        <v>0.63076304503216585</v>
      </c>
      <c r="Q659" s="14">
        <v>100566</v>
      </c>
      <c r="R659" s="14"/>
      <c r="S659" s="17">
        <v>0.18077884</v>
      </c>
      <c r="T659" s="15">
        <v>29.99</v>
      </c>
      <c r="U659" s="15">
        <v>29.57</v>
      </c>
      <c r="V659" s="15">
        <v>29.79</v>
      </c>
      <c r="W659" s="14" t="s">
        <v>311</v>
      </c>
      <c r="X659" s="14">
        <v>1</v>
      </c>
      <c r="Y659" s="10">
        <f>AC659-AB659</f>
        <v>73</v>
      </c>
      <c r="Z659" s="18">
        <v>11</v>
      </c>
      <c r="AA659" s="18">
        <v>32</v>
      </c>
      <c r="AB659" s="18">
        <v>4</v>
      </c>
      <c r="AC659" s="18">
        <v>77</v>
      </c>
      <c r="AE659" s="1" t="s">
        <v>76</v>
      </c>
      <c r="AF659" s="4">
        <v>4.5</v>
      </c>
      <c r="AG659" s="4">
        <v>7.24</v>
      </c>
    </row>
    <row r="660" spans="1:33" ht="47.25" customHeight="1" x14ac:dyDescent="0.25">
      <c r="A660" s="10" t="s">
        <v>3155</v>
      </c>
      <c r="B660" s="11" t="s">
        <v>33</v>
      </c>
      <c r="C660" s="12" t="s">
        <v>3156</v>
      </c>
      <c r="D660" s="27"/>
      <c r="E660" s="14" t="s">
        <v>35</v>
      </c>
      <c r="F660" s="11" t="str">
        <f>HYPERLINK("https://redirect.sdcdeals.com/redirect?destination=https%3A%2F%2Fwww.amazon.com%2Fdp%2FB0B5FF9ZD4%3Fth%3D1%26psc%3D1%26tag%3Dsdcdeals03-20", "Amazon Link")</f>
        <v>Amazon Link</v>
      </c>
      <c r="G660" s="11" t="s">
        <v>36</v>
      </c>
      <c r="H660" s="14" t="s">
        <v>3157</v>
      </c>
      <c r="I660" s="11" t="str">
        <f>HYPERLINK("https://redirect.sdcdeals.com/redirect?code=763034&amp;mavely=https://mavely.app.link/e/bhESV2wGrGb&amp;destination=https%3A%2F%2Fwww.kohls.com%2Fsearch.jsp%3Fsubmit-search%3Dweb-regular%26search%3D78064375", "Retail Link")</f>
        <v>Retail Link</v>
      </c>
      <c r="J660" s="14" t="s">
        <v>3090</v>
      </c>
      <c r="K660" s="13" t="s">
        <v>3158</v>
      </c>
      <c r="L660" s="15">
        <v>40</v>
      </c>
      <c r="M660" s="15">
        <v>100</v>
      </c>
      <c r="N660" s="15">
        <v>25.13</v>
      </c>
      <c r="O660" s="15">
        <f>V660-M660</f>
        <v>-2.6299999999999955</v>
      </c>
      <c r="P660" s="16">
        <f>N660/L660</f>
        <v>0.62824999999999998</v>
      </c>
      <c r="Q660" s="14">
        <v>393221</v>
      </c>
      <c r="R660" s="14"/>
      <c r="S660" s="17">
        <v>3.2297682999999999</v>
      </c>
      <c r="T660" s="15">
        <v>100</v>
      </c>
      <c r="U660" s="15">
        <v>92</v>
      </c>
      <c r="V660" s="15">
        <v>97.37</v>
      </c>
      <c r="W660" s="14" t="s">
        <v>2238</v>
      </c>
      <c r="X660" s="14">
        <v>1</v>
      </c>
      <c r="Y660" s="10">
        <f>AC660-AB660</f>
        <v>1932</v>
      </c>
      <c r="Z660" s="18">
        <v>32</v>
      </c>
      <c r="AA660" s="18">
        <v>79</v>
      </c>
      <c r="AB660" s="18">
        <v>0</v>
      </c>
      <c r="AC660" s="18">
        <v>1932</v>
      </c>
      <c r="AD660" s="1" t="s">
        <v>3159</v>
      </c>
      <c r="AE660" s="1" t="s">
        <v>3105</v>
      </c>
      <c r="AF660" s="4">
        <v>17</v>
      </c>
      <c r="AG660" s="4">
        <v>19.87</v>
      </c>
    </row>
    <row r="661" spans="1:33" ht="47.25" customHeight="1" x14ac:dyDescent="0.25">
      <c r="A661" s="10" t="s">
        <v>830</v>
      </c>
      <c r="B661" s="11" t="s">
        <v>33</v>
      </c>
      <c r="C661" s="12" t="s">
        <v>831</v>
      </c>
      <c r="D661" s="27"/>
      <c r="E661" s="14" t="s">
        <v>35</v>
      </c>
      <c r="F661" s="11" t="str">
        <f>HYPERLINK("https://redirect.sdcdeals.com/redirect?destination=https%3A%2F%2Fwww.amazon.com%2Fdp%2FB0BGWZ5S7N%3Fth%3D1%26psc%3D1%26tag%3Dsdcdeals03-20", "Amazon Link")</f>
        <v>Amazon Link</v>
      </c>
      <c r="G661" s="11" t="s">
        <v>36</v>
      </c>
      <c r="H661" s="14" t="s">
        <v>832</v>
      </c>
      <c r="I661" s="11" t="str">
        <f>HYPERLINK("https://redirect.sdcdeals.com/redirect?code=763034&amp;mavely=https://mavely.app.link/e/bhESV2wGrGb&amp;destination=https%3A%2F%2Fwww.kohls.com%2Fsearch.jsp%3Fsubmit-search%3Dweb-regular%26search%3D55590997", "Retail Link")</f>
        <v>Retail Link</v>
      </c>
      <c r="J661" s="14" t="s">
        <v>833</v>
      </c>
      <c r="K661" s="13" t="s">
        <v>834</v>
      </c>
      <c r="L661" s="15">
        <v>7.8400000000000007</v>
      </c>
      <c r="M661" s="15">
        <v>19.600000000000001</v>
      </c>
      <c r="N661" s="15">
        <v>4.919999999999999</v>
      </c>
      <c r="O661" s="15">
        <f>V661-M661</f>
        <v>3.6899999999999977</v>
      </c>
      <c r="P661" s="16">
        <f>N661/L661</f>
        <v>0.62755102040816313</v>
      </c>
      <c r="Q661" s="14">
        <v>11386122</v>
      </c>
      <c r="R661" s="14"/>
      <c r="S661" s="17">
        <v>7.0547840000000001E-2</v>
      </c>
      <c r="T661" s="15">
        <v>19.600000000000001</v>
      </c>
      <c r="U661" s="15">
        <v>21.82</v>
      </c>
      <c r="V661" s="15">
        <v>23.29</v>
      </c>
      <c r="W661" s="14" t="s">
        <v>835</v>
      </c>
      <c r="X661" s="14">
        <v>4</v>
      </c>
      <c r="Y661" s="10">
        <f>AC661-AB661</f>
        <v>0</v>
      </c>
      <c r="Z661" s="18">
        <v>0</v>
      </c>
      <c r="AA661" s="18">
        <v>0</v>
      </c>
      <c r="AB661" s="18"/>
      <c r="AC661" s="18"/>
      <c r="AD661" s="1" t="s">
        <v>836</v>
      </c>
      <c r="AE661" s="1" t="s">
        <v>837</v>
      </c>
      <c r="AF661" s="4">
        <v>2.94</v>
      </c>
      <c r="AG661" s="4">
        <v>3.9</v>
      </c>
    </row>
    <row r="662" spans="1:33" ht="47.25" customHeight="1" x14ac:dyDescent="0.25">
      <c r="A662" s="10" t="s">
        <v>5391</v>
      </c>
      <c r="B662" s="11" t="s">
        <v>33</v>
      </c>
      <c r="C662" s="12" t="s">
        <v>5392</v>
      </c>
      <c r="D662" s="27"/>
      <c r="E662" s="14" t="s">
        <v>35</v>
      </c>
      <c r="F662" s="11" t="str">
        <f>HYPERLINK("https://redirect.sdcdeals.com/redirect?destination=https%3A%2F%2Fwww.amazon.com%2Fdp%2FB0BKQWW5JT%3Fth%3D1%26psc%3D1%26tag%3Dsdcdeals03-20", "Amazon Link")</f>
        <v>Amazon Link</v>
      </c>
      <c r="G662" s="11" t="s">
        <v>36</v>
      </c>
      <c r="H662" s="14" t="s">
        <v>5393</v>
      </c>
      <c r="I662" s="11" t="str">
        <f>HYPERLINK("https://redirect.sdcdeals.com/redirect?code=763034&amp;mavely=https://mavely.app.link/e/bhESV2wGrGb&amp;destination=https%3A%2F%2Fwww.kohls.com%2Fsearch.jsp%3Fsubmit-search%3Dweb-regular%26search%3D76863029", "Retail Link")</f>
        <v>Retail Link</v>
      </c>
      <c r="J662" s="14" t="s">
        <v>5394</v>
      </c>
      <c r="K662" s="13" t="s">
        <v>5395</v>
      </c>
      <c r="L662" s="15">
        <v>20</v>
      </c>
      <c r="M662" s="15">
        <v>46.04</v>
      </c>
      <c r="N662" s="15">
        <v>12.534000000000001</v>
      </c>
      <c r="O662" s="15">
        <f>V662-M662</f>
        <v>-5.07</v>
      </c>
      <c r="P662" s="16">
        <f>N662/L662</f>
        <v>0.62670000000000003</v>
      </c>
      <c r="Q662" s="14">
        <v>993985</v>
      </c>
      <c r="R662" s="14"/>
      <c r="S662" s="17">
        <v>0.8487787</v>
      </c>
      <c r="T662" s="15">
        <v>46.04</v>
      </c>
      <c r="U662" s="15">
        <v>38.89</v>
      </c>
      <c r="V662" s="15">
        <v>40.97</v>
      </c>
      <c r="W662" s="14" t="s">
        <v>964</v>
      </c>
      <c r="X662" s="14">
        <v>2</v>
      </c>
      <c r="Y662" s="10">
        <f>AC662-AB662</f>
        <v>2</v>
      </c>
      <c r="Z662" s="18">
        <v>7</v>
      </c>
      <c r="AA662" s="18">
        <v>16</v>
      </c>
      <c r="AB662" s="18">
        <v>0</v>
      </c>
      <c r="AC662" s="18">
        <v>2</v>
      </c>
      <c r="AD662" s="1" t="s">
        <v>5396</v>
      </c>
      <c r="AE662" s="1" t="s">
        <v>2924</v>
      </c>
      <c r="AF662" s="4">
        <v>7.83</v>
      </c>
      <c r="AG662" s="4">
        <v>6.6</v>
      </c>
    </row>
    <row r="663" spans="1:33" ht="47.25" hidden="1" customHeight="1" x14ac:dyDescent="0.25">
      <c r="A663" s="10" t="s">
        <v>4552</v>
      </c>
      <c r="B663" s="11" t="s">
        <v>33</v>
      </c>
      <c r="C663" s="12" t="s">
        <v>4553</v>
      </c>
      <c r="D663" s="27"/>
      <c r="E663" s="14" t="s">
        <v>35</v>
      </c>
      <c r="F663" s="11" t="str">
        <f>HYPERLINK("https://redirect.sdcdeals.com/redirect?destination=https%3A%2F%2Fwww.amazon.com%2Fdp%2FB0CL5DC1XR%3Fth%3D1%26psc%3D1%26tag%3Dsdcdeals03-20", "Amazon Link")</f>
        <v>Amazon Link</v>
      </c>
      <c r="G663" s="11" t="s">
        <v>36</v>
      </c>
      <c r="H663" s="14" t="s">
        <v>4554</v>
      </c>
      <c r="I663" s="11" t="str">
        <f>HYPERLINK("https://redirect.sdcdeals.com/redirect?code=763034&amp;mavely=https://mavely.app.link/e/bhESV2wGrGb&amp;destination=https%3A%2F%2Fwww.kohls.com%2Fsearch.jsp%3Fsubmit-search%3Dweb-regular%26search%3D28182156", "Retail Link")</f>
        <v>Retail Link</v>
      </c>
      <c r="J663" s="14" t="s">
        <v>4550</v>
      </c>
      <c r="K663" s="13" t="s">
        <v>4555</v>
      </c>
      <c r="L663" s="15">
        <v>6.4</v>
      </c>
      <c r="M663" s="15">
        <v>18.260000000000002</v>
      </c>
      <c r="N663" s="15">
        <v>4.0009999999999986</v>
      </c>
      <c r="O663" s="15">
        <f>V663-M663</f>
        <v>7.009999999999998</v>
      </c>
      <c r="P663" s="16">
        <f>N663/L663</f>
        <v>0.62515624999999975</v>
      </c>
      <c r="Q663" s="14"/>
      <c r="R663" s="14"/>
      <c r="S663" s="17">
        <v>0.35273919999999997</v>
      </c>
      <c r="T663" s="15">
        <v>18.260000000000002</v>
      </c>
      <c r="U663" s="15">
        <v>24.96</v>
      </c>
      <c r="V663" s="15">
        <v>25.27</v>
      </c>
      <c r="W663" s="14" t="s">
        <v>290</v>
      </c>
      <c r="X663" s="14">
        <v>2</v>
      </c>
      <c r="Y663" s="10">
        <f>AC663-AB663</f>
        <v>0</v>
      </c>
      <c r="Z663" s="18">
        <v>0</v>
      </c>
      <c r="AA663" s="18">
        <v>0</v>
      </c>
      <c r="AB663" s="18"/>
      <c r="AC663" s="18"/>
      <c r="AE663" s="1" t="s">
        <v>497</v>
      </c>
      <c r="AF663" s="4">
        <v>3.1</v>
      </c>
      <c r="AG663" s="4">
        <v>5.12</v>
      </c>
    </row>
    <row r="664" spans="1:33" ht="47.25" customHeight="1" x14ac:dyDescent="0.25">
      <c r="A664" s="10" t="s">
        <v>5320</v>
      </c>
      <c r="B664" s="11" t="s">
        <v>33</v>
      </c>
      <c r="C664" s="12" t="s">
        <v>5324</v>
      </c>
      <c r="D664" s="27"/>
      <c r="E664" s="14" t="s">
        <v>35</v>
      </c>
      <c r="F664" s="11" t="str">
        <f>HYPERLINK("https://redirect.sdcdeals.com/redirect?destination=https%3A%2F%2Fwww.amazon.com%2Fdp%2FB0019ZR53K%3Fth%3D1%26psc%3D1%26tag%3Dsdcdeals03-20", "Amazon Link")</f>
        <v>Amazon Link</v>
      </c>
      <c r="G664" s="11" t="s">
        <v>36</v>
      </c>
      <c r="H664" s="14" t="s">
        <v>5322</v>
      </c>
      <c r="I664" s="11" t="str">
        <f>HYPERLINK("https://redirect.sdcdeals.com/redirect?code=763034&amp;mavely=https://mavely.app.link/e/bhESV2wGrGb&amp;destination=https%3A%2F%2Fwww.kohls.com%2Fsearch.jsp%3Fsubmit-search%3Dweb-regular%26search%3D73123649", "Retail Link")</f>
        <v>Retail Link</v>
      </c>
      <c r="J664" s="14" t="s">
        <v>5312</v>
      </c>
      <c r="K664" s="13" t="s">
        <v>5325</v>
      </c>
      <c r="L664" s="15">
        <v>7.4319999999999986</v>
      </c>
      <c r="M664" s="15">
        <v>20.99</v>
      </c>
      <c r="N664" s="15">
        <v>4.6395000000000017</v>
      </c>
      <c r="O664" s="15">
        <f>V664-M664</f>
        <v>7.3000000000000007</v>
      </c>
      <c r="P664" s="16">
        <f>N664/L664</f>
        <v>0.62425995694294978</v>
      </c>
      <c r="Q664" s="14">
        <v>21404</v>
      </c>
      <c r="R664" s="14"/>
      <c r="S664" s="17">
        <v>1.4241845200000001</v>
      </c>
      <c r="T664" s="15">
        <v>20.99</v>
      </c>
      <c r="U664" s="15">
        <v>28.32</v>
      </c>
      <c r="V664" s="15">
        <v>28.29</v>
      </c>
      <c r="W664" s="14" t="s">
        <v>95</v>
      </c>
      <c r="X664" s="14">
        <v>5</v>
      </c>
      <c r="Y664" s="10">
        <f>AC664-AB664</f>
        <v>5104</v>
      </c>
      <c r="Z664" s="18">
        <v>25</v>
      </c>
      <c r="AA664" s="18">
        <v>59</v>
      </c>
      <c r="AB664" s="18">
        <v>34</v>
      </c>
      <c r="AC664" s="18">
        <v>5138</v>
      </c>
      <c r="AD664" s="1" t="s">
        <v>5314</v>
      </c>
      <c r="AE664" s="1" t="s">
        <v>5315</v>
      </c>
      <c r="AF664" s="4">
        <v>3.15</v>
      </c>
      <c r="AG664" s="4">
        <v>5.77</v>
      </c>
    </row>
    <row r="665" spans="1:33" ht="47.25" customHeight="1" x14ac:dyDescent="0.25">
      <c r="A665" s="10" t="s">
        <v>2080</v>
      </c>
      <c r="B665" s="11" t="s">
        <v>33</v>
      </c>
      <c r="C665" s="12" t="s">
        <v>2081</v>
      </c>
      <c r="D665" s="27"/>
      <c r="E665" s="14" t="s">
        <v>35</v>
      </c>
      <c r="F665" s="11" t="str">
        <f>HYPERLINK("https://redirect.sdcdeals.com/redirect?destination=https%3A%2F%2Fwww.amazon.com%2Fdp%2FB07D1N42JT%3Fth%3D1%26psc%3D1%26tag%3Dsdcdeals03-20", "Amazon Link")</f>
        <v>Amazon Link</v>
      </c>
      <c r="G665" s="11" t="s">
        <v>36</v>
      </c>
      <c r="H665" s="14" t="s">
        <v>2082</v>
      </c>
      <c r="I665" s="11" t="str">
        <f>HYPERLINK("https://redirect.sdcdeals.com/redirect?code=763034&amp;mavely=https://mavely.app.link/e/bhESV2wGrGb&amp;destination=https%3A%2F%2Fwww.kohls.com%2Fsearch.jsp%3Fsubmit-search%3Dweb-regular%26search%3D54174614", "Retail Link")</f>
        <v>Retail Link</v>
      </c>
      <c r="J665" s="14" t="s">
        <v>2048</v>
      </c>
      <c r="K665" s="13" t="s">
        <v>2083</v>
      </c>
      <c r="L665" s="15">
        <v>9.6000000000000014</v>
      </c>
      <c r="M665" s="15">
        <v>25.45</v>
      </c>
      <c r="N665" s="15">
        <v>5.9824999999999982</v>
      </c>
      <c r="O665" s="15">
        <f>V665-M665</f>
        <v>6.5500000000000007</v>
      </c>
      <c r="P665" s="16">
        <f>N665/L665</f>
        <v>0.6231770833333331</v>
      </c>
      <c r="Q665" s="14">
        <v>592</v>
      </c>
      <c r="R665" s="14"/>
      <c r="S665" s="17">
        <v>1.0493991199999999</v>
      </c>
      <c r="T665" s="15">
        <v>25.45</v>
      </c>
      <c r="U665" s="15">
        <v>30.11</v>
      </c>
      <c r="V665" s="15">
        <v>32</v>
      </c>
      <c r="W665" s="14" t="s">
        <v>516</v>
      </c>
      <c r="X665" s="14">
        <v>2</v>
      </c>
      <c r="Y665" s="10">
        <f>AC665-AB665</f>
        <v>53291</v>
      </c>
      <c r="Z665" s="18">
        <v>74</v>
      </c>
      <c r="AA665" s="18">
        <v>202</v>
      </c>
      <c r="AB665" s="18">
        <v>9</v>
      </c>
      <c r="AC665" s="18">
        <v>53300</v>
      </c>
      <c r="AD665" s="1" t="s">
        <v>2050</v>
      </c>
      <c r="AE665" s="1" t="s">
        <v>2084</v>
      </c>
      <c r="AF665" s="4">
        <v>4.33</v>
      </c>
      <c r="AG665" s="4">
        <v>6.05</v>
      </c>
    </row>
    <row r="666" spans="1:33" ht="47.25" customHeight="1" x14ac:dyDescent="0.25">
      <c r="A666" s="10" t="s">
        <v>3600</v>
      </c>
      <c r="B666" s="11" t="s">
        <v>33</v>
      </c>
      <c r="C666" s="12" t="s">
        <v>3601</v>
      </c>
      <c r="D666" s="27"/>
      <c r="E666" s="14" t="s">
        <v>35</v>
      </c>
      <c r="F666" s="11" t="str">
        <f>HYPERLINK("https://redirect.sdcdeals.com/redirect?destination=https%3A%2F%2Fwww.amazon.com%2Fdp%2FB0792TNLDY%3Fth%3D1%26psc%3D1%26tag%3Dsdcdeals03-20", "Amazon Link")</f>
        <v>Amazon Link</v>
      </c>
      <c r="G666" s="11" t="s">
        <v>36</v>
      </c>
      <c r="H666" s="14" t="s">
        <v>3602</v>
      </c>
      <c r="I666" s="11" t="str">
        <f>HYPERLINK("https://redirect.sdcdeals.com/redirect?code=763034&amp;mavely=https://mavely.app.link/e/bhESV2wGrGb&amp;destination=https%3A%2F%2Fwww.kohls.com%2Fsearch.jsp%3Fsubmit-search%3Dweb-regular%26search%3D63989889", "Retail Link")</f>
        <v>Retail Link</v>
      </c>
      <c r="J666" s="14" t="s">
        <v>3555</v>
      </c>
      <c r="K666" s="13" t="s">
        <v>3603</v>
      </c>
      <c r="L666" s="15">
        <v>10.56</v>
      </c>
      <c r="M666" s="15">
        <v>27.9</v>
      </c>
      <c r="N666" s="15">
        <v>6.5550000000000006</v>
      </c>
      <c r="O666" s="15">
        <f>V666-M666</f>
        <v>9.11</v>
      </c>
      <c r="P666" s="16">
        <f>N666/L666</f>
        <v>0.62073863636363635</v>
      </c>
      <c r="Q666" s="14">
        <v>1878941</v>
      </c>
      <c r="R666" s="14"/>
      <c r="S666" s="17">
        <v>0.74957079999999998</v>
      </c>
      <c r="T666" s="15">
        <v>27.9</v>
      </c>
      <c r="U666" s="15">
        <v>28.65</v>
      </c>
      <c r="V666" s="15">
        <v>37.01</v>
      </c>
      <c r="W666" s="14" t="s">
        <v>3604</v>
      </c>
      <c r="X666" s="14">
        <v>3</v>
      </c>
      <c r="Y666" s="10">
        <f>AC666-AB666</f>
        <v>91</v>
      </c>
      <c r="Z666" s="18">
        <v>2</v>
      </c>
      <c r="AA666" s="18">
        <v>8</v>
      </c>
      <c r="AB666" s="18">
        <v>4</v>
      </c>
      <c r="AC666" s="18">
        <v>95</v>
      </c>
      <c r="AD666" s="1" t="s">
        <v>3557</v>
      </c>
      <c r="AE666" s="1" t="s">
        <v>3567</v>
      </c>
      <c r="AF666" s="4">
        <v>4.74</v>
      </c>
      <c r="AG666" s="4">
        <v>6.6</v>
      </c>
    </row>
    <row r="667" spans="1:33" ht="47.25" customHeight="1" x14ac:dyDescent="0.25">
      <c r="A667" s="10" t="s">
        <v>7520</v>
      </c>
      <c r="B667" s="11" t="s">
        <v>33</v>
      </c>
      <c r="C667" s="12" t="s">
        <v>7521</v>
      </c>
      <c r="D667" s="27"/>
      <c r="E667" s="14" t="s">
        <v>35</v>
      </c>
      <c r="F667" s="11" t="str">
        <f>HYPERLINK("https://redirect.sdcdeals.com/redirect?destination=https%3A%2F%2Fwww.amazon.com%2Fdp%2FB0B1JQYYSP%3Fth%3D1%26psc%3D1%26tag%3Dsdcdeals03-20", "Amazon Link")</f>
        <v>Amazon Link</v>
      </c>
      <c r="G667" s="11" t="s">
        <v>36</v>
      </c>
      <c r="H667" s="14" t="s">
        <v>7522</v>
      </c>
      <c r="I667" s="11" t="str">
        <f>HYPERLINK("https://redirect.sdcdeals.com/redirect?code=763034&amp;mavely=https://mavely.app.link/e/bhESV2wGrGb&amp;destination=https%3A%2F%2Fwww.kohls.com%2Fsearch.jsp%3Fsubmit-search%3Dweb-regular%26search%3D83465657", "Retail Link")</f>
        <v>Retail Link</v>
      </c>
      <c r="J667" s="14" t="s">
        <v>7510</v>
      </c>
      <c r="K667" s="13" t="s">
        <v>7523</v>
      </c>
      <c r="L667" s="15">
        <v>11.984</v>
      </c>
      <c r="M667" s="15">
        <v>29.78</v>
      </c>
      <c r="N667" s="15">
        <v>7.4289999999999967</v>
      </c>
      <c r="O667" s="15">
        <f>V667-M667</f>
        <v>5.8100000000000023</v>
      </c>
      <c r="P667" s="16">
        <f>N667/L667</f>
        <v>0.61990987983978607</v>
      </c>
      <c r="Q667" s="14">
        <v>45010</v>
      </c>
      <c r="R667" s="14"/>
      <c r="S667" s="17">
        <v>0.42108242000000001</v>
      </c>
      <c r="T667" s="15">
        <v>29.78</v>
      </c>
      <c r="U667" s="15">
        <v>34.340000000000003</v>
      </c>
      <c r="V667" s="15">
        <v>35.590000000000003</v>
      </c>
      <c r="W667" s="14" t="s">
        <v>277</v>
      </c>
      <c r="X667" s="14">
        <v>1</v>
      </c>
      <c r="Y667" s="10">
        <f>AC667-AB667</f>
        <v>906</v>
      </c>
      <c r="Z667" s="18">
        <v>28</v>
      </c>
      <c r="AA667" s="18">
        <v>78</v>
      </c>
      <c r="AB667" s="18">
        <v>1</v>
      </c>
      <c r="AC667" s="18">
        <v>907</v>
      </c>
      <c r="AD667" s="1" t="s">
        <v>7524</v>
      </c>
      <c r="AE667" s="1" t="s">
        <v>7525</v>
      </c>
      <c r="AF667" s="4">
        <v>5.0599999999999996</v>
      </c>
      <c r="AG667" s="4">
        <v>5.9</v>
      </c>
    </row>
    <row r="668" spans="1:33" ht="47.25" customHeight="1" x14ac:dyDescent="0.25">
      <c r="A668" s="10" t="s">
        <v>1318</v>
      </c>
      <c r="B668" s="11" t="s">
        <v>33</v>
      </c>
      <c r="C668" s="12" t="s">
        <v>1319</v>
      </c>
      <c r="D668" s="27"/>
      <c r="E668" s="14" t="s">
        <v>35</v>
      </c>
      <c r="F668" s="11" t="str">
        <f>HYPERLINK("https://redirect.sdcdeals.com/redirect?destination=https%3A%2F%2Fwww.amazon.com%2Fdp%2FB09N6BHVTC%3Fth%3D1%26psc%3D1%26tag%3Dsdcdeals03-20", "Amazon Link")</f>
        <v>Amazon Link</v>
      </c>
      <c r="G668" s="11" t="s">
        <v>36</v>
      </c>
      <c r="H668" s="14" t="s">
        <v>1320</v>
      </c>
      <c r="I668" s="11" t="str">
        <f>HYPERLINK("https://redirect.sdcdeals.com/redirect?code=763034&amp;mavely=https://mavely.app.link/e/bhESV2wGrGb&amp;destination=https%3A%2F%2Fwww.kohls.com%2Fsearch.jsp%3Fsubmit-search%3Dweb-regular%26search%3D74365583", "Retail Link")</f>
        <v>Retail Link</v>
      </c>
      <c r="J668" s="14" t="s">
        <v>1290</v>
      </c>
      <c r="K668" s="13" t="s">
        <v>1321</v>
      </c>
      <c r="L668" s="15">
        <v>18.064</v>
      </c>
      <c r="M668" s="15">
        <v>43.01</v>
      </c>
      <c r="N668" s="15">
        <v>11.154500000000001</v>
      </c>
      <c r="O668" s="15">
        <f>V668-M668</f>
        <v>0</v>
      </c>
      <c r="P668" s="16">
        <f>N668/L668</f>
        <v>0.61749889282550929</v>
      </c>
      <c r="Q668" s="14">
        <v>5499</v>
      </c>
      <c r="R668" s="14"/>
      <c r="S668" s="17">
        <v>2.4294912399999999</v>
      </c>
      <c r="T668" s="15"/>
      <c r="U668" s="15"/>
      <c r="V668" s="15">
        <v>43.01</v>
      </c>
      <c r="W668" s="14" t="s">
        <v>60</v>
      </c>
      <c r="X668" s="14"/>
      <c r="Y668" s="10">
        <f>AC668-AB668</f>
        <v>23243</v>
      </c>
      <c r="Z668" s="18">
        <v>1</v>
      </c>
      <c r="AA668" s="18">
        <v>12</v>
      </c>
      <c r="AB668" s="18">
        <v>1</v>
      </c>
      <c r="AC668" s="18">
        <v>23244</v>
      </c>
      <c r="AD668" s="1" t="s">
        <v>1322</v>
      </c>
      <c r="AE668" s="1" t="s">
        <v>1323</v>
      </c>
      <c r="AG668" s="4">
        <v>7.34</v>
      </c>
    </row>
    <row r="669" spans="1:33" ht="47.25" customHeight="1" x14ac:dyDescent="0.25">
      <c r="A669" s="10" t="s">
        <v>6160</v>
      </c>
      <c r="B669" s="11" t="s">
        <v>33</v>
      </c>
      <c r="C669" s="12" t="s">
        <v>6161</v>
      </c>
      <c r="D669" s="27"/>
      <c r="E669" s="14" t="s">
        <v>35</v>
      </c>
      <c r="F669" s="11" t="str">
        <f>HYPERLINK("https://redirect.sdcdeals.com/redirect?destination=https%3A%2F%2Fwww.amazon.com%2Fdp%2FB0CL5RK554%3Fth%3D1%26psc%3D1%26tag%3Dsdcdeals03-20", "Amazon Link")</f>
        <v>Amazon Link</v>
      </c>
      <c r="G669" s="11" t="s">
        <v>36</v>
      </c>
      <c r="H669" s="14" t="s">
        <v>6162</v>
      </c>
      <c r="I669" s="11" t="str">
        <f>HYPERLINK("https://redirect.sdcdeals.com/redirect?code=763034&amp;mavely=https://mavely.app.link/e/bhESV2wGrGb&amp;destination=https%3A%2F%2Fwww.kohls.com%2Fsearch.jsp%3Fsubmit-search%3Dweb-regular%26search%3D62953092", "Retail Link")</f>
        <v>Retail Link</v>
      </c>
      <c r="J669" s="14" t="s">
        <v>6148</v>
      </c>
      <c r="K669" s="13" t="s">
        <v>6163</v>
      </c>
      <c r="L669" s="15">
        <v>7.6000000000000014</v>
      </c>
      <c r="M669" s="15">
        <v>18.39</v>
      </c>
      <c r="N669" s="15">
        <v>4.6814999999999998</v>
      </c>
      <c r="O669" s="15">
        <f>V669-M669</f>
        <v>3.879999999999999</v>
      </c>
      <c r="P669" s="16">
        <f>N669/L669</f>
        <v>0.615986842105263</v>
      </c>
      <c r="Q669" s="14">
        <v>70317</v>
      </c>
      <c r="R669" s="14"/>
      <c r="S669" s="17">
        <v>0.39903622</v>
      </c>
      <c r="T669" s="15">
        <v>18.39</v>
      </c>
      <c r="U669" s="15">
        <v>17.46</v>
      </c>
      <c r="V669" s="15">
        <v>22.27</v>
      </c>
      <c r="W669" s="14" t="s">
        <v>3872</v>
      </c>
      <c r="X669" s="14">
        <v>14</v>
      </c>
      <c r="Y669" s="10">
        <f>AC669-AB669</f>
        <v>569</v>
      </c>
      <c r="Z669" s="18">
        <v>12</v>
      </c>
      <c r="AA669" s="18">
        <v>87</v>
      </c>
      <c r="AB669" s="18">
        <v>0</v>
      </c>
      <c r="AC669" s="18">
        <v>569</v>
      </c>
      <c r="AD669" s="1" t="s">
        <v>1452</v>
      </c>
      <c r="AE669" s="1" t="s">
        <v>6150</v>
      </c>
      <c r="AF669" s="4">
        <v>1.84</v>
      </c>
      <c r="AG669" s="4">
        <v>3.35</v>
      </c>
    </row>
    <row r="670" spans="1:33" ht="47.25" customHeight="1" x14ac:dyDescent="0.25">
      <c r="A670" s="10" t="s">
        <v>5483</v>
      </c>
      <c r="B670" s="11" t="s">
        <v>33</v>
      </c>
      <c r="C670" s="12" t="s">
        <v>5484</v>
      </c>
      <c r="D670" s="27"/>
      <c r="E670" s="14" t="s">
        <v>35</v>
      </c>
      <c r="F670" s="11" t="str">
        <f>HYPERLINK("https://redirect.sdcdeals.com/redirect?destination=https%3A%2F%2Fwww.amazon.com%2Fdp%2FB0C8BKJDN6%3Fth%3D1%26psc%3D1%26tag%3Dsdcdeals03-20", "Amazon Link")</f>
        <v>Amazon Link</v>
      </c>
      <c r="G670" s="11" t="s">
        <v>36</v>
      </c>
      <c r="H670" s="14" t="s">
        <v>5485</v>
      </c>
      <c r="I670" s="11" t="str">
        <f>HYPERLINK("https://redirect.sdcdeals.com/redirect?code=763034&amp;mavely=https://mavely.app.link/e/bhESV2wGrGb&amp;destination=https%3A%2F%2Fwww.kohls.com%2Fsearch.jsp%3Fsubmit-search%3Dweb-regular%26search%3D61160483", "Retail Link")</f>
        <v>Retail Link</v>
      </c>
      <c r="J670" s="14" t="s">
        <v>5471</v>
      </c>
      <c r="K670" s="13" t="s">
        <v>5486</v>
      </c>
      <c r="L670" s="15">
        <v>7.5439999999999996</v>
      </c>
      <c r="M670" s="15">
        <v>21.56</v>
      </c>
      <c r="N670" s="15">
        <v>4.6419999999999968</v>
      </c>
      <c r="O670" s="15">
        <f>V670-M670</f>
        <v>0.42000000000000171</v>
      </c>
      <c r="P670" s="16">
        <f>N670/L670</f>
        <v>0.61532343584305371</v>
      </c>
      <c r="Q670" s="14">
        <v>615571</v>
      </c>
      <c r="R670" s="14"/>
      <c r="S670" s="17">
        <v>0.33730685999999999</v>
      </c>
      <c r="T670" s="15"/>
      <c r="U670" s="15">
        <v>21.56</v>
      </c>
      <c r="V670" s="15">
        <v>21.98</v>
      </c>
      <c r="W670" s="14" t="s">
        <v>705</v>
      </c>
      <c r="X670" s="14">
        <v>1</v>
      </c>
      <c r="Y670" s="10">
        <f>AC670-AB670</f>
        <v>65</v>
      </c>
      <c r="Z670" s="18">
        <v>7</v>
      </c>
      <c r="AA670" s="18">
        <v>18</v>
      </c>
      <c r="AB670" s="18">
        <v>8</v>
      </c>
      <c r="AC670" s="18">
        <v>73</v>
      </c>
      <c r="AD670" s="1" t="s">
        <v>5473</v>
      </c>
      <c r="AE670" s="1" t="s">
        <v>5474</v>
      </c>
      <c r="AG670" s="4">
        <v>6.14</v>
      </c>
    </row>
    <row r="671" spans="1:33" ht="47.25" customHeight="1" x14ac:dyDescent="0.25">
      <c r="A671" s="10" t="s">
        <v>1860</v>
      </c>
      <c r="B671" s="11" t="s">
        <v>33</v>
      </c>
      <c r="C671" s="12" t="s">
        <v>1861</v>
      </c>
      <c r="D671" s="27"/>
      <c r="E671" s="14" t="s">
        <v>35</v>
      </c>
      <c r="F671" s="11" t="str">
        <f>HYPERLINK("https://redirect.sdcdeals.com/redirect?destination=https%3A%2F%2Fwww.amazon.com%2Fdp%2FB0BGVM458C%3Fth%3D1%26psc%3D1%26tag%3Dsdcdeals03-20", "Amazon Link")</f>
        <v>Amazon Link</v>
      </c>
      <c r="G671" s="11" t="s">
        <v>36</v>
      </c>
      <c r="H671" s="14" t="s">
        <v>1862</v>
      </c>
      <c r="I671" s="11" t="str">
        <f>HYPERLINK("https://redirect.sdcdeals.com/redirect?code=763034&amp;mavely=https://mavely.app.link/e/bhESV2wGrGb&amp;destination=https%3A%2F%2Fwww.kohls.com%2Fsearch.jsp%3Fsubmit-search%3Dweb-regular%26search%3D63445466", "Retail Link")</f>
        <v>Retail Link</v>
      </c>
      <c r="J671" s="14" t="s">
        <v>1856</v>
      </c>
      <c r="K671" s="13" t="s">
        <v>1863</v>
      </c>
      <c r="L671" s="15">
        <v>14.295999999999999</v>
      </c>
      <c r="M671" s="15">
        <v>34.97</v>
      </c>
      <c r="N671" s="15">
        <v>8.758499999999998</v>
      </c>
      <c r="O671" s="15">
        <f>V671-M671</f>
        <v>2.0300000000000011</v>
      </c>
      <c r="P671" s="16">
        <f>N671/L671</f>
        <v>0.61265388919977604</v>
      </c>
      <c r="Q671" s="14">
        <v>57946</v>
      </c>
      <c r="R671" s="14"/>
      <c r="S671" s="17">
        <v>0.74957079999999998</v>
      </c>
      <c r="T671" s="15">
        <v>28.64</v>
      </c>
      <c r="U671" s="15">
        <v>35.21</v>
      </c>
      <c r="V671" s="15">
        <v>37</v>
      </c>
      <c r="W671" s="14" t="s">
        <v>1864</v>
      </c>
      <c r="X671" s="14">
        <v>10</v>
      </c>
      <c r="Y671" s="10">
        <f>AC671-AB671</f>
        <v>377</v>
      </c>
      <c r="Z671" s="18">
        <v>42</v>
      </c>
      <c r="AA671" s="18">
        <v>136</v>
      </c>
      <c r="AB671" s="18">
        <v>3</v>
      </c>
      <c r="AC671" s="18">
        <v>380</v>
      </c>
      <c r="AD671" s="1" t="s">
        <v>1858</v>
      </c>
      <c r="AE671" s="1" t="s">
        <v>1865</v>
      </c>
      <c r="AF671" s="4">
        <v>5.94</v>
      </c>
      <c r="AG671" s="4">
        <v>6.67</v>
      </c>
    </row>
    <row r="672" spans="1:33" ht="47.25" hidden="1" customHeight="1" x14ac:dyDescent="0.25">
      <c r="A672" s="10" t="s">
        <v>3056</v>
      </c>
      <c r="B672" s="11" t="s">
        <v>33</v>
      </c>
      <c r="C672" s="12" t="s">
        <v>3057</v>
      </c>
      <c r="D672" s="27"/>
      <c r="E672" s="14" t="s">
        <v>35</v>
      </c>
      <c r="F672" s="11" t="str">
        <f>HYPERLINK("https://redirect.sdcdeals.com/redirect?destination=https%3A%2F%2Fwww.amazon.com%2Fdp%2FB0CF67CSZX%3Fth%3D1%26psc%3D1%26tag%3Dsdcdeals03-20", "Amazon Link")</f>
        <v>Amazon Link</v>
      </c>
      <c r="G672" s="11" t="s">
        <v>36</v>
      </c>
      <c r="H672" s="14" t="s">
        <v>3058</v>
      </c>
      <c r="I672" s="11" t="str">
        <f>HYPERLINK("https://redirect.sdcdeals.com/redirect?code=763034&amp;mavely=https://mavely.app.link/e/bhESV2wGrGb&amp;destination=https%3A%2F%2Fwww.kohls.com%2Fsearch.jsp%3Fsubmit-search%3Dweb-regular%26search%3D79091830", "Retail Link")</f>
        <v>Retail Link</v>
      </c>
      <c r="J672" s="14" t="s">
        <v>3047</v>
      </c>
      <c r="K672" s="13" t="s">
        <v>3059</v>
      </c>
      <c r="L672" s="15">
        <v>8</v>
      </c>
      <c r="M672" s="15">
        <v>22.93</v>
      </c>
      <c r="N672" s="15">
        <v>4.8905000000000012</v>
      </c>
      <c r="O672" s="15">
        <f>V672-M672</f>
        <v>5.5</v>
      </c>
      <c r="P672" s="16">
        <f>N672/L672</f>
        <v>0.61131250000000015</v>
      </c>
      <c r="Q672" s="14"/>
      <c r="R672" s="14"/>
      <c r="S672" s="17">
        <v>0.47399330000000001</v>
      </c>
      <c r="T672" s="15">
        <v>22.93</v>
      </c>
      <c r="U672" s="15">
        <v>26.02</v>
      </c>
      <c r="V672" s="15">
        <v>28.43</v>
      </c>
      <c r="W672" s="14" t="s">
        <v>3060</v>
      </c>
      <c r="X672" s="14">
        <v>8</v>
      </c>
      <c r="Y672" s="10">
        <f>AC672-AB672</f>
        <v>0</v>
      </c>
      <c r="Z672" s="18">
        <v>0</v>
      </c>
      <c r="AA672" s="18">
        <v>1</v>
      </c>
      <c r="AB672" s="18">
        <v>0</v>
      </c>
      <c r="AC672" s="18"/>
      <c r="AD672" s="1" t="s">
        <v>3061</v>
      </c>
      <c r="AE672" s="1" t="s">
        <v>1243</v>
      </c>
      <c r="AF672" s="4">
        <v>3.9</v>
      </c>
      <c r="AG672" s="4">
        <v>6.6</v>
      </c>
    </row>
    <row r="673" spans="1:33" ht="47.25" customHeight="1" x14ac:dyDescent="0.25">
      <c r="A673" s="10" t="s">
        <v>7487</v>
      </c>
      <c r="B673" s="11" t="s">
        <v>33</v>
      </c>
      <c r="C673" s="12" t="s">
        <v>7488</v>
      </c>
      <c r="D673" s="27"/>
      <c r="E673" s="14" t="s">
        <v>35</v>
      </c>
      <c r="F673" s="11" t="str">
        <f>HYPERLINK("https://redirect.sdcdeals.com/redirect?destination=https%3A%2F%2Fwww.amazon.com%2Fdp%2FB0BKR1HS6X%3Fth%3D1%26psc%3D1%26tag%3Dsdcdeals03-20", "Amazon Link")</f>
        <v>Amazon Link</v>
      </c>
      <c r="G673" s="11" t="s">
        <v>36</v>
      </c>
      <c r="H673" s="14" t="s">
        <v>7489</v>
      </c>
      <c r="I673" s="11" t="str">
        <f>HYPERLINK("https://redirect.sdcdeals.com/redirect?code=763034&amp;mavely=https://mavely.app.link/e/bhESV2wGrGb&amp;destination=https%3A%2F%2Fwww.kohls.com%2Fsearch.jsp%3Fsubmit-search%3Dweb-regular%26search%3D55628815", "Retail Link")</f>
        <v>Retail Link</v>
      </c>
      <c r="J673" s="14" t="s">
        <v>7447</v>
      </c>
      <c r="K673" s="13" t="s">
        <v>7490</v>
      </c>
      <c r="L673" s="15">
        <v>24</v>
      </c>
      <c r="M673" s="15">
        <v>60.8</v>
      </c>
      <c r="N673" s="15">
        <v>14.65</v>
      </c>
      <c r="O673" s="15">
        <f>V673-M673</f>
        <v>6.1200000000000045</v>
      </c>
      <c r="P673" s="16">
        <f>N673/L673</f>
        <v>0.61041666666666672</v>
      </c>
      <c r="Q673" s="14">
        <v>815706</v>
      </c>
      <c r="R673" s="14"/>
      <c r="S673" s="17">
        <v>1.21033638</v>
      </c>
      <c r="T673" s="15">
        <v>52.81</v>
      </c>
      <c r="U673" s="15">
        <v>67.38</v>
      </c>
      <c r="V673" s="15">
        <v>66.92</v>
      </c>
      <c r="W673" s="14" t="s">
        <v>725</v>
      </c>
      <c r="X673" s="14">
        <v>1</v>
      </c>
      <c r="Y673" s="10">
        <f>AC673-AB673</f>
        <v>9</v>
      </c>
      <c r="Z673" s="18">
        <v>6</v>
      </c>
      <c r="AA673" s="18">
        <v>22</v>
      </c>
      <c r="AB673" s="18">
        <v>0</v>
      </c>
      <c r="AC673" s="18">
        <v>9</v>
      </c>
      <c r="AD673" s="1" t="s">
        <v>7449</v>
      </c>
      <c r="AE673" s="1" t="s">
        <v>3505</v>
      </c>
      <c r="AF673" s="4">
        <v>10.34</v>
      </c>
      <c r="AG673" s="4">
        <v>13.03</v>
      </c>
    </row>
    <row r="674" spans="1:33" ht="47.25" customHeight="1" x14ac:dyDescent="0.25">
      <c r="A674" s="10" t="s">
        <v>439</v>
      </c>
      <c r="B674" s="11" t="s">
        <v>33</v>
      </c>
      <c r="C674" s="12" t="s">
        <v>440</v>
      </c>
      <c r="D674" s="27"/>
      <c r="E674" s="14" t="s">
        <v>35</v>
      </c>
      <c r="F674" s="11" t="str">
        <f>HYPERLINK("https://redirect.sdcdeals.com/redirect?destination=https%3A%2F%2Fwww.amazon.com%2Fdp%2FB0BHN4QGH7%3Fth%3D1%26psc%3D1%26tag%3Dsdcdeals03-20", "Amazon Link")</f>
        <v>Amazon Link</v>
      </c>
      <c r="G674" s="11" t="s">
        <v>36</v>
      </c>
      <c r="H674" s="14" t="s">
        <v>441</v>
      </c>
      <c r="I674" s="11" t="str">
        <f>HYPERLINK("https://redirect.sdcdeals.com/redirect?code=763034&amp;mavely=https://mavely.app.link/e/bhESV2wGrGb&amp;destination=https%3A%2F%2Fwww.kohls.com%2Fsearch.jsp%3Fsubmit-search%3Dweb-regular%26search%3D80575850", "Retail Link")</f>
        <v>Retail Link</v>
      </c>
      <c r="J674" s="14" t="s">
        <v>442</v>
      </c>
      <c r="K674" s="13" t="s">
        <v>443</v>
      </c>
      <c r="L674" s="15">
        <v>13.2</v>
      </c>
      <c r="M674" s="15">
        <v>33</v>
      </c>
      <c r="N674" s="15">
        <v>8.0400000000000027</v>
      </c>
      <c r="O674" s="15">
        <f>V674-M674</f>
        <v>4.7899999999999991</v>
      </c>
      <c r="P674" s="16">
        <f>N674/L674</f>
        <v>0.60909090909090935</v>
      </c>
      <c r="Q674" s="14">
        <v>1646652</v>
      </c>
      <c r="R674" s="14"/>
      <c r="S674" s="17">
        <v>0.88184799999999997</v>
      </c>
      <c r="T674" s="15">
        <v>28.4</v>
      </c>
      <c r="U674" s="15">
        <v>36.78</v>
      </c>
      <c r="V674" s="15">
        <v>37.79</v>
      </c>
      <c r="W674" s="14" t="s">
        <v>296</v>
      </c>
      <c r="X674" s="14">
        <v>4</v>
      </c>
      <c r="Y674" s="10">
        <f>AC674-AB674</f>
        <v>2</v>
      </c>
      <c r="Z674" s="18">
        <v>2</v>
      </c>
      <c r="AA674" s="18">
        <v>21</v>
      </c>
      <c r="AB674" s="18">
        <v>0</v>
      </c>
      <c r="AC674" s="18">
        <v>2</v>
      </c>
      <c r="AD674" s="1" t="s">
        <v>444</v>
      </c>
      <c r="AE674" s="1" t="s">
        <v>445</v>
      </c>
      <c r="AF674" s="4">
        <v>5.61</v>
      </c>
      <c r="AG674" s="4">
        <v>6.81</v>
      </c>
    </row>
    <row r="675" spans="1:33" ht="47.25" customHeight="1" x14ac:dyDescent="0.25">
      <c r="A675" s="10" t="s">
        <v>4166</v>
      </c>
      <c r="B675" s="11" t="s">
        <v>33</v>
      </c>
      <c r="C675" s="12" t="s">
        <v>4167</v>
      </c>
      <c r="D675" s="27"/>
      <c r="E675" s="14" t="s">
        <v>35</v>
      </c>
      <c r="F675" s="11" t="str">
        <f>HYPERLINK("https://redirect.sdcdeals.com/redirect?destination=https%3A%2F%2Fwww.amazon.com%2Fdp%2FB09JL1DTP6%3Fth%3D1%26psc%3D1%26tag%3Dsdcdeals03-20", "Amazon Link")</f>
        <v>Amazon Link</v>
      </c>
      <c r="G675" s="11" t="s">
        <v>36</v>
      </c>
      <c r="H675" s="14" t="s">
        <v>4168</v>
      </c>
      <c r="I675" s="11" t="str">
        <f>HYPERLINK("https://redirect.sdcdeals.com/redirect?code=763034&amp;mavely=https://mavely.app.link/e/bhESV2wGrGb&amp;destination=https%3A%2F%2Fwww.kohls.com%2Fsearch.jsp%3Fsubmit-search%3Dweb-regular%26search%3D46611740", "Retail Link")</f>
        <v>Retail Link</v>
      </c>
      <c r="J675" s="14" t="s">
        <v>4157</v>
      </c>
      <c r="K675" s="13" t="s">
        <v>4169</v>
      </c>
      <c r="L675" s="15">
        <v>15.6</v>
      </c>
      <c r="M675" s="15">
        <v>38.979999999999997</v>
      </c>
      <c r="N675" s="15">
        <v>9.4929999999999968</v>
      </c>
      <c r="O675" s="15">
        <f>V675-M675</f>
        <v>3.3000000000000043</v>
      </c>
      <c r="P675" s="16">
        <f>N675/L675</f>
        <v>0.60852564102564088</v>
      </c>
      <c r="Q675" s="14">
        <v>59628</v>
      </c>
      <c r="R675" s="14"/>
      <c r="S675" s="17">
        <v>0.83775560000000004</v>
      </c>
      <c r="T675" s="15">
        <v>30.6</v>
      </c>
      <c r="U675" s="15">
        <v>41.04</v>
      </c>
      <c r="V675" s="15">
        <v>42.28</v>
      </c>
      <c r="W675" s="14" t="s">
        <v>330</v>
      </c>
      <c r="X675" s="14">
        <v>17</v>
      </c>
      <c r="Y675" s="10">
        <f>AC675-AB675</f>
        <v>185</v>
      </c>
      <c r="Z675" s="18">
        <v>31</v>
      </c>
      <c r="AA675" s="18">
        <v>89</v>
      </c>
      <c r="AB675" s="18">
        <v>3</v>
      </c>
      <c r="AC675" s="18">
        <v>188</v>
      </c>
      <c r="AD675" s="1" t="s">
        <v>4160</v>
      </c>
      <c r="AE675" s="1" t="s">
        <v>4161</v>
      </c>
      <c r="AF675" s="4">
        <v>6.62</v>
      </c>
      <c r="AG675" s="4">
        <v>8.0399999999999991</v>
      </c>
    </row>
    <row r="676" spans="1:33" ht="47.25" customHeight="1" x14ac:dyDescent="0.25">
      <c r="A676" s="10" t="s">
        <v>5010</v>
      </c>
      <c r="B676" s="11" t="s">
        <v>33</v>
      </c>
      <c r="C676" s="12" t="s">
        <v>5011</v>
      </c>
      <c r="D676" s="27"/>
      <c r="E676" s="14" t="s">
        <v>35</v>
      </c>
      <c r="F676" s="11" t="str">
        <f>HYPERLINK("https://redirect.sdcdeals.com/redirect?destination=https%3A%2F%2Fwww.amazon.com%2Fdp%2FB088P451TP%3Fth%3D1%26psc%3D1%26tag%3Dsdcdeals03-20", "Amazon Link")</f>
        <v>Amazon Link</v>
      </c>
      <c r="G676" s="11" t="s">
        <v>36</v>
      </c>
      <c r="H676" s="14" t="s">
        <v>5012</v>
      </c>
      <c r="I676" s="11" t="str">
        <f>HYPERLINK("https://redirect.sdcdeals.com/redirect?code=763034&amp;mavely=https://mavely.app.link/e/bhESV2wGrGb&amp;destination=https%3A%2F%2Fwww.kohls.com%2Fsearch.jsp%3Fsubmit-search%3Dweb-regular%26search%3D75104122", "Retail Link")</f>
        <v>Retail Link</v>
      </c>
      <c r="J676" s="14" t="s">
        <v>5013</v>
      </c>
      <c r="K676" s="13" t="s">
        <v>5014</v>
      </c>
      <c r="L676" s="15">
        <v>16.8</v>
      </c>
      <c r="M676" s="15">
        <v>39.01</v>
      </c>
      <c r="N676" s="15">
        <v>10.218500000000001</v>
      </c>
      <c r="O676" s="15">
        <f>V676-M676</f>
        <v>9.9600000000000009</v>
      </c>
      <c r="P676" s="16">
        <f>N676/L676</f>
        <v>0.6082440476190476</v>
      </c>
      <c r="Q676" s="14">
        <v>1275753</v>
      </c>
      <c r="R676" s="14"/>
      <c r="S676" s="17">
        <v>0.33069300000000001</v>
      </c>
      <c r="T676" s="15">
        <v>30.1</v>
      </c>
      <c r="U676" s="15">
        <v>45.37</v>
      </c>
      <c r="V676" s="15">
        <v>48.97</v>
      </c>
      <c r="W676" s="14" t="s">
        <v>60</v>
      </c>
      <c r="X676" s="14">
        <v>5</v>
      </c>
      <c r="Y676" s="10">
        <f>AC676-AB676</f>
        <v>21</v>
      </c>
      <c r="Z676" s="18">
        <v>3</v>
      </c>
      <c r="AA676" s="18">
        <v>29</v>
      </c>
      <c r="AB676" s="18">
        <v>0</v>
      </c>
      <c r="AC676" s="18">
        <v>21</v>
      </c>
      <c r="AD676" s="1" t="s">
        <v>5015</v>
      </c>
      <c r="AE676" s="1" t="s">
        <v>278</v>
      </c>
      <c r="AF676" s="4">
        <v>6.64</v>
      </c>
      <c r="AG676" s="4">
        <v>6.14</v>
      </c>
    </row>
    <row r="677" spans="1:33" ht="47.25" customHeight="1" x14ac:dyDescent="0.25">
      <c r="A677" s="10" t="s">
        <v>2181</v>
      </c>
      <c r="B677" s="11" t="s">
        <v>33</v>
      </c>
      <c r="C677" s="12" t="s">
        <v>2182</v>
      </c>
      <c r="D677" s="27"/>
      <c r="E677" s="14" t="s">
        <v>35</v>
      </c>
      <c r="F677" s="11" t="str">
        <f>HYPERLINK("https://redirect.sdcdeals.com/redirect?destination=https%3A%2F%2Fwww.amazon.com%2Fdp%2FB08FV9FKQN%3Fth%3D1%26psc%3D1%26tag%3Dsdcdeals03-20", "Amazon Link")</f>
        <v>Amazon Link</v>
      </c>
      <c r="G677" s="11" t="s">
        <v>36</v>
      </c>
      <c r="H677" s="14" t="s">
        <v>2183</v>
      </c>
      <c r="I677" s="11" t="str">
        <f>HYPERLINK("https://redirect.sdcdeals.com/redirect?code=763034&amp;mavely=https://mavely.app.link/e/bhESV2wGrGb&amp;destination=https%3A%2F%2Fwww.kohls.com%2Fsearch.jsp%3Fsubmit-search%3Dweb-regular%26search%3D18896060", "Retail Link")</f>
        <v>Retail Link</v>
      </c>
      <c r="J677" s="14" t="s">
        <v>2173</v>
      </c>
      <c r="K677" s="13" t="s">
        <v>2184</v>
      </c>
      <c r="L677" s="15">
        <v>15.4</v>
      </c>
      <c r="M677" s="15">
        <v>35.979999999999997</v>
      </c>
      <c r="N677" s="15">
        <v>9.3629999999999942</v>
      </c>
      <c r="O677" s="15">
        <f>V677-M677</f>
        <v>3.3200000000000003</v>
      </c>
      <c r="P677" s="16">
        <f>N677/L677</f>
        <v>0.60798701298701263</v>
      </c>
      <c r="Q677" s="14">
        <v>16913</v>
      </c>
      <c r="R677" s="14"/>
      <c r="S677" s="17">
        <v>0.39903622</v>
      </c>
      <c r="T677" s="15">
        <v>28.03</v>
      </c>
      <c r="U677" s="15">
        <v>39.28</v>
      </c>
      <c r="V677" s="15">
        <v>39.299999999999997</v>
      </c>
      <c r="W677" s="14" t="s">
        <v>385</v>
      </c>
      <c r="X677" s="14">
        <v>2</v>
      </c>
      <c r="Y677" s="10">
        <f>AC677-AB677</f>
        <v>1222</v>
      </c>
      <c r="Z677" s="18">
        <v>51</v>
      </c>
      <c r="AA677" s="18">
        <v>105</v>
      </c>
      <c r="AB677" s="18">
        <v>3</v>
      </c>
      <c r="AC677" s="18">
        <v>1225</v>
      </c>
      <c r="AD677" s="1" t="s">
        <v>2175</v>
      </c>
      <c r="AE677" s="1" t="s">
        <v>2185</v>
      </c>
      <c r="AF677" s="4">
        <v>6.12</v>
      </c>
      <c r="AG677" s="4">
        <v>5.82</v>
      </c>
    </row>
    <row r="678" spans="1:33" ht="47.25" hidden="1" customHeight="1" x14ac:dyDescent="0.25">
      <c r="A678" s="10" t="s">
        <v>5265</v>
      </c>
      <c r="B678" s="11" t="s">
        <v>33</v>
      </c>
      <c r="C678" s="12" t="s">
        <v>5266</v>
      </c>
      <c r="D678" s="27"/>
      <c r="E678" s="14" t="s">
        <v>35</v>
      </c>
      <c r="F678" s="11" t="str">
        <f>HYPERLINK("https://redirect.sdcdeals.com/redirect?destination=https%3A%2F%2Fwww.amazon.com%2Fdp%2FB0CZY2ZGND%3Fth%3D1%26psc%3D1%26tag%3Dsdcdeals03-20", "Amazon Link")</f>
        <v>Amazon Link</v>
      </c>
      <c r="G678" s="11" t="s">
        <v>36</v>
      </c>
      <c r="H678" s="14" t="s">
        <v>5267</v>
      </c>
      <c r="I678" s="11" t="str">
        <f>HYPERLINK("https://redirect.sdcdeals.com/redirect?code=763034&amp;mavely=https://mavely.app.link/e/bhESV2wGrGb&amp;destination=https%3A%2F%2Fwww.kohls.com%2Fsearch.jsp%3Fsubmit-search%3Dweb-regular%26search%3D61543738", "Retail Link")</f>
        <v>Retail Link</v>
      </c>
      <c r="J678" s="14" t="s">
        <v>5268</v>
      </c>
      <c r="K678" s="13" t="s">
        <v>5269</v>
      </c>
      <c r="L678" s="15">
        <v>54</v>
      </c>
      <c r="M678" s="15">
        <v>120.8</v>
      </c>
      <c r="N678" s="15">
        <v>32.609999999999992</v>
      </c>
      <c r="O678" s="15">
        <f>V678-M678</f>
        <v>88.61</v>
      </c>
      <c r="P678" s="16">
        <f>N678/L678</f>
        <v>0.6038888888888887</v>
      </c>
      <c r="Q678" s="14"/>
      <c r="R678" s="14"/>
      <c r="S678" s="17">
        <v>3.00048782</v>
      </c>
      <c r="T678" s="15">
        <v>112.85</v>
      </c>
      <c r="U678" s="15">
        <v>209.41</v>
      </c>
      <c r="V678" s="15">
        <v>209.41</v>
      </c>
      <c r="W678" s="14" t="s">
        <v>296</v>
      </c>
      <c r="X678" s="14">
        <v>1</v>
      </c>
      <c r="Y678" s="10">
        <f>AC678-AB678</f>
        <v>0</v>
      </c>
      <c r="Z678" s="18">
        <v>-1</v>
      </c>
      <c r="AA678" s="18">
        <v>-1</v>
      </c>
      <c r="AB678" s="18"/>
      <c r="AC678" s="18"/>
      <c r="AD678" s="1" t="s">
        <v>5270</v>
      </c>
      <c r="AE678" s="1" t="s">
        <v>76</v>
      </c>
      <c r="AF678" s="4">
        <v>20.54</v>
      </c>
      <c r="AG678" s="4">
        <v>16.07</v>
      </c>
    </row>
    <row r="679" spans="1:33" ht="47.25" hidden="1" customHeight="1" x14ac:dyDescent="0.25">
      <c r="A679" s="10" t="s">
        <v>5271</v>
      </c>
      <c r="B679" s="11" t="s">
        <v>33</v>
      </c>
      <c r="C679" s="12" t="s">
        <v>5272</v>
      </c>
      <c r="D679" s="27"/>
      <c r="E679" s="14" t="s">
        <v>35</v>
      </c>
      <c r="F679" s="11" t="str">
        <f>HYPERLINK("https://redirect.sdcdeals.com/redirect?destination=https%3A%2F%2Fwww.amazon.com%2Fdp%2FB0CZY2M19H%3Fth%3D1%26psc%3D1%26tag%3Dsdcdeals03-20", "Amazon Link")</f>
        <v>Amazon Link</v>
      </c>
      <c r="G679" s="11" t="s">
        <v>36</v>
      </c>
      <c r="H679" s="14" t="s">
        <v>5273</v>
      </c>
      <c r="I679" s="11" t="str">
        <f>HYPERLINK("https://redirect.sdcdeals.com/redirect?code=763034&amp;mavely=https://mavely.app.link/e/bhESV2wGrGb&amp;destination=https%3A%2F%2Fwww.kohls.com%2Fsearch.jsp%3Fsubmit-search%3Dweb-regular%26search%3D61543742", "Retail Link")</f>
        <v>Retail Link</v>
      </c>
      <c r="J679" s="14" t="s">
        <v>5268</v>
      </c>
      <c r="K679" s="13" t="s">
        <v>5274</v>
      </c>
      <c r="L679" s="15">
        <v>54</v>
      </c>
      <c r="M679" s="15">
        <v>120.8</v>
      </c>
      <c r="N679" s="15">
        <v>32.609999999999992</v>
      </c>
      <c r="O679" s="15">
        <f>V679-M679</f>
        <v>21.209999999999994</v>
      </c>
      <c r="P679" s="16">
        <f>N679/L679</f>
        <v>0.6038888888888887</v>
      </c>
      <c r="Q679" s="14"/>
      <c r="R679" s="14"/>
      <c r="S679" s="17">
        <v>3.00048782</v>
      </c>
      <c r="T679" s="15">
        <v>112.85</v>
      </c>
      <c r="U679" s="15">
        <v>142.01</v>
      </c>
      <c r="V679" s="15">
        <v>142.01</v>
      </c>
      <c r="W679" s="14" t="s">
        <v>3378</v>
      </c>
      <c r="X679" s="14">
        <v>1</v>
      </c>
      <c r="Y679" s="10">
        <f>AC679-AB679</f>
        <v>0</v>
      </c>
      <c r="Z679" s="18">
        <v>-1</v>
      </c>
      <c r="AA679" s="18">
        <v>-1</v>
      </c>
      <c r="AB679" s="18"/>
      <c r="AC679" s="18"/>
      <c r="AD679" s="1" t="s">
        <v>5275</v>
      </c>
      <c r="AE679" s="1" t="s">
        <v>1490</v>
      </c>
      <c r="AF679" s="4">
        <v>20.54</v>
      </c>
      <c r="AG679" s="4">
        <v>16.07</v>
      </c>
    </row>
    <row r="680" spans="1:33" ht="47.25" customHeight="1" x14ac:dyDescent="0.25">
      <c r="A680" s="10" t="s">
        <v>3694</v>
      </c>
      <c r="B680" s="11" t="s">
        <v>33</v>
      </c>
      <c r="C680" s="12" t="s">
        <v>3695</v>
      </c>
      <c r="D680" s="27"/>
      <c r="E680" s="14" t="s">
        <v>35</v>
      </c>
      <c r="F680" s="11" t="str">
        <f>HYPERLINK("https://redirect.sdcdeals.com/redirect?destination=https%3A%2F%2Fwww.amazon.com%2Fdp%2FB0C8FWS2LY%3Fth%3D1%26psc%3D1%26tag%3Dsdcdeals03-20", "Amazon Link")</f>
        <v>Amazon Link</v>
      </c>
      <c r="G680" s="11" t="s">
        <v>36</v>
      </c>
      <c r="H680" s="14" t="s">
        <v>3696</v>
      </c>
      <c r="I680" s="11" t="str">
        <f>HYPERLINK("https://redirect.sdcdeals.com/redirect?code=763034&amp;mavely=https://mavely.app.link/e/bhESV2wGrGb&amp;destination=https%3A%2F%2Fwww.kohls.com%2Fsearch.jsp%3Fsubmit-search%3Dweb-regular%26search%3D74734552", "Retail Link")</f>
        <v>Retail Link</v>
      </c>
      <c r="J680" s="14" t="s">
        <v>3669</v>
      </c>
      <c r="K680" s="13" t="s">
        <v>3697</v>
      </c>
      <c r="L680" s="15">
        <v>45</v>
      </c>
      <c r="M680" s="15">
        <v>106</v>
      </c>
      <c r="N680" s="15">
        <v>27.13</v>
      </c>
      <c r="O680" s="15">
        <f>V680-M680</f>
        <v>65.97</v>
      </c>
      <c r="P680" s="16">
        <f>N680/L680</f>
        <v>0.60288888888888892</v>
      </c>
      <c r="Q680" s="14">
        <v>3885274</v>
      </c>
      <c r="R680" s="14"/>
      <c r="S680" s="17">
        <v>2.0899797599999999</v>
      </c>
      <c r="T680" s="15">
        <v>98.05</v>
      </c>
      <c r="U680" s="15">
        <v>190.78</v>
      </c>
      <c r="V680" s="15">
        <v>171.97</v>
      </c>
      <c r="W680" s="14" t="s">
        <v>1822</v>
      </c>
      <c r="X680" s="14">
        <v>3</v>
      </c>
      <c r="Y680" s="10">
        <f>AC680-AB680</f>
        <v>1</v>
      </c>
      <c r="Z680" s="18">
        <v>1</v>
      </c>
      <c r="AA680" s="18">
        <v>4</v>
      </c>
      <c r="AB680" s="18">
        <v>0</v>
      </c>
      <c r="AC680" s="18">
        <v>1</v>
      </c>
      <c r="AE680" s="1" t="s">
        <v>3676</v>
      </c>
      <c r="AF680" s="4">
        <v>18.02</v>
      </c>
      <c r="AG680" s="4">
        <v>17.97</v>
      </c>
    </row>
    <row r="681" spans="1:33" ht="47.25" customHeight="1" x14ac:dyDescent="0.25">
      <c r="A681" s="10" t="s">
        <v>6403</v>
      </c>
      <c r="B681" s="11" t="s">
        <v>33</v>
      </c>
      <c r="C681" s="12" t="s">
        <v>6404</v>
      </c>
      <c r="D681" s="27"/>
      <c r="E681" s="14" t="s">
        <v>35</v>
      </c>
      <c r="F681" s="11" t="str">
        <f>HYPERLINK("https://redirect.sdcdeals.com/redirect?destination=https%3A%2F%2Fwww.amazon.com%2Fdp%2FB0874WH925%3Fth%3D1%26psc%3D1%26tag%3Dsdcdeals03-20", "Amazon Link")</f>
        <v>Amazon Link</v>
      </c>
      <c r="G681" s="11" t="s">
        <v>36</v>
      </c>
      <c r="H681" s="14" t="s">
        <v>6405</v>
      </c>
      <c r="I681" s="11" t="str">
        <f>HYPERLINK("https://redirect.sdcdeals.com/redirect?code=763034&amp;mavely=https://mavely.app.link/e/bhESV2wGrGb&amp;destination=https%3A%2F%2Fwww.kohls.com%2Fsearch.jsp%3Fsubmit-search%3Dweb-regular%26search%3D62652820", "Retail Link")</f>
        <v>Retail Link</v>
      </c>
      <c r="J681" s="14" t="s">
        <v>6406</v>
      </c>
      <c r="K681" s="13" t="s">
        <v>6407</v>
      </c>
      <c r="L681" s="15">
        <v>14</v>
      </c>
      <c r="M681" s="15">
        <v>33.22</v>
      </c>
      <c r="N681" s="15">
        <v>8.416999999999998</v>
      </c>
      <c r="O681" s="15">
        <f>V681-M681</f>
        <v>-1.0300000000000011</v>
      </c>
      <c r="P681" s="16">
        <f>N681/L681</f>
        <v>0.60121428571428559</v>
      </c>
      <c r="Q681" s="14">
        <v>9608</v>
      </c>
      <c r="R681" s="14">
        <v>200</v>
      </c>
      <c r="S681" s="17">
        <v>0.39903622</v>
      </c>
      <c r="T681" s="15">
        <v>32.880000000000003</v>
      </c>
      <c r="U681" s="15">
        <v>27.69</v>
      </c>
      <c r="V681" s="15">
        <v>32.19</v>
      </c>
      <c r="W681" s="14" t="s">
        <v>269</v>
      </c>
      <c r="X681" s="14">
        <v>11</v>
      </c>
      <c r="Y681" s="10">
        <f>AC681-AB681</f>
        <v>4324</v>
      </c>
      <c r="Z681" s="18">
        <v>92</v>
      </c>
      <c r="AA681" s="18">
        <v>232</v>
      </c>
      <c r="AB681" s="18">
        <v>104</v>
      </c>
      <c r="AC681" s="18">
        <v>4428</v>
      </c>
      <c r="AD681" s="1" t="s">
        <v>6408</v>
      </c>
      <c r="AE681" s="1" t="s">
        <v>2017</v>
      </c>
      <c r="AF681" s="4">
        <v>5.65</v>
      </c>
      <c r="AG681" s="4">
        <v>5.82</v>
      </c>
    </row>
    <row r="682" spans="1:33" ht="47.25" customHeight="1" x14ac:dyDescent="0.25">
      <c r="A682" s="10" t="s">
        <v>312</v>
      </c>
      <c r="B682" s="11" t="s">
        <v>33</v>
      </c>
      <c r="C682" s="12" t="s">
        <v>313</v>
      </c>
      <c r="D682" s="27"/>
      <c r="E682" s="14" t="s">
        <v>35</v>
      </c>
      <c r="F682" s="11" t="str">
        <f>HYPERLINK("https://redirect.sdcdeals.com/redirect?destination=https%3A%2F%2Fwww.amazon.com%2Fdp%2FB0BLZTWNBJ%3Fth%3D1%26psc%3D1%26tag%3Dsdcdeals03-20", "Amazon Link")</f>
        <v>Amazon Link</v>
      </c>
      <c r="G682" s="11" t="s">
        <v>36</v>
      </c>
      <c r="H682" s="14" t="s">
        <v>314</v>
      </c>
      <c r="I682" s="11" t="str">
        <f>HYPERLINK("https://redirect.sdcdeals.com/redirect?code=763034&amp;mavely=https://mavely.app.link/e/bhESV2wGrGb&amp;destination=https%3A%2F%2Fwww.kohls.com%2Fsearch.jsp%3Fsubmit-search%3Dweb-regular%26search%3D65185971", "Retail Link")</f>
        <v>Retail Link</v>
      </c>
      <c r="J682" s="14" t="s">
        <v>294</v>
      </c>
      <c r="K682" s="13" t="s">
        <v>315</v>
      </c>
      <c r="L682" s="15">
        <v>11.192</v>
      </c>
      <c r="M682" s="15">
        <v>27.98</v>
      </c>
      <c r="N682" s="15">
        <v>6.7210000000000001</v>
      </c>
      <c r="O682" s="15">
        <f>V682-M682</f>
        <v>1.5700000000000003</v>
      </c>
      <c r="P682" s="16">
        <f>N682/L682</f>
        <v>0.60051822730521798</v>
      </c>
      <c r="Q682" s="14">
        <v>100566</v>
      </c>
      <c r="R682" s="14"/>
      <c r="S682" s="17">
        <v>0.14991415999999999</v>
      </c>
      <c r="T682" s="15">
        <v>22.99</v>
      </c>
      <c r="U682" s="15">
        <v>29.12</v>
      </c>
      <c r="V682" s="15">
        <v>29.55</v>
      </c>
      <c r="W682" s="14" t="s">
        <v>316</v>
      </c>
      <c r="X682" s="14">
        <v>2</v>
      </c>
      <c r="Y682" s="10">
        <f>AC682-AB682</f>
        <v>70</v>
      </c>
      <c r="Z682" s="18">
        <v>12</v>
      </c>
      <c r="AA682" s="18">
        <v>39</v>
      </c>
      <c r="AB682" s="18">
        <v>7</v>
      </c>
      <c r="AC682" s="18">
        <v>77</v>
      </c>
      <c r="AF682" s="4">
        <v>4.2</v>
      </c>
      <c r="AG682" s="4">
        <v>5.87</v>
      </c>
    </row>
    <row r="683" spans="1:33" ht="47.25" customHeight="1" x14ac:dyDescent="0.25">
      <c r="A683" s="10" t="s">
        <v>1484</v>
      </c>
      <c r="B683" s="11" t="s">
        <v>33</v>
      </c>
      <c r="C683" s="12" t="s">
        <v>1485</v>
      </c>
      <c r="D683" s="27"/>
      <c r="E683" s="14" t="s">
        <v>35</v>
      </c>
      <c r="F683" s="11" t="str">
        <f>HYPERLINK("https://redirect.sdcdeals.com/redirect?destination=https%3A%2F%2Fwww.amazon.com%2Fdp%2FB08F2Z1517%3Fth%3D1%26psc%3D1%26tag%3Dsdcdeals03-20", "Amazon Link")</f>
        <v>Amazon Link</v>
      </c>
      <c r="G683" s="11" t="s">
        <v>36</v>
      </c>
      <c r="H683" s="14" t="s">
        <v>1486</v>
      </c>
      <c r="I683" s="11" t="str">
        <f>HYPERLINK("https://redirect.sdcdeals.com/redirect?code=763034&amp;mavely=https://mavely.app.link/e/bhESV2wGrGb&amp;destination=https%3A%2F%2Fwww.kohls.com%2Fsearch.jsp%3Fsubmit-search%3Dweb-regular%26search%3D73153819", "Retail Link")</f>
        <v>Retail Link</v>
      </c>
      <c r="J683" s="14" t="s">
        <v>1487</v>
      </c>
      <c r="K683" s="13" t="s">
        <v>1488</v>
      </c>
      <c r="L683" s="15">
        <v>4.16</v>
      </c>
      <c r="M683" s="15">
        <v>14.15</v>
      </c>
      <c r="N683" s="15">
        <v>2.4975000000000001</v>
      </c>
      <c r="O683" s="15">
        <f>V683-M683</f>
        <v>-3.1500000000000004</v>
      </c>
      <c r="P683" s="16">
        <f>N683/L683</f>
        <v>0.60036057692307687</v>
      </c>
      <c r="Q683" s="14">
        <v>294805</v>
      </c>
      <c r="R683" s="14"/>
      <c r="S683" s="17">
        <v>1.0934915199999999</v>
      </c>
      <c r="T683" s="15">
        <v>14.15</v>
      </c>
      <c r="U683" s="15">
        <v>10.6</v>
      </c>
      <c r="V683" s="15">
        <v>11</v>
      </c>
      <c r="W683" s="14" t="s">
        <v>106</v>
      </c>
      <c r="X683" s="14">
        <v>2</v>
      </c>
      <c r="Y683" s="10">
        <f>AC683-AB683</f>
        <v>32</v>
      </c>
      <c r="Z683" s="18">
        <v>6</v>
      </c>
      <c r="AA683" s="18">
        <v>28</v>
      </c>
      <c r="AB683" s="18"/>
      <c r="AC683" s="18">
        <v>32</v>
      </c>
      <c r="AD683" s="1" t="s">
        <v>1489</v>
      </c>
      <c r="AE683" s="1" t="s">
        <v>1490</v>
      </c>
      <c r="AF683" s="4">
        <v>2.12</v>
      </c>
      <c r="AG683" s="4">
        <v>5.37</v>
      </c>
    </row>
    <row r="684" spans="1:33" ht="47.25" customHeight="1" x14ac:dyDescent="0.25">
      <c r="A684" s="10" t="s">
        <v>380</v>
      </c>
      <c r="B684" s="11" t="s">
        <v>33</v>
      </c>
      <c r="C684" s="12" t="s">
        <v>381</v>
      </c>
      <c r="D684" s="27"/>
      <c r="E684" s="14" t="s">
        <v>35</v>
      </c>
      <c r="F684" s="11" t="str">
        <f>HYPERLINK("https://redirect.sdcdeals.com/redirect?destination=https%3A%2F%2Fwww.amazon.com%2Fdp%2FB0BNSJT4WZ%3Fth%3D1%26psc%3D1%26tag%3Dsdcdeals03-20", "Amazon Link")</f>
        <v>Amazon Link</v>
      </c>
      <c r="G684" s="11" t="s">
        <v>36</v>
      </c>
      <c r="H684" s="14" t="s">
        <v>382</v>
      </c>
      <c r="I684" s="11" t="str">
        <f>HYPERLINK("https://redirect.sdcdeals.com/redirect?code=763034&amp;mavely=https://mavely.app.link/e/bhESV2wGrGb&amp;destination=https%3A%2F%2Fwww.kohls.com%2Fsearch.jsp%3Fsubmit-search%3Dweb-regular%26search%3D59029163", "Retail Link")</f>
        <v>Retail Link</v>
      </c>
      <c r="J684" s="14" t="s">
        <v>383</v>
      </c>
      <c r="K684" s="13" t="s">
        <v>384</v>
      </c>
      <c r="L684" s="15">
        <v>18.2</v>
      </c>
      <c r="M684" s="15">
        <v>41.2</v>
      </c>
      <c r="N684" s="15">
        <v>10.920000000000011</v>
      </c>
      <c r="O684" s="15">
        <f>V684-M684</f>
        <v>-14.440000000000001</v>
      </c>
      <c r="P684" s="16">
        <f>N684/L684</f>
        <v>0.60000000000000064</v>
      </c>
      <c r="Q684" s="14">
        <v>517471</v>
      </c>
      <c r="R684" s="14"/>
      <c r="S684" s="17">
        <v>0.22046199999999999</v>
      </c>
      <c r="T684" s="15">
        <v>33.25</v>
      </c>
      <c r="U684" s="15">
        <v>29.07</v>
      </c>
      <c r="V684" s="15">
        <v>26.76</v>
      </c>
      <c r="W684" s="14" t="s">
        <v>385</v>
      </c>
      <c r="X684" s="14">
        <v>3</v>
      </c>
      <c r="Y684" s="10">
        <f>AC684-AB684</f>
        <v>1</v>
      </c>
      <c r="Z684" s="18">
        <v>8</v>
      </c>
      <c r="AA684" s="18">
        <v>22</v>
      </c>
      <c r="AB684" s="18">
        <v>0</v>
      </c>
      <c r="AC684" s="18">
        <v>1</v>
      </c>
      <c r="AD684" s="1" t="s">
        <v>386</v>
      </c>
      <c r="AE684" s="1" t="s">
        <v>387</v>
      </c>
      <c r="AF684" s="4">
        <v>7.01</v>
      </c>
      <c r="AG684" s="4">
        <v>5.9</v>
      </c>
    </row>
    <row r="685" spans="1:33" ht="47.25" customHeight="1" x14ac:dyDescent="0.25">
      <c r="A685" s="10" t="s">
        <v>1661</v>
      </c>
      <c r="B685" s="11" t="s">
        <v>33</v>
      </c>
      <c r="C685" s="12" t="s">
        <v>1662</v>
      </c>
      <c r="D685" s="27"/>
      <c r="E685" s="14" t="s">
        <v>35</v>
      </c>
      <c r="F685" s="11" t="str">
        <f>HYPERLINK("https://redirect.sdcdeals.com/redirect?destination=https%3A%2F%2Fwww.amazon.com%2Fdp%2FB0BFV5CTTQ%3Fth%3D1%26psc%3D1%26tag%3Dsdcdeals03-20", "Amazon Link")</f>
        <v>Amazon Link</v>
      </c>
      <c r="G685" s="11" t="s">
        <v>36</v>
      </c>
      <c r="H685" s="14" t="s">
        <v>1663</v>
      </c>
      <c r="I685" s="11" t="str">
        <f>HYPERLINK("https://redirect.sdcdeals.com/redirect?code=763034&amp;mavely=https://mavely.app.link/e/bhESV2wGrGb&amp;destination=https%3A%2F%2Fwww.kohls.com%2Fsearch.jsp%3Fsubmit-search%3Dweb-regular%26search%3D71786084", "Retail Link")</f>
        <v>Retail Link</v>
      </c>
      <c r="J685" s="14" t="s">
        <v>1614</v>
      </c>
      <c r="K685" s="13" t="s">
        <v>1664</v>
      </c>
      <c r="L685" s="15">
        <v>44.095999999999997</v>
      </c>
      <c r="M685" s="15">
        <v>99.58</v>
      </c>
      <c r="N685" s="15">
        <v>26.376999999999999</v>
      </c>
      <c r="O685" s="15">
        <f>V685-M685</f>
        <v>16.850000000000009</v>
      </c>
      <c r="P685" s="16">
        <f>N685/L685</f>
        <v>0.59817216981132082</v>
      </c>
      <c r="Q685" s="14">
        <v>2197019</v>
      </c>
      <c r="R685" s="14"/>
      <c r="S685" s="17">
        <v>1.75046828</v>
      </c>
      <c r="T685" s="15">
        <v>99.58</v>
      </c>
      <c r="U685" s="15">
        <v>119.35</v>
      </c>
      <c r="V685" s="15">
        <v>116.43</v>
      </c>
      <c r="W685" s="14" t="s">
        <v>277</v>
      </c>
      <c r="X685" s="14">
        <v>1</v>
      </c>
      <c r="Y685" s="10">
        <f>AC685-AB685</f>
        <v>2</v>
      </c>
      <c r="Z685" s="18">
        <v>2</v>
      </c>
      <c r="AA685" s="18">
        <v>3</v>
      </c>
      <c r="AB685" s="18">
        <v>0</v>
      </c>
      <c r="AC685" s="18">
        <v>2</v>
      </c>
      <c r="AD685" s="1" t="s">
        <v>1616</v>
      </c>
      <c r="AE685" s="1" t="s">
        <v>1627</v>
      </c>
      <c r="AF685" s="4">
        <v>16.93</v>
      </c>
      <c r="AG685" s="4">
        <v>14.17</v>
      </c>
    </row>
    <row r="686" spans="1:33" ht="47.25" customHeight="1" x14ac:dyDescent="0.25">
      <c r="A686" s="10" t="s">
        <v>7360</v>
      </c>
      <c r="B686" s="11" t="s">
        <v>33</v>
      </c>
      <c r="C686" s="12" t="s">
        <v>7361</v>
      </c>
      <c r="D686" s="27"/>
      <c r="E686" s="14" t="s">
        <v>35</v>
      </c>
      <c r="F686" s="11" t="str">
        <f>HYPERLINK("https://redirect.sdcdeals.com/redirect?destination=https%3A%2F%2Fwww.amazon.com%2Fdp%2FB0CH6GWFV9%3Fth%3D1%26psc%3D1%26tag%3Dsdcdeals03-20", "Amazon Link")</f>
        <v>Amazon Link</v>
      </c>
      <c r="G686" s="11" t="s">
        <v>36</v>
      </c>
      <c r="H686" s="14" t="s">
        <v>7362</v>
      </c>
      <c r="I686" s="11" t="str">
        <f>HYPERLINK("https://redirect.sdcdeals.com/redirect?code=763034&amp;mavely=https://mavely.app.link/e/bhESV2wGrGb&amp;destination=https%3A%2F%2Fwww.kohls.com%2Fsearch.jsp%3Fsubmit-search%3Dweb-regular%26search%3D49598801", "Retail Link")</f>
        <v>Retail Link</v>
      </c>
      <c r="J686" s="14" t="s">
        <v>7357</v>
      </c>
      <c r="K686" s="13" t="s">
        <v>7363</v>
      </c>
      <c r="L686" s="15">
        <v>16.8</v>
      </c>
      <c r="M686" s="15">
        <v>39.869999999999997</v>
      </c>
      <c r="N686" s="15">
        <v>10.009499999999999</v>
      </c>
      <c r="O686" s="15">
        <f>V686-M686</f>
        <v>-5.6499999999999986</v>
      </c>
      <c r="P686" s="16">
        <f>N686/L686</f>
        <v>0.59580357142857132</v>
      </c>
      <c r="Q686" s="14">
        <v>4409386</v>
      </c>
      <c r="R686" s="14"/>
      <c r="S686" s="17">
        <v>0.72972921999999996</v>
      </c>
      <c r="T686" s="15">
        <v>39.869999999999997</v>
      </c>
      <c r="U686" s="15">
        <v>37.76</v>
      </c>
      <c r="V686" s="15">
        <v>34.22</v>
      </c>
      <c r="W686" s="14" t="s">
        <v>671</v>
      </c>
      <c r="X686" s="14">
        <v>4</v>
      </c>
      <c r="Y686" s="10">
        <f>AC686-AB686</f>
        <v>0</v>
      </c>
      <c r="Z686" s="18">
        <v>0</v>
      </c>
      <c r="AA686" s="18">
        <v>3</v>
      </c>
      <c r="AB686" s="18"/>
      <c r="AC686" s="18"/>
      <c r="AD686" s="1" t="s">
        <v>7359</v>
      </c>
      <c r="AE686" s="1" t="s">
        <v>76</v>
      </c>
      <c r="AF686" s="4">
        <v>6.78</v>
      </c>
      <c r="AG686" s="4">
        <v>7.08</v>
      </c>
    </row>
    <row r="687" spans="1:33" ht="47.25" customHeight="1" x14ac:dyDescent="0.25">
      <c r="A687" s="10" t="s">
        <v>1671</v>
      </c>
      <c r="B687" s="11" t="s">
        <v>33</v>
      </c>
      <c r="C687" s="12" t="s">
        <v>1672</v>
      </c>
      <c r="D687" s="27"/>
      <c r="E687" s="14" t="s">
        <v>35</v>
      </c>
      <c r="F687" s="11" t="str">
        <f>HYPERLINK("https://redirect.sdcdeals.com/redirect?destination=https%3A%2F%2Fwww.amazon.com%2Fdp%2FB0B11PSW38%3Fth%3D1%26psc%3D1%26tag%3Dsdcdeals03-20", "Amazon Link")</f>
        <v>Amazon Link</v>
      </c>
      <c r="G687" s="11" t="s">
        <v>36</v>
      </c>
      <c r="H687" s="14" t="s">
        <v>1673</v>
      </c>
      <c r="I687" s="11" t="str">
        <f>HYPERLINK("https://redirect.sdcdeals.com/redirect?code=763034&amp;mavely=https://mavely.app.link/e/bhESV2wGrGb&amp;destination=https%3A%2F%2Fwww.kohls.com%2Fsearch.jsp%3Fsubmit-search%3Dweb-regular%26search%3D37342261", "Retail Link")</f>
        <v>Retail Link</v>
      </c>
      <c r="J687" s="14" t="s">
        <v>1668</v>
      </c>
      <c r="K687" s="13" t="s">
        <v>1674</v>
      </c>
      <c r="L687" s="15">
        <v>9.5200000000000014</v>
      </c>
      <c r="M687" s="15">
        <v>23.89</v>
      </c>
      <c r="N687" s="15">
        <v>5.6664999999999974</v>
      </c>
      <c r="O687" s="15">
        <f>V687-M687</f>
        <v>-2.8300000000000018</v>
      </c>
      <c r="P687" s="16">
        <f>N687/L687</f>
        <v>0.59522058823529378</v>
      </c>
      <c r="Q687" s="14">
        <v>1115319</v>
      </c>
      <c r="R687" s="14"/>
      <c r="S687" s="17">
        <v>0.32187452</v>
      </c>
      <c r="T687" s="15">
        <v>23.89</v>
      </c>
      <c r="U687" s="15"/>
      <c r="V687" s="15">
        <v>21.06</v>
      </c>
      <c r="W687" s="14" t="s">
        <v>269</v>
      </c>
      <c r="X687" s="14">
        <v>2</v>
      </c>
      <c r="Y687" s="10">
        <f>AC687-AB687</f>
        <v>17</v>
      </c>
      <c r="Z687" s="18">
        <v>8</v>
      </c>
      <c r="AA687" s="18">
        <v>26</v>
      </c>
      <c r="AB687" s="18">
        <v>0</v>
      </c>
      <c r="AC687" s="18">
        <v>17</v>
      </c>
      <c r="AD687" s="1" t="s">
        <v>1670</v>
      </c>
      <c r="AE687" s="1" t="s">
        <v>1675</v>
      </c>
      <c r="AG687" s="4">
        <v>5.12</v>
      </c>
    </row>
    <row r="688" spans="1:33" ht="47.25" customHeight="1" x14ac:dyDescent="0.25">
      <c r="A688" s="10" t="s">
        <v>3743</v>
      </c>
      <c r="B688" s="11" t="s">
        <v>33</v>
      </c>
      <c r="C688" s="12" t="s">
        <v>3744</v>
      </c>
      <c r="D688" s="27"/>
      <c r="E688" s="14" t="s">
        <v>35</v>
      </c>
      <c r="F688" s="11" t="str">
        <f>HYPERLINK("https://redirect.sdcdeals.com/redirect?destination=https%3A%2F%2Fwww.amazon.com%2Fdp%2FB0CH74NFF8%3Fth%3D1%26psc%3D1%26tag%3Dsdcdeals03-20", "Amazon Link")</f>
        <v>Amazon Link</v>
      </c>
      <c r="G688" s="11" t="s">
        <v>36</v>
      </c>
      <c r="H688" s="14" t="s">
        <v>3745</v>
      </c>
      <c r="I688" s="11" t="str">
        <f>HYPERLINK("https://redirect.sdcdeals.com/redirect?code=763034&amp;mavely=https://mavely.app.link/e/bhESV2wGrGb&amp;destination=https%3A%2F%2Fwww.kohls.com%2Fsearch.jsp%3Fsubmit-search%3Dweb-regular%26search%3D65548353", "Retail Link")</f>
        <v>Retail Link</v>
      </c>
      <c r="J688" s="14" t="s">
        <v>3741</v>
      </c>
      <c r="K688" s="13" t="s">
        <v>3746</v>
      </c>
      <c r="L688" s="15">
        <v>9.6000000000000014</v>
      </c>
      <c r="M688" s="15">
        <v>24.95</v>
      </c>
      <c r="N688" s="15">
        <v>5.7074999999999978</v>
      </c>
      <c r="O688" s="15">
        <f>V688-M688</f>
        <v>-1.5799999999999983</v>
      </c>
      <c r="P688" s="16">
        <f>N688/L688</f>
        <v>0.59453124999999973</v>
      </c>
      <c r="Q688" s="14">
        <v>8598018</v>
      </c>
      <c r="R688" s="14"/>
      <c r="S688" s="17"/>
      <c r="T688" s="15">
        <v>19.47</v>
      </c>
      <c r="U688" s="15">
        <v>25.55</v>
      </c>
      <c r="V688" s="15">
        <v>23.37</v>
      </c>
      <c r="W688" s="14" t="s">
        <v>613</v>
      </c>
      <c r="X688" s="14">
        <v>3</v>
      </c>
      <c r="Y688" s="10">
        <f>AC688-AB688</f>
        <v>0</v>
      </c>
      <c r="Z688" s="18">
        <v>0</v>
      </c>
      <c r="AA688" s="18">
        <v>1</v>
      </c>
      <c r="AB688" s="18"/>
      <c r="AC688" s="18"/>
      <c r="AE688" s="1" t="s">
        <v>3747</v>
      </c>
      <c r="AF688" s="4">
        <v>4.24</v>
      </c>
      <c r="AG688" s="4">
        <v>5.9</v>
      </c>
    </row>
    <row r="689" spans="1:33" ht="47.25" customHeight="1" x14ac:dyDescent="0.25">
      <c r="A689" s="10" t="s">
        <v>6177</v>
      </c>
      <c r="B689" s="11" t="s">
        <v>33</v>
      </c>
      <c r="C689" s="12" t="s">
        <v>6178</v>
      </c>
      <c r="D689" s="27"/>
      <c r="E689" s="14" t="s">
        <v>35</v>
      </c>
      <c r="F689" s="11" t="str">
        <f>HYPERLINK("https://redirect.sdcdeals.com/redirect?destination=https%3A%2F%2Fwww.amazon.com%2Fdp%2FB0BGVDG323%3Fth%3D1%26psc%3D1%26tag%3Dsdcdeals03-20", "Amazon Link")</f>
        <v>Amazon Link</v>
      </c>
      <c r="G689" s="11" t="s">
        <v>36</v>
      </c>
      <c r="H689" s="14" t="s">
        <v>6179</v>
      </c>
      <c r="I689" s="11" t="str">
        <f>HYPERLINK("https://redirect.sdcdeals.com/redirect?code=763034&amp;mavely=https://mavely.app.link/e/bhESV2wGrGb&amp;destination=https%3A%2F%2Fwww.kohls.com%2Fsearch.jsp%3Fsubmit-search%3Dweb-regular%26search%3D73050719", "Retail Link")</f>
        <v>Retail Link</v>
      </c>
      <c r="J689" s="14" t="s">
        <v>6180</v>
      </c>
      <c r="K689" s="13" t="s">
        <v>6181</v>
      </c>
      <c r="L689" s="15">
        <v>13.2</v>
      </c>
      <c r="M689" s="15">
        <v>33</v>
      </c>
      <c r="N689" s="15">
        <v>7.8300000000000018</v>
      </c>
      <c r="O689" s="15">
        <f>V689-M689</f>
        <v>4.8900000000000006</v>
      </c>
      <c r="P689" s="16">
        <f>N689/L689</f>
        <v>0.59318181818181837</v>
      </c>
      <c r="Q689" s="14">
        <v>115801</v>
      </c>
      <c r="R689" s="14"/>
      <c r="S689" s="17">
        <v>1.21033638</v>
      </c>
      <c r="T689" s="15">
        <v>33</v>
      </c>
      <c r="U689" s="15">
        <v>37.56</v>
      </c>
      <c r="V689" s="15">
        <v>37.89</v>
      </c>
      <c r="W689" s="14" t="s">
        <v>106</v>
      </c>
      <c r="X689" s="14">
        <v>6</v>
      </c>
      <c r="Y689" s="10">
        <f>AC689-AB689</f>
        <v>178</v>
      </c>
      <c r="Z689" s="18">
        <v>16</v>
      </c>
      <c r="AA689" s="18">
        <v>67</v>
      </c>
      <c r="AB689" s="18">
        <v>0</v>
      </c>
      <c r="AC689" s="18">
        <v>178</v>
      </c>
      <c r="AD689" s="1" t="s">
        <v>6182</v>
      </c>
      <c r="AE689" s="1" t="s">
        <v>6183</v>
      </c>
      <c r="AF689" s="4">
        <v>5.61</v>
      </c>
      <c r="AG689" s="4">
        <v>7.02</v>
      </c>
    </row>
    <row r="690" spans="1:33" ht="47.25" customHeight="1" x14ac:dyDescent="0.25">
      <c r="A690" s="10" t="s">
        <v>4846</v>
      </c>
      <c r="B690" s="11" t="s">
        <v>33</v>
      </c>
      <c r="C690" s="12" t="s">
        <v>4847</v>
      </c>
      <c r="D690" s="27"/>
      <c r="E690" s="14" t="s">
        <v>35</v>
      </c>
      <c r="F690" s="11" t="str">
        <f>HYPERLINK("https://redirect.sdcdeals.com/redirect?destination=https%3A%2F%2Fwww.amazon.com%2Fdp%2FB078MNRXZC%3Fth%3D1%26psc%3D1%26tag%3Dsdcdeals03-20", "Amazon Link")</f>
        <v>Amazon Link</v>
      </c>
      <c r="G690" s="11" t="s">
        <v>36</v>
      </c>
      <c r="H690" s="14" t="s">
        <v>4848</v>
      </c>
      <c r="I690" s="11" t="str">
        <f>HYPERLINK("https://redirect.sdcdeals.com/redirect?code=763034&amp;mavely=https://mavely.app.link/e/bhESV2wGrGb&amp;destination=https%3A%2F%2Fwww.kohls.com%2Fsearch.jsp%3Fsubmit-search%3Dweb-regular%26search%3D20872339", "Retail Link")</f>
        <v>Retail Link</v>
      </c>
      <c r="J690" s="14" t="s">
        <v>4843</v>
      </c>
      <c r="K690" s="13" t="s">
        <v>4849</v>
      </c>
      <c r="L690" s="15">
        <v>15.896000000000001</v>
      </c>
      <c r="M690" s="15">
        <v>36.64</v>
      </c>
      <c r="N690" s="15">
        <v>9.4279999999999973</v>
      </c>
      <c r="O690" s="15">
        <f>V690-M690</f>
        <v>8.4399999999999977</v>
      </c>
      <c r="P690" s="16">
        <f>N690/L690</f>
        <v>0.59310518369401088</v>
      </c>
      <c r="Q690" s="14">
        <v>1174</v>
      </c>
      <c r="R690" s="14"/>
      <c r="S690" s="17">
        <v>1.34040896</v>
      </c>
      <c r="T690" s="15">
        <v>36.64</v>
      </c>
      <c r="U690" s="15">
        <v>43.45</v>
      </c>
      <c r="V690" s="15">
        <v>45.08</v>
      </c>
      <c r="W690" s="14" t="s">
        <v>100</v>
      </c>
      <c r="X690" s="14">
        <v>2</v>
      </c>
      <c r="Y690" s="10">
        <f>AC690-AB690</f>
        <v>968</v>
      </c>
      <c r="Z690" s="18">
        <v>51</v>
      </c>
      <c r="AA690" s="18">
        <v>89</v>
      </c>
      <c r="AB690" s="18">
        <v>13</v>
      </c>
      <c r="AC690" s="18">
        <v>981</v>
      </c>
      <c r="AD690" s="1" t="s">
        <v>4850</v>
      </c>
      <c r="AE690" s="1" t="s">
        <v>4851</v>
      </c>
      <c r="AG690" s="4">
        <v>5.82</v>
      </c>
    </row>
    <row r="691" spans="1:33" ht="47.25" customHeight="1" x14ac:dyDescent="0.25">
      <c r="A691" s="10" t="s">
        <v>5257</v>
      </c>
      <c r="B691" s="11" t="s">
        <v>33</v>
      </c>
      <c r="C691" s="12" t="s">
        <v>5258</v>
      </c>
      <c r="D691" s="27"/>
      <c r="E691" s="14" t="s">
        <v>35</v>
      </c>
      <c r="F691" s="11" t="str">
        <f>HYPERLINK("https://redirect.sdcdeals.com/redirect?destination=https%3A%2F%2Fwww.amazon.com%2Fdp%2FB093G5Z45J%3Fth%3D1%26psc%3D1%26tag%3Dsdcdeals03-20", "Amazon Link")</f>
        <v>Amazon Link</v>
      </c>
      <c r="G691" s="11" t="s">
        <v>36</v>
      </c>
      <c r="H691" s="14" t="s">
        <v>5259</v>
      </c>
      <c r="I691" s="11" t="str">
        <f>HYPERLINK("https://redirect.sdcdeals.com/redirect?code=763034&amp;mavely=https://mavely.app.link/e/bhESV2wGrGb&amp;destination=https%3A%2F%2Fwww.kohls.com%2Fsearch.jsp%3Fsubmit-search%3Dweb-regular%26search%3D67183669", "Retail Link")</f>
        <v>Retail Link</v>
      </c>
      <c r="J691" s="14" t="s">
        <v>5206</v>
      </c>
      <c r="K691" s="13" t="s">
        <v>5260</v>
      </c>
      <c r="L691" s="15">
        <v>8.4</v>
      </c>
      <c r="M691" s="15">
        <v>22.68</v>
      </c>
      <c r="N691" s="15">
        <v>4.977999999999998</v>
      </c>
      <c r="O691" s="15">
        <f>V691-M691</f>
        <v>-3.5500000000000007</v>
      </c>
      <c r="P691" s="16">
        <f>N691/L691</f>
        <v>0.59261904761904738</v>
      </c>
      <c r="Q691" s="14">
        <v>109351</v>
      </c>
      <c r="R691" s="14"/>
      <c r="S691" s="17">
        <v>0.25353130000000001</v>
      </c>
      <c r="T691" s="15">
        <v>17</v>
      </c>
      <c r="U691" s="15">
        <v>23.14</v>
      </c>
      <c r="V691" s="15">
        <v>19.13</v>
      </c>
      <c r="W691" s="14" t="s">
        <v>40</v>
      </c>
      <c r="X691" s="14">
        <v>4</v>
      </c>
      <c r="Y691" s="10">
        <f>AC691-AB691</f>
        <v>111</v>
      </c>
      <c r="Z691" s="18">
        <v>34</v>
      </c>
      <c r="AA691" s="18">
        <v>86</v>
      </c>
      <c r="AB691" s="18">
        <v>7</v>
      </c>
      <c r="AC691" s="18">
        <v>118</v>
      </c>
      <c r="AD691" s="1" t="s">
        <v>5208</v>
      </c>
      <c r="AE691" s="1" t="s">
        <v>76</v>
      </c>
      <c r="AF691" s="4">
        <v>3.86</v>
      </c>
      <c r="AG691" s="4">
        <v>5.9</v>
      </c>
    </row>
    <row r="692" spans="1:33" ht="47.25" customHeight="1" x14ac:dyDescent="0.25">
      <c r="A692" s="10" t="s">
        <v>397</v>
      </c>
      <c r="B692" s="11" t="s">
        <v>33</v>
      </c>
      <c r="C692" s="12" t="s">
        <v>398</v>
      </c>
      <c r="D692" s="27"/>
      <c r="E692" s="14" t="s">
        <v>35</v>
      </c>
      <c r="F692" s="11" t="str">
        <f>HYPERLINK("https://redirect.sdcdeals.com/redirect?destination=https%3A%2F%2Fwww.amazon.com%2Fdp%2FB0BNSMJH82%3Fth%3D1%26psc%3D1%26tag%3Dsdcdeals03-20", "Amazon Link")</f>
        <v>Amazon Link</v>
      </c>
      <c r="G692" s="11" t="s">
        <v>36</v>
      </c>
      <c r="H692" s="14" t="s">
        <v>399</v>
      </c>
      <c r="I692" s="11" t="str">
        <f>HYPERLINK("https://redirect.sdcdeals.com/redirect?code=763034&amp;mavely=https://mavely.app.link/e/bhESV2wGrGb&amp;destination=https%3A%2F%2Fwww.kohls.com%2Fsearch.jsp%3Fsubmit-search%3Dweb-regular%26search%3D59029172", "Retail Link")</f>
        <v>Retail Link</v>
      </c>
      <c r="J692" s="14" t="s">
        <v>383</v>
      </c>
      <c r="K692" s="13" t="s">
        <v>400</v>
      </c>
      <c r="L692" s="15">
        <v>18.2</v>
      </c>
      <c r="M692" s="15">
        <v>41.2</v>
      </c>
      <c r="N692" s="15">
        <v>10.68</v>
      </c>
      <c r="O692" s="15">
        <f>V692-M692</f>
        <v>-0.5</v>
      </c>
      <c r="P692" s="16">
        <f>N692/L692</f>
        <v>0.58681318681318684</v>
      </c>
      <c r="Q692" s="14">
        <v>517471</v>
      </c>
      <c r="R692" s="14"/>
      <c r="S692" s="17">
        <v>0.26014515999999999</v>
      </c>
      <c r="T692" s="15">
        <v>33.25</v>
      </c>
      <c r="U692" s="15">
        <v>39.86</v>
      </c>
      <c r="V692" s="15">
        <v>40.700000000000003</v>
      </c>
      <c r="W692" s="14" t="s">
        <v>379</v>
      </c>
      <c r="X692" s="14">
        <v>3</v>
      </c>
      <c r="Y692" s="10">
        <f>AC692-AB692</f>
        <v>1</v>
      </c>
      <c r="Z692" s="18">
        <v>9</v>
      </c>
      <c r="AA692" s="18">
        <v>22</v>
      </c>
      <c r="AB692" s="18">
        <v>0</v>
      </c>
      <c r="AC692" s="18">
        <v>1</v>
      </c>
      <c r="AD692" s="1" t="s">
        <v>386</v>
      </c>
      <c r="AE692" s="1" t="s">
        <v>387</v>
      </c>
      <c r="AF692" s="4">
        <v>7.01</v>
      </c>
      <c r="AG692" s="4">
        <v>6.14</v>
      </c>
    </row>
    <row r="693" spans="1:33" ht="47.25" customHeight="1" x14ac:dyDescent="0.25">
      <c r="A693" s="10" t="s">
        <v>5316</v>
      </c>
      <c r="B693" s="11" t="s">
        <v>33</v>
      </c>
      <c r="C693" s="12" t="s">
        <v>5317</v>
      </c>
      <c r="D693" s="27"/>
      <c r="E693" s="14" t="s">
        <v>35</v>
      </c>
      <c r="F693" s="11" t="str">
        <f>HYPERLINK("https://redirect.sdcdeals.com/redirect?destination=https%3A%2F%2Fwww.amazon.com%2Fdp%2FB0019ZP9EM%3Fth%3D1%26psc%3D1%26tag%3Dsdcdeals03-20", "Amazon Link")</f>
        <v>Amazon Link</v>
      </c>
      <c r="G693" s="11" t="s">
        <v>36</v>
      </c>
      <c r="H693" s="14" t="s">
        <v>5318</v>
      </c>
      <c r="I693" s="11" t="str">
        <f>HYPERLINK("https://redirect.sdcdeals.com/redirect?code=763034&amp;mavely=https://mavely.app.link/e/bhESV2wGrGb&amp;destination=https%3A%2F%2Fwww.kohls.com%2Fsearch.jsp%3Fsubmit-search%3Dweb-regular%26search%3D73123642", "Retail Link")</f>
        <v>Retail Link</v>
      </c>
      <c r="J693" s="14" t="s">
        <v>5312</v>
      </c>
      <c r="K693" s="13" t="s">
        <v>5319</v>
      </c>
      <c r="L693" s="15">
        <v>7.4319999999999986</v>
      </c>
      <c r="M693" s="15">
        <v>20.99</v>
      </c>
      <c r="N693" s="15">
        <v>4.3595000000000006</v>
      </c>
      <c r="O693" s="15">
        <f>V693-M693</f>
        <v>5.5400000000000027</v>
      </c>
      <c r="P693" s="16">
        <f>N693/L693</f>
        <v>0.58658503767491943</v>
      </c>
      <c r="Q693" s="14">
        <v>21404</v>
      </c>
      <c r="R693" s="14"/>
      <c r="S693" s="17">
        <v>1.1904948</v>
      </c>
      <c r="T693" s="15">
        <v>20.99</v>
      </c>
      <c r="U693" s="15">
        <v>25.77</v>
      </c>
      <c r="V693" s="15">
        <v>26.53</v>
      </c>
      <c r="W693" s="14" t="s">
        <v>106</v>
      </c>
      <c r="X693" s="14">
        <v>9</v>
      </c>
      <c r="Y693" s="10">
        <f>AC693-AB693</f>
        <v>5110</v>
      </c>
      <c r="Z693" s="18">
        <v>13</v>
      </c>
      <c r="AA693" s="18">
        <v>40</v>
      </c>
      <c r="AB693" s="18">
        <v>28</v>
      </c>
      <c r="AC693" s="18">
        <v>5138</v>
      </c>
      <c r="AD693" s="1" t="s">
        <v>5314</v>
      </c>
      <c r="AE693" s="1" t="s">
        <v>5315</v>
      </c>
      <c r="AF693" s="4">
        <v>3.15</v>
      </c>
      <c r="AG693" s="4">
        <v>6.05</v>
      </c>
    </row>
    <row r="694" spans="1:33" ht="47.25" customHeight="1" x14ac:dyDescent="0.25">
      <c r="A694" s="10" t="s">
        <v>7354</v>
      </c>
      <c r="B694" s="11" t="s">
        <v>33</v>
      </c>
      <c r="C694" s="12" t="s">
        <v>7355</v>
      </c>
      <c r="D694" s="27"/>
      <c r="E694" s="14" t="s">
        <v>35</v>
      </c>
      <c r="F694" s="11" t="str">
        <f>HYPERLINK("https://redirect.sdcdeals.com/redirect?destination=https%3A%2F%2Fwww.amazon.com%2Fdp%2FB0CH6FCQHN%3Fth%3D1%26psc%3D1%26tag%3Dsdcdeals03-20", "Amazon Link")</f>
        <v>Amazon Link</v>
      </c>
      <c r="G694" s="11" t="s">
        <v>36</v>
      </c>
      <c r="H694" s="14" t="s">
        <v>7356</v>
      </c>
      <c r="I694" s="11" t="str">
        <f>HYPERLINK("https://redirect.sdcdeals.com/redirect?code=763034&amp;mavely=https://mavely.app.link/e/bhESV2wGrGb&amp;destination=https%3A%2F%2Fwww.kohls.com%2Fsearch.jsp%3Fsubmit-search%3Dweb-regular%26search%3D49598800", "Retail Link")</f>
        <v>Retail Link</v>
      </c>
      <c r="J694" s="14" t="s">
        <v>7357</v>
      </c>
      <c r="K694" s="13" t="s">
        <v>7358</v>
      </c>
      <c r="L694" s="15">
        <v>16.8</v>
      </c>
      <c r="M694" s="15">
        <v>39.869999999999997</v>
      </c>
      <c r="N694" s="15">
        <v>9.8494999999999955</v>
      </c>
      <c r="O694" s="15">
        <f>V694-M694</f>
        <v>-6.1699999999999946</v>
      </c>
      <c r="P694" s="16">
        <f>N694/L694</f>
        <v>0.58627976190476161</v>
      </c>
      <c r="Q694" s="14">
        <v>4402912</v>
      </c>
      <c r="R694" s="14"/>
      <c r="S694" s="17">
        <v>0.65918138000000004</v>
      </c>
      <c r="T694" s="15">
        <v>39.869999999999997</v>
      </c>
      <c r="U694" s="15">
        <v>36.71</v>
      </c>
      <c r="V694" s="15">
        <v>33.700000000000003</v>
      </c>
      <c r="W694" s="14" t="s">
        <v>234</v>
      </c>
      <c r="X694" s="14">
        <v>1</v>
      </c>
      <c r="Y694" s="10">
        <f>AC694-AB694</f>
        <v>0</v>
      </c>
      <c r="Z694" s="18">
        <v>0</v>
      </c>
      <c r="AA694" s="18">
        <v>3</v>
      </c>
      <c r="AB694" s="18"/>
      <c r="AC694" s="18"/>
      <c r="AD694" s="1" t="s">
        <v>7359</v>
      </c>
      <c r="AE694" s="1" t="s">
        <v>76</v>
      </c>
      <c r="AF694" s="4">
        <v>6.78</v>
      </c>
      <c r="AG694" s="4">
        <v>7.24</v>
      </c>
    </row>
    <row r="695" spans="1:33" ht="47.25" customHeight="1" x14ac:dyDescent="0.25">
      <c r="A695" s="10" t="s">
        <v>7364</v>
      </c>
      <c r="B695" s="11" t="s">
        <v>33</v>
      </c>
      <c r="C695" s="12" t="s">
        <v>7365</v>
      </c>
      <c r="D695" s="27"/>
      <c r="E695" s="14" t="s">
        <v>35</v>
      </c>
      <c r="F695" s="11" t="str">
        <f>HYPERLINK("https://redirect.sdcdeals.com/redirect?destination=https%3A%2F%2Fwww.amazon.com%2Fdp%2FB0CH6F2VK9%3Fth%3D1%26psc%3D1%26tag%3Dsdcdeals03-20", "Amazon Link")</f>
        <v>Amazon Link</v>
      </c>
      <c r="G695" s="11" t="s">
        <v>36</v>
      </c>
      <c r="H695" s="14" t="s">
        <v>7366</v>
      </c>
      <c r="I695" s="11" t="str">
        <f>HYPERLINK("https://redirect.sdcdeals.com/redirect?code=763034&amp;mavely=https://mavely.app.link/e/bhESV2wGrGb&amp;destination=https%3A%2F%2Fwww.kohls.com%2Fsearch.jsp%3Fsubmit-search%3Dweb-regular%26search%3D49598802", "Retail Link")</f>
        <v>Retail Link</v>
      </c>
      <c r="J695" s="14" t="s">
        <v>7357</v>
      </c>
      <c r="K695" s="13" t="s">
        <v>7367</v>
      </c>
      <c r="L695" s="15">
        <v>16.8</v>
      </c>
      <c r="M695" s="15">
        <v>39.869999999999997</v>
      </c>
      <c r="N695" s="15">
        <v>9.8494999999999955</v>
      </c>
      <c r="O695" s="15">
        <f>V695-M695</f>
        <v>-5.6400000000000006</v>
      </c>
      <c r="P695" s="16">
        <f>N695/L695</f>
        <v>0.58627976190476161</v>
      </c>
      <c r="Q695" s="14">
        <v>4402912</v>
      </c>
      <c r="R695" s="14"/>
      <c r="S695" s="17">
        <v>0.76941238000000001</v>
      </c>
      <c r="T695" s="15">
        <v>39.869999999999997</v>
      </c>
      <c r="U695" s="15">
        <v>37.729999999999997</v>
      </c>
      <c r="V695" s="15">
        <v>34.229999999999997</v>
      </c>
      <c r="W695" s="14" t="s">
        <v>1811</v>
      </c>
      <c r="X695" s="14">
        <v>3</v>
      </c>
      <c r="Y695" s="10">
        <f>AC695-AB695</f>
        <v>0</v>
      </c>
      <c r="Z695" s="18">
        <v>0</v>
      </c>
      <c r="AA695" s="18">
        <v>3</v>
      </c>
      <c r="AB695" s="18"/>
      <c r="AC695" s="18"/>
      <c r="AD695" s="1" t="s">
        <v>7359</v>
      </c>
      <c r="AE695" s="1" t="s">
        <v>76</v>
      </c>
      <c r="AF695" s="4">
        <v>6.78</v>
      </c>
      <c r="AG695" s="4">
        <v>7.24</v>
      </c>
    </row>
    <row r="696" spans="1:33" ht="47.25" customHeight="1" x14ac:dyDescent="0.25">
      <c r="A696" s="10" t="s">
        <v>4758</v>
      </c>
      <c r="B696" s="11" t="s">
        <v>33</v>
      </c>
      <c r="C696" s="12" t="s">
        <v>4759</v>
      </c>
      <c r="D696" s="27"/>
      <c r="E696" s="14" t="s">
        <v>35</v>
      </c>
      <c r="F696" s="11" t="str">
        <f>HYPERLINK("https://redirect.sdcdeals.com/redirect?destination=https%3A%2F%2Fwww.amazon.com%2Fdp%2FB09Z386GL3%3Fth%3D1%26psc%3D1%26tag%3Dsdcdeals03-20", "Amazon Link")</f>
        <v>Amazon Link</v>
      </c>
      <c r="G696" s="11" t="s">
        <v>36</v>
      </c>
      <c r="H696" s="14" t="s">
        <v>4760</v>
      </c>
      <c r="I696" s="11" t="str">
        <f>HYPERLINK("https://redirect.sdcdeals.com/redirect?code=763034&amp;mavely=https://mavely.app.link/e/bhESV2wGrGb&amp;destination=https%3A%2F%2Fwww.kohls.com%2Fsearch.jsp%3Fsubmit-search%3Dweb-regular%26search%3D34141603", "Retail Link")</f>
        <v>Retail Link</v>
      </c>
      <c r="J696" s="14" t="s">
        <v>4761</v>
      </c>
      <c r="K696" s="13" t="s">
        <v>4762</v>
      </c>
      <c r="L696" s="15">
        <v>13</v>
      </c>
      <c r="M696" s="15">
        <v>30.25</v>
      </c>
      <c r="N696" s="15">
        <v>7.5924999999999976</v>
      </c>
      <c r="O696" s="15">
        <f>V696-M696</f>
        <v>-1.5</v>
      </c>
      <c r="P696" s="16">
        <f>N696/L696</f>
        <v>0.5840384615384614</v>
      </c>
      <c r="Q696" s="14">
        <v>302017</v>
      </c>
      <c r="R696" s="14"/>
      <c r="S696" s="17">
        <v>0.44092399999999998</v>
      </c>
      <c r="T696" s="15">
        <v>30.25</v>
      </c>
      <c r="U696" s="15">
        <v>32.99</v>
      </c>
      <c r="V696" s="15">
        <v>28.75</v>
      </c>
      <c r="W696" s="14" t="s">
        <v>290</v>
      </c>
      <c r="X696" s="14">
        <v>4</v>
      </c>
      <c r="Y696" s="10">
        <f>AC696-AB696</f>
        <v>9</v>
      </c>
      <c r="Z696" s="18">
        <v>16</v>
      </c>
      <c r="AA696" s="18">
        <v>47</v>
      </c>
      <c r="AB696" s="18">
        <v>0</v>
      </c>
      <c r="AC696" s="18">
        <v>9</v>
      </c>
      <c r="AD696" s="1" t="s">
        <v>4763</v>
      </c>
      <c r="AE696" s="1" t="s">
        <v>2603</v>
      </c>
      <c r="AF696" s="4">
        <v>5.15</v>
      </c>
      <c r="AG696" s="4">
        <v>5.12</v>
      </c>
    </row>
    <row r="697" spans="1:33" ht="47.25" customHeight="1" x14ac:dyDescent="0.25">
      <c r="A697" s="10" t="s">
        <v>517</v>
      </c>
      <c r="B697" s="11" t="s">
        <v>33</v>
      </c>
      <c r="C697" s="12" t="s">
        <v>518</v>
      </c>
      <c r="D697" s="27"/>
      <c r="E697" s="14" t="s">
        <v>35</v>
      </c>
      <c r="F697" s="11" t="str">
        <f>HYPERLINK("https://redirect.sdcdeals.com/redirect?destination=https%3A%2F%2Fwww.amazon.com%2Fdp%2FB0BNT7ZYK8%3Fth%3D1%26psc%3D1%26tag%3Dsdcdeals03-20", "Amazon Link")</f>
        <v>Amazon Link</v>
      </c>
      <c r="G697" s="11" t="s">
        <v>36</v>
      </c>
      <c r="H697" s="14" t="s">
        <v>519</v>
      </c>
      <c r="I697" s="11" t="str">
        <f>HYPERLINK("https://redirect.sdcdeals.com/redirect?code=763034&amp;mavely=https://mavely.app.link/e/bhESV2wGrGb&amp;destination=https%3A%2F%2Fwww.kohls.com%2Fsearch.jsp%3Fsubmit-search%3Dweb-regular%26search%3D76784482", "Retail Link")</f>
        <v>Retail Link</v>
      </c>
      <c r="J697" s="14" t="s">
        <v>505</v>
      </c>
      <c r="K697" s="13" t="s">
        <v>520</v>
      </c>
      <c r="L697" s="15">
        <v>19.600000000000001</v>
      </c>
      <c r="M697" s="15">
        <v>43.35</v>
      </c>
      <c r="N697" s="15">
        <v>11.3475</v>
      </c>
      <c r="O697" s="15">
        <f>V697-M697</f>
        <v>-1.3700000000000045</v>
      </c>
      <c r="P697" s="16">
        <f>N697/L697</f>
        <v>0.57895408163265305</v>
      </c>
      <c r="Q697" s="14">
        <v>1359101</v>
      </c>
      <c r="R697" s="14"/>
      <c r="S697" s="17">
        <v>0.31085141999999999</v>
      </c>
      <c r="T697" s="15">
        <v>43.35</v>
      </c>
      <c r="U697" s="15">
        <v>42.1</v>
      </c>
      <c r="V697" s="15">
        <v>41.98</v>
      </c>
      <c r="W697" s="14" t="s">
        <v>385</v>
      </c>
      <c r="X697" s="14">
        <v>4</v>
      </c>
      <c r="Y697" s="10">
        <f>AC697-AB697</f>
        <v>5</v>
      </c>
      <c r="Z697" s="18">
        <v>7</v>
      </c>
      <c r="AA697" s="18">
        <v>17</v>
      </c>
      <c r="AB697" s="18">
        <v>0</v>
      </c>
      <c r="AC697" s="18">
        <v>5</v>
      </c>
      <c r="AD697" s="1" t="s">
        <v>507</v>
      </c>
      <c r="AE697" s="1" t="s">
        <v>278</v>
      </c>
      <c r="AG697" s="4">
        <v>5.9</v>
      </c>
    </row>
    <row r="698" spans="1:33" ht="47.25" hidden="1" customHeight="1" x14ac:dyDescent="0.25">
      <c r="A698" s="10" t="s">
        <v>2739</v>
      </c>
      <c r="B698" s="11" t="s">
        <v>33</v>
      </c>
      <c r="C698" s="12" t="s">
        <v>2740</v>
      </c>
      <c r="D698" s="27"/>
      <c r="E698" s="14" t="s">
        <v>35</v>
      </c>
      <c r="F698" s="11" t="str">
        <f>HYPERLINK("https://redirect.sdcdeals.com/redirect?destination=https%3A%2F%2Fwww.amazon.com%2Fdp%2FB0CCBRH5ZJ%3Fth%3D1%26psc%3D1%26tag%3Dsdcdeals03-20", "Amazon Link")</f>
        <v>Amazon Link</v>
      </c>
      <c r="G698" s="11" t="s">
        <v>36</v>
      </c>
      <c r="H698" s="14" t="s">
        <v>2741</v>
      </c>
      <c r="I698" s="11" t="str">
        <f>HYPERLINK("https://redirect.sdcdeals.com/redirect?code=763034&amp;mavely=https://mavely.app.link/e/bhESV2wGrGb&amp;destination=https%3A%2F%2Fwww.kohls.com%2Fsearch.jsp%3Fsubmit-search%3Dweb-regular%26search%3D33438542", "Retail Link")</f>
        <v>Retail Link</v>
      </c>
      <c r="J698" s="14" t="s">
        <v>2705</v>
      </c>
      <c r="K698" s="13" t="s">
        <v>2742</v>
      </c>
      <c r="L698" s="15">
        <v>13.2</v>
      </c>
      <c r="M698" s="15">
        <v>32.549999999999997</v>
      </c>
      <c r="N698" s="15">
        <v>7.6374999999999993</v>
      </c>
      <c r="O698" s="15">
        <f>V698-M698</f>
        <v>-1.639999999999997</v>
      </c>
      <c r="P698" s="16">
        <f>N698/L698</f>
        <v>0.57859848484848486</v>
      </c>
      <c r="Q698" s="14"/>
      <c r="R698" s="14"/>
      <c r="S698" s="17">
        <v>0.88184799999999997</v>
      </c>
      <c r="T698" s="15">
        <v>32.549999999999997</v>
      </c>
      <c r="U698" s="15">
        <v>34.71</v>
      </c>
      <c r="V698" s="15">
        <v>30.91</v>
      </c>
      <c r="W698" s="14" t="s">
        <v>2248</v>
      </c>
      <c r="X698" s="14">
        <v>1</v>
      </c>
      <c r="Y698" s="10">
        <f>AC698-AB698</f>
        <v>2</v>
      </c>
      <c r="Z698" s="18">
        <v>-1</v>
      </c>
      <c r="AA698" s="18">
        <v>-1</v>
      </c>
      <c r="AB698" s="18"/>
      <c r="AC698" s="18">
        <v>2</v>
      </c>
      <c r="AD698" s="1" t="s">
        <v>2743</v>
      </c>
      <c r="AE698" s="1" t="s">
        <v>2725</v>
      </c>
      <c r="AF698" s="4">
        <v>5.53</v>
      </c>
      <c r="AG698" s="4">
        <v>6.83</v>
      </c>
    </row>
    <row r="699" spans="1:33" ht="47.25" customHeight="1" x14ac:dyDescent="0.25">
      <c r="A699" s="10" t="s">
        <v>4036</v>
      </c>
      <c r="B699" s="11" t="s">
        <v>33</v>
      </c>
      <c r="C699" s="12" t="s">
        <v>4037</v>
      </c>
      <c r="D699" s="27"/>
      <c r="E699" s="14" t="s">
        <v>35</v>
      </c>
      <c r="F699" s="11" t="str">
        <f>HYPERLINK("https://redirect.sdcdeals.com/redirect?destination=https%3A%2F%2Fwww.amazon.com%2Fdp%2FB07T5FJJWF%3Fth%3D1%26psc%3D1%26tag%3Dsdcdeals03-20", "Amazon Link")</f>
        <v>Amazon Link</v>
      </c>
      <c r="G699" s="11" t="s">
        <v>36</v>
      </c>
      <c r="H699" s="14" t="s">
        <v>4038</v>
      </c>
      <c r="I699" s="11" t="str">
        <f>HYPERLINK("https://redirect.sdcdeals.com/redirect?code=763034&amp;mavely=https://mavely.app.link/e/bhESV2wGrGb&amp;destination=https%3A%2F%2Fwww.kohls.com%2Fsearch.jsp%3Fsubmit-search%3Dweb-regular%26search%3D53919683", "Retail Link")</f>
        <v>Retail Link</v>
      </c>
      <c r="J699" s="14" t="s">
        <v>4024</v>
      </c>
      <c r="K699" s="13" t="s">
        <v>4039</v>
      </c>
      <c r="L699" s="15">
        <v>17.696000000000002</v>
      </c>
      <c r="M699" s="15">
        <v>39.99</v>
      </c>
      <c r="N699" s="15">
        <v>10.1555</v>
      </c>
      <c r="O699" s="15">
        <f>V699-M699</f>
        <v>1.8999999999999986</v>
      </c>
      <c r="P699" s="16">
        <f>N699/L699</f>
        <v>0.57388675406871603</v>
      </c>
      <c r="Q699" s="14">
        <v>31695</v>
      </c>
      <c r="R699" s="14"/>
      <c r="S699" s="17">
        <v>0.85098331999999999</v>
      </c>
      <c r="T699" s="15">
        <v>39.99</v>
      </c>
      <c r="U699" s="15">
        <v>38.99</v>
      </c>
      <c r="V699" s="15">
        <v>41.89</v>
      </c>
      <c r="W699" s="14" t="s">
        <v>286</v>
      </c>
      <c r="X699" s="14">
        <v>2</v>
      </c>
      <c r="Y699" s="10">
        <f>AC699-AB699</f>
        <v>1475</v>
      </c>
      <c r="Z699" s="18">
        <v>33</v>
      </c>
      <c r="AA699" s="18">
        <v>76</v>
      </c>
      <c r="AB699" s="18">
        <v>11</v>
      </c>
      <c r="AC699" s="18">
        <v>1486</v>
      </c>
      <c r="AD699" s="1" t="s">
        <v>4026</v>
      </c>
      <c r="AE699" s="1" t="s">
        <v>4027</v>
      </c>
      <c r="AF699" s="4">
        <v>6.8</v>
      </c>
      <c r="AG699" s="4">
        <v>6.14</v>
      </c>
    </row>
    <row r="700" spans="1:33" ht="47.25" customHeight="1" x14ac:dyDescent="0.25">
      <c r="A700" s="10" t="s">
        <v>5995</v>
      </c>
      <c r="B700" s="11" t="s">
        <v>33</v>
      </c>
      <c r="C700" s="12" t="s">
        <v>5996</v>
      </c>
      <c r="D700" s="27"/>
      <c r="E700" s="14" t="s">
        <v>35</v>
      </c>
      <c r="F700" s="11" t="str">
        <f>HYPERLINK("https://redirect.sdcdeals.com/redirect?destination=https%3A%2F%2Fwww.amazon.com%2Fdp%2FB0BFTX7SYM%3Fth%3D1%26psc%3D1%26tag%3Dsdcdeals03-20", "Amazon Link")</f>
        <v>Amazon Link</v>
      </c>
      <c r="G700" s="11" t="s">
        <v>36</v>
      </c>
      <c r="H700" s="14" t="s">
        <v>5997</v>
      </c>
      <c r="I700" s="11" t="str">
        <f>HYPERLINK("https://redirect.sdcdeals.com/redirect?code=763034&amp;mavely=https://mavely.app.link/e/bhESV2wGrGb&amp;destination=https%3A%2F%2Fwww.kohls.com%2Fsearch.jsp%3Fsubmit-search%3Dweb-regular%26search%3D72822609", "Retail Link")</f>
        <v>Retail Link</v>
      </c>
      <c r="J700" s="14" t="s">
        <v>5974</v>
      </c>
      <c r="K700" s="13" t="s">
        <v>5998</v>
      </c>
      <c r="L700" s="15">
        <v>44.095999999999997</v>
      </c>
      <c r="M700" s="15">
        <v>105.47</v>
      </c>
      <c r="N700" s="15">
        <v>25.30350000000001</v>
      </c>
      <c r="O700" s="15">
        <f>V700-M700</f>
        <v>8.4699999999999989</v>
      </c>
      <c r="P700" s="16">
        <f>N700/L700</f>
        <v>0.57382755805515262</v>
      </c>
      <c r="Q700" s="14">
        <v>2062384</v>
      </c>
      <c r="R700" s="14"/>
      <c r="S700" s="17">
        <v>1.78353758</v>
      </c>
      <c r="T700" s="15">
        <v>105.47</v>
      </c>
      <c r="U700" s="15">
        <v>113.67</v>
      </c>
      <c r="V700" s="15">
        <v>113.94</v>
      </c>
      <c r="W700" s="14" t="s">
        <v>1134</v>
      </c>
      <c r="X700" s="14">
        <v>1</v>
      </c>
      <c r="Y700" s="10">
        <f>AC700-AB700</f>
        <v>7</v>
      </c>
      <c r="Z700" s="18">
        <v>1</v>
      </c>
      <c r="AA700" s="18">
        <v>7</v>
      </c>
      <c r="AB700" s="18">
        <v>0</v>
      </c>
      <c r="AC700" s="18">
        <v>7</v>
      </c>
      <c r="AD700" s="1" t="s">
        <v>5976</v>
      </c>
      <c r="AE700" s="1" t="s">
        <v>5977</v>
      </c>
      <c r="AF700" s="4">
        <v>17.93</v>
      </c>
      <c r="AG700" s="4">
        <v>20.25</v>
      </c>
    </row>
    <row r="701" spans="1:33" ht="47.25" customHeight="1" x14ac:dyDescent="0.25">
      <c r="A701" s="10" t="s">
        <v>4686</v>
      </c>
      <c r="B701" s="11" t="s">
        <v>33</v>
      </c>
      <c r="C701" s="12" t="s">
        <v>4687</v>
      </c>
      <c r="D701" s="27"/>
      <c r="E701" s="14" t="s">
        <v>35</v>
      </c>
      <c r="F701" s="11" t="str">
        <f>HYPERLINK("https://redirect.sdcdeals.com/redirect?destination=https%3A%2F%2Fwww.amazon.com%2Fdp%2FB0CH1S96S5%3Fth%3D1%26psc%3D1%26tag%3Dsdcdeals03-20", "Amazon Link")</f>
        <v>Amazon Link</v>
      </c>
      <c r="G701" s="11" t="s">
        <v>36</v>
      </c>
      <c r="H701" s="14" t="s">
        <v>4688</v>
      </c>
      <c r="I701" s="11" t="str">
        <f>HYPERLINK("https://redirect.sdcdeals.com/redirect?code=763034&amp;mavely=https://mavely.app.link/e/bhESV2wGrGb&amp;destination=https%3A%2F%2Fwww.kohls.com%2Fsearch.jsp%3Fsubmit-search%3Dweb-regular%26search%3D30108390", "Retail Link")</f>
        <v>Retail Link</v>
      </c>
      <c r="J701" s="14" t="s">
        <v>4663</v>
      </c>
      <c r="K701" s="13" t="s">
        <v>4689</v>
      </c>
      <c r="L701" s="15">
        <v>6.8000000000000007</v>
      </c>
      <c r="M701" s="15">
        <v>18</v>
      </c>
      <c r="N701" s="15">
        <v>3.889999999999997</v>
      </c>
      <c r="O701" s="15">
        <f>V701-M701</f>
        <v>3.3000000000000007</v>
      </c>
      <c r="P701" s="16">
        <f>N701/L701</f>
        <v>0.57205882352941129</v>
      </c>
      <c r="Q701" s="14">
        <v>71394</v>
      </c>
      <c r="R701" s="14"/>
      <c r="S701" s="17">
        <v>0.33069300000000001</v>
      </c>
      <c r="T701" s="15">
        <v>17.989999999999998</v>
      </c>
      <c r="U701" s="15">
        <v>17.87</v>
      </c>
      <c r="V701" s="15">
        <v>21.3</v>
      </c>
      <c r="W701" s="14" t="s">
        <v>3076</v>
      </c>
      <c r="X701" s="14">
        <v>15</v>
      </c>
      <c r="Y701" s="10">
        <f>AC701-AB701</f>
        <v>569</v>
      </c>
      <c r="Z701" s="18">
        <v>27</v>
      </c>
      <c r="AA701" s="18">
        <v>103</v>
      </c>
      <c r="AB701" s="18">
        <v>0</v>
      </c>
      <c r="AC701" s="18">
        <v>569</v>
      </c>
      <c r="AD701" s="1" t="s">
        <v>4680</v>
      </c>
      <c r="AE701" s="1" t="s">
        <v>4666</v>
      </c>
      <c r="AF701" s="4">
        <v>1.8</v>
      </c>
      <c r="AG701" s="4">
        <v>4.6100000000000003</v>
      </c>
    </row>
    <row r="702" spans="1:33" ht="47.25" customHeight="1" x14ac:dyDescent="0.25">
      <c r="A702" s="10" t="s">
        <v>3637</v>
      </c>
      <c r="B702" s="11" t="s">
        <v>33</v>
      </c>
      <c r="C702" s="12" t="s">
        <v>3638</v>
      </c>
      <c r="D702" s="27"/>
      <c r="E702" s="14" t="s">
        <v>35</v>
      </c>
      <c r="F702" s="11" t="str">
        <f>HYPERLINK("https://redirect.sdcdeals.com/redirect?destination=https%3A%2F%2Fwww.amazon.com%2Fdp%2FB0C826R4Z8%3Fth%3D1%26psc%3D1%26tag%3Dsdcdeals03-20", "Amazon Link")</f>
        <v>Amazon Link</v>
      </c>
      <c r="G702" s="11" t="s">
        <v>36</v>
      </c>
      <c r="H702" s="14" t="s">
        <v>3639</v>
      </c>
      <c r="I702" s="11" t="str">
        <f>HYPERLINK("https://redirect.sdcdeals.com/redirect?code=763034&amp;mavely=https://mavely.app.link/e/bhESV2wGrGb&amp;destination=https%3A%2F%2Fwww.kohls.com%2Fsearch.jsp%3Fsubmit-search%3Dweb-regular%26search%3D20552285", "Retail Link")</f>
        <v>Retail Link</v>
      </c>
      <c r="J702" s="14" t="s">
        <v>3633</v>
      </c>
      <c r="K702" s="13" t="s">
        <v>3634</v>
      </c>
      <c r="L702" s="15">
        <v>11.44</v>
      </c>
      <c r="M702" s="15">
        <v>33.75</v>
      </c>
      <c r="N702" s="15">
        <v>6.4974999999999996</v>
      </c>
      <c r="O702" s="15">
        <f>V702-M702</f>
        <v>1.4799999999999969</v>
      </c>
      <c r="P702" s="16">
        <f>N702/L702</f>
        <v>0.56796328671328666</v>
      </c>
      <c r="Q702" s="14">
        <v>1471945</v>
      </c>
      <c r="R702" s="14"/>
      <c r="S702" s="17">
        <v>0.57099657999999998</v>
      </c>
      <c r="T702" s="15">
        <v>25.8</v>
      </c>
      <c r="U702" s="15">
        <v>33.130000000000003</v>
      </c>
      <c r="V702" s="15">
        <v>35.229999999999997</v>
      </c>
      <c r="W702" s="14" t="s">
        <v>3640</v>
      </c>
      <c r="X702" s="14">
        <v>4</v>
      </c>
      <c r="Y702" s="10">
        <f>AC702-AB702</f>
        <v>2</v>
      </c>
      <c r="Z702" s="18">
        <v>5</v>
      </c>
      <c r="AA702" s="18">
        <v>18</v>
      </c>
      <c r="AB702" s="18">
        <v>0</v>
      </c>
      <c r="AC702" s="18">
        <v>2</v>
      </c>
      <c r="AD702" s="1" t="s">
        <v>3635</v>
      </c>
      <c r="AE702" s="1" t="s">
        <v>3636</v>
      </c>
      <c r="AF702" s="4">
        <v>5.74</v>
      </c>
      <c r="AG702" s="4">
        <v>10.75</v>
      </c>
    </row>
    <row r="703" spans="1:33" ht="47.25" customHeight="1" x14ac:dyDescent="0.25">
      <c r="A703" s="10" t="s">
        <v>3475</v>
      </c>
      <c r="B703" s="11" t="s">
        <v>33</v>
      </c>
      <c r="C703" s="12" t="s">
        <v>3476</v>
      </c>
      <c r="D703" s="27"/>
      <c r="E703" s="14" t="s">
        <v>35</v>
      </c>
      <c r="F703" s="11" t="str">
        <f>HYPERLINK("https://redirect.sdcdeals.com/redirect?destination=https%3A%2F%2Fwww.amazon.com%2Fdp%2FB09VGWP21T%3Fth%3D1%26psc%3D1%26tag%3Dsdcdeals03-20", "Amazon Link")</f>
        <v>Amazon Link</v>
      </c>
      <c r="G703" s="11" t="s">
        <v>36</v>
      </c>
      <c r="H703" s="14" t="s">
        <v>3477</v>
      </c>
      <c r="I703" s="11" t="str">
        <f>HYPERLINK("https://redirect.sdcdeals.com/redirect?code=763034&amp;mavely=https://mavely.app.link/e/bhESV2wGrGb&amp;destination=https%3A%2F%2Fwww.kohls.com%2Fsearch.jsp%3Fsubmit-search%3Dweb-regular%26search%3D71094386", "Retail Link")</f>
        <v>Retail Link</v>
      </c>
      <c r="J703" s="14" t="s">
        <v>3413</v>
      </c>
      <c r="K703" s="13" t="s">
        <v>3478</v>
      </c>
      <c r="L703" s="15">
        <v>12.48</v>
      </c>
      <c r="M703" s="15">
        <v>31.28</v>
      </c>
      <c r="N703" s="15">
        <v>7.088000000000001</v>
      </c>
      <c r="O703" s="15">
        <f>V703-M703</f>
        <v>5.07</v>
      </c>
      <c r="P703" s="16">
        <f>N703/L703</f>
        <v>0.56794871794871804</v>
      </c>
      <c r="Q703" s="14">
        <v>95891</v>
      </c>
      <c r="R703" s="14"/>
      <c r="S703" s="17">
        <v>1.5696894400000001</v>
      </c>
      <c r="T703" s="15">
        <v>31.28</v>
      </c>
      <c r="U703" s="15">
        <v>33.9</v>
      </c>
      <c r="V703" s="15">
        <v>36.35</v>
      </c>
      <c r="W703" s="14" t="s">
        <v>106</v>
      </c>
      <c r="X703" s="14">
        <v>1</v>
      </c>
      <c r="Y703" s="10">
        <f>AC703-AB703</f>
        <v>3500</v>
      </c>
      <c r="Z703" s="18">
        <v>24</v>
      </c>
      <c r="AA703" s="18">
        <v>66</v>
      </c>
      <c r="AB703" s="18">
        <v>0</v>
      </c>
      <c r="AC703" s="18">
        <v>3500</v>
      </c>
      <c r="AD703" s="1" t="s">
        <v>1037</v>
      </c>
      <c r="AE703" s="1" t="s">
        <v>1622</v>
      </c>
      <c r="AF703" s="4">
        <v>5.32</v>
      </c>
      <c r="AG703" s="4">
        <v>7.02</v>
      </c>
    </row>
    <row r="704" spans="1:33" ht="47.25" customHeight="1" x14ac:dyDescent="0.25">
      <c r="A704" s="10" t="s">
        <v>6929</v>
      </c>
      <c r="B704" s="11" t="s">
        <v>33</v>
      </c>
      <c r="C704" s="12" t="s">
        <v>6930</v>
      </c>
      <c r="D704" s="27"/>
      <c r="E704" s="14" t="s">
        <v>35</v>
      </c>
      <c r="F704" s="11" t="str">
        <f>HYPERLINK("https://redirect.sdcdeals.com/redirect?destination=https%3A%2F%2Fwww.amazon.com%2Fdp%2FB09X6F7RC9%3Fth%3D1%26psc%3D1%26tag%3Dsdcdeals03-20", "Amazon Link")</f>
        <v>Amazon Link</v>
      </c>
      <c r="G704" s="11" t="s">
        <v>36</v>
      </c>
      <c r="H704" s="14" t="s">
        <v>6931</v>
      </c>
      <c r="I704" s="11" t="str">
        <f>HYPERLINK("https://redirect.sdcdeals.com/redirect?code=763034&amp;mavely=https://mavely.app.link/e/bhESV2wGrGb&amp;destination=https%3A%2F%2Fwww.kohls.com%2Fsearch.jsp%3Fsubmit-search%3Dweb-regular%26search%3D33236226", "Retail Link")</f>
        <v>Retail Link</v>
      </c>
      <c r="J704" s="14" t="s">
        <v>6932</v>
      </c>
      <c r="K704" s="13" t="s">
        <v>6933</v>
      </c>
      <c r="L704" s="15">
        <v>15.6</v>
      </c>
      <c r="M704" s="15">
        <v>37.1</v>
      </c>
      <c r="N704" s="15">
        <v>8.8549999999999986</v>
      </c>
      <c r="O704" s="15">
        <f>V704-M704</f>
        <v>11.21</v>
      </c>
      <c r="P704" s="16">
        <f>N704/L704</f>
        <v>0.56762820512820511</v>
      </c>
      <c r="Q704" s="14">
        <v>860519</v>
      </c>
      <c r="R704" s="14"/>
      <c r="S704" s="17">
        <v>0.87082490000000001</v>
      </c>
      <c r="T704" s="15">
        <v>29.15</v>
      </c>
      <c r="U704" s="15">
        <v>48.04</v>
      </c>
      <c r="V704" s="15">
        <v>48.31</v>
      </c>
      <c r="W704" s="14" t="s">
        <v>2879</v>
      </c>
      <c r="X704" s="14">
        <v>5</v>
      </c>
      <c r="Y704" s="10">
        <f>AC704-AB704</f>
        <v>0</v>
      </c>
      <c r="Z704" s="18">
        <v>4</v>
      </c>
      <c r="AA704" s="18">
        <v>7</v>
      </c>
      <c r="AB704" s="18">
        <v>0</v>
      </c>
      <c r="AC704" s="18"/>
      <c r="AD704" s="1" t="s">
        <v>6934</v>
      </c>
      <c r="AE704" s="1" t="s">
        <v>6935</v>
      </c>
      <c r="AF704" s="4">
        <v>6.31</v>
      </c>
      <c r="AG704" s="4">
        <v>7.08</v>
      </c>
    </row>
    <row r="705" spans="1:33" ht="47.25" customHeight="1" x14ac:dyDescent="0.25">
      <c r="A705" s="10" t="s">
        <v>3106</v>
      </c>
      <c r="B705" s="11" t="s">
        <v>33</v>
      </c>
      <c r="C705" s="12" t="s">
        <v>3107</v>
      </c>
      <c r="D705" s="27"/>
      <c r="E705" s="14" t="s">
        <v>35</v>
      </c>
      <c r="F705" s="11" t="str">
        <f>HYPERLINK("https://redirect.sdcdeals.com/redirect?destination=https%3A%2F%2Fwww.amazon.com%2Fdp%2FB0B5G1GL6H%3Fth%3D1%26psc%3D1%26tag%3Dsdcdeals03-20", "Amazon Link")</f>
        <v>Amazon Link</v>
      </c>
      <c r="G705" s="11" t="s">
        <v>36</v>
      </c>
      <c r="H705" s="14" t="s">
        <v>3108</v>
      </c>
      <c r="I705" s="11" t="str">
        <f>HYPERLINK("https://redirect.sdcdeals.com/redirect?code=763034&amp;mavely=https://mavely.app.link/e/bhESV2wGrGb&amp;destination=https%3A%2F%2Fwww.kohls.com%2Fsearch.jsp%3Fsubmit-search%3Dweb-regular%26search%3D78064362", "Retail Link")</f>
        <v>Retail Link</v>
      </c>
      <c r="J705" s="14" t="s">
        <v>3090</v>
      </c>
      <c r="K705" s="13" t="s">
        <v>3109</v>
      </c>
      <c r="L705" s="15">
        <v>40</v>
      </c>
      <c r="M705" s="15">
        <v>96</v>
      </c>
      <c r="N705" s="15">
        <v>22.69</v>
      </c>
      <c r="O705" s="15">
        <f>V705-M705</f>
        <v>10.280000000000001</v>
      </c>
      <c r="P705" s="16">
        <f>N705/L705</f>
        <v>0.56725000000000003</v>
      </c>
      <c r="Q705" s="14">
        <v>397142</v>
      </c>
      <c r="R705" s="14"/>
      <c r="S705" s="17">
        <v>3.2628376000000001</v>
      </c>
      <c r="T705" s="15">
        <v>88.05</v>
      </c>
      <c r="U705" s="15">
        <v>98.22</v>
      </c>
      <c r="V705" s="15">
        <v>106.28</v>
      </c>
      <c r="W705" s="14" t="s">
        <v>3110</v>
      </c>
      <c r="X705" s="14">
        <v>1</v>
      </c>
      <c r="Y705" s="10">
        <f>AC705-AB705</f>
        <v>1932</v>
      </c>
      <c r="Z705" s="18">
        <v>15</v>
      </c>
      <c r="AA705" s="18">
        <v>45</v>
      </c>
      <c r="AB705" s="18">
        <v>0</v>
      </c>
      <c r="AC705" s="18">
        <v>1932</v>
      </c>
      <c r="AD705" s="1" t="s">
        <v>3111</v>
      </c>
      <c r="AE705" s="1" t="s">
        <v>3093</v>
      </c>
      <c r="AF705" s="4">
        <v>16.32</v>
      </c>
      <c r="AG705" s="4">
        <v>18.91</v>
      </c>
    </row>
    <row r="706" spans="1:33" ht="47.25" customHeight="1" x14ac:dyDescent="0.25">
      <c r="A706" s="10" t="s">
        <v>512</v>
      </c>
      <c r="B706" s="11" t="s">
        <v>33</v>
      </c>
      <c r="C706" s="12" t="s">
        <v>513</v>
      </c>
      <c r="D706" s="27"/>
      <c r="E706" s="14" t="s">
        <v>35</v>
      </c>
      <c r="F706" s="11" t="str">
        <f>HYPERLINK("https://redirect.sdcdeals.com/redirect?destination=https%3A%2F%2Fwww.amazon.com%2Fdp%2FB0BNT8117V%3Fth%3D1%26psc%3D1%26tag%3Dsdcdeals03-20", "Amazon Link")</f>
        <v>Amazon Link</v>
      </c>
      <c r="G706" s="11" t="s">
        <v>36</v>
      </c>
      <c r="H706" s="14" t="s">
        <v>514</v>
      </c>
      <c r="I706" s="11" t="str">
        <f>HYPERLINK("https://redirect.sdcdeals.com/redirect?code=763034&amp;mavely=https://mavely.app.link/e/bhESV2wGrGb&amp;destination=https%3A%2F%2Fwww.kohls.com%2Fsearch.jsp%3Fsubmit-search%3Dweb-regular%26search%3D76784481", "Retail Link")</f>
        <v>Retail Link</v>
      </c>
      <c r="J706" s="14" t="s">
        <v>505</v>
      </c>
      <c r="K706" s="13" t="s">
        <v>515</v>
      </c>
      <c r="L706" s="15">
        <v>19.600000000000001</v>
      </c>
      <c r="M706" s="15">
        <v>43.02</v>
      </c>
      <c r="N706" s="15">
        <v>11.067</v>
      </c>
      <c r="O706" s="15">
        <f>V706-M706</f>
        <v>-8.3800000000000026</v>
      </c>
      <c r="P706" s="16">
        <f>N706/L706</f>
        <v>0.56464285714285711</v>
      </c>
      <c r="Q706" s="14">
        <v>1359101</v>
      </c>
      <c r="R706" s="14"/>
      <c r="S706" s="17">
        <v>0.29100984000000002</v>
      </c>
      <c r="T706" s="15">
        <v>35.07</v>
      </c>
      <c r="U706" s="15">
        <v>42.63</v>
      </c>
      <c r="V706" s="15">
        <v>34.64</v>
      </c>
      <c r="W706" s="14" t="s">
        <v>516</v>
      </c>
      <c r="X706" s="14">
        <v>5</v>
      </c>
      <c r="Y706" s="10">
        <f>AC706-AB706</f>
        <v>4</v>
      </c>
      <c r="Z706" s="18">
        <v>8</v>
      </c>
      <c r="AA706" s="18">
        <v>25</v>
      </c>
      <c r="AB706" s="18">
        <v>1</v>
      </c>
      <c r="AC706" s="18">
        <v>5</v>
      </c>
      <c r="AD706" s="1" t="s">
        <v>507</v>
      </c>
      <c r="AE706" s="1" t="s">
        <v>278</v>
      </c>
      <c r="AF706" s="4">
        <v>7.31</v>
      </c>
      <c r="AG706" s="4">
        <v>5.9</v>
      </c>
    </row>
    <row r="707" spans="1:33" ht="47.25" customHeight="1" x14ac:dyDescent="0.25">
      <c r="A707" s="10" t="s">
        <v>5822</v>
      </c>
      <c r="B707" s="11" t="s">
        <v>33</v>
      </c>
      <c r="C707" s="12" t="s">
        <v>5823</v>
      </c>
      <c r="D707" s="27"/>
      <c r="E707" s="14" t="s">
        <v>35</v>
      </c>
      <c r="F707" s="11" t="str">
        <f>HYPERLINK("https://redirect.sdcdeals.com/redirect?destination=https%3A%2F%2Fwww.amazon.com%2Fdp%2FB0B49CVW21%3Fth%3D1%26psc%3D1%26tag%3Dsdcdeals03-20", "Amazon Link")</f>
        <v>Amazon Link</v>
      </c>
      <c r="G707" s="11" t="s">
        <v>36</v>
      </c>
      <c r="H707" s="14" t="s">
        <v>5824</v>
      </c>
      <c r="I707" s="11" t="str">
        <f>HYPERLINK("https://redirect.sdcdeals.com/redirect?code=763034&amp;mavely=https://mavely.app.link/e/bhESV2wGrGb&amp;destination=https%3A%2F%2Fwww.kohls.com%2Fsearch.jsp%3Fsubmit-search%3Dweb-regular%26search%3D70335374", "Retail Link")</f>
        <v>Retail Link</v>
      </c>
      <c r="J707" s="14" t="s">
        <v>5825</v>
      </c>
      <c r="K707" s="13" t="s">
        <v>5826</v>
      </c>
      <c r="L707" s="15">
        <v>11.992000000000001</v>
      </c>
      <c r="M707" s="15">
        <v>28.49</v>
      </c>
      <c r="N707" s="15">
        <v>6.7044999999999959</v>
      </c>
      <c r="O707" s="15">
        <f>V707-M707</f>
        <v>3.5</v>
      </c>
      <c r="P707" s="16">
        <f>N707/L707</f>
        <v>0.55908105403602359</v>
      </c>
      <c r="Q707" s="14">
        <v>4218</v>
      </c>
      <c r="R707" s="14">
        <v>50</v>
      </c>
      <c r="S707" s="17">
        <v>1.3492274399999999</v>
      </c>
      <c r="T707" s="15">
        <v>21.4</v>
      </c>
      <c r="U707" s="15">
        <v>28.59</v>
      </c>
      <c r="V707" s="15">
        <v>31.99</v>
      </c>
      <c r="W707" s="14" t="s">
        <v>4799</v>
      </c>
      <c r="X707" s="14">
        <v>36</v>
      </c>
      <c r="Y707" s="10">
        <f>AC707-AB707</f>
        <v>1237</v>
      </c>
      <c r="Z707" s="18">
        <v>59</v>
      </c>
      <c r="AA707" s="18">
        <v>193</v>
      </c>
      <c r="AB707" s="18"/>
      <c r="AC707" s="18">
        <v>1237</v>
      </c>
      <c r="AF707" s="4">
        <v>4.2699999999999996</v>
      </c>
      <c r="AG707" s="4">
        <v>5.52</v>
      </c>
    </row>
    <row r="708" spans="1:33" ht="47.25" customHeight="1" x14ac:dyDescent="0.25">
      <c r="A708" s="10" t="s">
        <v>2966</v>
      </c>
      <c r="B708" s="11" t="s">
        <v>33</v>
      </c>
      <c r="C708" s="12" t="s">
        <v>2967</v>
      </c>
      <c r="D708" s="27"/>
      <c r="E708" s="14" t="s">
        <v>35</v>
      </c>
      <c r="F708" s="11" t="str">
        <f>HYPERLINK("https://redirect.sdcdeals.com/redirect?destination=https%3A%2F%2Fwww.amazon.com%2Fdp%2FB0BKQYT5J3%3Fth%3D1%26psc%3D1%26tag%3Dsdcdeals03-20", "Amazon Link")</f>
        <v>Amazon Link</v>
      </c>
      <c r="G708" s="11" t="s">
        <v>36</v>
      </c>
      <c r="H708" s="14" t="s">
        <v>2968</v>
      </c>
      <c r="I708" s="11" t="str">
        <f>HYPERLINK("https://redirect.sdcdeals.com/redirect?code=763034&amp;mavely=https://mavely.app.link/e/bhESV2wGrGb&amp;destination=https%3A%2F%2Fwww.kohls.com%2Fsearch.jsp%3Fsubmit-search%3Dweb-regular%26search%3D29976324", "Retail Link")</f>
        <v>Retail Link</v>
      </c>
      <c r="J708" s="14" t="s">
        <v>2908</v>
      </c>
      <c r="K708" s="13" t="s">
        <v>2969</v>
      </c>
      <c r="L708" s="15">
        <v>57.2</v>
      </c>
      <c r="M708" s="15">
        <v>114.4</v>
      </c>
      <c r="N708" s="15">
        <v>31.84</v>
      </c>
      <c r="O708" s="15">
        <f>V708-M708</f>
        <v>-9.5</v>
      </c>
      <c r="P708" s="16">
        <f>N708/L708</f>
        <v>0.55664335664335662</v>
      </c>
      <c r="Q708" s="14">
        <v>740362</v>
      </c>
      <c r="R708" s="14"/>
      <c r="S708" s="17">
        <v>3.26063298</v>
      </c>
      <c r="T708" s="15">
        <v>114.4</v>
      </c>
      <c r="U708" s="15">
        <v>102.35</v>
      </c>
      <c r="V708" s="15">
        <v>104.9</v>
      </c>
      <c r="W708" s="14" t="s">
        <v>245</v>
      </c>
      <c r="X708" s="14">
        <v>2</v>
      </c>
      <c r="Y708" s="10">
        <f>AC708-AB708</f>
        <v>7</v>
      </c>
      <c r="Z708" s="18">
        <v>9</v>
      </c>
      <c r="AA708" s="18">
        <v>17</v>
      </c>
      <c r="AB708" s="18">
        <v>2</v>
      </c>
      <c r="AC708" s="18">
        <v>9</v>
      </c>
      <c r="AD708" s="1" t="s">
        <v>2911</v>
      </c>
      <c r="AE708" s="1" t="s">
        <v>2213</v>
      </c>
      <c r="AF708" s="4">
        <v>19.45</v>
      </c>
      <c r="AG708" s="4">
        <v>8.1999999999999993</v>
      </c>
    </row>
    <row r="709" spans="1:33" ht="47.25" customHeight="1" x14ac:dyDescent="0.25">
      <c r="A709" s="10" t="s">
        <v>3514</v>
      </c>
      <c r="B709" s="11" t="s">
        <v>33</v>
      </c>
      <c r="C709" s="12" t="s">
        <v>3515</v>
      </c>
      <c r="D709" s="27"/>
      <c r="E709" s="14" t="s">
        <v>35</v>
      </c>
      <c r="F709" s="11" t="str">
        <f>HYPERLINK("https://redirect.sdcdeals.com/redirect?destination=https%3A%2F%2Fwww.amazon.com%2Fdp%2FB0BKQW8VHV%3Fth%3D1%26psc%3D1%26tag%3Dsdcdeals03-20", "Amazon Link")</f>
        <v>Amazon Link</v>
      </c>
      <c r="G709" s="11" t="s">
        <v>36</v>
      </c>
      <c r="H709" s="14" t="s">
        <v>3516</v>
      </c>
      <c r="I709" s="11" t="str">
        <f>HYPERLINK("https://redirect.sdcdeals.com/redirect?code=763034&amp;mavely=https://mavely.app.link/e/bhESV2wGrGb&amp;destination=https%3A%2F%2Fwww.kohls.com%2Fsearch.jsp%3Fsubmit-search%3Dweb-regular%26search%3D58450464", "Retail Link")</f>
        <v>Retail Link</v>
      </c>
      <c r="J709" s="14" t="s">
        <v>3497</v>
      </c>
      <c r="K709" s="13" t="s">
        <v>3517</v>
      </c>
      <c r="L709" s="15">
        <v>24</v>
      </c>
      <c r="M709" s="15">
        <v>58.8</v>
      </c>
      <c r="N709" s="15">
        <v>13.33</v>
      </c>
      <c r="O709" s="15">
        <f>V709-M709</f>
        <v>-6.0899999999999963</v>
      </c>
      <c r="P709" s="16">
        <f>N709/L709</f>
        <v>0.55541666666666667</v>
      </c>
      <c r="Q709" s="14">
        <v>761254</v>
      </c>
      <c r="R709" s="14"/>
      <c r="S709" s="17">
        <v>0.85980180000000006</v>
      </c>
      <c r="T709" s="15">
        <v>50.81</v>
      </c>
      <c r="U709" s="15">
        <v>57.63</v>
      </c>
      <c r="V709" s="15">
        <v>52.71</v>
      </c>
      <c r="W709" s="14" t="s">
        <v>229</v>
      </c>
      <c r="X709" s="14">
        <v>2</v>
      </c>
      <c r="Y709" s="10">
        <f>AC709-AB709</f>
        <v>8</v>
      </c>
      <c r="Z709" s="18">
        <v>13</v>
      </c>
      <c r="AA709" s="18">
        <v>39</v>
      </c>
      <c r="AB709" s="18">
        <v>1</v>
      </c>
      <c r="AC709" s="18">
        <v>9</v>
      </c>
      <c r="AD709" s="1" t="s">
        <v>3499</v>
      </c>
      <c r="AE709" s="1" t="s">
        <v>3500</v>
      </c>
      <c r="AF709" s="4">
        <v>10</v>
      </c>
      <c r="AG709" s="4">
        <v>12.65</v>
      </c>
    </row>
    <row r="710" spans="1:33" ht="47.25" customHeight="1" x14ac:dyDescent="0.25">
      <c r="A710" s="10" t="s">
        <v>5025</v>
      </c>
      <c r="B710" s="11" t="s">
        <v>33</v>
      </c>
      <c r="C710" s="12" t="s">
        <v>5026</v>
      </c>
      <c r="D710" s="27"/>
      <c r="E710" s="14" t="s">
        <v>35</v>
      </c>
      <c r="F710" s="11" t="str">
        <f>HYPERLINK("https://redirect.sdcdeals.com/redirect?destination=https%3A%2F%2Fwww.amazon.com%2Fdp%2FB09Z37VDYT%3Fth%3D1%26psc%3D1%26tag%3Dsdcdeals03-20", "Amazon Link")</f>
        <v>Amazon Link</v>
      </c>
      <c r="G710" s="11" t="s">
        <v>36</v>
      </c>
      <c r="H710" s="14" t="s">
        <v>5027</v>
      </c>
      <c r="I710" s="11" t="str">
        <f>HYPERLINK("https://redirect.sdcdeals.com/redirect?code=763034&amp;mavely=https://mavely.app.link/e/bhESV2wGrGb&amp;destination=https%3A%2F%2Fwww.kohls.com%2Fsearch.jsp%3Fsubmit-search%3Dweb-regular%26search%3D61268352", "Retail Link")</f>
        <v>Retail Link</v>
      </c>
      <c r="J710" s="14" t="s">
        <v>5013</v>
      </c>
      <c r="K710" s="13" t="s">
        <v>5028</v>
      </c>
      <c r="L710" s="15">
        <v>16.8</v>
      </c>
      <c r="M710" s="15">
        <v>38.5</v>
      </c>
      <c r="N710" s="15">
        <v>9.3249999999999993</v>
      </c>
      <c r="O710" s="15">
        <f>V710-M710</f>
        <v>4.3699999999999974</v>
      </c>
      <c r="P710" s="16">
        <f>N710/L710</f>
        <v>0.55505952380952372</v>
      </c>
      <c r="Q710" s="14">
        <v>393774</v>
      </c>
      <c r="R710" s="14"/>
      <c r="S710" s="17">
        <v>0.33069300000000001</v>
      </c>
      <c r="T710" s="15">
        <v>38.5</v>
      </c>
      <c r="U710" s="15">
        <v>41.87</v>
      </c>
      <c r="V710" s="15">
        <v>42.87</v>
      </c>
      <c r="W710" s="14" t="s">
        <v>282</v>
      </c>
      <c r="X710" s="14">
        <v>10</v>
      </c>
      <c r="Y710" s="10">
        <f>AC710-AB710</f>
        <v>6</v>
      </c>
      <c r="Z710" s="18">
        <v>18</v>
      </c>
      <c r="AA710" s="18">
        <v>45</v>
      </c>
      <c r="AB710" s="18">
        <v>0</v>
      </c>
      <c r="AC710" s="18">
        <v>6</v>
      </c>
      <c r="AD710" s="1" t="s">
        <v>5020</v>
      </c>
      <c r="AE710" s="1" t="s">
        <v>1406</v>
      </c>
      <c r="AF710" s="4">
        <v>6.55</v>
      </c>
      <c r="AG710" s="4">
        <v>6.6</v>
      </c>
    </row>
    <row r="711" spans="1:33" ht="47.25" customHeight="1" x14ac:dyDescent="0.25">
      <c r="A711" s="10" t="s">
        <v>4046</v>
      </c>
      <c r="B711" s="11" t="s">
        <v>33</v>
      </c>
      <c r="C711" s="12" t="s">
        <v>4047</v>
      </c>
      <c r="D711" s="27"/>
      <c r="E711" s="14" t="s">
        <v>35</v>
      </c>
      <c r="F711" s="11" t="str">
        <f>HYPERLINK("https://redirect.sdcdeals.com/redirect?destination=https%3A%2F%2Fwww.amazon.com%2Fdp%2FB07T4DZMBL%3Fth%3D1%26psc%3D1%26tag%3Dsdcdeals03-20", "Amazon Link")</f>
        <v>Amazon Link</v>
      </c>
      <c r="G711" s="11" t="s">
        <v>36</v>
      </c>
      <c r="H711" s="14" t="s">
        <v>4048</v>
      </c>
      <c r="I711" s="11" t="str">
        <f>HYPERLINK("https://redirect.sdcdeals.com/redirect?code=763034&amp;mavely=https://mavely.app.link/e/bhESV2wGrGb&amp;destination=https%3A%2F%2Fwww.kohls.com%2Fsearch.jsp%3Fsubmit-search%3Dweb-regular%26search%3D53919684", "Retail Link")</f>
        <v>Retail Link</v>
      </c>
      <c r="J711" s="14" t="s">
        <v>4024</v>
      </c>
      <c r="K711" s="13" t="s">
        <v>4049</v>
      </c>
      <c r="L711" s="15">
        <v>17.696000000000002</v>
      </c>
      <c r="M711" s="15">
        <v>39.99</v>
      </c>
      <c r="N711" s="15">
        <v>9.8155000000000001</v>
      </c>
      <c r="O711" s="15">
        <f>V711-M711</f>
        <v>0.57000000000000028</v>
      </c>
      <c r="P711" s="16">
        <f>N711/L711</f>
        <v>0.5546733725135623</v>
      </c>
      <c r="Q711" s="14">
        <v>31695</v>
      </c>
      <c r="R711" s="14"/>
      <c r="S711" s="17">
        <v>0.76941238000000001</v>
      </c>
      <c r="T711" s="15">
        <v>39.99</v>
      </c>
      <c r="U711" s="15">
        <v>38.06</v>
      </c>
      <c r="V711" s="15">
        <v>40.56</v>
      </c>
      <c r="W711" s="14" t="s">
        <v>742</v>
      </c>
      <c r="X711" s="14">
        <v>2</v>
      </c>
      <c r="Y711" s="10">
        <f>AC711-AB711</f>
        <v>1476</v>
      </c>
      <c r="Z711" s="18">
        <v>26</v>
      </c>
      <c r="AA711" s="18">
        <v>57</v>
      </c>
      <c r="AB711" s="18">
        <v>10</v>
      </c>
      <c r="AC711" s="18">
        <v>1486</v>
      </c>
      <c r="AD711" s="1" t="s">
        <v>4026</v>
      </c>
      <c r="AE711" s="1" t="s">
        <v>4027</v>
      </c>
      <c r="AF711" s="4">
        <v>6.8</v>
      </c>
      <c r="AG711" s="4">
        <v>6.48</v>
      </c>
    </row>
    <row r="712" spans="1:33" ht="47.25" customHeight="1" x14ac:dyDescent="0.25">
      <c r="A712" s="10" t="s">
        <v>4054</v>
      </c>
      <c r="B712" s="11" t="s">
        <v>33</v>
      </c>
      <c r="C712" s="12" t="s">
        <v>4055</v>
      </c>
      <c r="D712" s="27"/>
      <c r="E712" s="14" t="s">
        <v>35</v>
      </c>
      <c r="F712" s="11" t="str">
        <f>HYPERLINK("https://redirect.sdcdeals.com/redirect?destination=https%3A%2F%2Fwww.amazon.com%2Fdp%2FB07T27JP48%3Fth%3D1%26psc%3D1%26tag%3Dsdcdeals03-20", "Amazon Link")</f>
        <v>Amazon Link</v>
      </c>
      <c r="G712" s="11" t="s">
        <v>36</v>
      </c>
      <c r="H712" s="14" t="s">
        <v>4056</v>
      </c>
      <c r="I712" s="11" t="str">
        <f>HYPERLINK("https://redirect.sdcdeals.com/redirect?code=763034&amp;mavely=https://mavely.app.link/e/bhESV2wGrGb&amp;destination=https%3A%2F%2Fwww.kohls.com%2Fsearch.jsp%3Fsubmit-search%3Dweb-regular%26search%3D53919685", "Retail Link")</f>
        <v>Retail Link</v>
      </c>
      <c r="J712" s="14" t="s">
        <v>4024</v>
      </c>
      <c r="K712" s="13" t="s">
        <v>4057</v>
      </c>
      <c r="L712" s="15">
        <v>17.696000000000002</v>
      </c>
      <c r="M712" s="15">
        <v>39.99</v>
      </c>
      <c r="N712" s="15">
        <v>9.8155000000000001</v>
      </c>
      <c r="O712" s="15">
        <f>V712-M712</f>
        <v>2.2399999999999949</v>
      </c>
      <c r="P712" s="16">
        <f>N712/L712</f>
        <v>0.5546733725135623</v>
      </c>
      <c r="Q712" s="14">
        <v>33368</v>
      </c>
      <c r="R712" s="14"/>
      <c r="S712" s="17">
        <v>0.79807243999999999</v>
      </c>
      <c r="T712" s="15">
        <v>39.99</v>
      </c>
      <c r="U712" s="15">
        <v>39.06</v>
      </c>
      <c r="V712" s="15">
        <v>42.23</v>
      </c>
      <c r="W712" s="14" t="s">
        <v>282</v>
      </c>
      <c r="X712" s="14">
        <v>2</v>
      </c>
      <c r="Y712" s="10">
        <f>AC712-AB712</f>
        <v>1472</v>
      </c>
      <c r="Z712" s="18">
        <v>28</v>
      </c>
      <c r="AA712" s="18">
        <v>74</v>
      </c>
      <c r="AB712" s="18">
        <v>14</v>
      </c>
      <c r="AC712" s="18">
        <v>1486</v>
      </c>
      <c r="AD712" s="1" t="s">
        <v>4026</v>
      </c>
      <c r="AE712" s="1" t="s">
        <v>4027</v>
      </c>
      <c r="AF712" s="4">
        <v>6.8</v>
      </c>
      <c r="AG712" s="4">
        <v>6.48</v>
      </c>
    </row>
    <row r="713" spans="1:33" ht="47.25" customHeight="1" x14ac:dyDescent="0.25">
      <c r="A713" s="10" t="s">
        <v>4070</v>
      </c>
      <c r="B713" s="11" t="s">
        <v>33</v>
      </c>
      <c r="C713" s="12" t="s">
        <v>4071</v>
      </c>
      <c r="D713" s="27"/>
      <c r="E713" s="14" t="s">
        <v>35</v>
      </c>
      <c r="F713" s="11" t="str">
        <f>HYPERLINK("https://redirect.sdcdeals.com/redirect?destination=https%3A%2F%2Fwww.amazon.com%2Fdp%2FB07T39GNL6%3Fth%3D1%26psc%3D1%26tag%3Dsdcdeals03-20", "Amazon Link")</f>
        <v>Amazon Link</v>
      </c>
      <c r="G713" s="11" t="s">
        <v>36</v>
      </c>
      <c r="H713" s="14" t="s">
        <v>4072</v>
      </c>
      <c r="I713" s="11" t="str">
        <f>HYPERLINK("https://redirect.sdcdeals.com/redirect?code=763034&amp;mavely=https://mavely.app.link/e/bhESV2wGrGb&amp;destination=https%3A%2F%2Fwww.kohls.com%2Fsearch.jsp%3Fsubmit-search%3Dweb-regular%26search%3D53919690", "Retail Link")</f>
        <v>Retail Link</v>
      </c>
      <c r="J713" s="14" t="s">
        <v>4024</v>
      </c>
      <c r="K713" s="13" t="s">
        <v>4073</v>
      </c>
      <c r="L713" s="15">
        <v>17.696000000000002</v>
      </c>
      <c r="M713" s="15">
        <v>39.99</v>
      </c>
      <c r="N713" s="15">
        <v>9.8155000000000001</v>
      </c>
      <c r="O713" s="15">
        <f>V713-M713</f>
        <v>-0.14000000000000057</v>
      </c>
      <c r="P713" s="16">
        <f>N713/L713</f>
        <v>0.5546733725135623</v>
      </c>
      <c r="Q713" s="14">
        <v>31695</v>
      </c>
      <c r="R713" s="14"/>
      <c r="S713" s="17">
        <v>0.82452787999999999</v>
      </c>
      <c r="T713" s="15">
        <v>39.99</v>
      </c>
      <c r="U713" s="15">
        <v>35.92</v>
      </c>
      <c r="V713" s="15">
        <v>39.85</v>
      </c>
      <c r="W713" s="14" t="s">
        <v>100</v>
      </c>
      <c r="X713" s="14">
        <v>3</v>
      </c>
      <c r="Y713" s="10">
        <f>AC713-AB713</f>
        <v>1485</v>
      </c>
      <c r="Z713" s="18">
        <v>35</v>
      </c>
      <c r="AA713" s="18">
        <v>80</v>
      </c>
      <c r="AB713" s="18">
        <v>2</v>
      </c>
      <c r="AC713" s="18">
        <v>1487</v>
      </c>
      <c r="AD713" s="1" t="s">
        <v>4026</v>
      </c>
      <c r="AE713" s="1" t="s">
        <v>4027</v>
      </c>
      <c r="AF713" s="4">
        <v>6.79</v>
      </c>
      <c r="AG713" s="4">
        <v>6.48</v>
      </c>
    </row>
    <row r="714" spans="1:33" ht="47.25" customHeight="1" x14ac:dyDescent="0.25">
      <c r="A714" s="10" t="s">
        <v>4082</v>
      </c>
      <c r="B714" s="11" t="s">
        <v>33</v>
      </c>
      <c r="C714" s="12" t="s">
        <v>4083</v>
      </c>
      <c r="D714" s="27"/>
      <c r="E714" s="14" t="s">
        <v>35</v>
      </c>
      <c r="F714" s="11" t="str">
        <f>HYPERLINK("https://redirect.sdcdeals.com/redirect?destination=https%3A%2F%2Fwww.amazon.com%2Fdp%2FB07SZ35R5Z%3Fth%3D1%26psc%3D1%26tag%3Dsdcdeals03-20", "Amazon Link")</f>
        <v>Amazon Link</v>
      </c>
      <c r="G714" s="11" t="s">
        <v>36</v>
      </c>
      <c r="H714" s="14" t="s">
        <v>4084</v>
      </c>
      <c r="I714" s="11" t="str">
        <f>HYPERLINK("https://redirect.sdcdeals.com/redirect?code=763034&amp;mavely=https://mavely.app.link/e/bhESV2wGrGb&amp;destination=https%3A%2F%2Fwww.kohls.com%2Fsearch.jsp%3Fsubmit-search%3Dweb-regular%26search%3D53919695", "Retail Link")</f>
        <v>Retail Link</v>
      </c>
      <c r="J714" s="14" t="s">
        <v>4024</v>
      </c>
      <c r="K714" s="13" t="s">
        <v>4085</v>
      </c>
      <c r="L714" s="15">
        <v>17.696000000000002</v>
      </c>
      <c r="M714" s="15">
        <v>39.99</v>
      </c>
      <c r="N714" s="15">
        <v>9.8155000000000001</v>
      </c>
      <c r="O714" s="15">
        <f>V714-M714</f>
        <v>2.4299999999999997</v>
      </c>
      <c r="P714" s="16">
        <f>N714/L714</f>
        <v>0.5546733725135623</v>
      </c>
      <c r="Q714" s="14">
        <v>31695</v>
      </c>
      <c r="R714" s="14"/>
      <c r="S714" s="17">
        <v>0.82673249999999998</v>
      </c>
      <c r="T714" s="15">
        <v>39.99</v>
      </c>
      <c r="U714" s="15">
        <v>36.57</v>
      </c>
      <c r="V714" s="15">
        <v>42.42</v>
      </c>
      <c r="W714" s="14" t="s">
        <v>60</v>
      </c>
      <c r="X714" s="14">
        <v>2</v>
      </c>
      <c r="Y714" s="10">
        <f>AC714-AB714</f>
        <v>1483</v>
      </c>
      <c r="Z714" s="18">
        <v>27</v>
      </c>
      <c r="AA714" s="18">
        <v>75</v>
      </c>
      <c r="AB714" s="18">
        <v>3</v>
      </c>
      <c r="AC714" s="18">
        <v>1486</v>
      </c>
      <c r="AD714" s="1" t="s">
        <v>4026</v>
      </c>
      <c r="AE714" s="1" t="s">
        <v>4027</v>
      </c>
      <c r="AF714" s="4">
        <v>6.8</v>
      </c>
      <c r="AG714" s="4">
        <v>6.48</v>
      </c>
    </row>
    <row r="715" spans="1:33" ht="47.25" customHeight="1" x14ac:dyDescent="0.25">
      <c r="A715" s="10" t="s">
        <v>5297</v>
      </c>
      <c r="B715" s="11" t="s">
        <v>33</v>
      </c>
      <c r="C715" s="12" t="s">
        <v>5298</v>
      </c>
      <c r="D715" s="27"/>
      <c r="E715" s="14" t="s">
        <v>35</v>
      </c>
      <c r="F715" s="11" t="str">
        <f>HYPERLINK("https://redirect.sdcdeals.com/redirect?destination=https%3A%2F%2Fwww.amazon.com%2Fdp%2FB07Z569PCN%3Fth%3D1%26psc%3D1%26tag%3Dsdcdeals03-20", "Amazon Link")</f>
        <v>Amazon Link</v>
      </c>
      <c r="G715" s="11" t="s">
        <v>36</v>
      </c>
      <c r="H715" s="14" t="s">
        <v>5299</v>
      </c>
      <c r="I715" s="11" t="str">
        <f>HYPERLINK("https://redirect.sdcdeals.com/redirect?code=763034&amp;mavely=https://mavely.app.link/e/bhESV2wGrGb&amp;destination=https%3A%2F%2Fwww.kohls.com%2Fsearch.jsp%3Fsubmit-search%3Dweb-regular%26search%3D33879443", "Retail Link")</f>
        <v>Retail Link</v>
      </c>
      <c r="J715" s="14" t="s">
        <v>5300</v>
      </c>
      <c r="K715" s="13" t="s">
        <v>5301</v>
      </c>
      <c r="L715" s="15">
        <v>17</v>
      </c>
      <c r="M715" s="15">
        <v>40.17</v>
      </c>
      <c r="N715" s="15">
        <v>9.4245000000000019</v>
      </c>
      <c r="O715" s="15">
        <f>V715-M715</f>
        <v>19.350000000000001</v>
      </c>
      <c r="P715" s="16">
        <f>N715/L715</f>
        <v>0.55438235294117655</v>
      </c>
      <c r="Q715" s="14">
        <v>3262099</v>
      </c>
      <c r="R715" s="14"/>
      <c r="S715" s="17">
        <v>0.85980180000000006</v>
      </c>
      <c r="T715" s="15">
        <v>32.22</v>
      </c>
      <c r="U715" s="15">
        <v>52.77</v>
      </c>
      <c r="V715" s="15">
        <v>59.52</v>
      </c>
      <c r="W715" s="14" t="s">
        <v>698</v>
      </c>
      <c r="X715" s="14">
        <v>7</v>
      </c>
      <c r="Y715" s="10">
        <f>AC715-AB715</f>
        <v>0</v>
      </c>
      <c r="Z715" s="18">
        <v>0</v>
      </c>
      <c r="AA715" s="18">
        <v>2</v>
      </c>
      <c r="AB715" s="18">
        <v>9</v>
      </c>
      <c r="AC715" s="18">
        <v>9</v>
      </c>
      <c r="AE715" s="1" t="s">
        <v>5302</v>
      </c>
      <c r="AF715" s="4">
        <v>6.83</v>
      </c>
      <c r="AG715" s="4">
        <v>7.72</v>
      </c>
    </row>
    <row r="716" spans="1:33" ht="47.25" customHeight="1" x14ac:dyDescent="0.25">
      <c r="A716" s="10" t="s">
        <v>997</v>
      </c>
      <c r="B716" s="11" t="s">
        <v>33</v>
      </c>
      <c r="C716" s="12" t="s">
        <v>998</v>
      </c>
      <c r="D716" s="27"/>
      <c r="E716" s="14" t="s">
        <v>35</v>
      </c>
      <c r="F716" s="11" t="str">
        <f>HYPERLINK("https://redirect.sdcdeals.com/redirect?destination=https%3A%2F%2Fwww.amazon.com%2Fdp%2FB0BFTH2KZC%3Fth%3D1%26psc%3D1%26tag%3Dsdcdeals03-20", "Amazon Link")</f>
        <v>Amazon Link</v>
      </c>
      <c r="G716" s="11" t="s">
        <v>36</v>
      </c>
      <c r="H716" s="14" t="s">
        <v>999</v>
      </c>
      <c r="I716" s="11" t="str">
        <f>HYPERLINK("https://redirect.sdcdeals.com/redirect?code=763034&amp;mavely=https://mavely.app.link/e/bhESV2wGrGb&amp;destination=https%3A%2F%2Fwww.kohls.com%2Fsearch.jsp%3Fsubmit-search%3Dweb-regular%26search%3D83188590", "Retail Link")</f>
        <v>Retail Link</v>
      </c>
      <c r="J716" s="14" t="s">
        <v>973</v>
      </c>
      <c r="K716" s="13" t="s">
        <v>1000</v>
      </c>
      <c r="L716" s="15">
        <v>49.496000000000002</v>
      </c>
      <c r="M716" s="15">
        <v>110.31</v>
      </c>
      <c r="N716" s="15">
        <v>27.437499999999989</v>
      </c>
      <c r="O716" s="15">
        <f>V716-M716</f>
        <v>5.230000000000004</v>
      </c>
      <c r="P716" s="16">
        <f>N716/L716</f>
        <v>0.55433772426054606</v>
      </c>
      <c r="Q716" s="14">
        <v>2079619</v>
      </c>
      <c r="R716" s="14"/>
      <c r="S716" s="17">
        <v>1.9797487600000001</v>
      </c>
      <c r="T716" s="15">
        <v>110.31</v>
      </c>
      <c r="U716" s="15">
        <v>112.85</v>
      </c>
      <c r="V716" s="15">
        <v>115.54</v>
      </c>
      <c r="W716" s="14" t="s">
        <v>286</v>
      </c>
      <c r="X716" s="14">
        <v>1</v>
      </c>
      <c r="Y716" s="10">
        <f>AC716-AB716</f>
        <v>1</v>
      </c>
      <c r="Z716" s="18">
        <v>2</v>
      </c>
      <c r="AA716" s="18">
        <v>2</v>
      </c>
      <c r="AB716" s="18">
        <v>0</v>
      </c>
      <c r="AC716" s="18">
        <v>1</v>
      </c>
      <c r="AD716" s="1" t="s">
        <v>976</v>
      </c>
      <c r="AE716" s="1" t="s">
        <v>700</v>
      </c>
      <c r="AF716" s="4">
        <v>18.75</v>
      </c>
      <c r="AG716" s="4">
        <v>16.829999999999998</v>
      </c>
    </row>
    <row r="717" spans="1:33" ht="47.25" customHeight="1" x14ac:dyDescent="0.25">
      <c r="A717" s="10" t="s">
        <v>1698</v>
      </c>
      <c r="B717" s="11" t="s">
        <v>33</v>
      </c>
      <c r="C717" s="12" t="s">
        <v>1699</v>
      </c>
      <c r="D717" s="27"/>
      <c r="E717" s="14" t="s">
        <v>35</v>
      </c>
      <c r="F717" s="11" t="str">
        <f>HYPERLINK("https://redirect.sdcdeals.com/redirect?destination=https%3A%2F%2Fwww.amazon.com%2Fdp%2FB08NYJPR42%3Fth%3D1%26psc%3D1%26tag%3Dsdcdeals03-20", "Amazon Link")</f>
        <v>Amazon Link</v>
      </c>
      <c r="G717" s="11" t="s">
        <v>36</v>
      </c>
      <c r="H717" s="14" t="s">
        <v>1700</v>
      </c>
      <c r="I717" s="11" t="str">
        <f>HYPERLINK("https://redirect.sdcdeals.com/redirect?code=763034&amp;mavely=https://mavely.app.link/e/bhESV2wGrGb&amp;destination=https%3A%2F%2Fwww.kohls.com%2Fsearch.jsp%3Fsubmit-search%3Dweb-regular%26search%3D75742804", "Retail Link")</f>
        <v>Retail Link</v>
      </c>
      <c r="J717" s="14" t="s">
        <v>1701</v>
      </c>
      <c r="K717" s="13" t="s">
        <v>1702</v>
      </c>
      <c r="L717" s="15">
        <v>15.4</v>
      </c>
      <c r="M717" s="15">
        <v>36</v>
      </c>
      <c r="N717" s="15">
        <v>8.5299999999999994</v>
      </c>
      <c r="O717" s="15">
        <f>V717-M717</f>
        <v>1.1099999999999994</v>
      </c>
      <c r="P717" s="16">
        <f>N717/L717</f>
        <v>0.55389610389610389</v>
      </c>
      <c r="Q717" s="14">
        <v>2081231</v>
      </c>
      <c r="R717" s="14"/>
      <c r="S717" s="17">
        <v>0.59524739999999998</v>
      </c>
      <c r="T717" s="15">
        <v>36</v>
      </c>
      <c r="U717" s="15">
        <v>36.01</v>
      </c>
      <c r="V717" s="15">
        <v>37.11</v>
      </c>
      <c r="W717" s="14" t="s">
        <v>1703</v>
      </c>
      <c r="X717" s="14">
        <v>8</v>
      </c>
      <c r="Y717" s="10">
        <f>AC717-AB717</f>
        <v>1</v>
      </c>
      <c r="Z717" s="18">
        <v>4</v>
      </c>
      <c r="AA717" s="18">
        <v>11</v>
      </c>
      <c r="AB717" s="18">
        <v>2</v>
      </c>
      <c r="AC717" s="18">
        <v>3</v>
      </c>
      <c r="AD717" s="1" t="s">
        <v>1704</v>
      </c>
      <c r="AE717" s="1" t="s">
        <v>1705</v>
      </c>
      <c r="AG717" s="4">
        <v>6.67</v>
      </c>
    </row>
    <row r="718" spans="1:33" ht="47.25" customHeight="1" x14ac:dyDescent="0.25">
      <c r="A718" s="10" t="s">
        <v>3094</v>
      </c>
      <c r="B718" s="11" t="s">
        <v>33</v>
      </c>
      <c r="C718" s="12" t="s">
        <v>3095</v>
      </c>
      <c r="D718" s="27"/>
      <c r="E718" s="14" t="s">
        <v>35</v>
      </c>
      <c r="F718" s="11" t="str">
        <f>HYPERLINK("https://redirect.sdcdeals.com/redirect?destination=https%3A%2F%2Fwww.amazon.com%2Fdp%2FB07KM7S3BC%3Fth%3D1%26psc%3D1%26tag%3Dsdcdeals03-20", "Amazon Link")</f>
        <v>Amazon Link</v>
      </c>
      <c r="G718" s="11" t="s">
        <v>36</v>
      </c>
      <c r="H718" s="14" t="s">
        <v>3096</v>
      </c>
      <c r="I718" s="11" t="str">
        <f>HYPERLINK("https://redirect.sdcdeals.com/redirect?code=763034&amp;mavely=https://mavely.app.link/e/bhESV2wGrGb&amp;destination=https%3A%2F%2Fwww.kohls.com%2Fsearch.jsp%3Fsubmit-search%3Dweb-regular%26search%3D78064355", "Retail Link")</f>
        <v>Retail Link</v>
      </c>
      <c r="J718" s="14" t="s">
        <v>3090</v>
      </c>
      <c r="K718" s="13" t="s">
        <v>3097</v>
      </c>
      <c r="L718" s="15">
        <v>40</v>
      </c>
      <c r="M718" s="15">
        <v>96</v>
      </c>
      <c r="N718" s="15">
        <v>22.11</v>
      </c>
      <c r="O718" s="15">
        <f>V718-M718</f>
        <v>19.400000000000006</v>
      </c>
      <c r="P718" s="16">
        <f>N718/L718</f>
        <v>0.55274999999999996</v>
      </c>
      <c r="Q718" s="14">
        <v>356748</v>
      </c>
      <c r="R718" s="14"/>
      <c r="S718" s="17">
        <v>3.2628376000000001</v>
      </c>
      <c r="T718" s="15">
        <v>88.05</v>
      </c>
      <c r="U718" s="15">
        <v>113.02</v>
      </c>
      <c r="V718" s="15">
        <v>115.4</v>
      </c>
      <c r="W718" s="14" t="s">
        <v>245</v>
      </c>
      <c r="X718" s="14">
        <v>1</v>
      </c>
      <c r="Y718" s="10">
        <f>AC718-AB718</f>
        <v>1932</v>
      </c>
      <c r="Z718" s="18">
        <v>20</v>
      </c>
      <c r="AA718" s="18">
        <v>60</v>
      </c>
      <c r="AB718" s="18">
        <v>0</v>
      </c>
      <c r="AC718" s="18">
        <v>1932</v>
      </c>
      <c r="AD718" s="1" t="s">
        <v>3098</v>
      </c>
      <c r="AE718" s="1" t="s">
        <v>3099</v>
      </c>
      <c r="AF718" s="4">
        <v>16.32</v>
      </c>
      <c r="AG718" s="4">
        <v>19.489999999999998</v>
      </c>
    </row>
    <row r="719" spans="1:33" ht="47.25" customHeight="1" x14ac:dyDescent="0.25">
      <c r="A719" s="10" t="s">
        <v>3128</v>
      </c>
      <c r="B719" s="11" t="s">
        <v>33</v>
      </c>
      <c r="C719" s="12" t="s">
        <v>3129</v>
      </c>
      <c r="D719" s="27"/>
      <c r="E719" s="14" t="s">
        <v>35</v>
      </c>
      <c r="F719" s="11" t="str">
        <f>HYPERLINK("https://redirect.sdcdeals.com/redirect?destination=https%3A%2F%2Fwww.amazon.com%2Fdp%2FB0B64KVVHH%3Fth%3D1%26psc%3D1%26tag%3Dsdcdeals03-20", "Amazon Link")</f>
        <v>Amazon Link</v>
      </c>
      <c r="G719" s="11" t="s">
        <v>36</v>
      </c>
      <c r="H719" s="14" t="s">
        <v>3130</v>
      </c>
      <c r="I719" s="11" t="str">
        <f>HYPERLINK("https://redirect.sdcdeals.com/redirect?code=763034&amp;mavely=https://mavely.app.link/e/bhESV2wGrGb&amp;destination=https%3A%2F%2Fwww.kohls.com%2Fsearch.jsp%3Fsubmit-search%3Dweb-regular%26search%3D78064379", "Retail Link")</f>
        <v>Retail Link</v>
      </c>
      <c r="J719" s="14" t="s">
        <v>3090</v>
      </c>
      <c r="K719" s="13" t="s">
        <v>3131</v>
      </c>
      <c r="L719" s="15">
        <v>40</v>
      </c>
      <c r="M719" s="15">
        <v>96</v>
      </c>
      <c r="N719" s="15">
        <v>22.11</v>
      </c>
      <c r="O719" s="15">
        <f>V719-M719</f>
        <v>26.060000000000002</v>
      </c>
      <c r="P719" s="16">
        <f>N719/L719</f>
        <v>0.55274999999999996</v>
      </c>
      <c r="Q719" s="14">
        <v>356748</v>
      </c>
      <c r="R719" s="14"/>
      <c r="S719" s="17">
        <v>3.2628376000000001</v>
      </c>
      <c r="T719" s="15">
        <v>88.05</v>
      </c>
      <c r="U719" s="15">
        <v>121.84</v>
      </c>
      <c r="V719" s="15">
        <v>122.06</v>
      </c>
      <c r="W719" s="14" t="s">
        <v>671</v>
      </c>
      <c r="X719" s="14">
        <v>2</v>
      </c>
      <c r="Y719" s="10">
        <f>AC719-AB719</f>
        <v>1932</v>
      </c>
      <c r="Z719" s="18">
        <v>17</v>
      </c>
      <c r="AA719" s="18">
        <v>49</v>
      </c>
      <c r="AB719" s="18">
        <v>0</v>
      </c>
      <c r="AC719" s="18">
        <v>1932</v>
      </c>
      <c r="AD719" s="1" t="s">
        <v>3132</v>
      </c>
      <c r="AE719" s="1" t="s">
        <v>3133</v>
      </c>
      <c r="AF719" s="4">
        <v>16.32</v>
      </c>
      <c r="AG719" s="4">
        <v>19.489999999999998</v>
      </c>
    </row>
    <row r="720" spans="1:33" ht="47.25" customHeight="1" x14ac:dyDescent="0.25">
      <c r="A720" s="10" t="s">
        <v>3149</v>
      </c>
      <c r="B720" s="11" t="s">
        <v>33</v>
      </c>
      <c r="C720" s="12" t="s">
        <v>3150</v>
      </c>
      <c r="D720" s="27"/>
      <c r="E720" s="14" t="s">
        <v>35</v>
      </c>
      <c r="F720" s="11" t="str">
        <f>HYPERLINK("https://redirect.sdcdeals.com/redirect?destination=https%3A%2F%2Fwww.amazon.com%2Fdp%2FB0B64GMBLG%3Fth%3D1%26psc%3D1%26tag%3Dsdcdeals03-20", "Amazon Link")</f>
        <v>Amazon Link</v>
      </c>
      <c r="G720" s="11" t="s">
        <v>36</v>
      </c>
      <c r="H720" s="14" t="s">
        <v>3151</v>
      </c>
      <c r="I720" s="11" t="str">
        <f>HYPERLINK("https://redirect.sdcdeals.com/redirect?code=763034&amp;mavely=https://mavely.app.link/e/bhESV2wGrGb&amp;destination=https%3A%2F%2Fwww.kohls.com%2Fsearch.jsp%3Fsubmit-search%3Dweb-regular%26search%3D78064381", "Retail Link")</f>
        <v>Retail Link</v>
      </c>
      <c r="J720" s="14" t="s">
        <v>3090</v>
      </c>
      <c r="K720" s="13" t="s">
        <v>3152</v>
      </c>
      <c r="L720" s="15">
        <v>40</v>
      </c>
      <c r="M720" s="15">
        <v>96</v>
      </c>
      <c r="N720" s="15">
        <v>22.11</v>
      </c>
      <c r="O720" s="15">
        <f>V720-M720</f>
        <v>24.540000000000006</v>
      </c>
      <c r="P720" s="16">
        <f>N720/L720</f>
        <v>0.55274999999999996</v>
      </c>
      <c r="Q720" s="14">
        <v>393221</v>
      </c>
      <c r="R720" s="14"/>
      <c r="S720" s="17">
        <v>3.2628376000000001</v>
      </c>
      <c r="T720" s="15">
        <v>88.05</v>
      </c>
      <c r="U720" s="15">
        <v>119.66</v>
      </c>
      <c r="V720" s="15">
        <v>120.54</v>
      </c>
      <c r="W720" s="14" t="s">
        <v>3153</v>
      </c>
      <c r="X720" s="14">
        <v>3</v>
      </c>
      <c r="Y720" s="10">
        <f>AC720-AB720</f>
        <v>1935</v>
      </c>
      <c r="Z720" s="18">
        <v>27</v>
      </c>
      <c r="AA720" s="18">
        <v>78</v>
      </c>
      <c r="AB720" s="18">
        <v>0</v>
      </c>
      <c r="AC720" s="18">
        <v>1935</v>
      </c>
      <c r="AD720" s="1" t="s">
        <v>3154</v>
      </c>
      <c r="AE720" s="1" t="s">
        <v>3133</v>
      </c>
      <c r="AF720" s="4">
        <v>16.32</v>
      </c>
      <c r="AG720" s="4">
        <v>19.489999999999998</v>
      </c>
    </row>
    <row r="721" spans="1:33" ht="47.25" customHeight="1" x14ac:dyDescent="0.25">
      <c r="A721" s="10" t="s">
        <v>1885</v>
      </c>
      <c r="B721" s="11" t="s">
        <v>33</v>
      </c>
      <c r="C721" s="12" t="s">
        <v>1886</v>
      </c>
      <c r="D721" s="27"/>
      <c r="E721" s="14" t="s">
        <v>35</v>
      </c>
      <c r="F721" s="11" t="str">
        <f>HYPERLINK("https://redirect.sdcdeals.com/redirect?destination=https%3A%2F%2Fwww.amazon.com%2Fdp%2FB0BGW2DCJV%3Fth%3D1%26psc%3D1%26tag%3Dsdcdeals03-20", "Amazon Link")</f>
        <v>Amazon Link</v>
      </c>
      <c r="G721" s="11" t="s">
        <v>36</v>
      </c>
      <c r="H721" s="14" t="s">
        <v>1887</v>
      </c>
      <c r="I721" s="11" t="str">
        <f>HYPERLINK("https://redirect.sdcdeals.com/redirect?code=763034&amp;mavely=https://mavely.app.link/e/bhESV2wGrGb&amp;destination=https%3A%2F%2Fwww.kohls.com%2Fsearch.jsp%3Fsubmit-search%3Dweb-regular%26search%3D63445456", "Retail Link")</f>
        <v>Retail Link</v>
      </c>
      <c r="J721" s="14" t="s">
        <v>1856</v>
      </c>
      <c r="K721" s="13" t="s">
        <v>1888</v>
      </c>
      <c r="L721" s="15">
        <v>14.295999999999999</v>
      </c>
      <c r="M721" s="15">
        <v>33.909999999999997</v>
      </c>
      <c r="N721" s="15">
        <v>7.8574999999999946</v>
      </c>
      <c r="O721" s="15">
        <f>V721-M721</f>
        <v>1.8100000000000023</v>
      </c>
      <c r="P721" s="16">
        <f>N721/L721</f>
        <v>0.54962926692781167</v>
      </c>
      <c r="Q721" s="14">
        <v>57946</v>
      </c>
      <c r="R721" s="14"/>
      <c r="S721" s="17">
        <v>1.0097159600000001</v>
      </c>
      <c r="T721" s="15">
        <v>30.45</v>
      </c>
      <c r="U721" s="15">
        <v>33.159999999999997</v>
      </c>
      <c r="V721" s="15">
        <v>35.72</v>
      </c>
      <c r="W721" s="14" t="s">
        <v>1832</v>
      </c>
      <c r="X721" s="14">
        <v>10</v>
      </c>
      <c r="Y721" s="10">
        <f>AC721-AB721</f>
        <v>363</v>
      </c>
      <c r="Z721" s="18">
        <v>32</v>
      </c>
      <c r="AA721" s="18">
        <v>121</v>
      </c>
      <c r="AB721" s="18">
        <v>17</v>
      </c>
      <c r="AC721" s="18">
        <v>380</v>
      </c>
      <c r="AD721" s="1" t="s">
        <v>1858</v>
      </c>
      <c r="AE721" s="1" t="s">
        <v>1859</v>
      </c>
      <c r="AF721" s="4">
        <v>5.76</v>
      </c>
      <c r="AG721" s="4">
        <v>6.67</v>
      </c>
    </row>
    <row r="722" spans="1:33" ht="47.25" customHeight="1" x14ac:dyDescent="0.25">
      <c r="A722" s="10" t="s">
        <v>5897</v>
      </c>
      <c r="B722" s="11" t="s">
        <v>33</v>
      </c>
      <c r="C722" s="12" t="s">
        <v>5898</v>
      </c>
      <c r="D722" s="27"/>
      <c r="E722" s="14" t="s">
        <v>35</v>
      </c>
      <c r="F722" s="11" t="str">
        <f>HYPERLINK("https://redirect.sdcdeals.com/redirect?destination=https%3A%2F%2Fwww.amazon.com%2Fdp%2FB09LDCY9PN%3Fth%3D1%26psc%3D1%26tag%3Dsdcdeals03-20", "Amazon Link")</f>
        <v>Amazon Link</v>
      </c>
      <c r="G722" s="11" t="s">
        <v>36</v>
      </c>
      <c r="H722" s="14" t="s">
        <v>5899</v>
      </c>
      <c r="I722" s="11" t="str">
        <f>HYPERLINK("https://redirect.sdcdeals.com/redirect?code=763034&amp;mavely=https://mavely.app.link/e/bhESV2wGrGb&amp;destination=https%3A%2F%2Fwww.kohls.com%2Fsearch.jsp%3Fsubmit-search%3Dweb-regular%26search%3D75460036", "Retail Link")</f>
        <v>Retail Link</v>
      </c>
      <c r="J722" s="14" t="s">
        <v>5900</v>
      </c>
      <c r="K722" s="13" t="s">
        <v>5901</v>
      </c>
      <c r="L722" s="15">
        <v>17.591999999999999</v>
      </c>
      <c r="M722" s="15">
        <v>40.380000000000003</v>
      </c>
      <c r="N722" s="15">
        <v>9.6510000000000034</v>
      </c>
      <c r="O722" s="15">
        <f>V722-M722</f>
        <v>51.749999999999993</v>
      </c>
      <c r="P722" s="16">
        <f>N722/L722</f>
        <v>0.54860163710777654</v>
      </c>
      <c r="Q722" s="14">
        <v>2298934</v>
      </c>
      <c r="R722" s="14"/>
      <c r="S722" s="17">
        <v>1.7592867599999999</v>
      </c>
      <c r="T722" s="15">
        <v>40.380000000000003</v>
      </c>
      <c r="U722" s="15">
        <v>91.57</v>
      </c>
      <c r="V722" s="15">
        <v>92.13</v>
      </c>
      <c r="W722" s="14" t="s">
        <v>53</v>
      </c>
      <c r="X722" s="14">
        <v>3</v>
      </c>
      <c r="Y722" s="10">
        <f>AC722-AB722</f>
        <v>15</v>
      </c>
      <c r="Z722" s="18">
        <v>1</v>
      </c>
      <c r="AA722" s="18">
        <v>1</v>
      </c>
      <c r="AB722" s="18">
        <v>1</v>
      </c>
      <c r="AC722" s="18">
        <v>16</v>
      </c>
      <c r="AD722" s="1" t="s">
        <v>5902</v>
      </c>
      <c r="AE722" s="1" t="s">
        <v>3567</v>
      </c>
      <c r="AG722" s="4">
        <v>7.08</v>
      </c>
    </row>
    <row r="723" spans="1:33" ht="47.25" customHeight="1" x14ac:dyDescent="0.25">
      <c r="A723" s="10" t="s">
        <v>4021</v>
      </c>
      <c r="B723" s="11" t="s">
        <v>33</v>
      </c>
      <c r="C723" s="12" t="s">
        <v>4022</v>
      </c>
      <c r="D723" s="27"/>
      <c r="E723" s="14" t="s">
        <v>35</v>
      </c>
      <c r="F723" s="11" t="str">
        <f>HYPERLINK("https://redirect.sdcdeals.com/redirect?destination=https%3A%2F%2Fwww.amazon.com%2Fdp%2FB07T5FS78L%3Fth%3D1%26psc%3D1%26tag%3Dsdcdeals03-20", "Amazon Link")</f>
        <v>Amazon Link</v>
      </c>
      <c r="G723" s="11" t="s">
        <v>36</v>
      </c>
      <c r="H723" s="14" t="s">
        <v>4023</v>
      </c>
      <c r="I723" s="11" t="str">
        <f>HYPERLINK("https://redirect.sdcdeals.com/redirect?code=763034&amp;mavely=https://mavely.app.link/e/bhESV2wGrGb&amp;destination=https%3A%2F%2Fwww.kohls.com%2Fsearch.jsp%3Fsubmit-search%3Dweb-regular%26search%3D53919679", "Retail Link")</f>
        <v>Retail Link</v>
      </c>
      <c r="J723" s="14" t="s">
        <v>4024</v>
      </c>
      <c r="K723" s="13" t="s">
        <v>4025</v>
      </c>
      <c r="L723" s="15">
        <v>17.696000000000002</v>
      </c>
      <c r="M723" s="15">
        <v>39.99</v>
      </c>
      <c r="N723" s="15">
        <v>9.6954999999999991</v>
      </c>
      <c r="O723" s="15">
        <f>V723-M723</f>
        <v>3.0599999999999952</v>
      </c>
      <c r="P723" s="16">
        <f>N723/L723</f>
        <v>0.54789217902350806</v>
      </c>
      <c r="Q723" s="14">
        <v>33368</v>
      </c>
      <c r="R723" s="14"/>
      <c r="S723" s="17">
        <v>0.74957079999999998</v>
      </c>
      <c r="T723" s="15">
        <v>39.99</v>
      </c>
      <c r="U723" s="15">
        <v>38.119999999999997</v>
      </c>
      <c r="V723" s="15">
        <v>43.05</v>
      </c>
      <c r="W723" s="14" t="s">
        <v>436</v>
      </c>
      <c r="X723" s="14">
        <v>3</v>
      </c>
      <c r="Y723" s="10">
        <f>AC723-AB723</f>
        <v>1455</v>
      </c>
      <c r="Z723" s="18">
        <v>38</v>
      </c>
      <c r="AA723" s="18">
        <v>101</v>
      </c>
      <c r="AB723" s="18">
        <v>32</v>
      </c>
      <c r="AC723" s="18">
        <v>1487</v>
      </c>
      <c r="AD723" s="1" t="s">
        <v>4026</v>
      </c>
      <c r="AE723" s="1" t="s">
        <v>4027</v>
      </c>
      <c r="AF723" s="4">
        <v>6.8</v>
      </c>
      <c r="AG723" s="4">
        <v>6.6</v>
      </c>
    </row>
    <row r="724" spans="1:33" ht="47.25" customHeight="1" x14ac:dyDescent="0.25">
      <c r="A724" s="10" t="s">
        <v>4032</v>
      </c>
      <c r="B724" s="11" t="s">
        <v>33</v>
      </c>
      <c r="C724" s="12" t="s">
        <v>4033</v>
      </c>
      <c r="D724" s="27"/>
      <c r="E724" s="14" t="s">
        <v>35</v>
      </c>
      <c r="F724" s="11" t="str">
        <f>HYPERLINK("https://redirect.sdcdeals.com/redirect?destination=https%3A%2F%2Fwww.amazon.com%2Fdp%2FB07T39LWSF%3Fth%3D1%26psc%3D1%26tag%3Dsdcdeals03-20", "Amazon Link")</f>
        <v>Amazon Link</v>
      </c>
      <c r="G724" s="11" t="s">
        <v>36</v>
      </c>
      <c r="H724" s="14" t="s">
        <v>4034</v>
      </c>
      <c r="I724" s="11" t="str">
        <f>HYPERLINK("https://redirect.sdcdeals.com/redirect?code=763034&amp;mavely=https://mavely.app.link/e/bhESV2wGrGb&amp;destination=https%3A%2F%2Fwww.kohls.com%2Fsearch.jsp%3Fsubmit-search%3Dweb-regular%26search%3D53919681", "Retail Link")</f>
        <v>Retail Link</v>
      </c>
      <c r="J724" s="14" t="s">
        <v>4024</v>
      </c>
      <c r="K724" s="13" t="s">
        <v>4035</v>
      </c>
      <c r="L724" s="15">
        <v>17.696000000000002</v>
      </c>
      <c r="M724" s="15">
        <v>39.99</v>
      </c>
      <c r="N724" s="15">
        <v>9.6954999999999991</v>
      </c>
      <c r="O724" s="15">
        <f>V724-M724</f>
        <v>2.3099999999999952</v>
      </c>
      <c r="P724" s="16">
        <f>N724/L724</f>
        <v>0.54789217902350806</v>
      </c>
      <c r="Q724" s="14">
        <v>33368</v>
      </c>
      <c r="R724" s="14"/>
      <c r="S724" s="17">
        <v>0.83996022000000004</v>
      </c>
      <c r="T724" s="15">
        <v>39.99</v>
      </c>
      <c r="U724" s="15">
        <v>40.090000000000003</v>
      </c>
      <c r="V724" s="15">
        <v>42.3</v>
      </c>
      <c r="W724" s="14" t="s">
        <v>88</v>
      </c>
      <c r="X724" s="14">
        <v>2</v>
      </c>
      <c r="Y724" s="10">
        <f>AC724-AB724</f>
        <v>1464</v>
      </c>
      <c r="Z724" s="18">
        <v>41</v>
      </c>
      <c r="AA724" s="18">
        <v>96</v>
      </c>
      <c r="AB724" s="18">
        <v>22</v>
      </c>
      <c r="AC724" s="18">
        <v>1486</v>
      </c>
      <c r="AD724" s="1" t="s">
        <v>4026</v>
      </c>
      <c r="AE724" s="1" t="s">
        <v>4027</v>
      </c>
      <c r="AF724" s="4">
        <v>6.8</v>
      </c>
      <c r="AG724" s="4">
        <v>6.6</v>
      </c>
    </row>
    <row r="725" spans="1:33" ht="47.25" customHeight="1" x14ac:dyDescent="0.25">
      <c r="A725" s="10" t="s">
        <v>4078</v>
      </c>
      <c r="B725" s="11" t="s">
        <v>33</v>
      </c>
      <c r="C725" s="12" t="s">
        <v>4079</v>
      </c>
      <c r="D725" s="27"/>
      <c r="E725" s="14" t="s">
        <v>35</v>
      </c>
      <c r="F725" s="11" t="str">
        <f>HYPERLINK("https://redirect.sdcdeals.com/redirect?destination=https%3A%2F%2Fwww.amazon.com%2Fdp%2FB07T27HCY9%3Fth%3D1%26psc%3D1%26tag%3Dsdcdeals03-20", "Amazon Link")</f>
        <v>Amazon Link</v>
      </c>
      <c r="G725" s="11" t="s">
        <v>36</v>
      </c>
      <c r="H725" s="14" t="s">
        <v>4080</v>
      </c>
      <c r="I725" s="11" t="str">
        <f>HYPERLINK("https://redirect.sdcdeals.com/redirect?code=763034&amp;mavely=https://mavely.app.link/e/bhESV2wGrGb&amp;destination=https%3A%2F%2Fwww.kohls.com%2Fsearch.jsp%3Fsubmit-search%3Dweb-regular%26search%3D53919694", "Retail Link")</f>
        <v>Retail Link</v>
      </c>
      <c r="J725" s="14" t="s">
        <v>4024</v>
      </c>
      <c r="K725" s="13" t="s">
        <v>4081</v>
      </c>
      <c r="L725" s="15">
        <v>17.696000000000002</v>
      </c>
      <c r="M725" s="15">
        <v>39.99</v>
      </c>
      <c r="N725" s="15">
        <v>9.6954999999999991</v>
      </c>
      <c r="O725" s="15">
        <f>V725-M725</f>
        <v>3.6299999999999955</v>
      </c>
      <c r="P725" s="16">
        <f>N725/L725</f>
        <v>0.54789217902350806</v>
      </c>
      <c r="Q725" s="14">
        <v>33368</v>
      </c>
      <c r="R725" s="14"/>
      <c r="S725" s="17">
        <v>0.83996022000000004</v>
      </c>
      <c r="T725" s="15">
        <v>39.99</v>
      </c>
      <c r="U725" s="15">
        <v>41.2</v>
      </c>
      <c r="V725" s="15">
        <v>43.62</v>
      </c>
      <c r="W725" s="14" t="s">
        <v>106</v>
      </c>
      <c r="X725" s="14">
        <v>2</v>
      </c>
      <c r="Y725" s="10">
        <f>AC725-AB725</f>
        <v>1479</v>
      </c>
      <c r="Z725" s="18">
        <v>38</v>
      </c>
      <c r="AA725" s="18">
        <v>83</v>
      </c>
      <c r="AB725" s="18">
        <v>4</v>
      </c>
      <c r="AC725" s="18">
        <v>1483</v>
      </c>
      <c r="AD725" s="1" t="s">
        <v>4026</v>
      </c>
      <c r="AE725" s="1" t="s">
        <v>4027</v>
      </c>
      <c r="AF725" s="4">
        <v>6.8</v>
      </c>
      <c r="AG725" s="4">
        <v>6.6</v>
      </c>
    </row>
    <row r="726" spans="1:33" ht="47.25" customHeight="1" x14ac:dyDescent="0.25">
      <c r="A726" s="10" t="s">
        <v>2041</v>
      </c>
      <c r="B726" s="11" t="s">
        <v>33</v>
      </c>
      <c r="C726" s="12" t="s">
        <v>2042</v>
      </c>
      <c r="D726" s="27"/>
      <c r="E726" s="14" t="s">
        <v>35</v>
      </c>
      <c r="F726" s="11" t="str">
        <f>HYPERLINK("https://redirect.sdcdeals.com/redirect?destination=https%3A%2F%2Fwww.amazon.com%2Fdp%2FB0942QYF1Q%3Fth%3D1%26psc%3D1%26tag%3Dsdcdeals03-20", "Amazon Link")</f>
        <v>Amazon Link</v>
      </c>
      <c r="G726" s="11" t="s">
        <v>36</v>
      </c>
      <c r="H726" s="14" t="s">
        <v>2043</v>
      </c>
      <c r="I726" s="11" t="str">
        <f>HYPERLINK("https://redirect.sdcdeals.com/redirect?code=763034&amp;mavely=https://mavely.app.link/e/bhESV2wGrGb&amp;destination=https%3A%2F%2Fwww.kohls.com%2Fsearch.jsp%3Fsubmit-search%3Dweb-regular%26search%3D46568057", "Retail Link")</f>
        <v>Retail Link</v>
      </c>
      <c r="J726" s="14" t="s">
        <v>2014</v>
      </c>
      <c r="K726" s="13" t="s">
        <v>2044</v>
      </c>
      <c r="L726" s="15">
        <v>13</v>
      </c>
      <c r="M726" s="15">
        <v>32.25</v>
      </c>
      <c r="N726" s="15">
        <v>7.072499999999998</v>
      </c>
      <c r="O726" s="15">
        <f>V726-M726</f>
        <v>8.3999999999999986</v>
      </c>
      <c r="P726" s="16">
        <f>N726/L726</f>
        <v>0.54403846153846136</v>
      </c>
      <c r="Q726" s="14">
        <v>50737</v>
      </c>
      <c r="R726" s="14"/>
      <c r="S726" s="17">
        <v>0.72752459999999997</v>
      </c>
      <c r="T726" s="15">
        <v>26.69</v>
      </c>
      <c r="U726" s="15">
        <v>38.75</v>
      </c>
      <c r="V726" s="15">
        <v>40.65</v>
      </c>
      <c r="W726" s="14" t="s">
        <v>301</v>
      </c>
      <c r="X726" s="14">
        <v>5</v>
      </c>
      <c r="Y726" s="10">
        <f>AC726-AB726</f>
        <v>0</v>
      </c>
      <c r="Z726" s="18">
        <v>41</v>
      </c>
      <c r="AA726" s="18">
        <v>90</v>
      </c>
      <c r="AB726" s="18">
        <v>19</v>
      </c>
      <c r="AC726" s="18">
        <v>19</v>
      </c>
      <c r="AD726" s="1" t="s">
        <v>2016</v>
      </c>
      <c r="AE726" s="1" t="s">
        <v>2017</v>
      </c>
      <c r="AF726" s="4">
        <v>5.48</v>
      </c>
      <c r="AG726" s="4">
        <v>7.34</v>
      </c>
    </row>
    <row r="727" spans="1:33" ht="47.25" customHeight="1" x14ac:dyDescent="0.25">
      <c r="A727" s="10" t="s">
        <v>4074</v>
      </c>
      <c r="B727" s="11" t="s">
        <v>33</v>
      </c>
      <c r="C727" s="12" t="s">
        <v>4075</v>
      </c>
      <c r="D727" s="27"/>
      <c r="E727" s="14" t="s">
        <v>35</v>
      </c>
      <c r="F727" s="11" t="str">
        <f>HYPERLINK("https://redirect.sdcdeals.com/redirect?destination=https%3A%2F%2Fwww.amazon.com%2Fdp%2FB07T27HCVT%3Fth%3D1%26psc%3D1%26tag%3Dsdcdeals03-20", "Amazon Link")</f>
        <v>Amazon Link</v>
      </c>
      <c r="G727" s="11" t="s">
        <v>36</v>
      </c>
      <c r="H727" s="14" t="s">
        <v>4076</v>
      </c>
      <c r="I727" s="11" t="str">
        <f>HYPERLINK("https://redirect.sdcdeals.com/redirect?code=763034&amp;mavely=https://mavely.app.link/e/bhESV2wGrGb&amp;destination=https%3A%2F%2Fwww.kohls.com%2Fsearch.jsp%3Fsubmit-search%3Dweb-regular%26search%3D53919691", "Retail Link")</f>
        <v>Retail Link</v>
      </c>
      <c r="J727" s="14" t="s">
        <v>4024</v>
      </c>
      <c r="K727" s="13" t="s">
        <v>4077</v>
      </c>
      <c r="L727" s="15">
        <v>17.696000000000002</v>
      </c>
      <c r="M727" s="15">
        <v>39.99</v>
      </c>
      <c r="N727" s="15">
        <v>9.6254999999999988</v>
      </c>
      <c r="O727" s="15">
        <f>V727-M727</f>
        <v>0.30999999999999517</v>
      </c>
      <c r="P727" s="16">
        <f>N727/L727</f>
        <v>0.5439364828209764</v>
      </c>
      <c r="Q727" s="14">
        <v>31695</v>
      </c>
      <c r="R727" s="14"/>
      <c r="S727" s="17">
        <v>0.84216484000000003</v>
      </c>
      <c r="T727" s="15">
        <v>38.79</v>
      </c>
      <c r="U727" s="15">
        <v>36.770000000000003</v>
      </c>
      <c r="V727" s="15">
        <v>40.299999999999997</v>
      </c>
      <c r="W727" s="14" t="s">
        <v>131</v>
      </c>
      <c r="X727" s="14">
        <v>3</v>
      </c>
      <c r="Y727" s="10">
        <f>AC727-AB727</f>
        <v>1482</v>
      </c>
      <c r="Z727" s="18">
        <v>25</v>
      </c>
      <c r="AA727" s="18">
        <v>89</v>
      </c>
      <c r="AB727" s="18">
        <v>4</v>
      </c>
      <c r="AC727" s="18">
        <v>1486</v>
      </c>
      <c r="AD727" s="1" t="s">
        <v>4026</v>
      </c>
      <c r="AE727" s="1" t="s">
        <v>4027</v>
      </c>
      <c r="AF727" s="4">
        <v>6.8</v>
      </c>
      <c r="AG727" s="4">
        <v>6.67</v>
      </c>
    </row>
    <row r="728" spans="1:33" ht="47.25" customHeight="1" x14ac:dyDescent="0.25">
      <c r="A728" s="10" t="s">
        <v>6308</v>
      </c>
      <c r="B728" s="11" t="s">
        <v>33</v>
      </c>
      <c r="C728" s="12" t="s">
        <v>6309</v>
      </c>
      <c r="D728" s="27"/>
      <c r="E728" s="14" t="s">
        <v>35</v>
      </c>
      <c r="F728" s="11" t="str">
        <f>HYPERLINK("https://redirect.sdcdeals.com/redirect?destination=https%3A%2F%2Fwww.amazon.com%2Fdp%2FB08BFLSPQX%3Fth%3D1%26psc%3D1%26tag%3Dsdcdeals03-20", "Amazon Link")</f>
        <v>Amazon Link</v>
      </c>
      <c r="G728" s="11" t="s">
        <v>36</v>
      </c>
      <c r="H728" s="14" t="s">
        <v>6310</v>
      </c>
      <c r="I728" s="11" t="str">
        <f>HYPERLINK("https://redirect.sdcdeals.com/redirect?code=763034&amp;mavely=https://mavely.app.link/e/bhESV2wGrGb&amp;destination=https%3A%2F%2Fwww.kohls.com%2Fsearch.jsp%3Fsubmit-search%3Dweb-regular%26search%3D18176765", "Retail Link")</f>
        <v>Retail Link</v>
      </c>
      <c r="J728" s="14" t="s">
        <v>6311</v>
      </c>
      <c r="K728" s="13" t="s">
        <v>6312</v>
      </c>
      <c r="L728" s="15">
        <v>15.288</v>
      </c>
      <c r="M728" s="15">
        <v>35.770000000000003</v>
      </c>
      <c r="N728" s="15">
        <v>8.3065000000000033</v>
      </c>
      <c r="O728" s="15">
        <f>V728-M728</f>
        <v>8.2899999999999991</v>
      </c>
      <c r="P728" s="16">
        <f>N728/L728</f>
        <v>0.54333464154892752</v>
      </c>
      <c r="Q728" s="14">
        <v>25704</v>
      </c>
      <c r="R728" s="14"/>
      <c r="S728" s="17">
        <v>0.98987438000000005</v>
      </c>
      <c r="T728" s="15">
        <v>35.770000000000003</v>
      </c>
      <c r="U728" s="15">
        <v>40.409999999999997</v>
      </c>
      <c r="V728" s="15">
        <v>44.06</v>
      </c>
      <c r="W728" s="14" t="s">
        <v>60</v>
      </c>
      <c r="X728" s="14">
        <v>1</v>
      </c>
      <c r="Y728" s="10">
        <f>AC728-AB728</f>
        <v>1523</v>
      </c>
      <c r="Z728" s="18">
        <v>21</v>
      </c>
      <c r="AA728" s="18">
        <v>75</v>
      </c>
      <c r="AB728" s="18">
        <v>34</v>
      </c>
      <c r="AC728" s="18">
        <v>1557</v>
      </c>
      <c r="AD728" s="1" t="s">
        <v>6313</v>
      </c>
      <c r="AE728" s="1" t="s">
        <v>6314</v>
      </c>
      <c r="AF728" s="4">
        <v>6.08</v>
      </c>
      <c r="AG728" s="4">
        <v>6.81</v>
      </c>
    </row>
    <row r="729" spans="1:33" ht="47.25" customHeight="1" x14ac:dyDescent="0.25">
      <c r="A729" s="10" t="s">
        <v>2633</v>
      </c>
      <c r="B729" s="11" t="s">
        <v>33</v>
      </c>
      <c r="C729" s="12" t="s">
        <v>2634</v>
      </c>
      <c r="D729" s="27"/>
      <c r="E729" s="14" t="s">
        <v>35</v>
      </c>
      <c r="F729" s="11" t="str">
        <f>HYPERLINK("https://redirect.sdcdeals.com/redirect?destination=https%3A%2F%2Fwww.amazon.com%2Fdp%2FB0BNQYQ9DN%3Fth%3D1%26psc%3D1%26tag%3Dsdcdeals03-20", "Amazon Link")</f>
        <v>Amazon Link</v>
      </c>
      <c r="G729" s="11" t="s">
        <v>36</v>
      </c>
      <c r="H729" s="14" t="s">
        <v>2635</v>
      </c>
      <c r="I729" s="11" t="str">
        <f>HYPERLINK("https://redirect.sdcdeals.com/redirect?code=763034&amp;mavely=https://mavely.app.link/e/bhESV2wGrGb&amp;destination=https%3A%2F%2Fwww.kohls.com%2Fsearch.jsp%3Fsubmit-search%3Dweb-regular%26search%3D55628707", "Retail Link")</f>
        <v>Retail Link</v>
      </c>
      <c r="J729" s="14" t="s">
        <v>2600</v>
      </c>
      <c r="K729" s="13" t="s">
        <v>2636</v>
      </c>
      <c r="L729" s="15">
        <v>18.2</v>
      </c>
      <c r="M729" s="15">
        <v>39.979999999999997</v>
      </c>
      <c r="N729" s="15">
        <v>9.8829999999999991</v>
      </c>
      <c r="O729" s="15">
        <f>V729-M729</f>
        <v>2.990000000000002</v>
      </c>
      <c r="P729" s="16">
        <f>N729/L729</f>
        <v>0.54302197802197805</v>
      </c>
      <c r="Q729" s="14">
        <v>76198</v>
      </c>
      <c r="R729" s="14"/>
      <c r="S729" s="17">
        <v>0.48501640000000001</v>
      </c>
      <c r="T729" s="15">
        <v>39.979999999999997</v>
      </c>
      <c r="U729" s="15">
        <v>43.39</v>
      </c>
      <c r="V729" s="15">
        <v>42.97</v>
      </c>
      <c r="W729" s="14" t="s">
        <v>1621</v>
      </c>
      <c r="X729" s="14">
        <v>6</v>
      </c>
      <c r="Y729" s="10">
        <f>AC729-AB729</f>
        <v>6</v>
      </c>
      <c r="Z729" s="18">
        <v>29</v>
      </c>
      <c r="AA729" s="18">
        <v>70</v>
      </c>
      <c r="AB729" s="18">
        <v>0</v>
      </c>
      <c r="AC729" s="18">
        <v>6</v>
      </c>
      <c r="AD729" s="1" t="s">
        <v>2602</v>
      </c>
      <c r="AE729" s="1" t="s">
        <v>935</v>
      </c>
      <c r="AG729" s="4">
        <v>5.9</v>
      </c>
    </row>
    <row r="730" spans="1:33" ht="47.25" customHeight="1" x14ac:dyDescent="0.25">
      <c r="A730" s="10" t="s">
        <v>322</v>
      </c>
      <c r="B730" s="11" t="s">
        <v>33</v>
      </c>
      <c r="C730" s="12" t="s">
        <v>323</v>
      </c>
      <c r="D730" s="27"/>
      <c r="E730" s="14" t="s">
        <v>35</v>
      </c>
      <c r="F730" s="11" t="str">
        <f>HYPERLINK("https://redirect.sdcdeals.com/redirect?destination=https%3A%2F%2Fwww.amazon.com%2Fdp%2FB0BM1HR23R%3Fth%3D1%26psc%3D1%26tag%3Dsdcdeals03-20", "Amazon Link")</f>
        <v>Amazon Link</v>
      </c>
      <c r="G730" s="11" t="s">
        <v>36</v>
      </c>
      <c r="H730" s="14" t="s">
        <v>324</v>
      </c>
      <c r="I730" s="11" t="str">
        <f>HYPERLINK("https://redirect.sdcdeals.com/redirect?code=763034&amp;mavely=https://mavely.app.link/e/bhESV2wGrGb&amp;destination=https%3A%2F%2Fwww.kohls.com%2Fsearch.jsp%3Fsubmit-search%3Dweb-regular%26search%3D83474782", "Retail Link")</f>
        <v>Retail Link</v>
      </c>
      <c r="J730" s="14" t="s">
        <v>294</v>
      </c>
      <c r="K730" s="13" t="s">
        <v>325</v>
      </c>
      <c r="L730" s="15">
        <v>9.5920000000000005</v>
      </c>
      <c r="M730" s="15">
        <v>21.99</v>
      </c>
      <c r="N730" s="15">
        <v>5.1994999999999969</v>
      </c>
      <c r="O730" s="15">
        <f>V730-M730</f>
        <v>4.1000000000000014</v>
      </c>
      <c r="P730" s="16">
        <f>N730/L730</f>
        <v>0.54206630525437827</v>
      </c>
      <c r="Q730" s="14">
        <v>93732</v>
      </c>
      <c r="R730" s="14"/>
      <c r="S730" s="17">
        <v>0.29982831999999998</v>
      </c>
      <c r="T730" s="15">
        <v>15</v>
      </c>
      <c r="U730" s="15">
        <v>22.3</v>
      </c>
      <c r="V730" s="15">
        <v>26.09</v>
      </c>
      <c r="W730" s="14" t="s">
        <v>245</v>
      </c>
      <c r="X730" s="14">
        <v>2</v>
      </c>
      <c r="Y730" s="10">
        <f>AC730-AB730</f>
        <v>72</v>
      </c>
      <c r="Z730" s="18">
        <v>16</v>
      </c>
      <c r="AA730" s="18">
        <v>51</v>
      </c>
      <c r="AB730" s="18">
        <v>5</v>
      </c>
      <c r="AC730" s="18">
        <v>77</v>
      </c>
      <c r="AE730" s="1" t="s">
        <v>145</v>
      </c>
      <c r="AF730" s="4">
        <v>3.3</v>
      </c>
      <c r="AG730" s="4">
        <v>3.9</v>
      </c>
    </row>
    <row r="731" spans="1:33" ht="47.25" customHeight="1" x14ac:dyDescent="0.25">
      <c r="A731" s="10" t="s">
        <v>1108</v>
      </c>
      <c r="B731" s="11" t="s">
        <v>33</v>
      </c>
      <c r="C731" s="12" t="s">
        <v>1109</v>
      </c>
      <c r="D731" s="27"/>
      <c r="E731" s="14" t="s">
        <v>35</v>
      </c>
      <c r="F731" s="11" t="str">
        <f>HYPERLINK("https://redirect.sdcdeals.com/redirect?destination=https%3A%2F%2Fwww.amazon.com%2Fdp%2FB0BM1TQ52X%3Fth%3D1%26psc%3D1%26tag%3Dsdcdeals03-20", "Amazon Link")</f>
        <v>Amazon Link</v>
      </c>
      <c r="G731" s="11" t="s">
        <v>36</v>
      </c>
      <c r="H731" s="14" t="s">
        <v>1110</v>
      </c>
      <c r="I731" s="11" t="str">
        <f>HYPERLINK("https://redirect.sdcdeals.com/redirect?code=763034&amp;mavely=https://mavely.app.link/e/bhESV2wGrGb&amp;destination=https%3A%2F%2Fwww.kohls.com%2Fsearch.jsp%3Fsubmit-search%3Dweb-regular%26search%3D28149099", "Retail Link")</f>
        <v>Retail Link</v>
      </c>
      <c r="J731" s="14" t="s">
        <v>1111</v>
      </c>
      <c r="K731" s="13" t="s">
        <v>1112</v>
      </c>
      <c r="L731" s="15">
        <v>4.7920000000000007</v>
      </c>
      <c r="M731" s="15">
        <v>13.95</v>
      </c>
      <c r="N731" s="15">
        <v>2.595499999999999</v>
      </c>
      <c r="O731" s="15">
        <f>V731-M731</f>
        <v>-13.95</v>
      </c>
      <c r="P731" s="16">
        <f>N731/L731</f>
        <v>0.54163188647746219</v>
      </c>
      <c r="Q731" s="14">
        <v>210312</v>
      </c>
      <c r="R731" s="14"/>
      <c r="S731" s="17">
        <v>0.26014515999999999</v>
      </c>
      <c r="T731" s="15">
        <v>13.95</v>
      </c>
      <c r="U731" s="15"/>
      <c r="V731" s="15"/>
      <c r="W731" s="14" t="s">
        <v>1113</v>
      </c>
      <c r="X731" s="14">
        <v>4</v>
      </c>
      <c r="Y731" s="10">
        <f>AC731-AB731</f>
        <v>0</v>
      </c>
      <c r="Z731" s="18">
        <v>0</v>
      </c>
      <c r="AA731" s="18">
        <v>11</v>
      </c>
      <c r="AB731" s="18">
        <v>12</v>
      </c>
      <c r="AC731" s="18">
        <v>12</v>
      </c>
      <c r="AE731" s="1" t="s">
        <v>1114</v>
      </c>
      <c r="AG731" s="4">
        <v>4.47</v>
      </c>
    </row>
    <row r="732" spans="1:33" ht="47.25" customHeight="1" x14ac:dyDescent="0.25">
      <c r="A732" s="10" t="s">
        <v>3050</v>
      </c>
      <c r="B732" s="11" t="s">
        <v>33</v>
      </c>
      <c r="C732" s="12" t="s">
        <v>3051</v>
      </c>
      <c r="D732" s="27"/>
      <c r="E732" s="14" t="s">
        <v>35</v>
      </c>
      <c r="F732" s="11" t="str">
        <f>HYPERLINK("https://redirect.sdcdeals.com/redirect?destination=https%3A%2F%2Fwww.amazon.com%2Fdp%2FB0CF6334X5%3Fth%3D1%26psc%3D1%26tag%3Dsdcdeals03-20", "Amazon Link")</f>
        <v>Amazon Link</v>
      </c>
      <c r="G732" s="11" t="s">
        <v>36</v>
      </c>
      <c r="H732" s="14" t="s">
        <v>3052</v>
      </c>
      <c r="I732" s="11" t="str">
        <f>HYPERLINK("https://redirect.sdcdeals.com/redirect?code=763034&amp;mavely=https://mavely.app.link/e/bhESV2wGrGb&amp;destination=https%3A%2F%2Fwww.kohls.com%2Fsearch.jsp%3Fsubmit-search%3Dweb-regular%26search%3D63518819", "Retail Link")</f>
        <v>Retail Link</v>
      </c>
      <c r="J732" s="14" t="s">
        <v>3047</v>
      </c>
      <c r="K732" s="13" t="s">
        <v>3053</v>
      </c>
      <c r="L732" s="15">
        <v>8</v>
      </c>
      <c r="M732" s="15">
        <v>22.33</v>
      </c>
      <c r="N732" s="15">
        <v>4.3104999999999993</v>
      </c>
      <c r="O732" s="15">
        <f>V732-M732</f>
        <v>7.4500000000000028</v>
      </c>
      <c r="P732" s="16">
        <f>N732/L732</f>
        <v>0.53881249999999992</v>
      </c>
      <c r="Q732" s="14">
        <v>1306299</v>
      </c>
      <c r="R732" s="14"/>
      <c r="S732" s="17">
        <v>0.46076558000000001</v>
      </c>
      <c r="T732" s="15">
        <v>21.99</v>
      </c>
      <c r="U732" s="15">
        <v>25.99</v>
      </c>
      <c r="V732" s="15">
        <v>29.78</v>
      </c>
      <c r="W732" s="14" t="s">
        <v>2149</v>
      </c>
      <c r="X732" s="14">
        <v>9</v>
      </c>
      <c r="Y732" s="10">
        <f>AC732-AB732</f>
        <v>0</v>
      </c>
      <c r="Z732" s="18">
        <v>1</v>
      </c>
      <c r="AA732" s="18">
        <v>4</v>
      </c>
      <c r="AB732" s="18">
        <v>0</v>
      </c>
      <c r="AC732" s="18"/>
      <c r="AD732" s="1" t="s">
        <v>3054</v>
      </c>
      <c r="AE732" s="1" t="s">
        <v>3055</v>
      </c>
      <c r="AF732" s="4">
        <v>3.8</v>
      </c>
      <c r="AG732" s="4">
        <v>6.67</v>
      </c>
    </row>
    <row r="733" spans="1:33" ht="47.25" customHeight="1" x14ac:dyDescent="0.25">
      <c r="A733" s="10" t="s">
        <v>6353</v>
      </c>
      <c r="B733" s="11" t="s">
        <v>33</v>
      </c>
      <c r="C733" s="12" t="s">
        <v>6354</v>
      </c>
      <c r="D733" s="27"/>
      <c r="E733" s="14" t="s">
        <v>35</v>
      </c>
      <c r="F733" s="11" t="str">
        <f>HYPERLINK("https://redirect.sdcdeals.com/redirect?destination=https%3A%2F%2Fwww.amazon.com%2Fdp%2FB0CL5CRXDR%3Fth%3D1%26psc%3D1%26tag%3Dsdcdeals03-20", "Amazon Link")</f>
        <v>Amazon Link</v>
      </c>
      <c r="G733" s="11" t="s">
        <v>36</v>
      </c>
      <c r="H733" s="14" t="s">
        <v>6355</v>
      </c>
      <c r="I733" s="11" t="str">
        <f>HYPERLINK("https://redirect.sdcdeals.com/redirect?code=763034&amp;mavely=https://mavely.app.link/e/bhESV2wGrGb&amp;destination=https%3A%2F%2Fwww.kohls.com%2Fsearch.jsp%3Fsubmit-search%3Dweb-regular%26search%3D78738270", "Retail Link")</f>
        <v>Retail Link</v>
      </c>
      <c r="J733" s="14" t="s">
        <v>6356</v>
      </c>
      <c r="K733" s="13" t="s">
        <v>6357</v>
      </c>
      <c r="L733" s="15">
        <v>6.4</v>
      </c>
      <c r="M733" s="15">
        <v>16.989999999999998</v>
      </c>
      <c r="N733" s="15">
        <v>3.431499999999998</v>
      </c>
      <c r="O733" s="15">
        <f>V733-M733</f>
        <v>7.0600000000000023</v>
      </c>
      <c r="P733" s="16">
        <f>N733/L733</f>
        <v>0.53617187499999963</v>
      </c>
      <c r="Q733" s="14">
        <v>2081020</v>
      </c>
      <c r="R733" s="14"/>
      <c r="S733" s="17">
        <v>0.33069300000000001</v>
      </c>
      <c r="T733" s="15">
        <v>16.989999999999998</v>
      </c>
      <c r="U733" s="15">
        <v>18.14</v>
      </c>
      <c r="V733" s="15">
        <v>24.05</v>
      </c>
      <c r="W733" s="14" t="s">
        <v>843</v>
      </c>
      <c r="X733" s="14">
        <v>3</v>
      </c>
      <c r="Y733" s="10">
        <f>AC733-AB733</f>
        <v>0</v>
      </c>
      <c r="Z733" s="18">
        <v>1</v>
      </c>
      <c r="AA733" s="18">
        <v>75</v>
      </c>
      <c r="AB733" s="18">
        <v>0</v>
      </c>
      <c r="AC733" s="18"/>
      <c r="AE733" s="1" t="s">
        <v>6358</v>
      </c>
      <c r="AF733" s="4">
        <v>1.7</v>
      </c>
      <c r="AG733" s="4">
        <v>4.6100000000000003</v>
      </c>
    </row>
    <row r="734" spans="1:33" ht="47.25" customHeight="1" x14ac:dyDescent="0.25">
      <c r="A734" s="10" t="s">
        <v>6363</v>
      </c>
      <c r="B734" s="11" t="s">
        <v>33</v>
      </c>
      <c r="C734" s="12" t="s">
        <v>6364</v>
      </c>
      <c r="D734" s="27"/>
      <c r="E734" s="14" t="s">
        <v>35</v>
      </c>
      <c r="F734" s="11" t="str">
        <f>HYPERLINK("https://redirect.sdcdeals.com/redirect?destination=https%3A%2F%2Fwww.amazon.com%2Fdp%2FB0CL5C2FTT%3Fth%3D1%26psc%3D1%26tag%3Dsdcdeals03-20", "Amazon Link")</f>
        <v>Amazon Link</v>
      </c>
      <c r="G734" s="11" t="s">
        <v>36</v>
      </c>
      <c r="H734" s="14" t="s">
        <v>6365</v>
      </c>
      <c r="I734" s="11" t="str">
        <f>HYPERLINK("https://redirect.sdcdeals.com/redirect?code=763034&amp;mavely=https://mavely.app.link/e/bhESV2wGrGb&amp;destination=https%3A%2F%2Fwww.kohls.com%2Fsearch.jsp%3Fsubmit-search%3Dweb-regular%26search%3D78738271", "Retail Link")</f>
        <v>Retail Link</v>
      </c>
      <c r="J734" s="14" t="s">
        <v>6356</v>
      </c>
      <c r="K734" s="13" t="s">
        <v>6366</v>
      </c>
      <c r="L734" s="15">
        <v>6.4</v>
      </c>
      <c r="M734" s="15">
        <v>16.989999999999998</v>
      </c>
      <c r="N734" s="15">
        <v>3.431499999999998</v>
      </c>
      <c r="O734" s="15">
        <f>V734-M734</f>
        <v>4.7900000000000027</v>
      </c>
      <c r="P734" s="16">
        <f>N734/L734</f>
        <v>0.53617187499999963</v>
      </c>
      <c r="Q734" s="14">
        <v>10106306</v>
      </c>
      <c r="R734" s="14"/>
      <c r="S734" s="17">
        <v>0.33069300000000001</v>
      </c>
      <c r="T734" s="15">
        <v>16.989999999999998</v>
      </c>
      <c r="U734" s="15">
        <v>17.8</v>
      </c>
      <c r="V734" s="15">
        <v>21.78</v>
      </c>
      <c r="W734" s="14" t="s">
        <v>1573</v>
      </c>
      <c r="X734" s="14">
        <v>10</v>
      </c>
      <c r="Y734" s="10">
        <f>AC734-AB734</f>
        <v>0</v>
      </c>
      <c r="Z734" s="18">
        <v>0</v>
      </c>
      <c r="AA734" s="18">
        <v>73</v>
      </c>
      <c r="AB734" s="18">
        <v>0</v>
      </c>
      <c r="AC734" s="18"/>
      <c r="AE734" s="1" t="s">
        <v>6358</v>
      </c>
      <c r="AF734" s="4">
        <v>1.7</v>
      </c>
      <c r="AG734" s="4">
        <v>4.6100000000000003</v>
      </c>
    </row>
    <row r="735" spans="1:33" ht="47.25" customHeight="1" x14ac:dyDescent="0.25">
      <c r="A735" s="10" t="s">
        <v>3240</v>
      </c>
      <c r="B735" s="11" t="s">
        <v>33</v>
      </c>
      <c r="C735" s="12" t="s">
        <v>3241</v>
      </c>
      <c r="D735" s="27"/>
      <c r="E735" s="14" t="s">
        <v>35</v>
      </c>
      <c r="F735" s="11" t="str">
        <f>HYPERLINK("https://redirect.sdcdeals.com/redirect?destination=https%3A%2F%2Fwww.amazon.com%2Fdp%2FB0815HWSDQ%3Fth%3D1%26psc%3D1%26tag%3Dsdcdeals03-20", "Amazon Link")</f>
        <v>Amazon Link</v>
      </c>
      <c r="G735" s="11" t="s">
        <v>36</v>
      </c>
      <c r="H735" s="14" t="s">
        <v>3242</v>
      </c>
      <c r="I735" s="11" t="str">
        <f>HYPERLINK("https://redirect.sdcdeals.com/redirect?code=763034&amp;mavely=https://mavely.app.link/e/bhESV2wGrGb&amp;destination=https%3A%2F%2Fwww.kohls.com%2Fsearch.jsp%3Fsubmit-search%3Dweb-regular%26search%3D75883036", "Retail Link")</f>
        <v>Retail Link</v>
      </c>
      <c r="J735" s="14" t="s">
        <v>3216</v>
      </c>
      <c r="K735" s="13" t="s">
        <v>3243</v>
      </c>
      <c r="L735" s="15">
        <v>15.4</v>
      </c>
      <c r="M735" s="15">
        <v>36.5</v>
      </c>
      <c r="N735" s="15">
        <v>8.2249999999999996</v>
      </c>
      <c r="O735" s="15">
        <f>V735-M735</f>
        <v>-0.89000000000000057</v>
      </c>
      <c r="P735" s="16">
        <f>N735/L735</f>
        <v>0.53409090909090906</v>
      </c>
      <c r="Q735" s="14">
        <v>611270</v>
      </c>
      <c r="R735" s="14"/>
      <c r="S735" s="17">
        <v>1.1904948</v>
      </c>
      <c r="T735" s="15">
        <v>36.5</v>
      </c>
      <c r="U735" s="15">
        <v>34.130000000000003</v>
      </c>
      <c r="V735" s="15">
        <v>35.61</v>
      </c>
      <c r="W735" s="14" t="s">
        <v>3244</v>
      </c>
      <c r="X735" s="14">
        <v>5</v>
      </c>
      <c r="Y735" s="10">
        <f>AC735-AB735</f>
        <v>0</v>
      </c>
      <c r="Z735" s="18">
        <v>14</v>
      </c>
      <c r="AA735" s="18">
        <v>44</v>
      </c>
      <c r="AB735" s="18">
        <v>29</v>
      </c>
      <c r="AC735" s="18">
        <v>29</v>
      </c>
      <c r="AD735" s="1" t="s">
        <v>3218</v>
      </c>
      <c r="AE735" s="1" t="s">
        <v>3219</v>
      </c>
      <c r="AF735" s="4">
        <v>6.21</v>
      </c>
      <c r="AG735" s="4">
        <v>7.4</v>
      </c>
    </row>
    <row r="736" spans="1:33" ht="47.25" customHeight="1" x14ac:dyDescent="0.25">
      <c r="A736" s="10" t="s">
        <v>4062</v>
      </c>
      <c r="B736" s="11" t="s">
        <v>33</v>
      </c>
      <c r="C736" s="12" t="s">
        <v>4063</v>
      </c>
      <c r="D736" s="27"/>
      <c r="E736" s="14" t="s">
        <v>35</v>
      </c>
      <c r="F736" s="11" t="str">
        <f>HYPERLINK("https://redirect.sdcdeals.com/redirect?destination=https%3A%2F%2Fwww.amazon.com%2Fdp%2FB07T179RNP%3Fth%3D1%26psc%3D1%26tag%3Dsdcdeals03-20", "Amazon Link")</f>
        <v>Amazon Link</v>
      </c>
      <c r="G736" s="11" t="s">
        <v>36</v>
      </c>
      <c r="H736" s="14" t="s">
        <v>4064</v>
      </c>
      <c r="I736" s="11" t="str">
        <f>HYPERLINK("https://redirect.sdcdeals.com/redirect?code=763034&amp;mavely=https://mavely.app.link/e/bhESV2wGrGb&amp;destination=https%3A%2F%2Fwww.kohls.com%2Fsearch.jsp%3Fsubmit-search%3Dweb-regular%26search%3D53919686", "Retail Link")</f>
        <v>Retail Link</v>
      </c>
      <c r="J736" s="14" t="s">
        <v>4024</v>
      </c>
      <c r="K736" s="13" t="s">
        <v>4065</v>
      </c>
      <c r="L736" s="15">
        <v>17.696000000000002</v>
      </c>
      <c r="M736" s="15">
        <v>39.99</v>
      </c>
      <c r="N736" s="15">
        <v>9.4355000000000011</v>
      </c>
      <c r="O736" s="15">
        <f>V736-M736</f>
        <v>0.33999999999999631</v>
      </c>
      <c r="P736" s="16">
        <f>N736/L736</f>
        <v>0.5331995931283906</v>
      </c>
      <c r="Q736" s="14">
        <v>31695</v>
      </c>
      <c r="R736" s="14"/>
      <c r="S736" s="17">
        <v>0.55115499999999995</v>
      </c>
      <c r="T736" s="15">
        <v>39.99</v>
      </c>
      <c r="U736" s="15">
        <v>39.28</v>
      </c>
      <c r="V736" s="15">
        <v>40.33</v>
      </c>
      <c r="W736" s="14" t="s">
        <v>742</v>
      </c>
      <c r="X736" s="14">
        <v>2</v>
      </c>
      <c r="Y736" s="10">
        <f>AC736-AB736</f>
        <v>1475</v>
      </c>
      <c r="Z736" s="18">
        <v>20</v>
      </c>
      <c r="AA736" s="18">
        <v>55</v>
      </c>
      <c r="AB736" s="18">
        <v>11</v>
      </c>
      <c r="AC736" s="18">
        <v>1486</v>
      </c>
      <c r="AD736" s="1" t="s">
        <v>4026</v>
      </c>
      <c r="AE736" s="1" t="s">
        <v>4027</v>
      </c>
      <c r="AF736" s="4">
        <v>6.8</v>
      </c>
      <c r="AG736" s="4">
        <v>6.86</v>
      </c>
    </row>
    <row r="737" spans="1:33" ht="47.25" customHeight="1" x14ac:dyDescent="0.25">
      <c r="A737" s="10" t="s">
        <v>3445</v>
      </c>
      <c r="B737" s="11" t="s">
        <v>33</v>
      </c>
      <c r="C737" s="12" t="s">
        <v>3446</v>
      </c>
      <c r="D737" s="27"/>
      <c r="E737" s="14" t="s">
        <v>35</v>
      </c>
      <c r="F737" s="11" t="str">
        <f>HYPERLINK("https://redirect.sdcdeals.com/redirect?destination=https%3A%2F%2Fwww.amazon.com%2Fdp%2FB09VGWLPVV%3Fth%3D1%26psc%3D1%26tag%3Dsdcdeals03-20", "Amazon Link")</f>
        <v>Amazon Link</v>
      </c>
      <c r="G737" s="11" t="s">
        <v>36</v>
      </c>
      <c r="H737" s="14" t="s">
        <v>3447</v>
      </c>
      <c r="I737" s="11" t="str">
        <f>HYPERLINK("https://redirect.sdcdeals.com/redirect?code=763034&amp;mavely=https://mavely.app.link/e/bhESV2wGrGb&amp;destination=https%3A%2F%2Fwww.kohls.com%2Fsearch.jsp%3Fsubmit-search%3Dweb-regular%26search%3D71094384", "Retail Link")</f>
        <v>Retail Link</v>
      </c>
      <c r="J737" s="14" t="s">
        <v>3413</v>
      </c>
      <c r="K737" s="13" t="s">
        <v>3448</v>
      </c>
      <c r="L737" s="15">
        <v>12.48</v>
      </c>
      <c r="M737" s="15">
        <v>31.28</v>
      </c>
      <c r="N737" s="15">
        <v>6.6080000000000014</v>
      </c>
      <c r="O737" s="15">
        <f>V737-M737</f>
        <v>3.9299999999999997</v>
      </c>
      <c r="P737" s="16">
        <f>N737/L737</f>
        <v>0.5294871794871796</v>
      </c>
      <c r="Q737" s="14">
        <v>95891</v>
      </c>
      <c r="R737" s="14"/>
      <c r="S737" s="17">
        <v>1.4770954000000001</v>
      </c>
      <c r="T737" s="15">
        <v>31.28</v>
      </c>
      <c r="U737" s="15">
        <v>34.020000000000003</v>
      </c>
      <c r="V737" s="15">
        <v>35.21</v>
      </c>
      <c r="W737" s="14" t="s">
        <v>436</v>
      </c>
      <c r="X737" s="14">
        <v>1</v>
      </c>
      <c r="Y737" s="10">
        <f>AC737-AB737</f>
        <v>3497</v>
      </c>
      <c r="Z737" s="18">
        <v>20</v>
      </c>
      <c r="AA737" s="18">
        <v>68</v>
      </c>
      <c r="AB737" s="18">
        <v>3</v>
      </c>
      <c r="AC737" s="18">
        <v>3500</v>
      </c>
      <c r="AD737" s="1" t="s">
        <v>1037</v>
      </c>
      <c r="AE737" s="1" t="s">
        <v>1622</v>
      </c>
      <c r="AF737" s="4">
        <v>5.32</v>
      </c>
      <c r="AG737" s="4">
        <v>7.5</v>
      </c>
    </row>
    <row r="738" spans="1:33" ht="47.25" customHeight="1" x14ac:dyDescent="0.25">
      <c r="A738" s="10" t="s">
        <v>4162</v>
      </c>
      <c r="B738" s="11" t="s">
        <v>33</v>
      </c>
      <c r="C738" s="12" t="s">
        <v>4163</v>
      </c>
      <c r="D738" s="27"/>
      <c r="E738" s="14" t="s">
        <v>35</v>
      </c>
      <c r="F738" s="11" t="str">
        <f>HYPERLINK("https://redirect.sdcdeals.com/redirect?destination=https%3A%2F%2Fwww.amazon.com%2Fdp%2FB09JL2C49Z%3Fth%3D1%26psc%3D1%26tag%3Dsdcdeals03-20", "Amazon Link")</f>
        <v>Amazon Link</v>
      </c>
      <c r="G738" s="11" t="s">
        <v>36</v>
      </c>
      <c r="H738" s="14" t="s">
        <v>4164</v>
      </c>
      <c r="I738" s="11" t="str">
        <f>HYPERLINK("https://redirect.sdcdeals.com/redirect?code=763034&amp;mavely=https://mavely.app.link/e/bhESV2wGrGb&amp;destination=https%3A%2F%2Fwww.kohls.com%2Fsearch.jsp%3Fsubmit-search%3Dweb-regular%26search%3D46611731", "Retail Link")</f>
        <v>Retail Link</v>
      </c>
      <c r="J738" s="14" t="s">
        <v>4157</v>
      </c>
      <c r="K738" s="13" t="s">
        <v>4165</v>
      </c>
      <c r="L738" s="15">
        <v>15.6</v>
      </c>
      <c r="M738" s="15">
        <v>35.909999999999997</v>
      </c>
      <c r="N738" s="15">
        <v>8.2534999999999972</v>
      </c>
      <c r="O738" s="15">
        <f>V738-M738</f>
        <v>5.1300000000000026</v>
      </c>
      <c r="P738" s="16">
        <f>N738/L738</f>
        <v>0.52907051282051265</v>
      </c>
      <c r="Q738" s="14">
        <v>59628</v>
      </c>
      <c r="R738" s="14"/>
      <c r="S738" s="17">
        <v>0.67240909999999998</v>
      </c>
      <c r="T738" s="15">
        <v>30.6</v>
      </c>
      <c r="U738" s="15">
        <v>38.42</v>
      </c>
      <c r="V738" s="15">
        <v>41.04</v>
      </c>
      <c r="W738" s="14" t="s">
        <v>3572</v>
      </c>
      <c r="X738" s="14">
        <v>21</v>
      </c>
      <c r="Y738" s="10">
        <f>AC738-AB738</f>
        <v>185</v>
      </c>
      <c r="Z738" s="18">
        <v>22</v>
      </c>
      <c r="AA738" s="18">
        <v>81</v>
      </c>
      <c r="AB738" s="18">
        <v>3</v>
      </c>
      <c r="AC738" s="18">
        <v>188</v>
      </c>
      <c r="AD738" s="1" t="s">
        <v>4160</v>
      </c>
      <c r="AE738" s="1" t="s">
        <v>153</v>
      </c>
      <c r="AF738" s="4">
        <v>6.1</v>
      </c>
      <c r="AG738" s="4">
        <v>6.67</v>
      </c>
    </row>
    <row r="739" spans="1:33" ht="47.25" customHeight="1" x14ac:dyDescent="0.25">
      <c r="A739" s="10" t="s">
        <v>216</v>
      </c>
      <c r="B739" s="11" t="s">
        <v>33</v>
      </c>
      <c r="C739" s="12" t="s">
        <v>217</v>
      </c>
      <c r="D739" s="27"/>
      <c r="E739" s="14" t="s">
        <v>35</v>
      </c>
      <c r="F739" s="11" t="str">
        <f>HYPERLINK("https://redirect.sdcdeals.com/redirect?destination=https%3A%2F%2Fwww.amazon.com%2Fdp%2FB09N6M7RCC%3Fth%3D1%26psc%3D1%26tag%3Dsdcdeals03-20", "Amazon Link")</f>
        <v>Amazon Link</v>
      </c>
      <c r="G739" s="11" t="s">
        <v>36</v>
      </c>
      <c r="H739" s="14" t="s">
        <v>218</v>
      </c>
      <c r="I739" s="11" t="str">
        <f>HYPERLINK("https://redirect.sdcdeals.com/redirect?code=763034&amp;mavely=https://mavely.app.link/e/bhESV2wGrGb&amp;destination=https%3A%2F%2Fwww.kohls.com%2Fsearch.jsp%3Fsubmit-search%3Dweb-regular%26search%3D46688147", "Retail Link")</f>
        <v>Retail Link</v>
      </c>
      <c r="J739" s="14" t="s">
        <v>175</v>
      </c>
      <c r="K739" s="13" t="s">
        <v>219</v>
      </c>
      <c r="L739" s="15">
        <v>18.064</v>
      </c>
      <c r="M739" s="15">
        <v>40.26</v>
      </c>
      <c r="N739" s="15">
        <v>9.5569999999999951</v>
      </c>
      <c r="O739" s="15">
        <f>V739-M739</f>
        <v>1.6000000000000014</v>
      </c>
      <c r="P739" s="16">
        <f>N739/L739</f>
        <v>0.52906333038086772</v>
      </c>
      <c r="Q739" s="14">
        <v>11310</v>
      </c>
      <c r="R739" s="14"/>
      <c r="S739" s="17">
        <v>0.82011864000000001</v>
      </c>
      <c r="T739" s="15"/>
      <c r="U739" s="15">
        <v>40.26</v>
      </c>
      <c r="V739" s="15">
        <v>41.86</v>
      </c>
      <c r="W739" s="14" t="s">
        <v>106</v>
      </c>
      <c r="X739" s="14">
        <v>1</v>
      </c>
      <c r="Y739" s="10">
        <f>AC739-AB739</f>
        <v>9824</v>
      </c>
      <c r="Z739" s="18">
        <v>29</v>
      </c>
      <c r="AA739" s="18">
        <v>123</v>
      </c>
      <c r="AB739" s="18">
        <v>0</v>
      </c>
      <c r="AC739" s="18">
        <v>9824</v>
      </c>
      <c r="AD739" s="1" t="s">
        <v>177</v>
      </c>
      <c r="AE739" s="1" t="s">
        <v>178</v>
      </c>
      <c r="AG739" s="4">
        <v>6.6</v>
      </c>
    </row>
    <row r="740" spans="1:33" ht="47.25" customHeight="1" x14ac:dyDescent="0.25">
      <c r="A740" s="10" t="s">
        <v>2555</v>
      </c>
      <c r="B740" s="11" t="s">
        <v>33</v>
      </c>
      <c r="C740" s="12" t="s">
        <v>2556</v>
      </c>
      <c r="D740" s="27"/>
      <c r="E740" s="14" t="s">
        <v>35</v>
      </c>
      <c r="F740" s="11" t="str">
        <f>HYPERLINK("https://redirect.sdcdeals.com/redirect?destination=https%3A%2F%2Fwww.amazon.com%2Fdp%2FB0C88KXZZY%3Fth%3D1%26psc%3D1%26tag%3Dsdcdeals03-20", "Amazon Link")</f>
        <v>Amazon Link</v>
      </c>
      <c r="G740" s="11" t="s">
        <v>36</v>
      </c>
      <c r="H740" s="14" t="s">
        <v>2557</v>
      </c>
      <c r="I740" s="11" t="str">
        <f>HYPERLINK("https://redirect.sdcdeals.com/redirect?code=763034&amp;mavely=https://mavely.app.link/e/bhESV2wGrGb&amp;destination=https%3A%2F%2Fwww.kohls.com%2Fsearch.jsp%3Fsubmit-search%3Dweb-regular%26search%3D29813473", "Retail Link")</f>
        <v>Retail Link</v>
      </c>
      <c r="J740" s="14" t="s">
        <v>2515</v>
      </c>
      <c r="K740" s="13" t="s">
        <v>2558</v>
      </c>
      <c r="L740" s="15">
        <v>7.6959999999999997</v>
      </c>
      <c r="M740" s="15">
        <v>20.94</v>
      </c>
      <c r="N740" s="15">
        <v>4.052999999999999</v>
      </c>
      <c r="O740" s="15">
        <f>V740-M740</f>
        <v>8.82</v>
      </c>
      <c r="P740" s="16">
        <f>N740/L740</f>
        <v>0.52663721413721398</v>
      </c>
      <c r="Q740" s="14">
        <v>169640</v>
      </c>
      <c r="R740" s="14"/>
      <c r="S740" s="17">
        <v>0.92373578000000001</v>
      </c>
      <c r="T740" s="15"/>
      <c r="U740" s="15">
        <v>20.94</v>
      </c>
      <c r="V740" s="15">
        <v>29.76</v>
      </c>
      <c r="W740" s="14" t="s">
        <v>2559</v>
      </c>
      <c r="X740" s="14">
        <v>1</v>
      </c>
      <c r="Y740" s="10">
        <f>AC740-AB740</f>
        <v>207</v>
      </c>
      <c r="Z740" s="18">
        <v>7</v>
      </c>
      <c r="AA740" s="18">
        <v>32</v>
      </c>
      <c r="AB740" s="18">
        <v>12</v>
      </c>
      <c r="AC740" s="18">
        <v>219</v>
      </c>
      <c r="AD740" s="1" t="s">
        <v>2560</v>
      </c>
      <c r="AE740" s="1" t="s">
        <v>235</v>
      </c>
      <c r="AG740" s="4">
        <v>6.05</v>
      </c>
    </row>
    <row r="741" spans="1:33" ht="47.25" customHeight="1" x14ac:dyDescent="0.25">
      <c r="A741" s="10" t="s">
        <v>5487</v>
      </c>
      <c r="B741" s="11" t="s">
        <v>33</v>
      </c>
      <c r="C741" s="12" t="s">
        <v>5488</v>
      </c>
      <c r="D741" s="27"/>
      <c r="E741" s="14" t="s">
        <v>35</v>
      </c>
      <c r="F741" s="11" t="str">
        <f>HYPERLINK("https://redirect.sdcdeals.com/redirect?destination=https%3A%2F%2Fwww.amazon.com%2Fdp%2FB0C8BM9TYX%3Fth%3D1%26psc%3D1%26tag%3Dsdcdeals03-20", "Amazon Link")</f>
        <v>Amazon Link</v>
      </c>
      <c r="G741" s="11" t="s">
        <v>36</v>
      </c>
      <c r="H741" s="14" t="s">
        <v>5489</v>
      </c>
      <c r="I741" s="11" t="str">
        <f>HYPERLINK("https://redirect.sdcdeals.com/redirect?code=763034&amp;mavely=https://mavely.app.link/e/bhESV2wGrGb&amp;destination=https%3A%2F%2Fwww.kohls.com%2Fsearch.jsp%3Fsubmit-search%3Dweb-regular%26search%3D61160490", "Retail Link")</f>
        <v>Retail Link</v>
      </c>
      <c r="J741" s="14" t="s">
        <v>5471</v>
      </c>
      <c r="K741" s="13" t="s">
        <v>5490</v>
      </c>
      <c r="L741" s="15">
        <v>7.5439999999999996</v>
      </c>
      <c r="M741" s="15">
        <v>21.56</v>
      </c>
      <c r="N741" s="15">
        <v>3.9719999999999991</v>
      </c>
      <c r="O741" s="15">
        <f>V741-M741</f>
        <v>-0.93999999999999773</v>
      </c>
      <c r="P741" s="16">
        <f>N741/L741</f>
        <v>0.52651113467656407</v>
      </c>
      <c r="Q741" s="14">
        <v>615571</v>
      </c>
      <c r="R741" s="14"/>
      <c r="S741" s="17">
        <v>0.64374903999999999</v>
      </c>
      <c r="T741" s="15"/>
      <c r="U741" s="15">
        <v>21.56</v>
      </c>
      <c r="V741" s="15">
        <v>20.62</v>
      </c>
      <c r="W741" s="14" t="s">
        <v>396</v>
      </c>
      <c r="X741" s="14">
        <v>1</v>
      </c>
      <c r="Y741" s="10">
        <f>AC741-AB741</f>
        <v>85</v>
      </c>
      <c r="Z741" s="18">
        <v>9</v>
      </c>
      <c r="AA741" s="18">
        <v>17</v>
      </c>
      <c r="AB741" s="18">
        <v>4</v>
      </c>
      <c r="AC741" s="18">
        <v>89</v>
      </c>
      <c r="AD741" s="1" t="s">
        <v>5473</v>
      </c>
      <c r="AE741" s="1" t="s">
        <v>5474</v>
      </c>
      <c r="AG741" s="4">
        <v>6.81</v>
      </c>
    </row>
    <row r="742" spans="1:33" ht="47.25" customHeight="1" x14ac:dyDescent="0.25">
      <c r="A742" s="10" t="s">
        <v>6337</v>
      </c>
      <c r="B742" s="11" t="s">
        <v>33</v>
      </c>
      <c r="C742" s="12" t="s">
        <v>6338</v>
      </c>
      <c r="D742" s="27"/>
      <c r="E742" s="14" t="s">
        <v>35</v>
      </c>
      <c r="F742" s="11" t="str">
        <f>HYPERLINK("https://redirect.sdcdeals.com/redirect?destination=https%3A%2F%2Fwww.amazon.com%2Fdp%2FB07VT1B78G%3Fth%3D1%26psc%3D1%26tag%3Dsdcdeals03-20", "Amazon Link")</f>
        <v>Amazon Link</v>
      </c>
      <c r="G742" s="11" t="s">
        <v>36</v>
      </c>
      <c r="H742" s="14" t="s">
        <v>6339</v>
      </c>
      <c r="I742" s="11" t="str">
        <f>HYPERLINK("https://redirect.sdcdeals.com/redirect?code=763034&amp;mavely=https://mavely.app.link/e/bhESV2wGrGb&amp;destination=https%3A%2F%2Fwww.kohls.com%2Fsearch.jsp%3Fsubmit-search%3Dweb-regular%26search%3D48744319", "Retail Link")</f>
        <v>Retail Link</v>
      </c>
      <c r="J742" s="14" t="s">
        <v>6330</v>
      </c>
      <c r="K742" s="13" t="s">
        <v>6340</v>
      </c>
      <c r="L742" s="15">
        <v>16</v>
      </c>
      <c r="M742" s="15">
        <v>36.67</v>
      </c>
      <c r="N742" s="15">
        <v>8.3595000000000006</v>
      </c>
      <c r="O742" s="15">
        <f>V742-M742</f>
        <v>0</v>
      </c>
      <c r="P742" s="16">
        <f>N742/L742</f>
        <v>0.52246875000000004</v>
      </c>
      <c r="Q742" s="14">
        <v>502556</v>
      </c>
      <c r="R742" s="14"/>
      <c r="S742" s="17">
        <v>0.76500314000000003</v>
      </c>
      <c r="T742" s="15"/>
      <c r="U742" s="15">
        <v>36.67</v>
      </c>
      <c r="V742" s="15">
        <v>36.67</v>
      </c>
      <c r="W742" s="14" t="s">
        <v>199</v>
      </c>
      <c r="X742" s="14">
        <v>1</v>
      </c>
      <c r="Y742" s="10">
        <f>AC742-AB742</f>
        <v>15</v>
      </c>
      <c r="Z742" s="18">
        <v>4</v>
      </c>
      <c r="AA742" s="18">
        <v>10</v>
      </c>
      <c r="AB742" s="18">
        <v>1</v>
      </c>
      <c r="AC742" s="18">
        <v>16</v>
      </c>
      <c r="AD742" s="1" t="s">
        <v>6332</v>
      </c>
      <c r="AE742" s="1" t="s">
        <v>1440</v>
      </c>
      <c r="AG742" s="4">
        <v>6.81</v>
      </c>
    </row>
    <row r="743" spans="1:33" ht="47.25" customHeight="1" x14ac:dyDescent="0.25">
      <c r="A743" s="10" t="s">
        <v>4028</v>
      </c>
      <c r="B743" s="11" t="s">
        <v>33</v>
      </c>
      <c r="C743" s="12" t="s">
        <v>4029</v>
      </c>
      <c r="D743" s="27"/>
      <c r="E743" s="14" t="s">
        <v>35</v>
      </c>
      <c r="F743" s="11" t="str">
        <f>HYPERLINK("https://redirect.sdcdeals.com/redirect?destination=https%3A%2F%2Fwww.amazon.com%2Fdp%2FB07T5GGRNJ%3Fth%3D1%26psc%3D1%26tag%3Dsdcdeals03-20", "Amazon Link")</f>
        <v>Amazon Link</v>
      </c>
      <c r="G743" s="11" t="s">
        <v>36</v>
      </c>
      <c r="H743" s="14" t="s">
        <v>4030</v>
      </c>
      <c r="I743" s="11" t="str">
        <f>HYPERLINK("https://redirect.sdcdeals.com/redirect?code=763034&amp;mavely=https://mavely.app.link/e/bhESV2wGrGb&amp;destination=https%3A%2F%2Fwww.kohls.com%2Fsearch.jsp%3Fsubmit-search%3Dweb-regular%26search%3D53919680", "Retail Link")</f>
        <v>Retail Link</v>
      </c>
      <c r="J743" s="14" t="s">
        <v>4024</v>
      </c>
      <c r="K743" s="13" t="s">
        <v>4031</v>
      </c>
      <c r="L743" s="15">
        <v>17.696000000000002</v>
      </c>
      <c r="M743" s="15">
        <v>39.99</v>
      </c>
      <c r="N743" s="15">
        <v>9.2155000000000022</v>
      </c>
      <c r="O743" s="15">
        <f>V743-M743</f>
        <v>3.1199999999999974</v>
      </c>
      <c r="P743" s="16">
        <f>N743/L743</f>
        <v>0.52076740506329122</v>
      </c>
      <c r="Q743" s="14">
        <v>31695</v>
      </c>
      <c r="R743" s="14"/>
      <c r="S743" s="17">
        <v>0.74516156</v>
      </c>
      <c r="T743" s="15">
        <v>39.99</v>
      </c>
      <c r="U743" s="15">
        <v>39.19</v>
      </c>
      <c r="V743" s="15">
        <v>43.11</v>
      </c>
      <c r="W743" s="14" t="s">
        <v>959</v>
      </c>
      <c r="X743" s="14">
        <v>2</v>
      </c>
      <c r="Y743" s="10">
        <f>AC743-AB743</f>
        <v>1470</v>
      </c>
      <c r="Z743" s="18">
        <v>32</v>
      </c>
      <c r="AA743" s="18">
        <v>81</v>
      </c>
      <c r="AB743" s="18">
        <v>16</v>
      </c>
      <c r="AC743" s="18">
        <v>1486</v>
      </c>
      <c r="AD743" s="1" t="s">
        <v>4026</v>
      </c>
      <c r="AE743" s="1" t="s">
        <v>4027</v>
      </c>
      <c r="AF743" s="4">
        <v>6.8</v>
      </c>
      <c r="AG743" s="4">
        <v>7.08</v>
      </c>
    </row>
    <row r="744" spans="1:33" ht="47.25" customHeight="1" x14ac:dyDescent="0.25">
      <c r="A744" s="10" t="s">
        <v>7271</v>
      </c>
      <c r="B744" s="11" t="s">
        <v>33</v>
      </c>
      <c r="C744" s="12" t="s">
        <v>7272</v>
      </c>
      <c r="D744" s="27"/>
      <c r="E744" s="14" t="s">
        <v>35</v>
      </c>
      <c r="F744" s="11" t="str">
        <f>HYPERLINK("https://redirect.sdcdeals.com/redirect?destination=https%3A%2F%2Fwww.amazon.com%2Fdp%2FB0B8HJCBHB%3Fth%3D1%26psc%3D1%26tag%3Dsdcdeals03-20", "Amazon Link")</f>
        <v>Amazon Link</v>
      </c>
      <c r="G744" s="11" t="s">
        <v>36</v>
      </c>
      <c r="H744" s="14" t="s">
        <v>7273</v>
      </c>
      <c r="I744" s="11" t="str">
        <f>HYPERLINK("https://redirect.sdcdeals.com/redirect?code=763034&amp;mavely=https://mavely.app.link/e/bhESV2wGrGb&amp;destination=https%3A%2F%2Fwww.kohls.com%2Fsearch.jsp%3Fsubmit-search%3Dweb-regular%26search%3D82001261", "Retail Link")</f>
        <v>Retail Link</v>
      </c>
      <c r="J744" s="14" t="s">
        <v>7256</v>
      </c>
      <c r="K744" s="13" t="s">
        <v>7274</v>
      </c>
      <c r="L744" s="15">
        <v>9.9920000000000009</v>
      </c>
      <c r="M744" s="15">
        <v>24.99</v>
      </c>
      <c r="N744" s="15">
        <v>5.1994999999999969</v>
      </c>
      <c r="O744" s="15">
        <f>V744-M744</f>
        <v>9.66</v>
      </c>
      <c r="P744" s="16">
        <f>N744/L744</f>
        <v>0.52036629303442716</v>
      </c>
      <c r="Q744" s="14">
        <v>623727</v>
      </c>
      <c r="R744" s="14"/>
      <c r="S744" s="17">
        <v>1.2566333999999999</v>
      </c>
      <c r="T744" s="15">
        <v>24.99</v>
      </c>
      <c r="U744" s="15">
        <v>29.46</v>
      </c>
      <c r="V744" s="15">
        <v>34.65</v>
      </c>
      <c r="W744" s="14" t="s">
        <v>88</v>
      </c>
      <c r="X744" s="14">
        <v>10</v>
      </c>
      <c r="Y744" s="10">
        <f>AC744-AB744</f>
        <v>201</v>
      </c>
      <c r="Z744" s="18">
        <v>5</v>
      </c>
      <c r="AA744" s="18">
        <v>29</v>
      </c>
      <c r="AB744" s="18">
        <v>6</v>
      </c>
      <c r="AC744" s="18">
        <v>207</v>
      </c>
      <c r="AD744" s="1" t="s">
        <v>7258</v>
      </c>
      <c r="AE744" s="1" t="s">
        <v>1490</v>
      </c>
      <c r="AF744" s="4">
        <v>3.75</v>
      </c>
      <c r="AG744" s="4">
        <v>6.05</v>
      </c>
    </row>
    <row r="745" spans="1:33" ht="47.25" customHeight="1" x14ac:dyDescent="0.25">
      <c r="A745" s="10" t="s">
        <v>5261</v>
      </c>
      <c r="B745" s="11" t="s">
        <v>33</v>
      </c>
      <c r="C745" s="12" t="s">
        <v>5262</v>
      </c>
      <c r="D745" s="27"/>
      <c r="E745" s="14" t="s">
        <v>35</v>
      </c>
      <c r="F745" s="11" t="str">
        <f>HYPERLINK("https://redirect.sdcdeals.com/redirect?destination=https%3A%2F%2Fwww.amazon.com%2Fdp%2FB093G4V5Y9%3Fth%3D1%26psc%3D1%26tag%3Dsdcdeals03-20", "Amazon Link")</f>
        <v>Amazon Link</v>
      </c>
      <c r="G745" s="11" t="s">
        <v>36</v>
      </c>
      <c r="H745" s="14" t="s">
        <v>5263</v>
      </c>
      <c r="I745" s="11" t="str">
        <f>HYPERLINK("https://redirect.sdcdeals.com/redirect?code=763034&amp;mavely=https://mavely.app.link/e/bhESV2wGrGb&amp;destination=https%3A%2F%2Fwww.kohls.com%2Fsearch.jsp%3Fsubmit-search%3Dweb-regular%26search%3D72098942", "Retail Link")</f>
        <v>Retail Link</v>
      </c>
      <c r="J745" s="14" t="s">
        <v>5206</v>
      </c>
      <c r="K745" s="13" t="s">
        <v>5264</v>
      </c>
      <c r="L745" s="15">
        <v>8.4</v>
      </c>
      <c r="M745" s="15">
        <v>21.02</v>
      </c>
      <c r="N745" s="15">
        <v>4.3470000000000004</v>
      </c>
      <c r="O745" s="15">
        <f>V745-M745</f>
        <v>0.40000000000000213</v>
      </c>
      <c r="P745" s="16">
        <f>N745/L745</f>
        <v>0.51750000000000007</v>
      </c>
      <c r="Q745" s="14">
        <v>84810</v>
      </c>
      <c r="R745" s="14"/>
      <c r="S745" s="17">
        <v>0.25353130000000001</v>
      </c>
      <c r="T745" s="15">
        <v>15.34</v>
      </c>
      <c r="U745" s="15">
        <v>20.79</v>
      </c>
      <c r="V745" s="15">
        <v>21.42</v>
      </c>
      <c r="W745" s="14" t="s">
        <v>3409</v>
      </c>
      <c r="X745" s="14">
        <v>6</v>
      </c>
      <c r="Y745" s="10">
        <f>AC745-AB745</f>
        <v>117</v>
      </c>
      <c r="Z745" s="18">
        <v>33</v>
      </c>
      <c r="AA745" s="18">
        <v>85</v>
      </c>
      <c r="AB745" s="18">
        <v>1</v>
      </c>
      <c r="AC745" s="18">
        <v>118</v>
      </c>
      <c r="AD745" s="1" t="s">
        <v>5208</v>
      </c>
      <c r="AE745" s="1" t="s">
        <v>278</v>
      </c>
      <c r="AF745" s="4">
        <v>3.57</v>
      </c>
      <c r="AG745" s="4">
        <v>5.12</v>
      </c>
    </row>
    <row r="746" spans="1:33" ht="47.25" customHeight="1" x14ac:dyDescent="0.25">
      <c r="A746" s="10" t="s">
        <v>3225</v>
      </c>
      <c r="B746" s="11" t="s">
        <v>33</v>
      </c>
      <c r="C746" s="12" t="s">
        <v>3226</v>
      </c>
      <c r="D746" s="27"/>
      <c r="E746" s="14" t="s">
        <v>35</v>
      </c>
      <c r="F746" s="11" t="str">
        <f>HYPERLINK("https://redirect.sdcdeals.com/redirect?destination=https%3A%2F%2Fwww.amazon.com%2Fdp%2FB09KMKFKT4%3Fth%3D1%26psc%3D1%26tag%3Dsdcdeals03-20", "Amazon Link")</f>
        <v>Amazon Link</v>
      </c>
      <c r="G746" s="11" t="s">
        <v>36</v>
      </c>
      <c r="H746" s="14" t="s">
        <v>3227</v>
      </c>
      <c r="I746" s="11" t="str">
        <f>HYPERLINK("https://redirect.sdcdeals.com/redirect?code=763034&amp;mavely=https://mavely.app.link/e/bhESV2wGrGb&amp;destination=https%3A%2F%2Fwww.kohls.com%2Fsearch.jsp%3Fsubmit-search%3Dweb-regular%26search%3D29769609", "Retail Link")</f>
        <v>Retail Link</v>
      </c>
      <c r="J746" s="14" t="s">
        <v>3216</v>
      </c>
      <c r="K746" s="13" t="s">
        <v>3228</v>
      </c>
      <c r="L746" s="15">
        <v>15.4</v>
      </c>
      <c r="M746" s="15">
        <v>36.5</v>
      </c>
      <c r="N746" s="15">
        <v>7.9049999999999994</v>
      </c>
      <c r="O746" s="15">
        <f>V746-M746</f>
        <v>1.7100000000000009</v>
      </c>
      <c r="P746" s="16">
        <f>N746/L746</f>
        <v>0.51331168831168827</v>
      </c>
      <c r="Q746" s="14">
        <v>527597</v>
      </c>
      <c r="R746" s="14"/>
      <c r="S746" s="17">
        <v>1.0141252000000001</v>
      </c>
      <c r="T746" s="15">
        <v>36.5</v>
      </c>
      <c r="U746" s="15">
        <v>34.409999999999997</v>
      </c>
      <c r="V746" s="15">
        <v>38.21</v>
      </c>
      <c r="W746" s="14" t="s">
        <v>2347</v>
      </c>
      <c r="X746" s="14">
        <v>1</v>
      </c>
      <c r="Y746" s="10">
        <f>AC746-AB746</f>
        <v>0</v>
      </c>
      <c r="Z746" s="18">
        <v>12</v>
      </c>
      <c r="AA746" s="18">
        <v>32</v>
      </c>
      <c r="AB746" s="18">
        <v>10</v>
      </c>
      <c r="AC746" s="18">
        <v>10</v>
      </c>
      <c r="AD746" s="1" t="s">
        <v>3218</v>
      </c>
      <c r="AE746" s="1" t="s">
        <v>3229</v>
      </c>
      <c r="AF746" s="4">
        <v>6.21</v>
      </c>
      <c r="AG746" s="4">
        <v>7.72</v>
      </c>
    </row>
    <row r="747" spans="1:33" ht="47.25" customHeight="1" x14ac:dyDescent="0.25">
      <c r="A747" s="10" t="s">
        <v>4391</v>
      </c>
      <c r="B747" s="11" t="s">
        <v>33</v>
      </c>
      <c r="C747" s="12" t="s">
        <v>4392</v>
      </c>
      <c r="D747" s="27"/>
      <c r="E747" s="14" t="s">
        <v>35</v>
      </c>
      <c r="F747" s="11" t="str">
        <f>HYPERLINK("https://redirect.sdcdeals.com/redirect?destination=https%3A%2F%2Fwww.amazon.com%2Fdp%2FB0B1JSC2W8%3Fth%3D1%26psc%3D1%26tag%3Dsdcdeals03-20", "Amazon Link")</f>
        <v>Amazon Link</v>
      </c>
      <c r="G747" s="11" t="s">
        <v>36</v>
      </c>
      <c r="H747" s="14" t="s">
        <v>4393</v>
      </c>
      <c r="I747" s="11" t="str">
        <f>HYPERLINK("https://redirect.sdcdeals.com/redirect?code=763034&amp;mavely=https://mavely.app.link/e/bhESV2wGrGb&amp;destination=https%3A%2F%2Fwww.kohls.com%2Fsearch.jsp%3Fsubmit-search%3Dweb-regular%26search%3D68949068", "Retail Link")</f>
        <v>Retail Link</v>
      </c>
      <c r="J747" s="14" t="s">
        <v>4347</v>
      </c>
      <c r="K747" s="13" t="s">
        <v>4394</v>
      </c>
      <c r="L747" s="15">
        <v>20.847999999999999</v>
      </c>
      <c r="M747" s="15">
        <v>45.78</v>
      </c>
      <c r="N747" s="15">
        <v>10.664999999999999</v>
      </c>
      <c r="O747" s="15">
        <f>V747-M747</f>
        <v>3.6499999999999986</v>
      </c>
      <c r="P747" s="16">
        <f>N747/L747</f>
        <v>0.51155986185725244</v>
      </c>
      <c r="Q747" s="14">
        <v>798</v>
      </c>
      <c r="R747" s="14"/>
      <c r="S747" s="17">
        <v>1.3889106</v>
      </c>
      <c r="T747" s="15">
        <v>45.78</v>
      </c>
      <c r="U747" s="15">
        <v>48.38</v>
      </c>
      <c r="V747" s="15">
        <v>49.43</v>
      </c>
      <c r="W747" s="14" t="s">
        <v>106</v>
      </c>
      <c r="X747" s="14">
        <v>1</v>
      </c>
      <c r="Y747" s="10">
        <f>AC747-AB747</f>
        <v>47550</v>
      </c>
      <c r="Z747" s="18">
        <v>40</v>
      </c>
      <c r="AA747" s="18">
        <v>103</v>
      </c>
      <c r="AB747" s="18">
        <v>0</v>
      </c>
      <c r="AC747" s="18">
        <v>47550</v>
      </c>
      <c r="AD747" s="1" t="s">
        <v>4355</v>
      </c>
      <c r="AE747" s="1" t="s">
        <v>4356</v>
      </c>
      <c r="AF747" s="4">
        <v>7.78</v>
      </c>
      <c r="AG747" s="4">
        <v>7.4</v>
      </c>
    </row>
    <row r="748" spans="1:33" ht="47.25" customHeight="1" x14ac:dyDescent="0.25">
      <c r="A748" s="10" t="s">
        <v>508</v>
      </c>
      <c r="B748" s="11" t="s">
        <v>33</v>
      </c>
      <c r="C748" s="12" t="s">
        <v>509</v>
      </c>
      <c r="D748" s="27"/>
      <c r="E748" s="14" t="s">
        <v>35</v>
      </c>
      <c r="F748" s="11" t="str">
        <f>HYPERLINK("https://redirect.sdcdeals.com/redirect?destination=https%3A%2F%2Fwww.amazon.com%2Fdp%2FB0BNT16HZV%3Fth%3D1%26psc%3D1%26tag%3Dsdcdeals03-20", "Amazon Link")</f>
        <v>Amazon Link</v>
      </c>
      <c r="G748" s="11" t="s">
        <v>36</v>
      </c>
      <c r="H748" s="14" t="s">
        <v>510</v>
      </c>
      <c r="I748" s="11" t="str">
        <f>HYPERLINK("https://redirect.sdcdeals.com/redirect?code=763034&amp;mavely=https://mavely.app.link/e/bhESV2wGrGb&amp;destination=https%3A%2F%2Fwww.kohls.com%2Fsearch.jsp%3Fsubmit-search%3Dweb-regular%26search%3D76784480", "Retail Link")</f>
        <v>Retail Link</v>
      </c>
      <c r="J748" s="14" t="s">
        <v>505</v>
      </c>
      <c r="K748" s="13" t="s">
        <v>511</v>
      </c>
      <c r="L748" s="15">
        <v>19.600000000000001</v>
      </c>
      <c r="M748" s="15">
        <v>42.61</v>
      </c>
      <c r="N748" s="15">
        <v>10.0185</v>
      </c>
      <c r="O748" s="15">
        <f>V748-M748</f>
        <v>-8.8999999999999986</v>
      </c>
      <c r="P748" s="16">
        <f>N748/L748</f>
        <v>0.51114795918367339</v>
      </c>
      <c r="Q748" s="14">
        <v>1359101</v>
      </c>
      <c r="R748" s="14"/>
      <c r="S748" s="17">
        <v>0.26014515999999999</v>
      </c>
      <c r="T748" s="15">
        <v>34.659999999999997</v>
      </c>
      <c r="U748" s="15">
        <v>39.42</v>
      </c>
      <c r="V748" s="15">
        <v>33.71</v>
      </c>
      <c r="W748" s="14" t="s">
        <v>250</v>
      </c>
      <c r="X748" s="14">
        <v>4</v>
      </c>
      <c r="Y748" s="10">
        <f>AC748-AB748</f>
        <v>5</v>
      </c>
      <c r="Z748" s="18">
        <v>4</v>
      </c>
      <c r="AA748" s="18">
        <v>21</v>
      </c>
      <c r="AB748" s="18">
        <v>0</v>
      </c>
      <c r="AC748" s="18">
        <v>5</v>
      </c>
      <c r="AD748" s="1" t="s">
        <v>507</v>
      </c>
      <c r="AE748" s="1" t="s">
        <v>278</v>
      </c>
      <c r="AF748" s="4">
        <v>7.25</v>
      </c>
      <c r="AG748" s="4">
        <v>6.6</v>
      </c>
    </row>
    <row r="749" spans="1:33" ht="47.25" customHeight="1" x14ac:dyDescent="0.25">
      <c r="A749" s="10" t="s">
        <v>4926</v>
      </c>
      <c r="B749" s="11" t="s">
        <v>33</v>
      </c>
      <c r="C749" s="12" t="s">
        <v>4927</v>
      </c>
      <c r="D749" s="27"/>
      <c r="E749" s="14" t="s">
        <v>35</v>
      </c>
      <c r="F749" s="11" t="str">
        <f>HYPERLINK("https://redirect.sdcdeals.com/redirect?destination=https%3A%2F%2Fwww.amazon.com%2Fdp%2FB0CFQ3TY1L%3Fth%3D1%26psc%3D1%26tag%3Dsdcdeals03-20", "Amazon Link")</f>
        <v>Amazon Link</v>
      </c>
      <c r="G749" s="11" t="s">
        <v>36</v>
      </c>
      <c r="H749" s="14" t="s">
        <v>4928</v>
      </c>
      <c r="I749" s="11" t="str">
        <f>HYPERLINK("https://redirect.sdcdeals.com/redirect?code=763034&amp;mavely=https://mavely.app.link/e/bhESV2wGrGb&amp;destination=https%3A%2F%2Fwww.kohls.com%2Fsearch.jsp%3Fsubmit-search%3Dweb-regular%26search%3D19702643", "Retail Link")</f>
        <v>Retail Link</v>
      </c>
      <c r="J749" s="14" t="s">
        <v>4893</v>
      </c>
      <c r="K749" s="13" t="s">
        <v>4929</v>
      </c>
      <c r="L749" s="15">
        <v>13</v>
      </c>
      <c r="M749" s="15">
        <v>30.81</v>
      </c>
      <c r="N749" s="15">
        <v>6.5884999999999962</v>
      </c>
      <c r="O749" s="15">
        <f>V749-M749</f>
        <v>8.8300000000000018</v>
      </c>
      <c r="P749" s="16">
        <f>N749/L749</f>
        <v>0.50680769230769207</v>
      </c>
      <c r="Q749" s="14">
        <v>1353219</v>
      </c>
      <c r="R749" s="14"/>
      <c r="S749" s="17">
        <v>0.74957079999999998</v>
      </c>
      <c r="T749" s="15">
        <v>30.81</v>
      </c>
      <c r="U749" s="15">
        <v>42.48</v>
      </c>
      <c r="V749" s="15">
        <v>39.64</v>
      </c>
      <c r="W749" s="14" t="s">
        <v>1512</v>
      </c>
      <c r="X749" s="14">
        <v>3</v>
      </c>
      <c r="Y749" s="10">
        <f>AC749-AB749</f>
        <v>11</v>
      </c>
      <c r="Z749" s="18">
        <v>3</v>
      </c>
      <c r="AA749" s="18">
        <v>13</v>
      </c>
      <c r="AB749" s="18">
        <v>0</v>
      </c>
      <c r="AC749" s="18">
        <v>11</v>
      </c>
      <c r="AD749" s="1" t="s">
        <v>4930</v>
      </c>
      <c r="AE749" s="1" t="s">
        <v>4913</v>
      </c>
      <c r="AG749" s="4">
        <v>6.6</v>
      </c>
    </row>
    <row r="750" spans="1:33" ht="47.25" customHeight="1" x14ac:dyDescent="0.25">
      <c r="A750" s="10" t="s">
        <v>4931</v>
      </c>
      <c r="B750" s="11" t="s">
        <v>33</v>
      </c>
      <c r="C750" s="12" t="s">
        <v>4932</v>
      </c>
      <c r="D750" s="27"/>
      <c r="E750" s="14" t="s">
        <v>35</v>
      </c>
      <c r="F750" s="11" t="str">
        <f>HYPERLINK("https://redirect.sdcdeals.com/redirect?destination=https%3A%2F%2Fwww.amazon.com%2Fdp%2FB0CFQ2WXVG%3Fth%3D1%26psc%3D1%26tag%3Dsdcdeals03-20", "Amazon Link")</f>
        <v>Amazon Link</v>
      </c>
      <c r="G750" s="11" t="s">
        <v>36</v>
      </c>
      <c r="H750" s="14" t="s">
        <v>4933</v>
      </c>
      <c r="I750" s="11" t="str">
        <f>HYPERLINK("https://redirect.sdcdeals.com/redirect?code=763034&amp;mavely=https://mavely.app.link/e/bhESV2wGrGb&amp;destination=https%3A%2F%2Fwww.kohls.com%2Fsearch.jsp%3Fsubmit-search%3Dweb-regular%26search%3D19702635", "Retail Link")</f>
        <v>Retail Link</v>
      </c>
      <c r="J750" s="14" t="s">
        <v>4893</v>
      </c>
      <c r="K750" s="13" t="s">
        <v>4934</v>
      </c>
      <c r="L750" s="15">
        <v>13</v>
      </c>
      <c r="M750" s="15">
        <v>30.81</v>
      </c>
      <c r="N750" s="15">
        <v>6.5884999999999962</v>
      </c>
      <c r="O750" s="15">
        <f>V750-M750</f>
        <v>8.1900000000000013</v>
      </c>
      <c r="P750" s="16">
        <f>N750/L750</f>
        <v>0.50680769230769207</v>
      </c>
      <c r="Q750" s="14">
        <v>1346563</v>
      </c>
      <c r="R750" s="14"/>
      <c r="S750" s="17">
        <v>0.80909554000000006</v>
      </c>
      <c r="T750" s="15">
        <v>30.81</v>
      </c>
      <c r="U750" s="15">
        <v>39</v>
      </c>
      <c r="V750" s="15">
        <v>39</v>
      </c>
      <c r="W750" s="14" t="s">
        <v>705</v>
      </c>
      <c r="X750" s="14">
        <v>3</v>
      </c>
      <c r="Y750" s="10">
        <f>AC750-AB750</f>
        <v>0</v>
      </c>
      <c r="Z750" s="18">
        <v>4</v>
      </c>
      <c r="AA750" s="18">
        <v>15</v>
      </c>
      <c r="AB750" s="18">
        <v>0</v>
      </c>
      <c r="AC750" s="18"/>
      <c r="AD750" s="1" t="s">
        <v>4935</v>
      </c>
      <c r="AE750" s="1" t="s">
        <v>4907</v>
      </c>
      <c r="AG750" s="4">
        <v>6.6</v>
      </c>
    </row>
    <row r="751" spans="1:33" ht="47.25" customHeight="1" x14ac:dyDescent="0.25">
      <c r="A751" s="10" t="s">
        <v>693</v>
      </c>
      <c r="B751" s="11" t="s">
        <v>33</v>
      </c>
      <c r="C751" s="12" t="s">
        <v>694</v>
      </c>
      <c r="D751" s="27"/>
      <c r="E751" s="14" t="s">
        <v>35</v>
      </c>
      <c r="F751" s="11" t="str">
        <f>HYPERLINK("https://redirect.sdcdeals.com/redirect?destination=https%3A%2F%2Fwww.amazon.com%2Fdp%2FB0BFV9YQRB%3Fth%3D1%26psc%3D1%26tag%3Dsdcdeals03-20", "Amazon Link")</f>
        <v>Amazon Link</v>
      </c>
      <c r="G751" s="11" t="s">
        <v>36</v>
      </c>
      <c r="H751" s="14" t="s">
        <v>695</v>
      </c>
      <c r="I751" s="11" t="str">
        <f>HYPERLINK("https://redirect.sdcdeals.com/redirect?code=763034&amp;mavely=https://mavely.app.link/e/bhESV2wGrGb&amp;destination=https%3A%2F%2Fwww.kohls.com%2Fsearch.jsp%3Fsubmit-search%3Dweb-regular%26search%3D20255784", "Retail Link")</f>
        <v>Retail Link</v>
      </c>
      <c r="J751" s="14" t="s">
        <v>696</v>
      </c>
      <c r="K751" s="13" t="s">
        <v>697</v>
      </c>
      <c r="L751" s="15">
        <v>44.095999999999997</v>
      </c>
      <c r="M751" s="15">
        <v>95.7</v>
      </c>
      <c r="N751" s="15">
        <v>22.318999999999999</v>
      </c>
      <c r="O751" s="15">
        <f>V751-M751</f>
        <v>0</v>
      </c>
      <c r="P751" s="16">
        <f>N751/L751</f>
        <v>0.50614568214804068</v>
      </c>
      <c r="Q751" s="14">
        <v>3328345</v>
      </c>
      <c r="R751" s="14"/>
      <c r="S751" s="17">
        <v>1.3117489</v>
      </c>
      <c r="T751" s="15"/>
      <c r="U751" s="15"/>
      <c r="V751" s="15">
        <v>95.7</v>
      </c>
      <c r="W751" s="14" t="s">
        <v>698</v>
      </c>
      <c r="X751" s="14"/>
      <c r="Y751" s="10">
        <f>AC751-AB751</f>
        <v>0</v>
      </c>
      <c r="Z751" s="18">
        <v>1</v>
      </c>
      <c r="AA751" s="18">
        <v>2</v>
      </c>
      <c r="AB751" s="18">
        <v>1</v>
      </c>
      <c r="AC751" s="18">
        <v>1</v>
      </c>
      <c r="AD751" s="1" t="s">
        <v>699</v>
      </c>
      <c r="AE751" s="1" t="s">
        <v>700</v>
      </c>
      <c r="AG751" s="4">
        <v>14.93</v>
      </c>
    </row>
    <row r="752" spans="1:33" ht="47.25" customHeight="1" x14ac:dyDescent="0.25">
      <c r="A752" s="10" t="s">
        <v>3123</v>
      </c>
      <c r="B752" s="11" t="s">
        <v>33</v>
      </c>
      <c r="C752" s="12" t="s">
        <v>3124</v>
      </c>
      <c r="D752" s="27"/>
      <c r="E752" s="14" t="s">
        <v>35</v>
      </c>
      <c r="F752" s="11" t="str">
        <f>HYPERLINK("https://redirect.sdcdeals.com/redirect?destination=https%3A%2F%2Fwww.amazon.com%2Fdp%2FB0B64J63MD%3Fth%3D1%26psc%3D1%26tag%3Dsdcdeals03-20", "Amazon Link")</f>
        <v>Amazon Link</v>
      </c>
      <c r="G752" s="11" t="s">
        <v>36</v>
      </c>
      <c r="H752" s="14" t="s">
        <v>3125</v>
      </c>
      <c r="I752" s="11" t="str">
        <f>HYPERLINK("https://redirect.sdcdeals.com/redirect?code=763034&amp;mavely=https://mavely.app.link/e/bhESV2wGrGb&amp;destination=https%3A%2F%2Fwww.kohls.com%2Fsearch.jsp%3Fsubmit-search%3Dweb-regular%26search%3D78064373", "Retail Link")</f>
        <v>Retail Link</v>
      </c>
      <c r="J752" s="14" t="s">
        <v>3090</v>
      </c>
      <c r="K752" s="13" t="s">
        <v>3126</v>
      </c>
      <c r="L752" s="15">
        <v>40</v>
      </c>
      <c r="M752" s="15">
        <v>96</v>
      </c>
      <c r="N752" s="15">
        <v>20.20999999999999</v>
      </c>
      <c r="O752" s="15">
        <f>V752-M752</f>
        <v>1.7399999999999949</v>
      </c>
      <c r="P752" s="16">
        <f>N752/L752</f>
        <v>0.50524999999999975</v>
      </c>
      <c r="Q752" s="14">
        <v>393221</v>
      </c>
      <c r="R752" s="14"/>
      <c r="S752" s="17">
        <v>2.9762369999999998</v>
      </c>
      <c r="T752" s="15">
        <v>96</v>
      </c>
      <c r="U752" s="15">
        <v>91.19</v>
      </c>
      <c r="V752" s="15">
        <v>97.74</v>
      </c>
      <c r="W752" s="14" t="s">
        <v>776</v>
      </c>
      <c r="X752" s="14">
        <v>1</v>
      </c>
      <c r="Y752" s="10">
        <f>AC752-AB752</f>
        <v>1933</v>
      </c>
      <c r="Z752" s="18">
        <v>20</v>
      </c>
      <c r="AA752" s="18">
        <v>73</v>
      </c>
      <c r="AB752" s="18">
        <v>2</v>
      </c>
      <c r="AC752" s="18">
        <v>1935</v>
      </c>
      <c r="AD752" s="1" t="s">
        <v>3127</v>
      </c>
      <c r="AE752" s="1" t="s">
        <v>3105</v>
      </c>
      <c r="AF752" s="4">
        <v>16.32</v>
      </c>
      <c r="AG752" s="4">
        <v>21.39</v>
      </c>
    </row>
    <row r="753" spans="1:33" ht="47.25" customHeight="1" x14ac:dyDescent="0.25">
      <c r="A753" s="10" t="s">
        <v>5907</v>
      </c>
      <c r="B753" s="11" t="s">
        <v>33</v>
      </c>
      <c r="C753" s="12" t="s">
        <v>5908</v>
      </c>
      <c r="D753" s="27"/>
      <c r="E753" s="14" t="s">
        <v>35</v>
      </c>
      <c r="F753" s="11" t="str">
        <f>HYPERLINK("https://redirect.sdcdeals.com/redirect?destination=https%3A%2F%2Fwww.amazon.com%2Fdp%2FB0BKQR1F4R%3Fth%3D1%26psc%3D1%26tag%3Dsdcdeals03-20", "Amazon Link")</f>
        <v>Amazon Link</v>
      </c>
      <c r="G753" s="11" t="s">
        <v>36</v>
      </c>
      <c r="H753" s="14" t="s">
        <v>5909</v>
      </c>
      <c r="I753" s="11" t="str">
        <f>HYPERLINK("https://redirect.sdcdeals.com/redirect?code=763034&amp;mavely=https://mavely.app.link/e/bhESV2wGrGb&amp;destination=https%3A%2F%2Fwww.kohls.com%2Fsearch.jsp%3Fsubmit-search%3Dweb-regular%26search%3D46912034", "Retail Link")</f>
        <v>Retail Link</v>
      </c>
      <c r="J753" s="14" t="s">
        <v>5910</v>
      </c>
      <c r="K753" s="13" t="s">
        <v>5911</v>
      </c>
      <c r="L753" s="15">
        <v>67.600000000000009</v>
      </c>
      <c r="M753" s="15">
        <v>134.99</v>
      </c>
      <c r="N753" s="15">
        <v>34.111499999999992</v>
      </c>
      <c r="O753" s="15">
        <f>V753-M753</f>
        <v>-17.900000000000006</v>
      </c>
      <c r="P753" s="16">
        <f>N753/L753</f>
        <v>0.50460798816568031</v>
      </c>
      <c r="Q753" s="14">
        <v>426598</v>
      </c>
      <c r="R753" s="14"/>
      <c r="S753" s="17">
        <v>2.0899797599999999</v>
      </c>
      <c r="T753" s="15">
        <v>134.99</v>
      </c>
      <c r="U753" s="15">
        <v>107.96</v>
      </c>
      <c r="V753" s="15">
        <v>117.09</v>
      </c>
      <c r="W753" s="14" t="s">
        <v>385</v>
      </c>
      <c r="X753" s="14">
        <v>3</v>
      </c>
      <c r="Y753" s="10">
        <f>AC753-AB753</f>
        <v>18</v>
      </c>
      <c r="Z753" s="18">
        <v>38</v>
      </c>
      <c r="AA753" s="18">
        <v>128</v>
      </c>
      <c r="AB753" s="18">
        <v>0</v>
      </c>
      <c r="AC753" s="18">
        <v>18</v>
      </c>
      <c r="AD753" s="1" t="s">
        <v>5912</v>
      </c>
      <c r="AE753" s="1" t="s">
        <v>5913</v>
      </c>
      <c r="AF753" s="4">
        <v>22.95</v>
      </c>
      <c r="AG753" s="4">
        <v>13.03</v>
      </c>
    </row>
    <row r="754" spans="1:33" ht="47.25" customHeight="1" x14ac:dyDescent="0.25">
      <c r="A754" s="10" t="s">
        <v>2525</v>
      </c>
      <c r="B754" s="11" t="s">
        <v>33</v>
      </c>
      <c r="C754" s="12" t="s">
        <v>2526</v>
      </c>
      <c r="D754" s="27"/>
      <c r="E754" s="14" t="s">
        <v>35</v>
      </c>
      <c r="F754" s="11" t="str">
        <f>HYPERLINK("https://redirect.sdcdeals.com/redirect?destination=https%3A%2F%2Fwww.amazon.com%2Fdp%2FB0C88FLD35%3Fth%3D1%26psc%3D1%26tag%3Dsdcdeals03-20", "Amazon Link")</f>
        <v>Amazon Link</v>
      </c>
      <c r="G754" s="11" t="s">
        <v>36</v>
      </c>
      <c r="H754" s="14" t="s">
        <v>2527</v>
      </c>
      <c r="I754" s="11" t="str">
        <f>HYPERLINK("https://redirect.sdcdeals.com/redirect?code=763034&amp;mavely=https://mavely.app.link/e/bhESV2wGrGb&amp;destination=https%3A%2F%2Fwww.kohls.com%2Fsearch.jsp%3Fsubmit-search%3Dweb-regular%26search%3D29813468", "Retail Link")</f>
        <v>Retail Link</v>
      </c>
      <c r="J754" s="14" t="s">
        <v>2515</v>
      </c>
      <c r="K754" s="13" t="s">
        <v>2528</v>
      </c>
      <c r="L754" s="15">
        <v>7.6959999999999997</v>
      </c>
      <c r="M754" s="15">
        <v>19.920000000000002</v>
      </c>
      <c r="N754" s="15">
        <v>3.866000000000001</v>
      </c>
      <c r="O754" s="15">
        <f>V754-M754</f>
        <v>4.0999999999999979</v>
      </c>
      <c r="P754" s="16">
        <f>N754/L754</f>
        <v>0.5023388773388775</v>
      </c>
      <c r="Q754" s="14">
        <v>169640</v>
      </c>
      <c r="R754" s="14"/>
      <c r="S754" s="17">
        <v>0.70547840000000006</v>
      </c>
      <c r="T754" s="15"/>
      <c r="U754" s="15">
        <v>19.920000000000002</v>
      </c>
      <c r="V754" s="15">
        <v>24.02</v>
      </c>
      <c r="W754" s="14" t="s">
        <v>2529</v>
      </c>
      <c r="X754" s="14">
        <v>1</v>
      </c>
      <c r="Y754" s="10">
        <f>AC754-AB754</f>
        <v>215</v>
      </c>
      <c r="Z754" s="18">
        <v>17</v>
      </c>
      <c r="AA754" s="18">
        <v>55</v>
      </c>
      <c r="AB754" s="18">
        <v>4</v>
      </c>
      <c r="AC754" s="18">
        <v>219</v>
      </c>
      <c r="AD754" s="1" t="s">
        <v>2530</v>
      </c>
      <c r="AE754" s="1" t="s">
        <v>235</v>
      </c>
      <c r="AG754" s="4">
        <v>5.37</v>
      </c>
    </row>
    <row r="755" spans="1:33" ht="47.25" customHeight="1" x14ac:dyDescent="0.25">
      <c r="A755" s="10" t="s">
        <v>3648</v>
      </c>
      <c r="B755" s="11" t="s">
        <v>33</v>
      </c>
      <c r="C755" s="12" t="s">
        <v>3649</v>
      </c>
      <c r="D755" s="27"/>
      <c r="E755" s="14" t="s">
        <v>35</v>
      </c>
      <c r="F755" s="11" t="str">
        <f>HYPERLINK("https://redirect.sdcdeals.com/redirect?destination=https%3A%2F%2Fwww.amazon.com%2Fdp%2FB098SJ1CJ5%3Fth%3D1%26psc%3D1%26tag%3Dsdcdeals03-20", "Amazon Link")</f>
        <v>Amazon Link</v>
      </c>
      <c r="G755" s="11" t="s">
        <v>36</v>
      </c>
      <c r="H755" s="14" t="s">
        <v>3650</v>
      </c>
      <c r="I755" s="11" t="str">
        <f>HYPERLINK("https://redirect.sdcdeals.com/redirect?code=763034&amp;mavely=https://mavely.app.link/e/bhESV2wGrGb&amp;destination=https%3A%2F%2Fwww.kohls.com%2Fsearch.jsp%3Fsubmit-search%3Dweb-regular%26search%3D48909332", "Retail Link")</f>
        <v>Retail Link</v>
      </c>
      <c r="J755" s="14" t="s">
        <v>3651</v>
      </c>
      <c r="K755" s="13" t="s">
        <v>3652</v>
      </c>
      <c r="L755" s="15">
        <v>11.44</v>
      </c>
      <c r="M755" s="15">
        <v>26.11</v>
      </c>
      <c r="N755" s="15">
        <v>5.7035</v>
      </c>
      <c r="O755" s="15">
        <f>V755-M755</f>
        <v>2.620000000000001</v>
      </c>
      <c r="P755" s="16">
        <f>N755/L755</f>
        <v>0.49855769230769231</v>
      </c>
      <c r="Q755" s="14">
        <v>286137</v>
      </c>
      <c r="R755" s="14"/>
      <c r="S755" s="17">
        <v>0.42108242000000001</v>
      </c>
      <c r="T755" s="15">
        <v>26.11</v>
      </c>
      <c r="U755" s="15">
        <v>28.56</v>
      </c>
      <c r="V755" s="15">
        <v>28.73</v>
      </c>
      <c r="W755" s="14" t="s">
        <v>3653</v>
      </c>
      <c r="X755" s="14">
        <v>8</v>
      </c>
      <c r="Y755" s="10">
        <f>AC755-AB755</f>
        <v>33</v>
      </c>
      <c r="Z755" s="18">
        <v>17</v>
      </c>
      <c r="AA755" s="18">
        <v>68</v>
      </c>
      <c r="AB755" s="18">
        <v>1</v>
      </c>
      <c r="AC755" s="18">
        <v>34</v>
      </c>
      <c r="AD755" s="1" t="s">
        <v>3654</v>
      </c>
      <c r="AE755" s="1" t="s">
        <v>3655</v>
      </c>
      <c r="AF755" s="4">
        <v>4.4400000000000004</v>
      </c>
      <c r="AG755" s="4">
        <v>5.05</v>
      </c>
    </row>
    <row r="756" spans="1:33" ht="47.25" customHeight="1" x14ac:dyDescent="0.25">
      <c r="A756" s="10" t="s">
        <v>3789</v>
      </c>
      <c r="B756" s="11" t="s">
        <v>33</v>
      </c>
      <c r="C756" s="12" t="s">
        <v>3790</v>
      </c>
      <c r="D756" s="27"/>
      <c r="E756" s="14" t="s">
        <v>35</v>
      </c>
      <c r="F756" s="11" t="str">
        <f>HYPERLINK("https://redirect.sdcdeals.com/redirect?destination=https%3A%2F%2Fwww.amazon.com%2Fdp%2FB0CD31JL6X%3Fth%3D1%26psc%3D1%26tag%3Dsdcdeals03-20", "Amazon Link")</f>
        <v>Amazon Link</v>
      </c>
      <c r="G756" s="11" t="s">
        <v>36</v>
      </c>
      <c r="H756" s="14" t="s">
        <v>3791</v>
      </c>
      <c r="I756" s="11" t="str">
        <f>HYPERLINK("https://redirect.sdcdeals.com/redirect?code=763034&amp;mavely=https://mavely.app.link/e/bhESV2wGrGb&amp;destination=https%3A%2F%2Fwww.kohls.com%2Fsearch.jsp%3Fsubmit-search%3Dweb-regular%26search%3D65922432", "Retail Link")</f>
        <v>Retail Link</v>
      </c>
      <c r="J756" s="14" t="s">
        <v>3785</v>
      </c>
      <c r="K756" s="13" t="s">
        <v>3792</v>
      </c>
      <c r="L756" s="15">
        <v>7.56</v>
      </c>
      <c r="M756" s="15">
        <v>22.57</v>
      </c>
      <c r="N756" s="15">
        <v>3.7445000000000008</v>
      </c>
      <c r="O756" s="15">
        <f>V756-M756</f>
        <v>-2.4600000000000009</v>
      </c>
      <c r="P756" s="16">
        <f>N756/L756</f>
        <v>0.49530423280423291</v>
      </c>
      <c r="Q756" s="14">
        <v>504786</v>
      </c>
      <c r="R756" s="14"/>
      <c r="S756" s="17">
        <v>0.83996022000000004</v>
      </c>
      <c r="T756" s="15">
        <v>22.57</v>
      </c>
      <c r="U756" s="15">
        <v>19.86</v>
      </c>
      <c r="V756" s="15">
        <v>20.11</v>
      </c>
      <c r="W756" s="14" t="s">
        <v>131</v>
      </c>
      <c r="X756" s="14">
        <v>2</v>
      </c>
      <c r="Y756" s="10">
        <f>AC756-AB756</f>
        <v>149</v>
      </c>
      <c r="Z756" s="18">
        <v>13</v>
      </c>
      <c r="AA756" s="18">
        <v>47</v>
      </c>
      <c r="AB756" s="18">
        <v>0</v>
      </c>
      <c r="AC756" s="18">
        <v>149</v>
      </c>
      <c r="AD756" s="1" t="s">
        <v>3793</v>
      </c>
      <c r="AE756" s="1" t="s">
        <v>3788</v>
      </c>
      <c r="AF756" s="4">
        <v>3.39</v>
      </c>
      <c r="AG756" s="4">
        <v>7.88</v>
      </c>
    </row>
    <row r="757" spans="1:33" ht="47.25" customHeight="1" x14ac:dyDescent="0.25">
      <c r="A757" s="10" t="s">
        <v>2950</v>
      </c>
      <c r="B757" s="11" t="s">
        <v>33</v>
      </c>
      <c r="C757" s="12" t="s">
        <v>2951</v>
      </c>
      <c r="D757" s="27"/>
      <c r="E757" s="14" t="s">
        <v>35</v>
      </c>
      <c r="F757" s="11" t="str">
        <f>HYPERLINK("https://redirect.sdcdeals.com/redirect?destination=https%3A%2F%2Fwww.amazon.com%2Fdp%2FB09KMF77SR%3Fth%3D1%26psc%3D1%26tag%3Dsdcdeals03-20", "Amazon Link")</f>
        <v>Amazon Link</v>
      </c>
      <c r="G757" s="11" t="s">
        <v>36</v>
      </c>
      <c r="H757" s="14" t="s">
        <v>2952</v>
      </c>
      <c r="I757" s="11" t="str">
        <f>HYPERLINK("https://redirect.sdcdeals.com/redirect?code=763034&amp;mavely=https://mavely.app.link/e/bhESV2wGrGb&amp;destination=https%3A%2F%2Fwww.kohls.com%2Fsearch.jsp%3Fsubmit-search%3Dweb-regular%26search%3D61935481", "Retail Link")</f>
        <v>Retail Link</v>
      </c>
      <c r="J757" s="14" t="s">
        <v>2908</v>
      </c>
      <c r="K757" s="13" t="s">
        <v>2953</v>
      </c>
      <c r="L757" s="15">
        <v>57.2</v>
      </c>
      <c r="M757" s="15">
        <v>115.95</v>
      </c>
      <c r="N757" s="15">
        <v>28.327500000000001</v>
      </c>
      <c r="O757" s="15">
        <f>V757-M757</f>
        <v>-8.730000000000004</v>
      </c>
      <c r="P757" s="16">
        <f>N757/L757</f>
        <v>0.49523601398601397</v>
      </c>
      <c r="Q757" s="14">
        <v>824673</v>
      </c>
      <c r="R757" s="14"/>
      <c r="S757" s="17">
        <v>3.0401709800000001</v>
      </c>
      <c r="T757" s="15">
        <v>115.95</v>
      </c>
      <c r="U757" s="15">
        <v>95.25</v>
      </c>
      <c r="V757" s="15">
        <v>107.22</v>
      </c>
      <c r="W757" s="14" t="s">
        <v>835</v>
      </c>
      <c r="X757" s="14">
        <v>5</v>
      </c>
      <c r="Y757" s="10">
        <f>AC757-AB757</f>
        <v>9</v>
      </c>
      <c r="Z757" s="18">
        <v>11</v>
      </c>
      <c r="AA757" s="18">
        <v>34</v>
      </c>
      <c r="AB757" s="18">
        <v>0</v>
      </c>
      <c r="AC757" s="18">
        <v>9</v>
      </c>
      <c r="AD757" s="1" t="s">
        <v>2911</v>
      </c>
      <c r="AE757" s="1" t="s">
        <v>1211</v>
      </c>
      <c r="AF757" s="4">
        <v>19.71</v>
      </c>
      <c r="AG757" s="4">
        <v>13.03</v>
      </c>
    </row>
    <row r="758" spans="1:33" ht="47.25" customHeight="1" x14ac:dyDescent="0.25">
      <c r="A758" s="10" t="s">
        <v>2962</v>
      </c>
      <c r="B758" s="11" t="s">
        <v>33</v>
      </c>
      <c r="C758" s="12" t="s">
        <v>2963</v>
      </c>
      <c r="D758" s="27"/>
      <c r="E758" s="14" t="s">
        <v>35</v>
      </c>
      <c r="F758" s="11" t="str">
        <f>HYPERLINK("https://redirect.sdcdeals.com/redirect?destination=https%3A%2F%2Fwww.amazon.com%2Fdp%2FB09KMFPSQR%3Fth%3D1%26psc%3D1%26tag%3Dsdcdeals03-20", "Amazon Link")</f>
        <v>Amazon Link</v>
      </c>
      <c r="G758" s="11" t="s">
        <v>36</v>
      </c>
      <c r="H758" s="14" t="s">
        <v>2964</v>
      </c>
      <c r="I758" s="11" t="str">
        <f>HYPERLINK("https://redirect.sdcdeals.com/redirect?code=763034&amp;mavely=https://mavely.app.link/e/bhESV2wGrGb&amp;destination=https%3A%2F%2Fwww.kohls.com%2Fsearch.jsp%3Fsubmit-search%3Dweb-regular%26search%3D61935482", "Retail Link")</f>
        <v>Retail Link</v>
      </c>
      <c r="J758" s="14" t="s">
        <v>2908</v>
      </c>
      <c r="K758" s="13" t="s">
        <v>2965</v>
      </c>
      <c r="L758" s="15">
        <v>57.2</v>
      </c>
      <c r="M758" s="15">
        <v>115.95</v>
      </c>
      <c r="N758" s="15">
        <v>28.327500000000001</v>
      </c>
      <c r="O758" s="15">
        <f>V758-M758</f>
        <v>2.4399999999999977</v>
      </c>
      <c r="P758" s="16">
        <f>N758/L758</f>
        <v>0.49523601398601397</v>
      </c>
      <c r="Q758" s="14">
        <v>824673</v>
      </c>
      <c r="R758" s="14"/>
      <c r="S758" s="17">
        <v>3.30913462</v>
      </c>
      <c r="T758" s="15">
        <v>115.95</v>
      </c>
      <c r="U758" s="15">
        <v>111.99</v>
      </c>
      <c r="V758" s="15">
        <v>118.39</v>
      </c>
      <c r="W758" s="14" t="s">
        <v>742</v>
      </c>
      <c r="X758" s="14">
        <v>3</v>
      </c>
      <c r="Y758" s="10">
        <f>AC758-AB758</f>
        <v>9</v>
      </c>
      <c r="Z758" s="18">
        <v>7</v>
      </c>
      <c r="AA758" s="18">
        <v>18</v>
      </c>
      <c r="AB758" s="18">
        <v>0</v>
      </c>
      <c r="AC758" s="18">
        <v>9</v>
      </c>
      <c r="AD758" s="1" t="s">
        <v>2911</v>
      </c>
      <c r="AE758" s="1" t="s">
        <v>1211</v>
      </c>
      <c r="AF758" s="4">
        <v>19.71</v>
      </c>
      <c r="AG758" s="4">
        <v>13.03</v>
      </c>
    </row>
    <row r="759" spans="1:33" ht="47.25" customHeight="1" x14ac:dyDescent="0.25">
      <c r="A759" s="10" t="s">
        <v>4377</v>
      </c>
      <c r="B759" s="11" t="s">
        <v>33</v>
      </c>
      <c r="C759" s="12" t="s">
        <v>4378</v>
      </c>
      <c r="D759" s="27"/>
      <c r="E759" s="14" t="s">
        <v>35</v>
      </c>
      <c r="F759" s="11" t="str">
        <f>HYPERLINK("https://redirect.sdcdeals.com/redirect?destination=https%3A%2F%2Fwww.amazon.com%2Fdp%2FB0B1KBWMLF%3Fth%3D1%26psc%3D1%26tag%3Dsdcdeals03-20", "Amazon Link")</f>
        <v>Amazon Link</v>
      </c>
      <c r="G759" s="11" t="s">
        <v>36</v>
      </c>
      <c r="H759" s="14" t="s">
        <v>4379</v>
      </c>
      <c r="I759" s="11" t="str">
        <f>HYPERLINK("https://redirect.sdcdeals.com/redirect?code=763034&amp;mavely=https://mavely.app.link/e/bhESV2wGrGb&amp;destination=https%3A%2F%2Fwww.kohls.com%2Fsearch.jsp%3Fsubmit-search%3Dweb-regular%26search%3D68949048", "Retail Link")</f>
        <v>Retail Link</v>
      </c>
      <c r="J759" s="14" t="s">
        <v>4347</v>
      </c>
      <c r="K759" s="13" t="s">
        <v>4380</v>
      </c>
      <c r="L759" s="15">
        <v>20.847999999999999</v>
      </c>
      <c r="M759" s="15">
        <v>45.17</v>
      </c>
      <c r="N759" s="15">
        <v>10.3065</v>
      </c>
      <c r="O759" s="15">
        <f>V759-M759</f>
        <v>2.9399999999999977</v>
      </c>
      <c r="P759" s="16">
        <f>N759/L759</f>
        <v>0.49436396776669228</v>
      </c>
      <c r="Q759" s="14">
        <v>846</v>
      </c>
      <c r="R759" s="14"/>
      <c r="S759" s="17">
        <v>1.3448182</v>
      </c>
      <c r="T759" s="15">
        <v>45.17</v>
      </c>
      <c r="U759" s="15">
        <v>45.76</v>
      </c>
      <c r="V759" s="15">
        <v>48.11</v>
      </c>
      <c r="W759" s="14" t="s">
        <v>100</v>
      </c>
      <c r="X759" s="14">
        <v>1</v>
      </c>
      <c r="Y759" s="10">
        <f>AC759-AB759</f>
        <v>47534</v>
      </c>
      <c r="Z759" s="18">
        <v>39</v>
      </c>
      <c r="AA759" s="18">
        <v>106</v>
      </c>
      <c r="AB759" s="18">
        <v>0</v>
      </c>
      <c r="AC759" s="18">
        <v>47534</v>
      </c>
      <c r="AD759" s="1" t="s">
        <v>4355</v>
      </c>
      <c r="AE759" s="1" t="s">
        <v>4356</v>
      </c>
      <c r="AF759" s="4">
        <v>7.68</v>
      </c>
      <c r="AG759" s="4">
        <v>7.24</v>
      </c>
    </row>
    <row r="760" spans="1:33" ht="47.25" customHeight="1" x14ac:dyDescent="0.25">
      <c r="A760" s="10" t="s">
        <v>5516</v>
      </c>
      <c r="B760" s="11" t="s">
        <v>33</v>
      </c>
      <c r="C760" s="12" t="s">
        <v>5517</v>
      </c>
      <c r="D760" s="27"/>
      <c r="E760" s="14" t="s">
        <v>35</v>
      </c>
      <c r="F760" s="11" t="str">
        <f>HYPERLINK("https://redirect.sdcdeals.com/redirect?destination=https%3A%2F%2Fwww.amazon.com%2Fdp%2FB095VFKXST%3Fth%3D1%26psc%3D1%26tag%3Dsdcdeals03-20", "Amazon Link")</f>
        <v>Amazon Link</v>
      </c>
      <c r="G760" s="11" t="s">
        <v>36</v>
      </c>
      <c r="H760" s="14" t="s">
        <v>5518</v>
      </c>
      <c r="I760" s="11" t="str">
        <f>HYPERLINK("https://redirect.sdcdeals.com/redirect?code=763034&amp;mavely=https://mavely.app.link/e/bhESV2wGrGb&amp;destination=https%3A%2F%2Fwww.kohls.com%2Fsearch.jsp%3Fsubmit-search%3Dweb-regular%26search%3D54585230", "Retail Link")</f>
        <v>Retail Link</v>
      </c>
      <c r="J760" s="14" t="s">
        <v>5509</v>
      </c>
      <c r="K760" s="13" t="s">
        <v>5519</v>
      </c>
      <c r="L760" s="15">
        <v>18.2</v>
      </c>
      <c r="M760" s="15">
        <v>39.99</v>
      </c>
      <c r="N760" s="15">
        <v>8.981500000000004</v>
      </c>
      <c r="O760" s="15">
        <f>V760-M760</f>
        <v>1.8599999999999994</v>
      </c>
      <c r="P760" s="16">
        <f>N760/L760</f>
        <v>0.49348901098901121</v>
      </c>
      <c r="Q760" s="14">
        <v>155597</v>
      </c>
      <c r="R760" s="14"/>
      <c r="S760" s="17">
        <v>0.62831669999999995</v>
      </c>
      <c r="T760" s="15">
        <v>39.99</v>
      </c>
      <c r="U760" s="15">
        <v>44.98</v>
      </c>
      <c r="V760" s="15">
        <v>41.85</v>
      </c>
      <c r="W760" s="14" t="s">
        <v>4270</v>
      </c>
      <c r="X760" s="14">
        <v>2</v>
      </c>
      <c r="Y760" s="10">
        <f>AC760-AB760</f>
        <v>121</v>
      </c>
      <c r="Z760" s="18">
        <v>27</v>
      </c>
      <c r="AA760" s="18">
        <v>71</v>
      </c>
      <c r="AB760" s="18">
        <v>20</v>
      </c>
      <c r="AC760" s="18">
        <v>141</v>
      </c>
      <c r="AD760" s="1" t="s">
        <v>5511</v>
      </c>
      <c r="AE760" s="1" t="s">
        <v>76</v>
      </c>
      <c r="AG760" s="4">
        <v>6.81</v>
      </c>
    </row>
    <row r="761" spans="1:33" ht="47.25" customHeight="1" x14ac:dyDescent="0.25">
      <c r="A761" s="10" t="s">
        <v>5520</v>
      </c>
      <c r="B761" s="11" t="s">
        <v>33</v>
      </c>
      <c r="C761" s="12" t="s">
        <v>5521</v>
      </c>
      <c r="D761" s="27"/>
      <c r="E761" s="14" t="s">
        <v>35</v>
      </c>
      <c r="F761" s="11" t="str">
        <f>HYPERLINK("https://redirect.sdcdeals.com/redirect?destination=https%3A%2F%2Fwww.amazon.com%2Fdp%2FB095VTDRM8%3Fth%3D1%26psc%3D1%26tag%3Dsdcdeals03-20", "Amazon Link")</f>
        <v>Amazon Link</v>
      </c>
      <c r="G761" s="11" t="s">
        <v>36</v>
      </c>
      <c r="H761" s="14" t="s">
        <v>5522</v>
      </c>
      <c r="I761" s="11" t="str">
        <f>HYPERLINK("https://redirect.sdcdeals.com/redirect?code=763034&amp;mavely=https://mavely.app.link/e/bhESV2wGrGb&amp;destination=https%3A%2F%2Fwww.kohls.com%2Fsearch.jsp%3Fsubmit-search%3Dweb-regular%26search%3D54585231", "Retail Link")</f>
        <v>Retail Link</v>
      </c>
      <c r="J761" s="14" t="s">
        <v>5509</v>
      </c>
      <c r="K761" s="13" t="s">
        <v>5523</v>
      </c>
      <c r="L761" s="15">
        <v>18.2</v>
      </c>
      <c r="M761" s="15">
        <v>39.99</v>
      </c>
      <c r="N761" s="15">
        <v>8.981500000000004</v>
      </c>
      <c r="O761" s="15">
        <f>V761-M761</f>
        <v>0.39000000000000057</v>
      </c>
      <c r="P761" s="16">
        <f>N761/L761</f>
        <v>0.49348901098901121</v>
      </c>
      <c r="Q761" s="14">
        <v>138578</v>
      </c>
      <c r="R761" s="14"/>
      <c r="S761" s="17">
        <v>0.67020447999999999</v>
      </c>
      <c r="T761" s="15">
        <v>39.99</v>
      </c>
      <c r="U761" s="15">
        <v>43.15</v>
      </c>
      <c r="V761" s="15">
        <v>40.380000000000003</v>
      </c>
      <c r="W761" s="14" t="s">
        <v>1644</v>
      </c>
      <c r="X761" s="14">
        <v>3</v>
      </c>
      <c r="Y761" s="10">
        <f>AC761-AB761</f>
        <v>123</v>
      </c>
      <c r="Z761" s="18">
        <v>48</v>
      </c>
      <c r="AA761" s="18">
        <v>111</v>
      </c>
      <c r="AB761" s="18">
        <v>18</v>
      </c>
      <c r="AC761" s="18">
        <v>141</v>
      </c>
      <c r="AD761" s="1" t="s">
        <v>5511</v>
      </c>
      <c r="AE761" s="1" t="s">
        <v>76</v>
      </c>
      <c r="AG761" s="4">
        <v>6.81</v>
      </c>
    </row>
    <row r="762" spans="1:33" ht="47.25" customHeight="1" x14ac:dyDescent="0.25">
      <c r="A762" s="10" t="s">
        <v>666</v>
      </c>
      <c r="B762" s="11" t="s">
        <v>33</v>
      </c>
      <c r="C762" s="12" t="s">
        <v>667</v>
      </c>
      <c r="D762" s="27"/>
      <c r="E762" s="14" t="s">
        <v>35</v>
      </c>
      <c r="F762" s="11" t="str">
        <f>HYPERLINK("https://redirect.sdcdeals.com/redirect?destination=https%3A%2F%2Fwww.amazon.com%2Fdp%2FB08C81QCLW%3Fth%3D1%26psc%3D1%26tag%3Dsdcdeals03-20", "Amazon Link")</f>
        <v>Amazon Link</v>
      </c>
      <c r="G762" s="11" t="s">
        <v>36</v>
      </c>
      <c r="H762" s="14" t="s">
        <v>668</v>
      </c>
      <c r="I762" s="11" t="str">
        <f>HYPERLINK("https://redirect.sdcdeals.com/redirect?code=763034&amp;mavely=https://mavely.app.link/e/bhESV2wGrGb&amp;destination=https%3A%2F%2Fwww.kohls.com%2Fsearch.jsp%3Fsubmit-search%3Dweb-regular%26search%3D49815009", "Retail Link")</f>
        <v>Retail Link</v>
      </c>
      <c r="J762" s="14" t="s">
        <v>669</v>
      </c>
      <c r="K762" s="13" t="s">
        <v>670</v>
      </c>
      <c r="L762" s="15">
        <v>13.72</v>
      </c>
      <c r="M762" s="15">
        <v>32.99</v>
      </c>
      <c r="N762" s="15">
        <v>6.7614999999999998</v>
      </c>
      <c r="O762" s="15">
        <f>V762-M762</f>
        <v>-0.35000000000000142</v>
      </c>
      <c r="P762" s="16">
        <f>N762/L762</f>
        <v>0.49282069970845477</v>
      </c>
      <c r="Q762" s="14">
        <v>30056</v>
      </c>
      <c r="R762" s="14"/>
      <c r="S762" s="17">
        <v>0.84657408000000001</v>
      </c>
      <c r="T762" s="15">
        <v>32.99</v>
      </c>
      <c r="U762" s="15">
        <v>32.869999999999997</v>
      </c>
      <c r="V762" s="15">
        <v>32.64</v>
      </c>
      <c r="W762" s="14" t="s">
        <v>671</v>
      </c>
      <c r="X762" s="14">
        <v>3</v>
      </c>
      <c r="Y762" s="10">
        <f>AC762-AB762</f>
        <v>4292</v>
      </c>
      <c r="Z762" s="18">
        <v>13</v>
      </c>
      <c r="AA762" s="18">
        <v>46</v>
      </c>
      <c r="AB762" s="18">
        <v>2</v>
      </c>
      <c r="AC762" s="18">
        <v>4294</v>
      </c>
      <c r="AD762" s="1" t="s">
        <v>672</v>
      </c>
      <c r="AE762" s="1" t="s">
        <v>673</v>
      </c>
      <c r="AF762" s="4">
        <v>5.61</v>
      </c>
      <c r="AG762" s="4">
        <v>7.56</v>
      </c>
    </row>
    <row r="763" spans="1:33" ht="47.25" customHeight="1" x14ac:dyDescent="0.25">
      <c r="A763" s="10" t="s">
        <v>4902</v>
      </c>
      <c r="B763" s="11" t="s">
        <v>33</v>
      </c>
      <c r="C763" s="12" t="s">
        <v>4903</v>
      </c>
      <c r="D763" s="27"/>
      <c r="E763" s="14" t="s">
        <v>35</v>
      </c>
      <c r="F763" s="11" t="str">
        <f>HYPERLINK("https://redirect.sdcdeals.com/redirect?destination=https%3A%2F%2Fwww.amazon.com%2Fdp%2FB0CFQ3XLJ5%3Fth%3D1%26psc%3D1%26tag%3Dsdcdeals03-20", "Amazon Link")</f>
        <v>Amazon Link</v>
      </c>
      <c r="G763" s="11" t="s">
        <v>36</v>
      </c>
      <c r="H763" s="14" t="s">
        <v>4904</v>
      </c>
      <c r="I763" s="11" t="str">
        <f>HYPERLINK("https://redirect.sdcdeals.com/redirect?code=763034&amp;mavely=https://mavely.app.link/e/bhESV2wGrGb&amp;destination=https%3A%2F%2Fwww.kohls.com%2Fsearch.jsp%3Fsubmit-search%3Dweb-regular%26search%3D19702634", "Retail Link")</f>
        <v>Retail Link</v>
      </c>
      <c r="J763" s="14" t="s">
        <v>4893</v>
      </c>
      <c r="K763" s="13" t="s">
        <v>4905</v>
      </c>
      <c r="L763" s="15">
        <v>13</v>
      </c>
      <c r="M763" s="15">
        <v>30.01</v>
      </c>
      <c r="N763" s="15">
        <v>6.3685000000000009</v>
      </c>
      <c r="O763" s="15">
        <f>V763-M763</f>
        <v>15.109999999999996</v>
      </c>
      <c r="P763" s="16">
        <f>N763/L763</f>
        <v>0.48988461538461547</v>
      </c>
      <c r="Q763" s="14">
        <v>1337995</v>
      </c>
      <c r="R763" s="14"/>
      <c r="S763" s="17">
        <v>0.74957079999999998</v>
      </c>
      <c r="T763" s="15">
        <v>30.01</v>
      </c>
      <c r="U763" s="15">
        <v>45.12</v>
      </c>
      <c r="V763" s="15">
        <v>45.12</v>
      </c>
      <c r="W763" s="14" t="s">
        <v>53</v>
      </c>
      <c r="X763" s="14">
        <v>2</v>
      </c>
      <c r="Y763" s="10">
        <f>AC763-AB763</f>
        <v>11</v>
      </c>
      <c r="Z763" s="18">
        <v>4</v>
      </c>
      <c r="AA763" s="18">
        <v>11</v>
      </c>
      <c r="AB763" s="18">
        <v>0</v>
      </c>
      <c r="AC763" s="18">
        <v>11</v>
      </c>
      <c r="AD763" s="1" t="s">
        <v>4906</v>
      </c>
      <c r="AE763" s="1" t="s">
        <v>4907</v>
      </c>
      <c r="AG763" s="4">
        <v>6.14</v>
      </c>
    </row>
    <row r="764" spans="1:33" ht="47.25" customHeight="1" x14ac:dyDescent="0.25">
      <c r="A764" s="10" t="s">
        <v>4411</v>
      </c>
      <c r="B764" s="11" t="s">
        <v>33</v>
      </c>
      <c r="C764" s="12" t="s">
        <v>4412</v>
      </c>
      <c r="D764" s="27"/>
      <c r="E764" s="14" t="s">
        <v>35</v>
      </c>
      <c r="F764" s="11" t="str">
        <f>HYPERLINK("https://redirect.sdcdeals.com/redirect?destination=https%3A%2F%2Fwww.amazon.com%2Fdp%2FB0B1JRL1S2%3Fth%3D1%26psc%3D1%26tag%3Dsdcdeals03-20", "Amazon Link")</f>
        <v>Amazon Link</v>
      </c>
      <c r="G764" s="11" t="s">
        <v>36</v>
      </c>
      <c r="H764" s="14" t="s">
        <v>4413</v>
      </c>
      <c r="I764" s="11" t="str">
        <f>HYPERLINK("https://redirect.sdcdeals.com/redirect?code=763034&amp;mavely=https://mavely.app.link/e/bhESV2wGrGb&amp;destination=https%3A%2F%2Fwww.kohls.com%2Fsearch.jsp%3Fsubmit-search%3Dweb-regular%26search%3D68949138", "Retail Link")</f>
        <v>Retail Link</v>
      </c>
      <c r="J764" s="14" t="s">
        <v>4347</v>
      </c>
      <c r="K764" s="13" t="s">
        <v>4414</v>
      </c>
      <c r="L764" s="15">
        <v>20.847999999999999</v>
      </c>
      <c r="M764" s="15">
        <v>44.28</v>
      </c>
      <c r="N764" s="15">
        <v>10.19</v>
      </c>
      <c r="O764" s="15">
        <f>V764-M764</f>
        <v>3.9799999999999969</v>
      </c>
      <c r="P764" s="16">
        <f>N764/L764</f>
        <v>0.48877590176515734</v>
      </c>
      <c r="Q764" s="14">
        <v>846</v>
      </c>
      <c r="R764" s="14"/>
      <c r="S764" s="17">
        <v>1.52339242</v>
      </c>
      <c r="T764" s="15">
        <v>44.28</v>
      </c>
      <c r="U764" s="15">
        <v>46.45</v>
      </c>
      <c r="V764" s="15">
        <v>48.26</v>
      </c>
      <c r="W764" s="14" t="s">
        <v>131</v>
      </c>
      <c r="X764" s="14">
        <v>1</v>
      </c>
      <c r="Y764" s="10">
        <f>AC764-AB764</f>
        <v>47534</v>
      </c>
      <c r="Z764" s="18">
        <v>31</v>
      </c>
      <c r="AA764" s="18">
        <v>100</v>
      </c>
      <c r="AB764" s="18">
        <v>0</v>
      </c>
      <c r="AC764" s="18">
        <v>47534</v>
      </c>
      <c r="AD764" s="1" t="s">
        <v>4355</v>
      </c>
      <c r="AE764" s="1" t="s">
        <v>4356</v>
      </c>
      <c r="AF764" s="4">
        <v>7.53</v>
      </c>
      <c r="AG764" s="4">
        <v>6.6</v>
      </c>
    </row>
    <row r="765" spans="1:33" ht="47.25" customHeight="1" x14ac:dyDescent="0.25">
      <c r="A765" s="10" t="s">
        <v>599</v>
      </c>
      <c r="B765" s="11" t="s">
        <v>33</v>
      </c>
      <c r="C765" s="12" t="s">
        <v>600</v>
      </c>
      <c r="D765" s="27"/>
      <c r="E765" s="14" t="s">
        <v>35</v>
      </c>
      <c r="F765" s="11" t="str">
        <f>HYPERLINK("https://redirect.sdcdeals.com/redirect?destination=https%3A%2F%2Fwww.amazon.com%2Fdp%2FB09N5PDZJ8%3Fth%3D1%26psc%3D1%26tag%3Dsdcdeals03-20", "Amazon Link")</f>
        <v>Amazon Link</v>
      </c>
      <c r="G765" s="11" t="s">
        <v>36</v>
      </c>
      <c r="H765" s="14" t="s">
        <v>601</v>
      </c>
      <c r="I765" s="11" t="str">
        <f>HYPERLINK("https://redirect.sdcdeals.com/redirect?code=763034&amp;mavely=https://mavely.app.link/e/bhESV2wGrGb&amp;destination=https%3A%2F%2Fwww.kohls.com%2Fsearch.jsp%3Fsubmit-search%3Dweb-regular%26search%3D68728527", "Retail Link")</f>
        <v>Retail Link</v>
      </c>
      <c r="J765" s="14" t="s">
        <v>580</v>
      </c>
      <c r="K765" s="13" t="s">
        <v>602</v>
      </c>
      <c r="L765" s="15">
        <v>11.128</v>
      </c>
      <c r="M765" s="15">
        <v>27.82</v>
      </c>
      <c r="N765" s="15">
        <v>5.4390000000000001</v>
      </c>
      <c r="O765" s="15">
        <f>V765-M765</f>
        <v>6.6400000000000006</v>
      </c>
      <c r="P765" s="16">
        <f>N765/L765</f>
        <v>0.4887670740474479</v>
      </c>
      <c r="Q765" s="14">
        <v>12109</v>
      </c>
      <c r="R765" s="14"/>
      <c r="S765" s="17">
        <v>1.4594584399999999</v>
      </c>
      <c r="T765" s="15"/>
      <c r="U765" s="15">
        <v>27.82</v>
      </c>
      <c r="V765" s="15">
        <v>34.46</v>
      </c>
      <c r="W765" s="14" t="s">
        <v>240</v>
      </c>
      <c r="X765" s="14">
        <v>1</v>
      </c>
      <c r="Y765" s="10">
        <f>AC765-AB765</f>
        <v>2442</v>
      </c>
      <c r="Z765" s="18">
        <v>2</v>
      </c>
      <c r="AA765" s="18">
        <v>19</v>
      </c>
      <c r="AB765" s="18">
        <v>1</v>
      </c>
      <c r="AC765" s="18">
        <v>2443</v>
      </c>
      <c r="AD765" s="1" t="s">
        <v>583</v>
      </c>
      <c r="AE765" s="1" t="s">
        <v>178</v>
      </c>
      <c r="AG765" s="4">
        <v>7.08</v>
      </c>
    </row>
    <row r="766" spans="1:33" ht="47.25" customHeight="1" x14ac:dyDescent="0.25">
      <c r="A766" s="10" t="s">
        <v>7475</v>
      </c>
      <c r="B766" s="11" t="s">
        <v>33</v>
      </c>
      <c r="C766" s="12" t="s">
        <v>7476</v>
      </c>
      <c r="D766" s="27"/>
      <c r="E766" s="14" t="s">
        <v>35</v>
      </c>
      <c r="F766" s="11" t="str">
        <f>HYPERLINK("https://redirect.sdcdeals.com/redirect?destination=https%3A%2F%2Fwww.amazon.com%2Fdp%2FB0BKQY719Z%3Fth%3D1%26psc%3D1%26tag%3Dsdcdeals03-20", "Amazon Link")</f>
        <v>Amazon Link</v>
      </c>
      <c r="G766" s="11" t="s">
        <v>36</v>
      </c>
      <c r="H766" s="14" t="s">
        <v>7477</v>
      </c>
      <c r="I766" s="11" t="str">
        <f>HYPERLINK("https://redirect.sdcdeals.com/redirect?code=763034&amp;mavely=https://mavely.app.link/e/bhESV2wGrGb&amp;destination=https%3A%2F%2Fwww.kohls.com%2Fsearch.jsp%3Fsubmit-search%3Dweb-regular%26search%3D55628810", "Retail Link")</f>
        <v>Retail Link</v>
      </c>
      <c r="J766" s="14" t="s">
        <v>7447</v>
      </c>
      <c r="K766" s="13" t="s">
        <v>7478</v>
      </c>
      <c r="L766" s="15">
        <v>24</v>
      </c>
      <c r="M766" s="15">
        <v>56.39</v>
      </c>
      <c r="N766" s="15">
        <v>11.6615</v>
      </c>
      <c r="O766" s="15">
        <f>V766-M766</f>
        <v>-2.6099999999999994</v>
      </c>
      <c r="P766" s="16">
        <f>N766/L766</f>
        <v>0.48589583333333336</v>
      </c>
      <c r="Q766" s="14">
        <v>815706</v>
      </c>
      <c r="R766" s="14"/>
      <c r="S766" s="17">
        <v>1.11994696</v>
      </c>
      <c r="T766" s="15">
        <v>56.39</v>
      </c>
      <c r="U766" s="15">
        <v>47.88</v>
      </c>
      <c r="V766" s="15">
        <v>53.78</v>
      </c>
      <c r="W766" s="14" t="s">
        <v>725</v>
      </c>
      <c r="X766" s="14">
        <v>1</v>
      </c>
      <c r="Y766" s="10">
        <f>AC766-AB766</f>
        <v>2</v>
      </c>
      <c r="Z766" s="18">
        <v>7</v>
      </c>
      <c r="AA766" s="18">
        <v>17</v>
      </c>
      <c r="AB766" s="18">
        <v>0</v>
      </c>
      <c r="AC766" s="18">
        <v>2</v>
      </c>
      <c r="AD766" s="1" t="s">
        <v>7449</v>
      </c>
      <c r="AE766" s="1" t="s">
        <v>3535</v>
      </c>
      <c r="AF766" s="4">
        <v>9.59</v>
      </c>
      <c r="AG766" s="4">
        <v>12.27</v>
      </c>
    </row>
    <row r="767" spans="1:33" ht="47.25" customHeight="1" x14ac:dyDescent="0.25">
      <c r="A767" s="10" t="s">
        <v>4399</v>
      </c>
      <c r="B767" s="11" t="s">
        <v>33</v>
      </c>
      <c r="C767" s="12" t="s">
        <v>4400</v>
      </c>
      <c r="D767" s="27"/>
      <c r="E767" s="14" t="s">
        <v>35</v>
      </c>
      <c r="F767" s="11" t="str">
        <f>HYPERLINK("https://redirect.sdcdeals.com/redirect?destination=https%3A%2F%2Fwww.amazon.com%2Fdp%2FB0B1KVVKX4%3Fth%3D1%26psc%3D1%26tag%3Dsdcdeals03-20", "Amazon Link")</f>
        <v>Amazon Link</v>
      </c>
      <c r="G767" s="11" t="s">
        <v>36</v>
      </c>
      <c r="H767" s="14" t="s">
        <v>4401</v>
      </c>
      <c r="I767" s="11" t="str">
        <f>HYPERLINK("https://redirect.sdcdeals.com/redirect?code=763034&amp;mavely=https://mavely.app.link/e/bhESV2wGrGb&amp;destination=https%3A%2F%2Fwww.kohls.com%2Fsearch.jsp%3Fsubmit-search%3Dweb-regular%26search%3D68949088", "Retail Link")</f>
        <v>Retail Link</v>
      </c>
      <c r="J767" s="14" t="s">
        <v>4347</v>
      </c>
      <c r="K767" s="13" t="s">
        <v>4402</v>
      </c>
      <c r="L767" s="15">
        <v>20.847999999999999</v>
      </c>
      <c r="M767" s="15">
        <v>44.45</v>
      </c>
      <c r="N767" s="15">
        <v>10.124499999999999</v>
      </c>
      <c r="O767" s="15">
        <f>V767-M767</f>
        <v>3.1199999999999974</v>
      </c>
      <c r="P767" s="16">
        <f>N767/L767</f>
        <v>0.48563411358403685</v>
      </c>
      <c r="Q767" s="14">
        <v>846</v>
      </c>
      <c r="R767" s="14"/>
      <c r="S767" s="17">
        <v>1.40434294</v>
      </c>
      <c r="T767" s="15">
        <v>44.45</v>
      </c>
      <c r="U767" s="15">
        <v>45.31</v>
      </c>
      <c r="V767" s="15">
        <v>47.57</v>
      </c>
      <c r="W767" s="14" t="s">
        <v>106</v>
      </c>
      <c r="X767" s="14">
        <v>1</v>
      </c>
      <c r="Y767" s="10">
        <f>AC767-AB767</f>
        <v>47603</v>
      </c>
      <c r="Z767" s="18">
        <v>44</v>
      </c>
      <c r="AA767" s="18">
        <v>118</v>
      </c>
      <c r="AB767" s="18">
        <v>0</v>
      </c>
      <c r="AC767" s="18">
        <v>47603</v>
      </c>
      <c r="AD767" s="1" t="s">
        <v>4355</v>
      </c>
      <c r="AE767" s="1" t="s">
        <v>4356</v>
      </c>
      <c r="AF767" s="4">
        <v>7.56</v>
      </c>
      <c r="AG767" s="4">
        <v>6.81</v>
      </c>
    </row>
    <row r="768" spans="1:33" ht="47.25" customHeight="1" x14ac:dyDescent="0.25">
      <c r="A768" s="10" t="s">
        <v>603</v>
      </c>
      <c r="B768" s="11" t="s">
        <v>33</v>
      </c>
      <c r="C768" s="12" t="s">
        <v>604</v>
      </c>
      <c r="D768" s="27"/>
      <c r="E768" s="14" t="s">
        <v>35</v>
      </c>
      <c r="F768" s="11" t="str">
        <f>HYPERLINK("https://redirect.sdcdeals.com/redirect?destination=https%3A%2F%2Fwww.amazon.com%2Fdp%2FB0C5YYCCCK%3Fth%3D1%26psc%3D1%26tag%3Dsdcdeals03-20", "Amazon Link")</f>
        <v>Amazon Link</v>
      </c>
      <c r="G768" s="11" t="s">
        <v>36</v>
      </c>
      <c r="H768" s="14" t="s">
        <v>605</v>
      </c>
      <c r="I768" s="11" t="str">
        <f>HYPERLINK("https://redirect.sdcdeals.com/redirect?code=763034&amp;mavely=https://mavely.app.link/e/bhESV2wGrGb&amp;destination=https%3A%2F%2Fwww.kohls.com%2Fsearch.jsp%3Fsubmit-search%3Dweb-regular%26search%3D19188569", "Retail Link")</f>
        <v>Retail Link</v>
      </c>
      <c r="J768" s="14" t="s">
        <v>606</v>
      </c>
      <c r="K768" s="13" t="s">
        <v>607</v>
      </c>
      <c r="L768" s="15">
        <v>39.6</v>
      </c>
      <c r="M768" s="15">
        <v>88.5</v>
      </c>
      <c r="N768" s="15">
        <v>19.17499999999999</v>
      </c>
      <c r="O768" s="15">
        <f>V768-M768</f>
        <v>19.959999999999994</v>
      </c>
      <c r="P768" s="16">
        <f>N768/L768</f>
        <v>0.48421717171717144</v>
      </c>
      <c r="Q768" s="14">
        <v>2131921</v>
      </c>
      <c r="R768" s="14"/>
      <c r="S768" s="17">
        <v>2.5992469800000002</v>
      </c>
      <c r="T768" s="15">
        <v>79.55</v>
      </c>
      <c r="U768" s="15">
        <v>100.12</v>
      </c>
      <c r="V768" s="15">
        <v>108.46</v>
      </c>
      <c r="W768" s="14" t="s">
        <v>199</v>
      </c>
      <c r="X768" s="14">
        <v>3</v>
      </c>
      <c r="Y768" s="10">
        <f>AC768-AB768</f>
        <v>0</v>
      </c>
      <c r="Z768" s="18">
        <v>2</v>
      </c>
      <c r="AA768" s="18">
        <v>7</v>
      </c>
      <c r="AB768" s="18"/>
      <c r="AC768" s="18"/>
      <c r="AD768" s="1" t="s">
        <v>608</v>
      </c>
      <c r="AE768" s="1" t="s">
        <v>609</v>
      </c>
      <c r="AF768" s="4">
        <v>15.05</v>
      </c>
      <c r="AG768" s="4">
        <v>16.45</v>
      </c>
    </row>
    <row r="769" spans="1:33" ht="47.25" customHeight="1" x14ac:dyDescent="0.25">
      <c r="A769" s="10" t="s">
        <v>5445</v>
      </c>
      <c r="B769" s="11" t="s">
        <v>33</v>
      </c>
      <c r="C769" s="12" t="s">
        <v>5446</v>
      </c>
      <c r="D769" s="27"/>
      <c r="E769" s="14" t="s">
        <v>35</v>
      </c>
      <c r="F769" s="11" t="str">
        <f>HYPERLINK("https://redirect.sdcdeals.com/redirect?destination=https%3A%2F%2Fwww.amazon.com%2Fdp%2FB09KMSCWJN%3Fth%3D1%26psc%3D1%26tag%3Dsdcdeals03-20", "Amazon Link")</f>
        <v>Amazon Link</v>
      </c>
      <c r="G769" s="11" t="s">
        <v>36</v>
      </c>
      <c r="H769" s="14" t="s">
        <v>5447</v>
      </c>
      <c r="I769" s="11" t="str">
        <f>HYPERLINK("https://redirect.sdcdeals.com/redirect?code=763034&amp;mavely=https://mavely.app.link/e/bhESV2wGrGb&amp;destination=https%3A%2F%2Fwww.kohls.com%2Fsearch.jsp%3Fsubmit-search%3Dweb-regular%26search%3D64067691", "Retail Link")</f>
        <v>Retail Link</v>
      </c>
      <c r="J769" s="14" t="s">
        <v>5441</v>
      </c>
      <c r="K769" s="13" t="s">
        <v>5448</v>
      </c>
      <c r="L769" s="15">
        <v>15.6</v>
      </c>
      <c r="M769" s="15">
        <v>35</v>
      </c>
      <c r="N769" s="15">
        <v>7.5499999999999989</v>
      </c>
      <c r="O769" s="15">
        <f>V769-M769</f>
        <v>1.4399999999999977</v>
      </c>
      <c r="P769" s="16">
        <f>N769/L769</f>
        <v>0.48397435897435892</v>
      </c>
      <c r="Q769" s="14">
        <v>742136</v>
      </c>
      <c r="R769" s="14"/>
      <c r="S769" s="17">
        <v>0.89728034000000001</v>
      </c>
      <c r="T769" s="15">
        <v>35</v>
      </c>
      <c r="U769" s="15">
        <v>36.54</v>
      </c>
      <c r="V769" s="15">
        <v>36.44</v>
      </c>
      <c r="W769" s="14" t="s">
        <v>1254</v>
      </c>
      <c r="X769" s="14">
        <v>3</v>
      </c>
      <c r="Y769" s="10">
        <f>AC769-AB769</f>
        <v>150</v>
      </c>
      <c r="Z769" s="18">
        <v>11</v>
      </c>
      <c r="AA769" s="18">
        <v>41</v>
      </c>
      <c r="AB769" s="18">
        <v>0</v>
      </c>
      <c r="AC769" s="18">
        <v>150</v>
      </c>
      <c r="AD769" s="1" t="s">
        <v>5443</v>
      </c>
      <c r="AE769" s="1" t="s">
        <v>5444</v>
      </c>
      <c r="AF769" s="4">
        <v>5.95</v>
      </c>
      <c r="AG769" s="4">
        <v>6.6</v>
      </c>
    </row>
    <row r="770" spans="1:33" ht="47.25" customHeight="1" x14ac:dyDescent="0.25">
      <c r="A770" s="10" t="s">
        <v>4461</v>
      </c>
      <c r="B770" s="11" t="s">
        <v>33</v>
      </c>
      <c r="C770" s="12" t="s">
        <v>4462</v>
      </c>
      <c r="D770" s="27"/>
      <c r="E770" s="14" t="s">
        <v>35</v>
      </c>
      <c r="F770" s="11" t="str">
        <f>HYPERLINK("https://redirect.sdcdeals.com/redirect?destination=https%3A%2F%2Fwww.amazon.com%2Fdp%2FB0B1JTFR47%3Fth%3D1%26psc%3D1%26tag%3Dsdcdeals03-20", "Amazon Link")</f>
        <v>Amazon Link</v>
      </c>
      <c r="G770" s="11" t="s">
        <v>36</v>
      </c>
      <c r="H770" s="14" t="s">
        <v>4463</v>
      </c>
      <c r="I770" s="11" t="str">
        <f>HYPERLINK("https://redirect.sdcdeals.com/redirect?code=763034&amp;mavely=https://mavely.app.link/e/bhESV2wGrGb&amp;destination=https%3A%2F%2Fwww.kohls.com%2Fsearch.jsp%3Fsubmit-search%3Dweb-regular%26search%3D68949258", "Retail Link")</f>
        <v>Retail Link</v>
      </c>
      <c r="J770" s="14" t="s">
        <v>4347</v>
      </c>
      <c r="K770" s="13" t="s">
        <v>4464</v>
      </c>
      <c r="L770" s="15">
        <v>20.847999999999999</v>
      </c>
      <c r="M770" s="15">
        <v>43.6</v>
      </c>
      <c r="N770" s="15">
        <v>10.071999999999999</v>
      </c>
      <c r="O770" s="15">
        <f>V770-M770</f>
        <v>4.2800000000000011</v>
      </c>
      <c r="P770" s="16">
        <f>N770/L770</f>
        <v>0.48311588641596315</v>
      </c>
      <c r="Q770" s="14">
        <v>786</v>
      </c>
      <c r="R770" s="14"/>
      <c r="S770" s="17">
        <v>1.6997620200000001</v>
      </c>
      <c r="T770" s="15">
        <v>43.6</v>
      </c>
      <c r="U770" s="15">
        <v>45.12</v>
      </c>
      <c r="V770" s="15">
        <v>47.88</v>
      </c>
      <c r="W770" s="14" t="s">
        <v>342</v>
      </c>
      <c r="X770" s="14">
        <v>1</v>
      </c>
      <c r="Y770" s="10">
        <f>AC770-AB770</f>
        <v>47534</v>
      </c>
      <c r="Z770" s="18">
        <v>32</v>
      </c>
      <c r="AA770" s="18">
        <v>83</v>
      </c>
      <c r="AB770" s="18">
        <v>0</v>
      </c>
      <c r="AC770" s="18">
        <v>47534</v>
      </c>
      <c r="AD770" s="1" t="s">
        <v>4355</v>
      </c>
      <c r="AE770" s="1" t="s">
        <v>4356</v>
      </c>
      <c r="AF770" s="4">
        <v>7.41</v>
      </c>
      <c r="AG770" s="4">
        <v>6.14</v>
      </c>
    </row>
    <row r="771" spans="1:33" ht="47.25" customHeight="1" x14ac:dyDescent="0.25">
      <c r="A771" s="10" t="s">
        <v>7507</v>
      </c>
      <c r="B771" s="11" t="s">
        <v>33</v>
      </c>
      <c r="C771" s="12" t="s">
        <v>7508</v>
      </c>
      <c r="D771" s="27"/>
      <c r="E771" s="14" t="s">
        <v>35</v>
      </c>
      <c r="F771" s="11" t="str">
        <f>HYPERLINK("https://redirect.sdcdeals.com/redirect?destination=https%3A%2F%2Fwww.amazon.com%2Fdp%2FB0B1JN35HD%3Fth%3D1%26psc%3D1%26tag%3Dsdcdeals03-20", "Amazon Link")</f>
        <v>Amazon Link</v>
      </c>
      <c r="G771" s="11" t="s">
        <v>36</v>
      </c>
      <c r="H771" s="14" t="s">
        <v>7509</v>
      </c>
      <c r="I771" s="11" t="str">
        <f>HYPERLINK("https://redirect.sdcdeals.com/redirect?code=763034&amp;mavely=https://mavely.app.link/e/bhESV2wGrGb&amp;destination=https%3A%2F%2Fwww.kohls.com%2Fsearch.jsp%3Fsubmit-search%3Dweb-regular%26search%3D44109411", "Retail Link")</f>
        <v>Retail Link</v>
      </c>
      <c r="J771" s="14" t="s">
        <v>7510</v>
      </c>
      <c r="K771" s="13" t="s">
        <v>7511</v>
      </c>
      <c r="L771" s="15">
        <v>11.984</v>
      </c>
      <c r="M771" s="15">
        <v>24.88</v>
      </c>
      <c r="N771" s="15">
        <v>5.7440000000000024</v>
      </c>
      <c r="O771" s="15">
        <f>V771-M771</f>
        <v>1.0600000000000023</v>
      </c>
      <c r="P771" s="16">
        <f>N771/L771</f>
        <v>0.47930574098798417</v>
      </c>
      <c r="Q771" s="14">
        <v>44269</v>
      </c>
      <c r="R771" s="14"/>
      <c r="S771" s="17">
        <v>0.29982831999999998</v>
      </c>
      <c r="T771" s="15">
        <v>24.88</v>
      </c>
      <c r="U771" s="15">
        <v>27.13</v>
      </c>
      <c r="V771" s="15">
        <v>25.94</v>
      </c>
      <c r="W771" s="14" t="s">
        <v>436</v>
      </c>
      <c r="X771" s="14">
        <v>1</v>
      </c>
      <c r="Y771" s="10">
        <f>AC771-AB771</f>
        <v>908</v>
      </c>
      <c r="Z771" s="18">
        <v>24</v>
      </c>
      <c r="AA771" s="18">
        <v>77</v>
      </c>
      <c r="AB771" s="18">
        <v>0</v>
      </c>
      <c r="AC771" s="18">
        <v>908</v>
      </c>
      <c r="AD771" s="1" t="s">
        <v>7512</v>
      </c>
      <c r="AE771" s="1" t="s">
        <v>7513</v>
      </c>
      <c r="AF771" s="4">
        <v>4.2300000000000004</v>
      </c>
      <c r="AG771" s="4">
        <v>3.42</v>
      </c>
    </row>
    <row r="772" spans="1:33" ht="47.25" hidden="1" customHeight="1" x14ac:dyDescent="0.25">
      <c r="A772" s="10" t="s">
        <v>5276</v>
      </c>
      <c r="B772" s="11" t="s">
        <v>33</v>
      </c>
      <c r="C772" s="12" t="s">
        <v>5277</v>
      </c>
      <c r="D772" s="27"/>
      <c r="E772" s="14" t="s">
        <v>35</v>
      </c>
      <c r="F772" s="11" t="str">
        <f>HYPERLINK("https://redirect.sdcdeals.com/redirect?destination=https%3A%2F%2Fwww.amazon.com%2Fdp%2FB0CZY2QVCD%3Fth%3D1%26psc%3D1%26tag%3Dsdcdeals03-20", "Amazon Link")</f>
        <v>Amazon Link</v>
      </c>
      <c r="G772" s="11" t="s">
        <v>36</v>
      </c>
      <c r="H772" s="14" t="s">
        <v>5278</v>
      </c>
      <c r="I772" s="11" t="str">
        <f>HYPERLINK("https://redirect.sdcdeals.com/redirect?code=763034&amp;mavely=https://mavely.app.link/e/bhESV2wGrGb&amp;destination=https%3A%2F%2Fwww.kohls.com%2Fsearch.jsp%3Fsubmit-search%3Dweb-regular%26search%3D61543739", "Retail Link")</f>
        <v>Retail Link</v>
      </c>
      <c r="J772" s="14" t="s">
        <v>5268</v>
      </c>
      <c r="K772" s="13" t="s">
        <v>5269</v>
      </c>
      <c r="L772" s="15">
        <v>54</v>
      </c>
      <c r="M772" s="15">
        <v>112.85</v>
      </c>
      <c r="N772" s="15">
        <v>25.852499999999988</v>
      </c>
      <c r="O772" s="15">
        <f>V772-M772</f>
        <v>-112.85</v>
      </c>
      <c r="P772" s="16">
        <f>N772/L772</f>
        <v>0.47874999999999979</v>
      </c>
      <c r="Q772" s="14"/>
      <c r="R772" s="14"/>
      <c r="S772" s="17">
        <v>3.00048782</v>
      </c>
      <c r="T772" s="15">
        <v>112.85</v>
      </c>
      <c r="U772" s="15"/>
      <c r="V772" s="15"/>
      <c r="W772" s="14" t="s">
        <v>3827</v>
      </c>
      <c r="X772" s="14">
        <v>2</v>
      </c>
      <c r="Y772" s="10">
        <f>AC772-AB772</f>
        <v>0</v>
      </c>
      <c r="Z772" s="18">
        <v>-1</v>
      </c>
      <c r="AA772" s="18">
        <v>-1</v>
      </c>
      <c r="AB772" s="18"/>
      <c r="AC772" s="18"/>
      <c r="AD772" s="1" t="s">
        <v>5279</v>
      </c>
      <c r="AE772" s="1" t="s">
        <v>76</v>
      </c>
      <c r="AG772" s="4">
        <v>16.07</v>
      </c>
    </row>
    <row r="773" spans="1:33" ht="47.25" hidden="1" customHeight="1" x14ac:dyDescent="0.25">
      <c r="A773" s="10" t="s">
        <v>5280</v>
      </c>
      <c r="B773" s="11" t="s">
        <v>33</v>
      </c>
      <c r="C773" s="12" t="s">
        <v>5281</v>
      </c>
      <c r="D773" s="27"/>
      <c r="E773" s="14" t="s">
        <v>35</v>
      </c>
      <c r="F773" s="11" t="str">
        <f>HYPERLINK("https://redirect.sdcdeals.com/redirect?destination=https%3A%2F%2Fwww.amazon.com%2Fdp%2FB0CZY1Z6QV%3Fth%3D1%26psc%3D1%26tag%3Dsdcdeals03-20", "Amazon Link")</f>
        <v>Amazon Link</v>
      </c>
      <c r="G773" s="11" t="s">
        <v>36</v>
      </c>
      <c r="H773" s="14" t="s">
        <v>5282</v>
      </c>
      <c r="I773" s="11" t="str">
        <f>HYPERLINK("https://redirect.sdcdeals.com/redirect?code=763034&amp;mavely=https://mavely.app.link/e/bhESV2wGrGb&amp;destination=https%3A%2F%2Fwww.kohls.com%2Fsearch.jsp%3Fsubmit-search%3Dweb-regular%26search%3D61543743", "Retail Link")</f>
        <v>Retail Link</v>
      </c>
      <c r="J773" s="14" t="s">
        <v>5268</v>
      </c>
      <c r="K773" s="13" t="s">
        <v>5274</v>
      </c>
      <c r="L773" s="15">
        <v>54</v>
      </c>
      <c r="M773" s="15">
        <v>112.85</v>
      </c>
      <c r="N773" s="15">
        <v>25.852499999999988</v>
      </c>
      <c r="O773" s="15">
        <f>V773-M773</f>
        <v>-112.85</v>
      </c>
      <c r="P773" s="16">
        <f>N773/L773</f>
        <v>0.47874999999999979</v>
      </c>
      <c r="Q773" s="14"/>
      <c r="R773" s="14"/>
      <c r="S773" s="17">
        <v>3.00048782</v>
      </c>
      <c r="T773" s="15">
        <v>112.85</v>
      </c>
      <c r="U773" s="15"/>
      <c r="V773" s="15"/>
      <c r="W773" s="14" t="s">
        <v>5283</v>
      </c>
      <c r="X773" s="14">
        <v>2</v>
      </c>
      <c r="Y773" s="10">
        <f>AC773-AB773</f>
        <v>0</v>
      </c>
      <c r="Z773" s="18">
        <v>-1</v>
      </c>
      <c r="AA773" s="18">
        <v>-1</v>
      </c>
      <c r="AB773" s="18"/>
      <c r="AC773" s="18"/>
      <c r="AD773" s="1" t="s">
        <v>5284</v>
      </c>
      <c r="AE773" s="1" t="s">
        <v>1490</v>
      </c>
      <c r="AG773" s="4">
        <v>16.07</v>
      </c>
    </row>
    <row r="774" spans="1:33" ht="47.25" hidden="1" customHeight="1" x14ac:dyDescent="0.25">
      <c r="A774" s="10" t="s">
        <v>5285</v>
      </c>
      <c r="B774" s="11" t="s">
        <v>33</v>
      </c>
      <c r="C774" s="12" t="s">
        <v>5286</v>
      </c>
      <c r="D774" s="27"/>
      <c r="E774" s="14" t="s">
        <v>35</v>
      </c>
      <c r="F774" s="11" t="str">
        <f>HYPERLINK("https://redirect.sdcdeals.com/redirect?destination=https%3A%2F%2Fwww.amazon.com%2Fdp%2FB0CZY3RN1D%3Fth%3D1%26psc%3D1%26tag%3Dsdcdeals03-20", "Amazon Link")</f>
        <v>Amazon Link</v>
      </c>
      <c r="G774" s="11" t="s">
        <v>36</v>
      </c>
      <c r="H774" s="14" t="s">
        <v>5287</v>
      </c>
      <c r="I774" s="11" t="str">
        <f>HYPERLINK("https://redirect.sdcdeals.com/redirect?code=763034&amp;mavely=https://mavely.app.link/e/bhESV2wGrGb&amp;destination=https%3A%2F%2Fwww.kohls.com%2Fsearch.jsp%3Fsubmit-search%3Dweb-regular%26search%3D61543744", "Retail Link")</f>
        <v>Retail Link</v>
      </c>
      <c r="J774" s="14" t="s">
        <v>5268</v>
      </c>
      <c r="K774" s="13" t="s">
        <v>5274</v>
      </c>
      <c r="L774" s="15">
        <v>54</v>
      </c>
      <c r="M774" s="15">
        <v>112.85</v>
      </c>
      <c r="N774" s="15">
        <v>25.852499999999988</v>
      </c>
      <c r="O774" s="15">
        <f>V774-M774</f>
        <v>-112.85</v>
      </c>
      <c r="P774" s="16">
        <f>N774/L774</f>
        <v>0.47874999999999979</v>
      </c>
      <c r="Q774" s="14"/>
      <c r="R774" s="14"/>
      <c r="S774" s="17">
        <v>3.00048782</v>
      </c>
      <c r="T774" s="15">
        <v>112.85</v>
      </c>
      <c r="U774" s="15"/>
      <c r="V774" s="15"/>
      <c r="W774" s="14" t="s">
        <v>3604</v>
      </c>
      <c r="X774" s="14">
        <v>1</v>
      </c>
      <c r="Y774" s="10">
        <f>AC774-AB774</f>
        <v>0</v>
      </c>
      <c r="Z774" s="18">
        <v>-1</v>
      </c>
      <c r="AA774" s="18">
        <v>-1</v>
      </c>
      <c r="AB774" s="18"/>
      <c r="AC774" s="18"/>
      <c r="AD774" s="1" t="s">
        <v>5288</v>
      </c>
      <c r="AE774" s="1" t="s">
        <v>1490</v>
      </c>
      <c r="AG774" s="4">
        <v>16.07</v>
      </c>
    </row>
    <row r="775" spans="1:33" ht="47.25" hidden="1" customHeight="1" x14ac:dyDescent="0.25">
      <c r="A775" s="10" t="s">
        <v>5289</v>
      </c>
      <c r="B775" s="11" t="s">
        <v>33</v>
      </c>
      <c r="C775" s="12" t="s">
        <v>5290</v>
      </c>
      <c r="D775" s="27"/>
      <c r="E775" s="14" t="s">
        <v>35</v>
      </c>
      <c r="F775" s="11" t="str">
        <f>HYPERLINK("https://redirect.sdcdeals.com/redirect?destination=https%3A%2F%2Fwww.amazon.com%2Fdp%2FB0CZY2KS3Q%3Fth%3D1%26psc%3D1%26tag%3Dsdcdeals03-20", "Amazon Link")</f>
        <v>Amazon Link</v>
      </c>
      <c r="G775" s="11" t="s">
        <v>36</v>
      </c>
      <c r="H775" s="14" t="s">
        <v>5291</v>
      </c>
      <c r="I775" s="11" t="str">
        <f>HYPERLINK("https://redirect.sdcdeals.com/redirect?code=763034&amp;mavely=https://mavely.app.link/e/bhESV2wGrGb&amp;destination=https%3A%2F%2Fwww.kohls.com%2Fsearch.jsp%3Fsubmit-search%3Dweb-regular%26search%3D61543740", "Retail Link")</f>
        <v>Retail Link</v>
      </c>
      <c r="J775" s="14" t="s">
        <v>5268</v>
      </c>
      <c r="K775" s="13" t="s">
        <v>5269</v>
      </c>
      <c r="L775" s="15">
        <v>54</v>
      </c>
      <c r="M775" s="15">
        <v>112.85</v>
      </c>
      <c r="N775" s="15">
        <v>25.852499999999988</v>
      </c>
      <c r="O775" s="15">
        <f>V775-M775</f>
        <v>-112.85</v>
      </c>
      <c r="P775" s="16">
        <f>N775/L775</f>
        <v>0.47874999999999979</v>
      </c>
      <c r="Q775" s="14"/>
      <c r="R775" s="14"/>
      <c r="S775" s="17">
        <v>3.00048782</v>
      </c>
      <c r="T775" s="15">
        <v>112.85</v>
      </c>
      <c r="U775" s="15"/>
      <c r="V775" s="15"/>
      <c r="W775" s="14" t="s">
        <v>2652</v>
      </c>
      <c r="X775" s="14">
        <v>1</v>
      </c>
      <c r="Y775" s="10">
        <f>AC775-AB775</f>
        <v>0</v>
      </c>
      <c r="Z775" s="18">
        <v>-1</v>
      </c>
      <c r="AA775" s="18">
        <v>-1</v>
      </c>
      <c r="AB775" s="18"/>
      <c r="AC775" s="18"/>
      <c r="AD775" s="1" t="s">
        <v>5292</v>
      </c>
      <c r="AE775" s="1" t="s">
        <v>76</v>
      </c>
      <c r="AG775" s="4">
        <v>16.07</v>
      </c>
    </row>
    <row r="776" spans="1:33" ht="47.25" customHeight="1" x14ac:dyDescent="0.25">
      <c r="A776" s="10" t="s">
        <v>5512</v>
      </c>
      <c r="B776" s="11" t="s">
        <v>33</v>
      </c>
      <c r="C776" s="12" t="s">
        <v>5513</v>
      </c>
      <c r="D776" s="27"/>
      <c r="E776" s="14" t="s">
        <v>35</v>
      </c>
      <c r="F776" s="11" t="str">
        <f>HYPERLINK("https://redirect.sdcdeals.com/redirect?destination=https%3A%2F%2Fwww.amazon.com%2Fdp%2FB095VFKXSS%3Fth%3D1%26psc%3D1%26tag%3Dsdcdeals03-20", "Amazon Link")</f>
        <v>Amazon Link</v>
      </c>
      <c r="G776" s="11" t="s">
        <v>36</v>
      </c>
      <c r="H776" s="14" t="s">
        <v>5514</v>
      </c>
      <c r="I776" s="11" t="str">
        <f>HYPERLINK("https://redirect.sdcdeals.com/redirect?code=763034&amp;mavely=https://mavely.app.link/e/bhESV2wGrGb&amp;destination=https%3A%2F%2Fwww.kohls.com%2Fsearch.jsp%3Fsubmit-search%3Dweb-regular%26search%3D54585229", "Retail Link")</f>
        <v>Retail Link</v>
      </c>
      <c r="J776" s="14" t="s">
        <v>5509</v>
      </c>
      <c r="K776" s="13" t="s">
        <v>5515</v>
      </c>
      <c r="L776" s="15">
        <v>18.2</v>
      </c>
      <c r="M776" s="15">
        <v>39.99</v>
      </c>
      <c r="N776" s="15">
        <v>8.7115000000000045</v>
      </c>
      <c r="O776" s="15">
        <f>V776-M776</f>
        <v>2.3699999999999974</v>
      </c>
      <c r="P776" s="16">
        <f>N776/L776</f>
        <v>0.47865384615384643</v>
      </c>
      <c r="Q776" s="14">
        <v>155597</v>
      </c>
      <c r="R776" s="14"/>
      <c r="S776" s="17">
        <v>0.57099657999999998</v>
      </c>
      <c r="T776" s="15">
        <v>39.99</v>
      </c>
      <c r="U776" s="15">
        <v>45.47</v>
      </c>
      <c r="V776" s="15">
        <v>42.36</v>
      </c>
      <c r="W776" s="14" t="s">
        <v>2787</v>
      </c>
      <c r="X776" s="14">
        <v>2</v>
      </c>
      <c r="Y776" s="10">
        <f>AC776-AB776</f>
        <v>132</v>
      </c>
      <c r="Z776" s="18">
        <v>29</v>
      </c>
      <c r="AA776" s="18">
        <v>73</v>
      </c>
      <c r="AB776" s="18">
        <v>9</v>
      </c>
      <c r="AC776" s="18">
        <v>141</v>
      </c>
      <c r="AD776" s="1" t="s">
        <v>5511</v>
      </c>
      <c r="AE776" s="1" t="s">
        <v>76</v>
      </c>
      <c r="AG776" s="4">
        <v>7.08</v>
      </c>
    </row>
    <row r="777" spans="1:33" ht="47.25" customHeight="1" x14ac:dyDescent="0.25">
      <c r="A777" s="10" t="s">
        <v>6135</v>
      </c>
      <c r="B777" s="11" t="s">
        <v>33</v>
      </c>
      <c r="C777" s="12" t="s">
        <v>6136</v>
      </c>
      <c r="D777" s="27"/>
      <c r="E777" s="14" t="s">
        <v>35</v>
      </c>
      <c r="F777" s="11" t="str">
        <f>HYPERLINK("https://redirect.sdcdeals.com/redirect?destination=https%3A%2F%2Fwww.amazon.com%2Fdp%2FB09JNKJGZB%3Fth%3D1%26psc%3D1%26tag%3Dsdcdeals03-20", "Amazon Link")</f>
        <v>Amazon Link</v>
      </c>
      <c r="G777" s="11" t="s">
        <v>36</v>
      </c>
      <c r="H777" s="14" t="s">
        <v>6137</v>
      </c>
      <c r="I777" s="11" t="str">
        <f>HYPERLINK("https://redirect.sdcdeals.com/redirect?code=763034&amp;mavely=https://mavely.app.link/e/bhESV2wGrGb&amp;destination=https%3A%2F%2Fwww.kohls.com%2Fsearch.jsp%3Fsubmit-search%3Dweb-regular%26search%3D83068722", "Retail Link")</f>
        <v>Retail Link</v>
      </c>
      <c r="J777" s="14" t="s">
        <v>6138</v>
      </c>
      <c r="K777" s="13" t="s">
        <v>6139</v>
      </c>
      <c r="L777" s="15">
        <v>15.6</v>
      </c>
      <c r="M777" s="15">
        <v>34.97</v>
      </c>
      <c r="N777" s="15">
        <v>7.4544999999999977</v>
      </c>
      <c r="O777" s="15">
        <f>V777-M777</f>
        <v>0.85999999999999943</v>
      </c>
      <c r="P777" s="16">
        <f>N777/L777</f>
        <v>0.47785256410256399</v>
      </c>
      <c r="Q777" s="14">
        <v>54950</v>
      </c>
      <c r="R777" s="14">
        <v>100</v>
      </c>
      <c r="S777" s="17">
        <v>0.59965663999999996</v>
      </c>
      <c r="T777" s="15">
        <v>30.6</v>
      </c>
      <c r="U777" s="15">
        <v>33.18</v>
      </c>
      <c r="V777" s="15">
        <v>35.83</v>
      </c>
      <c r="W777" s="14" t="s">
        <v>4141</v>
      </c>
      <c r="X777" s="14">
        <v>11</v>
      </c>
      <c r="Y777" s="10">
        <f>AC777-AB777</f>
        <v>757</v>
      </c>
      <c r="Z777" s="18">
        <v>51</v>
      </c>
      <c r="AA777" s="18">
        <v>148</v>
      </c>
      <c r="AB777" s="18">
        <v>14</v>
      </c>
      <c r="AC777" s="18">
        <v>771</v>
      </c>
      <c r="AD777" s="1" t="s">
        <v>152</v>
      </c>
      <c r="AE777" s="1" t="s">
        <v>6140</v>
      </c>
      <c r="AF777" s="4">
        <v>5.94</v>
      </c>
      <c r="AG777" s="4">
        <v>6.67</v>
      </c>
    </row>
    <row r="778" spans="1:33" ht="47.25" customHeight="1" x14ac:dyDescent="0.25">
      <c r="A778" s="10" t="s">
        <v>4633</v>
      </c>
      <c r="B778" s="11" t="s">
        <v>33</v>
      </c>
      <c r="C778" s="12" t="s">
        <v>4634</v>
      </c>
      <c r="D778" s="27"/>
      <c r="E778" s="14" t="s">
        <v>35</v>
      </c>
      <c r="F778" s="11" t="str">
        <f>HYPERLINK("https://redirect.sdcdeals.com/redirect?destination=https%3A%2F%2Fwww.amazon.com%2Fdp%2FB0BNR47SS2%3Fth%3D1%26psc%3D1%26tag%3Dsdcdeals03-20", "Amazon Link")</f>
        <v>Amazon Link</v>
      </c>
      <c r="G778" s="11" t="s">
        <v>36</v>
      </c>
      <c r="H778" s="14" t="s">
        <v>4635</v>
      </c>
      <c r="I778" s="11" t="str">
        <f>HYPERLINK("https://redirect.sdcdeals.com/redirect?code=763034&amp;mavely=https://mavely.app.link/e/bhESV2wGrGb&amp;destination=https%3A%2F%2Fwww.kohls.com%2Fsearch.jsp%3Fsubmit-search%3Dweb-regular%26search%3D37212130", "Retail Link")</f>
        <v>Retail Link</v>
      </c>
      <c r="J778" s="14" t="s">
        <v>4593</v>
      </c>
      <c r="K778" s="13" t="s">
        <v>4636</v>
      </c>
      <c r="L778" s="15">
        <v>21</v>
      </c>
      <c r="M778" s="15">
        <v>43.41</v>
      </c>
      <c r="N778" s="15">
        <v>9.9984999999999999</v>
      </c>
      <c r="O778" s="15">
        <f>V778-M778</f>
        <v>-2.2899999999999991</v>
      </c>
      <c r="P778" s="16">
        <f>N778/L778</f>
        <v>0.47611904761904761</v>
      </c>
      <c r="Q778" s="14">
        <v>597460</v>
      </c>
      <c r="R778" s="14"/>
      <c r="S778" s="17">
        <v>0.46076558000000001</v>
      </c>
      <c r="T778" s="15">
        <v>43.41</v>
      </c>
      <c r="U778" s="15">
        <v>39.659999999999997</v>
      </c>
      <c r="V778" s="15">
        <v>41.12</v>
      </c>
      <c r="W778" s="14" t="s">
        <v>277</v>
      </c>
      <c r="X778" s="14">
        <v>4</v>
      </c>
      <c r="Y778" s="10">
        <f>AC778-AB778</f>
        <v>3</v>
      </c>
      <c r="Z778" s="18">
        <v>11</v>
      </c>
      <c r="AA778" s="18">
        <v>20</v>
      </c>
      <c r="AB778" s="18">
        <v>0</v>
      </c>
      <c r="AC778" s="18">
        <v>3</v>
      </c>
      <c r="AD778" s="1" t="s">
        <v>4595</v>
      </c>
      <c r="AE778" s="1" t="s">
        <v>76</v>
      </c>
      <c r="AG778" s="4">
        <v>5.9</v>
      </c>
    </row>
    <row r="779" spans="1:33" ht="47.25" customHeight="1" x14ac:dyDescent="0.25">
      <c r="A779" s="10" t="s">
        <v>7283</v>
      </c>
      <c r="B779" s="11" t="s">
        <v>33</v>
      </c>
      <c r="C779" s="12" t="s">
        <v>7284</v>
      </c>
      <c r="D779" s="27"/>
      <c r="E779" s="14" t="s">
        <v>35</v>
      </c>
      <c r="F779" s="11" t="str">
        <f>HYPERLINK("https://redirect.sdcdeals.com/redirect?destination=https%3A%2F%2Fwww.amazon.com%2Fdp%2FB0B96ZDB7Z%3Fth%3D1%26psc%3D1%26tag%3Dsdcdeals03-20", "Amazon Link")</f>
        <v>Amazon Link</v>
      </c>
      <c r="G779" s="11" t="s">
        <v>36</v>
      </c>
      <c r="H779" s="14" t="s">
        <v>7285</v>
      </c>
      <c r="I779" s="11" t="str">
        <f>HYPERLINK("https://redirect.sdcdeals.com/redirect?code=763034&amp;mavely=https://mavely.app.link/e/bhESV2wGrGb&amp;destination=https%3A%2F%2Fwww.kohls.com%2Fsearch.jsp%3Fsubmit-search%3Dweb-regular%26search%3D61824572", "Retail Link")</f>
        <v>Retail Link</v>
      </c>
      <c r="J779" s="14" t="s">
        <v>7256</v>
      </c>
      <c r="K779" s="13" t="s">
        <v>7286</v>
      </c>
      <c r="L779" s="15">
        <v>9.9920000000000009</v>
      </c>
      <c r="M779" s="15">
        <v>24.45</v>
      </c>
      <c r="N779" s="15">
        <v>4.7404999999999973</v>
      </c>
      <c r="O779" s="15">
        <f>V779-M779</f>
        <v>10.84</v>
      </c>
      <c r="P779" s="16">
        <f>N779/L779</f>
        <v>0.47442954363490764</v>
      </c>
      <c r="Q779" s="14">
        <v>1548234</v>
      </c>
      <c r="R779" s="14"/>
      <c r="S779" s="17">
        <v>1.36906902</v>
      </c>
      <c r="T779" s="15">
        <v>24.44</v>
      </c>
      <c r="U779" s="15">
        <v>25.78</v>
      </c>
      <c r="V779" s="15">
        <v>35.29</v>
      </c>
      <c r="W779" s="14" t="s">
        <v>959</v>
      </c>
      <c r="X779" s="14">
        <v>5</v>
      </c>
      <c r="Y779" s="10">
        <f>AC779-AB779</f>
        <v>85</v>
      </c>
      <c r="Z779" s="18">
        <v>0</v>
      </c>
      <c r="AA779" s="18">
        <v>4</v>
      </c>
      <c r="AB779" s="18">
        <v>2</v>
      </c>
      <c r="AC779" s="18">
        <v>87</v>
      </c>
      <c r="AD779" s="1" t="s">
        <v>7258</v>
      </c>
      <c r="AE779" s="1" t="s">
        <v>1675</v>
      </c>
      <c r="AF779" s="4">
        <v>3.67</v>
      </c>
      <c r="AG779" s="4">
        <v>6.05</v>
      </c>
    </row>
    <row r="780" spans="1:33" ht="47.25" customHeight="1" x14ac:dyDescent="0.25">
      <c r="A780" s="10" t="s">
        <v>3641</v>
      </c>
      <c r="B780" s="11" t="s">
        <v>33</v>
      </c>
      <c r="C780" s="12" t="s">
        <v>3642</v>
      </c>
      <c r="D780" s="27"/>
      <c r="E780" s="14" t="s">
        <v>35</v>
      </c>
      <c r="F780" s="11" t="str">
        <f>HYPERLINK("https://redirect.sdcdeals.com/redirect?destination=https%3A%2F%2Fwww.amazon.com%2Fdp%2FB0C825PZQJ%3Fth%3D1%26psc%3D1%26tag%3Dsdcdeals03-20", "Amazon Link")</f>
        <v>Amazon Link</v>
      </c>
      <c r="G780" s="11" t="s">
        <v>36</v>
      </c>
      <c r="H780" s="14" t="s">
        <v>3643</v>
      </c>
      <c r="I780" s="11" t="str">
        <f>HYPERLINK("https://redirect.sdcdeals.com/redirect?code=763034&amp;mavely=https://mavely.app.link/e/bhESV2wGrGb&amp;destination=https%3A%2F%2Fwww.kohls.com%2Fsearch.jsp%3Fsubmit-search%3Dweb-regular%26search%3D20552286", "Retail Link")</f>
        <v>Retail Link</v>
      </c>
      <c r="J780" s="14" t="s">
        <v>3633</v>
      </c>
      <c r="K780" s="13" t="s">
        <v>3634</v>
      </c>
      <c r="L780" s="15">
        <v>11.44</v>
      </c>
      <c r="M780" s="15">
        <v>28.89</v>
      </c>
      <c r="N780" s="15">
        <v>5.3965000000000014</v>
      </c>
      <c r="O780" s="15">
        <f>V780-M780</f>
        <v>2.9499999999999993</v>
      </c>
      <c r="P780" s="16">
        <f>N780/L780</f>
        <v>0.47172202797202811</v>
      </c>
      <c r="Q780" s="14">
        <v>1479263</v>
      </c>
      <c r="R780" s="14"/>
      <c r="S780" s="17">
        <v>0.63933980000000001</v>
      </c>
      <c r="T780" s="15">
        <v>24.1</v>
      </c>
      <c r="U780" s="15">
        <v>28.64</v>
      </c>
      <c r="V780" s="15">
        <v>31.84</v>
      </c>
      <c r="W780" s="14" t="s">
        <v>3644</v>
      </c>
      <c r="X780" s="14">
        <v>6</v>
      </c>
      <c r="Y780" s="10">
        <f>AC780-AB780</f>
        <v>2</v>
      </c>
      <c r="Z780" s="18">
        <v>6</v>
      </c>
      <c r="AA780" s="18">
        <v>21</v>
      </c>
      <c r="AB780" s="18">
        <v>0</v>
      </c>
      <c r="AC780" s="18">
        <v>2</v>
      </c>
      <c r="AD780" s="1" t="s">
        <v>3635</v>
      </c>
      <c r="AE780" s="1" t="s">
        <v>3636</v>
      </c>
      <c r="AF780" s="4">
        <v>4.91</v>
      </c>
      <c r="AG780" s="4">
        <v>7.72</v>
      </c>
    </row>
    <row r="781" spans="1:33" ht="47.25" customHeight="1" x14ac:dyDescent="0.25">
      <c r="A781" s="10" t="s">
        <v>6648</v>
      </c>
      <c r="B781" s="11" t="s">
        <v>33</v>
      </c>
      <c r="C781" s="12" t="s">
        <v>6649</v>
      </c>
      <c r="D781" s="27"/>
      <c r="E781" s="14" t="s">
        <v>35</v>
      </c>
      <c r="F781" s="11" t="str">
        <f>HYPERLINK("https://redirect.sdcdeals.com/redirect?destination=https%3A%2F%2Fwww.amazon.com%2Fdp%2FB07T5GYQF3%3Fth%3D1%26psc%3D1%26tag%3Dsdcdeals03-20", "Amazon Link")</f>
        <v>Amazon Link</v>
      </c>
      <c r="G781" s="11" t="s">
        <v>36</v>
      </c>
      <c r="H781" s="14" t="s">
        <v>6650</v>
      </c>
      <c r="I781" s="11" t="str">
        <f>HYPERLINK("https://redirect.sdcdeals.com/redirect?code=763034&amp;mavely=https://mavely.app.link/e/bhESV2wGrGb&amp;destination=https%3A%2F%2Fwww.kohls.com%2Fsearch.jsp%3Fsubmit-search%3Dweb-regular%26search%3D70001886", "Retail Link")</f>
        <v>Retail Link</v>
      </c>
      <c r="J781" s="14" t="s">
        <v>6630</v>
      </c>
      <c r="K781" s="13" t="s">
        <v>6651</v>
      </c>
      <c r="L781" s="15">
        <v>17.696000000000002</v>
      </c>
      <c r="M781" s="15">
        <v>38.69</v>
      </c>
      <c r="N781" s="15">
        <v>8.3304999999999971</v>
      </c>
      <c r="O781" s="15">
        <f>V781-M781</f>
        <v>-0.12999999999999545</v>
      </c>
      <c r="P781" s="16">
        <f>N781/L781</f>
        <v>0.47075610307414084</v>
      </c>
      <c r="Q781" s="14">
        <v>11476</v>
      </c>
      <c r="R781" s="14"/>
      <c r="S781" s="17">
        <v>1.7394451799999999</v>
      </c>
      <c r="T781" s="15">
        <v>38.69</v>
      </c>
      <c r="U781" s="15">
        <v>32.53</v>
      </c>
      <c r="V781" s="15">
        <v>38.56</v>
      </c>
      <c r="W781" s="14" t="s">
        <v>282</v>
      </c>
      <c r="X781" s="14">
        <v>2</v>
      </c>
      <c r="Y781" s="10">
        <f>AC781-AB781</f>
        <v>5687</v>
      </c>
      <c r="Z781" s="18">
        <v>44</v>
      </c>
      <c r="AA781" s="18">
        <v>133</v>
      </c>
      <c r="AB781" s="18">
        <v>15</v>
      </c>
      <c r="AC781" s="18">
        <v>5702</v>
      </c>
      <c r="AD781" s="1" t="s">
        <v>6652</v>
      </c>
      <c r="AE781" s="1" t="s">
        <v>6653</v>
      </c>
      <c r="AF781" s="4">
        <v>6.58</v>
      </c>
      <c r="AG781" s="4">
        <v>6.86</v>
      </c>
    </row>
    <row r="782" spans="1:33" ht="47.25" customHeight="1" x14ac:dyDescent="0.25">
      <c r="A782" s="10" t="s">
        <v>2583</v>
      </c>
      <c r="B782" s="11" t="s">
        <v>33</v>
      </c>
      <c r="C782" s="12" t="s">
        <v>2584</v>
      </c>
      <c r="D782" s="27"/>
      <c r="E782" s="14" t="s">
        <v>35</v>
      </c>
      <c r="F782" s="11" t="str">
        <f>HYPERLINK("https://redirect.sdcdeals.com/redirect?destination=https%3A%2F%2Fwww.amazon.com%2Fdp%2FB09Y2FB79M%3Fth%3D1%26psc%3D1%26tag%3Dsdcdeals03-20", "Amazon Link")</f>
        <v>Amazon Link</v>
      </c>
      <c r="G782" s="11" t="s">
        <v>36</v>
      </c>
      <c r="H782" s="14" t="s">
        <v>2585</v>
      </c>
      <c r="I782" s="11" t="str">
        <f>HYPERLINK("https://redirect.sdcdeals.com/redirect?code=763034&amp;mavely=https://mavely.app.link/e/bhESV2wGrGb&amp;destination=https%3A%2F%2Fwww.kohls.com%2Fsearch.jsp%3Fsubmit-search%3Dweb-regular%26search%3D73547775", "Retail Link")</f>
        <v>Retail Link</v>
      </c>
      <c r="J782" s="14" t="s">
        <v>2570</v>
      </c>
      <c r="K782" s="13" t="s">
        <v>2586</v>
      </c>
      <c r="L782" s="15">
        <v>7.6959999999999997</v>
      </c>
      <c r="M782" s="15">
        <v>19.809999999999999</v>
      </c>
      <c r="N782" s="15">
        <v>3.6225000000000001</v>
      </c>
      <c r="O782" s="15">
        <f>V782-M782</f>
        <v>2.09</v>
      </c>
      <c r="P782" s="16">
        <f>N782/L782</f>
        <v>0.47069906444906445</v>
      </c>
      <c r="Q782" s="14">
        <v>128900</v>
      </c>
      <c r="R782" s="14"/>
      <c r="S782" s="17">
        <v>0.57099657999999998</v>
      </c>
      <c r="T782" s="15">
        <v>19.809999999999999</v>
      </c>
      <c r="U782" s="15">
        <v>19.100000000000001</v>
      </c>
      <c r="V782" s="15">
        <v>21.9</v>
      </c>
      <c r="W782" s="14" t="s">
        <v>2587</v>
      </c>
      <c r="X782" s="14">
        <v>3</v>
      </c>
      <c r="Y782" s="10">
        <f>AC782-AB782</f>
        <v>390</v>
      </c>
      <c r="Z782" s="18">
        <v>45</v>
      </c>
      <c r="AA782" s="18">
        <v>93</v>
      </c>
      <c r="AB782" s="18">
        <v>9</v>
      </c>
      <c r="AC782" s="18">
        <v>399</v>
      </c>
      <c r="AD782" s="1" t="s">
        <v>2573</v>
      </c>
      <c r="AE782" s="1" t="s">
        <v>76</v>
      </c>
      <c r="AG782" s="4">
        <v>5.52</v>
      </c>
    </row>
    <row r="783" spans="1:33" ht="47.25" customHeight="1" x14ac:dyDescent="0.25">
      <c r="A783" s="10" t="s">
        <v>4110</v>
      </c>
      <c r="B783" s="11" t="s">
        <v>33</v>
      </c>
      <c r="C783" s="12" t="s">
        <v>4111</v>
      </c>
      <c r="D783" s="27"/>
      <c r="E783" s="14" t="s">
        <v>35</v>
      </c>
      <c r="F783" s="11" t="str">
        <f>HYPERLINK("https://redirect.sdcdeals.com/redirect?destination=https%3A%2F%2Fwww.amazon.com%2Fdp%2FB0BKQV9QBV%3Fth%3D1%26psc%3D1%26tag%3Dsdcdeals03-20", "Amazon Link")</f>
        <v>Amazon Link</v>
      </c>
      <c r="G783" s="11" t="s">
        <v>36</v>
      </c>
      <c r="H783" s="14" t="s">
        <v>4112</v>
      </c>
      <c r="I783" s="11" t="str">
        <f>HYPERLINK("https://redirect.sdcdeals.com/redirect?code=763034&amp;mavely=https://mavely.app.link/e/bhESV2wGrGb&amp;destination=https%3A%2F%2Fwww.kohls.com%2Fsearch.jsp%3Fsubmit-search%3Dweb-regular%26search%3D71992651", "Retail Link")</f>
        <v>Retail Link</v>
      </c>
      <c r="J783" s="14" t="s">
        <v>4089</v>
      </c>
      <c r="K783" s="13" t="s">
        <v>4113</v>
      </c>
      <c r="L783" s="15">
        <v>39.6</v>
      </c>
      <c r="M783" s="15">
        <v>77.400000000000006</v>
      </c>
      <c r="N783" s="15">
        <v>18.63</v>
      </c>
      <c r="O783" s="15">
        <f>V783-M783</f>
        <v>10.39</v>
      </c>
      <c r="P783" s="16">
        <f>N783/L783</f>
        <v>0.4704545454545454</v>
      </c>
      <c r="Q783" s="14">
        <v>648044</v>
      </c>
      <c r="R783" s="14"/>
      <c r="S783" s="17">
        <v>1.1508116399999999</v>
      </c>
      <c r="T783" s="15">
        <v>77.400000000000006</v>
      </c>
      <c r="U783" s="15">
        <v>94.84</v>
      </c>
      <c r="V783" s="15">
        <v>87.79</v>
      </c>
      <c r="W783" s="14" t="s">
        <v>4114</v>
      </c>
      <c r="X783" s="14">
        <v>5</v>
      </c>
      <c r="Y783" s="10">
        <f>AC783-AB783</f>
        <v>9</v>
      </c>
      <c r="Z783" s="18">
        <v>12</v>
      </c>
      <c r="AA783" s="18">
        <v>37</v>
      </c>
      <c r="AB783" s="18">
        <v>1</v>
      </c>
      <c r="AC783" s="18">
        <v>10</v>
      </c>
      <c r="AD783" s="1" t="s">
        <v>4091</v>
      </c>
      <c r="AE783" s="1" t="s">
        <v>76</v>
      </c>
      <c r="AF783" s="4">
        <v>13.16</v>
      </c>
      <c r="AG783" s="4">
        <v>7.56</v>
      </c>
    </row>
    <row r="784" spans="1:33" ht="47.25" customHeight="1" x14ac:dyDescent="0.25">
      <c r="A784" s="10" t="s">
        <v>4123</v>
      </c>
      <c r="B784" s="11" t="s">
        <v>33</v>
      </c>
      <c r="C784" s="12" t="s">
        <v>4124</v>
      </c>
      <c r="D784" s="27"/>
      <c r="E784" s="14" t="s">
        <v>35</v>
      </c>
      <c r="F784" s="11" t="str">
        <f>HYPERLINK("https://redirect.sdcdeals.com/redirect?destination=https%3A%2F%2Fwww.amazon.com%2Fdp%2FB0BKQX4BYZ%3Fth%3D1%26psc%3D1%26tag%3Dsdcdeals03-20", "Amazon Link")</f>
        <v>Amazon Link</v>
      </c>
      <c r="G784" s="11" t="s">
        <v>36</v>
      </c>
      <c r="H784" s="14" t="s">
        <v>4125</v>
      </c>
      <c r="I784" s="11" t="str">
        <f>HYPERLINK("https://redirect.sdcdeals.com/redirect?code=763034&amp;mavely=https://mavely.app.link/e/bhESV2wGrGb&amp;destination=https%3A%2F%2Fwww.kohls.com%2Fsearch.jsp%3Fsubmit-search%3Dweb-regular%26search%3D71992652", "Retail Link")</f>
        <v>Retail Link</v>
      </c>
      <c r="J784" s="14" t="s">
        <v>4089</v>
      </c>
      <c r="K784" s="13" t="s">
        <v>4126</v>
      </c>
      <c r="L784" s="15">
        <v>39.6</v>
      </c>
      <c r="M784" s="15">
        <v>77.400000000000006</v>
      </c>
      <c r="N784" s="15">
        <v>18.63</v>
      </c>
      <c r="O784" s="15">
        <f>V784-M784</f>
        <v>11.459999999999994</v>
      </c>
      <c r="P784" s="16">
        <f>N784/L784</f>
        <v>0.4704545454545454</v>
      </c>
      <c r="Q784" s="14">
        <v>337566</v>
      </c>
      <c r="R784" s="14"/>
      <c r="S784" s="17">
        <v>1.3007257999999999</v>
      </c>
      <c r="T784" s="15">
        <v>77.400000000000006</v>
      </c>
      <c r="U784" s="15">
        <v>96.88</v>
      </c>
      <c r="V784" s="15">
        <v>88.86</v>
      </c>
      <c r="W784" s="14" t="s">
        <v>4127</v>
      </c>
      <c r="X784" s="14">
        <v>4</v>
      </c>
      <c r="Y784" s="10">
        <f>AC784-AB784</f>
        <v>15</v>
      </c>
      <c r="Z784" s="18">
        <v>12</v>
      </c>
      <c r="AA784" s="18">
        <v>40</v>
      </c>
      <c r="AB784" s="18">
        <v>0</v>
      </c>
      <c r="AC784" s="18">
        <v>15</v>
      </c>
      <c r="AD784" s="1" t="s">
        <v>4091</v>
      </c>
      <c r="AE784" s="1" t="s">
        <v>76</v>
      </c>
      <c r="AF784" s="4">
        <v>13.16</v>
      </c>
      <c r="AG784" s="4">
        <v>7.56</v>
      </c>
    </row>
    <row r="785" spans="1:33" ht="47.25" customHeight="1" x14ac:dyDescent="0.25">
      <c r="A785" s="10" t="s">
        <v>3922</v>
      </c>
      <c r="B785" s="11" t="s">
        <v>33</v>
      </c>
      <c r="C785" s="12" t="s">
        <v>3923</v>
      </c>
      <c r="D785" s="27"/>
      <c r="E785" s="14" t="s">
        <v>35</v>
      </c>
      <c r="F785" s="11" t="str">
        <f>HYPERLINK("https://redirect.sdcdeals.com/redirect?destination=https%3A%2F%2Fwww.amazon.com%2Fdp%2FB0C12W6KCD%3Fth%3D1%26psc%3D1%26tag%3Dsdcdeals03-20", "Amazon Link")</f>
        <v>Amazon Link</v>
      </c>
      <c r="G785" s="11" t="s">
        <v>36</v>
      </c>
      <c r="H785" s="14" t="s">
        <v>3924</v>
      </c>
      <c r="I785" s="11" t="str">
        <f>HYPERLINK("https://redirect.sdcdeals.com/redirect?code=763034&amp;mavely=https://mavely.app.link/e/bhESV2wGrGb&amp;destination=https%3A%2F%2Fwww.kohls.com%2Fsearch.jsp%3Fsubmit-search%3Dweb-regular%26search%3D80604209", "Retail Link")</f>
        <v>Retail Link</v>
      </c>
      <c r="J785" s="14" t="s">
        <v>3925</v>
      </c>
      <c r="K785" s="13" t="s">
        <v>3926</v>
      </c>
      <c r="L785" s="15">
        <v>15.4</v>
      </c>
      <c r="M785" s="15">
        <v>32.06</v>
      </c>
      <c r="N785" s="15">
        <v>7.2410000000000014</v>
      </c>
      <c r="O785" s="15">
        <f>V785-M785</f>
        <v>12.009999999999998</v>
      </c>
      <c r="P785" s="16">
        <f>N785/L785</f>
        <v>0.47019480519480528</v>
      </c>
      <c r="Q785" s="14">
        <v>48330</v>
      </c>
      <c r="R785" s="14"/>
      <c r="S785" s="17">
        <v>0.3858085</v>
      </c>
      <c r="T785" s="15">
        <v>32.06</v>
      </c>
      <c r="U785" s="15">
        <v>37.81</v>
      </c>
      <c r="V785" s="15">
        <v>44.07</v>
      </c>
      <c r="W785" s="14" t="s">
        <v>60</v>
      </c>
      <c r="X785" s="14">
        <v>5</v>
      </c>
      <c r="Y785" s="10">
        <f>AC785-AB785</f>
        <v>1032</v>
      </c>
      <c r="Z785" s="18">
        <v>26</v>
      </c>
      <c r="AA785" s="18">
        <v>78</v>
      </c>
      <c r="AB785" s="18">
        <v>0</v>
      </c>
      <c r="AC785" s="18">
        <v>1032</v>
      </c>
      <c r="AD785" s="1" t="s">
        <v>2834</v>
      </c>
      <c r="AE785" s="1" t="s">
        <v>3927</v>
      </c>
      <c r="AF785" s="4">
        <v>5.45</v>
      </c>
      <c r="AG785" s="4">
        <v>4.6100000000000003</v>
      </c>
    </row>
    <row r="786" spans="1:33" ht="47.25" customHeight="1" x14ac:dyDescent="0.25">
      <c r="A786" s="10" t="s">
        <v>5149</v>
      </c>
      <c r="B786" s="11" t="s">
        <v>33</v>
      </c>
      <c r="C786" s="12" t="s">
        <v>5150</v>
      </c>
      <c r="D786" s="27"/>
      <c r="E786" s="14" t="s">
        <v>35</v>
      </c>
      <c r="F786" s="11" t="str">
        <f>HYPERLINK("https://redirect.sdcdeals.com/redirect?destination=https%3A%2F%2Fwww.amazon.com%2Fdp%2FB0BN54B7WP%3Fth%3D1%26psc%3D1%26tag%3Dsdcdeals03-20", "Amazon Link")</f>
        <v>Amazon Link</v>
      </c>
      <c r="G786" s="11" t="s">
        <v>36</v>
      </c>
      <c r="H786" s="14" t="s">
        <v>5151</v>
      </c>
      <c r="I786" s="11" t="str">
        <f>HYPERLINK("https://redirect.sdcdeals.com/redirect?code=763034&amp;mavely=https://mavely.app.link/e/bhESV2wGrGb&amp;destination=https%3A%2F%2Fwww.kohls.com%2Fsearch.jsp%3Fsubmit-search%3Dweb-regular%26search%3D78859859", "Retail Link")</f>
        <v>Retail Link</v>
      </c>
      <c r="J786" s="14" t="s">
        <v>5123</v>
      </c>
      <c r="K786" s="13" t="s">
        <v>5130</v>
      </c>
      <c r="L786" s="15">
        <v>15.288</v>
      </c>
      <c r="M786" s="15">
        <v>34.479999999999997</v>
      </c>
      <c r="N786" s="15">
        <v>7.1599999999999966</v>
      </c>
      <c r="O786" s="15">
        <f>V786-M786</f>
        <v>10.740000000000002</v>
      </c>
      <c r="P786" s="16">
        <f>N786/L786</f>
        <v>0.46834118262689667</v>
      </c>
      <c r="Q786" s="14">
        <v>394829</v>
      </c>
      <c r="R786" s="14"/>
      <c r="S786" s="17">
        <v>0.90830343999999996</v>
      </c>
      <c r="T786" s="15">
        <v>34.479999999999997</v>
      </c>
      <c r="U786" s="15">
        <v>43.57</v>
      </c>
      <c r="V786" s="15">
        <v>45.22</v>
      </c>
      <c r="W786" s="14" t="s">
        <v>40</v>
      </c>
      <c r="X786" s="14">
        <v>1</v>
      </c>
      <c r="Y786" s="10">
        <f>AC786-AB786</f>
        <v>141</v>
      </c>
      <c r="Z786" s="18">
        <v>14</v>
      </c>
      <c r="AA786" s="18">
        <v>39</v>
      </c>
      <c r="AB786" s="18">
        <v>0</v>
      </c>
      <c r="AC786" s="18">
        <v>141</v>
      </c>
      <c r="AD786" s="1" t="s">
        <v>5131</v>
      </c>
      <c r="AE786" s="1" t="s">
        <v>5132</v>
      </c>
      <c r="AF786" s="4">
        <v>5.86</v>
      </c>
      <c r="AG786" s="4">
        <v>6.86</v>
      </c>
    </row>
    <row r="787" spans="1:33" ht="47.25" customHeight="1" x14ac:dyDescent="0.25">
      <c r="A787" s="10" t="s">
        <v>5468</v>
      </c>
      <c r="B787" s="11" t="s">
        <v>33</v>
      </c>
      <c r="C787" s="12" t="s">
        <v>5469</v>
      </c>
      <c r="D787" s="27"/>
      <c r="E787" s="14" t="s">
        <v>35</v>
      </c>
      <c r="F787" s="11" t="str">
        <f>HYPERLINK("https://redirect.sdcdeals.com/redirect?destination=https%3A%2F%2Fwww.amazon.com%2Fdp%2FB0C8BLCXPN%3Fth%3D1%26psc%3D1%26tag%3Dsdcdeals03-20", "Amazon Link")</f>
        <v>Amazon Link</v>
      </c>
      <c r="G787" s="11" t="s">
        <v>36</v>
      </c>
      <c r="H787" s="14" t="s">
        <v>5470</v>
      </c>
      <c r="I787" s="11" t="str">
        <f>HYPERLINK("https://redirect.sdcdeals.com/redirect?code=763034&amp;mavely=https://mavely.app.link/e/bhESV2wGrGb&amp;destination=https%3A%2F%2Fwww.kohls.com%2Fsearch.jsp%3Fsubmit-search%3Dweb-regular%26search%3D61160480", "Retail Link")</f>
        <v>Retail Link</v>
      </c>
      <c r="J787" s="14" t="s">
        <v>5471</v>
      </c>
      <c r="K787" s="13" t="s">
        <v>5472</v>
      </c>
      <c r="L787" s="15">
        <v>7.5439999999999996</v>
      </c>
      <c r="M787" s="15">
        <v>20.25</v>
      </c>
      <c r="N787" s="15">
        <v>3.528499999999998</v>
      </c>
      <c r="O787" s="15">
        <f>V787-M787</f>
        <v>0</v>
      </c>
      <c r="P787" s="16">
        <f>N787/L787</f>
        <v>0.46772269353128287</v>
      </c>
      <c r="Q787" s="14">
        <v>615571</v>
      </c>
      <c r="R787" s="14"/>
      <c r="S787" s="17">
        <v>0.48060715999999998</v>
      </c>
      <c r="T787" s="15"/>
      <c r="U787" s="15"/>
      <c r="V787" s="15">
        <v>20.25</v>
      </c>
      <c r="W787" s="14" t="s">
        <v>366</v>
      </c>
      <c r="X787" s="14">
        <v>1</v>
      </c>
      <c r="Y787" s="10">
        <f>AC787-AB787</f>
        <v>63</v>
      </c>
      <c r="Z787" s="18">
        <v>4</v>
      </c>
      <c r="AA787" s="18">
        <v>9</v>
      </c>
      <c r="AB787" s="18">
        <v>7</v>
      </c>
      <c r="AC787" s="18">
        <v>70</v>
      </c>
      <c r="AD787" s="1" t="s">
        <v>5473</v>
      </c>
      <c r="AE787" s="1" t="s">
        <v>5474</v>
      </c>
      <c r="AG787" s="4">
        <v>6.14</v>
      </c>
    </row>
    <row r="788" spans="1:33" ht="47.25" hidden="1" customHeight="1" x14ac:dyDescent="0.25">
      <c r="A788" s="10" t="s">
        <v>3390</v>
      </c>
      <c r="B788" s="11" t="s">
        <v>33</v>
      </c>
      <c r="C788" s="12" t="s">
        <v>3391</v>
      </c>
      <c r="D788" s="27"/>
      <c r="E788" s="14" t="s">
        <v>35</v>
      </c>
      <c r="F788" s="11" t="str">
        <f>HYPERLINK("https://redirect.sdcdeals.com/redirect?destination=https%3A%2F%2Fwww.amazon.com%2Fdp%2FB0CL5CX76Y%3Fth%3D1%26psc%3D1%26tag%3Dsdcdeals03-20", "Amazon Link")</f>
        <v>Amazon Link</v>
      </c>
      <c r="G788" s="11" t="s">
        <v>36</v>
      </c>
      <c r="H788" s="14" t="s">
        <v>3392</v>
      </c>
      <c r="I788" s="11" t="str">
        <f>HYPERLINK("https://redirect.sdcdeals.com/redirect?code=763034&amp;mavely=https://mavely.app.link/e/bhESV2wGrGb&amp;destination=https%3A%2F%2Fwww.kohls.com%2Fsearch.jsp%3Fsubmit-search%3Dweb-regular%26search%3D54727586", "Retail Link")</f>
        <v>Retail Link</v>
      </c>
      <c r="J788" s="14" t="s">
        <v>3376</v>
      </c>
      <c r="K788" s="13" t="s">
        <v>3393</v>
      </c>
      <c r="L788" s="15">
        <v>6.4</v>
      </c>
      <c r="M788" s="15">
        <v>16.46</v>
      </c>
      <c r="N788" s="15">
        <v>2.9809999999999999</v>
      </c>
      <c r="O788" s="15">
        <f>V788-M788</f>
        <v>4.0599999999999987</v>
      </c>
      <c r="P788" s="16">
        <f>N788/L788</f>
        <v>0.46578124999999998</v>
      </c>
      <c r="Q788" s="14"/>
      <c r="R788" s="14"/>
      <c r="S788" s="17">
        <v>0.33069300000000001</v>
      </c>
      <c r="T788" s="15">
        <v>16.46</v>
      </c>
      <c r="U788" s="15">
        <v>16.940000000000001</v>
      </c>
      <c r="V788" s="15">
        <v>20.52</v>
      </c>
      <c r="W788" s="14" t="s">
        <v>3394</v>
      </c>
      <c r="X788" s="14">
        <v>17</v>
      </c>
      <c r="Y788" s="10">
        <f>AC788-AB788</f>
        <v>0</v>
      </c>
      <c r="Z788" s="18">
        <v>0</v>
      </c>
      <c r="AA788" s="18">
        <v>0</v>
      </c>
      <c r="AB788" s="18">
        <v>0</v>
      </c>
      <c r="AC788" s="18"/>
      <c r="AE788" s="1" t="s">
        <v>3380</v>
      </c>
      <c r="AF788" s="4">
        <v>1.65</v>
      </c>
      <c r="AG788" s="4">
        <v>4.6100000000000003</v>
      </c>
    </row>
    <row r="789" spans="1:33" ht="47.25" customHeight="1" x14ac:dyDescent="0.25">
      <c r="A789" s="10" t="s">
        <v>2954</v>
      </c>
      <c r="B789" s="11" t="s">
        <v>33</v>
      </c>
      <c r="C789" s="12" t="s">
        <v>2955</v>
      </c>
      <c r="D789" s="27"/>
      <c r="E789" s="14" t="s">
        <v>35</v>
      </c>
      <c r="F789" s="11" t="str">
        <f>HYPERLINK("https://redirect.sdcdeals.com/redirect?destination=https%3A%2F%2Fwww.amazon.com%2Fdp%2FB0BKQXD3QQ%3Fth%3D1%26psc%3D1%26tag%3Dsdcdeals03-20", "Amazon Link")</f>
        <v>Amazon Link</v>
      </c>
      <c r="G789" s="11" t="s">
        <v>36</v>
      </c>
      <c r="H789" s="14" t="s">
        <v>2956</v>
      </c>
      <c r="I789" s="11" t="str">
        <f>HYPERLINK("https://redirect.sdcdeals.com/redirect?code=763034&amp;mavely=https://mavely.app.link/e/bhESV2wGrGb&amp;destination=https%3A%2F%2Fwww.kohls.com%2Fsearch.jsp%3Fsubmit-search%3Dweb-regular%26search%3D29976323", "Retail Link")</f>
        <v>Retail Link</v>
      </c>
      <c r="J789" s="14" t="s">
        <v>2908</v>
      </c>
      <c r="K789" s="13" t="s">
        <v>2957</v>
      </c>
      <c r="L789" s="15">
        <v>57.2</v>
      </c>
      <c r="M789" s="15">
        <v>114.4</v>
      </c>
      <c r="N789" s="15">
        <v>26.63000000000001</v>
      </c>
      <c r="O789" s="15">
        <f>V789-M789</f>
        <v>-5.710000000000008</v>
      </c>
      <c r="P789" s="16">
        <f>N789/L789</f>
        <v>0.46555944055944071</v>
      </c>
      <c r="Q789" s="14">
        <v>792759</v>
      </c>
      <c r="R789" s="14"/>
      <c r="S789" s="17">
        <v>3.1305603999999998</v>
      </c>
      <c r="T789" s="15">
        <v>114.4</v>
      </c>
      <c r="U789" s="15">
        <v>106.5</v>
      </c>
      <c r="V789" s="15">
        <v>108.69</v>
      </c>
      <c r="W789" s="14" t="s">
        <v>306</v>
      </c>
      <c r="X789" s="14">
        <v>2</v>
      </c>
      <c r="Y789" s="10">
        <f>AC789-AB789</f>
        <v>9</v>
      </c>
      <c r="Z789" s="18">
        <v>8</v>
      </c>
      <c r="AA789" s="18">
        <v>22</v>
      </c>
      <c r="AB789" s="18">
        <v>0</v>
      </c>
      <c r="AC789" s="18">
        <v>9</v>
      </c>
      <c r="AD789" s="1" t="s">
        <v>2911</v>
      </c>
      <c r="AE789" s="1" t="s">
        <v>2213</v>
      </c>
      <c r="AF789" s="4">
        <v>19.45</v>
      </c>
      <c r="AG789" s="4">
        <v>13.41</v>
      </c>
    </row>
    <row r="790" spans="1:33" ht="47.25" customHeight="1" x14ac:dyDescent="0.25">
      <c r="A790" s="10" t="s">
        <v>4307</v>
      </c>
      <c r="B790" s="11" t="s">
        <v>33</v>
      </c>
      <c r="C790" s="12" t="s">
        <v>4308</v>
      </c>
      <c r="D790" s="27"/>
      <c r="E790" s="14" t="s">
        <v>35</v>
      </c>
      <c r="F790" s="11" t="str">
        <f>HYPERLINK("https://redirect.sdcdeals.com/redirect?destination=https%3A%2F%2Fwww.amazon.com%2Fdp%2FB0C8BNWZN9%3Fth%3D1%26psc%3D1%26tag%3Dsdcdeals03-20", "Amazon Link")</f>
        <v>Amazon Link</v>
      </c>
      <c r="G790" s="11" t="s">
        <v>36</v>
      </c>
      <c r="H790" s="14" t="s">
        <v>4309</v>
      </c>
      <c r="I790" s="11" t="str">
        <f>HYPERLINK("https://redirect.sdcdeals.com/redirect?code=763034&amp;mavely=https://mavely.app.link/e/bhESV2wGrGb&amp;destination=https%3A%2F%2Fwww.kohls.com%2Fsearch.jsp%3Fsubmit-search%3Dweb-regular%26search%3D28150533", "Retail Link")</f>
        <v>Retail Link</v>
      </c>
      <c r="J790" s="14" t="s">
        <v>4310</v>
      </c>
      <c r="K790" s="13" t="s">
        <v>4311</v>
      </c>
      <c r="L790" s="15">
        <v>6.9840000000000009</v>
      </c>
      <c r="M790" s="15">
        <v>17.98</v>
      </c>
      <c r="N790" s="15">
        <v>3.2490000000000001</v>
      </c>
      <c r="O790" s="15">
        <f>V790-M790</f>
        <v>3.6900000000000013</v>
      </c>
      <c r="P790" s="16">
        <f>N790/L790</f>
        <v>0.46520618556701027</v>
      </c>
      <c r="Q790" s="14">
        <v>263538</v>
      </c>
      <c r="R790" s="14"/>
      <c r="S790" s="17">
        <v>0.28660059999999998</v>
      </c>
      <c r="T790" s="15">
        <v>17.98</v>
      </c>
      <c r="U790" s="15">
        <v>22.44</v>
      </c>
      <c r="V790" s="15">
        <v>21.67</v>
      </c>
      <c r="W790" s="14" t="s">
        <v>316</v>
      </c>
      <c r="X790" s="14">
        <v>4</v>
      </c>
      <c r="Y790" s="10">
        <f>AC790-AB790</f>
        <v>300</v>
      </c>
      <c r="Z790" s="18">
        <v>3</v>
      </c>
      <c r="AA790" s="18">
        <v>57</v>
      </c>
      <c r="AB790" s="18">
        <v>4</v>
      </c>
      <c r="AC790" s="18">
        <v>304</v>
      </c>
      <c r="AD790" s="1" t="s">
        <v>4312</v>
      </c>
      <c r="AE790" s="1" t="s">
        <v>4313</v>
      </c>
      <c r="AF790" s="4">
        <v>1.8</v>
      </c>
      <c r="AG790" s="4">
        <v>5.05</v>
      </c>
    </row>
    <row r="791" spans="1:33" ht="47.25" customHeight="1" x14ac:dyDescent="0.25">
      <c r="A791" s="10" t="s">
        <v>4387</v>
      </c>
      <c r="B791" s="11" t="s">
        <v>33</v>
      </c>
      <c r="C791" s="12" t="s">
        <v>4388</v>
      </c>
      <c r="D791" s="27"/>
      <c r="E791" s="14" t="s">
        <v>35</v>
      </c>
      <c r="F791" s="11" t="str">
        <f>HYPERLINK("https://redirect.sdcdeals.com/redirect?destination=https%3A%2F%2Fwww.amazon.com%2Fdp%2FB0B1JRD7MX%3Fth%3D1%26psc%3D1%26tag%3Dsdcdeals03-20", "Amazon Link")</f>
        <v>Amazon Link</v>
      </c>
      <c r="G791" s="11" t="s">
        <v>36</v>
      </c>
      <c r="H791" s="14" t="s">
        <v>4389</v>
      </c>
      <c r="I791" s="11" t="str">
        <f>HYPERLINK("https://redirect.sdcdeals.com/redirect?code=763034&amp;mavely=https://mavely.app.link/e/bhESV2wGrGb&amp;destination=https%3A%2F%2Fwww.kohls.com%2Fsearch.jsp%3Fsubmit-search%3Dweb-regular%26search%3D68949058", "Retail Link")</f>
        <v>Retail Link</v>
      </c>
      <c r="J791" s="14" t="s">
        <v>4347</v>
      </c>
      <c r="K791" s="13" t="s">
        <v>4390</v>
      </c>
      <c r="L791" s="15">
        <v>20.847999999999999</v>
      </c>
      <c r="M791" s="15">
        <v>43.9</v>
      </c>
      <c r="N791" s="15">
        <v>9.657</v>
      </c>
      <c r="O791" s="15">
        <f>V791-M791</f>
        <v>4.1000000000000014</v>
      </c>
      <c r="P791" s="16">
        <f>N791/L791</f>
        <v>0.46320990023023795</v>
      </c>
      <c r="Q791" s="14">
        <v>846</v>
      </c>
      <c r="R791" s="14"/>
      <c r="S791" s="17">
        <v>1.36465978</v>
      </c>
      <c r="T791" s="15"/>
      <c r="U791" s="15">
        <v>43.9</v>
      </c>
      <c r="V791" s="15">
        <v>48</v>
      </c>
      <c r="W791" s="14" t="s">
        <v>60</v>
      </c>
      <c r="X791" s="14">
        <v>1</v>
      </c>
      <c r="Y791" s="10">
        <f>AC791-AB791</f>
        <v>47352</v>
      </c>
      <c r="Z791" s="18">
        <v>18</v>
      </c>
      <c r="AA791" s="18">
        <v>71</v>
      </c>
      <c r="AB791" s="18">
        <v>1</v>
      </c>
      <c r="AC791" s="18">
        <v>47353</v>
      </c>
      <c r="AD791" s="1" t="s">
        <v>4355</v>
      </c>
      <c r="AE791" s="1" t="s">
        <v>4356</v>
      </c>
      <c r="AG791" s="4">
        <v>6.81</v>
      </c>
    </row>
    <row r="792" spans="1:33" ht="47.25" customHeight="1" x14ac:dyDescent="0.25">
      <c r="A792" s="10" t="s">
        <v>1645</v>
      </c>
      <c r="B792" s="11" t="s">
        <v>33</v>
      </c>
      <c r="C792" s="12" t="s">
        <v>1646</v>
      </c>
      <c r="D792" s="27"/>
      <c r="E792" s="14" t="s">
        <v>35</v>
      </c>
      <c r="F792" s="11" t="str">
        <f>HYPERLINK("https://redirect.sdcdeals.com/redirect?destination=https%3A%2F%2Fwww.amazon.com%2Fdp%2FB0BFT9FG4W%3Fth%3D1%26psc%3D1%26tag%3Dsdcdeals03-20", "Amazon Link")</f>
        <v>Amazon Link</v>
      </c>
      <c r="G792" s="11" t="s">
        <v>36</v>
      </c>
      <c r="H792" s="14" t="s">
        <v>1647</v>
      </c>
      <c r="I792" s="11" t="str">
        <f>HYPERLINK("https://redirect.sdcdeals.com/redirect?code=763034&amp;mavely=https://mavely.app.link/e/bhESV2wGrGb&amp;destination=https%3A%2F%2Fwww.kohls.com%2Fsearch.jsp%3Fsubmit-search%3Dweb-regular%26search%3D71786103", "Retail Link")</f>
        <v>Retail Link</v>
      </c>
      <c r="J792" s="14" t="s">
        <v>1614</v>
      </c>
      <c r="K792" s="13" t="s">
        <v>1648</v>
      </c>
      <c r="L792" s="15">
        <v>44.095999999999997</v>
      </c>
      <c r="M792" s="15">
        <v>91.64</v>
      </c>
      <c r="N792" s="15">
        <v>20.388000000000009</v>
      </c>
      <c r="O792" s="15">
        <f>V792-M792</f>
        <v>17.519999999999996</v>
      </c>
      <c r="P792" s="16">
        <f>N792/L792</f>
        <v>0.46235486211901328</v>
      </c>
      <c r="Q792" s="14">
        <v>2166121</v>
      </c>
      <c r="R792" s="14"/>
      <c r="S792" s="17">
        <v>1.64905576</v>
      </c>
      <c r="T792" s="15">
        <v>91.64</v>
      </c>
      <c r="U792" s="15">
        <v>105.62</v>
      </c>
      <c r="V792" s="15">
        <v>109.16</v>
      </c>
      <c r="W792" s="14" t="s">
        <v>588</v>
      </c>
      <c r="X792" s="14">
        <v>1</v>
      </c>
      <c r="Y792" s="10">
        <f>AC792-AB792</f>
        <v>2</v>
      </c>
      <c r="Z792" s="18">
        <v>2</v>
      </c>
      <c r="AA792" s="18">
        <v>4</v>
      </c>
      <c r="AB792" s="18">
        <v>0</v>
      </c>
      <c r="AC792" s="18">
        <v>2</v>
      </c>
      <c r="AD792" s="1" t="s">
        <v>1616</v>
      </c>
      <c r="AE792" s="1" t="s">
        <v>700</v>
      </c>
      <c r="AF792" s="4">
        <v>15.58</v>
      </c>
      <c r="AG792" s="4">
        <v>13.41</v>
      </c>
    </row>
    <row r="793" spans="1:33" ht="47.25" customHeight="1" x14ac:dyDescent="0.25">
      <c r="A793" s="10" t="s">
        <v>4539</v>
      </c>
      <c r="B793" s="11" t="s">
        <v>33</v>
      </c>
      <c r="C793" s="12" t="s">
        <v>4540</v>
      </c>
      <c r="D793" s="27"/>
      <c r="E793" s="14" t="s">
        <v>35</v>
      </c>
      <c r="F793" s="11" t="str">
        <f>HYPERLINK("https://redirect.sdcdeals.com/redirect?destination=https%3A%2F%2Fwww.amazon.com%2Fdp%2FB0B1KR218Z%3Fth%3D1%26psc%3D1%26tag%3Dsdcdeals03-20", "Amazon Link")</f>
        <v>Amazon Link</v>
      </c>
      <c r="G793" s="11" t="s">
        <v>36</v>
      </c>
      <c r="H793" s="14" t="s">
        <v>4541</v>
      </c>
      <c r="I793" s="11" t="str">
        <f>HYPERLINK("https://redirect.sdcdeals.com/redirect?code=763034&amp;mavely=https://mavely.app.link/e/bhESV2wGrGb&amp;destination=https%3A%2F%2Fwww.kohls.com%2Fsearch.jsp%3Fsubmit-search%3Dweb-regular%26search%3D68949338", "Retail Link")</f>
        <v>Retail Link</v>
      </c>
      <c r="J793" s="14" t="s">
        <v>4347</v>
      </c>
      <c r="K793" s="13" t="s">
        <v>4542</v>
      </c>
      <c r="L793" s="15">
        <v>20.847999999999999</v>
      </c>
      <c r="M793" s="15">
        <v>44.72</v>
      </c>
      <c r="N793" s="15">
        <v>9.6040000000000028</v>
      </c>
      <c r="O793" s="15">
        <f>V793-M793</f>
        <v>3.1799999999999997</v>
      </c>
      <c r="P793" s="16">
        <f>N793/L793</f>
        <v>0.46066768994627799</v>
      </c>
      <c r="Q793" s="14">
        <v>846</v>
      </c>
      <c r="R793" s="14"/>
      <c r="S793" s="17">
        <v>1.7636959999999999</v>
      </c>
      <c r="T793" s="15">
        <v>44.72</v>
      </c>
      <c r="U793" s="15">
        <v>46.31</v>
      </c>
      <c r="V793" s="15">
        <v>47.9</v>
      </c>
      <c r="W793" s="14" t="s">
        <v>106</v>
      </c>
      <c r="X793" s="14">
        <v>1</v>
      </c>
      <c r="Y793" s="10">
        <f>AC793-AB793</f>
        <v>47534</v>
      </c>
      <c r="Z793" s="18">
        <v>26</v>
      </c>
      <c r="AA793" s="18">
        <v>82</v>
      </c>
      <c r="AB793" s="18">
        <v>0</v>
      </c>
      <c r="AC793" s="18">
        <v>47534</v>
      </c>
      <c r="AD793" s="1" t="s">
        <v>4355</v>
      </c>
      <c r="AE793" s="1" t="s">
        <v>4356</v>
      </c>
      <c r="AF793" s="4">
        <v>7.6</v>
      </c>
      <c r="AG793" s="4">
        <v>7.56</v>
      </c>
    </row>
    <row r="794" spans="1:33" ht="47.25" customHeight="1" x14ac:dyDescent="0.25">
      <c r="A794" s="10" t="s">
        <v>6515</v>
      </c>
      <c r="B794" s="11" t="s">
        <v>33</v>
      </c>
      <c r="C794" s="12" t="s">
        <v>6516</v>
      </c>
      <c r="D794" s="27"/>
      <c r="E794" s="14" t="s">
        <v>35</v>
      </c>
      <c r="F794" s="11" t="str">
        <f>HYPERLINK("https://redirect.sdcdeals.com/redirect?destination=https%3A%2F%2Fwww.amazon.com%2Fdp%2FB0BGVCSDHX%3Fth%3D1%26psc%3D1%26tag%3Dsdcdeals03-20", "Amazon Link")</f>
        <v>Amazon Link</v>
      </c>
      <c r="G794" s="11" t="s">
        <v>36</v>
      </c>
      <c r="H794" s="14" t="s">
        <v>6517</v>
      </c>
      <c r="I794" s="11" t="str">
        <f>HYPERLINK("https://redirect.sdcdeals.com/redirect?code=763034&amp;mavely=https://mavely.app.link/e/bhESV2wGrGb&amp;destination=https%3A%2F%2Fwww.kohls.com%2Fsearch.jsp%3Fsubmit-search%3Dweb-regular%26search%3D73028251", "Retail Link")</f>
        <v>Retail Link</v>
      </c>
      <c r="J794" s="14" t="s">
        <v>6518</v>
      </c>
      <c r="K794" s="13" t="s">
        <v>6519</v>
      </c>
      <c r="L794" s="15">
        <v>21.6</v>
      </c>
      <c r="M794" s="15">
        <v>46.01</v>
      </c>
      <c r="N794" s="15">
        <v>9.9484999999999992</v>
      </c>
      <c r="O794" s="15">
        <f>V794-M794</f>
        <v>11.590000000000003</v>
      </c>
      <c r="P794" s="16">
        <f>N794/L794</f>
        <v>0.46057870370370363</v>
      </c>
      <c r="Q794" s="14">
        <v>116143</v>
      </c>
      <c r="R794" s="14"/>
      <c r="S794" s="17">
        <v>1.0031021</v>
      </c>
      <c r="T794" s="15">
        <v>46.01</v>
      </c>
      <c r="U794" s="15">
        <v>54.66</v>
      </c>
      <c r="V794" s="15">
        <v>57.6</v>
      </c>
      <c r="W794" s="14" t="s">
        <v>164</v>
      </c>
      <c r="X794" s="14">
        <v>16</v>
      </c>
      <c r="Y794" s="10">
        <f>AC794-AB794</f>
        <v>61</v>
      </c>
      <c r="Z794" s="18">
        <v>40</v>
      </c>
      <c r="AA794" s="18">
        <v>100</v>
      </c>
      <c r="AB794" s="18">
        <v>0</v>
      </c>
      <c r="AC794" s="18">
        <v>61</v>
      </c>
      <c r="AD794" s="1" t="s">
        <v>6520</v>
      </c>
      <c r="AE794" s="1" t="s">
        <v>6521</v>
      </c>
      <c r="AF794" s="4">
        <v>7.83</v>
      </c>
      <c r="AG794" s="4">
        <v>7.56</v>
      </c>
    </row>
    <row r="795" spans="1:33" ht="47.25" customHeight="1" x14ac:dyDescent="0.25">
      <c r="A795" s="10" t="s">
        <v>1611</v>
      </c>
      <c r="B795" s="11" t="s">
        <v>33</v>
      </c>
      <c r="C795" s="12" t="s">
        <v>1612</v>
      </c>
      <c r="D795" s="27"/>
      <c r="E795" s="14" t="s">
        <v>35</v>
      </c>
      <c r="F795" s="11" t="str">
        <f>HYPERLINK("https://redirect.sdcdeals.com/redirect?destination=https%3A%2F%2Fwww.amazon.com%2Fdp%2FB0BFTWWDR3%3Fth%3D1%26psc%3D1%26tag%3Dsdcdeals03-20", "Amazon Link")</f>
        <v>Amazon Link</v>
      </c>
      <c r="G795" s="11" t="s">
        <v>36</v>
      </c>
      <c r="H795" s="14" t="s">
        <v>1613</v>
      </c>
      <c r="I795" s="11" t="str">
        <f>HYPERLINK("https://redirect.sdcdeals.com/redirect?code=763034&amp;mavely=https://mavely.app.link/e/bhESV2wGrGb&amp;destination=https%3A%2F%2Fwww.kohls.com%2Fsearch.jsp%3Fsubmit-search%3Dweb-regular%26search%3D71786096", "Retail Link")</f>
        <v>Retail Link</v>
      </c>
      <c r="J795" s="14" t="s">
        <v>1614</v>
      </c>
      <c r="K795" s="13" t="s">
        <v>1615</v>
      </c>
      <c r="L795" s="15">
        <v>44.095999999999997</v>
      </c>
      <c r="M795" s="15">
        <v>91.54</v>
      </c>
      <c r="N795" s="15">
        <v>20.303000000000001</v>
      </c>
      <c r="O795" s="15">
        <f>V795-M795</f>
        <v>15.169999999999987</v>
      </c>
      <c r="P795" s="16">
        <f>N795/L795</f>
        <v>0.46042724963715537</v>
      </c>
      <c r="Q795" s="14">
        <v>2197019</v>
      </c>
      <c r="R795" s="14"/>
      <c r="S795" s="17">
        <v>1.64905576</v>
      </c>
      <c r="T795" s="15">
        <v>91.54</v>
      </c>
      <c r="U795" s="15">
        <v>118.59</v>
      </c>
      <c r="V795" s="15">
        <v>106.71</v>
      </c>
      <c r="W795" s="14" t="s">
        <v>316</v>
      </c>
      <c r="X795" s="14">
        <v>1</v>
      </c>
      <c r="Y795" s="10">
        <f>AC795-AB795</f>
        <v>2</v>
      </c>
      <c r="Z795" s="18">
        <v>3</v>
      </c>
      <c r="AA795" s="18">
        <v>3</v>
      </c>
      <c r="AB795" s="18"/>
      <c r="AC795" s="18">
        <v>2</v>
      </c>
      <c r="AD795" s="1" t="s">
        <v>1616</v>
      </c>
      <c r="AE795" s="1" t="s">
        <v>700</v>
      </c>
      <c r="AF795" s="4">
        <v>15.56</v>
      </c>
      <c r="AG795" s="4">
        <v>13.41</v>
      </c>
    </row>
    <row r="796" spans="1:33" ht="47.25" customHeight="1" x14ac:dyDescent="0.25">
      <c r="A796" s="10" t="s">
        <v>1372</v>
      </c>
      <c r="B796" s="11" t="s">
        <v>33</v>
      </c>
      <c r="C796" s="12" t="s">
        <v>1373</v>
      </c>
      <c r="D796" s="27"/>
      <c r="E796" s="14" t="s">
        <v>35</v>
      </c>
      <c r="F796" s="11" t="str">
        <f>HYPERLINK("https://redirect.sdcdeals.com/redirect?destination=https%3A%2F%2Fwww.amazon.com%2Fdp%2FB0B9XGMKS7%3Fth%3D1%26psc%3D1%26tag%3Dsdcdeals03-20", "Amazon Link")</f>
        <v>Amazon Link</v>
      </c>
      <c r="G796" s="11" t="s">
        <v>36</v>
      </c>
      <c r="H796" s="14" t="s">
        <v>1374</v>
      </c>
      <c r="I796" s="11" t="str">
        <f>HYPERLINK("https://redirect.sdcdeals.com/redirect?code=763034&amp;mavely=https://mavely.app.link/e/bhESV2wGrGb&amp;destination=https%3A%2F%2Fwww.kohls.com%2Fsearch.jsp%3Fsubmit-search%3Dweb-regular%26search%3D46697058", "Retail Link")</f>
        <v>Retail Link</v>
      </c>
      <c r="J796" s="14" t="s">
        <v>1375</v>
      </c>
      <c r="K796" s="13" t="s">
        <v>1376</v>
      </c>
      <c r="L796" s="15">
        <v>9.3920000000000012</v>
      </c>
      <c r="M796" s="15">
        <v>22.88</v>
      </c>
      <c r="N796" s="15">
        <v>4.2859999999999996</v>
      </c>
      <c r="O796" s="15">
        <f>V796-M796</f>
        <v>8.1999999999999993</v>
      </c>
      <c r="P796" s="16">
        <f>N796/L796</f>
        <v>0.45634582623509357</v>
      </c>
      <c r="Q796" s="14">
        <v>13506807</v>
      </c>
      <c r="R796" s="14"/>
      <c r="S796" s="17">
        <v>1.0097159600000001</v>
      </c>
      <c r="T796" s="15">
        <v>22.88</v>
      </c>
      <c r="U796" s="15">
        <v>25.32</v>
      </c>
      <c r="V796" s="15">
        <v>31.08</v>
      </c>
      <c r="W796" s="14" t="s">
        <v>269</v>
      </c>
      <c r="X796" s="14">
        <v>1</v>
      </c>
      <c r="Y796" s="10">
        <f>AC796-AB796</f>
        <v>0</v>
      </c>
      <c r="Z796" s="18">
        <v>0</v>
      </c>
      <c r="AA796" s="18">
        <v>0</v>
      </c>
      <c r="AB796" s="18"/>
      <c r="AC796" s="18"/>
      <c r="AE796" s="1" t="s">
        <v>76</v>
      </c>
      <c r="AF796" s="4">
        <v>3.43</v>
      </c>
      <c r="AG796" s="4">
        <v>5.77</v>
      </c>
    </row>
    <row r="797" spans="1:33" ht="47.25" customHeight="1" x14ac:dyDescent="0.25">
      <c r="A797" s="10" t="s">
        <v>1377</v>
      </c>
      <c r="B797" s="11" t="s">
        <v>33</v>
      </c>
      <c r="C797" s="12" t="s">
        <v>1378</v>
      </c>
      <c r="D797" s="27"/>
      <c r="E797" s="14" t="s">
        <v>35</v>
      </c>
      <c r="F797" s="11" t="str">
        <f>HYPERLINK("https://redirect.sdcdeals.com/redirect?destination=https%3A%2F%2Fwww.amazon.com%2Fdp%2FB0B8HJDTP1%3Fth%3D1%26psc%3D1%26tag%3Dsdcdeals03-20", "Amazon Link")</f>
        <v>Amazon Link</v>
      </c>
      <c r="G797" s="11" t="s">
        <v>36</v>
      </c>
      <c r="H797" s="14" t="s">
        <v>1379</v>
      </c>
      <c r="I797" s="11" t="str">
        <f>HYPERLINK("https://redirect.sdcdeals.com/redirect?code=763034&amp;mavely=https://mavely.app.link/e/bhESV2wGrGb&amp;destination=https%3A%2F%2Fwww.kohls.com%2Fsearch.jsp%3Fsubmit-search%3Dweb-regular%26search%3D46697059", "Retail Link")</f>
        <v>Retail Link</v>
      </c>
      <c r="J797" s="14" t="s">
        <v>1375</v>
      </c>
      <c r="K797" s="13" t="s">
        <v>1380</v>
      </c>
      <c r="L797" s="15">
        <v>9.3920000000000012</v>
      </c>
      <c r="M797" s="15">
        <v>22.88</v>
      </c>
      <c r="N797" s="15">
        <v>4.2859999999999996</v>
      </c>
      <c r="O797" s="15">
        <f>V797-M797</f>
        <v>7.8500000000000014</v>
      </c>
      <c r="P797" s="16">
        <f>N797/L797</f>
        <v>0.45634582623509357</v>
      </c>
      <c r="Q797" s="14">
        <v>13506807</v>
      </c>
      <c r="R797" s="14"/>
      <c r="S797" s="17">
        <v>1.06042222</v>
      </c>
      <c r="T797" s="15">
        <v>22.88</v>
      </c>
      <c r="U797" s="15">
        <v>24.73</v>
      </c>
      <c r="V797" s="15">
        <v>30.73</v>
      </c>
      <c r="W797" s="14" t="s">
        <v>60</v>
      </c>
      <c r="X797" s="14">
        <v>1</v>
      </c>
      <c r="Y797" s="10">
        <f>AC797-AB797</f>
        <v>0</v>
      </c>
      <c r="Z797" s="18">
        <v>0</v>
      </c>
      <c r="AA797" s="18">
        <v>0</v>
      </c>
      <c r="AB797" s="18"/>
      <c r="AC797" s="18"/>
      <c r="AE797" s="1" t="s">
        <v>76</v>
      </c>
      <c r="AF797" s="4">
        <v>3.43</v>
      </c>
      <c r="AG797" s="4">
        <v>5.77</v>
      </c>
    </row>
    <row r="798" spans="1:33" ht="47.25" customHeight="1" x14ac:dyDescent="0.25">
      <c r="A798" s="10" t="s">
        <v>7253</v>
      </c>
      <c r="B798" s="11" t="s">
        <v>33</v>
      </c>
      <c r="C798" s="12" t="s">
        <v>7254</v>
      </c>
      <c r="D798" s="27"/>
      <c r="E798" s="14" t="s">
        <v>35</v>
      </c>
      <c r="F798" s="11" t="str">
        <f>HYPERLINK("https://redirect.sdcdeals.com/redirect?destination=https%3A%2F%2Fwww.amazon.com%2Fdp%2FB0B74H9XVV%3Fth%3D1%26psc%3D1%26tag%3Dsdcdeals03-20", "Amazon Link")</f>
        <v>Amazon Link</v>
      </c>
      <c r="G798" s="11" t="s">
        <v>36</v>
      </c>
      <c r="H798" s="14" t="s">
        <v>7255</v>
      </c>
      <c r="I798" s="11" t="str">
        <f>HYPERLINK("https://redirect.sdcdeals.com/redirect?code=763034&amp;mavely=https://mavely.app.link/e/bhESV2wGrGb&amp;destination=https%3A%2F%2Fwww.kohls.com%2Fsearch.jsp%3Fsubmit-search%3Dweb-regular%26search%3D82001260", "Retail Link")</f>
        <v>Retail Link</v>
      </c>
      <c r="J798" s="14" t="s">
        <v>7256</v>
      </c>
      <c r="K798" s="13" t="s">
        <v>7257</v>
      </c>
      <c r="L798" s="15">
        <v>9.9920000000000009</v>
      </c>
      <c r="M798" s="15">
        <v>23.99</v>
      </c>
      <c r="N798" s="15">
        <v>4.5294999999999952</v>
      </c>
      <c r="O798" s="15">
        <f>V798-M798</f>
        <v>10.66</v>
      </c>
      <c r="P798" s="16">
        <f>N798/L798</f>
        <v>0.45331265012009558</v>
      </c>
      <c r="Q798" s="14">
        <v>690855</v>
      </c>
      <c r="R798" s="14"/>
      <c r="S798" s="17">
        <v>1.1706532199999999</v>
      </c>
      <c r="T798" s="15">
        <v>23.99</v>
      </c>
      <c r="U798" s="15">
        <v>29.13</v>
      </c>
      <c r="V798" s="15">
        <v>34.65</v>
      </c>
      <c r="W798" s="14" t="s">
        <v>250</v>
      </c>
      <c r="X798" s="14">
        <v>10</v>
      </c>
      <c r="Y798" s="10">
        <f>AC798-AB798</f>
        <v>205</v>
      </c>
      <c r="Z798" s="18">
        <v>8</v>
      </c>
      <c r="AA798" s="18">
        <v>40</v>
      </c>
      <c r="AB798" s="18">
        <v>3</v>
      </c>
      <c r="AC798" s="18">
        <v>208</v>
      </c>
      <c r="AD798" s="1" t="s">
        <v>7258</v>
      </c>
      <c r="AE798" s="1" t="s">
        <v>1490</v>
      </c>
      <c r="AF798" s="4">
        <v>3.6</v>
      </c>
      <c r="AG798" s="4">
        <v>5.87</v>
      </c>
    </row>
    <row r="799" spans="1:33" ht="47.25" customHeight="1" x14ac:dyDescent="0.25">
      <c r="A799" s="10" t="s">
        <v>7389</v>
      </c>
      <c r="B799" s="11" t="s">
        <v>33</v>
      </c>
      <c r="C799" s="12" t="s">
        <v>7390</v>
      </c>
      <c r="D799" s="27"/>
      <c r="E799" s="14" t="s">
        <v>35</v>
      </c>
      <c r="F799" s="11" t="str">
        <f>HYPERLINK("https://redirect.sdcdeals.com/redirect?destination=https%3A%2F%2Fwww.amazon.com%2Fdp%2FB0B1K95YK8%3Fth%3D1%26psc%3D1%26tag%3Dsdcdeals03-20", "Amazon Link")</f>
        <v>Amazon Link</v>
      </c>
      <c r="G799" s="11" t="s">
        <v>36</v>
      </c>
      <c r="H799" s="14" t="s">
        <v>7391</v>
      </c>
      <c r="I799" s="11" t="str">
        <f>HYPERLINK("https://redirect.sdcdeals.com/redirect?code=763034&amp;mavely=https://mavely.app.link/e/bhESV2wGrGb&amp;destination=https%3A%2F%2Fwww.kohls.com%2Fsearch.jsp%3Fsubmit-search%3Dweb-regular%26search%3D83402103", "Retail Link")</f>
        <v>Retail Link</v>
      </c>
      <c r="J799" s="14" t="s">
        <v>7375</v>
      </c>
      <c r="K799" s="13" t="s">
        <v>7392</v>
      </c>
      <c r="L799" s="15">
        <v>14.183999999999999</v>
      </c>
      <c r="M799" s="15">
        <v>31.3</v>
      </c>
      <c r="N799" s="15">
        <v>6.3710000000000004</v>
      </c>
      <c r="O799" s="15">
        <f>V799-M799</f>
        <v>11.66</v>
      </c>
      <c r="P799" s="16">
        <f>N799/L799</f>
        <v>0.44916807670614783</v>
      </c>
      <c r="Q799" s="14">
        <v>109227</v>
      </c>
      <c r="R799" s="14"/>
      <c r="S799" s="17">
        <v>0.60406588000000006</v>
      </c>
      <c r="T799" s="15">
        <v>31.3</v>
      </c>
      <c r="U799" s="15">
        <v>42.02</v>
      </c>
      <c r="V799" s="15">
        <v>42.96</v>
      </c>
      <c r="W799" s="14" t="s">
        <v>576</v>
      </c>
      <c r="X799" s="14">
        <v>1</v>
      </c>
      <c r="Y799" s="10">
        <f>AC799-AB799</f>
        <v>460</v>
      </c>
      <c r="Z799" s="18">
        <v>18</v>
      </c>
      <c r="AA799" s="18">
        <v>48</v>
      </c>
      <c r="AB799" s="18">
        <v>2</v>
      </c>
      <c r="AC799" s="18">
        <v>462</v>
      </c>
      <c r="AD799" s="1" t="s">
        <v>7383</v>
      </c>
      <c r="AE799" s="1" t="s">
        <v>7384</v>
      </c>
      <c r="AF799" s="4">
        <v>3.12</v>
      </c>
      <c r="AG799" s="4">
        <v>6.05</v>
      </c>
    </row>
    <row r="800" spans="1:33" ht="47.25" customHeight="1" x14ac:dyDescent="0.25">
      <c r="A800" s="10" t="s">
        <v>6156</v>
      </c>
      <c r="B800" s="11" t="s">
        <v>33</v>
      </c>
      <c r="C800" s="12" t="s">
        <v>6157</v>
      </c>
      <c r="D800" s="27"/>
      <c r="E800" s="14" t="s">
        <v>35</v>
      </c>
      <c r="F800" s="11" t="str">
        <f>HYPERLINK("https://redirect.sdcdeals.com/redirect?destination=https%3A%2F%2Fwww.amazon.com%2Fdp%2FB0CL5QTWDN%3Fth%3D1%26psc%3D1%26tag%3Dsdcdeals03-20", "Amazon Link")</f>
        <v>Amazon Link</v>
      </c>
      <c r="G800" s="11" t="s">
        <v>36</v>
      </c>
      <c r="H800" s="14" t="s">
        <v>6158</v>
      </c>
      <c r="I800" s="11" t="str">
        <f>HYPERLINK("https://redirect.sdcdeals.com/redirect?code=763034&amp;mavely=https://mavely.app.link/e/bhESV2wGrGb&amp;destination=https%3A%2F%2Fwww.kohls.com%2Fsearch.jsp%3Fsubmit-search%3Dweb-regular%26search%3D62953090", "Retail Link")</f>
        <v>Retail Link</v>
      </c>
      <c r="J800" s="14" t="s">
        <v>6148</v>
      </c>
      <c r="K800" s="13" t="s">
        <v>6159</v>
      </c>
      <c r="L800" s="15">
        <v>7.6000000000000014</v>
      </c>
      <c r="M800" s="15">
        <v>16.98</v>
      </c>
      <c r="N800" s="15">
        <v>3.412999999999998</v>
      </c>
      <c r="O800" s="15">
        <f>V800-M800</f>
        <v>3.41</v>
      </c>
      <c r="P800" s="16">
        <f>N800/L800</f>
        <v>0.44907894736842069</v>
      </c>
      <c r="Q800" s="14">
        <v>53837</v>
      </c>
      <c r="R800" s="14"/>
      <c r="S800" s="17">
        <v>0.39903622</v>
      </c>
      <c r="T800" s="15">
        <v>16.98</v>
      </c>
      <c r="U800" s="15">
        <v>19.05</v>
      </c>
      <c r="V800" s="15">
        <v>20.39</v>
      </c>
      <c r="W800" s="14" t="s">
        <v>1847</v>
      </c>
      <c r="X800" s="14">
        <v>13</v>
      </c>
      <c r="Y800" s="10">
        <f>AC800-AB800</f>
        <v>0</v>
      </c>
      <c r="Z800" s="18">
        <v>7</v>
      </c>
      <c r="AA800" s="18">
        <v>72</v>
      </c>
      <c r="AB800" s="18">
        <v>0</v>
      </c>
      <c r="AC800" s="18"/>
      <c r="AE800" s="1" t="s">
        <v>6150</v>
      </c>
      <c r="AF800" s="4">
        <v>1.7</v>
      </c>
      <c r="AG800" s="4">
        <v>3.42</v>
      </c>
    </row>
    <row r="801" spans="1:33" ht="47.25" customHeight="1" x14ac:dyDescent="0.25">
      <c r="A801" s="10" t="s">
        <v>7108</v>
      </c>
      <c r="B801" s="11" t="s">
        <v>33</v>
      </c>
      <c r="C801" s="12" t="s">
        <v>7109</v>
      </c>
      <c r="D801" s="27"/>
      <c r="E801" s="14" t="s">
        <v>35</v>
      </c>
      <c r="F801" s="11" t="str">
        <f>HYPERLINK("https://redirect.sdcdeals.com/redirect?destination=https%3A%2F%2Fwww.amazon.com%2Fdp%2FB0CBQKDRPF%3Fth%3D1%26psc%3D1%26tag%3Dsdcdeals03-20", "Amazon Link")</f>
        <v>Amazon Link</v>
      </c>
      <c r="G801" s="11" t="s">
        <v>36</v>
      </c>
      <c r="H801" s="14" t="s">
        <v>7110</v>
      </c>
      <c r="I801" s="11" t="str">
        <f>HYPERLINK("https://redirect.sdcdeals.com/redirect?code=763034&amp;mavely=https://mavely.app.link/e/bhESV2wGrGb&amp;destination=https%3A%2F%2Fwww.kohls.com%2Fsearch.jsp%3Fsubmit-search%3Dweb-regular%26search%3D57675864", "Retail Link")</f>
        <v>Retail Link</v>
      </c>
      <c r="J801" s="14" t="s">
        <v>7111</v>
      </c>
      <c r="K801" s="13" t="s">
        <v>7112</v>
      </c>
      <c r="L801" s="15">
        <v>8.16</v>
      </c>
      <c r="M801" s="15">
        <v>20.399999999999999</v>
      </c>
      <c r="N801" s="15">
        <v>3.66</v>
      </c>
      <c r="O801" s="15">
        <f>V801-M801</f>
        <v>11.450000000000003</v>
      </c>
      <c r="P801" s="16">
        <f>N801/L801</f>
        <v>0.4485294117647059</v>
      </c>
      <c r="Q801" s="14">
        <v>1698494</v>
      </c>
      <c r="R801" s="14"/>
      <c r="S801" s="17">
        <v>0.57099657999999998</v>
      </c>
      <c r="T801" s="15">
        <v>20.399999999999999</v>
      </c>
      <c r="U801" s="15">
        <v>26.55</v>
      </c>
      <c r="V801" s="15">
        <v>31.85</v>
      </c>
      <c r="W801" s="14" t="s">
        <v>113</v>
      </c>
      <c r="X801" s="14">
        <v>1</v>
      </c>
      <c r="Y801" s="10">
        <f>AC801-AB801</f>
        <v>4</v>
      </c>
      <c r="Z801" s="18">
        <v>4</v>
      </c>
      <c r="AA801" s="18">
        <v>15</v>
      </c>
      <c r="AB801" s="18">
        <v>0</v>
      </c>
      <c r="AC801" s="18">
        <v>4</v>
      </c>
      <c r="AD801" s="1" t="s">
        <v>7113</v>
      </c>
      <c r="AE801" s="1" t="s">
        <v>4659</v>
      </c>
      <c r="AG801" s="4">
        <v>5.52</v>
      </c>
    </row>
    <row r="802" spans="1:33" ht="47.25" hidden="1" customHeight="1" x14ac:dyDescent="0.25">
      <c r="A802" s="10" t="s">
        <v>2720</v>
      </c>
      <c r="B802" s="11" t="s">
        <v>33</v>
      </c>
      <c r="C802" s="12" t="s">
        <v>2721</v>
      </c>
      <c r="D802" s="27"/>
      <c r="E802" s="14" t="s">
        <v>35</v>
      </c>
      <c r="F802" s="11" t="str">
        <f>HYPERLINK("https://redirect.sdcdeals.com/redirect?destination=https%3A%2F%2Fwww.amazon.com%2Fdp%2FB0CCBZYZG4%3Fth%3D1%26psc%3D1%26tag%3Dsdcdeals03-20", "Amazon Link")</f>
        <v>Amazon Link</v>
      </c>
      <c r="G802" s="11" t="s">
        <v>36</v>
      </c>
      <c r="H802" s="14" t="s">
        <v>2722</v>
      </c>
      <c r="I802" s="11" t="str">
        <f>HYPERLINK("https://redirect.sdcdeals.com/redirect?code=763034&amp;mavely=https://mavely.app.link/e/bhESV2wGrGb&amp;destination=https%3A%2F%2Fwww.kohls.com%2Fsearch.jsp%3Fsubmit-search%3Dweb-regular%26search%3D53952528", "Retail Link")</f>
        <v>Retail Link</v>
      </c>
      <c r="J802" s="14" t="s">
        <v>2705</v>
      </c>
      <c r="K802" s="13" t="s">
        <v>2723</v>
      </c>
      <c r="L802" s="15">
        <v>13.2</v>
      </c>
      <c r="M802" s="15">
        <v>30.52</v>
      </c>
      <c r="N802" s="15">
        <v>5.9120000000000026</v>
      </c>
      <c r="O802" s="15">
        <f>V802-M802</f>
        <v>-4.629999999999999</v>
      </c>
      <c r="P802" s="16">
        <f>N802/L802</f>
        <v>0.4478787878787881</v>
      </c>
      <c r="Q802" s="14"/>
      <c r="R802" s="14"/>
      <c r="S802" s="17">
        <v>0.79366320000000001</v>
      </c>
      <c r="T802" s="15">
        <v>30.52</v>
      </c>
      <c r="U802" s="15">
        <v>33.67</v>
      </c>
      <c r="V802" s="15">
        <v>25.89</v>
      </c>
      <c r="W802" s="14" t="s">
        <v>199</v>
      </c>
      <c r="X802" s="14">
        <v>1</v>
      </c>
      <c r="Y802" s="10">
        <f>AC802-AB802</f>
        <v>2</v>
      </c>
      <c r="Z802" s="18">
        <v>-1</v>
      </c>
      <c r="AA802" s="18">
        <v>-1</v>
      </c>
      <c r="AB802" s="18"/>
      <c r="AC802" s="18">
        <v>2</v>
      </c>
      <c r="AD802" s="1" t="s">
        <v>2724</v>
      </c>
      <c r="AE802" s="1" t="s">
        <v>2725</v>
      </c>
      <c r="AG802" s="4">
        <v>6.83</v>
      </c>
    </row>
    <row r="803" spans="1:33" ht="47.25" customHeight="1" x14ac:dyDescent="0.25">
      <c r="A803" s="10" t="s">
        <v>5982</v>
      </c>
      <c r="B803" s="11" t="s">
        <v>33</v>
      </c>
      <c r="C803" s="12" t="s">
        <v>5983</v>
      </c>
      <c r="D803" s="27"/>
      <c r="E803" s="14" t="s">
        <v>35</v>
      </c>
      <c r="F803" s="11" t="str">
        <f>HYPERLINK("https://redirect.sdcdeals.com/redirect?destination=https%3A%2F%2Fwww.amazon.com%2Fdp%2FB0BFVKHYTR%3Fth%3D1%26psc%3D1%26tag%3Dsdcdeals03-20", "Amazon Link")</f>
        <v>Amazon Link</v>
      </c>
      <c r="G803" s="11" t="s">
        <v>36</v>
      </c>
      <c r="H803" s="14" t="s">
        <v>5984</v>
      </c>
      <c r="I803" s="11" t="str">
        <f>HYPERLINK("https://redirect.sdcdeals.com/redirect?code=763034&amp;mavely=https://mavely.app.link/e/bhESV2wGrGb&amp;destination=https%3A%2F%2Fwww.kohls.com%2Fsearch.jsp%3Fsubmit-search%3Dweb-regular%26search%3D72822619", "Retail Link")</f>
        <v>Retail Link</v>
      </c>
      <c r="J803" s="14" t="s">
        <v>5974</v>
      </c>
      <c r="K803" s="13" t="s">
        <v>5985</v>
      </c>
      <c r="L803" s="15">
        <v>44.095999999999997</v>
      </c>
      <c r="M803" s="15">
        <v>98.48</v>
      </c>
      <c r="N803" s="15">
        <v>19.742000000000001</v>
      </c>
      <c r="O803" s="15">
        <f>V803-M803</f>
        <v>-33.930000000000007</v>
      </c>
      <c r="P803" s="16">
        <f>N803/L803</f>
        <v>0.44770500725689411</v>
      </c>
      <c r="Q803" s="14">
        <v>2062384</v>
      </c>
      <c r="R803" s="14"/>
      <c r="S803" s="17">
        <v>1.6821250599999999</v>
      </c>
      <c r="T803" s="15">
        <v>98.48</v>
      </c>
      <c r="U803" s="15">
        <v>47.45</v>
      </c>
      <c r="V803" s="15">
        <v>64.55</v>
      </c>
      <c r="W803" s="14" t="s">
        <v>245</v>
      </c>
      <c r="X803" s="14">
        <v>1</v>
      </c>
      <c r="Y803" s="10">
        <f>AC803-AB803</f>
        <v>7</v>
      </c>
      <c r="Z803" s="18">
        <v>2</v>
      </c>
      <c r="AA803" s="18">
        <v>12</v>
      </c>
      <c r="AB803" s="18">
        <v>0</v>
      </c>
      <c r="AC803" s="18">
        <v>7</v>
      </c>
      <c r="AD803" s="1" t="s">
        <v>5976</v>
      </c>
      <c r="AE803" s="1" t="s">
        <v>5986</v>
      </c>
      <c r="AF803" s="4">
        <v>16.739999999999998</v>
      </c>
      <c r="AG803" s="4">
        <v>19.87</v>
      </c>
    </row>
    <row r="804" spans="1:33" ht="47.25" customHeight="1" x14ac:dyDescent="0.25">
      <c r="A804" s="10" t="s">
        <v>1519</v>
      </c>
      <c r="B804" s="11" t="s">
        <v>33</v>
      </c>
      <c r="C804" s="12" t="s">
        <v>1520</v>
      </c>
      <c r="D804" s="27"/>
      <c r="E804" s="14" t="s">
        <v>35</v>
      </c>
      <c r="F804" s="11" t="str">
        <f>HYPERLINK("https://redirect.sdcdeals.com/redirect?destination=https%3A%2F%2Fwww.amazon.com%2Fdp%2FB0BM1RLZFQ%3Fth%3D1%26psc%3D1%26tag%3Dsdcdeals03-20", "Amazon Link")</f>
        <v>Amazon Link</v>
      </c>
      <c r="G804" s="11" t="s">
        <v>36</v>
      </c>
      <c r="H804" s="14" t="s">
        <v>1521</v>
      </c>
      <c r="I804" s="11" t="str">
        <f>HYPERLINK("https://redirect.sdcdeals.com/redirect?code=763034&amp;mavely=https://mavely.app.link/e/bhESV2wGrGb&amp;destination=https%3A%2F%2Fwww.kohls.com%2Fsearch.jsp%3Fsubmit-search%3Dweb-regular%26search%3D55703551", "Retail Link")</f>
        <v>Retail Link</v>
      </c>
      <c r="J804" s="14" t="s">
        <v>1517</v>
      </c>
      <c r="K804" s="13" t="s">
        <v>1522</v>
      </c>
      <c r="L804" s="15">
        <v>6.9920000000000009</v>
      </c>
      <c r="M804" s="15">
        <v>19.21</v>
      </c>
      <c r="N804" s="15">
        <v>3.1265000000000001</v>
      </c>
      <c r="O804" s="15">
        <f>V804-M804</f>
        <v>0.42999999999999972</v>
      </c>
      <c r="P804" s="16">
        <f>N804/L804</f>
        <v>0.44715389016018303</v>
      </c>
      <c r="Q804" s="14">
        <v>143249</v>
      </c>
      <c r="R804" s="14"/>
      <c r="S804" s="17">
        <v>0.14991415999999999</v>
      </c>
      <c r="T804" s="15">
        <v>19.21</v>
      </c>
      <c r="U804" s="15">
        <v>19.28</v>
      </c>
      <c r="V804" s="15">
        <v>19.64</v>
      </c>
      <c r="W804" s="14" t="s">
        <v>316</v>
      </c>
      <c r="X804" s="14">
        <v>4</v>
      </c>
      <c r="Y804" s="10">
        <f>AC804-AB804</f>
        <v>31</v>
      </c>
      <c r="Z804" s="18">
        <v>6</v>
      </c>
      <c r="AA804" s="18">
        <v>33</v>
      </c>
      <c r="AB804" s="18">
        <v>1</v>
      </c>
      <c r="AC804" s="18">
        <v>32</v>
      </c>
      <c r="AF804" s="4">
        <v>2.88</v>
      </c>
      <c r="AG804" s="4">
        <v>6.21</v>
      </c>
    </row>
    <row r="805" spans="1:33" ht="47.25" customHeight="1" x14ac:dyDescent="0.25">
      <c r="A805" s="10" t="s">
        <v>4667</v>
      </c>
      <c r="B805" s="11" t="s">
        <v>33</v>
      </c>
      <c r="C805" s="12" t="s">
        <v>4668</v>
      </c>
      <c r="D805" s="27"/>
      <c r="E805" s="14" t="s">
        <v>35</v>
      </c>
      <c r="F805" s="11" t="str">
        <f>HYPERLINK("https://redirect.sdcdeals.com/redirect?destination=https%3A%2F%2Fwww.amazon.com%2Fdp%2FB0CKWGQNYX%3Fth%3D1%26psc%3D1%26tag%3Dsdcdeals03-20", "Amazon Link")</f>
        <v>Amazon Link</v>
      </c>
      <c r="G805" s="11" t="s">
        <v>36</v>
      </c>
      <c r="H805" s="14" t="s">
        <v>4669</v>
      </c>
      <c r="I805" s="11" t="str">
        <f>HYPERLINK("https://redirect.sdcdeals.com/redirect?code=763034&amp;mavely=https://mavely.app.link/e/bhESV2wGrGb&amp;destination=https%3A%2F%2Fwww.kohls.com%2Fsearch.jsp%3Fsubmit-search%3Dweb-regular%26search%3D30108387", "Retail Link")</f>
        <v>Retail Link</v>
      </c>
      <c r="J805" s="14" t="s">
        <v>4663</v>
      </c>
      <c r="K805" s="13" t="s">
        <v>4670</v>
      </c>
      <c r="L805" s="15">
        <v>6.8000000000000007</v>
      </c>
      <c r="M805" s="15">
        <v>16.989999999999998</v>
      </c>
      <c r="N805" s="15">
        <v>3.0314999999999981</v>
      </c>
      <c r="O805" s="15">
        <f>V805-M805</f>
        <v>3.990000000000002</v>
      </c>
      <c r="P805" s="16">
        <f>N805/L805</f>
        <v>0.44580882352941142</v>
      </c>
      <c r="Q805" s="14">
        <v>53837</v>
      </c>
      <c r="R805" s="14"/>
      <c r="S805" s="17">
        <v>0.33069300000000001</v>
      </c>
      <c r="T805" s="15">
        <v>16.989999999999998</v>
      </c>
      <c r="U805" s="15">
        <v>18.03</v>
      </c>
      <c r="V805" s="15">
        <v>20.98</v>
      </c>
      <c r="W805" s="14" t="s">
        <v>74</v>
      </c>
      <c r="X805" s="14">
        <v>17</v>
      </c>
      <c r="Y805" s="10">
        <f>AC805-AB805</f>
        <v>561</v>
      </c>
      <c r="Z805" s="18">
        <v>10</v>
      </c>
      <c r="AA805" s="18">
        <v>75</v>
      </c>
      <c r="AB805" s="18">
        <v>0</v>
      </c>
      <c r="AC805" s="18">
        <v>561</v>
      </c>
      <c r="AD805" s="1" t="s">
        <v>4665</v>
      </c>
      <c r="AE805" s="1" t="s">
        <v>4666</v>
      </c>
      <c r="AF805" s="4">
        <v>1.7</v>
      </c>
      <c r="AG805" s="4">
        <v>4.6100000000000003</v>
      </c>
    </row>
    <row r="806" spans="1:33" ht="47.25" customHeight="1" x14ac:dyDescent="0.25">
      <c r="A806" s="10" t="s">
        <v>4690</v>
      </c>
      <c r="B806" s="11" t="s">
        <v>33</v>
      </c>
      <c r="C806" s="12" t="s">
        <v>4691</v>
      </c>
      <c r="D806" s="27"/>
      <c r="E806" s="14" t="s">
        <v>35</v>
      </c>
      <c r="F806" s="11" t="str">
        <f>HYPERLINK("https://redirect.sdcdeals.com/redirect?destination=https%3A%2F%2Fwww.amazon.com%2Fdp%2FB0CKWH2R2T%3Fth%3D1%26psc%3D1%26tag%3Dsdcdeals03-20", "Amazon Link")</f>
        <v>Amazon Link</v>
      </c>
      <c r="G806" s="11" t="s">
        <v>36</v>
      </c>
      <c r="H806" s="14" t="s">
        <v>4692</v>
      </c>
      <c r="I806" s="11" t="str">
        <f>HYPERLINK("https://redirect.sdcdeals.com/redirect?code=763034&amp;mavely=https://mavely.app.link/e/bhESV2wGrGb&amp;destination=https%3A%2F%2Fwww.kohls.com%2Fsearch.jsp%3Fsubmit-search%3Dweb-regular%26search%3D30108391", "Retail Link")</f>
        <v>Retail Link</v>
      </c>
      <c r="J806" s="14" t="s">
        <v>4663</v>
      </c>
      <c r="K806" s="13" t="s">
        <v>4693</v>
      </c>
      <c r="L806" s="15">
        <v>6.8000000000000007</v>
      </c>
      <c r="M806" s="15">
        <v>16.98</v>
      </c>
      <c r="N806" s="15">
        <v>3.0230000000000001</v>
      </c>
      <c r="O806" s="15">
        <f>V806-M806</f>
        <v>6.129999999999999</v>
      </c>
      <c r="P806" s="16">
        <f>N806/L806</f>
        <v>0.44455882352941173</v>
      </c>
      <c r="Q806" s="14">
        <v>65216</v>
      </c>
      <c r="R806" s="14"/>
      <c r="S806" s="17">
        <v>0.33069300000000001</v>
      </c>
      <c r="T806" s="15">
        <v>16.98</v>
      </c>
      <c r="U806" s="15">
        <v>18.2</v>
      </c>
      <c r="V806" s="15">
        <v>23.11</v>
      </c>
      <c r="W806" s="14" t="s">
        <v>835</v>
      </c>
      <c r="X806" s="14">
        <v>11</v>
      </c>
      <c r="Y806" s="10">
        <f>AC806-AB806</f>
        <v>569</v>
      </c>
      <c r="Z806" s="18">
        <v>14</v>
      </c>
      <c r="AA806" s="18">
        <v>94</v>
      </c>
      <c r="AB806" s="18">
        <v>0</v>
      </c>
      <c r="AC806" s="18">
        <v>569</v>
      </c>
      <c r="AD806" s="1" t="s">
        <v>4665</v>
      </c>
      <c r="AE806" s="1" t="s">
        <v>4694</v>
      </c>
      <c r="AG806" s="4">
        <v>4.6100000000000003</v>
      </c>
    </row>
    <row r="807" spans="1:33" ht="47.25" customHeight="1" x14ac:dyDescent="0.25">
      <c r="A807" s="10" t="s">
        <v>5249</v>
      </c>
      <c r="B807" s="11" t="s">
        <v>33</v>
      </c>
      <c r="C807" s="12" t="s">
        <v>5250</v>
      </c>
      <c r="D807" s="27"/>
      <c r="E807" s="14" t="s">
        <v>35</v>
      </c>
      <c r="F807" s="11" t="str">
        <f>HYPERLINK("https://redirect.sdcdeals.com/redirect?destination=https%3A%2F%2Fwww.amazon.com%2Fdp%2FB093G4TH2M%3Fth%3D1%26psc%3D1%26tag%3Dsdcdeals03-20", "Amazon Link")</f>
        <v>Amazon Link</v>
      </c>
      <c r="G807" s="11" t="s">
        <v>36</v>
      </c>
      <c r="H807" s="14" t="s">
        <v>5251</v>
      </c>
      <c r="I807" s="11" t="str">
        <f>HYPERLINK("https://redirect.sdcdeals.com/redirect?code=763034&amp;mavely=https://mavely.app.link/e/bhESV2wGrGb&amp;destination=https%3A%2F%2Fwww.kohls.com%2Fsearch.jsp%3Fsubmit-search%3Dweb-regular%26search%3D72098940", "Retail Link")</f>
        <v>Retail Link</v>
      </c>
      <c r="J807" s="14" t="s">
        <v>5206</v>
      </c>
      <c r="K807" s="13" t="s">
        <v>5252</v>
      </c>
      <c r="L807" s="15">
        <v>8.4</v>
      </c>
      <c r="M807" s="15">
        <v>22.04</v>
      </c>
      <c r="N807" s="15">
        <v>3.7339999999999982</v>
      </c>
      <c r="O807" s="15">
        <f>V807-M807</f>
        <v>0.10999999999999943</v>
      </c>
      <c r="P807" s="16">
        <f>N807/L807</f>
        <v>0.44452380952380927</v>
      </c>
      <c r="Q807" s="14">
        <v>109351</v>
      </c>
      <c r="R807" s="14"/>
      <c r="S807" s="17">
        <v>0.20282504000000001</v>
      </c>
      <c r="T807" s="15">
        <v>17.52</v>
      </c>
      <c r="U807" s="15">
        <v>21.76</v>
      </c>
      <c r="V807" s="15">
        <v>22.15</v>
      </c>
      <c r="W807" s="14" t="s">
        <v>316</v>
      </c>
      <c r="X807" s="14">
        <v>4</v>
      </c>
      <c r="Y807" s="10">
        <f>AC807-AB807</f>
        <v>115</v>
      </c>
      <c r="Z807" s="18">
        <v>22</v>
      </c>
      <c r="AA807" s="18">
        <v>63</v>
      </c>
      <c r="AB807" s="18">
        <v>3</v>
      </c>
      <c r="AC807" s="18">
        <v>118</v>
      </c>
      <c r="AD807" s="1" t="s">
        <v>5208</v>
      </c>
      <c r="AE807" s="1" t="s">
        <v>278</v>
      </c>
      <c r="AF807" s="4">
        <v>3.75</v>
      </c>
      <c r="AG807" s="4">
        <v>6.6</v>
      </c>
    </row>
    <row r="808" spans="1:33" ht="47.25" customHeight="1" x14ac:dyDescent="0.25">
      <c r="A808" s="10" t="s">
        <v>5155</v>
      </c>
      <c r="B808" s="11" t="s">
        <v>33</v>
      </c>
      <c r="C808" s="12" t="s">
        <v>5156</v>
      </c>
      <c r="D808" s="27"/>
      <c r="E808" s="14" t="s">
        <v>35</v>
      </c>
      <c r="F808" s="11" t="str">
        <f>HYPERLINK("https://redirect.sdcdeals.com/redirect?destination=https%3A%2F%2Fwww.amazon.com%2Fdp%2FB0BN6T4PYP%3Fth%3D1%26psc%3D1%26tag%3Dsdcdeals03-20", "Amazon Link")</f>
        <v>Amazon Link</v>
      </c>
      <c r="G808" s="11" t="s">
        <v>36</v>
      </c>
      <c r="H808" s="14" t="s">
        <v>5157</v>
      </c>
      <c r="I808" s="11" t="str">
        <f>HYPERLINK("https://redirect.sdcdeals.com/redirect?code=763034&amp;mavely=https://mavely.app.link/e/bhESV2wGrGb&amp;destination=https%3A%2F%2Fwww.kohls.com%2Fsearch.jsp%3Fsubmit-search%3Dweb-regular%26search%3D78859860", "Retail Link")</f>
        <v>Retail Link</v>
      </c>
      <c r="J808" s="14" t="s">
        <v>5123</v>
      </c>
      <c r="K808" s="13" t="s">
        <v>5130</v>
      </c>
      <c r="L808" s="15">
        <v>15.288</v>
      </c>
      <c r="M808" s="15">
        <v>33.08</v>
      </c>
      <c r="N808" s="15">
        <v>6.7799999999999976</v>
      </c>
      <c r="O808" s="15">
        <f>V808-M808</f>
        <v>12.829999999999998</v>
      </c>
      <c r="P808" s="16">
        <f>N808/L808</f>
        <v>0.44348508634222905</v>
      </c>
      <c r="Q808" s="14">
        <v>466301</v>
      </c>
      <c r="R808" s="14"/>
      <c r="S808" s="17">
        <v>0.93475887999999996</v>
      </c>
      <c r="T808" s="15">
        <v>33.08</v>
      </c>
      <c r="U808" s="15">
        <v>41.13</v>
      </c>
      <c r="V808" s="15">
        <v>45.91</v>
      </c>
      <c r="W808" s="14" t="s">
        <v>311</v>
      </c>
      <c r="X808" s="14">
        <v>1</v>
      </c>
      <c r="Y808" s="10">
        <f>AC808-AB808</f>
        <v>149</v>
      </c>
      <c r="Z808" s="18">
        <v>10</v>
      </c>
      <c r="AA808" s="18">
        <v>38</v>
      </c>
      <c r="AB808" s="18">
        <v>0</v>
      </c>
      <c r="AC808" s="18">
        <v>149</v>
      </c>
      <c r="AD808" s="1" t="s">
        <v>5131</v>
      </c>
      <c r="AE808" s="1" t="s">
        <v>5132</v>
      </c>
      <c r="AF808" s="4">
        <v>5.62</v>
      </c>
      <c r="AG808" s="4">
        <v>6.05</v>
      </c>
    </row>
    <row r="809" spans="1:33" ht="47.25" customHeight="1" x14ac:dyDescent="0.25">
      <c r="A809" s="10" t="s">
        <v>5406</v>
      </c>
      <c r="B809" s="11" t="s">
        <v>33</v>
      </c>
      <c r="C809" s="12" t="s">
        <v>5407</v>
      </c>
      <c r="D809" s="27"/>
      <c r="E809" s="14" t="s">
        <v>35</v>
      </c>
      <c r="F809" s="11" t="str">
        <f>HYPERLINK("https://redirect.sdcdeals.com/redirect?destination=https%3A%2F%2Fwww.amazon.com%2Fdp%2FB0BKQZ7JD5%3Fth%3D1%26psc%3D1%26tag%3Dsdcdeals03-20", "Amazon Link")</f>
        <v>Amazon Link</v>
      </c>
      <c r="G809" s="11" t="s">
        <v>36</v>
      </c>
      <c r="H809" s="14" t="s">
        <v>5408</v>
      </c>
      <c r="I809" s="11" t="str">
        <f>HYPERLINK("https://redirect.sdcdeals.com/redirect?code=763034&amp;mavely=https://mavely.app.link/e/bhESV2wGrGb&amp;destination=https%3A%2F%2Fwww.kohls.com%2Fsearch.jsp%3Fsubmit-search%3Dweb-regular%26search%3D76863031", "Retail Link")</f>
        <v>Retail Link</v>
      </c>
      <c r="J809" s="14" t="s">
        <v>5394</v>
      </c>
      <c r="K809" s="13" t="s">
        <v>5409</v>
      </c>
      <c r="L809" s="15">
        <v>20</v>
      </c>
      <c r="M809" s="15">
        <v>41.97</v>
      </c>
      <c r="N809" s="15">
        <v>8.864499999999996</v>
      </c>
      <c r="O809" s="15">
        <f>V809-M809</f>
        <v>3.240000000000002</v>
      </c>
      <c r="P809" s="16">
        <f>N809/L809</f>
        <v>0.44322499999999981</v>
      </c>
      <c r="Q809" s="14">
        <v>993985</v>
      </c>
      <c r="R809" s="14"/>
      <c r="S809" s="17">
        <v>0.95900969999999996</v>
      </c>
      <c r="T809" s="15">
        <v>41.97</v>
      </c>
      <c r="U809" s="15">
        <v>37.26</v>
      </c>
      <c r="V809" s="15">
        <v>45.21</v>
      </c>
      <c r="W809" s="14" t="s">
        <v>199</v>
      </c>
      <c r="X809" s="14">
        <v>2</v>
      </c>
      <c r="Y809" s="10">
        <f>AC809-AB809</f>
        <v>0</v>
      </c>
      <c r="Z809" s="18">
        <v>6</v>
      </c>
      <c r="AA809" s="18">
        <v>16</v>
      </c>
      <c r="AB809" s="18">
        <v>0</v>
      </c>
      <c r="AC809" s="18"/>
      <c r="AD809" s="1" t="s">
        <v>5396</v>
      </c>
      <c r="AE809" s="1" t="s">
        <v>2924</v>
      </c>
      <c r="AF809" s="4">
        <v>7.13</v>
      </c>
      <c r="AG809" s="4">
        <v>6.81</v>
      </c>
    </row>
    <row r="810" spans="1:33" ht="47.25" customHeight="1" x14ac:dyDescent="0.25">
      <c r="A810" s="10" t="s">
        <v>4291</v>
      </c>
      <c r="B810" s="11" t="s">
        <v>33</v>
      </c>
      <c r="C810" s="12" t="s">
        <v>4292</v>
      </c>
      <c r="D810" s="27"/>
      <c r="E810" s="14" t="s">
        <v>35</v>
      </c>
      <c r="F810" s="11" t="str">
        <f>HYPERLINK("https://redirect.sdcdeals.com/redirect?destination=https%3A%2F%2Fwww.amazon.com%2Fdp%2FB0BKQYGFC4%3Fth%3D1%26psc%3D1%26tag%3Dsdcdeals03-20", "Amazon Link")</f>
        <v>Amazon Link</v>
      </c>
      <c r="G810" s="11" t="s">
        <v>36</v>
      </c>
      <c r="H810" s="14" t="s">
        <v>4293</v>
      </c>
      <c r="I810" s="11" t="str">
        <f>HYPERLINK("https://redirect.sdcdeals.com/redirect?code=763034&amp;mavely=https://mavely.app.link/e/bhESV2wGrGb&amp;destination=https%3A%2F%2Fwww.kohls.com%2Fsearch.jsp%3Fsubmit-search%3Dweb-regular%26search%3D20561425", "Retail Link")</f>
        <v>Retail Link</v>
      </c>
      <c r="J810" s="14" t="s">
        <v>4231</v>
      </c>
      <c r="K810" s="13" t="s">
        <v>4294</v>
      </c>
      <c r="L810" s="15">
        <v>52.8</v>
      </c>
      <c r="M810" s="15">
        <v>108.01</v>
      </c>
      <c r="N810" s="15">
        <v>23.3185</v>
      </c>
      <c r="O810" s="15">
        <f>V810-M810</f>
        <v>7.0099999999999909</v>
      </c>
      <c r="P810" s="16">
        <f>N810/L810</f>
        <v>0.44163825757575759</v>
      </c>
      <c r="Q810" s="14">
        <v>613274</v>
      </c>
      <c r="R810" s="14"/>
      <c r="S810" s="17">
        <v>3.5494382</v>
      </c>
      <c r="T810" s="15">
        <v>108.01</v>
      </c>
      <c r="U810" s="15">
        <v>111.88</v>
      </c>
      <c r="V810" s="15">
        <v>115.02</v>
      </c>
      <c r="W810" s="14" t="s">
        <v>2253</v>
      </c>
      <c r="X810" s="14">
        <v>2</v>
      </c>
      <c r="Y810" s="10">
        <f>AC810-AB810</f>
        <v>0</v>
      </c>
      <c r="Z810" s="18">
        <v>5</v>
      </c>
      <c r="AA810" s="18">
        <v>24</v>
      </c>
      <c r="AB810" s="18">
        <v>0</v>
      </c>
      <c r="AC810" s="18"/>
      <c r="AD810" s="1" t="s">
        <v>4233</v>
      </c>
      <c r="AE810" s="1" t="s">
        <v>4248</v>
      </c>
      <c r="AF810" s="4">
        <v>18.36</v>
      </c>
      <c r="AG810" s="4">
        <v>15.69</v>
      </c>
    </row>
    <row r="811" spans="1:33" ht="47.25" customHeight="1" x14ac:dyDescent="0.25">
      <c r="A811" s="10" t="s">
        <v>6141</v>
      </c>
      <c r="B811" s="11" t="s">
        <v>33</v>
      </c>
      <c r="C811" s="12" t="s">
        <v>6142</v>
      </c>
      <c r="D811" s="27"/>
      <c r="E811" s="14" t="s">
        <v>35</v>
      </c>
      <c r="F811" s="11" t="str">
        <f>HYPERLINK("https://redirect.sdcdeals.com/redirect?destination=https%3A%2F%2Fwww.amazon.com%2Fdp%2FB09JNKLTF6%3Fth%3D1%26psc%3D1%26tag%3Dsdcdeals03-20", "Amazon Link")</f>
        <v>Amazon Link</v>
      </c>
      <c r="G811" s="11" t="s">
        <v>36</v>
      </c>
      <c r="H811" s="14" t="s">
        <v>6143</v>
      </c>
      <c r="I811" s="11" t="str">
        <f>HYPERLINK("https://redirect.sdcdeals.com/redirect?code=763034&amp;mavely=https://mavely.app.link/e/bhESV2wGrGb&amp;destination=https%3A%2F%2Fwww.kohls.com%2Fsearch.jsp%3Fsubmit-search%3Dweb-regular%26search%3D83068723", "Retail Link")</f>
        <v>Retail Link</v>
      </c>
      <c r="J811" s="14" t="s">
        <v>6138</v>
      </c>
      <c r="K811" s="13" t="s">
        <v>6144</v>
      </c>
      <c r="L811" s="15">
        <v>15.6</v>
      </c>
      <c r="M811" s="15">
        <v>34.97</v>
      </c>
      <c r="N811" s="15">
        <v>6.8844999999999974</v>
      </c>
      <c r="O811" s="15">
        <f>V811-M811</f>
        <v>1.3100000000000023</v>
      </c>
      <c r="P811" s="16">
        <f>N811/L811</f>
        <v>0.44131410256410242</v>
      </c>
      <c r="Q811" s="14">
        <v>50994</v>
      </c>
      <c r="R811" s="14">
        <v>200</v>
      </c>
      <c r="S811" s="17">
        <v>0.55115499999999995</v>
      </c>
      <c r="T811" s="15">
        <v>30.6</v>
      </c>
      <c r="U811" s="15">
        <v>33.74</v>
      </c>
      <c r="V811" s="15">
        <v>36.28</v>
      </c>
      <c r="W811" s="14" t="s">
        <v>342</v>
      </c>
      <c r="X811" s="14">
        <v>13</v>
      </c>
      <c r="Y811" s="10">
        <f>AC811-AB811</f>
        <v>725</v>
      </c>
      <c r="Z811" s="18">
        <v>43</v>
      </c>
      <c r="AA811" s="18">
        <v>117</v>
      </c>
      <c r="AB811" s="18">
        <v>45</v>
      </c>
      <c r="AC811" s="18">
        <v>770</v>
      </c>
      <c r="AD811" s="1" t="s">
        <v>152</v>
      </c>
      <c r="AE811" s="1" t="s">
        <v>6140</v>
      </c>
      <c r="AF811" s="4">
        <v>5.94</v>
      </c>
      <c r="AG811" s="4">
        <v>7.24</v>
      </c>
    </row>
    <row r="812" spans="1:33" ht="47.25" customHeight="1" x14ac:dyDescent="0.25">
      <c r="A812" s="10" t="s">
        <v>7545</v>
      </c>
      <c r="B812" s="11" t="s">
        <v>33</v>
      </c>
      <c r="C812" s="12" t="s">
        <v>7546</v>
      </c>
      <c r="D812" s="27"/>
      <c r="E812" s="14" t="s">
        <v>35</v>
      </c>
      <c r="F812" s="11" t="str">
        <f>HYPERLINK("https://redirect.sdcdeals.com/redirect?destination=https%3A%2F%2Fwww.amazon.com%2Fdp%2FB0B15KG32R%3Fth%3D1%26psc%3D1%26tag%3Dsdcdeals03-20", "Amazon Link")</f>
        <v>Amazon Link</v>
      </c>
      <c r="G812" s="11" t="s">
        <v>36</v>
      </c>
      <c r="H812" s="14" t="s">
        <v>7547</v>
      </c>
      <c r="I812" s="11" t="str">
        <f>HYPERLINK("https://redirect.sdcdeals.com/redirect?code=763034&amp;mavely=https://mavely.app.link/e/bhESV2wGrGb&amp;destination=https%3A%2F%2Fwww.kohls.com%2Fsearch.jsp%3Fsubmit-search%3Dweb-regular%26search%3D59201087", "Retail Link")</f>
        <v>Retail Link</v>
      </c>
      <c r="J812" s="14" t="s">
        <v>7541</v>
      </c>
      <c r="K812" s="13" t="s">
        <v>7548</v>
      </c>
      <c r="L812" s="15">
        <v>8.8000000000000007</v>
      </c>
      <c r="M812" s="15">
        <v>22</v>
      </c>
      <c r="N812" s="15">
        <v>3.8499999999999979</v>
      </c>
      <c r="O812" s="15">
        <f>V812-M812</f>
        <v>0.32000000000000028</v>
      </c>
      <c r="P812" s="16">
        <f>N812/L812</f>
        <v>0.43749999999999972</v>
      </c>
      <c r="Q812" s="14">
        <v>24129</v>
      </c>
      <c r="R812" s="14"/>
      <c r="S812" s="17">
        <v>0.50706260000000003</v>
      </c>
      <c r="T812" s="15">
        <v>22</v>
      </c>
      <c r="U812" s="15">
        <v>20.010000000000002</v>
      </c>
      <c r="V812" s="15">
        <v>22.32</v>
      </c>
      <c r="W812" s="14" t="s">
        <v>330</v>
      </c>
      <c r="X812" s="14">
        <v>1</v>
      </c>
      <c r="Y812" s="10">
        <f>AC812-AB812</f>
        <v>492</v>
      </c>
      <c r="Z812" s="18">
        <v>15</v>
      </c>
      <c r="AA812" s="18">
        <v>61</v>
      </c>
      <c r="AB812" s="18">
        <v>2</v>
      </c>
      <c r="AC812" s="18">
        <v>494</v>
      </c>
      <c r="AD812" s="1" t="s">
        <v>7549</v>
      </c>
      <c r="AE812" s="1" t="s">
        <v>7550</v>
      </c>
      <c r="AF812" s="4">
        <v>3.74</v>
      </c>
      <c r="AG812" s="4">
        <v>6.05</v>
      </c>
    </row>
    <row r="813" spans="1:33" ht="47.25" customHeight="1" x14ac:dyDescent="0.25">
      <c r="A813" s="10" t="s">
        <v>7304</v>
      </c>
      <c r="B813" s="11" t="s">
        <v>33</v>
      </c>
      <c r="C813" s="12" t="s">
        <v>7305</v>
      </c>
      <c r="D813" s="27"/>
      <c r="E813" s="14" t="s">
        <v>35</v>
      </c>
      <c r="F813" s="11" t="str">
        <f>HYPERLINK("https://redirect.sdcdeals.com/redirect?destination=https%3A%2F%2Fwww.amazon.com%2Fdp%2FB0CQGDR3XM%3Fth%3D1%26psc%3D1%26tag%3Dsdcdeals03-20", "Amazon Link")</f>
        <v>Amazon Link</v>
      </c>
      <c r="G813" s="11" t="s">
        <v>36</v>
      </c>
      <c r="H813" s="14" t="s">
        <v>7306</v>
      </c>
      <c r="I813" s="11" t="str">
        <f>HYPERLINK("https://redirect.sdcdeals.com/redirect?code=763034&amp;mavely=https://mavely.app.link/e/bhESV2wGrGb&amp;destination=https%3A%2F%2Fwww.kohls.com%2Fsearch.jsp%3Fsubmit-search%3Dweb-regular%26search%3D30133699", "Retail Link")</f>
        <v>Retail Link</v>
      </c>
      <c r="J813" s="14" t="s">
        <v>7307</v>
      </c>
      <c r="K813" s="13" t="s">
        <v>7308</v>
      </c>
      <c r="L813" s="15">
        <v>7.6000000000000014</v>
      </c>
      <c r="M813" s="15">
        <v>18.79</v>
      </c>
      <c r="N813" s="15">
        <v>3.3214999999999968</v>
      </c>
      <c r="O813" s="15">
        <f>V813-M813</f>
        <v>7.8000000000000007</v>
      </c>
      <c r="P813" s="16">
        <f>N813/L813</f>
        <v>0.43703947368421003</v>
      </c>
      <c r="Q813" s="14">
        <v>343152</v>
      </c>
      <c r="R813" s="14"/>
      <c r="S813" s="17">
        <v>0.42990089999999997</v>
      </c>
      <c r="T813" s="15">
        <v>18.79</v>
      </c>
      <c r="U813" s="15">
        <v>19.16</v>
      </c>
      <c r="V813" s="15">
        <v>26.59</v>
      </c>
      <c r="W813" s="14" t="s">
        <v>2587</v>
      </c>
      <c r="X813" s="14">
        <v>5</v>
      </c>
      <c r="Y813" s="10">
        <f>AC813-AB813</f>
        <v>562</v>
      </c>
      <c r="Z813" s="18">
        <v>25</v>
      </c>
      <c r="AA813" s="18">
        <v>102</v>
      </c>
      <c r="AB813" s="18">
        <v>1</v>
      </c>
      <c r="AC813" s="18">
        <v>563</v>
      </c>
      <c r="AE813" s="1" t="s">
        <v>7309</v>
      </c>
      <c r="AF813" s="4">
        <v>1.88</v>
      </c>
      <c r="AG813" s="4">
        <v>5.05</v>
      </c>
    </row>
    <row r="814" spans="1:33" ht="47.25" customHeight="1" x14ac:dyDescent="0.25">
      <c r="A814" s="10" t="s">
        <v>6782</v>
      </c>
      <c r="B814" s="11" t="s">
        <v>33</v>
      </c>
      <c r="C814" s="12" t="s">
        <v>6783</v>
      </c>
      <c r="D814" s="27"/>
      <c r="E814" s="14" t="s">
        <v>35</v>
      </c>
      <c r="F814" s="11" t="str">
        <f>HYPERLINK("https://redirect.sdcdeals.com/redirect?destination=https%3A%2F%2Fwww.amazon.com%2Fdp%2FB0CNS88VKN%3Fth%3D1%26psc%3D1%26tag%3Dsdcdeals03-20", "Amazon Link")</f>
        <v>Amazon Link</v>
      </c>
      <c r="G814" s="11" t="s">
        <v>36</v>
      </c>
      <c r="H814" s="14" t="s">
        <v>6784</v>
      </c>
      <c r="I814" s="11" t="str">
        <f>HYPERLINK("https://redirect.sdcdeals.com/redirect?code=763034&amp;mavely=https://mavely.app.link/e/bhESV2wGrGb&amp;destination=https%3A%2F%2Fwww.kohls.com%2Fsearch.jsp%3Fsubmit-search%3Dweb-regular%26search%3D55681959", "Retail Link")</f>
        <v>Retail Link</v>
      </c>
      <c r="J814" s="14" t="s">
        <v>6785</v>
      </c>
      <c r="K814" s="13" t="s">
        <v>6786</v>
      </c>
      <c r="L814" s="15">
        <v>6</v>
      </c>
      <c r="M814" s="15">
        <v>16.989999999999998</v>
      </c>
      <c r="N814" s="15">
        <v>2.6214999999999971</v>
      </c>
      <c r="O814" s="15">
        <f>V814-M814</f>
        <v>2.0700000000000003</v>
      </c>
      <c r="P814" s="16">
        <f>N814/L814</f>
        <v>0.43691666666666618</v>
      </c>
      <c r="Q814" s="14">
        <v>294910</v>
      </c>
      <c r="R814" s="14"/>
      <c r="S814" s="17">
        <v>0.70106915999999997</v>
      </c>
      <c r="T814" s="15">
        <v>16.989999999999998</v>
      </c>
      <c r="U814" s="15">
        <v>16.93</v>
      </c>
      <c r="V814" s="15">
        <v>19.059999999999999</v>
      </c>
      <c r="W814" s="14" t="s">
        <v>6480</v>
      </c>
      <c r="X814" s="14">
        <v>3</v>
      </c>
      <c r="Y814" s="10">
        <f>AC814-AB814</f>
        <v>2059</v>
      </c>
      <c r="Z814" s="18">
        <v>30</v>
      </c>
      <c r="AA814" s="18">
        <v>86</v>
      </c>
      <c r="AB814" s="18">
        <v>0</v>
      </c>
      <c r="AC814" s="18">
        <v>2059</v>
      </c>
      <c r="AE814" s="1" t="s">
        <v>6787</v>
      </c>
      <c r="AG814" s="4">
        <v>5.82</v>
      </c>
    </row>
    <row r="815" spans="1:33" ht="47.25" customHeight="1" x14ac:dyDescent="0.25">
      <c r="A815" s="10" t="s">
        <v>5053</v>
      </c>
      <c r="B815" s="11" t="s">
        <v>33</v>
      </c>
      <c r="C815" s="12" t="s">
        <v>5054</v>
      </c>
      <c r="D815" s="27"/>
      <c r="E815" s="14" t="s">
        <v>35</v>
      </c>
      <c r="F815" s="11" t="str">
        <f>HYPERLINK("https://redirect.sdcdeals.com/redirect?destination=https%3A%2F%2Fwww.amazon.com%2Fdp%2FB0BNSWMZ1Z%3Fth%3D1%26psc%3D1%26tag%3Dsdcdeals03-20", "Amazon Link")</f>
        <v>Amazon Link</v>
      </c>
      <c r="G815" s="11" t="s">
        <v>36</v>
      </c>
      <c r="H815" s="14" t="s">
        <v>5055</v>
      </c>
      <c r="I815" s="11" t="str">
        <f>HYPERLINK("https://redirect.sdcdeals.com/redirect?code=763034&amp;mavely=https://mavely.app.link/e/bhESV2wGrGb&amp;destination=https%3A%2F%2Fwww.kohls.com%2Fsearch.jsp%3Fsubmit-search%3Dweb-regular%26search%3D73620867", "Retail Link")</f>
        <v>Retail Link</v>
      </c>
      <c r="J815" s="14" t="s">
        <v>5013</v>
      </c>
      <c r="K815" s="13" t="s">
        <v>5056</v>
      </c>
      <c r="L815" s="15">
        <v>15.4</v>
      </c>
      <c r="M815" s="15">
        <v>32.92</v>
      </c>
      <c r="N815" s="15">
        <v>6.6820000000000004</v>
      </c>
      <c r="O815" s="15">
        <f>V815-M815</f>
        <v>1.2199999999999989</v>
      </c>
      <c r="P815" s="16">
        <f>N815/L815</f>
        <v>0.43389610389610389</v>
      </c>
      <c r="Q815" s="14">
        <v>393774</v>
      </c>
      <c r="R815" s="14"/>
      <c r="S815" s="17">
        <v>0.42990089999999997</v>
      </c>
      <c r="T815" s="15">
        <v>28.03</v>
      </c>
      <c r="U815" s="15">
        <v>36.67</v>
      </c>
      <c r="V815" s="15">
        <v>34.14</v>
      </c>
      <c r="W815" s="14" t="s">
        <v>964</v>
      </c>
      <c r="X815" s="14">
        <v>2</v>
      </c>
      <c r="Y815" s="10">
        <f>AC815-AB815</f>
        <v>6</v>
      </c>
      <c r="Z815" s="18">
        <v>10</v>
      </c>
      <c r="AA815" s="18">
        <v>25</v>
      </c>
      <c r="AB815" s="18">
        <v>0</v>
      </c>
      <c r="AC815" s="18">
        <v>6</v>
      </c>
      <c r="AD815" s="1" t="s">
        <v>5020</v>
      </c>
      <c r="AE815" s="1" t="s">
        <v>856</v>
      </c>
      <c r="AF815" s="4">
        <v>5.59</v>
      </c>
      <c r="AG815" s="4">
        <v>5.9</v>
      </c>
    </row>
    <row r="816" spans="1:33" ht="47.25" customHeight="1" x14ac:dyDescent="0.25">
      <c r="A816" s="10" t="s">
        <v>4279</v>
      </c>
      <c r="B816" s="11" t="s">
        <v>33</v>
      </c>
      <c r="C816" s="12" t="s">
        <v>4280</v>
      </c>
      <c r="D816" s="27"/>
      <c r="E816" s="14" t="s">
        <v>35</v>
      </c>
      <c r="F816" s="11" t="str">
        <f>HYPERLINK("https://redirect.sdcdeals.com/redirect?destination=https%3A%2F%2Fwww.amazon.com%2Fdp%2FB0BKQZMC3P%3Fth%3D1%26psc%3D1%26tag%3Dsdcdeals03-20", "Amazon Link")</f>
        <v>Amazon Link</v>
      </c>
      <c r="G816" s="11" t="s">
        <v>36</v>
      </c>
      <c r="H816" s="14" t="s">
        <v>4281</v>
      </c>
      <c r="I816" s="11" t="str">
        <f>HYPERLINK("https://redirect.sdcdeals.com/redirect?code=763034&amp;mavely=https://mavely.app.link/e/bhESV2wGrGb&amp;destination=https%3A%2F%2Fwww.kohls.com%2Fsearch.jsp%3Fsubmit-search%3Dweb-regular%26search%3D76194420", "Retail Link")</f>
        <v>Retail Link</v>
      </c>
      <c r="J816" s="14" t="s">
        <v>4231</v>
      </c>
      <c r="K816" s="13" t="s">
        <v>4282</v>
      </c>
      <c r="L816" s="15">
        <v>52.8</v>
      </c>
      <c r="M816" s="15">
        <v>106.11</v>
      </c>
      <c r="N816" s="15">
        <v>22.843500000000009</v>
      </c>
      <c r="O816" s="15">
        <f>V816-M816</f>
        <v>15.299999999999997</v>
      </c>
      <c r="P816" s="16">
        <f>N816/L816</f>
        <v>0.43264204545454565</v>
      </c>
      <c r="Q816" s="14">
        <v>931412</v>
      </c>
      <c r="R816" s="14"/>
      <c r="S816" s="17">
        <v>2.4691744</v>
      </c>
      <c r="T816" s="15">
        <v>106.11</v>
      </c>
      <c r="U816" s="15">
        <v>110.58</v>
      </c>
      <c r="V816" s="15">
        <v>121.41</v>
      </c>
      <c r="W816" s="14" t="s">
        <v>870</v>
      </c>
      <c r="X816" s="14">
        <v>2</v>
      </c>
      <c r="Y816" s="10">
        <f>AC816-AB816</f>
        <v>0</v>
      </c>
      <c r="Z816" s="18">
        <v>4</v>
      </c>
      <c r="AA816" s="18">
        <v>26</v>
      </c>
      <c r="AB816" s="18">
        <v>0</v>
      </c>
      <c r="AC816" s="18"/>
      <c r="AD816" s="1" t="s">
        <v>4233</v>
      </c>
      <c r="AE816" s="1" t="s">
        <v>4248</v>
      </c>
      <c r="AF816" s="4">
        <v>18.04</v>
      </c>
      <c r="AG816" s="4">
        <v>14.55</v>
      </c>
    </row>
    <row r="817" spans="1:33" ht="47.25" customHeight="1" x14ac:dyDescent="0.25">
      <c r="A817" s="10" t="s">
        <v>6390</v>
      </c>
      <c r="B817" s="11" t="s">
        <v>33</v>
      </c>
      <c r="C817" s="12" t="s">
        <v>6391</v>
      </c>
      <c r="D817" s="27"/>
      <c r="E817" s="14" t="s">
        <v>35</v>
      </c>
      <c r="F817" s="11" t="str">
        <f>HYPERLINK("https://redirect.sdcdeals.com/redirect?destination=https%3A%2F%2Fwww.amazon.com%2Fdp%2FB0CJFTVMHN%3Fth%3D1%26psc%3D1%26tag%3Dsdcdeals03-20", "Amazon Link")</f>
        <v>Amazon Link</v>
      </c>
      <c r="G817" s="11" t="s">
        <v>36</v>
      </c>
      <c r="H817" s="14" t="s">
        <v>6392</v>
      </c>
      <c r="I817" s="11" t="str">
        <f>HYPERLINK("https://redirect.sdcdeals.com/redirect?code=763034&amp;mavely=https://mavely.app.link/e/bhESV2wGrGb&amp;destination=https%3A%2F%2Fwww.kohls.com%2Fsearch.jsp%3Fsubmit-search%3Dweb-regular%26search%3D19951487", "Retail Link")</f>
        <v>Retail Link</v>
      </c>
      <c r="J817" s="14" t="s">
        <v>6383</v>
      </c>
      <c r="K817" s="13" t="s">
        <v>6393</v>
      </c>
      <c r="L817" s="15">
        <v>16.792000000000002</v>
      </c>
      <c r="M817" s="15">
        <v>36.799999999999997</v>
      </c>
      <c r="N817" s="15">
        <v>7.2479999999999984</v>
      </c>
      <c r="O817" s="15">
        <f>V817-M817</f>
        <v>10.600000000000001</v>
      </c>
      <c r="P817" s="16">
        <f>N817/L817</f>
        <v>0.43163411148165781</v>
      </c>
      <c r="Q817" s="14">
        <v>4395710</v>
      </c>
      <c r="R817" s="14"/>
      <c r="S817" s="17">
        <v>1.9731349</v>
      </c>
      <c r="T817" s="15">
        <v>36.79</v>
      </c>
      <c r="U817" s="15">
        <v>50.69</v>
      </c>
      <c r="V817" s="15">
        <v>47.4</v>
      </c>
      <c r="W817" s="14" t="s">
        <v>95</v>
      </c>
      <c r="X817" s="14">
        <v>3</v>
      </c>
      <c r="Y817" s="10">
        <f>AC817-AB817</f>
        <v>2</v>
      </c>
      <c r="Z817" s="18">
        <v>0</v>
      </c>
      <c r="AA817" s="18">
        <v>4</v>
      </c>
      <c r="AB817" s="18">
        <v>0</v>
      </c>
      <c r="AC817" s="18">
        <v>2</v>
      </c>
      <c r="AD817" s="1" t="s">
        <v>6394</v>
      </c>
      <c r="AE817" s="1" t="s">
        <v>4821</v>
      </c>
      <c r="AF817" s="4">
        <v>5.52</v>
      </c>
      <c r="AG817" s="4">
        <v>7.24</v>
      </c>
    </row>
    <row r="818" spans="1:33" ht="47.25" customHeight="1" x14ac:dyDescent="0.25">
      <c r="A818" s="10" t="s">
        <v>3082</v>
      </c>
      <c r="B818" s="11" t="s">
        <v>33</v>
      </c>
      <c r="C818" s="12" t="s">
        <v>3083</v>
      </c>
      <c r="D818" s="27"/>
      <c r="E818" s="14" t="s">
        <v>35</v>
      </c>
      <c r="F818" s="11" t="str">
        <f>HYPERLINK("https://redirect.sdcdeals.com/redirect?destination=https%3A%2F%2Fwww.amazon.com%2Fdp%2FB0CF6BRGWT%3Fth%3D1%26psc%3D1%26tag%3Dsdcdeals03-20", "Amazon Link")</f>
        <v>Amazon Link</v>
      </c>
      <c r="G818" s="11" t="s">
        <v>36</v>
      </c>
      <c r="H818" s="14" t="s">
        <v>3084</v>
      </c>
      <c r="I818" s="11" t="str">
        <f>HYPERLINK("https://redirect.sdcdeals.com/redirect?code=763034&amp;mavely=https://mavely.app.link/e/bhESV2wGrGb&amp;destination=https%3A%2F%2Fwww.kohls.com%2Fsearch.jsp%3Fsubmit-search%3Dweb-regular%26search%3D49607312", "Retail Link")</f>
        <v>Retail Link</v>
      </c>
      <c r="J818" s="14" t="s">
        <v>3047</v>
      </c>
      <c r="K818" s="13" t="s">
        <v>3085</v>
      </c>
      <c r="L818" s="15">
        <v>8</v>
      </c>
      <c r="M818" s="15">
        <v>21.99</v>
      </c>
      <c r="N818" s="15">
        <v>3.451499999999998</v>
      </c>
      <c r="O818" s="15">
        <f>V818-M818</f>
        <v>-21.99</v>
      </c>
      <c r="P818" s="16">
        <f>N818/L818</f>
        <v>0.43143749999999975</v>
      </c>
      <c r="Q818" s="14">
        <v>382300</v>
      </c>
      <c r="R818" s="14"/>
      <c r="S818" s="17">
        <v>0.54895037999999996</v>
      </c>
      <c r="T818" s="15">
        <v>21.99</v>
      </c>
      <c r="U818" s="15"/>
      <c r="V818" s="15"/>
      <c r="W818" s="14" t="s">
        <v>3086</v>
      </c>
      <c r="X818" s="14">
        <v>5</v>
      </c>
      <c r="Y818" s="10">
        <f>AC818-AB818</f>
        <v>238</v>
      </c>
      <c r="Z818" s="18">
        <v>5</v>
      </c>
      <c r="AA818" s="18">
        <v>6</v>
      </c>
      <c r="AB818" s="18">
        <v>0</v>
      </c>
      <c r="AC818" s="18">
        <v>238</v>
      </c>
      <c r="AD818" s="1" t="s">
        <v>3049</v>
      </c>
      <c r="AE818" s="1" t="s">
        <v>235</v>
      </c>
      <c r="AG818" s="4">
        <v>7.24</v>
      </c>
    </row>
    <row r="819" spans="1:33" ht="47.25" customHeight="1" x14ac:dyDescent="0.25">
      <c r="A819" s="10" t="s">
        <v>5923</v>
      </c>
      <c r="B819" s="11" t="s">
        <v>33</v>
      </c>
      <c r="C819" s="12" t="s">
        <v>5924</v>
      </c>
      <c r="D819" s="27"/>
      <c r="E819" s="14" t="s">
        <v>35</v>
      </c>
      <c r="F819" s="11" t="str">
        <f>HYPERLINK("https://redirect.sdcdeals.com/redirect?destination=https%3A%2F%2Fwww.amazon.com%2Fdp%2FB0BKR1PK8D%3Fth%3D1%26psc%3D1%26tag%3Dsdcdeals03-20", "Amazon Link")</f>
        <v>Amazon Link</v>
      </c>
      <c r="G819" s="11" t="s">
        <v>36</v>
      </c>
      <c r="H819" s="14" t="s">
        <v>5925</v>
      </c>
      <c r="I819" s="11" t="str">
        <f>HYPERLINK("https://redirect.sdcdeals.com/redirect?code=763034&amp;mavely=https://mavely.app.link/e/bhESV2wGrGb&amp;destination=https%3A%2F%2Fwww.kohls.com%2Fsearch.jsp%3Fsubmit-search%3Dweb-regular%26search%3D65860073", "Retail Link")</f>
        <v>Retail Link</v>
      </c>
      <c r="J819" s="14" t="s">
        <v>5910</v>
      </c>
      <c r="K819" s="13" t="s">
        <v>5926</v>
      </c>
      <c r="L819" s="15">
        <v>67.600000000000009</v>
      </c>
      <c r="M819" s="15">
        <v>124.06</v>
      </c>
      <c r="N819" s="15">
        <v>29.010999999999981</v>
      </c>
      <c r="O819" s="15">
        <f>V819-M819</f>
        <v>6.0900000000000034</v>
      </c>
      <c r="P819" s="16">
        <f>N819/L819</f>
        <v>0.42915680473372747</v>
      </c>
      <c r="Q819" s="14">
        <v>402022</v>
      </c>
      <c r="R819" s="14"/>
      <c r="S819" s="17">
        <v>2.5992469800000002</v>
      </c>
      <c r="T819" s="15">
        <v>116.07</v>
      </c>
      <c r="U819" s="15">
        <v>125.29</v>
      </c>
      <c r="V819" s="15">
        <v>130.15</v>
      </c>
      <c r="W819" s="14" t="s">
        <v>60</v>
      </c>
      <c r="X819" s="14">
        <v>2</v>
      </c>
      <c r="Y819" s="10">
        <f>AC819-AB819</f>
        <v>17</v>
      </c>
      <c r="Z819" s="18">
        <v>16</v>
      </c>
      <c r="AA819" s="18">
        <v>49</v>
      </c>
      <c r="AB819" s="18">
        <v>0</v>
      </c>
      <c r="AC819" s="18">
        <v>17</v>
      </c>
      <c r="AD819" s="1" t="s">
        <v>5912</v>
      </c>
      <c r="AE819" s="1" t="s">
        <v>76</v>
      </c>
      <c r="AF819" s="4">
        <v>21.09</v>
      </c>
      <c r="AG819" s="4">
        <v>8.84</v>
      </c>
    </row>
    <row r="820" spans="1:33" ht="47.25" customHeight="1" x14ac:dyDescent="0.25">
      <c r="A820" s="10" t="s">
        <v>3656</v>
      </c>
      <c r="B820" s="11" t="s">
        <v>33</v>
      </c>
      <c r="C820" s="12" t="s">
        <v>3657</v>
      </c>
      <c r="D820" s="27"/>
      <c r="E820" s="14" t="s">
        <v>35</v>
      </c>
      <c r="F820" s="11" t="str">
        <f>HYPERLINK("https://redirect.sdcdeals.com/redirect?destination=https%3A%2F%2Fwww.amazon.com%2Fdp%2FB098SCG6VX%3Fth%3D1%26psc%3D1%26tag%3Dsdcdeals03-20", "Amazon Link")</f>
        <v>Amazon Link</v>
      </c>
      <c r="G820" s="11" t="s">
        <v>36</v>
      </c>
      <c r="H820" s="14" t="s">
        <v>3658</v>
      </c>
      <c r="I820" s="11" t="str">
        <f>HYPERLINK("https://redirect.sdcdeals.com/redirect?code=763034&amp;mavely=https://mavely.app.link/e/bhESV2wGrGb&amp;destination=https%3A%2F%2Fwww.kohls.com%2Fsearch.jsp%3Fsubmit-search%3Dweb-regular%26search%3D48909338", "Retail Link")</f>
        <v>Retail Link</v>
      </c>
      <c r="J820" s="14" t="s">
        <v>3651</v>
      </c>
      <c r="K820" s="13" t="s">
        <v>3659</v>
      </c>
      <c r="L820" s="15">
        <v>11.44</v>
      </c>
      <c r="M820" s="15">
        <v>26.06</v>
      </c>
      <c r="N820" s="15">
        <v>4.891</v>
      </c>
      <c r="O820" s="15">
        <f>V820-M820</f>
        <v>2.9000000000000021</v>
      </c>
      <c r="P820" s="16">
        <f>N820/L820</f>
        <v>0.42753496503496508</v>
      </c>
      <c r="Q820" s="14">
        <v>286137</v>
      </c>
      <c r="R820" s="14"/>
      <c r="S820" s="17">
        <v>0.70327377999999996</v>
      </c>
      <c r="T820" s="15">
        <v>20</v>
      </c>
      <c r="U820" s="15">
        <v>28.22</v>
      </c>
      <c r="V820" s="15">
        <v>28.96</v>
      </c>
      <c r="W820" s="14" t="s">
        <v>3660</v>
      </c>
      <c r="X820" s="14">
        <v>13</v>
      </c>
      <c r="Y820" s="10">
        <f>AC820-AB820</f>
        <v>30</v>
      </c>
      <c r="Z820" s="18">
        <v>21</v>
      </c>
      <c r="AA820" s="18">
        <v>79</v>
      </c>
      <c r="AB820" s="18">
        <v>4</v>
      </c>
      <c r="AC820" s="18">
        <v>34</v>
      </c>
      <c r="AD820" s="1" t="s">
        <v>3654</v>
      </c>
      <c r="AE820" s="1" t="s">
        <v>3655</v>
      </c>
      <c r="AF820" s="4">
        <v>4.43</v>
      </c>
      <c r="AG820" s="4">
        <v>5.82</v>
      </c>
    </row>
    <row r="821" spans="1:33" ht="47.25" customHeight="1" x14ac:dyDescent="0.25">
      <c r="A821" s="10" t="s">
        <v>844</v>
      </c>
      <c r="B821" s="11" t="s">
        <v>33</v>
      </c>
      <c r="C821" s="12" t="s">
        <v>845</v>
      </c>
      <c r="D821" s="27"/>
      <c r="E821" s="14" t="s">
        <v>35</v>
      </c>
      <c r="F821" s="11" t="str">
        <f>HYPERLINK("https://redirect.sdcdeals.com/redirect?destination=https%3A%2F%2Fwww.amazon.com%2Fdp%2FB0BRKNTV81%3Fth%3D1%26psc%3D1%26tag%3Dsdcdeals03-20", "Amazon Link")</f>
        <v>Amazon Link</v>
      </c>
      <c r="G821" s="11" t="s">
        <v>36</v>
      </c>
      <c r="H821" s="14" t="s">
        <v>846</v>
      </c>
      <c r="I821" s="11" t="str">
        <f>HYPERLINK("https://redirect.sdcdeals.com/redirect?code=763034&amp;mavely=https://mavely.app.link/e/bhESV2wGrGb&amp;destination=https%3A%2F%2Fwww.kohls.com%2Fsearch.jsp%3Fsubmit-search%3Dweb-regular%26search%3D46935309", "Retail Link")</f>
        <v>Retail Link</v>
      </c>
      <c r="J821" s="14" t="s">
        <v>847</v>
      </c>
      <c r="K821" s="13" t="s">
        <v>848</v>
      </c>
      <c r="L821" s="15">
        <v>7.2</v>
      </c>
      <c r="M821" s="15">
        <v>15.93</v>
      </c>
      <c r="N821" s="15">
        <v>3.0705</v>
      </c>
      <c r="O821" s="15">
        <f>V821-M821</f>
        <v>1.879999999999999</v>
      </c>
      <c r="P821" s="16">
        <f>N821/L821</f>
        <v>0.42645833333333333</v>
      </c>
      <c r="Q821" s="14">
        <v>431775</v>
      </c>
      <c r="R821" s="14"/>
      <c r="S821" s="17">
        <v>0.22046199999999999</v>
      </c>
      <c r="T821" s="15">
        <v>15.93</v>
      </c>
      <c r="U821" s="15">
        <v>21</v>
      </c>
      <c r="V821" s="15">
        <v>17.809999999999999</v>
      </c>
      <c r="W821" s="14" t="s">
        <v>849</v>
      </c>
      <c r="X821" s="14">
        <v>3</v>
      </c>
      <c r="Y821" s="10">
        <f>AC821-AB821</f>
        <v>0</v>
      </c>
      <c r="Z821" s="18">
        <v>3</v>
      </c>
      <c r="AA821" s="18">
        <v>11</v>
      </c>
      <c r="AB821" s="18">
        <v>0</v>
      </c>
      <c r="AC821" s="18"/>
      <c r="AE821" s="1" t="s">
        <v>278</v>
      </c>
      <c r="AG821" s="4">
        <v>3.27</v>
      </c>
    </row>
    <row r="822" spans="1:33" ht="47.25" hidden="1" customHeight="1" x14ac:dyDescent="0.25">
      <c r="A822" s="10" t="s">
        <v>7292</v>
      </c>
      <c r="B822" s="11" t="s">
        <v>33</v>
      </c>
      <c r="C822" s="12" t="s">
        <v>7293</v>
      </c>
      <c r="D822" s="27"/>
      <c r="E822" s="14" t="s">
        <v>35</v>
      </c>
      <c r="F822" s="11" t="str">
        <f>HYPERLINK("https://redirect.sdcdeals.com/redirect?destination=https%3A%2F%2Fwww.amazon.com%2Fdp%2FB0CTQ44YJF%3Fth%3D1%26psc%3D1%26tag%3Dsdcdeals03-20", "Amazon Link")</f>
        <v>Amazon Link</v>
      </c>
      <c r="G822" s="11" t="s">
        <v>36</v>
      </c>
      <c r="H822" s="14" t="s">
        <v>7294</v>
      </c>
      <c r="I822" s="11" t="str">
        <f>HYPERLINK("https://redirect.sdcdeals.com/redirect?code=763034&amp;mavely=https://mavely.app.link/e/bhESV2wGrGb&amp;destination=https%3A%2F%2Fwww.kohls.com%2Fsearch.jsp%3Fsubmit-search%3Dweb-regular%26search%3D70990253", "Retail Link")</f>
        <v>Retail Link</v>
      </c>
      <c r="J822" s="14" t="s">
        <v>7290</v>
      </c>
      <c r="K822" s="13" t="s">
        <v>7295</v>
      </c>
      <c r="L822" s="15">
        <v>13</v>
      </c>
      <c r="M822" s="15">
        <v>29.01</v>
      </c>
      <c r="N822" s="15">
        <v>5.5185000000000004</v>
      </c>
      <c r="O822" s="15">
        <f>V822-M822</f>
        <v>5.0500000000000007</v>
      </c>
      <c r="P822" s="16">
        <f>N822/L822</f>
        <v>0.42450000000000004</v>
      </c>
      <c r="Q822" s="14"/>
      <c r="R822" s="14"/>
      <c r="S822" s="17">
        <v>0.56217810000000001</v>
      </c>
      <c r="T822" s="15">
        <v>29</v>
      </c>
      <c r="U822" s="15">
        <v>31.33</v>
      </c>
      <c r="V822" s="15">
        <v>34.06</v>
      </c>
      <c r="W822" s="14" t="s">
        <v>2149</v>
      </c>
      <c r="X822" s="14">
        <v>4</v>
      </c>
      <c r="Y822" s="10">
        <f>AC822-AB822</f>
        <v>0</v>
      </c>
      <c r="Z822" s="18">
        <v>-1</v>
      </c>
      <c r="AA822" s="18">
        <v>-1</v>
      </c>
      <c r="AB822" s="18"/>
      <c r="AC822" s="18"/>
      <c r="AE822" s="1" t="s">
        <v>7296</v>
      </c>
      <c r="AF822" s="4">
        <v>4.93</v>
      </c>
      <c r="AG822" s="4">
        <v>6.14</v>
      </c>
    </row>
    <row r="823" spans="1:33" ht="47.25" customHeight="1" x14ac:dyDescent="0.25">
      <c r="A823" s="10" t="s">
        <v>270</v>
      </c>
      <c r="B823" s="11" t="s">
        <v>33</v>
      </c>
      <c r="C823" s="12" t="s">
        <v>271</v>
      </c>
      <c r="D823" s="27"/>
      <c r="E823" s="14" t="s">
        <v>35</v>
      </c>
      <c r="F823" s="11" t="str">
        <f>HYPERLINK("https://redirect.sdcdeals.com/redirect?destination=https%3A%2F%2Fwww.amazon.com%2Fdp%2FB093RNG4YX%3Fth%3D1%26psc%3D1%26tag%3Dsdcdeals03-20", "Amazon Link")</f>
        <v>Amazon Link</v>
      </c>
      <c r="G823" s="11" t="s">
        <v>36</v>
      </c>
      <c r="H823" s="14" t="s">
        <v>272</v>
      </c>
      <c r="I823" s="11" t="str">
        <f>HYPERLINK("https://redirect.sdcdeals.com/redirect?code=763034&amp;mavely=https://mavely.app.link/e/bhESV2wGrGb&amp;destination=https%3A%2F%2Fwww.kohls.com%2Fsearch.jsp%3Fsubmit-search%3Dweb-regular%26search%3D61414263", "Retail Link")</f>
        <v>Retail Link</v>
      </c>
      <c r="J823" s="14" t="s">
        <v>263</v>
      </c>
      <c r="K823" s="13" t="s">
        <v>264</v>
      </c>
      <c r="L823" s="15">
        <v>8.4</v>
      </c>
      <c r="M823" s="15">
        <v>21</v>
      </c>
      <c r="N823" s="15">
        <v>3.5499999999999972</v>
      </c>
      <c r="O823" s="15">
        <f>V823-M823</f>
        <v>-4.4400000000000013</v>
      </c>
      <c r="P823" s="16">
        <f>N823/L823</f>
        <v>0.42261904761904728</v>
      </c>
      <c r="Q823" s="14">
        <v>101269</v>
      </c>
      <c r="R823" s="14"/>
      <c r="S823" s="17">
        <v>0.61949821999999999</v>
      </c>
      <c r="T823" s="15">
        <v>21</v>
      </c>
      <c r="U823" s="15">
        <v>14.32</v>
      </c>
      <c r="V823" s="15">
        <v>16.559999999999999</v>
      </c>
      <c r="W823" s="14" t="s">
        <v>106</v>
      </c>
      <c r="X823" s="14">
        <v>3</v>
      </c>
      <c r="Y823" s="10">
        <f>AC823-AB823</f>
        <v>451</v>
      </c>
      <c r="Z823" s="18">
        <v>22</v>
      </c>
      <c r="AA823" s="18">
        <v>65</v>
      </c>
      <c r="AB823" s="18">
        <v>0</v>
      </c>
      <c r="AC823" s="18">
        <v>451</v>
      </c>
      <c r="AD823" s="1" t="s">
        <v>265</v>
      </c>
      <c r="AE823" s="1" t="s">
        <v>273</v>
      </c>
      <c r="AF823" s="4">
        <v>3.57</v>
      </c>
      <c r="AG823" s="4">
        <v>5.9</v>
      </c>
    </row>
    <row r="824" spans="1:33" ht="47.25" hidden="1" customHeight="1" x14ac:dyDescent="0.25">
      <c r="A824" s="10" t="s">
        <v>5733</v>
      </c>
      <c r="B824" s="11" t="s">
        <v>33</v>
      </c>
      <c r="C824" s="12" t="s">
        <v>5734</v>
      </c>
      <c r="D824" s="27"/>
      <c r="E824" s="14" t="s">
        <v>35</v>
      </c>
      <c r="F824" s="11" t="str">
        <f>HYPERLINK("https://redirect.sdcdeals.com/redirect?destination=https%3A%2F%2Fwww.amazon.com%2Fdp%2FB09Y69V8TR%3Fth%3D1%26psc%3D1%26tag%3Dsdcdeals03-20", "Amazon Link")</f>
        <v>Amazon Link</v>
      </c>
      <c r="G824" s="11" t="s">
        <v>36</v>
      </c>
      <c r="H824" s="14" t="s">
        <v>5735</v>
      </c>
      <c r="I824" s="11" t="str">
        <f>HYPERLINK("https://redirect.sdcdeals.com/redirect?code=763034&amp;mavely=https://mavely.app.link/e/bhESV2wGrGb&amp;destination=https%3A%2F%2Fwww.kohls.com%2Fsearch.jsp%3Fsubmit-search%3Dweb-regular%26search%3D58381193", "Retail Link")</f>
        <v>Retail Link</v>
      </c>
      <c r="J824" s="14" t="s">
        <v>5736</v>
      </c>
      <c r="K824" s="13" t="s">
        <v>5737</v>
      </c>
      <c r="L824" s="15">
        <v>5.1920000000000002</v>
      </c>
      <c r="M824" s="15">
        <v>16.98</v>
      </c>
      <c r="N824" s="15">
        <v>2.161</v>
      </c>
      <c r="O824" s="15">
        <f>V824-M824</f>
        <v>1.2199999999999989</v>
      </c>
      <c r="P824" s="16">
        <f>N824/L824</f>
        <v>0.41621725731895221</v>
      </c>
      <c r="Q824" s="14"/>
      <c r="R824" s="14"/>
      <c r="S824" s="17">
        <v>0.50044874000000006</v>
      </c>
      <c r="T824" s="15">
        <v>16.98</v>
      </c>
      <c r="U824" s="15">
        <v>17.32</v>
      </c>
      <c r="V824" s="15">
        <v>18.2</v>
      </c>
      <c r="W824" s="14" t="s">
        <v>5738</v>
      </c>
      <c r="X824" s="14">
        <v>12</v>
      </c>
      <c r="Y824" s="10">
        <f>AC824-AB824</f>
        <v>1</v>
      </c>
      <c r="Z824" s="18">
        <v>0</v>
      </c>
      <c r="AA824" s="18">
        <v>0</v>
      </c>
      <c r="AB824" s="18"/>
      <c r="AC824" s="18">
        <v>1</v>
      </c>
      <c r="AD824" s="1" t="s">
        <v>5739</v>
      </c>
      <c r="AE824" s="1" t="s">
        <v>5740</v>
      </c>
      <c r="AF824" s="4">
        <v>2.5499999999999998</v>
      </c>
      <c r="AG824" s="4">
        <v>7.08</v>
      </c>
    </row>
    <row r="825" spans="1:33" ht="47.25" customHeight="1" x14ac:dyDescent="0.25">
      <c r="A825" s="10" t="s">
        <v>6617</v>
      </c>
      <c r="B825" s="11" t="s">
        <v>33</v>
      </c>
      <c r="C825" s="12" t="s">
        <v>6618</v>
      </c>
      <c r="D825" s="27"/>
      <c r="E825" s="14" t="s">
        <v>35</v>
      </c>
      <c r="F825" s="11" t="str">
        <f>HYPERLINK("https://redirect.sdcdeals.com/redirect?destination=https%3A%2F%2Fwww.amazon.com%2Fdp%2FB09N6HSTG6%3Fth%3D1%26psc%3D1%26tag%3Dsdcdeals03-20", "Amazon Link")</f>
        <v>Amazon Link</v>
      </c>
      <c r="G825" s="11" t="s">
        <v>36</v>
      </c>
      <c r="H825" s="14" t="s">
        <v>6619</v>
      </c>
      <c r="I825" s="11" t="str">
        <f>HYPERLINK("https://redirect.sdcdeals.com/redirect?code=763034&amp;mavely=https://mavely.app.link/e/bhESV2wGrGb&amp;destination=https%3A%2F%2Fwww.kohls.com%2Fsearch.jsp%3Fsubmit-search%3Dweb-regular%26search%3D18774444", "Retail Link")</f>
        <v>Retail Link</v>
      </c>
      <c r="J825" s="14" t="s">
        <v>6581</v>
      </c>
      <c r="K825" s="13" t="s">
        <v>6620</v>
      </c>
      <c r="L825" s="15">
        <v>20.847999999999999</v>
      </c>
      <c r="M825" s="15">
        <v>43.02</v>
      </c>
      <c r="N825" s="15">
        <v>8.6390000000000029</v>
      </c>
      <c r="O825" s="15">
        <f>V825-M825</f>
        <v>6.5</v>
      </c>
      <c r="P825" s="16">
        <f>N825/L825</f>
        <v>0.41438027628549517</v>
      </c>
      <c r="Q825" s="14">
        <v>846</v>
      </c>
      <c r="R825" s="14"/>
      <c r="S825" s="17">
        <v>1.9554979400000001</v>
      </c>
      <c r="T825" s="15">
        <v>43.02</v>
      </c>
      <c r="U825" s="15">
        <v>47.05</v>
      </c>
      <c r="V825" s="15">
        <v>49.52</v>
      </c>
      <c r="W825" s="14" t="s">
        <v>60</v>
      </c>
      <c r="X825" s="14">
        <v>1</v>
      </c>
      <c r="Y825" s="10">
        <f>AC825-AB825</f>
        <v>47534</v>
      </c>
      <c r="Z825" s="18">
        <v>47</v>
      </c>
      <c r="AA825" s="18">
        <v>126</v>
      </c>
      <c r="AB825" s="18">
        <v>0</v>
      </c>
      <c r="AC825" s="18">
        <v>47534</v>
      </c>
      <c r="AD825" s="1" t="s">
        <v>6621</v>
      </c>
      <c r="AE825" s="1" t="s">
        <v>6622</v>
      </c>
      <c r="AF825" s="4">
        <v>7.31</v>
      </c>
      <c r="AG825" s="4">
        <v>7.08</v>
      </c>
    </row>
    <row r="826" spans="1:33" ht="47.25" customHeight="1" x14ac:dyDescent="0.25">
      <c r="A826" s="10" t="s">
        <v>2579</v>
      </c>
      <c r="B826" s="11" t="s">
        <v>33</v>
      </c>
      <c r="C826" s="12" t="s">
        <v>2580</v>
      </c>
      <c r="D826" s="27"/>
      <c r="E826" s="14" t="s">
        <v>35</v>
      </c>
      <c r="F826" s="11" t="str">
        <f>HYPERLINK("https://redirect.sdcdeals.com/redirect?destination=https%3A%2F%2Fwww.amazon.com%2Fdp%2FB09Y2FDX6V%3Fth%3D1%26psc%3D1%26tag%3Dsdcdeals03-20", "Amazon Link")</f>
        <v>Amazon Link</v>
      </c>
      <c r="G826" s="11" t="s">
        <v>36</v>
      </c>
      <c r="H826" s="14" t="s">
        <v>2581</v>
      </c>
      <c r="I826" s="11" t="str">
        <f>HYPERLINK("https://redirect.sdcdeals.com/redirect?code=763034&amp;mavely=https://mavely.app.link/e/bhESV2wGrGb&amp;destination=https%3A%2F%2Fwww.kohls.com%2Fsearch.jsp%3Fsubmit-search%3Dweb-regular%26search%3D73547774", "Retail Link")</f>
        <v>Retail Link</v>
      </c>
      <c r="J826" s="14" t="s">
        <v>2570</v>
      </c>
      <c r="K826" s="13" t="s">
        <v>2582</v>
      </c>
      <c r="L826" s="15">
        <v>7.6959999999999997</v>
      </c>
      <c r="M826" s="15">
        <v>21.5</v>
      </c>
      <c r="N826" s="15">
        <v>3.178999999999998</v>
      </c>
      <c r="O826" s="15">
        <f>V826-M826</f>
        <v>-1.8000000000000007</v>
      </c>
      <c r="P826" s="16">
        <f>N826/L826</f>
        <v>0.41307172557172533</v>
      </c>
      <c r="Q826" s="14">
        <v>128900</v>
      </c>
      <c r="R826" s="14"/>
      <c r="S826" s="17">
        <v>1.06042222</v>
      </c>
      <c r="T826" s="15">
        <v>21.5</v>
      </c>
      <c r="U826" s="15">
        <v>19.239999999999998</v>
      </c>
      <c r="V826" s="15">
        <v>19.7</v>
      </c>
      <c r="W826" s="14" t="s">
        <v>1837</v>
      </c>
      <c r="X826" s="14">
        <v>4</v>
      </c>
      <c r="Y826" s="10">
        <f>AC826-AB826</f>
        <v>388</v>
      </c>
      <c r="Z826" s="18">
        <v>24</v>
      </c>
      <c r="AA826" s="18">
        <v>96</v>
      </c>
      <c r="AB826" s="18">
        <v>11</v>
      </c>
      <c r="AC826" s="18">
        <v>399</v>
      </c>
      <c r="AD826" s="1" t="s">
        <v>2573</v>
      </c>
      <c r="AE826" s="1" t="s">
        <v>76</v>
      </c>
      <c r="AG826" s="4">
        <v>7.4</v>
      </c>
    </row>
    <row r="827" spans="1:33" ht="47.25" customHeight="1" x14ac:dyDescent="0.25">
      <c r="A827" s="10" t="s">
        <v>1336</v>
      </c>
      <c r="B827" s="11" t="s">
        <v>33</v>
      </c>
      <c r="C827" s="12" t="s">
        <v>1337</v>
      </c>
      <c r="D827" s="27"/>
      <c r="E827" s="14" t="s">
        <v>35</v>
      </c>
      <c r="F827" s="11" t="str">
        <f>HYPERLINK("https://redirect.sdcdeals.com/redirect?destination=https%3A%2F%2Fwww.amazon.com%2Fdp%2FB0BKR4JPM9%3Fth%3D1%26psc%3D1%26tag%3Dsdcdeals03-20", "Amazon Link")</f>
        <v>Amazon Link</v>
      </c>
      <c r="G827" s="11" t="s">
        <v>36</v>
      </c>
      <c r="H827" s="14" t="s">
        <v>1338</v>
      </c>
      <c r="I827" s="11" t="str">
        <f>HYPERLINK("https://redirect.sdcdeals.com/redirect?code=763034&amp;mavely=https://mavely.app.link/e/bhESV2wGrGb&amp;destination=https%3A%2F%2Fwww.kohls.com%2Fsearch.jsp%3Fsubmit-search%3Dweb-regular%26search%3D54784942", "Retail Link")</f>
        <v>Retail Link</v>
      </c>
      <c r="J827" s="14" t="s">
        <v>1327</v>
      </c>
      <c r="K827" s="13" t="s">
        <v>1339</v>
      </c>
      <c r="L827" s="15">
        <v>21.6</v>
      </c>
      <c r="M827" s="15">
        <v>43.92</v>
      </c>
      <c r="N827" s="15">
        <v>8.9220000000000006</v>
      </c>
      <c r="O827" s="15">
        <f>V827-M827</f>
        <v>-5.3999999999999986</v>
      </c>
      <c r="P827" s="16">
        <f>N827/L827</f>
        <v>0.41305555555555556</v>
      </c>
      <c r="Q827" s="14">
        <v>1381077</v>
      </c>
      <c r="R827" s="14"/>
      <c r="S827" s="17">
        <v>0.62831669999999995</v>
      </c>
      <c r="T827" s="15">
        <v>43.92</v>
      </c>
      <c r="U827" s="15">
        <v>34.68</v>
      </c>
      <c r="V827" s="15">
        <v>38.520000000000003</v>
      </c>
      <c r="W827" s="14" t="s">
        <v>100</v>
      </c>
      <c r="X827" s="14">
        <v>1</v>
      </c>
      <c r="Y827" s="10">
        <f>AC827-AB827</f>
        <v>0</v>
      </c>
      <c r="Z827" s="18">
        <v>7</v>
      </c>
      <c r="AA827" s="18">
        <v>20</v>
      </c>
      <c r="AB827" s="18">
        <v>1</v>
      </c>
      <c r="AC827" s="18">
        <v>1</v>
      </c>
      <c r="AD827" s="1" t="s">
        <v>1329</v>
      </c>
      <c r="AE827" s="1" t="s">
        <v>1330</v>
      </c>
      <c r="AF827" s="4">
        <v>7.47</v>
      </c>
      <c r="AG827" s="4">
        <v>6.81</v>
      </c>
    </row>
    <row r="828" spans="1:33" ht="47.25" customHeight="1" x14ac:dyDescent="0.25">
      <c r="A828" s="10" t="s">
        <v>1298</v>
      </c>
      <c r="B828" s="11" t="s">
        <v>33</v>
      </c>
      <c r="C828" s="12" t="s">
        <v>1299</v>
      </c>
      <c r="D828" s="27"/>
      <c r="E828" s="14" t="s">
        <v>35</v>
      </c>
      <c r="F828" s="11" t="str">
        <f>HYPERLINK("https://redirect.sdcdeals.com/redirect?destination=https%3A%2F%2Fwww.amazon.com%2Fdp%2FB09N6BJ6XL%3Fth%3D1%26psc%3D1%26tag%3Dsdcdeals03-20", "Amazon Link")</f>
        <v>Amazon Link</v>
      </c>
      <c r="G828" s="11" t="s">
        <v>36</v>
      </c>
      <c r="H828" s="14" t="s">
        <v>1300</v>
      </c>
      <c r="I828" s="11" t="str">
        <f>HYPERLINK("https://redirect.sdcdeals.com/redirect?code=763034&amp;mavely=https://mavely.app.link/e/bhESV2wGrGb&amp;destination=https%3A%2F%2Fwww.kohls.com%2Fsearch.jsp%3Fsubmit-search%3Dweb-regular%26search%3D60161514", "Retail Link")</f>
        <v>Retail Link</v>
      </c>
      <c r="J828" s="14" t="s">
        <v>1290</v>
      </c>
      <c r="K828" s="13" t="s">
        <v>1301</v>
      </c>
      <c r="L828" s="15">
        <v>39.991999999999997</v>
      </c>
      <c r="M828" s="15">
        <v>74.45</v>
      </c>
      <c r="N828" s="15">
        <v>16.480499999999999</v>
      </c>
      <c r="O828" s="15">
        <f>V828-M828</f>
        <v>-21.470000000000006</v>
      </c>
      <c r="P828" s="16">
        <f>N828/L828</f>
        <v>0.41209491898379674</v>
      </c>
      <c r="Q828" s="14">
        <v>5499</v>
      </c>
      <c r="R828" s="14"/>
      <c r="S828" s="17">
        <v>1.5983495000000001</v>
      </c>
      <c r="T828" s="15">
        <v>74.45</v>
      </c>
      <c r="U828" s="15">
        <v>56.1</v>
      </c>
      <c r="V828" s="15">
        <v>52.98</v>
      </c>
      <c r="W828" s="14" t="s">
        <v>88</v>
      </c>
      <c r="X828" s="14">
        <v>1</v>
      </c>
      <c r="Y828" s="10">
        <f>AC828-AB828</f>
        <v>24027</v>
      </c>
      <c r="Z828" s="18">
        <v>19</v>
      </c>
      <c r="AA828" s="18">
        <v>62</v>
      </c>
      <c r="AB828" s="18">
        <v>4</v>
      </c>
      <c r="AC828" s="18">
        <v>24031</v>
      </c>
      <c r="AD828" s="1" t="s">
        <v>1292</v>
      </c>
      <c r="AE828" s="1" t="s">
        <v>1293</v>
      </c>
      <c r="AF828" s="4">
        <v>12.66</v>
      </c>
      <c r="AG828" s="4">
        <v>6.81</v>
      </c>
    </row>
    <row r="829" spans="1:33" ht="47.25" customHeight="1" x14ac:dyDescent="0.25">
      <c r="A829" s="10" t="s">
        <v>7052</v>
      </c>
      <c r="B829" s="11" t="s">
        <v>33</v>
      </c>
      <c r="C829" s="12" t="s">
        <v>7053</v>
      </c>
      <c r="D829" s="27"/>
      <c r="E829" s="14" t="s">
        <v>35</v>
      </c>
      <c r="F829" s="11" t="str">
        <f>HYPERLINK("https://redirect.sdcdeals.com/redirect?destination=https%3A%2F%2Fwww.amazon.com%2Fdp%2FB09JKYLZBR%3Fth%3D1%26psc%3D1%26tag%3Dsdcdeals03-20", "Amazon Link")</f>
        <v>Amazon Link</v>
      </c>
      <c r="G829" s="11" t="s">
        <v>36</v>
      </c>
      <c r="H829" s="14" t="s">
        <v>7054</v>
      </c>
      <c r="I829" s="11" t="str">
        <f>HYPERLINK("https://redirect.sdcdeals.com/redirect?code=763034&amp;mavely=https://mavely.app.link/e/bhESV2wGrGb&amp;destination=https%3A%2F%2Fwww.kohls.com%2Fsearch.jsp%3Fsubmit-search%3Dweb-regular%26search%3D29517595", "Retail Link")</f>
        <v>Retail Link</v>
      </c>
      <c r="J829" s="14" t="s">
        <v>7055</v>
      </c>
      <c r="K829" s="13" t="s">
        <v>7056</v>
      </c>
      <c r="L829" s="15">
        <v>15.6</v>
      </c>
      <c r="M829" s="15">
        <v>33.909999999999997</v>
      </c>
      <c r="N829" s="15">
        <v>6.4134999999999973</v>
      </c>
      <c r="O829" s="15">
        <f>V829-M829</f>
        <v>2.470000000000006</v>
      </c>
      <c r="P829" s="16">
        <f>N829/L829</f>
        <v>0.41112179487179473</v>
      </c>
      <c r="Q829" s="14">
        <v>89212</v>
      </c>
      <c r="R829" s="14"/>
      <c r="S829" s="17">
        <v>0.52910880000000005</v>
      </c>
      <c r="T829" s="15">
        <v>30.6</v>
      </c>
      <c r="U829" s="15">
        <v>36.28</v>
      </c>
      <c r="V829" s="15">
        <v>36.380000000000003</v>
      </c>
      <c r="W829" s="14" t="s">
        <v>7057</v>
      </c>
      <c r="X829" s="14">
        <v>10</v>
      </c>
      <c r="Y829" s="10">
        <f>AC829-AB829</f>
        <v>495</v>
      </c>
      <c r="Z829" s="18">
        <v>30</v>
      </c>
      <c r="AA829" s="18">
        <v>102</v>
      </c>
      <c r="AB829" s="18">
        <v>33</v>
      </c>
      <c r="AC829" s="18">
        <v>528</v>
      </c>
      <c r="AD829" s="1" t="s">
        <v>7058</v>
      </c>
      <c r="AE829" s="1" t="s">
        <v>6140</v>
      </c>
      <c r="AF829" s="4">
        <v>5.76</v>
      </c>
      <c r="AG829" s="4">
        <v>6.81</v>
      </c>
    </row>
    <row r="830" spans="1:33" ht="47.25" customHeight="1" x14ac:dyDescent="0.25">
      <c r="A830" s="10" t="s">
        <v>1649</v>
      </c>
      <c r="B830" s="11" t="s">
        <v>33</v>
      </c>
      <c r="C830" s="12" t="s">
        <v>1650</v>
      </c>
      <c r="D830" s="27"/>
      <c r="E830" s="14" t="s">
        <v>35</v>
      </c>
      <c r="F830" s="11" t="str">
        <f>HYPERLINK("https://redirect.sdcdeals.com/redirect?destination=https%3A%2F%2Fwww.amazon.com%2Fdp%2FB0BFT56DNG%3Fth%3D1%26psc%3D1%26tag%3Dsdcdeals03-20", "Amazon Link")</f>
        <v>Amazon Link</v>
      </c>
      <c r="G830" s="11" t="s">
        <v>36</v>
      </c>
      <c r="H830" s="14" t="s">
        <v>1651</v>
      </c>
      <c r="I830" s="11" t="str">
        <f>HYPERLINK("https://redirect.sdcdeals.com/redirect?code=763034&amp;mavely=https://mavely.app.link/e/bhESV2wGrGb&amp;destination=https%3A%2F%2Fwww.kohls.com%2Fsearch.jsp%3Fsubmit-search%3Dweb-regular%26search%3D71786083", "Retail Link")</f>
        <v>Retail Link</v>
      </c>
      <c r="J830" s="14" t="s">
        <v>1614</v>
      </c>
      <c r="K830" s="13" t="s">
        <v>1652</v>
      </c>
      <c r="L830" s="15">
        <v>44.095999999999997</v>
      </c>
      <c r="M830" s="15">
        <v>89.81</v>
      </c>
      <c r="N830" s="15">
        <v>18.072500000000002</v>
      </c>
      <c r="O830" s="15">
        <f>V830-M830</f>
        <v>20.759999999999991</v>
      </c>
      <c r="P830" s="16">
        <f>N830/L830</f>
        <v>0.40984443033381718</v>
      </c>
      <c r="Q830" s="14">
        <v>2197019</v>
      </c>
      <c r="R830" s="14"/>
      <c r="S830" s="17">
        <v>1.6997620200000001</v>
      </c>
      <c r="T830" s="15">
        <v>89.81</v>
      </c>
      <c r="U830" s="15">
        <v>111.23</v>
      </c>
      <c r="V830" s="15">
        <v>110.57</v>
      </c>
      <c r="W830" s="14" t="s">
        <v>330</v>
      </c>
      <c r="X830" s="14">
        <v>1</v>
      </c>
      <c r="Y830" s="10">
        <f>AC830-AB830</f>
        <v>2</v>
      </c>
      <c r="Z830" s="18">
        <v>3</v>
      </c>
      <c r="AA830" s="18">
        <v>3</v>
      </c>
      <c r="AB830" s="18"/>
      <c r="AC830" s="18">
        <v>2</v>
      </c>
      <c r="AD830" s="1" t="s">
        <v>1616</v>
      </c>
      <c r="AE830" s="1" t="s">
        <v>1627</v>
      </c>
      <c r="AF830" s="4">
        <v>15.27</v>
      </c>
      <c r="AG830" s="4">
        <v>14.17</v>
      </c>
    </row>
    <row r="831" spans="1:33" ht="47.25" customHeight="1" x14ac:dyDescent="0.25">
      <c r="A831" s="10" t="s">
        <v>2574</v>
      </c>
      <c r="B831" s="11" t="s">
        <v>33</v>
      </c>
      <c r="C831" s="12" t="s">
        <v>2575</v>
      </c>
      <c r="D831" s="27"/>
      <c r="E831" s="14" t="s">
        <v>35</v>
      </c>
      <c r="F831" s="11" t="str">
        <f>HYPERLINK("https://redirect.sdcdeals.com/redirect?destination=https%3A%2F%2Fwww.amazon.com%2Fdp%2FB09Y2HCBJD%3Fth%3D1%26psc%3D1%26tag%3Dsdcdeals03-20", "Amazon Link")</f>
        <v>Amazon Link</v>
      </c>
      <c r="G831" s="11" t="s">
        <v>36</v>
      </c>
      <c r="H831" s="14" t="s">
        <v>2576</v>
      </c>
      <c r="I831" s="11" t="str">
        <f>HYPERLINK("https://redirect.sdcdeals.com/redirect?code=763034&amp;mavely=https://mavely.app.link/e/bhESV2wGrGb&amp;destination=https%3A%2F%2Fwww.kohls.com%2Fsearch.jsp%3Fsubmit-search%3Dweb-regular%26search%3D73547773", "Retail Link")</f>
        <v>Retail Link</v>
      </c>
      <c r="J831" s="14" t="s">
        <v>2570</v>
      </c>
      <c r="K831" s="13" t="s">
        <v>2577</v>
      </c>
      <c r="L831" s="15">
        <v>7.6959999999999997</v>
      </c>
      <c r="M831" s="15">
        <v>19.239999999999998</v>
      </c>
      <c r="N831" s="15">
        <v>3.1379999999999999</v>
      </c>
      <c r="O831" s="15">
        <f>V831-M831</f>
        <v>3.2200000000000024</v>
      </c>
      <c r="P831" s="16">
        <f>N831/L831</f>
        <v>0.40774428274428276</v>
      </c>
      <c r="Q831" s="14">
        <v>91758</v>
      </c>
      <c r="R831" s="14"/>
      <c r="S831" s="17">
        <v>0.48942564</v>
      </c>
      <c r="T831" s="15">
        <v>19.239999999999998</v>
      </c>
      <c r="U831" s="15">
        <v>19.71</v>
      </c>
      <c r="V831" s="15">
        <v>22.46</v>
      </c>
      <c r="W831" s="14" t="s">
        <v>2578</v>
      </c>
      <c r="X831" s="14">
        <v>4</v>
      </c>
      <c r="Y831" s="10">
        <f>AC831-AB831</f>
        <v>387</v>
      </c>
      <c r="Z831" s="18">
        <v>30</v>
      </c>
      <c r="AA831" s="18">
        <v>97</v>
      </c>
      <c r="AB831" s="18">
        <v>11</v>
      </c>
      <c r="AC831" s="18">
        <v>398</v>
      </c>
      <c r="AD831" s="1" t="s">
        <v>2573</v>
      </c>
      <c r="AE831" s="1" t="s">
        <v>76</v>
      </c>
      <c r="AG831" s="4">
        <v>5.52</v>
      </c>
    </row>
    <row r="832" spans="1:33" ht="47.25" customHeight="1" x14ac:dyDescent="0.25">
      <c r="A832" s="10" t="s">
        <v>6718</v>
      </c>
      <c r="B832" s="11" t="s">
        <v>33</v>
      </c>
      <c r="C832" s="12" t="s">
        <v>6719</v>
      </c>
      <c r="D832" s="27"/>
      <c r="E832" s="14" t="s">
        <v>35</v>
      </c>
      <c r="F832" s="11" t="str">
        <f>HYPERLINK("https://redirect.sdcdeals.com/redirect?destination=https%3A%2F%2Fwww.amazon.com%2Fdp%2FB0BFT5BQ57%3Fth%3D1%26psc%3D1%26tag%3Dsdcdeals03-20", "Amazon Link")</f>
        <v>Amazon Link</v>
      </c>
      <c r="G832" s="11" t="s">
        <v>36</v>
      </c>
      <c r="H832" s="14" t="s">
        <v>6720</v>
      </c>
      <c r="I832" s="11" t="str">
        <f>HYPERLINK("https://redirect.sdcdeals.com/redirect?code=763034&amp;mavely=https://mavely.app.link/e/bhESV2wGrGb&amp;destination=https%3A%2F%2Fwww.kohls.com%2Fsearch.jsp%3Fsubmit-search%3Dweb-regular%26search%3D77474816", "Retail Link")</f>
        <v>Retail Link</v>
      </c>
      <c r="J832" s="14" t="s">
        <v>6710</v>
      </c>
      <c r="K832" s="13" t="s">
        <v>6721</v>
      </c>
      <c r="L832" s="15">
        <v>63</v>
      </c>
      <c r="M832" s="15">
        <v>128.1</v>
      </c>
      <c r="N832" s="15">
        <v>25.634999999999991</v>
      </c>
      <c r="O832" s="15">
        <f>V832-M832</f>
        <v>21.409999999999997</v>
      </c>
      <c r="P832" s="16">
        <f>N832/L832</f>
        <v>0.40690476190476177</v>
      </c>
      <c r="Q832" s="14">
        <v>3639163</v>
      </c>
      <c r="R832" s="14"/>
      <c r="S832" s="17">
        <v>3.2959068999999999</v>
      </c>
      <c r="T832" s="15">
        <v>128.1</v>
      </c>
      <c r="U832" s="15">
        <v>110.26</v>
      </c>
      <c r="V832" s="15">
        <v>149.51</v>
      </c>
      <c r="W832" s="14" t="s">
        <v>613</v>
      </c>
      <c r="X832" s="14">
        <v>1</v>
      </c>
      <c r="Y832" s="10">
        <f>AC832-AB832</f>
        <v>7</v>
      </c>
      <c r="Z832" s="18">
        <v>1</v>
      </c>
      <c r="AA832" s="18">
        <v>2</v>
      </c>
      <c r="AB832" s="18">
        <v>2</v>
      </c>
      <c r="AC832" s="18">
        <v>9</v>
      </c>
      <c r="AD832" s="1" t="s">
        <v>6712</v>
      </c>
      <c r="AE832" s="1" t="s">
        <v>138</v>
      </c>
      <c r="AF832" s="4">
        <v>21.78</v>
      </c>
      <c r="AG832" s="4">
        <v>20.25</v>
      </c>
    </row>
    <row r="833" spans="1:33" ht="47.25" customHeight="1" x14ac:dyDescent="0.25">
      <c r="A833" s="10" t="s">
        <v>3494</v>
      </c>
      <c r="B833" s="11" t="s">
        <v>33</v>
      </c>
      <c r="C833" s="12" t="s">
        <v>3495</v>
      </c>
      <c r="D833" s="27"/>
      <c r="E833" s="14" t="s">
        <v>35</v>
      </c>
      <c r="F833" s="11" t="str">
        <f>HYPERLINK("https://redirect.sdcdeals.com/redirect?destination=https%3A%2F%2Fwww.amazon.com%2Fdp%2FB0BKQWV6BD%3Fth%3D1%26psc%3D1%26tag%3Dsdcdeals03-20", "Amazon Link")</f>
        <v>Amazon Link</v>
      </c>
      <c r="G833" s="11" t="s">
        <v>36</v>
      </c>
      <c r="H833" s="14" t="s">
        <v>3496</v>
      </c>
      <c r="I833" s="11" t="str">
        <f>HYPERLINK("https://redirect.sdcdeals.com/redirect?code=763034&amp;mavely=https://mavely.app.link/e/bhESV2wGrGb&amp;destination=https%3A%2F%2Fwww.kohls.com%2Fsearch.jsp%3Fsubmit-search%3Dweb-regular%26search%3D58450462", "Retail Link")</f>
        <v>Retail Link</v>
      </c>
      <c r="J833" s="14" t="s">
        <v>3497</v>
      </c>
      <c r="K833" s="13" t="s">
        <v>3498</v>
      </c>
      <c r="L833" s="15">
        <v>24</v>
      </c>
      <c r="M833" s="15">
        <v>50.07</v>
      </c>
      <c r="N833" s="15">
        <v>9.7194999999999965</v>
      </c>
      <c r="O833" s="15">
        <f>V833-M833</f>
        <v>-6.740000000000002</v>
      </c>
      <c r="P833" s="16">
        <f>N833/L833</f>
        <v>0.4049791666666665</v>
      </c>
      <c r="Q833" s="14">
        <v>826894</v>
      </c>
      <c r="R833" s="14"/>
      <c r="S833" s="17">
        <v>0.79366320000000001</v>
      </c>
      <c r="T833" s="15">
        <v>50.07</v>
      </c>
      <c r="U833" s="15">
        <v>39.39</v>
      </c>
      <c r="V833" s="15">
        <v>43.33</v>
      </c>
      <c r="W833" s="14" t="s">
        <v>269</v>
      </c>
      <c r="X833" s="14">
        <v>1</v>
      </c>
      <c r="Y833" s="10">
        <f>AC833-AB833</f>
        <v>9</v>
      </c>
      <c r="Z833" s="18">
        <v>12</v>
      </c>
      <c r="AA833" s="18">
        <v>41</v>
      </c>
      <c r="AB833" s="18">
        <v>0</v>
      </c>
      <c r="AC833" s="18">
        <v>9</v>
      </c>
      <c r="AD833" s="1" t="s">
        <v>3499</v>
      </c>
      <c r="AE833" s="1" t="s">
        <v>3500</v>
      </c>
      <c r="AF833" s="4">
        <v>8.52</v>
      </c>
      <c r="AG833" s="4">
        <v>8.84</v>
      </c>
    </row>
    <row r="834" spans="1:33" ht="47.25" customHeight="1" x14ac:dyDescent="0.25">
      <c r="A834" s="10" t="s">
        <v>5309</v>
      </c>
      <c r="B834" s="11" t="s">
        <v>33</v>
      </c>
      <c r="C834" s="12" t="s">
        <v>5310</v>
      </c>
      <c r="D834" s="27"/>
      <c r="E834" s="14" t="s">
        <v>35</v>
      </c>
      <c r="F834" s="11" t="str">
        <f>HYPERLINK("https://redirect.sdcdeals.com/redirect?destination=https%3A%2F%2Fwww.amazon.com%2Fdp%2FB0019ZR4WM%3Fth%3D1%26psc%3D1%26tag%3Dsdcdeals03-20", "Amazon Link")</f>
        <v>Amazon Link</v>
      </c>
      <c r="G834" s="11" t="s">
        <v>36</v>
      </c>
      <c r="H834" s="14" t="s">
        <v>5311</v>
      </c>
      <c r="I834" s="11" t="str">
        <f>HYPERLINK("https://redirect.sdcdeals.com/redirect?code=763034&amp;mavely=https://mavely.app.link/e/bhESV2wGrGb&amp;destination=https%3A%2F%2Fwww.kohls.com%2Fsearch.jsp%3Fsubmit-search%3Dweb-regular%26search%3D73123641", "Retail Link")</f>
        <v>Retail Link</v>
      </c>
      <c r="J834" s="14" t="s">
        <v>5312</v>
      </c>
      <c r="K834" s="13" t="s">
        <v>5313</v>
      </c>
      <c r="L834" s="15">
        <v>7.4319999999999986</v>
      </c>
      <c r="M834" s="15">
        <v>20.99</v>
      </c>
      <c r="N834" s="15">
        <v>3.009500000000001</v>
      </c>
      <c r="O834" s="15">
        <f>V834-M834</f>
        <v>3.7700000000000031</v>
      </c>
      <c r="P834" s="16">
        <f>N834/L834</f>
        <v>0.40493810548977416</v>
      </c>
      <c r="Q834" s="14">
        <v>21404</v>
      </c>
      <c r="R834" s="14"/>
      <c r="S834" s="17">
        <v>1.5211878000000001</v>
      </c>
      <c r="T834" s="15">
        <v>20.99</v>
      </c>
      <c r="U834" s="15">
        <v>24.67</v>
      </c>
      <c r="V834" s="15">
        <v>24.76</v>
      </c>
      <c r="W834" s="14" t="s">
        <v>1143</v>
      </c>
      <c r="X834" s="14">
        <v>8</v>
      </c>
      <c r="Y834" s="10">
        <f>AC834-AB834</f>
        <v>5116</v>
      </c>
      <c r="Z834" s="18">
        <v>48</v>
      </c>
      <c r="AA834" s="18">
        <v>136</v>
      </c>
      <c r="AB834" s="18">
        <v>22</v>
      </c>
      <c r="AC834" s="18">
        <v>5138</v>
      </c>
      <c r="AD834" s="1" t="s">
        <v>5314</v>
      </c>
      <c r="AE834" s="1" t="s">
        <v>5315</v>
      </c>
      <c r="AF834" s="4">
        <v>3.15</v>
      </c>
      <c r="AG834" s="4">
        <v>7.4</v>
      </c>
    </row>
    <row r="835" spans="1:33" ht="47.25" customHeight="1" x14ac:dyDescent="0.25">
      <c r="A835" s="10" t="s">
        <v>4469</v>
      </c>
      <c r="B835" s="11" t="s">
        <v>33</v>
      </c>
      <c r="C835" s="12" t="s">
        <v>4470</v>
      </c>
      <c r="D835" s="27"/>
      <c r="E835" s="14" t="s">
        <v>35</v>
      </c>
      <c r="F835" s="11" t="str">
        <f>HYPERLINK("https://redirect.sdcdeals.com/redirect?destination=https%3A%2F%2Fwww.amazon.com%2Fdp%2FB0B1KCWCN8%3Fth%3D1%26psc%3D1%26tag%3Dsdcdeals03-20", "Amazon Link")</f>
        <v>Amazon Link</v>
      </c>
      <c r="G835" s="11" t="s">
        <v>36</v>
      </c>
      <c r="H835" s="14" t="s">
        <v>4471</v>
      </c>
      <c r="I835" s="11" t="str">
        <f>HYPERLINK("https://redirect.sdcdeals.com/redirect?code=763034&amp;mavely=https://mavely.app.link/e/bhESV2wGrGb&amp;destination=https%3A%2F%2Fwww.kohls.com%2Fsearch.jsp%3Fsubmit-search%3Dweb-regular%26search%3D68949268", "Retail Link")</f>
        <v>Retail Link</v>
      </c>
      <c r="J835" s="14" t="s">
        <v>4347</v>
      </c>
      <c r="K835" s="13" t="s">
        <v>4472</v>
      </c>
      <c r="L835" s="15">
        <v>20.847999999999999</v>
      </c>
      <c r="M835" s="15">
        <v>42.46</v>
      </c>
      <c r="N835" s="15">
        <v>8.4330000000000034</v>
      </c>
      <c r="O835" s="15">
        <f>V835-M835</f>
        <v>4.5399999999999991</v>
      </c>
      <c r="P835" s="16">
        <f>N835/L835</f>
        <v>0.4044992325402918</v>
      </c>
      <c r="Q835" s="14">
        <v>846</v>
      </c>
      <c r="R835" s="14"/>
      <c r="S835" s="17">
        <v>1.6799204400000001</v>
      </c>
      <c r="T835" s="15">
        <v>42.46</v>
      </c>
      <c r="U835" s="15">
        <v>43.37</v>
      </c>
      <c r="V835" s="15">
        <v>47</v>
      </c>
      <c r="W835" s="14" t="s">
        <v>282</v>
      </c>
      <c r="X835" s="14">
        <v>1</v>
      </c>
      <c r="Y835" s="10">
        <f>AC835-AB835</f>
        <v>47534</v>
      </c>
      <c r="Z835" s="18">
        <v>60</v>
      </c>
      <c r="AA835" s="18">
        <v>144</v>
      </c>
      <c r="AB835" s="18">
        <v>0</v>
      </c>
      <c r="AC835" s="18">
        <v>47534</v>
      </c>
      <c r="AD835" s="1" t="s">
        <v>4355</v>
      </c>
      <c r="AE835" s="1" t="s">
        <v>4356</v>
      </c>
      <c r="AF835" s="4">
        <v>7.22</v>
      </c>
      <c r="AG835" s="4">
        <v>6.81</v>
      </c>
    </row>
    <row r="836" spans="1:33" ht="47.25" hidden="1" customHeight="1" x14ac:dyDescent="0.25">
      <c r="A836" s="10" t="s">
        <v>3395</v>
      </c>
      <c r="B836" s="11" t="s">
        <v>33</v>
      </c>
      <c r="C836" s="12" t="s">
        <v>3396</v>
      </c>
      <c r="D836" s="27"/>
      <c r="E836" s="14" t="s">
        <v>35</v>
      </c>
      <c r="F836" s="11" t="str">
        <f>HYPERLINK("https://redirect.sdcdeals.com/redirect?destination=https%3A%2F%2Fwww.amazon.com%2Fdp%2FB0CL5CTZ37%3Fth%3D1%26psc%3D1%26tag%3Dsdcdeals03-20", "Amazon Link")</f>
        <v>Amazon Link</v>
      </c>
      <c r="G836" s="11" t="s">
        <v>36</v>
      </c>
      <c r="H836" s="14" t="s">
        <v>3397</v>
      </c>
      <c r="I836" s="11" t="str">
        <f>HYPERLINK("https://redirect.sdcdeals.com/redirect?code=763034&amp;mavely=https://mavely.app.link/e/bhESV2wGrGb&amp;destination=https%3A%2F%2Fwww.kohls.com%2Fsearch.jsp%3Fsubmit-search%3Dweb-regular%26search%3D54727587", "Retail Link")</f>
        <v>Retail Link</v>
      </c>
      <c r="J836" s="14" t="s">
        <v>3376</v>
      </c>
      <c r="K836" s="13" t="s">
        <v>3398</v>
      </c>
      <c r="L836" s="15">
        <v>6.4</v>
      </c>
      <c r="M836" s="15">
        <v>15.97</v>
      </c>
      <c r="N836" s="15">
        <v>2.5645000000000011</v>
      </c>
      <c r="O836" s="15">
        <f>V836-M836</f>
        <v>5.3899999999999988</v>
      </c>
      <c r="P836" s="16">
        <f>N836/L836</f>
        <v>0.40070312500000016</v>
      </c>
      <c r="Q836" s="14"/>
      <c r="R836" s="14"/>
      <c r="S836" s="17">
        <v>0.33069300000000001</v>
      </c>
      <c r="T836" s="15">
        <v>15.97</v>
      </c>
      <c r="U836" s="15">
        <v>16.27</v>
      </c>
      <c r="V836" s="15">
        <v>21.36</v>
      </c>
      <c r="W836" s="14" t="s">
        <v>3399</v>
      </c>
      <c r="X836" s="14">
        <v>16</v>
      </c>
      <c r="Y836" s="10">
        <f>AC836-AB836</f>
        <v>0</v>
      </c>
      <c r="Z836" s="18">
        <v>2</v>
      </c>
      <c r="AA836" s="18">
        <v>72</v>
      </c>
      <c r="AB836" s="18">
        <v>0</v>
      </c>
      <c r="AC836" s="18"/>
      <c r="AD836" s="1" t="s">
        <v>1452</v>
      </c>
      <c r="AE836" s="1" t="s">
        <v>3380</v>
      </c>
      <c r="AF836" s="4">
        <v>1.59</v>
      </c>
      <c r="AG836" s="4">
        <v>4.6100000000000003</v>
      </c>
    </row>
    <row r="837" spans="1:33" ht="47.25" customHeight="1" x14ac:dyDescent="0.25">
      <c r="A837" s="10" t="s">
        <v>5438</v>
      </c>
      <c r="B837" s="11" t="s">
        <v>33</v>
      </c>
      <c r="C837" s="12" t="s">
        <v>5439</v>
      </c>
      <c r="D837" s="27"/>
      <c r="E837" s="14" t="s">
        <v>35</v>
      </c>
      <c r="F837" s="11" t="str">
        <f>HYPERLINK("https://redirect.sdcdeals.com/redirect?destination=https%3A%2F%2Fwww.amazon.com%2Fdp%2FB09KMXN36B%3Fth%3D1%26psc%3D1%26tag%3Dsdcdeals03-20", "Amazon Link")</f>
        <v>Amazon Link</v>
      </c>
      <c r="G837" s="11" t="s">
        <v>36</v>
      </c>
      <c r="H837" s="14" t="s">
        <v>5440</v>
      </c>
      <c r="I837" s="11" t="str">
        <f>HYPERLINK("https://redirect.sdcdeals.com/redirect?code=763034&amp;mavely=https://mavely.app.link/e/bhESV2wGrGb&amp;destination=https%3A%2F%2Fwww.kohls.com%2Fsearch.jsp%3Fsubmit-search%3Dweb-regular%26search%3D64067681", "Retail Link")</f>
        <v>Retail Link</v>
      </c>
      <c r="J837" s="14" t="s">
        <v>5441</v>
      </c>
      <c r="K837" s="13" t="s">
        <v>5442</v>
      </c>
      <c r="L837" s="15">
        <v>15.6</v>
      </c>
      <c r="M837" s="15">
        <v>32.93</v>
      </c>
      <c r="N837" s="15">
        <v>6.2504999999999971</v>
      </c>
      <c r="O837" s="15">
        <f>V837-M837</f>
        <v>1.6700000000000017</v>
      </c>
      <c r="P837" s="16">
        <f>N837/L837</f>
        <v>0.40067307692307674</v>
      </c>
      <c r="Q837" s="14">
        <v>742136</v>
      </c>
      <c r="R837" s="14"/>
      <c r="S837" s="17">
        <v>0.67902295999999995</v>
      </c>
      <c r="T837" s="15">
        <v>32.93</v>
      </c>
      <c r="U837" s="15">
        <v>35.090000000000003</v>
      </c>
      <c r="V837" s="15">
        <v>34.6</v>
      </c>
      <c r="W837" s="14" t="s">
        <v>88</v>
      </c>
      <c r="X837" s="14">
        <v>2</v>
      </c>
      <c r="Y837" s="10">
        <f>AC837-AB837</f>
        <v>146</v>
      </c>
      <c r="Z837" s="18">
        <v>13</v>
      </c>
      <c r="AA837" s="18">
        <v>45</v>
      </c>
      <c r="AB837" s="18">
        <v>4</v>
      </c>
      <c r="AC837" s="18">
        <v>150</v>
      </c>
      <c r="AD837" s="1" t="s">
        <v>5443</v>
      </c>
      <c r="AE837" s="1" t="s">
        <v>5444</v>
      </c>
      <c r="AF837" s="4">
        <v>5.6</v>
      </c>
      <c r="AG837" s="4">
        <v>6.14</v>
      </c>
    </row>
    <row r="838" spans="1:33" ht="47.25" customHeight="1" x14ac:dyDescent="0.25">
      <c r="A838" s="10" t="s">
        <v>3005</v>
      </c>
      <c r="B838" s="11" t="s">
        <v>33</v>
      </c>
      <c r="C838" s="12" t="s">
        <v>3006</v>
      </c>
      <c r="D838" s="27"/>
      <c r="E838" s="14" t="s">
        <v>35</v>
      </c>
      <c r="F838" s="11" t="str">
        <f>HYPERLINK("https://redirect.sdcdeals.com/redirect?destination=https%3A%2F%2Fwww.amazon.com%2Fdp%2FB09B68ZYPR%3Fth%3D1%26psc%3D1%26tag%3Dsdcdeals03-20", "Amazon Link")</f>
        <v>Amazon Link</v>
      </c>
      <c r="G838" s="11" t="s">
        <v>36</v>
      </c>
      <c r="H838" s="14" t="s">
        <v>3007</v>
      </c>
      <c r="I838" s="11" t="str">
        <f>HYPERLINK("https://redirect.sdcdeals.com/redirect?code=763034&amp;mavely=https://mavely.app.link/e/bhESV2wGrGb&amp;destination=https%3A%2F%2Fwww.kohls.com%2Fsearch.jsp%3Fsubmit-search%3Dweb-regular%26search%3D30476616", "Retail Link")</f>
        <v>Retail Link</v>
      </c>
      <c r="J838" s="14" t="s">
        <v>2989</v>
      </c>
      <c r="K838" s="13" t="s">
        <v>3008</v>
      </c>
      <c r="L838" s="15">
        <v>11.52</v>
      </c>
      <c r="M838" s="15">
        <v>32.06</v>
      </c>
      <c r="N838" s="15">
        <v>4.6010000000000026</v>
      </c>
      <c r="O838" s="15">
        <f>V838-M838</f>
        <v>4.07</v>
      </c>
      <c r="P838" s="16">
        <f>N838/L838</f>
        <v>0.39939236111111137</v>
      </c>
      <c r="Q838" s="14">
        <v>99860</v>
      </c>
      <c r="R838" s="14"/>
      <c r="S838" s="17">
        <v>1.4307983799999999</v>
      </c>
      <c r="T838" s="15">
        <v>32.06</v>
      </c>
      <c r="U838" s="15">
        <v>31.55</v>
      </c>
      <c r="V838" s="15">
        <v>36.130000000000003</v>
      </c>
      <c r="W838" s="14" t="s">
        <v>1134</v>
      </c>
      <c r="X838" s="14">
        <v>3</v>
      </c>
      <c r="Y838" s="10">
        <f>AC838-AB838</f>
        <v>819</v>
      </c>
      <c r="Z838" s="18">
        <v>26</v>
      </c>
      <c r="AA838" s="18">
        <v>95</v>
      </c>
      <c r="AB838" s="18">
        <v>4</v>
      </c>
      <c r="AC838" s="18">
        <v>823</v>
      </c>
      <c r="AD838" s="1" t="s">
        <v>2991</v>
      </c>
      <c r="AE838" s="1" t="s">
        <v>2992</v>
      </c>
      <c r="AF838" s="4">
        <v>5.45</v>
      </c>
      <c r="AG838" s="4">
        <v>11.13</v>
      </c>
    </row>
    <row r="839" spans="1:33" ht="47.25" customHeight="1" x14ac:dyDescent="0.25">
      <c r="A839" s="10" t="s">
        <v>2920</v>
      </c>
      <c r="B839" s="11" t="s">
        <v>33</v>
      </c>
      <c r="C839" s="12" t="s">
        <v>2921</v>
      </c>
      <c r="D839" s="27"/>
      <c r="E839" s="14" t="s">
        <v>35</v>
      </c>
      <c r="F839" s="11" t="str">
        <f>HYPERLINK("https://redirect.sdcdeals.com/redirect?destination=https%3A%2F%2Fwww.amazon.com%2Fdp%2FB0BKQPJPBK%3Fth%3D1%26psc%3D1%26tag%3Dsdcdeals03-20", "Amazon Link")</f>
        <v>Amazon Link</v>
      </c>
      <c r="G839" s="11" t="s">
        <v>36</v>
      </c>
      <c r="H839" s="14" t="s">
        <v>2922</v>
      </c>
      <c r="I839" s="11" t="str">
        <f>HYPERLINK("https://redirect.sdcdeals.com/redirect?code=763034&amp;mavely=https://mavely.app.link/e/bhESV2wGrGb&amp;destination=https%3A%2F%2Fwww.kohls.com%2Fsearch.jsp%3Fsubmit-search%3Dweb-regular%26search%3D29976296", "Retail Link")</f>
        <v>Retail Link</v>
      </c>
      <c r="J839" s="14" t="s">
        <v>2908</v>
      </c>
      <c r="K839" s="13" t="s">
        <v>2923</v>
      </c>
      <c r="L839" s="15">
        <v>57.2</v>
      </c>
      <c r="M839" s="15">
        <v>108.97</v>
      </c>
      <c r="N839" s="15">
        <v>22.774499999999989</v>
      </c>
      <c r="O839" s="15">
        <f>V839-M839</f>
        <v>33.319999999999993</v>
      </c>
      <c r="P839" s="16">
        <f>N839/L839</f>
        <v>0.39815559440559417</v>
      </c>
      <c r="Q839" s="14">
        <v>792759</v>
      </c>
      <c r="R839" s="14"/>
      <c r="S839" s="17">
        <v>2.7800258200000001</v>
      </c>
      <c r="T839" s="15">
        <v>108.2</v>
      </c>
      <c r="U839" s="15">
        <v>128.26</v>
      </c>
      <c r="V839" s="15">
        <v>142.29</v>
      </c>
      <c r="W839" s="14" t="s">
        <v>282</v>
      </c>
      <c r="X839" s="14">
        <v>4</v>
      </c>
      <c r="Y839" s="10">
        <f>AC839-AB839</f>
        <v>9</v>
      </c>
      <c r="Z839" s="18">
        <v>11</v>
      </c>
      <c r="AA839" s="18">
        <v>30</v>
      </c>
      <c r="AB839" s="18">
        <v>0</v>
      </c>
      <c r="AC839" s="18">
        <v>9</v>
      </c>
      <c r="AD839" s="1" t="s">
        <v>2911</v>
      </c>
      <c r="AE839" s="1" t="s">
        <v>2924</v>
      </c>
      <c r="AF839" s="4">
        <v>18.52</v>
      </c>
      <c r="AG839" s="4">
        <v>12.65</v>
      </c>
    </row>
    <row r="840" spans="1:33" ht="47.25" customHeight="1" x14ac:dyDescent="0.25">
      <c r="A840" s="10" t="s">
        <v>2942</v>
      </c>
      <c r="B840" s="11" t="s">
        <v>33</v>
      </c>
      <c r="C840" s="12" t="s">
        <v>2943</v>
      </c>
      <c r="D840" s="27"/>
      <c r="E840" s="14" t="s">
        <v>35</v>
      </c>
      <c r="F840" s="11" t="str">
        <f>HYPERLINK("https://redirect.sdcdeals.com/redirect?destination=https%3A%2F%2Fwww.amazon.com%2Fdp%2FB0BKQT1X45%3Fth%3D1%26psc%3D1%26tag%3Dsdcdeals03-20", "Amazon Link")</f>
        <v>Amazon Link</v>
      </c>
      <c r="G840" s="11" t="s">
        <v>36</v>
      </c>
      <c r="H840" s="14" t="s">
        <v>2944</v>
      </c>
      <c r="I840" s="11" t="str">
        <f>HYPERLINK("https://redirect.sdcdeals.com/redirect?code=763034&amp;mavely=https://mavely.app.link/e/bhESV2wGrGb&amp;destination=https%3A%2F%2Fwww.kohls.com%2Fsearch.jsp%3Fsubmit-search%3Dweb-regular%26search%3D29976303", "Retail Link")</f>
        <v>Retail Link</v>
      </c>
      <c r="J840" s="14" t="s">
        <v>2908</v>
      </c>
      <c r="K840" s="13" t="s">
        <v>2945</v>
      </c>
      <c r="L840" s="15">
        <v>57.2</v>
      </c>
      <c r="M840" s="15">
        <v>108.97</v>
      </c>
      <c r="N840" s="15">
        <v>22.774499999999989</v>
      </c>
      <c r="O840" s="15">
        <f>V840-M840</f>
        <v>34.430000000000007</v>
      </c>
      <c r="P840" s="16">
        <f>N840/L840</f>
        <v>0.39815559440559417</v>
      </c>
      <c r="Q840" s="14">
        <v>824673</v>
      </c>
      <c r="R840" s="14"/>
      <c r="S840" s="17">
        <v>2.9100983999999999</v>
      </c>
      <c r="T840" s="15">
        <v>108.2</v>
      </c>
      <c r="U840" s="15">
        <v>130.07</v>
      </c>
      <c r="V840" s="15">
        <v>143.4</v>
      </c>
      <c r="W840" s="14" t="s">
        <v>164</v>
      </c>
      <c r="X840" s="14">
        <v>5</v>
      </c>
      <c r="Y840" s="10">
        <f>AC840-AB840</f>
        <v>9</v>
      </c>
      <c r="Z840" s="18">
        <v>12</v>
      </c>
      <c r="AA840" s="18">
        <v>33</v>
      </c>
      <c r="AB840" s="18">
        <v>0</v>
      </c>
      <c r="AC840" s="18">
        <v>9</v>
      </c>
      <c r="AD840" s="1" t="s">
        <v>2911</v>
      </c>
      <c r="AE840" s="1" t="s">
        <v>2924</v>
      </c>
      <c r="AF840" s="4">
        <v>18.52</v>
      </c>
      <c r="AG840" s="4">
        <v>12.65</v>
      </c>
    </row>
    <row r="841" spans="1:33" ht="47.25" customHeight="1" x14ac:dyDescent="0.25">
      <c r="A841" s="10" t="s">
        <v>2958</v>
      </c>
      <c r="B841" s="11" t="s">
        <v>33</v>
      </c>
      <c r="C841" s="12" t="s">
        <v>2959</v>
      </c>
      <c r="D841" s="27"/>
      <c r="E841" s="14" t="s">
        <v>35</v>
      </c>
      <c r="F841" s="11" t="str">
        <f>HYPERLINK("https://redirect.sdcdeals.com/redirect?destination=https%3A%2F%2Fwww.amazon.com%2Fdp%2FB0BKQY6BS2%3Fth%3D1%26psc%3D1%26tag%3Dsdcdeals03-20", "Amazon Link")</f>
        <v>Amazon Link</v>
      </c>
      <c r="G841" s="11" t="s">
        <v>36</v>
      </c>
      <c r="H841" s="14" t="s">
        <v>2960</v>
      </c>
      <c r="I841" s="11" t="str">
        <f>HYPERLINK("https://redirect.sdcdeals.com/redirect?code=763034&amp;mavely=https://mavely.app.link/e/bhESV2wGrGb&amp;destination=https%3A%2F%2Fwww.kohls.com%2Fsearch.jsp%3Fsubmit-search%3Dweb-regular%26search%3D29976304", "Retail Link")</f>
        <v>Retail Link</v>
      </c>
      <c r="J841" s="14" t="s">
        <v>2908</v>
      </c>
      <c r="K841" s="13" t="s">
        <v>2961</v>
      </c>
      <c r="L841" s="15">
        <v>57.2</v>
      </c>
      <c r="M841" s="15">
        <v>108.97</v>
      </c>
      <c r="N841" s="15">
        <v>22.774499999999989</v>
      </c>
      <c r="O841" s="15">
        <f>V841-M841</f>
        <v>30.72999999999999</v>
      </c>
      <c r="P841" s="16">
        <f>N841/L841</f>
        <v>0.39815559440559417</v>
      </c>
      <c r="Q841" s="14">
        <v>792759</v>
      </c>
      <c r="R841" s="14"/>
      <c r="S841" s="17">
        <v>3.1504019799999998</v>
      </c>
      <c r="T841" s="15">
        <v>108.2</v>
      </c>
      <c r="U841" s="15">
        <v>129.52000000000001</v>
      </c>
      <c r="V841" s="15">
        <v>139.69999999999999</v>
      </c>
      <c r="W841" s="14" t="s">
        <v>53</v>
      </c>
      <c r="X841" s="14">
        <v>4</v>
      </c>
      <c r="Y841" s="10">
        <f>AC841-AB841</f>
        <v>9</v>
      </c>
      <c r="Z841" s="18">
        <v>10</v>
      </c>
      <c r="AA841" s="18">
        <v>31</v>
      </c>
      <c r="AB841" s="18">
        <v>0</v>
      </c>
      <c r="AC841" s="18">
        <v>9</v>
      </c>
      <c r="AD841" s="1" t="s">
        <v>2911</v>
      </c>
      <c r="AE841" s="1" t="s">
        <v>2924</v>
      </c>
      <c r="AF841" s="4">
        <v>18.52</v>
      </c>
      <c r="AG841" s="4">
        <v>12.65</v>
      </c>
    </row>
    <row r="842" spans="1:33" ht="47.25" customHeight="1" x14ac:dyDescent="0.25">
      <c r="A842" s="10" t="s">
        <v>2970</v>
      </c>
      <c r="B842" s="11" t="s">
        <v>33</v>
      </c>
      <c r="C842" s="12" t="s">
        <v>2971</v>
      </c>
      <c r="D842" s="27"/>
      <c r="E842" s="14" t="s">
        <v>35</v>
      </c>
      <c r="F842" s="11" t="str">
        <f>HYPERLINK("https://redirect.sdcdeals.com/redirect?destination=https%3A%2F%2Fwww.amazon.com%2Fdp%2FB0BKQYGXVF%3Fth%3D1%26psc%3D1%26tag%3Dsdcdeals03-20", "Amazon Link")</f>
        <v>Amazon Link</v>
      </c>
      <c r="G842" s="11" t="s">
        <v>36</v>
      </c>
      <c r="H842" s="14" t="s">
        <v>2972</v>
      </c>
      <c r="I842" s="11" t="str">
        <f>HYPERLINK("https://redirect.sdcdeals.com/redirect?code=763034&amp;mavely=https://mavely.app.link/e/bhESV2wGrGb&amp;destination=https%3A%2F%2Fwww.kohls.com%2Fsearch.jsp%3Fsubmit-search%3Dweb-regular%26search%3D29976306", "Retail Link")</f>
        <v>Retail Link</v>
      </c>
      <c r="J842" s="14" t="s">
        <v>2908</v>
      </c>
      <c r="K842" s="13" t="s">
        <v>2973</v>
      </c>
      <c r="L842" s="15">
        <v>57.2</v>
      </c>
      <c r="M842" s="15">
        <v>108.97</v>
      </c>
      <c r="N842" s="15">
        <v>22.774499999999989</v>
      </c>
      <c r="O842" s="15">
        <f>V842-M842</f>
        <v>28.960000000000008</v>
      </c>
      <c r="P842" s="16">
        <f>N842/L842</f>
        <v>0.39815559440559417</v>
      </c>
      <c r="Q842" s="14">
        <v>740362</v>
      </c>
      <c r="R842" s="14"/>
      <c r="S842" s="17">
        <v>3.2407914</v>
      </c>
      <c r="T842" s="15">
        <v>108.2</v>
      </c>
      <c r="U842" s="15">
        <v>125.43</v>
      </c>
      <c r="V842" s="15">
        <v>137.93</v>
      </c>
      <c r="W842" s="14" t="s">
        <v>352</v>
      </c>
      <c r="X842" s="14">
        <v>4</v>
      </c>
      <c r="Y842" s="10">
        <f>AC842-AB842</f>
        <v>9</v>
      </c>
      <c r="Z842" s="18">
        <v>8</v>
      </c>
      <c r="AA842" s="18">
        <v>30</v>
      </c>
      <c r="AB842" s="18">
        <v>0</v>
      </c>
      <c r="AC842" s="18">
        <v>9</v>
      </c>
      <c r="AD842" s="1" t="s">
        <v>2911</v>
      </c>
      <c r="AE842" s="1" t="s">
        <v>2924</v>
      </c>
      <c r="AF842" s="4">
        <v>18.52</v>
      </c>
      <c r="AG842" s="4">
        <v>12.65</v>
      </c>
    </row>
    <row r="843" spans="1:33" ht="47.25" customHeight="1" x14ac:dyDescent="0.25">
      <c r="A843" s="10" t="s">
        <v>4437</v>
      </c>
      <c r="B843" s="11" t="s">
        <v>33</v>
      </c>
      <c r="C843" s="12" t="s">
        <v>4438</v>
      </c>
      <c r="D843" s="27"/>
      <c r="E843" s="14" t="s">
        <v>35</v>
      </c>
      <c r="F843" s="11" t="str">
        <f>HYPERLINK("https://redirect.sdcdeals.com/redirect?destination=https%3A%2F%2Fwww.amazon.com%2Fdp%2FB0B1KQ14ZF%3Fth%3D1%26psc%3D1%26tag%3Dsdcdeals03-20", "Amazon Link")</f>
        <v>Amazon Link</v>
      </c>
      <c r="G843" s="11" t="s">
        <v>36</v>
      </c>
      <c r="H843" s="14" t="s">
        <v>4439</v>
      </c>
      <c r="I843" s="11" t="str">
        <f>HYPERLINK("https://redirect.sdcdeals.com/redirect?code=763034&amp;mavely=https://mavely.app.link/e/bhESV2wGrGb&amp;destination=https%3A%2F%2Fwww.kohls.com%2Fsearch.jsp%3Fsubmit-search%3Dweb-regular%26search%3D68949188", "Retail Link")</f>
        <v>Retail Link</v>
      </c>
      <c r="J843" s="14" t="s">
        <v>4347</v>
      </c>
      <c r="K843" s="13" t="s">
        <v>4440</v>
      </c>
      <c r="L843" s="15">
        <v>20.847999999999999</v>
      </c>
      <c r="M843" s="15">
        <v>42.24</v>
      </c>
      <c r="N843" s="15">
        <v>8.2460000000000058</v>
      </c>
      <c r="O843" s="15">
        <f>V843-M843</f>
        <v>5.1400000000000006</v>
      </c>
      <c r="P843" s="16">
        <f>N843/L843</f>
        <v>0.39552954719877237</v>
      </c>
      <c r="Q843" s="14">
        <v>846</v>
      </c>
      <c r="R843" s="14"/>
      <c r="S843" s="17">
        <v>1.43741224</v>
      </c>
      <c r="T843" s="15">
        <v>42.24</v>
      </c>
      <c r="U843" s="15">
        <v>45.1</v>
      </c>
      <c r="V843" s="15">
        <v>47.38</v>
      </c>
      <c r="W843" s="14" t="s">
        <v>88</v>
      </c>
      <c r="X843" s="14">
        <v>1</v>
      </c>
      <c r="Y843" s="10">
        <f>AC843-AB843</f>
        <v>47539</v>
      </c>
      <c r="Z843" s="18">
        <v>31</v>
      </c>
      <c r="AA843" s="18">
        <v>117</v>
      </c>
      <c r="AB843" s="18">
        <v>1</v>
      </c>
      <c r="AC843" s="18">
        <v>47540</v>
      </c>
      <c r="AD843" s="1" t="s">
        <v>4355</v>
      </c>
      <c r="AE843" s="1" t="s">
        <v>4356</v>
      </c>
      <c r="AF843" s="4">
        <v>7.18</v>
      </c>
      <c r="AG843" s="4">
        <v>6.81</v>
      </c>
    </row>
    <row r="844" spans="1:33" ht="47.25" customHeight="1" x14ac:dyDescent="0.25">
      <c r="A844" s="10" t="s">
        <v>2549</v>
      </c>
      <c r="B844" s="11" t="s">
        <v>33</v>
      </c>
      <c r="C844" s="12" t="s">
        <v>2550</v>
      </c>
      <c r="D844" s="27"/>
      <c r="E844" s="14" t="s">
        <v>35</v>
      </c>
      <c r="F844" s="11" t="str">
        <f>HYPERLINK("https://redirect.sdcdeals.com/redirect?destination=https%3A%2F%2Fwww.amazon.com%2Fdp%2FB0C88HN52J%3Fth%3D1%26psc%3D1%26tag%3Dsdcdeals03-20", "Amazon Link")</f>
        <v>Amazon Link</v>
      </c>
      <c r="G844" s="11" t="s">
        <v>36</v>
      </c>
      <c r="H844" s="14" t="s">
        <v>2551</v>
      </c>
      <c r="I844" s="11" t="str">
        <f>HYPERLINK("https://redirect.sdcdeals.com/redirect?code=763034&amp;mavely=https://mavely.app.link/e/bhESV2wGrGb&amp;destination=https%3A%2F%2Fwww.kohls.com%2Fsearch.jsp%3Fsubmit-search%3Dweb-regular%26search%3D29813472", "Retail Link")</f>
        <v>Retail Link</v>
      </c>
      <c r="J844" s="14" t="s">
        <v>2515</v>
      </c>
      <c r="K844" s="13" t="s">
        <v>2552</v>
      </c>
      <c r="L844" s="15">
        <v>7.6959999999999997</v>
      </c>
      <c r="M844" s="15">
        <v>20.95</v>
      </c>
      <c r="N844" s="15">
        <v>3.0314999999999981</v>
      </c>
      <c r="O844" s="15">
        <f>V844-M844</f>
        <v>5.5399999999999991</v>
      </c>
      <c r="P844" s="16">
        <f>N844/L844</f>
        <v>0.39390592515592493</v>
      </c>
      <c r="Q844" s="14">
        <v>166871</v>
      </c>
      <c r="R844" s="14"/>
      <c r="S844" s="17">
        <v>0.86421104000000004</v>
      </c>
      <c r="T844" s="15"/>
      <c r="U844" s="15">
        <v>20.95</v>
      </c>
      <c r="V844" s="15">
        <v>26.49</v>
      </c>
      <c r="W844" s="14" t="s">
        <v>2553</v>
      </c>
      <c r="X844" s="14">
        <v>1</v>
      </c>
      <c r="Y844" s="10">
        <f>AC844-AB844</f>
        <v>204</v>
      </c>
      <c r="Z844" s="18">
        <v>13</v>
      </c>
      <c r="AA844" s="18">
        <v>29</v>
      </c>
      <c r="AB844" s="18">
        <v>13</v>
      </c>
      <c r="AC844" s="18">
        <v>217</v>
      </c>
      <c r="AD844" s="1" t="s">
        <v>2554</v>
      </c>
      <c r="AE844" s="1" t="s">
        <v>235</v>
      </c>
      <c r="AG844" s="4">
        <v>7.08</v>
      </c>
    </row>
    <row r="845" spans="1:33" ht="47.25" customHeight="1" x14ac:dyDescent="0.25">
      <c r="A845" s="10" t="s">
        <v>5352</v>
      </c>
      <c r="B845" s="11" t="s">
        <v>33</v>
      </c>
      <c r="C845" s="12" t="s">
        <v>5353</v>
      </c>
      <c r="D845" s="27"/>
      <c r="E845" s="14" t="s">
        <v>35</v>
      </c>
      <c r="F845" s="11" t="str">
        <f>HYPERLINK("https://redirect.sdcdeals.com/redirect?destination=https%3A%2F%2Fwww.amazon.com%2Fdp%2FB082HDLDST%3Fth%3D1%26psc%3D1%26tag%3Dsdcdeals03-20", "Amazon Link")</f>
        <v>Amazon Link</v>
      </c>
      <c r="G845" s="11" t="s">
        <v>36</v>
      </c>
      <c r="H845" s="14" t="s">
        <v>5354</v>
      </c>
      <c r="I845" s="11" t="str">
        <f>HYPERLINK("https://redirect.sdcdeals.com/redirect?code=763034&amp;mavely=https://mavely.app.link/e/bhESV2wGrGb&amp;destination=https%3A%2F%2Fwww.kohls.com%2Fsearch.jsp%3Fsubmit-search%3Dweb-regular%26search%3D46280809", "Retail Link")</f>
        <v>Retail Link</v>
      </c>
      <c r="J845" s="14" t="s">
        <v>5355</v>
      </c>
      <c r="K845" s="13" t="s">
        <v>5356</v>
      </c>
      <c r="L845" s="15">
        <v>5</v>
      </c>
      <c r="M845" s="15">
        <v>15.95</v>
      </c>
      <c r="N845" s="15">
        <v>1.9575</v>
      </c>
      <c r="O845" s="15">
        <f>V845-M845</f>
        <v>7.16</v>
      </c>
      <c r="P845" s="16">
        <f>N845/L845</f>
        <v>0.39150000000000001</v>
      </c>
      <c r="Q845" s="14">
        <v>857781</v>
      </c>
      <c r="R845" s="14"/>
      <c r="S845" s="17">
        <v>0.35053457999999998</v>
      </c>
      <c r="T845" s="15">
        <v>12.68</v>
      </c>
      <c r="U845" s="15">
        <v>17.989999999999998</v>
      </c>
      <c r="V845" s="15">
        <v>23.11</v>
      </c>
      <c r="W845" s="14" t="s">
        <v>5105</v>
      </c>
      <c r="X845" s="14">
        <v>11</v>
      </c>
      <c r="Y845" s="10">
        <f>AC845-AB845</f>
        <v>1</v>
      </c>
      <c r="Z845" s="18">
        <v>2</v>
      </c>
      <c r="AA845" s="18">
        <v>2</v>
      </c>
      <c r="AB845" s="18">
        <v>12</v>
      </c>
      <c r="AC845" s="18">
        <v>13</v>
      </c>
      <c r="AD845" s="1" t="s">
        <v>5357</v>
      </c>
      <c r="AE845" s="1" t="s">
        <v>278</v>
      </c>
      <c r="AF845" s="4">
        <v>1.6</v>
      </c>
      <c r="AG845" s="4">
        <v>6.6</v>
      </c>
    </row>
    <row r="846" spans="1:33" ht="47.25" customHeight="1" x14ac:dyDescent="0.25">
      <c r="A846" s="10" t="s">
        <v>3955</v>
      </c>
      <c r="B846" s="11" t="s">
        <v>33</v>
      </c>
      <c r="C846" s="12" t="s">
        <v>3956</v>
      </c>
      <c r="D846" s="27"/>
      <c r="E846" s="14" t="s">
        <v>35</v>
      </c>
      <c r="F846" s="11" t="str">
        <f>HYPERLINK("https://redirect.sdcdeals.com/redirect?destination=https%3A%2F%2Fwww.amazon.com%2Fdp%2FB0C699Q9WV%3Fth%3D1%26psc%3D1%26tag%3Dsdcdeals03-20", "Amazon Link")</f>
        <v>Amazon Link</v>
      </c>
      <c r="G846" s="11" t="s">
        <v>36</v>
      </c>
      <c r="H846" s="14" t="s">
        <v>3957</v>
      </c>
      <c r="I846" s="11" t="str">
        <f>HYPERLINK("https://redirect.sdcdeals.com/redirect?code=763034&amp;mavely=https://mavely.app.link/e/bhESV2wGrGb&amp;destination=https%3A%2F%2Fwww.kohls.com%2Fsearch.jsp%3Fsubmit-search%3Dweb-regular%26search%3D80598046", "Retail Link")</f>
        <v>Retail Link</v>
      </c>
      <c r="J846" s="14" t="s">
        <v>3942</v>
      </c>
      <c r="K846" s="13" t="s">
        <v>3958</v>
      </c>
      <c r="L846" s="15">
        <v>12.48</v>
      </c>
      <c r="M846" s="15">
        <v>33.07</v>
      </c>
      <c r="N846" s="15">
        <v>4.8795000000000002</v>
      </c>
      <c r="O846" s="15">
        <f>V846-M846</f>
        <v>8.3100000000000023</v>
      </c>
      <c r="P846" s="16">
        <f>N846/L846</f>
        <v>0.39098557692307695</v>
      </c>
      <c r="Q846" s="14">
        <v>72126</v>
      </c>
      <c r="R846" s="14"/>
      <c r="S846" s="17">
        <v>1.4793000199999999</v>
      </c>
      <c r="T846" s="15">
        <v>33.07</v>
      </c>
      <c r="U846" s="15">
        <v>39.6</v>
      </c>
      <c r="V846" s="15">
        <v>41.38</v>
      </c>
      <c r="W846" s="14" t="s">
        <v>2347</v>
      </c>
      <c r="X846" s="14">
        <v>1</v>
      </c>
      <c r="Y846" s="10">
        <f>AC846-AB846</f>
        <v>3500</v>
      </c>
      <c r="Z846" s="18">
        <v>27</v>
      </c>
      <c r="AA846" s="18">
        <v>72</v>
      </c>
      <c r="AB846" s="18">
        <v>0</v>
      </c>
      <c r="AC846" s="18">
        <v>3500</v>
      </c>
      <c r="AD846" s="1" t="s">
        <v>1037</v>
      </c>
      <c r="AE846" s="1" t="s">
        <v>1038</v>
      </c>
      <c r="AF846" s="4">
        <v>5.62</v>
      </c>
      <c r="AG846" s="4">
        <v>10.75</v>
      </c>
    </row>
    <row r="847" spans="1:33" ht="47.25" customHeight="1" x14ac:dyDescent="0.25">
      <c r="A847" s="10" t="s">
        <v>3963</v>
      </c>
      <c r="B847" s="11" t="s">
        <v>33</v>
      </c>
      <c r="C847" s="12" t="s">
        <v>3964</v>
      </c>
      <c r="D847" s="27"/>
      <c r="E847" s="14" t="s">
        <v>35</v>
      </c>
      <c r="F847" s="11" t="str">
        <f>HYPERLINK("https://redirect.sdcdeals.com/redirect?destination=https%3A%2F%2Fwww.amazon.com%2Fdp%2FB09B69FQ8Y%3Fth%3D1%26psc%3D1%26tag%3Dsdcdeals03-20", "Amazon Link")</f>
        <v>Amazon Link</v>
      </c>
      <c r="G847" s="11" t="s">
        <v>36</v>
      </c>
      <c r="H847" s="14" t="s">
        <v>3965</v>
      </c>
      <c r="I847" s="11" t="str">
        <f>HYPERLINK("https://redirect.sdcdeals.com/redirect?code=763034&amp;mavely=https://mavely.app.link/e/bhESV2wGrGb&amp;destination=https%3A%2F%2Fwww.kohls.com%2Fsearch.jsp%3Fsubmit-search%3Dweb-regular%26search%3D78202045", "Retail Link")</f>
        <v>Retail Link</v>
      </c>
      <c r="J847" s="14" t="s">
        <v>3942</v>
      </c>
      <c r="K847" s="13" t="s">
        <v>3966</v>
      </c>
      <c r="L847" s="15">
        <v>12.48</v>
      </c>
      <c r="M847" s="15">
        <v>30.43</v>
      </c>
      <c r="N847" s="15">
        <v>4.8655000000000008</v>
      </c>
      <c r="O847" s="15">
        <f>V847-M847</f>
        <v>3.1099999999999994</v>
      </c>
      <c r="P847" s="16">
        <f>N847/L847</f>
        <v>0.38986378205128208</v>
      </c>
      <c r="Q847" s="14">
        <v>109841</v>
      </c>
      <c r="R847" s="14"/>
      <c r="S847" s="17">
        <v>1.6622834799999999</v>
      </c>
      <c r="T847" s="15">
        <v>30.43</v>
      </c>
      <c r="U847" s="15">
        <v>29.86</v>
      </c>
      <c r="V847" s="15">
        <v>33.54</v>
      </c>
      <c r="W847" s="14" t="s">
        <v>1884</v>
      </c>
      <c r="X847" s="14">
        <v>2</v>
      </c>
      <c r="Y847" s="10">
        <f>AC847-AB847</f>
        <v>816</v>
      </c>
      <c r="Z847" s="18">
        <v>30</v>
      </c>
      <c r="AA847" s="18">
        <v>88</v>
      </c>
      <c r="AB847" s="18">
        <v>7</v>
      </c>
      <c r="AC847" s="18">
        <v>823</v>
      </c>
      <c r="AD847" s="1" t="s">
        <v>2991</v>
      </c>
      <c r="AE847" s="1" t="s">
        <v>2992</v>
      </c>
      <c r="AF847" s="4">
        <v>5.17</v>
      </c>
      <c r="AG847" s="4">
        <v>8.52</v>
      </c>
    </row>
    <row r="848" spans="1:33" ht="47.25" customHeight="1" x14ac:dyDescent="0.25">
      <c r="A848" s="10" t="s">
        <v>2275</v>
      </c>
      <c r="B848" s="11" t="s">
        <v>33</v>
      </c>
      <c r="C848" s="12" t="s">
        <v>2276</v>
      </c>
      <c r="D848" s="27"/>
      <c r="E848" s="14" t="s">
        <v>35</v>
      </c>
      <c r="F848" s="11" t="str">
        <f>HYPERLINK("https://redirect.sdcdeals.com/redirect?destination=https%3A%2F%2Fwww.amazon.com%2Fdp%2FB0BKR1RPZV%3Fth%3D1%26psc%3D1%26tag%3Dsdcdeals03-20", "Amazon Link")</f>
        <v>Amazon Link</v>
      </c>
      <c r="G848" s="11" t="s">
        <v>36</v>
      </c>
      <c r="H848" s="14" t="s">
        <v>2277</v>
      </c>
      <c r="I848" s="11" t="str">
        <f>HYPERLINK("https://redirect.sdcdeals.com/redirect?code=763034&amp;mavely=https://mavely.app.link/e/bhESV2wGrGb&amp;destination=https%3A%2F%2Fwww.kohls.com%2Fsearch.jsp%3Fsubmit-search%3Dweb-regular%26search%3D62949704", "Retail Link")</f>
        <v>Retail Link</v>
      </c>
      <c r="J848" s="14" t="s">
        <v>2210</v>
      </c>
      <c r="K848" s="13" t="s">
        <v>2278</v>
      </c>
      <c r="L848" s="15">
        <v>52.8</v>
      </c>
      <c r="M848" s="15">
        <v>102.45</v>
      </c>
      <c r="N848" s="15">
        <v>20.492499999999989</v>
      </c>
      <c r="O848" s="15">
        <f>V848-M848</f>
        <v>3.5300000000000011</v>
      </c>
      <c r="P848" s="16">
        <f>N848/L848</f>
        <v>0.38811553030303014</v>
      </c>
      <c r="Q848" s="14">
        <v>1316697</v>
      </c>
      <c r="R848" s="14"/>
      <c r="S848" s="17">
        <v>2.9762369999999998</v>
      </c>
      <c r="T848" s="15">
        <v>102.45</v>
      </c>
      <c r="U848" s="15">
        <v>102.67</v>
      </c>
      <c r="V848" s="15">
        <v>105.98</v>
      </c>
      <c r="W848" s="14" t="s">
        <v>2099</v>
      </c>
      <c r="X848" s="14">
        <v>2</v>
      </c>
      <c r="Y848" s="10">
        <f>AC848-AB848</f>
        <v>0</v>
      </c>
      <c r="Z848" s="18">
        <v>5</v>
      </c>
      <c r="AA848" s="18">
        <v>26</v>
      </c>
      <c r="AB848" s="18">
        <v>0</v>
      </c>
      <c r="AC848" s="18"/>
      <c r="AD848" s="1" t="s">
        <v>2212</v>
      </c>
      <c r="AE848" s="1" t="s">
        <v>2213</v>
      </c>
      <c r="AF848" s="4">
        <v>17.420000000000002</v>
      </c>
      <c r="AG848" s="4">
        <v>13.79</v>
      </c>
    </row>
    <row r="849" spans="1:33" ht="47.25" customHeight="1" x14ac:dyDescent="0.25">
      <c r="A849" s="10" t="s">
        <v>6102</v>
      </c>
      <c r="B849" s="11" t="s">
        <v>33</v>
      </c>
      <c r="C849" s="12" t="s">
        <v>6103</v>
      </c>
      <c r="D849" s="27"/>
      <c r="E849" s="14" t="s">
        <v>35</v>
      </c>
      <c r="F849" s="11" t="str">
        <f>HYPERLINK("https://redirect.sdcdeals.com/redirect?destination=https%3A%2F%2Fwww.amazon.com%2Fdp%2FB0BFV38Y27%3Fth%3D1%26psc%3D1%26tag%3Dsdcdeals03-20", "Amazon Link")</f>
        <v>Amazon Link</v>
      </c>
      <c r="G849" s="11" t="s">
        <v>36</v>
      </c>
      <c r="H849" s="14" t="s">
        <v>6104</v>
      </c>
      <c r="I849" s="11" t="str">
        <f>HYPERLINK("https://redirect.sdcdeals.com/redirect?code=763034&amp;mavely=https://mavely.app.link/e/bhESV2wGrGb&amp;destination=https%3A%2F%2Fwww.kohls.com%2Fsearch.jsp%3Fsubmit-search%3Dweb-regular%26search%3D80018212", "Retail Link")</f>
        <v>Retail Link</v>
      </c>
      <c r="J849" s="14" t="s">
        <v>6065</v>
      </c>
      <c r="K849" s="13" t="s">
        <v>6105</v>
      </c>
      <c r="L849" s="15">
        <v>54</v>
      </c>
      <c r="M849" s="15">
        <v>103.93</v>
      </c>
      <c r="N849" s="15">
        <v>20.930500000000009</v>
      </c>
      <c r="O849" s="15">
        <f>V849-M849</f>
        <v>0</v>
      </c>
      <c r="P849" s="16">
        <f>N849/L849</f>
        <v>0.38760185185185203</v>
      </c>
      <c r="Q849" s="14">
        <v>2563893</v>
      </c>
      <c r="R849" s="14"/>
      <c r="S849" s="17">
        <v>2.40083118</v>
      </c>
      <c r="T849" s="15"/>
      <c r="U849" s="15"/>
      <c r="V849" s="15">
        <v>103.93</v>
      </c>
      <c r="W849" s="14" t="s">
        <v>106</v>
      </c>
      <c r="X849" s="14"/>
      <c r="Y849" s="10">
        <f>AC849-AB849</f>
        <v>0</v>
      </c>
      <c r="Z849" s="18">
        <v>1</v>
      </c>
      <c r="AA849" s="18">
        <v>1</v>
      </c>
      <c r="AB849" s="18">
        <v>0</v>
      </c>
      <c r="AC849" s="18"/>
      <c r="AD849" s="1" t="s">
        <v>6067</v>
      </c>
      <c r="AE849" s="1" t="s">
        <v>138</v>
      </c>
      <c r="AG849" s="4">
        <v>13.41</v>
      </c>
    </row>
    <row r="850" spans="1:33" ht="47.25" customHeight="1" x14ac:dyDescent="0.25">
      <c r="A850" s="10" t="s">
        <v>3249</v>
      </c>
      <c r="B850" s="11" t="s">
        <v>33</v>
      </c>
      <c r="C850" s="12" t="s">
        <v>3250</v>
      </c>
      <c r="D850" s="27"/>
      <c r="E850" s="14" t="s">
        <v>35</v>
      </c>
      <c r="F850" s="11" t="str">
        <f>HYPERLINK("https://redirect.sdcdeals.com/redirect?destination=https%3A%2F%2Fwww.amazon.com%2Fdp%2FB0815HQFST%3Fth%3D1%26psc%3D1%26tag%3Dsdcdeals03-20", "Amazon Link")</f>
        <v>Amazon Link</v>
      </c>
      <c r="G850" s="11" t="s">
        <v>36</v>
      </c>
      <c r="H850" s="14" t="s">
        <v>3251</v>
      </c>
      <c r="I850" s="11" t="str">
        <f>HYPERLINK("https://redirect.sdcdeals.com/redirect?code=763034&amp;mavely=https://mavely.app.link/e/bhESV2wGrGb&amp;destination=https%3A%2F%2Fwww.kohls.com%2Fsearch.jsp%3Fsubmit-search%3Dweb-regular%26search%3D75883037", "Retail Link")</f>
        <v>Retail Link</v>
      </c>
      <c r="J850" s="14" t="s">
        <v>3216</v>
      </c>
      <c r="K850" s="13" t="s">
        <v>3252</v>
      </c>
      <c r="L850" s="15">
        <v>15.4</v>
      </c>
      <c r="M850" s="15">
        <v>34.17</v>
      </c>
      <c r="N850" s="15">
        <v>5.9245000000000001</v>
      </c>
      <c r="O850" s="15">
        <f>V850-M850</f>
        <v>0</v>
      </c>
      <c r="P850" s="16">
        <f>N850/L850</f>
        <v>0.38470779220779222</v>
      </c>
      <c r="Q850" s="14">
        <v>611270</v>
      </c>
      <c r="R850" s="14"/>
      <c r="S850" s="17">
        <v>1.2566333999999999</v>
      </c>
      <c r="T850" s="15"/>
      <c r="U850" s="15"/>
      <c r="V850" s="15">
        <v>34.17</v>
      </c>
      <c r="W850" s="14" t="s">
        <v>3253</v>
      </c>
      <c r="X850" s="14"/>
      <c r="Y850" s="10">
        <f>AC850-AB850</f>
        <v>-1</v>
      </c>
      <c r="Z850" s="18">
        <v>5</v>
      </c>
      <c r="AA850" s="18">
        <v>14</v>
      </c>
      <c r="AB850" s="18">
        <v>14</v>
      </c>
      <c r="AC850" s="18">
        <v>13</v>
      </c>
      <c r="AD850" s="1" t="s">
        <v>3218</v>
      </c>
      <c r="AE850" s="1" t="s">
        <v>3219</v>
      </c>
      <c r="AG850" s="4">
        <v>7.72</v>
      </c>
    </row>
    <row r="851" spans="1:33" ht="47.25" customHeight="1" x14ac:dyDescent="0.25">
      <c r="A851" s="10" t="s">
        <v>3118</v>
      </c>
      <c r="B851" s="11" t="s">
        <v>33</v>
      </c>
      <c r="C851" s="12" t="s">
        <v>3119</v>
      </c>
      <c r="D851" s="27"/>
      <c r="E851" s="14" t="s">
        <v>35</v>
      </c>
      <c r="F851" s="11" t="str">
        <f>HYPERLINK("https://redirect.sdcdeals.com/redirect?destination=https%3A%2F%2Fwww.amazon.com%2Fdp%2FB0B5FFYFLT%3Fth%3D1%26psc%3D1%26tag%3Dsdcdeals03-20", "Amazon Link")</f>
        <v>Amazon Link</v>
      </c>
      <c r="G851" s="11" t="s">
        <v>36</v>
      </c>
      <c r="H851" s="14" t="s">
        <v>3120</v>
      </c>
      <c r="I851" s="11" t="str">
        <f>HYPERLINK("https://redirect.sdcdeals.com/redirect?code=763034&amp;mavely=https://mavely.app.link/e/bhESV2wGrGb&amp;destination=https%3A%2F%2Fwww.kohls.com%2Fsearch.jsp%3Fsubmit-search%3Dweb-regular%26search%3D78064356", "Retail Link")</f>
        <v>Retail Link</v>
      </c>
      <c r="J851" s="14" t="s">
        <v>3090</v>
      </c>
      <c r="K851" s="13" t="s">
        <v>3121</v>
      </c>
      <c r="L851" s="15">
        <v>40</v>
      </c>
      <c r="M851" s="15">
        <v>88.05</v>
      </c>
      <c r="N851" s="15">
        <v>15.35250000000001</v>
      </c>
      <c r="O851" s="15">
        <f>V851-M851</f>
        <v>7.1200000000000045</v>
      </c>
      <c r="P851" s="16">
        <f>N851/L851</f>
        <v>0.38381250000000022</v>
      </c>
      <c r="Q851" s="14">
        <v>397142</v>
      </c>
      <c r="R851" s="14"/>
      <c r="S851" s="17">
        <v>3.2628376000000001</v>
      </c>
      <c r="T851" s="15">
        <v>88.05</v>
      </c>
      <c r="U851" s="15">
        <v>95.17</v>
      </c>
      <c r="V851" s="15">
        <v>95.17</v>
      </c>
      <c r="W851" s="14" t="s">
        <v>1134</v>
      </c>
      <c r="X851" s="14">
        <v>1</v>
      </c>
      <c r="Y851" s="10">
        <f>AC851-AB851</f>
        <v>1932</v>
      </c>
      <c r="Z851" s="18">
        <v>20</v>
      </c>
      <c r="AA851" s="18">
        <v>54</v>
      </c>
      <c r="AB851" s="18">
        <v>0</v>
      </c>
      <c r="AC851" s="18">
        <v>1932</v>
      </c>
      <c r="AD851" s="1" t="s">
        <v>3122</v>
      </c>
      <c r="AE851" s="1" t="s">
        <v>3099</v>
      </c>
      <c r="AG851" s="4">
        <v>19.489999999999998</v>
      </c>
    </row>
    <row r="852" spans="1:33" ht="47.25" customHeight="1" x14ac:dyDescent="0.25">
      <c r="A852" s="10" t="s">
        <v>6578</v>
      </c>
      <c r="B852" s="11" t="s">
        <v>33</v>
      </c>
      <c r="C852" s="12" t="s">
        <v>6579</v>
      </c>
      <c r="D852" s="27"/>
      <c r="E852" s="14" t="s">
        <v>35</v>
      </c>
      <c r="F852" s="11" t="str">
        <f>HYPERLINK("https://redirect.sdcdeals.com/redirect?destination=https%3A%2F%2Fwww.amazon.com%2Fdp%2FB0B1KHDSKD%3Fth%3D1%26psc%3D1%26tag%3Dsdcdeals03-20", "Amazon Link")</f>
        <v>Amazon Link</v>
      </c>
      <c r="G852" s="11" t="s">
        <v>36</v>
      </c>
      <c r="H852" s="14" t="s">
        <v>6580</v>
      </c>
      <c r="I852" s="11" t="str">
        <f>HYPERLINK("https://redirect.sdcdeals.com/redirect?code=763034&amp;mavely=https://mavely.app.link/e/bhESV2wGrGb&amp;destination=https%3A%2F%2Fwww.kohls.com%2Fsearch.jsp%3Fsubmit-search%3Dweb-regular%26search%3D63081479", "Retail Link")</f>
        <v>Retail Link</v>
      </c>
      <c r="J852" s="14" t="s">
        <v>6581</v>
      </c>
      <c r="K852" s="13" t="s">
        <v>6582</v>
      </c>
      <c r="L852" s="15">
        <v>20.847999999999999</v>
      </c>
      <c r="M852" s="15">
        <v>41.7</v>
      </c>
      <c r="N852" s="15">
        <v>7.9969999999999999</v>
      </c>
      <c r="O852" s="15">
        <f>V852-M852</f>
        <v>0.12999999999999545</v>
      </c>
      <c r="P852" s="16">
        <f>N852/L852</f>
        <v>0.38358595548733693</v>
      </c>
      <c r="Q852" s="14">
        <v>798</v>
      </c>
      <c r="R852" s="14"/>
      <c r="S852" s="17">
        <v>1.2125410000000001</v>
      </c>
      <c r="T852" s="15">
        <v>41.7</v>
      </c>
      <c r="U852" s="15">
        <v>41.17</v>
      </c>
      <c r="V852" s="15">
        <v>41.83</v>
      </c>
      <c r="W852" s="14" t="s">
        <v>269</v>
      </c>
      <c r="X852" s="14">
        <v>1</v>
      </c>
      <c r="Y852" s="10">
        <f>AC852-AB852</f>
        <v>47608</v>
      </c>
      <c r="Z852" s="18">
        <v>30</v>
      </c>
      <c r="AA852" s="18">
        <v>79</v>
      </c>
      <c r="AB852" s="18">
        <v>0</v>
      </c>
      <c r="AC852" s="18">
        <v>47608</v>
      </c>
      <c r="AD852" s="1" t="s">
        <v>6583</v>
      </c>
      <c r="AE852" s="1" t="s">
        <v>6584</v>
      </c>
      <c r="AF852" s="4">
        <v>7.09</v>
      </c>
      <c r="AG852" s="4">
        <v>6.6</v>
      </c>
    </row>
    <row r="853" spans="1:33" ht="47.25" customHeight="1" x14ac:dyDescent="0.25">
      <c r="A853" s="10" t="s">
        <v>6589</v>
      </c>
      <c r="B853" s="11" t="s">
        <v>33</v>
      </c>
      <c r="C853" s="12" t="s">
        <v>6590</v>
      </c>
      <c r="D853" s="27"/>
      <c r="E853" s="14" t="s">
        <v>35</v>
      </c>
      <c r="F853" s="11" t="str">
        <f>HYPERLINK("https://redirect.sdcdeals.com/redirect?destination=https%3A%2F%2Fwww.amazon.com%2Fdp%2FB0B1KHH9PB%3Fth%3D1%26psc%3D1%26tag%3Dsdcdeals03-20", "Amazon Link")</f>
        <v>Amazon Link</v>
      </c>
      <c r="G853" s="11" t="s">
        <v>36</v>
      </c>
      <c r="H853" s="14" t="s">
        <v>6591</v>
      </c>
      <c r="I853" s="11" t="str">
        <f>HYPERLINK("https://redirect.sdcdeals.com/redirect?code=763034&amp;mavely=https://mavely.app.link/e/bhESV2wGrGb&amp;destination=https%3A%2F%2Fwww.kohls.com%2Fsearch.jsp%3Fsubmit-search%3Dweb-regular%26search%3D63081482", "Retail Link")</f>
        <v>Retail Link</v>
      </c>
      <c r="J853" s="14" t="s">
        <v>6581</v>
      </c>
      <c r="K853" s="13" t="s">
        <v>6592</v>
      </c>
      <c r="L853" s="15">
        <v>20.847999999999999</v>
      </c>
      <c r="M853" s="15">
        <v>41.7</v>
      </c>
      <c r="N853" s="15">
        <v>7.9969999999999999</v>
      </c>
      <c r="O853" s="15">
        <f>V853-M853</f>
        <v>4.9899999999999949</v>
      </c>
      <c r="P853" s="16">
        <f>N853/L853</f>
        <v>0.38358595548733693</v>
      </c>
      <c r="Q853" s="14">
        <v>846</v>
      </c>
      <c r="R853" s="14"/>
      <c r="S853" s="17">
        <v>1.3822967399999999</v>
      </c>
      <c r="T853" s="15">
        <v>41.7</v>
      </c>
      <c r="U853" s="15">
        <v>44.29</v>
      </c>
      <c r="V853" s="15">
        <v>46.69</v>
      </c>
      <c r="W853" s="14" t="s">
        <v>53</v>
      </c>
      <c r="X853" s="14">
        <v>1</v>
      </c>
      <c r="Y853" s="10">
        <f>AC853-AB853</f>
        <v>47534</v>
      </c>
      <c r="Z853" s="18">
        <v>35</v>
      </c>
      <c r="AA853" s="18">
        <v>91</v>
      </c>
      <c r="AB853" s="18">
        <v>0</v>
      </c>
      <c r="AC853" s="18">
        <v>47534</v>
      </c>
      <c r="AD853" s="1" t="s">
        <v>6583</v>
      </c>
      <c r="AE853" s="1" t="s">
        <v>6584</v>
      </c>
      <c r="AF853" s="4">
        <v>7.09</v>
      </c>
      <c r="AG853" s="4">
        <v>6.6</v>
      </c>
    </row>
    <row r="854" spans="1:33" ht="47.25" hidden="1" customHeight="1" x14ac:dyDescent="0.25">
      <c r="A854" s="10" t="s">
        <v>3800</v>
      </c>
      <c r="B854" s="11" t="s">
        <v>33</v>
      </c>
      <c r="C854" s="12" t="s">
        <v>3801</v>
      </c>
      <c r="D854" s="27"/>
      <c r="E854" s="14" t="s">
        <v>35</v>
      </c>
      <c r="F854" s="11" t="str">
        <f>HYPERLINK("https://redirect.sdcdeals.com/redirect?destination=https%3A%2F%2Fwww.amazon.com%2Fdp%2FB0CKCW6LLR%3Fth%3D1%26psc%3D1%26tag%3Dsdcdeals03-20", "Amazon Link")</f>
        <v>Amazon Link</v>
      </c>
      <c r="G854" s="11" t="s">
        <v>36</v>
      </c>
      <c r="H854" s="14" t="s">
        <v>3802</v>
      </c>
      <c r="I854" s="11" t="str">
        <f>HYPERLINK("https://redirect.sdcdeals.com/redirect?code=763034&amp;mavely=https://mavely.app.link/e/bhESV2wGrGb&amp;destination=https%3A%2F%2Fwww.kohls.com%2Fsearch.jsp%3Fsubmit-search%3Dweb-regular%26search%3D54672463", "Retail Link")</f>
        <v>Retail Link</v>
      </c>
      <c r="J854" s="14" t="s">
        <v>3803</v>
      </c>
      <c r="K854" s="13" t="s">
        <v>3804</v>
      </c>
      <c r="L854" s="15">
        <v>4.8000000000000007</v>
      </c>
      <c r="M854" s="15">
        <v>13.04</v>
      </c>
      <c r="N854" s="15">
        <v>1.833999999999999</v>
      </c>
      <c r="O854" s="15">
        <f>V854-M854</f>
        <v>4.9700000000000024</v>
      </c>
      <c r="P854" s="16">
        <f>N854/L854</f>
        <v>0.38208333333333305</v>
      </c>
      <c r="Q854" s="14"/>
      <c r="R854" s="14"/>
      <c r="S854" s="17">
        <v>0.50044874000000006</v>
      </c>
      <c r="T854" s="15">
        <v>6.99</v>
      </c>
      <c r="U854" s="15">
        <v>14.11</v>
      </c>
      <c r="V854" s="15">
        <v>18.010000000000002</v>
      </c>
      <c r="W854" s="14" t="s">
        <v>964</v>
      </c>
      <c r="X854" s="14">
        <v>1</v>
      </c>
      <c r="Y854" s="10">
        <f>AC854-AB854</f>
        <v>0</v>
      </c>
      <c r="Z854" s="18">
        <v>-1</v>
      </c>
      <c r="AA854" s="18">
        <v>-1</v>
      </c>
      <c r="AB854" s="18"/>
      <c r="AC854" s="18"/>
      <c r="AE854" s="1" t="s">
        <v>3805</v>
      </c>
      <c r="AF854" s="4">
        <v>0.65</v>
      </c>
      <c r="AG854" s="4">
        <v>4.45</v>
      </c>
    </row>
    <row r="855" spans="1:33" ht="47.25" customHeight="1" x14ac:dyDescent="0.25">
      <c r="A855" s="10" t="s">
        <v>7514</v>
      </c>
      <c r="B855" s="11" t="s">
        <v>33</v>
      </c>
      <c r="C855" s="12" t="s">
        <v>7515</v>
      </c>
      <c r="D855" s="27"/>
      <c r="E855" s="14" t="s">
        <v>35</v>
      </c>
      <c r="F855" s="11" t="str">
        <f>HYPERLINK("https://redirect.sdcdeals.com/redirect?destination=https%3A%2F%2Fwww.amazon.com%2Fdp%2FB0B1JSPGP9%3Fth%3D1%26psc%3D1%26tag%3Dsdcdeals03-20", "Amazon Link")</f>
        <v>Amazon Link</v>
      </c>
      <c r="G855" s="11" t="s">
        <v>36</v>
      </c>
      <c r="H855" s="14" t="s">
        <v>7516</v>
      </c>
      <c r="I855" s="11" t="str">
        <f>HYPERLINK("https://redirect.sdcdeals.com/redirect?code=763034&amp;mavely=https://mavely.app.link/e/bhESV2wGrGb&amp;destination=https%3A%2F%2Fwww.kohls.com%2Fsearch.jsp%3Fsubmit-search%3Dweb-regular%26search%3D76767011", "Retail Link")</f>
        <v>Retail Link</v>
      </c>
      <c r="J855" s="14" t="s">
        <v>7510</v>
      </c>
      <c r="K855" s="13" t="s">
        <v>7517</v>
      </c>
      <c r="L855" s="15">
        <v>11.984</v>
      </c>
      <c r="M855" s="15">
        <v>26.4</v>
      </c>
      <c r="N855" s="15">
        <v>4.5559999999999992</v>
      </c>
      <c r="O855" s="15">
        <f>V855-M855</f>
        <v>-4.4399999999999977</v>
      </c>
      <c r="P855" s="16">
        <f>N855/L855</f>
        <v>0.38017356475300396</v>
      </c>
      <c r="Q855" s="14">
        <v>44825</v>
      </c>
      <c r="R855" s="14"/>
      <c r="S855" s="17">
        <v>6.6138600000000006E-2</v>
      </c>
      <c r="T855" s="15">
        <v>26.4</v>
      </c>
      <c r="U855" s="15">
        <v>27.11</v>
      </c>
      <c r="V855" s="15">
        <v>21.96</v>
      </c>
      <c r="W855" s="14" t="s">
        <v>742</v>
      </c>
      <c r="X855" s="14">
        <v>1</v>
      </c>
      <c r="Y855" s="10">
        <f>AC855-AB855</f>
        <v>907</v>
      </c>
      <c r="Z855" s="18">
        <v>27</v>
      </c>
      <c r="AA855" s="18">
        <v>79</v>
      </c>
      <c r="AB855" s="18">
        <v>0</v>
      </c>
      <c r="AC855" s="18">
        <v>907</v>
      </c>
      <c r="AD855" s="1" t="s">
        <v>7518</v>
      </c>
      <c r="AE855" s="1" t="s">
        <v>7519</v>
      </c>
      <c r="AF855" s="4">
        <v>4.49</v>
      </c>
      <c r="AG855" s="4">
        <v>5.9</v>
      </c>
    </row>
    <row r="856" spans="1:33" ht="47.25" customHeight="1" x14ac:dyDescent="0.25">
      <c r="A856" s="10" t="s">
        <v>4449</v>
      </c>
      <c r="B856" s="11" t="s">
        <v>33</v>
      </c>
      <c r="C856" s="12" t="s">
        <v>4450</v>
      </c>
      <c r="D856" s="27"/>
      <c r="E856" s="14" t="s">
        <v>35</v>
      </c>
      <c r="F856" s="11" t="str">
        <f>HYPERLINK("https://redirect.sdcdeals.com/redirect?destination=https%3A%2F%2Fwww.amazon.com%2Fdp%2FB0B1K3Y45X%3Fth%3D1%26psc%3D1%26tag%3Dsdcdeals03-20", "Amazon Link")</f>
        <v>Amazon Link</v>
      </c>
      <c r="G856" s="11" t="s">
        <v>36</v>
      </c>
      <c r="H856" s="14" t="s">
        <v>4451</v>
      </c>
      <c r="I856" s="11" t="str">
        <f>HYPERLINK("https://redirect.sdcdeals.com/redirect?code=763034&amp;mavely=https://mavely.app.link/e/bhESV2wGrGb&amp;destination=https%3A%2F%2Fwww.kohls.com%2Fsearch.jsp%3Fsubmit-search%3Dweb-regular%26search%3D68949218", "Retail Link")</f>
        <v>Retail Link</v>
      </c>
      <c r="J856" s="14" t="s">
        <v>4347</v>
      </c>
      <c r="K856" s="13" t="s">
        <v>4452</v>
      </c>
      <c r="L856" s="15">
        <v>20.847999999999999</v>
      </c>
      <c r="M856" s="15">
        <v>41.86</v>
      </c>
      <c r="N856" s="15">
        <v>7.9229999999999983</v>
      </c>
      <c r="O856" s="15">
        <f>V856-M856</f>
        <v>5.2199999999999989</v>
      </c>
      <c r="P856" s="16">
        <f>N856/L856</f>
        <v>0.3800364543361473</v>
      </c>
      <c r="Q856" s="14">
        <v>846</v>
      </c>
      <c r="R856" s="14"/>
      <c r="S856" s="17">
        <v>1.6380326599999999</v>
      </c>
      <c r="T856" s="15">
        <v>41.86</v>
      </c>
      <c r="U856" s="15">
        <v>42.71</v>
      </c>
      <c r="V856" s="15">
        <v>47.08</v>
      </c>
      <c r="W856" s="14" t="s">
        <v>100</v>
      </c>
      <c r="X856" s="14">
        <v>1</v>
      </c>
      <c r="Y856" s="10">
        <f>AC856-AB856</f>
        <v>47534</v>
      </c>
      <c r="Z856" s="18">
        <v>33</v>
      </c>
      <c r="AA856" s="18">
        <v>75</v>
      </c>
      <c r="AB856" s="18">
        <v>0</v>
      </c>
      <c r="AC856" s="18">
        <v>47534</v>
      </c>
      <c r="AD856" s="1" t="s">
        <v>4355</v>
      </c>
      <c r="AE856" s="1" t="s">
        <v>4356</v>
      </c>
      <c r="AF856" s="4">
        <v>7.12</v>
      </c>
      <c r="AG856" s="4">
        <v>6.81</v>
      </c>
    </row>
    <row r="857" spans="1:33" ht="47.25" customHeight="1" x14ac:dyDescent="0.25">
      <c r="A857" s="10" t="s">
        <v>5136</v>
      </c>
      <c r="B857" s="11" t="s">
        <v>33</v>
      </c>
      <c r="C857" s="12" t="s">
        <v>5137</v>
      </c>
      <c r="D857" s="27"/>
      <c r="E857" s="14" t="s">
        <v>35</v>
      </c>
      <c r="F857" s="11" t="str">
        <f>HYPERLINK("https://redirect.sdcdeals.com/redirect?destination=https%3A%2F%2Fwww.amazon.com%2Fdp%2FB0BN53KBWM%3Fth%3D1%26psc%3D1%26tag%3Dsdcdeals03-20", "Amazon Link")</f>
        <v>Amazon Link</v>
      </c>
      <c r="G857" s="11" t="s">
        <v>36</v>
      </c>
      <c r="H857" s="14" t="s">
        <v>5138</v>
      </c>
      <c r="I857" s="11" t="str">
        <f>HYPERLINK("https://redirect.sdcdeals.com/redirect?code=763034&amp;mavely=https://mavely.app.link/e/bhESV2wGrGb&amp;destination=https%3A%2F%2Fwww.kohls.com%2Fsearch.jsp%3Fsubmit-search%3Dweb-regular%26search%3D78859856", "Retail Link")</f>
        <v>Retail Link</v>
      </c>
      <c r="J857" s="14" t="s">
        <v>5123</v>
      </c>
      <c r="K857" s="13" t="s">
        <v>5130</v>
      </c>
      <c r="L857" s="15">
        <v>15.288</v>
      </c>
      <c r="M857" s="15">
        <v>32.58</v>
      </c>
      <c r="N857" s="15">
        <v>5.8049999999999962</v>
      </c>
      <c r="O857" s="15">
        <f>V857-M857</f>
        <v>15.620000000000005</v>
      </c>
      <c r="P857" s="16">
        <f>N857/L857</f>
        <v>0.37970957613814732</v>
      </c>
      <c r="Q857" s="14">
        <v>466301</v>
      </c>
      <c r="R857" s="14"/>
      <c r="S857" s="17">
        <v>0.85980180000000006</v>
      </c>
      <c r="T857" s="15">
        <v>32.58</v>
      </c>
      <c r="U857" s="15">
        <v>45.38</v>
      </c>
      <c r="V857" s="15">
        <v>48.2</v>
      </c>
      <c r="W857" s="14" t="s">
        <v>698</v>
      </c>
      <c r="X857" s="14">
        <v>1</v>
      </c>
      <c r="Y857" s="10">
        <f>AC857-AB857</f>
        <v>153</v>
      </c>
      <c r="Z857" s="18">
        <v>19</v>
      </c>
      <c r="AA857" s="18">
        <v>77</v>
      </c>
      <c r="AB857" s="18">
        <v>1</v>
      </c>
      <c r="AC857" s="18">
        <v>154</v>
      </c>
      <c r="AD857" s="1" t="s">
        <v>5131</v>
      </c>
      <c r="AE857" s="1" t="s">
        <v>5132</v>
      </c>
      <c r="AF857" s="4">
        <v>5.54</v>
      </c>
      <c r="AG857" s="4">
        <v>6.6</v>
      </c>
    </row>
    <row r="858" spans="1:33" ht="47.25" customHeight="1" x14ac:dyDescent="0.25">
      <c r="A858" s="10" t="s">
        <v>4244</v>
      </c>
      <c r="B858" s="11" t="s">
        <v>33</v>
      </c>
      <c r="C858" s="12" t="s">
        <v>4245</v>
      </c>
      <c r="D858" s="27"/>
      <c r="E858" s="14" t="s">
        <v>35</v>
      </c>
      <c r="F858" s="11" t="str">
        <f>HYPERLINK("https://redirect.sdcdeals.com/redirect?destination=https%3A%2F%2Fwww.amazon.com%2Fdp%2FB0BKRCTKHX%3Fth%3D1%26psc%3D1%26tag%3Dsdcdeals03-20", "Amazon Link")</f>
        <v>Amazon Link</v>
      </c>
      <c r="G858" s="11" t="s">
        <v>36</v>
      </c>
      <c r="H858" s="14" t="s">
        <v>4246</v>
      </c>
      <c r="I858" s="11" t="str">
        <f>HYPERLINK("https://redirect.sdcdeals.com/redirect?code=763034&amp;mavely=https://mavely.app.link/e/bhESV2wGrGb&amp;destination=https%3A%2F%2Fwww.kohls.com%2Fsearch.jsp%3Fsubmit-search%3Dweb-regular%26search%3D76194412", "Retail Link")</f>
        <v>Retail Link</v>
      </c>
      <c r="J858" s="14" t="s">
        <v>4231</v>
      </c>
      <c r="K858" s="13" t="s">
        <v>4247</v>
      </c>
      <c r="L858" s="15">
        <v>52.8</v>
      </c>
      <c r="M858" s="15">
        <v>102.67</v>
      </c>
      <c r="N858" s="15">
        <v>19.919499999999999</v>
      </c>
      <c r="O858" s="15">
        <f>V858-M858</f>
        <v>32.559999999999988</v>
      </c>
      <c r="P858" s="16">
        <f>N858/L858</f>
        <v>0.37726325757575757</v>
      </c>
      <c r="Q858" s="14">
        <v>931412</v>
      </c>
      <c r="R858" s="14"/>
      <c r="S858" s="17">
        <v>2.4691744</v>
      </c>
      <c r="T858" s="15">
        <v>102.67</v>
      </c>
      <c r="U858" s="15">
        <v>113.22</v>
      </c>
      <c r="V858" s="15">
        <v>135.22999999999999</v>
      </c>
      <c r="W858" s="14" t="s">
        <v>959</v>
      </c>
      <c r="X858" s="14">
        <v>3</v>
      </c>
      <c r="Y858" s="10">
        <f>AC858-AB858</f>
        <v>4</v>
      </c>
      <c r="Z858" s="18">
        <v>6</v>
      </c>
      <c r="AA858" s="18">
        <v>29</v>
      </c>
      <c r="AB858" s="18">
        <v>0</v>
      </c>
      <c r="AC858" s="18">
        <v>4</v>
      </c>
      <c r="AD858" s="1" t="s">
        <v>4233</v>
      </c>
      <c r="AE858" s="1" t="s">
        <v>4248</v>
      </c>
      <c r="AF858" s="4">
        <v>17.45</v>
      </c>
      <c r="AG858" s="4">
        <v>14.55</v>
      </c>
    </row>
    <row r="859" spans="1:33" ht="47.25" customHeight="1" x14ac:dyDescent="0.25">
      <c r="A859" s="10" t="s">
        <v>6601</v>
      </c>
      <c r="B859" s="11" t="s">
        <v>33</v>
      </c>
      <c r="C859" s="12" t="s">
        <v>6602</v>
      </c>
      <c r="D859" s="27"/>
      <c r="E859" s="14" t="s">
        <v>35</v>
      </c>
      <c r="F859" s="11" t="str">
        <f>HYPERLINK("https://redirect.sdcdeals.com/redirect?destination=https%3A%2F%2Fwww.amazon.com%2Fdp%2FB0B1KDF7ND%3Fth%3D1%26psc%3D1%26tag%3Dsdcdeals03-20", "Amazon Link")</f>
        <v>Amazon Link</v>
      </c>
      <c r="G859" s="11" t="s">
        <v>36</v>
      </c>
      <c r="H859" s="14" t="s">
        <v>6603</v>
      </c>
      <c r="I859" s="11" t="str">
        <f>HYPERLINK("https://redirect.sdcdeals.com/redirect?code=763034&amp;mavely=https://mavely.app.link/e/bhESV2wGrGb&amp;destination=https%3A%2F%2Fwww.kohls.com%2Fsearch.jsp%3Fsubmit-search%3Dweb-regular%26search%3D76861811", "Retail Link")</f>
        <v>Retail Link</v>
      </c>
      <c r="J859" s="14" t="s">
        <v>6581</v>
      </c>
      <c r="K859" s="13" t="s">
        <v>6604</v>
      </c>
      <c r="L859" s="15">
        <v>20.847999999999999</v>
      </c>
      <c r="M859" s="15">
        <v>41.79</v>
      </c>
      <c r="N859" s="15">
        <v>7.8634999999999984</v>
      </c>
      <c r="O859" s="15">
        <f>V859-M859</f>
        <v>4.3699999999999974</v>
      </c>
      <c r="P859" s="16">
        <f>N859/L859</f>
        <v>0.37718246354566382</v>
      </c>
      <c r="Q859" s="14">
        <v>758</v>
      </c>
      <c r="R859" s="14"/>
      <c r="S859" s="17">
        <v>1.7240128400000001</v>
      </c>
      <c r="T859" s="15">
        <v>41.79</v>
      </c>
      <c r="U859" s="15">
        <v>41.85</v>
      </c>
      <c r="V859" s="15">
        <v>46.16</v>
      </c>
      <c r="W859" s="14" t="s">
        <v>53</v>
      </c>
      <c r="X859" s="14">
        <v>1</v>
      </c>
      <c r="Y859" s="10">
        <f>AC859-AB859</f>
        <v>47534</v>
      </c>
      <c r="Z859" s="18">
        <v>35</v>
      </c>
      <c r="AA859" s="18">
        <v>98</v>
      </c>
      <c r="AB859" s="18">
        <v>0</v>
      </c>
      <c r="AC859" s="18">
        <v>47534</v>
      </c>
      <c r="AD859" s="1" t="s">
        <v>6605</v>
      </c>
      <c r="AE859" s="1" t="s">
        <v>6606</v>
      </c>
      <c r="AF859" s="4">
        <v>7.1</v>
      </c>
      <c r="AG859" s="4">
        <v>6.81</v>
      </c>
    </row>
    <row r="860" spans="1:33" ht="47.25" customHeight="1" x14ac:dyDescent="0.25">
      <c r="A860" s="10" t="s">
        <v>7526</v>
      </c>
      <c r="B860" s="11" t="s">
        <v>33</v>
      </c>
      <c r="C860" s="12" t="s">
        <v>7527</v>
      </c>
      <c r="D860" s="27"/>
      <c r="E860" s="14" t="s">
        <v>35</v>
      </c>
      <c r="F860" s="11" t="str">
        <f>HYPERLINK("https://redirect.sdcdeals.com/redirect?destination=https%3A%2F%2Fwww.amazon.com%2Fdp%2FB0BTBVZ76Q%3Fth%3D1%26psc%3D1%26tag%3Dsdcdeals03-20", "Amazon Link")</f>
        <v>Amazon Link</v>
      </c>
      <c r="G860" s="11" t="s">
        <v>36</v>
      </c>
      <c r="H860" s="14" t="s">
        <v>7528</v>
      </c>
      <c r="I860" s="11" t="str">
        <f>HYPERLINK("https://redirect.sdcdeals.com/redirect?code=763034&amp;mavely=https://mavely.app.link/e/bhESV2wGrGb&amp;destination=https%3A%2F%2Fwww.kohls.com%2Fsearch.jsp%3Fsubmit-search%3Dweb-regular%26search%3D78685635", "Retail Link")</f>
        <v>Retail Link</v>
      </c>
      <c r="J860" s="14" t="s">
        <v>7510</v>
      </c>
      <c r="K860" s="13" t="s">
        <v>7529</v>
      </c>
      <c r="L860" s="15">
        <v>11.984</v>
      </c>
      <c r="M860" s="15">
        <v>31.61</v>
      </c>
      <c r="N860" s="15">
        <v>4.5145</v>
      </c>
      <c r="O860" s="15">
        <f>V860-M860</f>
        <v>10.980000000000004</v>
      </c>
      <c r="P860" s="16">
        <f>N860/L860</f>
        <v>0.37671061415220292</v>
      </c>
      <c r="Q860" s="14">
        <v>15052966</v>
      </c>
      <c r="R860" s="14"/>
      <c r="S860" s="17">
        <v>0.33069300000000001</v>
      </c>
      <c r="T860" s="15">
        <v>31.61</v>
      </c>
      <c r="U860" s="15">
        <v>35.93</v>
      </c>
      <c r="V860" s="15">
        <v>42.59</v>
      </c>
      <c r="W860" s="14" t="s">
        <v>53</v>
      </c>
      <c r="X860" s="14">
        <v>1</v>
      </c>
      <c r="Y860" s="10">
        <f>AC860-AB860</f>
        <v>0</v>
      </c>
      <c r="Z860" s="18">
        <v>0</v>
      </c>
      <c r="AA860" s="18">
        <v>0</v>
      </c>
      <c r="AB860" s="18">
        <v>0</v>
      </c>
      <c r="AC860" s="18"/>
      <c r="AD860" s="1" t="s">
        <v>7530</v>
      </c>
      <c r="AE860" s="1" t="s">
        <v>7531</v>
      </c>
      <c r="AF860" s="4">
        <v>5.37</v>
      </c>
      <c r="AG860" s="4">
        <v>10.37</v>
      </c>
    </row>
    <row r="861" spans="1:33" ht="47.25" customHeight="1" x14ac:dyDescent="0.25">
      <c r="A861" s="10" t="s">
        <v>2294</v>
      </c>
      <c r="B861" s="11" t="s">
        <v>33</v>
      </c>
      <c r="C861" s="12" t="s">
        <v>2295</v>
      </c>
      <c r="D861" s="27"/>
      <c r="E861" s="14" t="s">
        <v>35</v>
      </c>
      <c r="F861" s="11" t="str">
        <f>HYPERLINK("https://redirect.sdcdeals.com/redirect?destination=https%3A%2F%2Fwww.amazon.com%2Fdp%2FB0BGV8QBQS%3Fth%3D1%26psc%3D1%26tag%3Dsdcdeals03-20", "Amazon Link")</f>
        <v>Amazon Link</v>
      </c>
      <c r="G861" s="11" t="s">
        <v>36</v>
      </c>
      <c r="H861" s="14" t="s">
        <v>2296</v>
      </c>
      <c r="I861" s="11" t="str">
        <f>HYPERLINK("https://redirect.sdcdeals.com/redirect?code=763034&amp;mavely=https://mavely.app.link/e/bhESV2wGrGb&amp;destination=https%3A%2F%2Fwww.kohls.com%2Fsearch.jsp%3Fsubmit-search%3Dweb-regular%26search%3D76910541", "Retail Link")</f>
        <v>Retail Link</v>
      </c>
      <c r="J861" s="14" t="s">
        <v>2290</v>
      </c>
      <c r="K861" s="13" t="s">
        <v>2297</v>
      </c>
      <c r="L861" s="15">
        <v>15.4</v>
      </c>
      <c r="M861" s="15">
        <v>32.97</v>
      </c>
      <c r="N861" s="15">
        <v>5.7645</v>
      </c>
      <c r="O861" s="15">
        <f>V861-M861</f>
        <v>-0.78000000000000114</v>
      </c>
      <c r="P861" s="16">
        <f>N861/L861</f>
        <v>0.37431818181818183</v>
      </c>
      <c r="Q861" s="14">
        <v>7343</v>
      </c>
      <c r="R861" s="14">
        <v>50</v>
      </c>
      <c r="S861" s="17">
        <v>0.85980180000000006</v>
      </c>
      <c r="T861" s="15">
        <v>30.3</v>
      </c>
      <c r="U861" s="15">
        <v>34.15</v>
      </c>
      <c r="V861" s="15">
        <v>32.19</v>
      </c>
      <c r="W861" s="14" t="s">
        <v>530</v>
      </c>
      <c r="X861" s="14">
        <v>6</v>
      </c>
      <c r="Y861" s="10">
        <f>AC861-AB861</f>
        <v>0</v>
      </c>
      <c r="Z861" s="18">
        <v>53</v>
      </c>
      <c r="AA861" s="18">
        <v>148</v>
      </c>
      <c r="AB861" s="18">
        <v>21</v>
      </c>
      <c r="AC861" s="18">
        <v>21</v>
      </c>
      <c r="AD861" s="1" t="s">
        <v>2293</v>
      </c>
      <c r="AE861" s="1" t="s">
        <v>1859</v>
      </c>
      <c r="AF861" s="4">
        <v>5.6</v>
      </c>
      <c r="AG861" s="4">
        <v>6.86</v>
      </c>
    </row>
    <row r="862" spans="1:33" ht="47.25" customHeight="1" x14ac:dyDescent="0.25">
      <c r="A862" s="10" t="s">
        <v>2925</v>
      </c>
      <c r="B862" s="11" t="s">
        <v>33</v>
      </c>
      <c r="C862" s="12" t="s">
        <v>2926</v>
      </c>
      <c r="D862" s="27"/>
      <c r="E862" s="14" t="s">
        <v>35</v>
      </c>
      <c r="F862" s="11" t="str">
        <f>HYPERLINK("https://redirect.sdcdeals.com/redirect?destination=https%3A%2F%2Fwww.amazon.com%2Fdp%2FB0BKQSQP5N%3Fth%3D1%26psc%3D1%26tag%3Dsdcdeals03-20", "Amazon Link")</f>
        <v>Amazon Link</v>
      </c>
      <c r="G862" s="11" t="s">
        <v>36</v>
      </c>
      <c r="H862" s="14" t="s">
        <v>2927</v>
      </c>
      <c r="I862" s="11" t="str">
        <f>HYPERLINK("https://redirect.sdcdeals.com/redirect?code=763034&amp;mavely=https://mavely.app.link/e/bhESV2wGrGb&amp;destination=https%3A%2F%2Fwww.kohls.com%2Fsearch.jsp%3Fsubmit-search%3Dweb-regular%26search%3D29976333", "Retail Link")</f>
        <v>Retail Link</v>
      </c>
      <c r="J862" s="14" t="s">
        <v>2908</v>
      </c>
      <c r="K862" s="13" t="s">
        <v>2928</v>
      </c>
      <c r="L862" s="15">
        <v>57.2</v>
      </c>
      <c r="M862" s="15">
        <v>107.36</v>
      </c>
      <c r="N862" s="15">
        <v>21.405999999999992</v>
      </c>
      <c r="O862" s="15">
        <f>V862-M862</f>
        <v>19.060000000000002</v>
      </c>
      <c r="P862" s="16">
        <f>N862/L862</f>
        <v>0.37423076923076909</v>
      </c>
      <c r="Q862" s="14">
        <v>693078</v>
      </c>
      <c r="R862" s="14"/>
      <c r="S862" s="17">
        <v>2.7998674000000001</v>
      </c>
      <c r="T862" s="15">
        <v>106.6</v>
      </c>
      <c r="U862" s="15">
        <v>124.78</v>
      </c>
      <c r="V862" s="15">
        <v>126.42</v>
      </c>
      <c r="W862" s="14" t="s">
        <v>849</v>
      </c>
      <c r="X862" s="14">
        <v>3</v>
      </c>
      <c r="Y862" s="10">
        <f>AC862-AB862</f>
        <v>9</v>
      </c>
      <c r="Z862" s="18">
        <v>10</v>
      </c>
      <c r="AA862" s="18">
        <v>32</v>
      </c>
      <c r="AB862" s="18">
        <v>0</v>
      </c>
      <c r="AC862" s="18">
        <v>9</v>
      </c>
      <c r="AD862" s="1" t="s">
        <v>2911</v>
      </c>
      <c r="AE862" s="1" t="s">
        <v>2929</v>
      </c>
      <c r="AF862" s="4">
        <v>18.25</v>
      </c>
      <c r="AG862" s="4">
        <v>12.65</v>
      </c>
    </row>
    <row r="863" spans="1:33" ht="47.25" customHeight="1" x14ac:dyDescent="0.25">
      <c r="A863" s="10" t="s">
        <v>6593</v>
      </c>
      <c r="B863" s="11" t="s">
        <v>33</v>
      </c>
      <c r="C863" s="12" t="s">
        <v>6594</v>
      </c>
      <c r="D863" s="27"/>
      <c r="E863" s="14" t="s">
        <v>35</v>
      </c>
      <c r="F863" s="11" t="str">
        <f>HYPERLINK("https://redirect.sdcdeals.com/redirect?destination=https%3A%2F%2Fwww.amazon.com%2Fdp%2FB0B1K9QWWX%3Fth%3D1%26psc%3D1%26tag%3Dsdcdeals03-20", "Amazon Link")</f>
        <v>Amazon Link</v>
      </c>
      <c r="G863" s="11" t="s">
        <v>36</v>
      </c>
      <c r="H863" s="14" t="s">
        <v>6595</v>
      </c>
      <c r="I863" s="11" t="str">
        <f>HYPERLINK("https://redirect.sdcdeals.com/redirect?code=763034&amp;mavely=https://mavely.app.link/e/bhESV2wGrGb&amp;destination=https%3A%2F%2Fwww.kohls.com%2Fsearch.jsp%3Fsubmit-search%3Dweb-regular%26search%3D63081519", "Retail Link")</f>
        <v>Retail Link</v>
      </c>
      <c r="J863" s="14" t="s">
        <v>6581</v>
      </c>
      <c r="K863" s="13" t="s">
        <v>6596</v>
      </c>
      <c r="L863" s="15">
        <v>20.847999999999999</v>
      </c>
      <c r="M863" s="15">
        <v>41.7</v>
      </c>
      <c r="N863" s="15">
        <v>7.7870000000000026</v>
      </c>
      <c r="O863" s="15">
        <f>V863-M863</f>
        <v>0.73999999999999488</v>
      </c>
      <c r="P863" s="16">
        <f>N863/L863</f>
        <v>0.37351304681504233</v>
      </c>
      <c r="Q863" s="14">
        <v>758</v>
      </c>
      <c r="R863" s="14"/>
      <c r="S863" s="17">
        <v>1.3889106</v>
      </c>
      <c r="T863" s="15">
        <v>41.7</v>
      </c>
      <c r="U863" s="15">
        <v>41.42</v>
      </c>
      <c r="V863" s="15">
        <v>42.44</v>
      </c>
      <c r="W863" s="14" t="s">
        <v>53</v>
      </c>
      <c r="X863" s="14">
        <v>1</v>
      </c>
      <c r="Y863" s="10">
        <f>AC863-AB863</f>
        <v>47533</v>
      </c>
      <c r="Z863" s="18">
        <v>35</v>
      </c>
      <c r="AA863" s="18">
        <v>101</v>
      </c>
      <c r="AB863" s="18">
        <v>1</v>
      </c>
      <c r="AC863" s="18">
        <v>47534</v>
      </c>
      <c r="AD863" s="1" t="s">
        <v>6583</v>
      </c>
      <c r="AE863" s="1" t="s">
        <v>6584</v>
      </c>
      <c r="AF863" s="4">
        <v>7.09</v>
      </c>
      <c r="AG863" s="4">
        <v>6.81</v>
      </c>
    </row>
    <row r="864" spans="1:33" ht="47.25" customHeight="1" x14ac:dyDescent="0.25">
      <c r="A864" s="10" t="s">
        <v>6607</v>
      </c>
      <c r="B864" s="11" t="s">
        <v>33</v>
      </c>
      <c r="C864" s="12" t="s">
        <v>6608</v>
      </c>
      <c r="D864" s="27"/>
      <c r="E864" s="14" t="s">
        <v>35</v>
      </c>
      <c r="F864" s="11" t="str">
        <f>HYPERLINK("https://redirect.sdcdeals.com/redirect?destination=https%3A%2F%2Fwww.amazon.com%2Fdp%2FB0B1K97RDR%3Fth%3D1%26psc%3D1%26tag%3Dsdcdeals03-20", "Amazon Link")</f>
        <v>Amazon Link</v>
      </c>
      <c r="G864" s="11" t="s">
        <v>36</v>
      </c>
      <c r="H864" s="14" t="s">
        <v>6609</v>
      </c>
      <c r="I864" s="11" t="str">
        <f>HYPERLINK("https://redirect.sdcdeals.com/redirect?code=763034&amp;mavely=https://mavely.app.link/e/bhESV2wGrGb&amp;destination=https%3A%2F%2Fwww.kohls.com%2Fsearch.jsp%3Fsubmit-search%3Dweb-regular%26search%3D63081523", "Retail Link")</f>
        <v>Retail Link</v>
      </c>
      <c r="J864" s="14" t="s">
        <v>6581</v>
      </c>
      <c r="K864" s="13" t="s">
        <v>6610</v>
      </c>
      <c r="L864" s="15">
        <v>20.847999999999999</v>
      </c>
      <c r="M864" s="15">
        <v>41.7</v>
      </c>
      <c r="N864" s="15">
        <v>7.7870000000000026</v>
      </c>
      <c r="O864" s="15">
        <f>V864-M864</f>
        <v>-6.490000000000002</v>
      </c>
      <c r="P864" s="16">
        <f>N864/L864</f>
        <v>0.37351304681504233</v>
      </c>
      <c r="Q864" s="14">
        <v>846</v>
      </c>
      <c r="R864" s="14"/>
      <c r="S864" s="17">
        <v>1.433003</v>
      </c>
      <c r="T864" s="15">
        <v>41.7</v>
      </c>
      <c r="U864" s="15">
        <v>37.6</v>
      </c>
      <c r="V864" s="15">
        <v>35.21</v>
      </c>
      <c r="W864" s="14" t="s">
        <v>100</v>
      </c>
      <c r="X864" s="14">
        <v>1</v>
      </c>
      <c r="Y864" s="10">
        <f>AC864-AB864</f>
        <v>47557</v>
      </c>
      <c r="Z864" s="18">
        <v>46</v>
      </c>
      <c r="AA864" s="18">
        <v>112</v>
      </c>
      <c r="AB864" s="18">
        <v>1</v>
      </c>
      <c r="AC864" s="18">
        <v>47558</v>
      </c>
      <c r="AD864" s="1" t="s">
        <v>6583</v>
      </c>
      <c r="AE864" s="1" t="s">
        <v>6584</v>
      </c>
      <c r="AF864" s="4">
        <v>7.09</v>
      </c>
      <c r="AG864" s="4">
        <v>6.81</v>
      </c>
    </row>
    <row r="865" spans="1:33" ht="47.25" customHeight="1" x14ac:dyDescent="0.25">
      <c r="A865" s="10" t="s">
        <v>2537</v>
      </c>
      <c r="B865" s="11" t="s">
        <v>33</v>
      </c>
      <c r="C865" s="12" t="s">
        <v>2538</v>
      </c>
      <c r="D865" s="27"/>
      <c r="E865" s="14" t="s">
        <v>35</v>
      </c>
      <c r="F865" s="11" t="str">
        <f>HYPERLINK("https://redirect.sdcdeals.com/redirect?destination=https%3A%2F%2Fwww.amazon.com%2Fdp%2FB0C881546M%3Fth%3D1%26psc%3D1%26tag%3Dsdcdeals03-20", "Amazon Link")</f>
        <v>Amazon Link</v>
      </c>
      <c r="G865" s="11" t="s">
        <v>36</v>
      </c>
      <c r="H865" s="14" t="s">
        <v>2539</v>
      </c>
      <c r="I865" s="11" t="str">
        <f>HYPERLINK("https://redirect.sdcdeals.com/redirect?code=763034&amp;mavely=https://mavely.app.link/e/bhESV2wGrGb&amp;destination=https%3A%2F%2Fwww.kohls.com%2Fsearch.jsp%3Fsubmit-search%3Dweb-regular%26search%3D29813470", "Retail Link")</f>
        <v>Retail Link</v>
      </c>
      <c r="J865" s="14" t="s">
        <v>2515</v>
      </c>
      <c r="K865" s="13" t="s">
        <v>2540</v>
      </c>
      <c r="L865" s="15">
        <v>7.6959999999999997</v>
      </c>
      <c r="M865" s="15">
        <v>19.739999999999998</v>
      </c>
      <c r="N865" s="15">
        <v>2.8729999999999989</v>
      </c>
      <c r="O865" s="15">
        <f>V865-M865</f>
        <v>7</v>
      </c>
      <c r="P865" s="16">
        <f>N865/L865</f>
        <v>0.37331081081081069</v>
      </c>
      <c r="Q865" s="14">
        <v>166871</v>
      </c>
      <c r="R865" s="14"/>
      <c r="S865" s="17">
        <v>0.78264010000000006</v>
      </c>
      <c r="T865" s="15"/>
      <c r="U865" s="15">
        <v>19.739999999999998</v>
      </c>
      <c r="V865" s="15">
        <v>26.74</v>
      </c>
      <c r="W865" s="14" t="s">
        <v>2541</v>
      </c>
      <c r="X865" s="14">
        <v>1</v>
      </c>
      <c r="Y865" s="10">
        <f>AC865-AB865</f>
        <v>189</v>
      </c>
      <c r="Z865" s="18">
        <v>8</v>
      </c>
      <c r="AA865" s="18">
        <v>27</v>
      </c>
      <c r="AB865" s="18">
        <v>18</v>
      </c>
      <c r="AC865" s="18">
        <v>207</v>
      </c>
      <c r="AD865" s="1" t="s">
        <v>2542</v>
      </c>
      <c r="AE865" s="1" t="s">
        <v>235</v>
      </c>
      <c r="AG865" s="4">
        <v>6.21</v>
      </c>
    </row>
    <row r="866" spans="1:33" ht="47.25" customHeight="1" x14ac:dyDescent="0.25">
      <c r="A866" s="10" t="s">
        <v>4489</v>
      </c>
      <c r="B866" s="11" t="s">
        <v>33</v>
      </c>
      <c r="C866" s="12" t="s">
        <v>4490</v>
      </c>
      <c r="D866" s="27"/>
      <c r="E866" s="14" t="s">
        <v>35</v>
      </c>
      <c r="F866" s="11" t="str">
        <f>HYPERLINK("https://redirect.sdcdeals.com/redirect?destination=https%3A%2F%2Fwww.amazon.com%2Fdp%2FB0B1K82V11%3Fth%3D1%26psc%3D1%26tag%3Dsdcdeals03-20", "Amazon Link")</f>
        <v>Amazon Link</v>
      </c>
      <c r="G866" s="11" t="s">
        <v>36</v>
      </c>
      <c r="H866" s="14" t="s">
        <v>4491</v>
      </c>
      <c r="I866" s="11" t="str">
        <f>HYPERLINK("https://redirect.sdcdeals.com/redirect?code=763034&amp;mavely=https://mavely.app.link/e/bhESV2wGrGb&amp;destination=https%3A%2F%2Fwww.kohls.com%2Fsearch.jsp%3Fsubmit-search%3Dweb-regular%26search%3D68949298", "Retail Link")</f>
        <v>Retail Link</v>
      </c>
      <c r="J866" s="14" t="s">
        <v>4347</v>
      </c>
      <c r="K866" s="13" t="s">
        <v>4492</v>
      </c>
      <c r="L866" s="15">
        <v>20.847999999999999</v>
      </c>
      <c r="M866" s="15">
        <v>41.67</v>
      </c>
      <c r="N866" s="15">
        <v>7.7615000000000016</v>
      </c>
      <c r="O866" s="15">
        <f>V866-M866</f>
        <v>5.4899999999999949</v>
      </c>
      <c r="P866" s="16">
        <f>N866/L866</f>
        <v>0.37228990790483507</v>
      </c>
      <c r="Q866" s="14">
        <v>846</v>
      </c>
      <c r="R866" s="14"/>
      <c r="S866" s="17">
        <v>1.7350359399999999</v>
      </c>
      <c r="T866" s="15">
        <v>41.67</v>
      </c>
      <c r="U866" s="15">
        <v>44.27</v>
      </c>
      <c r="V866" s="15">
        <v>47.16</v>
      </c>
      <c r="W866" s="14" t="s">
        <v>53</v>
      </c>
      <c r="X866" s="14">
        <v>1</v>
      </c>
      <c r="Y866" s="10">
        <f>AC866-AB866</f>
        <v>47534</v>
      </c>
      <c r="Z866" s="18">
        <v>35</v>
      </c>
      <c r="AA866" s="18">
        <v>95</v>
      </c>
      <c r="AB866" s="18">
        <v>0</v>
      </c>
      <c r="AC866" s="18">
        <v>47534</v>
      </c>
      <c r="AD866" s="1" t="s">
        <v>4355</v>
      </c>
      <c r="AE866" s="1" t="s">
        <v>4356</v>
      </c>
      <c r="AF866" s="4">
        <v>7.08</v>
      </c>
      <c r="AG866" s="4">
        <v>6.81</v>
      </c>
    </row>
    <row r="867" spans="1:33" ht="47.25" customHeight="1" x14ac:dyDescent="0.25">
      <c r="A867" s="10" t="s">
        <v>4096</v>
      </c>
      <c r="B867" s="11" t="s">
        <v>33</v>
      </c>
      <c r="C867" s="12" t="s">
        <v>4097</v>
      </c>
      <c r="D867" s="27"/>
      <c r="E867" s="14" t="s">
        <v>35</v>
      </c>
      <c r="F867" s="11" t="str">
        <f>HYPERLINK("https://redirect.sdcdeals.com/redirect?destination=https%3A%2F%2Fwww.amazon.com%2Fdp%2FB0BKQVGG89%3Fth%3D1%26psc%3D1%26tag%3Dsdcdeals03-20", "Amazon Link")</f>
        <v>Amazon Link</v>
      </c>
      <c r="G867" s="11" t="s">
        <v>36</v>
      </c>
      <c r="H867" s="14" t="s">
        <v>4098</v>
      </c>
      <c r="I867" s="11" t="str">
        <f>HYPERLINK("https://redirect.sdcdeals.com/redirect?code=763034&amp;mavely=https://mavely.app.link/e/bhESV2wGrGb&amp;destination=https%3A%2F%2Fwww.kohls.com%2Fsearch.jsp%3Fsubmit-search%3Dweb-regular%26search%3D71992650", "Retail Link")</f>
        <v>Retail Link</v>
      </c>
      <c r="J867" s="14" t="s">
        <v>4089</v>
      </c>
      <c r="K867" s="13" t="s">
        <v>4099</v>
      </c>
      <c r="L867" s="15">
        <v>39.6</v>
      </c>
      <c r="M867" s="15">
        <v>77.400000000000006</v>
      </c>
      <c r="N867" s="15">
        <v>14.68000000000001</v>
      </c>
      <c r="O867" s="15">
        <f>V867-M867</f>
        <v>10.899999999999991</v>
      </c>
      <c r="P867" s="16">
        <f>N867/L867</f>
        <v>0.37070707070707093</v>
      </c>
      <c r="Q867" s="14">
        <v>459362</v>
      </c>
      <c r="R867" s="14"/>
      <c r="S867" s="17">
        <v>1.0802638</v>
      </c>
      <c r="T867" s="15">
        <v>77.400000000000006</v>
      </c>
      <c r="U867" s="15">
        <v>95.95</v>
      </c>
      <c r="V867" s="15">
        <v>88.3</v>
      </c>
      <c r="W867" s="14" t="s">
        <v>4100</v>
      </c>
      <c r="X867" s="14">
        <v>5</v>
      </c>
      <c r="Y867" s="10">
        <f>AC867-AB867</f>
        <v>14</v>
      </c>
      <c r="Z867" s="18">
        <v>14</v>
      </c>
      <c r="AA867" s="18">
        <v>42</v>
      </c>
      <c r="AB867" s="18">
        <v>1</v>
      </c>
      <c r="AC867" s="18">
        <v>15</v>
      </c>
      <c r="AD867" s="1" t="s">
        <v>4091</v>
      </c>
      <c r="AE867" s="1" t="s">
        <v>76</v>
      </c>
      <c r="AF867" s="4">
        <v>13.16</v>
      </c>
      <c r="AG867" s="4">
        <v>11.51</v>
      </c>
    </row>
    <row r="868" spans="1:33" ht="47.25" customHeight="1" x14ac:dyDescent="0.25">
      <c r="A868" s="10" t="s">
        <v>4369</v>
      </c>
      <c r="B868" s="11" t="s">
        <v>33</v>
      </c>
      <c r="C868" s="12" t="s">
        <v>4370</v>
      </c>
      <c r="D868" s="27"/>
      <c r="E868" s="14" t="s">
        <v>35</v>
      </c>
      <c r="F868" s="11" t="str">
        <f>HYPERLINK("https://redirect.sdcdeals.com/redirect?destination=https%3A%2F%2Fwww.amazon.com%2Fdp%2FB0B1K9V7BQ%3Fth%3D1%26psc%3D1%26tag%3Dsdcdeals03-20", "Amazon Link")</f>
        <v>Amazon Link</v>
      </c>
      <c r="G868" s="11" t="s">
        <v>36</v>
      </c>
      <c r="H868" s="14" t="s">
        <v>4371</v>
      </c>
      <c r="I868" s="11" t="str">
        <f>HYPERLINK("https://redirect.sdcdeals.com/redirect?code=763034&amp;mavely=https://mavely.app.link/e/bhESV2wGrGb&amp;destination=https%3A%2F%2Fwww.kohls.com%2Fsearch.jsp%3Fsubmit-search%3Dweb-regular%26search%3D68949038", "Retail Link")</f>
        <v>Retail Link</v>
      </c>
      <c r="J868" s="14" t="s">
        <v>4347</v>
      </c>
      <c r="K868" s="13" t="s">
        <v>4372</v>
      </c>
      <c r="L868" s="15">
        <v>20.847999999999999</v>
      </c>
      <c r="M868" s="15">
        <v>41.93</v>
      </c>
      <c r="N868" s="15">
        <v>7.7124999999999986</v>
      </c>
      <c r="O868" s="15">
        <f>V868-M868</f>
        <v>5.7700000000000031</v>
      </c>
      <c r="P868" s="16">
        <f>N868/L868</f>
        <v>0.36993956254796617</v>
      </c>
      <c r="Q868" s="14">
        <v>846</v>
      </c>
      <c r="R868" s="14"/>
      <c r="S868" s="17">
        <v>1.2897027000000001</v>
      </c>
      <c r="T868" s="15">
        <v>41.93</v>
      </c>
      <c r="U868" s="15">
        <v>44.62</v>
      </c>
      <c r="V868" s="15">
        <v>47.7</v>
      </c>
      <c r="W868" s="14" t="s">
        <v>53</v>
      </c>
      <c r="X868" s="14">
        <v>1</v>
      </c>
      <c r="Y868" s="10">
        <f>AC868-AB868</f>
        <v>47534</v>
      </c>
      <c r="Z868" s="18">
        <v>41</v>
      </c>
      <c r="AA868" s="18">
        <v>113</v>
      </c>
      <c r="AB868" s="18">
        <v>0</v>
      </c>
      <c r="AC868" s="18">
        <v>47534</v>
      </c>
      <c r="AD868" s="1" t="s">
        <v>4355</v>
      </c>
      <c r="AE868" s="1" t="s">
        <v>4356</v>
      </c>
      <c r="AF868" s="4">
        <v>7.13</v>
      </c>
      <c r="AG868" s="4">
        <v>7.08</v>
      </c>
    </row>
    <row r="869" spans="1:33" ht="47.25" customHeight="1" x14ac:dyDescent="0.25">
      <c r="A869" s="10" t="s">
        <v>3350</v>
      </c>
      <c r="B869" s="11" t="s">
        <v>33</v>
      </c>
      <c r="C869" s="12" t="s">
        <v>3351</v>
      </c>
      <c r="D869" s="27"/>
      <c r="E869" s="14" t="s">
        <v>35</v>
      </c>
      <c r="F869" s="11" t="str">
        <f>HYPERLINK("https://redirect.sdcdeals.com/redirect?destination=https%3A%2F%2Fwww.amazon.com%2Fdp%2FB0BKQV3KK3%3Fth%3D1%26psc%3D1%26tag%3Dsdcdeals03-20", "Amazon Link")</f>
        <v>Amazon Link</v>
      </c>
      <c r="G869" s="11" t="s">
        <v>36</v>
      </c>
      <c r="H869" s="14" t="s">
        <v>3352</v>
      </c>
      <c r="I869" s="11" t="str">
        <f>HYPERLINK("https://redirect.sdcdeals.com/redirect?code=763034&amp;mavely=https://mavely.app.link/e/bhESV2wGrGb&amp;destination=https%3A%2F%2Fwww.kohls.com%2Fsearch.jsp%3Fsubmit-search%3Dweb-regular%26search%3D75541576", "Retail Link")</f>
        <v>Retail Link</v>
      </c>
      <c r="J869" s="14" t="s">
        <v>3318</v>
      </c>
      <c r="K869" s="13" t="s">
        <v>3353</v>
      </c>
      <c r="L869" s="15">
        <v>39.6</v>
      </c>
      <c r="M869" s="15">
        <v>80.81</v>
      </c>
      <c r="N869" s="15">
        <v>14.53850000000001</v>
      </c>
      <c r="O869" s="15">
        <f>V869-M869</f>
        <v>10.579999999999998</v>
      </c>
      <c r="P869" s="16">
        <f>N869/L869</f>
        <v>0.36713383838383862</v>
      </c>
      <c r="Q869" s="14">
        <v>546738</v>
      </c>
      <c r="R869" s="14"/>
      <c r="S869" s="17">
        <v>2.44933282</v>
      </c>
      <c r="T869" s="15">
        <v>69.31</v>
      </c>
      <c r="U869" s="15">
        <v>79.900000000000006</v>
      </c>
      <c r="V869" s="15">
        <v>91.39</v>
      </c>
      <c r="W869" s="14" t="s">
        <v>2697</v>
      </c>
      <c r="X869" s="14">
        <v>4</v>
      </c>
      <c r="Y869" s="10">
        <f>AC869-AB869</f>
        <v>15</v>
      </c>
      <c r="Z869" s="18">
        <v>15</v>
      </c>
      <c r="AA869" s="18">
        <v>58</v>
      </c>
      <c r="AB869" s="18">
        <v>0</v>
      </c>
      <c r="AC869" s="18">
        <v>15</v>
      </c>
      <c r="AD869" s="1" t="s">
        <v>3320</v>
      </c>
      <c r="AE869" s="1" t="s">
        <v>76</v>
      </c>
      <c r="AF869" s="4">
        <v>13.74</v>
      </c>
      <c r="AG869" s="4">
        <v>14.55</v>
      </c>
    </row>
    <row r="870" spans="1:33" ht="47.25" customHeight="1" x14ac:dyDescent="0.25">
      <c r="A870" s="10" t="s">
        <v>4481</v>
      </c>
      <c r="B870" s="11" t="s">
        <v>33</v>
      </c>
      <c r="C870" s="12" t="s">
        <v>4482</v>
      </c>
      <c r="D870" s="27"/>
      <c r="E870" s="14" t="s">
        <v>35</v>
      </c>
      <c r="F870" s="11" t="str">
        <f>HYPERLINK("https://redirect.sdcdeals.com/redirect?destination=https%3A%2F%2Fwww.amazon.com%2Fdp%2FB0B1JSMQNR%3Fth%3D1%26psc%3D1%26tag%3Dsdcdeals03-20", "Amazon Link")</f>
        <v>Amazon Link</v>
      </c>
      <c r="G870" s="11" t="s">
        <v>36</v>
      </c>
      <c r="H870" s="14" t="s">
        <v>4483</v>
      </c>
      <c r="I870" s="11" t="str">
        <f>HYPERLINK("https://redirect.sdcdeals.com/redirect?code=763034&amp;mavely=https://mavely.app.link/e/bhESV2wGrGb&amp;destination=https%3A%2F%2Fwww.kohls.com%2Fsearch.jsp%3Fsubmit-search%3Dweb-regular%26search%3D68949278", "Retail Link")</f>
        <v>Retail Link</v>
      </c>
      <c r="J870" s="14" t="s">
        <v>4347</v>
      </c>
      <c r="K870" s="13" t="s">
        <v>4484</v>
      </c>
      <c r="L870" s="15">
        <v>20.847999999999999</v>
      </c>
      <c r="M870" s="15">
        <v>41.77</v>
      </c>
      <c r="N870" s="15">
        <v>7.5765000000000029</v>
      </c>
      <c r="O870" s="15">
        <f>V870-M870</f>
        <v>5.75</v>
      </c>
      <c r="P870" s="16">
        <f>N870/L870</f>
        <v>0.36341615502686125</v>
      </c>
      <c r="Q870" s="14">
        <v>846</v>
      </c>
      <c r="R870" s="14"/>
      <c r="S870" s="17">
        <v>1.5807125399999999</v>
      </c>
      <c r="T870" s="15">
        <v>41.77</v>
      </c>
      <c r="U870" s="15">
        <v>43.91</v>
      </c>
      <c r="V870" s="15">
        <v>47.52</v>
      </c>
      <c r="W870" s="14" t="s">
        <v>88</v>
      </c>
      <c r="X870" s="14">
        <v>1</v>
      </c>
      <c r="Y870" s="10">
        <f>AC870-AB870</f>
        <v>47605</v>
      </c>
      <c r="Z870" s="18">
        <v>34</v>
      </c>
      <c r="AA870" s="18">
        <v>107</v>
      </c>
      <c r="AB870" s="18">
        <v>0</v>
      </c>
      <c r="AC870" s="18">
        <v>47605</v>
      </c>
      <c r="AD870" s="1" t="s">
        <v>4355</v>
      </c>
      <c r="AE870" s="1" t="s">
        <v>4356</v>
      </c>
      <c r="AF870" s="4">
        <v>7.1</v>
      </c>
      <c r="AG870" s="4">
        <v>7.08</v>
      </c>
    </row>
    <row r="871" spans="1:33" ht="47.25" customHeight="1" x14ac:dyDescent="0.25">
      <c r="A871" s="10" t="s">
        <v>3334</v>
      </c>
      <c r="B871" s="11" t="s">
        <v>33</v>
      </c>
      <c r="C871" s="12" t="s">
        <v>3335</v>
      </c>
      <c r="D871" s="27"/>
      <c r="E871" s="14" t="s">
        <v>35</v>
      </c>
      <c r="F871" s="11" t="str">
        <f>HYPERLINK("https://redirect.sdcdeals.com/redirect?destination=https%3A%2F%2Fwww.amazon.com%2Fdp%2FB0BKQXBR2Z%3Fth%3D1%26psc%3D1%26tag%3Dsdcdeals03-20", "Amazon Link")</f>
        <v>Amazon Link</v>
      </c>
      <c r="G871" s="11" t="s">
        <v>36</v>
      </c>
      <c r="H871" s="14" t="s">
        <v>3336</v>
      </c>
      <c r="I871" s="11" t="str">
        <f>HYPERLINK("https://redirect.sdcdeals.com/redirect?code=763034&amp;mavely=https://mavely.app.link/e/bhESV2wGrGb&amp;destination=https%3A%2F%2Fwww.kohls.com%2Fsearch.jsp%3Fsubmit-search%3Dweb-regular%26search%3D75541564", "Retail Link")</f>
        <v>Retail Link</v>
      </c>
      <c r="J871" s="14" t="s">
        <v>3318</v>
      </c>
      <c r="K871" s="13" t="s">
        <v>3337</v>
      </c>
      <c r="L871" s="15">
        <v>39.6</v>
      </c>
      <c r="M871" s="15">
        <v>83.25</v>
      </c>
      <c r="N871" s="15">
        <v>14.3325</v>
      </c>
      <c r="O871" s="15">
        <f>V871-M871</f>
        <v>18.189999999999998</v>
      </c>
      <c r="P871" s="16">
        <f>N871/L871</f>
        <v>0.36193181818181813</v>
      </c>
      <c r="Q871" s="14">
        <v>517001</v>
      </c>
      <c r="R871" s="14"/>
      <c r="S871" s="17">
        <v>2.2310754400000001</v>
      </c>
      <c r="T871" s="15">
        <v>72.89</v>
      </c>
      <c r="U871" s="15">
        <v>111.8</v>
      </c>
      <c r="V871" s="15">
        <v>101.44</v>
      </c>
      <c r="W871" s="14" t="s">
        <v>964</v>
      </c>
      <c r="X871" s="14">
        <v>2</v>
      </c>
      <c r="Y871" s="10">
        <f>AC871-AB871</f>
        <v>15</v>
      </c>
      <c r="Z871" s="18">
        <v>13</v>
      </c>
      <c r="AA871" s="18">
        <v>50</v>
      </c>
      <c r="AB871" s="18">
        <v>0</v>
      </c>
      <c r="AC871" s="18">
        <v>15</v>
      </c>
      <c r="AD871" s="1" t="s">
        <v>3320</v>
      </c>
      <c r="AE871" s="1" t="s">
        <v>3329</v>
      </c>
      <c r="AF871" s="4">
        <v>14.14</v>
      </c>
      <c r="AG871" s="4">
        <v>16.829999999999998</v>
      </c>
    </row>
    <row r="872" spans="1:33" ht="47.25" customHeight="1" x14ac:dyDescent="0.25">
      <c r="A872" s="10" t="s">
        <v>4142</v>
      </c>
      <c r="B872" s="11" t="s">
        <v>33</v>
      </c>
      <c r="C872" s="12" t="s">
        <v>4143</v>
      </c>
      <c r="D872" s="27"/>
      <c r="E872" s="14" t="s">
        <v>35</v>
      </c>
      <c r="F872" s="11" t="str">
        <f>HYPERLINK("https://redirect.sdcdeals.com/redirect?destination=https%3A%2F%2Fwww.amazon.com%2Fdp%2FB0BKQZ1J5G%3Fth%3D1%26psc%3D1%26tag%3Dsdcdeals03-20", "Amazon Link")</f>
        <v>Amazon Link</v>
      </c>
      <c r="G872" s="11" t="s">
        <v>36</v>
      </c>
      <c r="H872" s="14" t="s">
        <v>4144</v>
      </c>
      <c r="I872" s="11" t="str">
        <f>HYPERLINK("https://redirect.sdcdeals.com/redirect?code=763034&amp;mavely=https://mavely.app.link/e/bhESV2wGrGb&amp;destination=https%3A%2F%2Fwww.kohls.com%2Fsearch.jsp%3Fsubmit-search%3Dweb-regular%26search%3D71992660", "Retail Link")</f>
        <v>Retail Link</v>
      </c>
      <c r="J872" s="14" t="s">
        <v>4089</v>
      </c>
      <c r="K872" s="13" t="s">
        <v>4145</v>
      </c>
      <c r="L872" s="15">
        <v>39.6</v>
      </c>
      <c r="M872" s="15">
        <v>77.400000000000006</v>
      </c>
      <c r="N872" s="15">
        <v>14.3</v>
      </c>
      <c r="O872" s="15">
        <f>V872-M872</f>
        <v>11.489999999999995</v>
      </c>
      <c r="P872" s="16">
        <f>N872/L872</f>
        <v>0.3611111111111111</v>
      </c>
      <c r="Q872" s="14">
        <v>594490</v>
      </c>
      <c r="R872" s="14"/>
      <c r="S872" s="17">
        <v>1.4793000199999999</v>
      </c>
      <c r="T872" s="15">
        <v>77.400000000000006</v>
      </c>
      <c r="U872" s="15">
        <v>96.7</v>
      </c>
      <c r="V872" s="15">
        <v>88.89</v>
      </c>
      <c r="W872" s="14" t="s">
        <v>516</v>
      </c>
      <c r="X872" s="14">
        <v>6</v>
      </c>
      <c r="Y872" s="10">
        <f>AC872-AB872</f>
        <v>15</v>
      </c>
      <c r="Z872" s="18">
        <v>12</v>
      </c>
      <c r="AA872" s="18">
        <v>43</v>
      </c>
      <c r="AB872" s="18">
        <v>0</v>
      </c>
      <c r="AC872" s="18">
        <v>15</v>
      </c>
      <c r="AD872" s="1" t="s">
        <v>4091</v>
      </c>
      <c r="AE872" s="1" t="s">
        <v>76</v>
      </c>
      <c r="AF872" s="4">
        <v>13.16</v>
      </c>
      <c r="AG872" s="4">
        <v>11.89</v>
      </c>
    </row>
    <row r="873" spans="1:33" ht="47.25" customHeight="1" x14ac:dyDescent="0.25">
      <c r="A873" s="10" t="s">
        <v>6585</v>
      </c>
      <c r="B873" s="11" t="s">
        <v>33</v>
      </c>
      <c r="C873" s="12" t="s">
        <v>6586</v>
      </c>
      <c r="D873" s="27"/>
      <c r="E873" s="14" t="s">
        <v>35</v>
      </c>
      <c r="F873" s="11" t="str">
        <f>HYPERLINK("https://redirect.sdcdeals.com/redirect?destination=https%3A%2F%2Fwww.amazon.com%2Fdp%2FB0B1K62G19%3Fth%3D1%26psc%3D1%26tag%3Dsdcdeals03-20", "Amazon Link")</f>
        <v>Amazon Link</v>
      </c>
      <c r="G873" s="11" t="s">
        <v>36</v>
      </c>
      <c r="H873" s="14" t="s">
        <v>6587</v>
      </c>
      <c r="I873" s="11" t="str">
        <f>HYPERLINK("https://redirect.sdcdeals.com/redirect?code=763034&amp;mavely=https://mavely.app.link/e/bhESV2wGrGb&amp;destination=https%3A%2F%2Fwww.kohls.com%2Fsearch.jsp%3Fsubmit-search%3Dweb-regular%26search%3D63081480", "Retail Link")</f>
        <v>Retail Link</v>
      </c>
      <c r="J873" s="14" t="s">
        <v>6581</v>
      </c>
      <c r="K873" s="13" t="s">
        <v>6588</v>
      </c>
      <c r="L873" s="15">
        <v>20.847999999999999</v>
      </c>
      <c r="M873" s="15">
        <v>41.7</v>
      </c>
      <c r="N873" s="15">
        <v>7.517000000000003</v>
      </c>
      <c r="O873" s="15">
        <f>V873-M873</f>
        <v>-2.0800000000000054</v>
      </c>
      <c r="P873" s="16">
        <f>N873/L873</f>
        <v>0.36056216423637777</v>
      </c>
      <c r="Q873" s="14">
        <v>846</v>
      </c>
      <c r="R873" s="14"/>
      <c r="S873" s="17">
        <v>1.3227720000000001</v>
      </c>
      <c r="T873" s="15">
        <v>41.7</v>
      </c>
      <c r="U873" s="15">
        <v>40.020000000000003</v>
      </c>
      <c r="V873" s="15">
        <v>39.619999999999997</v>
      </c>
      <c r="W873" s="14" t="s">
        <v>269</v>
      </c>
      <c r="X873" s="14">
        <v>1</v>
      </c>
      <c r="Y873" s="10">
        <f>AC873-AB873</f>
        <v>47353</v>
      </c>
      <c r="Z873" s="18">
        <v>39</v>
      </c>
      <c r="AA873" s="18">
        <v>78</v>
      </c>
      <c r="AB873" s="18">
        <v>0</v>
      </c>
      <c r="AC873" s="18">
        <v>47353</v>
      </c>
      <c r="AD873" s="1" t="s">
        <v>6583</v>
      </c>
      <c r="AE873" s="1" t="s">
        <v>6584</v>
      </c>
      <c r="AF873" s="4">
        <v>7.09</v>
      </c>
      <c r="AG873" s="4">
        <v>7.08</v>
      </c>
    </row>
    <row r="874" spans="1:33" ht="47.25" customHeight="1" x14ac:dyDescent="0.25">
      <c r="A874" s="10" t="s">
        <v>6597</v>
      </c>
      <c r="B874" s="11" t="s">
        <v>33</v>
      </c>
      <c r="C874" s="12" t="s">
        <v>6598</v>
      </c>
      <c r="D874" s="27"/>
      <c r="E874" s="14" t="s">
        <v>35</v>
      </c>
      <c r="F874" s="11" t="str">
        <f>HYPERLINK("https://redirect.sdcdeals.com/redirect?destination=https%3A%2F%2Fwww.amazon.com%2Fdp%2FB0B1KJ2YNH%3Fth%3D1%26psc%3D1%26tag%3Dsdcdeals03-20", "Amazon Link")</f>
        <v>Amazon Link</v>
      </c>
      <c r="G874" s="11" t="s">
        <v>36</v>
      </c>
      <c r="H874" s="14" t="s">
        <v>6599</v>
      </c>
      <c r="I874" s="11" t="str">
        <f>HYPERLINK("https://redirect.sdcdeals.com/redirect?code=763034&amp;mavely=https://mavely.app.link/e/bhESV2wGrGb&amp;destination=https%3A%2F%2Fwww.kohls.com%2Fsearch.jsp%3Fsubmit-search%3Dweb-regular%26search%3D63081520", "Retail Link")</f>
        <v>Retail Link</v>
      </c>
      <c r="J874" s="14" t="s">
        <v>6581</v>
      </c>
      <c r="K874" s="13" t="s">
        <v>6600</v>
      </c>
      <c r="L874" s="15">
        <v>20.847999999999999</v>
      </c>
      <c r="M874" s="15">
        <v>41.7</v>
      </c>
      <c r="N874" s="15">
        <v>7.517000000000003</v>
      </c>
      <c r="O874" s="15">
        <f>V874-M874</f>
        <v>0.25999999999999801</v>
      </c>
      <c r="P874" s="16">
        <f>N874/L874</f>
        <v>0.36056216423637777</v>
      </c>
      <c r="Q874" s="14">
        <v>846</v>
      </c>
      <c r="R874" s="14"/>
      <c r="S874" s="17">
        <v>1.7284220800000001</v>
      </c>
      <c r="T874" s="15">
        <v>41.7</v>
      </c>
      <c r="U874" s="15">
        <v>41.41</v>
      </c>
      <c r="V874" s="15">
        <v>41.96</v>
      </c>
      <c r="W874" s="14" t="s">
        <v>60</v>
      </c>
      <c r="X874" s="14">
        <v>1</v>
      </c>
      <c r="Y874" s="10">
        <f>AC874-AB874</f>
        <v>47549</v>
      </c>
      <c r="Z874" s="18">
        <v>41</v>
      </c>
      <c r="AA874" s="18">
        <v>106</v>
      </c>
      <c r="AB874" s="18">
        <v>0</v>
      </c>
      <c r="AC874" s="18">
        <v>47549</v>
      </c>
      <c r="AD874" s="1" t="s">
        <v>6583</v>
      </c>
      <c r="AE874" s="1" t="s">
        <v>6584</v>
      </c>
      <c r="AF874" s="4">
        <v>7.09</v>
      </c>
      <c r="AG874" s="4">
        <v>7.08</v>
      </c>
    </row>
    <row r="875" spans="1:33" ht="47.25" customHeight="1" x14ac:dyDescent="0.25">
      <c r="A875" s="10" t="s">
        <v>1207</v>
      </c>
      <c r="B875" s="11" t="s">
        <v>33</v>
      </c>
      <c r="C875" s="12" t="s">
        <v>1208</v>
      </c>
      <c r="D875" s="27"/>
      <c r="E875" s="14" t="s">
        <v>35</v>
      </c>
      <c r="F875" s="11" t="str">
        <f>HYPERLINK("https://redirect.sdcdeals.com/redirect?destination=https%3A%2F%2Fwww.amazon.com%2Fdp%2FB0BKQRF1ZT%3Fth%3D1%26psc%3D1%26tag%3Dsdcdeals03-20", "Amazon Link")</f>
        <v>Amazon Link</v>
      </c>
      <c r="G875" s="11" t="s">
        <v>36</v>
      </c>
      <c r="H875" s="14" t="s">
        <v>1209</v>
      </c>
      <c r="I875" s="11" t="str">
        <f>HYPERLINK("https://redirect.sdcdeals.com/redirect?code=763034&amp;mavely=https://mavely.app.link/e/bhESV2wGrGb&amp;destination=https%3A%2F%2Fwww.kohls.com%2Fsearch.jsp%3Fsubmit-search%3Dweb-regular%26search%3D28257751", "Retail Link")</f>
        <v>Retail Link</v>
      </c>
      <c r="J875" s="14" t="s">
        <v>1203</v>
      </c>
      <c r="K875" s="13" t="s">
        <v>1210</v>
      </c>
      <c r="L875" s="15">
        <v>19.8</v>
      </c>
      <c r="M875" s="15">
        <v>39.99</v>
      </c>
      <c r="N875" s="15">
        <v>7.111500000000003</v>
      </c>
      <c r="O875" s="15">
        <f>V875-M875</f>
        <v>3.5599999999999952</v>
      </c>
      <c r="P875" s="16">
        <f>N875/L875</f>
        <v>0.3591666666666668</v>
      </c>
      <c r="Q875" s="14">
        <v>380293</v>
      </c>
      <c r="R875" s="14"/>
      <c r="S875" s="17">
        <v>0.74957079999999998</v>
      </c>
      <c r="T875" s="15">
        <v>39.99</v>
      </c>
      <c r="U875" s="15">
        <v>38.56</v>
      </c>
      <c r="V875" s="15">
        <v>43.55</v>
      </c>
      <c r="W875" s="14" t="s">
        <v>53</v>
      </c>
      <c r="X875" s="14">
        <v>2</v>
      </c>
      <c r="Y875" s="10">
        <f>AC875-AB875</f>
        <v>26</v>
      </c>
      <c r="Z875" s="18">
        <v>10</v>
      </c>
      <c r="AA875" s="18">
        <v>38</v>
      </c>
      <c r="AB875" s="18">
        <v>0</v>
      </c>
      <c r="AC875" s="18">
        <v>26</v>
      </c>
      <c r="AD875" s="1" t="s">
        <v>1205</v>
      </c>
      <c r="AE875" s="1" t="s">
        <v>1211</v>
      </c>
      <c r="AF875" s="4">
        <v>6.8</v>
      </c>
      <c r="AG875" s="4">
        <v>7.08</v>
      </c>
    </row>
    <row r="876" spans="1:33" ht="47.25" customHeight="1" x14ac:dyDescent="0.25">
      <c r="A876" s="10" t="s">
        <v>2897</v>
      </c>
      <c r="B876" s="11" t="s">
        <v>33</v>
      </c>
      <c r="C876" s="12" t="s">
        <v>2898</v>
      </c>
      <c r="D876" s="27"/>
      <c r="E876" s="14" t="s">
        <v>35</v>
      </c>
      <c r="F876" s="11" t="str">
        <f>HYPERLINK("https://redirect.sdcdeals.com/redirect?destination=https%3A%2F%2Fwww.amazon.com%2Fdp%2FB09KMDKZVC%3Fth%3D1%26psc%3D1%26tag%3Dsdcdeals03-20", "Amazon Link")</f>
        <v>Amazon Link</v>
      </c>
      <c r="G876" s="11" t="s">
        <v>36</v>
      </c>
      <c r="H876" s="14" t="s">
        <v>2899</v>
      </c>
      <c r="I876" s="11" t="str">
        <f>HYPERLINK("https://redirect.sdcdeals.com/redirect?code=763034&amp;mavely=https://mavely.app.link/e/bhESV2wGrGb&amp;destination=https%3A%2F%2Fwww.kohls.com%2Fsearch.jsp%3Fsubmit-search%3Dweb-regular%26search%3D76932890", "Retail Link")</f>
        <v>Retail Link</v>
      </c>
      <c r="J876" s="14" t="s">
        <v>2863</v>
      </c>
      <c r="K876" s="13" t="s">
        <v>2900</v>
      </c>
      <c r="L876" s="15">
        <v>39.6</v>
      </c>
      <c r="M876" s="15">
        <v>78.989999999999995</v>
      </c>
      <c r="N876" s="15">
        <v>14.131500000000001</v>
      </c>
      <c r="O876" s="15">
        <f>V876-M876</f>
        <v>3.4699999999999989</v>
      </c>
      <c r="P876" s="16">
        <f>N876/L876</f>
        <v>0.35685606060606062</v>
      </c>
      <c r="Q876" s="14">
        <v>682708</v>
      </c>
      <c r="R876" s="14"/>
      <c r="S876" s="17">
        <v>3.1746528000000001</v>
      </c>
      <c r="T876" s="15">
        <v>78.989999999999995</v>
      </c>
      <c r="U876" s="15">
        <v>79.37</v>
      </c>
      <c r="V876" s="15">
        <v>82.46</v>
      </c>
      <c r="W876" s="14" t="s">
        <v>234</v>
      </c>
      <c r="X876" s="14">
        <v>2</v>
      </c>
      <c r="Y876" s="10">
        <f>AC876-AB876</f>
        <v>60</v>
      </c>
      <c r="Z876" s="18">
        <v>9</v>
      </c>
      <c r="AA876" s="18">
        <v>62</v>
      </c>
      <c r="AB876" s="18">
        <v>3</v>
      </c>
      <c r="AC876" s="18">
        <v>63</v>
      </c>
      <c r="AD876" s="1" t="s">
        <v>2865</v>
      </c>
      <c r="AE876" s="1" t="s">
        <v>2866</v>
      </c>
      <c r="AF876" s="4">
        <v>13.43</v>
      </c>
      <c r="AG876" s="4">
        <v>13.41</v>
      </c>
    </row>
    <row r="877" spans="1:33" ht="47.25" customHeight="1" x14ac:dyDescent="0.25">
      <c r="A877" s="10" t="s">
        <v>3358</v>
      </c>
      <c r="B877" s="11" t="s">
        <v>33</v>
      </c>
      <c r="C877" s="12" t="s">
        <v>3359</v>
      </c>
      <c r="D877" s="27"/>
      <c r="E877" s="14" t="s">
        <v>35</v>
      </c>
      <c r="F877" s="11" t="str">
        <f>HYPERLINK("https://redirect.sdcdeals.com/redirect?destination=https%3A%2F%2Fwww.amazon.com%2Fdp%2FB0BKR2K7P9%3Fth%3D1%26psc%3D1%26tag%3Dsdcdeals03-20", "Amazon Link")</f>
        <v>Amazon Link</v>
      </c>
      <c r="G877" s="11" t="s">
        <v>36</v>
      </c>
      <c r="H877" s="14" t="s">
        <v>3360</v>
      </c>
      <c r="I877" s="11" t="str">
        <f>HYPERLINK("https://redirect.sdcdeals.com/redirect?code=763034&amp;mavely=https://mavely.app.link/e/bhESV2wGrGb&amp;destination=https%3A%2F%2Fwww.kohls.com%2Fsearch.jsp%3Fsubmit-search%3Dweb-regular%26search%3D75541568", "Retail Link")</f>
        <v>Retail Link</v>
      </c>
      <c r="J877" s="14" t="s">
        <v>3318</v>
      </c>
      <c r="K877" s="13" t="s">
        <v>3361</v>
      </c>
      <c r="L877" s="15">
        <v>39.6</v>
      </c>
      <c r="M877" s="15">
        <v>80.7</v>
      </c>
      <c r="N877" s="15">
        <v>14.065</v>
      </c>
      <c r="O877" s="15">
        <f>V877-M877</f>
        <v>12.799999999999997</v>
      </c>
      <c r="P877" s="16">
        <f>N877/L877</f>
        <v>0.35517676767676765</v>
      </c>
      <c r="Q877" s="14">
        <v>546738</v>
      </c>
      <c r="R877" s="14"/>
      <c r="S877" s="17">
        <v>2.5992469800000002</v>
      </c>
      <c r="T877" s="15">
        <v>80.7</v>
      </c>
      <c r="U877" s="15">
        <v>96.35</v>
      </c>
      <c r="V877" s="15">
        <v>93.5</v>
      </c>
      <c r="W877" s="14" t="s">
        <v>164</v>
      </c>
      <c r="X877" s="14">
        <v>2</v>
      </c>
      <c r="Y877" s="10">
        <f>AC877-AB877</f>
        <v>15</v>
      </c>
      <c r="Z877" s="18">
        <v>11</v>
      </c>
      <c r="AA877" s="18">
        <v>38</v>
      </c>
      <c r="AB877" s="18">
        <v>0</v>
      </c>
      <c r="AC877" s="18">
        <v>15</v>
      </c>
      <c r="AD877" s="1" t="s">
        <v>3320</v>
      </c>
      <c r="AE877" s="1" t="s">
        <v>3329</v>
      </c>
      <c r="AF877" s="4">
        <v>13.72</v>
      </c>
      <c r="AG877" s="4">
        <v>14.93</v>
      </c>
    </row>
    <row r="878" spans="1:33" ht="47.25" customHeight="1" x14ac:dyDescent="0.25">
      <c r="A878" s="10" t="s">
        <v>6811</v>
      </c>
      <c r="B878" s="11" t="s">
        <v>33</v>
      </c>
      <c r="C878" s="12" t="s">
        <v>6812</v>
      </c>
      <c r="D878" s="27"/>
      <c r="E878" s="14" t="s">
        <v>35</v>
      </c>
      <c r="F878" s="11" t="str">
        <f>HYPERLINK("https://redirect.sdcdeals.com/redirect?destination=https%3A%2F%2Fwww.amazon.com%2Fdp%2FB07MG91CDV%3Fth%3D1%26psc%3D1%26tag%3Dsdcdeals03-20", "Amazon Link")</f>
        <v>Amazon Link</v>
      </c>
      <c r="G878" s="11" t="s">
        <v>36</v>
      </c>
      <c r="H878" s="14" t="s">
        <v>6813</v>
      </c>
      <c r="I878" s="11" t="str">
        <f>HYPERLINK("https://redirect.sdcdeals.com/redirect?code=763034&amp;mavely=https://mavely.app.link/e/bhESV2wGrGb&amp;destination=https%3A%2F%2Fwww.kohls.com%2Fsearch.jsp%3Fsubmit-search%3Dweb-regular%26search%3D84847358", "Retail Link")</f>
        <v>Retail Link</v>
      </c>
      <c r="J878" s="14" t="s">
        <v>6814</v>
      </c>
      <c r="K878" s="13" t="s">
        <v>6815</v>
      </c>
      <c r="L878" s="15">
        <v>13.72</v>
      </c>
      <c r="M878" s="15">
        <v>28.96</v>
      </c>
      <c r="N878" s="15">
        <v>4.8459999999999983</v>
      </c>
      <c r="O878" s="15">
        <f>V878-M878</f>
        <v>-1.6099999999999994</v>
      </c>
      <c r="P878" s="16">
        <f>N878/L878</f>
        <v>0.35320699708454795</v>
      </c>
      <c r="Q878" s="14">
        <v>7231</v>
      </c>
      <c r="R878" s="14"/>
      <c r="S878" s="17">
        <v>0.71209226000000003</v>
      </c>
      <c r="T878" s="15">
        <v>28.39</v>
      </c>
      <c r="U878" s="15">
        <v>28.09</v>
      </c>
      <c r="V878" s="15">
        <v>27.35</v>
      </c>
      <c r="W878" s="14" t="s">
        <v>53</v>
      </c>
      <c r="X878" s="14">
        <v>4</v>
      </c>
      <c r="Y878" s="10">
        <f>AC878-AB878</f>
        <v>9074</v>
      </c>
      <c r="Z878" s="18">
        <v>47</v>
      </c>
      <c r="AA878" s="18">
        <v>156</v>
      </c>
      <c r="AB878" s="18">
        <v>5</v>
      </c>
      <c r="AC878" s="18">
        <v>9079</v>
      </c>
      <c r="AD878" s="1" t="s">
        <v>6816</v>
      </c>
      <c r="AE878" s="1" t="s">
        <v>6817</v>
      </c>
      <c r="AF878" s="4">
        <v>4.92</v>
      </c>
      <c r="AG878" s="4">
        <v>6.05</v>
      </c>
    </row>
    <row r="879" spans="1:33" ht="47.25" customHeight="1" x14ac:dyDescent="0.25">
      <c r="A879" s="10" t="s">
        <v>6623</v>
      </c>
      <c r="B879" s="11" t="s">
        <v>33</v>
      </c>
      <c r="C879" s="12" t="s">
        <v>6624</v>
      </c>
      <c r="D879" s="27"/>
      <c r="E879" s="14" t="s">
        <v>35</v>
      </c>
      <c r="F879" s="11" t="str">
        <f>HYPERLINK("https://redirect.sdcdeals.com/redirect?destination=https%3A%2F%2Fwww.amazon.com%2Fdp%2FB0B1KBW44R%3Fth%3D1%26psc%3D1%26tag%3Dsdcdeals03-20", "Amazon Link")</f>
        <v>Amazon Link</v>
      </c>
      <c r="G879" s="11" t="s">
        <v>36</v>
      </c>
      <c r="H879" s="14" t="s">
        <v>6625</v>
      </c>
      <c r="I879" s="11" t="str">
        <f>HYPERLINK("https://redirect.sdcdeals.com/redirect?code=763034&amp;mavely=https://mavely.app.link/e/bhESV2wGrGb&amp;destination=https%3A%2F%2Fwww.kohls.com%2Fsearch.jsp%3Fsubmit-search%3Dweb-regular%26search%3D76861819", "Retail Link")</f>
        <v>Retail Link</v>
      </c>
      <c r="J879" s="14" t="s">
        <v>6581</v>
      </c>
      <c r="K879" s="13" t="s">
        <v>6626</v>
      </c>
      <c r="L879" s="15">
        <v>20.847999999999999</v>
      </c>
      <c r="M879" s="15">
        <v>41.14</v>
      </c>
      <c r="N879" s="15">
        <v>7.3110000000000026</v>
      </c>
      <c r="O879" s="15">
        <f>V879-M879</f>
        <v>4.7199999999999989</v>
      </c>
      <c r="P879" s="16">
        <f>N879/L879</f>
        <v>0.35068112049117434</v>
      </c>
      <c r="Q879" s="14">
        <v>846</v>
      </c>
      <c r="R879" s="14"/>
      <c r="S879" s="17">
        <v>1.7857422000000001</v>
      </c>
      <c r="T879" s="15">
        <v>41.14</v>
      </c>
      <c r="U879" s="15">
        <v>42.92</v>
      </c>
      <c r="V879" s="15">
        <v>45.86</v>
      </c>
      <c r="W879" s="14" t="s">
        <v>742</v>
      </c>
      <c r="X879" s="14">
        <v>1</v>
      </c>
      <c r="Y879" s="10">
        <f>AC879-AB879</f>
        <v>47534</v>
      </c>
      <c r="Z879" s="18">
        <v>41</v>
      </c>
      <c r="AA879" s="18">
        <v>125</v>
      </c>
      <c r="AB879" s="18">
        <v>0</v>
      </c>
      <c r="AC879" s="18">
        <v>47534</v>
      </c>
      <c r="AD879" s="1" t="s">
        <v>6605</v>
      </c>
      <c r="AE879" s="1" t="s">
        <v>6606</v>
      </c>
      <c r="AF879" s="4">
        <v>6.99</v>
      </c>
      <c r="AG879" s="4">
        <v>6.81</v>
      </c>
    </row>
    <row r="880" spans="1:33" ht="47.25" customHeight="1" x14ac:dyDescent="0.25">
      <c r="A880" s="10" t="s">
        <v>7455</v>
      </c>
      <c r="B880" s="11" t="s">
        <v>33</v>
      </c>
      <c r="C880" s="12" t="s">
        <v>7456</v>
      </c>
      <c r="D880" s="27"/>
      <c r="E880" s="14" t="s">
        <v>35</v>
      </c>
      <c r="F880" s="11" t="str">
        <f>HYPERLINK("https://redirect.sdcdeals.com/redirect?destination=https%3A%2F%2Fwww.amazon.com%2Fdp%2FB0BKR1Y184%3Fth%3D1%26psc%3D1%26tag%3Dsdcdeals03-20", "Amazon Link")</f>
        <v>Amazon Link</v>
      </c>
      <c r="G880" s="11" t="s">
        <v>36</v>
      </c>
      <c r="H880" s="14" t="s">
        <v>7457</v>
      </c>
      <c r="I880" s="11" t="str">
        <f>HYPERLINK("https://redirect.sdcdeals.com/redirect?code=763034&amp;mavely=https://mavely.app.link/e/bhESV2wGrGb&amp;destination=https%3A%2F%2Fwww.kohls.com%2Fsearch.jsp%3Fsubmit-search%3Dweb-regular%26search%3D55628809", "Retail Link")</f>
        <v>Retail Link</v>
      </c>
      <c r="J880" s="14" t="s">
        <v>7447</v>
      </c>
      <c r="K880" s="13" t="s">
        <v>7458</v>
      </c>
      <c r="L880" s="15">
        <v>24</v>
      </c>
      <c r="M880" s="15">
        <v>48.16</v>
      </c>
      <c r="N880" s="15">
        <v>8.4159999999999968</v>
      </c>
      <c r="O880" s="15">
        <f>V880-M880</f>
        <v>5.4100000000000037</v>
      </c>
      <c r="P880" s="16">
        <f>N880/L880</f>
        <v>0.35066666666666652</v>
      </c>
      <c r="Q880" s="14">
        <v>826894</v>
      </c>
      <c r="R880" s="14"/>
      <c r="S880" s="17">
        <v>1.0097159600000001</v>
      </c>
      <c r="T880" s="15">
        <v>48.16</v>
      </c>
      <c r="U880" s="15">
        <v>45.52</v>
      </c>
      <c r="V880" s="15">
        <v>53.57</v>
      </c>
      <c r="W880" s="14" t="s">
        <v>843</v>
      </c>
      <c r="X880" s="14">
        <v>1</v>
      </c>
      <c r="Y880" s="10">
        <f>AC880-AB880</f>
        <v>5</v>
      </c>
      <c r="Z880" s="18">
        <v>11</v>
      </c>
      <c r="AA880" s="18">
        <v>39</v>
      </c>
      <c r="AB880" s="18">
        <v>0</v>
      </c>
      <c r="AC880" s="18">
        <v>5</v>
      </c>
      <c r="AD880" s="1" t="s">
        <v>7449</v>
      </c>
      <c r="AE880" s="1" t="s">
        <v>3535</v>
      </c>
      <c r="AF880" s="4">
        <v>8.19</v>
      </c>
      <c r="AG880" s="4">
        <v>8.52</v>
      </c>
    </row>
    <row r="881" spans="1:33" ht="47.25" customHeight="1" x14ac:dyDescent="0.25">
      <c r="A881" s="10" t="s">
        <v>2298</v>
      </c>
      <c r="B881" s="11" t="s">
        <v>33</v>
      </c>
      <c r="C881" s="12" t="s">
        <v>2299</v>
      </c>
      <c r="D881" s="27"/>
      <c r="E881" s="14" t="s">
        <v>35</v>
      </c>
      <c r="F881" s="11" t="str">
        <f>HYPERLINK("https://redirect.sdcdeals.com/redirect?destination=https%3A%2F%2Fwww.amazon.com%2Fdp%2FB0BGVWHV1J%3Fth%3D1%26psc%3D1%26tag%3Dsdcdeals03-20", "Amazon Link")</f>
        <v>Amazon Link</v>
      </c>
      <c r="G881" s="11" t="s">
        <v>36</v>
      </c>
      <c r="H881" s="14" t="s">
        <v>2300</v>
      </c>
      <c r="I881" s="11" t="str">
        <f>HYPERLINK("https://redirect.sdcdeals.com/redirect?code=763034&amp;mavely=https://mavely.app.link/e/bhESV2wGrGb&amp;destination=https%3A%2F%2Fwww.kohls.com%2Fsearch.jsp%3Fsubmit-search%3Dweb-regular%26search%3D76910542", "Retail Link")</f>
        <v>Retail Link</v>
      </c>
      <c r="J881" s="14" t="s">
        <v>2290</v>
      </c>
      <c r="K881" s="13" t="s">
        <v>2301</v>
      </c>
      <c r="L881" s="15">
        <v>15.4</v>
      </c>
      <c r="M881" s="15">
        <v>32.97</v>
      </c>
      <c r="N881" s="15">
        <v>5.384500000000001</v>
      </c>
      <c r="O881" s="15">
        <f>V881-M881</f>
        <v>3.3400000000000034</v>
      </c>
      <c r="P881" s="16">
        <f>N881/L881</f>
        <v>0.3496428571428572</v>
      </c>
      <c r="Q881" s="14">
        <v>7345</v>
      </c>
      <c r="R881" s="14">
        <v>50</v>
      </c>
      <c r="S881" s="17">
        <v>0.87964337999999997</v>
      </c>
      <c r="T881" s="15">
        <v>30.3</v>
      </c>
      <c r="U881" s="15">
        <v>33.74</v>
      </c>
      <c r="V881" s="15">
        <v>36.31</v>
      </c>
      <c r="W881" s="14" t="s">
        <v>2302</v>
      </c>
      <c r="X881" s="14">
        <v>8</v>
      </c>
      <c r="Y881" s="10">
        <f>AC881-AB881</f>
        <v>0</v>
      </c>
      <c r="Z881" s="18">
        <v>82</v>
      </c>
      <c r="AA881" s="18">
        <v>261</v>
      </c>
      <c r="AB881" s="18">
        <v>60</v>
      </c>
      <c r="AC881" s="18">
        <v>60</v>
      </c>
      <c r="AD881" s="1" t="s">
        <v>2293</v>
      </c>
      <c r="AE881" s="1" t="s">
        <v>1859</v>
      </c>
      <c r="AF881" s="4">
        <v>5.6</v>
      </c>
      <c r="AG881" s="4">
        <v>7.24</v>
      </c>
    </row>
    <row r="882" spans="1:33" ht="47.25" customHeight="1" x14ac:dyDescent="0.25">
      <c r="A882" s="10" t="s">
        <v>3666</v>
      </c>
      <c r="B882" s="11" t="s">
        <v>33</v>
      </c>
      <c r="C882" s="12" t="s">
        <v>3667</v>
      </c>
      <c r="D882" s="27"/>
      <c r="E882" s="14" t="s">
        <v>35</v>
      </c>
      <c r="F882" s="11" t="str">
        <f>HYPERLINK("https://redirect.sdcdeals.com/redirect?destination=https%3A%2F%2Fwww.amazon.com%2Fdp%2FB0C8FW3FCL%3Fth%3D1%26psc%3D1%26tag%3Dsdcdeals03-20", "Amazon Link")</f>
        <v>Amazon Link</v>
      </c>
      <c r="G882" s="11" t="s">
        <v>36</v>
      </c>
      <c r="H882" s="14" t="s">
        <v>3668</v>
      </c>
      <c r="I882" s="11" t="str">
        <f>HYPERLINK("https://redirect.sdcdeals.com/redirect?code=763034&amp;mavely=https://mavely.app.link/e/bhESV2wGrGb&amp;destination=https%3A%2F%2Fwww.kohls.com%2Fsearch.jsp%3Fsubmit-search%3Dweb-regular%26search%3D74734540", "Retail Link")</f>
        <v>Retail Link</v>
      </c>
      <c r="J882" s="14" t="s">
        <v>3669</v>
      </c>
      <c r="K882" s="13" t="s">
        <v>3670</v>
      </c>
      <c r="L882" s="15">
        <v>45</v>
      </c>
      <c r="M882" s="15">
        <v>89.46</v>
      </c>
      <c r="N882" s="15">
        <v>15.730999999999989</v>
      </c>
      <c r="O882" s="15">
        <f>V882-M882</f>
        <v>10.230000000000004</v>
      </c>
      <c r="P882" s="16">
        <f>N882/L882</f>
        <v>0.34957777777777754</v>
      </c>
      <c r="Q882" s="14">
        <v>3885274</v>
      </c>
      <c r="R882" s="14"/>
      <c r="S882" s="17">
        <v>1.9599071800000001</v>
      </c>
      <c r="T882" s="15">
        <v>56.25</v>
      </c>
      <c r="U882" s="15">
        <v>105.29</v>
      </c>
      <c r="V882" s="15">
        <v>99.69</v>
      </c>
      <c r="W882" s="14" t="s">
        <v>359</v>
      </c>
      <c r="X882" s="14">
        <v>2</v>
      </c>
      <c r="Y882" s="10">
        <f>AC882-AB882</f>
        <v>1</v>
      </c>
      <c r="Z882" s="18">
        <v>2</v>
      </c>
      <c r="AA882" s="18">
        <v>5</v>
      </c>
      <c r="AB882" s="18">
        <v>0</v>
      </c>
      <c r="AC882" s="18">
        <v>1</v>
      </c>
      <c r="AD882" s="1" t="s">
        <v>3671</v>
      </c>
      <c r="AE882" s="1" t="s">
        <v>1490</v>
      </c>
      <c r="AF882" s="4">
        <v>15.21</v>
      </c>
      <c r="AG882" s="4">
        <v>15.31</v>
      </c>
    </row>
    <row r="883" spans="1:33" ht="47.25" customHeight="1" x14ac:dyDescent="0.25">
      <c r="A883" s="10" t="s">
        <v>2689</v>
      </c>
      <c r="B883" s="11" t="s">
        <v>33</v>
      </c>
      <c r="C883" s="12" t="s">
        <v>2690</v>
      </c>
      <c r="D883" s="27"/>
      <c r="E883" s="14" t="s">
        <v>35</v>
      </c>
      <c r="F883" s="11" t="str">
        <f>HYPERLINK("https://redirect.sdcdeals.com/redirect?destination=https%3A%2F%2Fwww.amazon.com%2Fdp%2FB0BKQT5WZ2%3Fth%3D1%26psc%3D1%26tag%3Dsdcdeals03-20", "Amazon Link")</f>
        <v>Amazon Link</v>
      </c>
      <c r="G883" s="11" t="s">
        <v>36</v>
      </c>
      <c r="H883" s="14" t="s">
        <v>2691</v>
      </c>
      <c r="I883" s="11" t="str">
        <f>HYPERLINK("https://redirect.sdcdeals.com/redirect?code=763034&amp;mavely=https://mavely.app.link/e/bhESV2wGrGb&amp;destination=https%3A%2F%2Fwww.kohls.com%2Fsearch.jsp%3Fsubmit-search%3Dweb-regular%26search%3D46946436", "Retail Link")</f>
        <v>Retail Link</v>
      </c>
      <c r="J883" s="14" t="s">
        <v>2685</v>
      </c>
      <c r="K883" s="13" t="s">
        <v>2692</v>
      </c>
      <c r="L883" s="15">
        <v>62.400000000000013</v>
      </c>
      <c r="M883" s="15">
        <v>117.03</v>
      </c>
      <c r="N883" s="15">
        <v>21.765499999999982</v>
      </c>
      <c r="O883" s="15">
        <f>V883-M883</f>
        <v>4.4299999999999926</v>
      </c>
      <c r="P883" s="16">
        <f>N883/L883</f>
        <v>0.3488060897435894</v>
      </c>
      <c r="Q883" s="14">
        <v>402236</v>
      </c>
      <c r="R883" s="14"/>
      <c r="S883" s="17">
        <v>2.3809895999999999</v>
      </c>
      <c r="T883" s="15">
        <v>108.04</v>
      </c>
      <c r="U883" s="15">
        <v>105.1</v>
      </c>
      <c r="V883" s="15">
        <v>121.46</v>
      </c>
      <c r="W883" s="14" t="s">
        <v>100</v>
      </c>
      <c r="X883" s="14">
        <v>4</v>
      </c>
      <c r="Y883" s="10">
        <f>AC883-AB883</f>
        <v>32</v>
      </c>
      <c r="Z883" s="18">
        <v>23</v>
      </c>
      <c r="AA883" s="18">
        <v>70</v>
      </c>
      <c r="AB883" s="18">
        <v>0</v>
      </c>
      <c r="AC883" s="18">
        <v>32</v>
      </c>
      <c r="AD883" s="1" t="s">
        <v>2687</v>
      </c>
      <c r="AE883" s="1" t="s">
        <v>2213</v>
      </c>
      <c r="AF883" s="4">
        <v>19.899999999999999</v>
      </c>
      <c r="AG883" s="4">
        <v>15.31</v>
      </c>
    </row>
    <row r="884" spans="1:33" ht="47.25" customHeight="1" x14ac:dyDescent="0.25">
      <c r="A884" s="10" t="s">
        <v>4235</v>
      </c>
      <c r="B884" s="11" t="s">
        <v>33</v>
      </c>
      <c r="C884" s="12" t="s">
        <v>4236</v>
      </c>
      <c r="D884" s="27"/>
      <c r="E884" s="14" t="s">
        <v>35</v>
      </c>
      <c r="F884" s="11" t="str">
        <f>HYPERLINK("https://redirect.sdcdeals.com/redirect?destination=https%3A%2F%2Fwww.amazon.com%2Fdp%2FB0BKQQHW6G%3Fth%3D1%26psc%3D1%26tag%3Dsdcdeals03-20", "Amazon Link")</f>
        <v>Amazon Link</v>
      </c>
      <c r="G884" s="11" t="s">
        <v>36</v>
      </c>
      <c r="H884" s="14" t="s">
        <v>4237</v>
      </c>
      <c r="I884" s="11" t="str">
        <f>HYPERLINK("https://redirect.sdcdeals.com/redirect?code=763034&amp;mavely=https://mavely.app.link/e/bhESV2wGrGb&amp;destination=https%3A%2F%2Fwww.kohls.com%2Fsearch.jsp%3Fsubmit-search%3Dweb-regular%26search%3D76194400", "Retail Link")</f>
        <v>Retail Link</v>
      </c>
      <c r="J884" s="14" t="s">
        <v>4231</v>
      </c>
      <c r="K884" s="13" t="s">
        <v>4238</v>
      </c>
      <c r="L884" s="15">
        <v>52.8</v>
      </c>
      <c r="M884" s="15">
        <v>100.8</v>
      </c>
      <c r="N884" s="15">
        <v>18.329999999999998</v>
      </c>
      <c r="O884" s="15">
        <f>V884-M884</f>
        <v>-2.0900000000000034</v>
      </c>
      <c r="P884" s="16">
        <f>N884/L884</f>
        <v>0.34715909090909092</v>
      </c>
      <c r="Q884" s="14">
        <v>931412</v>
      </c>
      <c r="R884" s="14"/>
      <c r="S884" s="17">
        <v>2.5992469800000002</v>
      </c>
      <c r="T884" s="15">
        <v>100.8</v>
      </c>
      <c r="U884" s="15">
        <v>87.37</v>
      </c>
      <c r="V884" s="15">
        <v>98.71</v>
      </c>
      <c r="W884" s="14" t="s">
        <v>255</v>
      </c>
      <c r="X884" s="14">
        <v>4</v>
      </c>
      <c r="Y884" s="10">
        <f>AC884-AB884</f>
        <v>0</v>
      </c>
      <c r="Z884" s="18">
        <v>8</v>
      </c>
      <c r="AA884" s="18">
        <v>33</v>
      </c>
      <c r="AB884" s="18">
        <v>0</v>
      </c>
      <c r="AC884" s="18"/>
      <c r="AD884" s="1" t="s">
        <v>4233</v>
      </c>
      <c r="AE884" s="1" t="s">
        <v>4239</v>
      </c>
      <c r="AF884" s="4">
        <v>17.14</v>
      </c>
      <c r="AG884" s="4">
        <v>14.55</v>
      </c>
    </row>
    <row r="885" spans="1:33" ht="47.25" customHeight="1" x14ac:dyDescent="0.25">
      <c r="A885" s="10" t="s">
        <v>5229</v>
      </c>
      <c r="B885" s="11" t="s">
        <v>33</v>
      </c>
      <c r="C885" s="12" t="s">
        <v>5230</v>
      </c>
      <c r="D885" s="27"/>
      <c r="E885" s="14" t="s">
        <v>35</v>
      </c>
      <c r="F885" s="11" t="str">
        <f>HYPERLINK("https://redirect.sdcdeals.com/redirect?destination=https%3A%2F%2Fwww.amazon.com%2Fdp%2FB093G54WYX%3Fth%3D1%26psc%3D1%26tag%3Dsdcdeals03-20", "Amazon Link")</f>
        <v>Amazon Link</v>
      </c>
      <c r="G885" s="11" t="s">
        <v>36</v>
      </c>
      <c r="H885" s="14" t="s">
        <v>5231</v>
      </c>
      <c r="I885" s="11" t="str">
        <f>HYPERLINK("https://redirect.sdcdeals.com/redirect?code=763034&amp;mavely=https://mavely.app.link/e/bhESV2wGrGb&amp;destination=https%3A%2F%2Fwww.kohls.com%2Fsearch.jsp%3Fsubmit-search%3Dweb-regular%26search%3D67183659", "Retail Link")</f>
        <v>Retail Link</v>
      </c>
      <c r="J885" s="14" t="s">
        <v>5206</v>
      </c>
      <c r="K885" s="13" t="s">
        <v>5232</v>
      </c>
      <c r="L885" s="15">
        <v>8.4</v>
      </c>
      <c r="M885" s="15">
        <v>20.239999999999998</v>
      </c>
      <c r="N885" s="15">
        <v>2.9039999999999959</v>
      </c>
      <c r="O885" s="15">
        <f>V885-M885</f>
        <v>-1.6799999999999997</v>
      </c>
      <c r="P885" s="16">
        <f>N885/L885</f>
        <v>0.3457142857142852</v>
      </c>
      <c r="Q885" s="14">
        <v>109351</v>
      </c>
      <c r="R885" s="14"/>
      <c r="S885" s="17">
        <v>0.14330029999999999</v>
      </c>
      <c r="T885" s="15">
        <v>20.239999999999998</v>
      </c>
      <c r="U885" s="15">
        <v>23.56</v>
      </c>
      <c r="V885" s="15">
        <v>18.559999999999999</v>
      </c>
      <c r="W885" s="14" t="s">
        <v>290</v>
      </c>
      <c r="X885" s="14">
        <v>2</v>
      </c>
      <c r="Y885" s="10">
        <f>AC885-AB885</f>
        <v>117</v>
      </c>
      <c r="Z885" s="18">
        <v>26</v>
      </c>
      <c r="AA885" s="18">
        <v>73</v>
      </c>
      <c r="AB885" s="18">
        <v>1</v>
      </c>
      <c r="AC885" s="18">
        <v>118</v>
      </c>
      <c r="AD885" s="1" t="s">
        <v>5208</v>
      </c>
      <c r="AE885" s="1" t="s">
        <v>76</v>
      </c>
      <c r="AF885" s="4">
        <v>2.0299999999999998</v>
      </c>
      <c r="AG885" s="4">
        <v>5.9</v>
      </c>
    </row>
    <row r="886" spans="1:33" ht="47.25" customHeight="1" x14ac:dyDescent="0.25">
      <c r="A886" s="10" t="s">
        <v>3325</v>
      </c>
      <c r="B886" s="11" t="s">
        <v>33</v>
      </c>
      <c r="C886" s="12" t="s">
        <v>3326</v>
      </c>
      <c r="D886" s="27"/>
      <c r="E886" s="14" t="s">
        <v>35</v>
      </c>
      <c r="F886" s="11" t="str">
        <f>HYPERLINK("https://redirect.sdcdeals.com/redirect?destination=https%3A%2F%2Fwww.amazon.com%2Fdp%2FB0BKQPPB98%3Fth%3D1%26psc%3D1%26tag%3Dsdcdeals03-20", "Amazon Link")</f>
        <v>Amazon Link</v>
      </c>
      <c r="G886" s="11" t="s">
        <v>36</v>
      </c>
      <c r="H886" s="14" t="s">
        <v>3327</v>
      </c>
      <c r="I886" s="11" t="str">
        <f>HYPERLINK("https://redirect.sdcdeals.com/redirect?code=763034&amp;mavely=https://mavely.app.link/e/bhESV2wGrGb&amp;destination=https%3A%2F%2Fwww.kohls.com%2Fsearch.jsp%3Fsubmit-search%3Dweb-regular%26search%3D75541563", "Retail Link")</f>
        <v>Retail Link</v>
      </c>
      <c r="J886" s="14" t="s">
        <v>3318</v>
      </c>
      <c r="K886" s="13" t="s">
        <v>3328</v>
      </c>
      <c r="L886" s="15">
        <v>39.6</v>
      </c>
      <c r="M886" s="15">
        <v>79.3</v>
      </c>
      <c r="N886" s="15">
        <v>13.635</v>
      </c>
      <c r="O886" s="15">
        <f>V886-M886</f>
        <v>16.060000000000002</v>
      </c>
      <c r="P886" s="16">
        <f>N886/L886</f>
        <v>0.3443181818181818</v>
      </c>
      <c r="Q886" s="14">
        <v>546738</v>
      </c>
      <c r="R886" s="14"/>
      <c r="S886" s="17">
        <v>2.0502965999999998</v>
      </c>
      <c r="T886" s="15">
        <v>79.3</v>
      </c>
      <c r="U886" s="15">
        <v>97.52</v>
      </c>
      <c r="V886" s="15">
        <v>95.36</v>
      </c>
      <c r="W886" s="14" t="s">
        <v>1236</v>
      </c>
      <c r="X886" s="14">
        <v>1</v>
      </c>
      <c r="Y886" s="10">
        <f>AC886-AB886</f>
        <v>15</v>
      </c>
      <c r="Z886" s="18">
        <v>9</v>
      </c>
      <c r="AA886" s="18">
        <v>40</v>
      </c>
      <c r="AB886" s="18">
        <v>0</v>
      </c>
      <c r="AC886" s="18">
        <v>15</v>
      </c>
      <c r="AD886" s="1" t="s">
        <v>3320</v>
      </c>
      <c r="AE886" s="1" t="s">
        <v>3329</v>
      </c>
      <c r="AF886" s="4">
        <v>13.48</v>
      </c>
      <c r="AG886" s="4">
        <v>14.17</v>
      </c>
    </row>
    <row r="887" spans="1:33" ht="47.25" customHeight="1" x14ac:dyDescent="0.25">
      <c r="A887" s="10" t="s">
        <v>2448</v>
      </c>
      <c r="B887" s="11" t="s">
        <v>33</v>
      </c>
      <c r="C887" s="12" t="s">
        <v>2449</v>
      </c>
      <c r="D887" s="27"/>
      <c r="E887" s="14" t="s">
        <v>35</v>
      </c>
      <c r="F887" s="11" t="str">
        <f>HYPERLINK("https://redirect.sdcdeals.com/redirect?destination=https%3A%2F%2Fwww.amazon.com%2Fdp%2FB0BV2WGBW2%3Fth%3D1%26psc%3D1%26tag%3Dsdcdeals03-20", "Amazon Link")</f>
        <v>Amazon Link</v>
      </c>
      <c r="G887" s="11" t="s">
        <v>36</v>
      </c>
      <c r="H887" s="14" t="s">
        <v>2450</v>
      </c>
      <c r="I887" s="11" t="str">
        <f>HYPERLINK("https://redirect.sdcdeals.com/redirect?code=763034&amp;mavely=https://mavely.app.link/e/bhESV2wGrGb&amp;destination=https%3A%2F%2Fwww.kohls.com%2Fsearch.jsp%3Fsubmit-search%3Dweb-regular%26search%3D67089092", "Retail Link")</f>
        <v>Retail Link</v>
      </c>
      <c r="J887" s="14" t="s">
        <v>2427</v>
      </c>
      <c r="K887" s="13" t="s">
        <v>2451</v>
      </c>
      <c r="L887" s="15">
        <v>33.6</v>
      </c>
      <c r="M887" s="15">
        <v>59.06</v>
      </c>
      <c r="N887" s="15">
        <v>11.481</v>
      </c>
      <c r="O887" s="15">
        <f>V887-M887</f>
        <v>-12.730000000000004</v>
      </c>
      <c r="P887" s="16">
        <f>N887/L887</f>
        <v>0.34169642857142857</v>
      </c>
      <c r="Q887" s="14">
        <v>184079</v>
      </c>
      <c r="R887" s="14"/>
      <c r="S887" s="17">
        <v>0.76941238000000001</v>
      </c>
      <c r="T887" s="15">
        <v>59.06</v>
      </c>
      <c r="U887" s="15">
        <v>46.33</v>
      </c>
      <c r="V887" s="15">
        <v>46.33</v>
      </c>
      <c r="W887" s="14" t="s">
        <v>2452</v>
      </c>
      <c r="X887" s="14">
        <v>2</v>
      </c>
      <c r="Y887" s="10">
        <f>AC887-AB887</f>
        <v>613</v>
      </c>
      <c r="Z887" s="18">
        <v>31</v>
      </c>
      <c r="AA887" s="18">
        <v>79</v>
      </c>
      <c r="AB887" s="18">
        <v>0</v>
      </c>
      <c r="AC887" s="18">
        <v>613</v>
      </c>
      <c r="AD887" s="1" t="s">
        <v>2435</v>
      </c>
      <c r="AE887" s="1" t="s">
        <v>2436</v>
      </c>
      <c r="AG887" s="4">
        <v>5.12</v>
      </c>
    </row>
    <row r="888" spans="1:33" ht="47.25" customHeight="1" x14ac:dyDescent="0.25">
      <c r="A888" s="10" t="s">
        <v>754</v>
      </c>
      <c r="B888" s="11" t="s">
        <v>33</v>
      </c>
      <c r="C888" s="12" t="s">
        <v>755</v>
      </c>
      <c r="D888" s="27"/>
      <c r="E888" s="14" t="s">
        <v>35</v>
      </c>
      <c r="F888" s="11" t="str">
        <f>HYPERLINK("https://redirect.sdcdeals.com/redirect?destination=https%3A%2F%2Fwww.amazon.com%2Fdp%2FB08MP99TLL%3Fth%3D1%26psc%3D1%26tag%3Dsdcdeals03-20", "Amazon Link")</f>
        <v>Amazon Link</v>
      </c>
      <c r="G888" s="11" t="s">
        <v>36</v>
      </c>
      <c r="H888" s="14" t="s">
        <v>756</v>
      </c>
      <c r="I888" s="11" t="str">
        <f>HYPERLINK("https://redirect.sdcdeals.com/redirect?code=763034&amp;mavely=https://mavely.app.link/e/bhESV2wGrGb&amp;destination=https%3A%2F%2Fwww.kohls.com%2Fsearch.jsp%3Fsubmit-search%3Dweb-regular%26search%3D75202116", "Retail Link")</f>
        <v>Retail Link</v>
      </c>
      <c r="J888" s="14" t="s">
        <v>757</v>
      </c>
      <c r="K888" s="13" t="s">
        <v>758</v>
      </c>
      <c r="L888" s="15">
        <v>12</v>
      </c>
      <c r="M888" s="15">
        <v>27.24</v>
      </c>
      <c r="N888" s="15">
        <v>4.0739999999999981</v>
      </c>
      <c r="O888" s="15">
        <f>V888-M888</f>
        <v>10.16</v>
      </c>
      <c r="P888" s="16">
        <f>N888/L888</f>
        <v>0.33949999999999986</v>
      </c>
      <c r="Q888" s="14">
        <v>269371</v>
      </c>
      <c r="R888" s="14"/>
      <c r="S888" s="17">
        <v>1.5101647</v>
      </c>
      <c r="T888" s="15">
        <v>27.24</v>
      </c>
      <c r="U888" s="15">
        <v>32.270000000000003</v>
      </c>
      <c r="V888" s="15">
        <v>37.4</v>
      </c>
      <c r="W888" s="14" t="s">
        <v>613</v>
      </c>
      <c r="X888" s="14">
        <v>4</v>
      </c>
      <c r="Y888" s="10">
        <f>AC888-AB888</f>
        <v>2575</v>
      </c>
      <c r="Z888" s="18">
        <v>24</v>
      </c>
      <c r="AA888" s="18">
        <v>75</v>
      </c>
      <c r="AB888" s="18">
        <v>1</v>
      </c>
      <c r="AC888" s="18">
        <v>2576</v>
      </c>
      <c r="AD888" s="1" t="s">
        <v>125</v>
      </c>
      <c r="AE888" s="1" t="s">
        <v>759</v>
      </c>
      <c r="AF888" s="4">
        <v>4.09</v>
      </c>
      <c r="AG888" s="4">
        <v>7.08</v>
      </c>
    </row>
    <row r="889" spans="1:33" ht="47.25" customHeight="1" x14ac:dyDescent="0.25">
      <c r="A889" s="10" t="s">
        <v>4515</v>
      </c>
      <c r="B889" s="11" t="s">
        <v>33</v>
      </c>
      <c r="C889" s="12" t="s">
        <v>4516</v>
      </c>
      <c r="D889" s="27"/>
      <c r="E889" s="14" t="s">
        <v>35</v>
      </c>
      <c r="F889" s="11" t="str">
        <f>HYPERLINK("https://redirect.sdcdeals.com/redirect?destination=https%3A%2F%2Fwww.amazon.com%2Fdp%2FB0B1JSBRZD%3Fth%3D1%26psc%3D1%26tag%3Dsdcdeals03-20", "Amazon Link")</f>
        <v>Amazon Link</v>
      </c>
      <c r="G889" s="11" t="s">
        <v>36</v>
      </c>
      <c r="H889" s="14" t="s">
        <v>4517</v>
      </c>
      <c r="I889" s="11" t="str">
        <f>HYPERLINK("https://redirect.sdcdeals.com/redirect?code=763034&amp;mavely=https://mavely.app.link/e/bhESV2wGrGb&amp;destination=https%3A%2F%2Fwww.kohls.com%2Fsearch.jsp%3Fsubmit-search%3Dweb-regular%26search%3D68949318", "Retail Link")</f>
        <v>Retail Link</v>
      </c>
      <c r="J889" s="14" t="s">
        <v>4347</v>
      </c>
      <c r="K889" s="13" t="s">
        <v>4518</v>
      </c>
      <c r="L889" s="15">
        <v>20.847999999999999</v>
      </c>
      <c r="M889" s="15">
        <v>40.82</v>
      </c>
      <c r="N889" s="15">
        <v>7.039000000000005</v>
      </c>
      <c r="O889" s="15">
        <f>V889-M889</f>
        <v>4.8399999999999963</v>
      </c>
      <c r="P889" s="16">
        <f>N889/L889</f>
        <v>0.33763430544896417</v>
      </c>
      <c r="Q889" s="14">
        <v>846</v>
      </c>
      <c r="R889" s="14"/>
      <c r="S889" s="17">
        <v>1.653465</v>
      </c>
      <c r="T889" s="15">
        <v>40.82</v>
      </c>
      <c r="U889" s="15">
        <v>43.76</v>
      </c>
      <c r="V889" s="15">
        <v>45.66</v>
      </c>
      <c r="W889" s="14" t="s">
        <v>282</v>
      </c>
      <c r="X889" s="14">
        <v>1</v>
      </c>
      <c r="Y889" s="10">
        <f>AC889-AB889</f>
        <v>47533</v>
      </c>
      <c r="Z889" s="18">
        <v>35</v>
      </c>
      <c r="AA889" s="18">
        <v>108</v>
      </c>
      <c r="AB889" s="18">
        <v>1</v>
      </c>
      <c r="AC889" s="18">
        <v>47534</v>
      </c>
      <c r="AD889" s="1" t="s">
        <v>4355</v>
      </c>
      <c r="AE889" s="1" t="s">
        <v>4356</v>
      </c>
      <c r="AF889" s="4">
        <v>6.94</v>
      </c>
      <c r="AG889" s="4">
        <v>6.81</v>
      </c>
    </row>
    <row r="890" spans="1:33" ht="47.25" customHeight="1" x14ac:dyDescent="0.25">
      <c r="A890" s="10" t="s">
        <v>6413</v>
      </c>
      <c r="B890" s="11" t="s">
        <v>33</v>
      </c>
      <c r="C890" s="12" t="s">
        <v>6414</v>
      </c>
      <c r="D890" s="27"/>
      <c r="E890" s="14" t="s">
        <v>35</v>
      </c>
      <c r="F890" s="11" t="str">
        <f>HYPERLINK("https://redirect.sdcdeals.com/redirect?destination=https%3A%2F%2Fwww.amazon.com%2Fdp%2FB09JL3B2RZ%3Fth%3D1%26psc%3D1%26tag%3Dsdcdeals03-20", "Amazon Link")</f>
        <v>Amazon Link</v>
      </c>
      <c r="G890" s="11" t="s">
        <v>36</v>
      </c>
      <c r="H890" s="14" t="s">
        <v>6415</v>
      </c>
      <c r="I890" s="11" t="str">
        <f>HYPERLINK("https://redirect.sdcdeals.com/redirect?code=763034&amp;mavely=https://mavely.app.link/e/bhESV2wGrGb&amp;destination=https%3A%2F%2Fwww.kohls.com%2Fsearch.jsp%3Fsubmit-search%3Dweb-regular%26search%3D76837413", "Retail Link")</f>
        <v>Retail Link</v>
      </c>
      <c r="J890" s="14" t="s">
        <v>6406</v>
      </c>
      <c r="K890" s="13" t="s">
        <v>6416</v>
      </c>
      <c r="L890" s="15">
        <v>28</v>
      </c>
      <c r="M890" s="15">
        <v>50</v>
      </c>
      <c r="N890" s="15">
        <v>9.4500000000000028</v>
      </c>
      <c r="O890" s="15">
        <f>V890-M890</f>
        <v>0</v>
      </c>
      <c r="P890" s="16">
        <f>N890/L890</f>
        <v>0.33750000000000008</v>
      </c>
      <c r="Q890" s="14">
        <v>8445</v>
      </c>
      <c r="R890" s="14"/>
      <c r="S890" s="17">
        <v>0.41005932</v>
      </c>
      <c r="T890" s="15"/>
      <c r="U890" s="15"/>
      <c r="V890" s="15">
        <v>50</v>
      </c>
      <c r="W890" s="14" t="s">
        <v>53</v>
      </c>
      <c r="X890" s="14"/>
      <c r="Y890" s="10">
        <f>AC890-AB890</f>
        <v>4881</v>
      </c>
      <c r="Z890" s="18">
        <v>14</v>
      </c>
      <c r="AA890" s="18">
        <v>39</v>
      </c>
      <c r="AB890" s="18">
        <v>0</v>
      </c>
      <c r="AC890" s="18">
        <v>4881</v>
      </c>
      <c r="AD890" s="1" t="s">
        <v>6408</v>
      </c>
      <c r="AE890" s="1" t="s">
        <v>6417</v>
      </c>
      <c r="AG890" s="4">
        <v>5.05</v>
      </c>
    </row>
    <row r="891" spans="1:33" ht="47.25" customHeight="1" x14ac:dyDescent="0.25">
      <c r="A891" s="10" t="s">
        <v>297</v>
      </c>
      <c r="B891" s="11" t="s">
        <v>33</v>
      </c>
      <c r="C891" s="12" t="s">
        <v>298</v>
      </c>
      <c r="D891" s="27"/>
      <c r="E891" s="14" t="s">
        <v>35</v>
      </c>
      <c r="F891" s="11" t="str">
        <f>HYPERLINK("https://redirect.sdcdeals.com/redirect?destination=https%3A%2F%2Fwww.amazon.com%2Fdp%2FB0BLZSKKHK%3Fth%3D1%26psc%3D1%26tag%3Dsdcdeals03-20", "Amazon Link")</f>
        <v>Amazon Link</v>
      </c>
      <c r="G891" s="11" t="s">
        <v>36</v>
      </c>
      <c r="H891" s="14" t="s">
        <v>299</v>
      </c>
      <c r="I891" s="11" t="str">
        <f>HYPERLINK("https://redirect.sdcdeals.com/redirect?code=763034&amp;mavely=https://mavely.app.link/e/bhESV2wGrGb&amp;destination=https%3A%2F%2Fwww.kohls.com%2Fsearch.jsp%3Fsubmit-search%3Dweb-regular%26search%3D49968440", "Retail Link")</f>
        <v>Retail Link</v>
      </c>
      <c r="J891" s="14" t="s">
        <v>294</v>
      </c>
      <c r="K891" s="13" t="s">
        <v>300</v>
      </c>
      <c r="L891" s="15">
        <v>9.5920000000000005</v>
      </c>
      <c r="M891" s="15">
        <v>21.99</v>
      </c>
      <c r="N891" s="15">
        <v>3.2294999999999958</v>
      </c>
      <c r="O891" s="15">
        <f>V891-M891</f>
        <v>4.0500000000000007</v>
      </c>
      <c r="P891" s="16">
        <f>N891/L891</f>
        <v>0.33668682235195951</v>
      </c>
      <c r="Q891" s="14">
        <v>88694</v>
      </c>
      <c r="R891" s="14"/>
      <c r="S891" s="17">
        <v>0.110231</v>
      </c>
      <c r="T891" s="15">
        <v>15</v>
      </c>
      <c r="U891" s="15">
        <v>22.26</v>
      </c>
      <c r="V891" s="15">
        <v>26.04</v>
      </c>
      <c r="W891" s="14" t="s">
        <v>301</v>
      </c>
      <c r="X891" s="14">
        <v>7</v>
      </c>
      <c r="Y891" s="10">
        <f>AC891-AB891</f>
        <v>72</v>
      </c>
      <c r="Z891" s="18">
        <v>23</v>
      </c>
      <c r="AA891" s="18">
        <v>58</v>
      </c>
      <c r="AB891" s="18">
        <v>5</v>
      </c>
      <c r="AC891" s="18">
        <v>77</v>
      </c>
      <c r="AE891" s="1" t="s">
        <v>145</v>
      </c>
      <c r="AF891" s="4">
        <v>3.3</v>
      </c>
      <c r="AG891" s="4">
        <v>5.87</v>
      </c>
    </row>
    <row r="892" spans="1:33" ht="47.25" customHeight="1" x14ac:dyDescent="0.25">
      <c r="A892" s="10" t="s">
        <v>4240</v>
      </c>
      <c r="B892" s="11" t="s">
        <v>33</v>
      </c>
      <c r="C892" s="12" t="s">
        <v>4241</v>
      </c>
      <c r="D892" s="27"/>
      <c r="E892" s="14" t="s">
        <v>35</v>
      </c>
      <c r="F892" s="11" t="str">
        <f>HYPERLINK("https://redirect.sdcdeals.com/redirect?destination=https%3A%2F%2Fwww.amazon.com%2Fdp%2FB0BKQRS4NC%3Fth%3D1%26psc%3D1%26tag%3Dsdcdeals03-20", "Amazon Link")</f>
        <v>Amazon Link</v>
      </c>
      <c r="G892" s="11" t="s">
        <v>36</v>
      </c>
      <c r="H892" s="14" t="s">
        <v>4242</v>
      </c>
      <c r="I892" s="11" t="str">
        <f>HYPERLINK("https://redirect.sdcdeals.com/redirect?code=763034&amp;mavely=https://mavely.app.link/e/bhESV2wGrGb&amp;destination=https%3A%2F%2Fwww.kohls.com%2Fsearch.jsp%3Fsubmit-search%3Dweb-regular%26search%3D76194401", "Retail Link")</f>
        <v>Retail Link</v>
      </c>
      <c r="J892" s="14" t="s">
        <v>4231</v>
      </c>
      <c r="K892" s="13" t="s">
        <v>4243</v>
      </c>
      <c r="L892" s="15">
        <v>52.8</v>
      </c>
      <c r="M892" s="15">
        <v>99.99</v>
      </c>
      <c r="N892" s="15">
        <v>17.64149999999999</v>
      </c>
      <c r="O892" s="15">
        <f>V892-M892</f>
        <v>-3.5099999999999909</v>
      </c>
      <c r="P892" s="16">
        <f>N892/L892</f>
        <v>0.334119318181818</v>
      </c>
      <c r="Q892" s="14">
        <v>931412</v>
      </c>
      <c r="R892" s="14"/>
      <c r="S892" s="17">
        <v>2.6896363999999999</v>
      </c>
      <c r="T892" s="15">
        <v>99.99</v>
      </c>
      <c r="U892" s="15">
        <v>83.06</v>
      </c>
      <c r="V892" s="15">
        <v>96.48</v>
      </c>
      <c r="W892" s="14" t="s">
        <v>613</v>
      </c>
      <c r="X892" s="14">
        <v>6</v>
      </c>
      <c r="Y892" s="10">
        <f>AC892-AB892</f>
        <v>4</v>
      </c>
      <c r="Z892" s="18">
        <v>6</v>
      </c>
      <c r="AA892" s="18">
        <v>29</v>
      </c>
      <c r="AB892" s="18">
        <v>0</v>
      </c>
      <c r="AC892" s="18">
        <v>4</v>
      </c>
      <c r="AD892" s="1" t="s">
        <v>4233</v>
      </c>
      <c r="AE892" s="1" t="s">
        <v>4239</v>
      </c>
      <c r="AF892" s="4">
        <v>17</v>
      </c>
      <c r="AG892" s="4">
        <v>14.55</v>
      </c>
    </row>
    <row r="893" spans="1:33" ht="47.25" customHeight="1" x14ac:dyDescent="0.25">
      <c r="A893" s="10" t="s">
        <v>4328</v>
      </c>
      <c r="B893" s="11" t="s">
        <v>33</v>
      </c>
      <c r="C893" s="12" t="s">
        <v>4329</v>
      </c>
      <c r="D893" s="27"/>
      <c r="E893" s="14" t="s">
        <v>35</v>
      </c>
      <c r="F893" s="11" t="str">
        <f>HYPERLINK("https://redirect.sdcdeals.com/redirect?destination=https%3A%2F%2Fwww.amazon.com%2Fdp%2FB0C8BMKDWZ%3Fth%3D1%26psc%3D1%26tag%3Dsdcdeals03-20", "Amazon Link")</f>
        <v>Amazon Link</v>
      </c>
      <c r="G893" s="11" t="s">
        <v>36</v>
      </c>
      <c r="H893" s="14" t="s">
        <v>4330</v>
      </c>
      <c r="I893" s="11" t="str">
        <f>HYPERLINK("https://redirect.sdcdeals.com/redirect?code=763034&amp;mavely=https://mavely.app.link/e/bhESV2wGrGb&amp;destination=https%3A%2F%2Fwww.kohls.com%2Fsearch.jsp%3Fsubmit-search%3Dweb-regular%26search%3D28150536", "Retail Link")</f>
        <v>Retail Link</v>
      </c>
      <c r="J893" s="14" t="s">
        <v>4310</v>
      </c>
      <c r="K893" s="13" t="s">
        <v>4331</v>
      </c>
      <c r="L893" s="15">
        <v>6.9840000000000009</v>
      </c>
      <c r="M893" s="15">
        <v>16.899999999999999</v>
      </c>
      <c r="N893" s="15">
        <v>2.3309999999999969</v>
      </c>
      <c r="O893" s="15">
        <f>V893-M893</f>
        <v>3.1500000000000021</v>
      </c>
      <c r="P893" s="16">
        <f>N893/L893</f>
        <v>0.33376288659793762</v>
      </c>
      <c r="Q893" s="14">
        <v>292120</v>
      </c>
      <c r="R893" s="14"/>
      <c r="S893" s="17">
        <v>0.42328704</v>
      </c>
      <c r="T893" s="15"/>
      <c r="U893" s="15">
        <v>16.899999999999999</v>
      </c>
      <c r="V893" s="15">
        <v>20.05</v>
      </c>
      <c r="W893" s="14" t="s">
        <v>3175</v>
      </c>
      <c r="X893" s="14">
        <v>1</v>
      </c>
      <c r="Y893" s="10">
        <f>AC893-AB893</f>
        <v>270</v>
      </c>
      <c r="Z893" s="18">
        <v>1</v>
      </c>
      <c r="AA893" s="18">
        <v>8</v>
      </c>
      <c r="AB893" s="18">
        <v>7</v>
      </c>
      <c r="AC893" s="18">
        <v>277</v>
      </c>
      <c r="AD893" s="1" t="s">
        <v>4312</v>
      </c>
      <c r="AE893" s="1" t="s">
        <v>4313</v>
      </c>
      <c r="AG893" s="4">
        <v>5.05</v>
      </c>
    </row>
    <row r="894" spans="1:33" ht="47.25" customHeight="1" x14ac:dyDescent="0.25">
      <c r="A894" s="10" t="s">
        <v>4137</v>
      </c>
      <c r="B894" s="11" t="s">
        <v>33</v>
      </c>
      <c r="C894" s="12" t="s">
        <v>4138</v>
      </c>
      <c r="D894" s="27"/>
      <c r="E894" s="14" t="s">
        <v>35</v>
      </c>
      <c r="F894" s="11" t="str">
        <f>HYPERLINK("https://redirect.sdcdeals.com/redirect?destination=https%3A%2F%2Fwww.amazon.com%2Fdp%2FB0BKQZVQ2D%3Fth%3D1%26psc%3D1%26tag%3Dsdcdeals03-20", "Amazon Link")</f>
        <v>Amazon Link</v>
      </c>
      <c r="G894" s="11" t="s">
        <v>36</v>
      </c>
      <c r="H894" s="14" t="s">
        <v>4139</v>
      </c>
      <c r="I894" s="11" t="str">
        <f>HYPERLINK("https://redirect.sdcdeals.com/redirect?code=763034&amp;mavely=https://mavely.app.link/e/bhESV2wGrGb&amp;destination=https%3A%2F%2Fwww.kohls.com%2Fsearch.jsp%3Fsubmit-search%3Dweb-regular%26search%3D71992659", "Retail Link")</f>
        <v>Retail Link</v>
      </c>
      <c r="J894" s="14" t="s">
        <v>4089</v>
      </c>
      <c r="K894" s="13" t="s">
        <v>4140</v>
      </c>
      <c r="L894" s="15">
        <v>39.6</v>
      </c>
      <c r="M894" s="15">
        <v>77.400000000000006</v>
      </c>
      <c r="N894" s="15">
        <v>13.16</v>
      </c>
      <c r="O894" s="15">
        <f>V894-M894</f>
        <v>13.559999999999988</v>
      </c>
      <c r="P894" s="16">
        <f>N894/L894</f>
        <v>0.3323232323232323</v>
      </c>
      <c r="Q894" s="14">
        <v>459362</v>
      </c>
      <c r="R894" s="14"/>
      <c r="S894" s="17">
        <v>1.3139535200000001</v>
      </c>
      <c r="T894" s="15">
        <v>77.400000000000006</v>
      </c>
      <c r="U894" s="15">
        <v>98.19</v>
      </c>
      <c r="V894" s="15">
        <v>90.96</v>
      </c>
      <c r="W894" s="14" t="s">
        <v>4141</v>
      </c>
      <c r="X894" s="14">
        <v>3</v>
      </c>
      <c r="Y894" s="10">
        <f>AC894-AB894</f>
        <v>12</v>
      </c>
      <c r="Z894" s="18">
        <v>12</v>
      </c>
      <c r="AA894" s="18">
        <v>29</v>
      </c>
      <c r="AB894" s="18">
        <v>0</v>
      </c>
      <c r="AC894" s="18">
        <v>12</v>
      </c>
      <c r="AD894" s="1" t="s">
        <v>4091</v>
      </c>
      <c r="AE894" s="1" t="s">
        <v>76</v>
      </c>
      <c r="AF894" s="4">
        <v>13.16</v>
      </c>
      <c r="AG894" s="4">
        <v>13.03</v>
      </c>
    </row>
    <row r="895" spans="1:33" ht="47.25" customHeight="1" x14ac:dyDescent="0.25">
      <c r="A895" s="10" t="s">
        <v>2263</v>
      </c>
      <c r="B895" s="11" t="s">
        <v>33</v>
      </c>
      <c r="C895" s="12" t="s">
        <v>2264</v>
      </c>
      <c r="D895" s="27"/>
      <c r="E895" s="14" t="s">
        <v>35</v>
      </c>
      <c r="F895" s="11" t="str">
        <f>HYPERLINK("https://redirect.sdcdeals.com/redirect?destination=https%3A%2F%2Fwww.amazon.com%2Fdp%2FB0BKQZVGTK%3Fth%3D1%26psc%3D1%26tag%3Dsdcdeals03-20", "Amazon Link")</f>
        <v>Amazon Link</v>
      </c>
      <c r="G895" s="11" t="s">
        <v>36</v>
      </c>
      <c r="H895" s="14" t="s">
        <v>2265</v>
      </c>
      <c r="I895" s="11" t="str">
        <f>HYPERLINK("https://redirect.sdcdeals.com/redirect?code=763034&amp;mavely=https://mavely.app.link/e/bhESV2wGrGb&amp;destination=https%3A%2F%2Fwww.kohls.com%2Fsearch.jsp%3Fsubmit-search%3Dweb-regular%26search%3D62949726", "Retail Link")</f>
        <v>Retail Link</v>
      </c>
      <c r="J895" s="14" t="s">
        <v>2210</v>
      </c>
      <c r="K895" s="13" t="s">
        <v>2266</v>
      </c>
      <c r="L895" s="15">
        <v>52.8</v>
      </c>
      <c r="M895" s="15">
        <v>100.32</v>
      </c>
      <c r="N895" s="15">
        <v>17.541999999999991</v>
      </c>
      <c r="O895" s="15">
        <f>V895-M895</f>
        <v>22.900000000000006</v>
      </c>
      <c r="P895" s="16">
        <f>N895/L895</f>
        <v>0.33223484848484836</v>
      </c>
      <c r="Q895" s="14">
        <v>1362042</v>
      </c>
      <c r="R895" s="14"/>
      <c r="S895" s="17">
        <v>2.2707586000000002</v>
      </c>
      <c r="T895" s="15">
        <v>100.32</v>
      </c>
      <c r="U895" s="15">
        <v>130.24</v>
      </c>
      <c r="V895" s="15">
        <v>123.22</v>
      </c>
      <c r="W895" s="14" t="s">
        <v>342</v>
      </c>
      <c r="X895" s="14">
        <v>2</v>
      </c>
      <c r="Y895" s="10">
        <f>AC895-AB895</f>
        <v>8</v>
      </c>
      <c r="Z895" s="18">
        <v>5</v>
      </c>
      <c r="AA895" s="18">
        <v>20</v>
      </c>
      <c r="AB895" s="18">
        <v>0</v>
      </c>
      <c r="AC895" s="18">
        <v>8</v>
      </c>
      <c r="AD895" s="1" t="s">
        <v>2212</v>
      </c>
      <c r="AE895" s="1" t="s">
        <v>76</v>
      </c>
      <c r="AF895" s="4">
        <v>17.05</v>
      </c>
      <c r="AG895" s="4">
        <v>14.93</v>
      </c>
    </row>
    <row r="896" spans="1:33" ht="47.25" customHeight="1" x14ac:dyDescent="0.25">
      <c r="A896" s="10" t="s">
        <v>4457</v>
      </c>
      <c r="B896" s="11" t="s">
        <v>33</v>
      </c>
      <c r="C896" s="12" t="s">
        <v>4458</v>
      </c>
      <c r="D896" s="27"/>
      <c r="E896" s="14" t="s">
        <v>35</v>
      </c>
      <c r="F896" s="11" t="str">
        <f>HYPERLINK("https://redirect.sdcdeals.com/redirect?destination=https%3A%2F%2Fwww.amazon.com%2Fdp%2FB0B1KVVKX7%3Fth%3D1%26psc%3D1%26tag%3Dsdcdeals03-20", "Amazon Link")</f>
        <v>Amazon Link</v>
      </c>
      <c r="G896" s="11" t="s">
        <v>36</v>
      </c>
      <c r="H896" s="14" t="s">
        <v>4459</v>
      </c>
      <c r="I896" s="11" t="str">
        <f>HYPERLINK("https://redirect.sdcdeals.com/redirect?code=763034&amp;mavely=https://mavely.app.link/e/bhESV2wGrGb&amp;destination=https%3A%2F%2Fwww.kohls.com%2Fsearch.jsp%3Fsubmit-search%3Dweb-regular%26search%3D68949248", "Retail Link")</f>
        <v>Retail Link</v>
      </c>
      <c r="J896" s="14" t="s">
        <v>4347</v>
      </c>
      <c r="K896" s="13" t="s">
        <v>4460</v>
      </c>
      <c r="L896" s="15">
        <v>20.847999999999999</v>
      </c>
      <c r="M896" s="15">
        <v>39.869999999999997</v>
      </c>
      <c r="N896" s="15">
        <v>6.9014999999999986</v>
      </c>
      <c r="O896" s="15">
        <f>V896-M896</f>
        <v>6.6099999999999994</v>
      </c>
      <c r="P896" s="16">
        <f>N896/L896</f>
        <v>0.3310389485801995</v>
      </c>
      <c r="Q896" s="14">
        <v>846</v>
      </c>
      <c r="R896" s="14"/>
      <c r="S896" s="17">
        <v>1.5983495000000001</v>
      </c>
      <c r="T896" s="15">
        <v>39.869999999999997</v>
      </c>
      <c r="U896" s="15">
        <v>44.11</v>
      </c>
      <c r="V896" s="15">
        <v>46.48</v>
      </c>
      <c r="W896" s="14" t="s">
        <v>131</v>
      </c>
      <c r="X896" s="14">
        <v>1</v>
      </c>
      <c r="Y896" s="10">
        <f>AC896-AB896</f>
        <v>47596</v>
      </c>
      <c r="Z896" s="18">
        <v>41</v>
      </c>
      <c r="AA896" s="18">
        <v>121</v>
      </c>
      <c r="AB896" s="18">
        <v>0</v>
      </c>
      <c r="AC896" s="18">
        <v>47596</v>
      </c>
      <c r="AD896" s="1" t="s">
        <v>4355</v>
      </c>
      <c r="AE896" s="1" t="s">
        <v>4356</v>
      </c>
      <c r="AF896" s="4">
        <v>6.78</v>
      </c>
      <c r="AG896" s="4">
        <v>6.14</v>
      </c>
    </row>
    <row r="897" spans="1:33" ht="47.25" customHeight="1" x14ac:dyDescent="0.25">
      <c r="A897" s="10" t="s">
        <v>62</v>
      </c>
      <c r="B897" s="11" t="s">
        <v>33</v>
      </c>
      <c r="C897" s="12" t="s">
        <v>63</v>
      </c>
      <c r="D897" s="27"/>
      <c r="E897" s="14" t="s">
        <v>35</v>
      </c>
      <c r="F897" s="11" t="str">
        <f>HYPERLINK("https://redirect.sdcdeals.com/redirect?destination=https%3A%2F%2Fwww.amazon.com%2Fdp%2FB095WTNX8K%3Fth%3D1%26psc%3D1%26tag%3Dsdcdeals03-20", "Amazon Link")</f>
        <v>Amazon Link</v>
      </c>
      <c r="G897" s="11" t="s">
        <v>36</v>
      </c>
      <c r="H897" s="14" t="s">
        <v>64</v>
      </c>
      <c r="I897" s="11" t="str">
        <f>HYPERLINK("https://redirect.sdcdeals.com/redirect?code=763034&amp;mavely=https://mavely.app.link/e/bhESV2wGrGb&amp;destination=https%3A%2F%2Fwww.kohls.com%2Fsearch.jsp%3Fsubmit-search%3Dweb-regular%26search%3D67292259", "Retail Link")</f>
        <v>Retail Link</v>
      </c>
      <c r="J897" s="14" t="s">
        <v>65</v>
      </c>
      <c r="K897" s="13" t="s">
        <v>66</v>
      </c>
      <c r="L897" s="15">
        <v>7.6000000000000014</v>
      </c>
      <c r="M897" s="15">
        <v>18.690000000000001</v>
      </c>
      <c r="N897" s="15">
        <v>2.4664999999999981</v>
      </c>
      <c r="O897" s="15">
        <f>V897-M897</f>
        <v>0.25999999999999801</v>
      </c>
      <c r="P897" s="16">
        <f>N897/L897</f>
        <v>0.32453947368421021</v>
      </c>
      <c r="Q897" s="14">
        <v>85385</v>
      </c>
      <c r="R897" s="14"/>
      <c r="S897" s="17">
        <v>0.39903622</v>
      </c>
      <c r="T897" s="15">
        <v>18.690000000000001</v>
      </c>
      <c r="U897" s="15">
        <v>18.95</v>
      </c>
      <c r="V897" s="15">
        <v>18.95</v>
      </c>
      <c r="W897" s="14" t="s">
        <v>67</v>
      </c>
      <c r="X897" s="14">
        <v>6</v>
      </c>
      <c r="Y897" s="10">
        <f>AC897-AB897</f>
        <v>123</v>
      </c>
      <c r="Z897" s="18">
        <v>19</v>
      </c>
      <c r="AA897" s="18">
        <v>86</v>
      </c>
      <c r="AB897" s="18">
        <v>1</v>
      </c>
      <c r="AC897" s="18">
        <v>124</v>
      </c>
      <c r="AD897" s="1" t="s">
        <v>68</v>
      </c>
      <c r="AE897" s="1" t="s">
        <v>69</v>
      </c>
      <c r="AF897" s="4">
        <v>1.87</v>
      </c>
      <c r="AG897" s="4">
        <v>5.82</v>
      </c>
    </row>
    <row r="898" spans="1:33" ht="47.25" customHeight="1" x14ac:dyDescent="0.25">
      <c r="A898" s="10" t="s">
        <v>4266</v>
      </c>
      <c r="B898" s="11" t="s">
        <v>33</v>
      </c>
      <c r="C898" s="12" t="s">
        <v>4267</v>
      </c>
      <c r="D898" s="27"/>
      <c r="E898" s="14" t="s">
        <v>35</v>
      </c>
      <c r="F898" s="11" t="str">
        <f>HYPERLINK("https://redirect.sdcdeals.com/redirect?destination=https%3A%2F%2Fwww.amazon.com%2Fdp%2FB0BKQX8M5D%3Fth%3D1%26psc%3D1%26tag%3Dsdcdeals03-20", "Amazon Link")</f>
        <v>Amazon Link</v>
      </c>
      <c r="G898" s="11" t="s">
        <v>36</v>
      </c>
      <c r="H898" s="14" t="s">
        <v>4268</v>
      </c>
      <c r="I898" s="11" t="str">
        <f>HYPERLINK("https://redirect.sdcdeals.com/redirect?code=763034&amp;mavely=https://mavely.app.link/e/bhESV2wGrGb&amp;destination=https%3A%2F%2Fwww.kohls.com%2Fsearch.jsp%3Fsubmit-search%3Dweb-regular%26search%3D76194419", "Retail Link")</f>
        <v>Retail Link</v>
      </c>
      <c r="J898" s="14" t="s">
        <v>4231</v>
      </c>
      <c r="K898" s="13" t="s">
        <v>4269</v>
      </c>
      <c r="L898" s="15">
        <v>52.8</v>
      </c>
      <c r="M898" s="15">
        <v>99.91</v>
      </c>
      <c r="N898" s="15">
        <v>16.813499999999991</v>
      </c>
      <c r="O898" s="15">
        <f>V898-M898</f>
        <v>30</v>
      </c>
      <c r="P898" s="16">
        <f>N898/L898</f>
        <v>0.31843749999999982</v>
      </c>
      <c r="Q898" s="14">
        <v>931412</v>
      </c>
      <c r="R898" s="14"/>
      <c r="S898" s="17">
        <v>3.00048782</v>
      </c>
      <c r="T898" s="15">
        <v>99.91</v>
      </c>
      <c r="U898" s="15">
        <v>109.02</v>
      </c>
      <c r="V898" s="15">
        <v>129.91</v>
      </c>
      <c r="W898" s="14" t="s">
        <v>4270</v>
      </c>
      <c r="X898" s="14">
        <v>3</v>
      </c>
      <c r="Y898" s="10">
        <f>AC898-AB898</f>
        <v>4</v>
      </c>
      <c r="Z898" s="18">
        <v>4</v>
      </c>
      <c r="AA898" s="18">
        <v>25</v>
      </c>
      <c r="AB898" s="18">
        <v>0</v>
      </c>
      <c r="AC898" s="18">
        <v>4</v>
      </c>
      <c r="AD898" s="1" t="s">
        <v>4233</v>
      </c>
      <c r="AE898" s="1" t="s">
        <v>4248</v>
      </c>
      <c r="AF898" s="4">
        <v>16.98</v>
      </c>
      <c r="AG898" s="4">
        <v>15.31</v>
      </c>
    </row>
    <row r="899" spans="1:33" ht="47.25" customHeight="1" x14ac:dyDescent="0.25">
      <c r="A899" s="10" t="s">
        <v>4441</v>
      </c>
      <c r="B899" s="11" t="s">
        <v>33</v>
      </c>
      <c r="C899" s="12" t="s">
        <v>4442</v>
      </c>
      <c r="D899" s="27"/>
      <c r="E899" s="14" t="s">
        <v>35</v>
      </c>
      <c r="F899" s="11" t="str">
        <f>HYPERLINK("https://redirect.sdcdeals.com/redirect?destination=https%3A%2F%2Fwww.amazon.com%2Fdp%2FB0B1KPYVST%3Fth%3D1%26psc%3D1%26tag%3Dsdcdeals03-20", "Amazon Link")</f>
        <v>Amazon Link</v>
      </c>
      <c r="G899" s="11" t="s">
        <v>36</v>
      </c>
      <c r="H899" s="14" t="s">
        <v>4443</v>
      </c>
      <c r="I899" s="11" t="str">
        <f>HYPERLINK("https://redirect.sdcdeals.com/redirect?code=763034&amp;mavely=https://mavely.app.link/e/bhESV2wGrGb&amp;destination=https%3A%2F%2Fwww.kohls.com%2Fsearch.jsp%3Fsubmit-search%3Dweb-regular%26search%3D68949198", "Retail Link")</f>
        <v>Retail Link</v>
      </c>
      <c r="J899" s="14" t="s">
        <v>4347</v>
      </c>
      <c r="K899" s="13" t="s">
        <v>4444</v>
      </c>
      <c r="L899" s="15">
        <v>20.847999999999999</v>
      </c>
      <c r="M899" s="15">
        <v>40.31</v>
      </c>
      <c r="N899" s="15">
        <v>6.6055000000000028</v>
      </c>
      <c r="O899" s="15">
        <f>V899-M899</f>
        <v>6.769999999999996</v>
      </c>
      <c r="P899" s="16">
        <f>N899/L899</f>
        <v>0.31684094397544144</v>
      </c>
      <c r="Q899" s="14">
        <v>846</v>
      </c>
      <c r="R899" s="14"/>
      <c r="S899" s="17">
        <v>1.51898318</v>
      </c>
      <c r="T899" s="15">
        <v>40.31</v>
      </c>
      <c r="U899" s="15">
        <v>43.68</v>
      </c>
      <c r="V899" s="15">
        <v>47.08</v>
      </c>
      <c r="W899" s="14" t="s">
        <v>106</v>
      </c>
      <c r="X899" s="14">
        <v>1</v>
      </c>
      <c r="Y899" s="10">
        <f>AC899-AB899</f>
        <v>47617</v>
      </c>
      <c r="Z899" s="18">
        <v>51</v>
      </c>
      <c r="AA899" s="18">
        <v>139</v>
      </c>
      <c r="AB899" s="18">
        <v>0</v>
      </c>
      <c r="AC899" s="18">
        <v>47617</v>
      </c>
      <c r="AD899" s="1" t="s">
        <v>4355</v>
      </c>
      <c r="AE899" s="1" t="s">
        <v>4356</v>
      </c>
      <c r="AF899" s="4">
        <v>6.85</v>
      </c>
      <c r="AG899" s="4">
        <v>6.81</v>
      </c>
    </row>
    <row r="900" spans="1:33" ht="47.25" customHeight="1" x14ac:dyDescent="0.25">
      <c r="A900" s="10" t="s">
        <v>2693</v>
      </c>
      <c r="B900" s="11" t="s">
        <v>33</v>
      </c>
      <c r="C900" s="12" t="s">
        <v>2694</v>
      </c>
      <c r="D900" s="27"/>
      <c r="E900" s="14" t="s">
        <v>35</v>
      </c>
      <c r="F900" s="11" t="str">
        <f>HYPERLINK("https://redirect.sdcdeals.com/redirect?destination=https%3A%2F%2Fwww.amazon.com%2Fdp%2FB0BKQS7XJ6%3Fth%3D1%26psc%3D1%26tag%3Dsdcdeals03-20", "Amazon Link")</f>
        <v>Amazon Link</v>
      </c>
      <c r="G900" s="11" t="s">
        <v>36</v>
      </c>
      <c r="H900" s="14" t="s">
        <v>2695</v>
      </c>
      <c r="I900" s="11" t="str">
        <f>HYPERLINK("https://redirect.sdcdeals.com/redirect?code=763034&amp;mavely=https://mavely.app.link/e/bhESV2wGrGb&amp;destination=https%3A%2F%2Fwww.kohls.com%2Fsearch.jsp%3Fsubmit-search%3Dweb-regular%26search%3D46946427", "Retail Link")</f>
        <v>Retail Link</v>
      </c>
      <c r="J900" s="14" t="s">
        <v>2685</v>
      </c>
      <c r="K900" s="13" t="s">
        <v>2696</v>
      </c>
      <c r="L900" s="15">
        <v>62.400000000000013</v>
      </c>
      <c r="M900" s="15">
        <v>112.89</v>
      </c>
      <c r="N900" s="15">
        <v>19.766499999999969</v>
      </c>
      <c r="O900" s="15">
        <f>V900-M900</f>
        <v>19.769999999999996</v>
      </c>
      <c r="P900" s="16">
        <f>N900/L900</f>
        <v>0.31677083333333278</v>
      </c>
      <c r="Q900" s="14">
        <v>402236</v>
      </c>
      <c r="R900" s="14"/>
      <c r="S900" s="17">
        <v>2.40083118</v>
      </c>
      <c r="T900" s="15"/>
      <c r="U900" s="15">
        <v>112.89</v>
      </c>
      <c r="V900" s="15">
        <v>132.66</v>
      </c>
      <c r="W900" s="14" t="s">
        <v>2697</v>
      </c>
      <c r="X900" s="14">
        <v>1</v>
      </c>
      <c r="Y900" s="10">
        <f>AC900-AB900</f>
        <v>32</v>
      </c>
      <c r="Z900" s="18">
        <v>9</v>
      </c>
      <c r="AA900" s="18">
        <v>41</v>
      </c>
      <c r="AB900" s="18">
        <v>0</v>
      </c>
      <c r="AC900" s="18">
        <v>32</v>
      </c>
      <c r="AD900" s="1" t="s">
        <v>2687</v>
      </c>
      <c r="AE900" s="1" t="s">
        <v>2688</v>
      </c>
      <c r="AG900" s="4">
        <v>13.79</v>
      </c>
    </row>
    <row r="901" spans="1:33" ht="47.25" customHeight="1" x14ac:dyDescent="0.25">
      <c r="A901" s="10" t="s">
        <v>3078</v>
      </c>
      <c r="B901" s="11" t="s">
        <v>33</v>
      </c>
      <c r="C901" s="12" t="s">
        <v>3079</v>
      </c>
      <c r="D901" s="27"/>
      <c r="E901" s="14" t="s">
        <v>35</v>
      </c>
      <c r="F901" s="11" t="str">
        <f>HYPERLINK("https://redirect.sdcdeals.com/redirect?destination=https%3A%2F%2Fwww.amazon.com%2Fdp%2FB0CF68ZG6Q%3Fth%3D1%26psc%3D1%26tag%3Dsdcdeals03-20", "Amazon Link")</f>
        <v>Amazon Link</v>
      </c>
      <c r="G901" s="11" t="s">
        <v>36</v>
      </c>
      <c r="H901" s="14" t="s">
        <v>3080</v>
      </c>
      <c r="I901" s="11" t="str">
        <f>HYPERLINK("https://redirect.sdcdeals.com/redirect?code=763034&amp;mavely=https://mavely.app.link/e/bhESV2wGrGb&amp;destination=https%3A%2F%2Fwww.kohls.com%2Fsearch.jsp%3Fsubmit-search%3Dweb-regular%26search%3D79091827", "Retail Link")</f>
        <v>Retail Link</v>
      </c>
      <c r="J901" s="14" t="s">
        <v>3047</v>
      </c>
      <c r="K901" s="13" t="s">
        <v>3081</v>
      </c>
      <c r="L901" s="15">
        <v>8</v>
      </c>
      <c r="M901" s="15">
        <v>20</v>
      </c>
      <c r="N901" s="15">
        <v>2.52</v>
      </c>
      <c r="O901" s="15">
        <f>V901-M901</f>
        <v>6.68</v>
      </c>
      <c r="P901" s="16">
        <f>N901/L901</f>
        <v>0.315</v>
      </c>
      <c r="Q901" s="14">
        <v>1527387</v>
      </c>
      <c r="R901" s="14"/>
      <c r="S901" s="17">
        <v>0.52910880000000005</v>
      </c>
      <c r="T901" s="15">
        <v>19.93</v>
      </c>
      <c r="U901" s="15">
        <v>23.17</v>
      </c>
      <c r="V901" s="15">
        <v>26.68</v>
      </c>
      <c r="W901" s="14" t="s">
        <v>926</v>
      </c>
      <c r="X901" s="14">
        <v>13</v>
      </c>
      <c r="Y901" s="10">
        <f>AC901-AB901</f>
        <v>0</v>
      </c>
      <c r="Z901" s="18">
        <v>1</v>
      </c>
      <c r="AA901" s="18">
        <v>6</v>
      </c>
      <c r="AB901" s="18">
        <v>2</v>
      </c>
      <c r="AC901" s="18">
        <v>2</v>
      </c>
      <c r="AD901" s="1" t="s">
        <v>3061</v>
      </c>
      <c r="AE901" s="1" t="s">
        <v>1243</v>
      </c>
      <c r="AF901" s="4">
        <v>2</v>
      </c>
      <c r="AG901" s="4">
        <v>6.48</v>
      </c>
    </row>
    <row r="902" spans="1:33" ht="47.25" customHeight="1" x14ac:dyDescent="0.25">
      <c r="A902" s="10" t="s">
        <v>4429</v>
      </c>
      <c r="B902" s="11" t="s">
        <v>33</v>
      </c>
      <c r="C902" s="12" t="s">
        <v>4430</v>
      </c>
      <c r="D902" s="27"/>
      <c r="E902" s="14" t="s">
        <v>35</v>
      </c>
      <c r="F902" s="11" t="str">
        <f>HYPERLINK("https://redirect.sdcdeals.com/redirect?destination=https%3A%2F%2Fwww.amazon.com%2Fdp%2FB0B1KLXG48%3Fth%3D1%26psc%3D1%26tag%3Dsdcdeals03-20", "Amazon Link")</f>
        <v>Amazon Link</v>
      </c>
      <c r="G902" s="11" t="s">
        <v>36</v>
      </c>
      <c r="H902" s="14" t="s">
        <v>4431</v>
      </c>
      <c r="I902" s="11" t="str">
        <f>HYPERLINK("https://redirect.sdcdeals.com/redirect?code=763034&amp;mavely=https://mavely.app.link/e/bhESV2wGrGb&amp;destination=https%3A%2F%2Fwww.kohls.com%2Fsearch.jsp%3Fsubmit-search%3Dweb-regular%26search%3D68949168", "Retail Link")</f>
        <v>Retail Link</v>
      </c>
      <c r="J902" s="14" t="s">
        <v>4347</v>
      </c>
      <c r="K902" s="13" t="s">
        <v>4432</v>
      </c>
      <c r="L902" s="15">
        <v>20.847999999999999</v>
      </c>
      <c r="M902" s="15">
        <v>40.549999999999997</v>
      </c>
      <c r="N902" s="15">
        <v>6.5394999999999968</v>
      </c>
      <c r="O902" s="15">
        <f>V902-M902</f>
        <v>6.68</v>
      </c>
      <c r="P902" s="16">
        <f>N902/L902</f>
        <v>0.31367517267843426</v>
      </c>
      <c r="Q902" s="14">
        <v>758</v>
      </c>
      <c r="R902" s="14"/>
      <c r="S902" s="17">
        <v>1.4991416</v>
      </c>
      <c r="T902" s="15">
        <v>40.549999999999997</v>
      </c>
      <c r="U902" s="15">
        <v>43.42</v>
      </c>
      <c r="V902" s="15">
        <v>47.23</v>
      </c>
      <c r="W902" s="14" t="s">
        <v>131</v>
      </c>
      <c r="X902" s="14">
        <v>1</v>
      </c>
      <c r="Y902" s="10">
        <f>AC902-AB902</f>
        <v>47534</v>
      </c>
      <c r="Z902" s="18">
        <v>26</v>
      </c>
      <c r="AA902" s="18">
        <v>87</v>
      </c>
      <c r="AB902" s="18">
        <v>0</v>
      </c>
      <c r="AC902" s="18">
        <v>47534</v>
      </c>
      <c r="AD902" s="1" t="s">
        <v>4355</v>
      </c>
      <c r="AE902" s="1" t="s">
        <v>4356</v>
      </c>
      <c r="AF902" s="4">
        <v>6.89</v>
      </c>
      <c r="AG902" s="4">
        <v>7.08</v>
      </c>
    </row>
    <row r="903" spans="1:33" ht="47.25" customHeight="1" x14ac:dyDescent="0.25">
      <c r="A903" s="10" t="s">
        <v>7551</v>
      </c>
      <c r="B903" s="11" t="s">
        <v>33</v>
      </c>
      <c r="C903" s="12" t="s">
        <v>7552</v>
      </c>
      <c r="D903" s="27"/>
      <c r="E903" s="14" t="s">
        <v>35</v>
      </c>
      <c r="F903" s="11" t="str">
        <f>HYPERLINK("https://redirect.sdcdeals.com/redirect?destination=https%3A%2F%2Fwww.amazon.com%2Fdp%2FB0B15NMYXV%3Fth%3D1%26psc%3D1%26tag%3Dsdcdeals03-20", "Amazon Link")</f>
        <v>Amazon Link</v>
      </c>
      <c r="G903" s="11" t="s">
        <v>36</v>
      </c>
      <c r="H903" s="14" t="s">
        <v>7553</v>
      </c>
      <c r="I903" s="11" t="str">
        <f>HYPERLINK("https://redirect.sdcdeals.com/redirect?code=763034&amp;mavely=https://mavely.app.link/e/bhESV2wGrGb&amp;destination=https%3A%2F%2Fwww.kohls.com%2Fsearch.jsp%3Fsubmit-search%3Dweb-regular%26search%3D80721405", "Retail Link")</f>
        <v>Retail Link</v>
      </c>
      <c r="J903" s="14" t="s">
        <v>7541</v>
      </c>
      <c r="K903" s="13" t="s">
        <v>7554</v>
      </c>
      <c r="L903" s="15">
        <v>8.8000000000000007</v>
      </c>
      <c r="M903" s="15">
        <v>20.82</v>
      </c>
      <c r="N903" s="15">
        <v>2.7569999999999979</v>
      </c>
      <c r="O903" s="15">
        <f>V903-M903</f>
        <v>3.1999999999999993</v>
      </c>
      <c r="P903" s="16">
        <f>N903/L903</f>
        <v>0.31329545454545427</v>
      </c>
      <c r="Q903" s="14">
        <v>20349</v>
      </c>
      <c r="R903" s="14">
        <v>50</v>
      </c>
      <c r="S903" s="17">
        <v>0.52910880000000005</v>
      </c>
      <c r="T903" s="15">
        <v>20.82</v>
      </c>
      <c r="U903" s="15">
        <v>21.54</v>
      </c>
      <c r="V903" s="15">
        <v>24.02</v>
      </c>
      <c r="W903" s="14" t="s">
        <v>576</v>
      </c>
      <c r="X903" s="14">
        <v>1</v>
      </c>
      <c r="Y903" s="10">
        <f>AC903-AB903</f>
        <v>492</v>
      </c>
      <c r="Z903" s="18">
        <v>25</v>
      </c>
      <c r="AA903" s="18">
        <v>77</v>
      </c>
      <c r="AB903" s="18">
        <v>3</v>
      </c>
      <c r="AC903" s="18">
        <v>495</v>
      </c>
      <c r="AD903" s="1" t="s">
        <v>7543</v>
      </c>
      <c r="AE903" s="1" t="s">
        <v>7544</v>
      </c>
      <c r="AF903" s="4">
        <v>3.54</v>
      </c>
      <c r="AG903" s="4">
        <v>6.14</v>
      </c>
    </row>
    <row r="904" spans="1:33" ht="47.25" customHeight="1" x14ac:dyDescent="0.25">
      <c r="A904" s="10" t="s">
        <v>4503</v>
      </c>
      <c r="B904" s="11" t="s">
        <v>33</v>
      </c>
      <c r="C904" s="12" t="s">
        <v>4504</v>
      </c>
      <c r="D904" s="27"/>
      <c r="E904" s="14" t="s">
        <v>35</v>
      </c>
      <c r="F904" s="11" t="str">
        <f>HYPERLINK("https://redirect.sdcdeals.com/redirect?destination=https%3A%2F%2Fwww.amazon.com%2Fdp%2FB0B1JT8CGR%3Fth%3D1%26psc%3D1%26tag%3Dsdcdeals03-20", "Amazon Link")</f>
        <v>Amazon Link</v>
      </c>
      <c r="G904" s="11" t="s">
        <v>36</v>
      </c>
      <c r="H904" s="14" t="s">
        <v>4505</v>
      </c>
      <c r="I904" s="11" t="str">
        <f>HYPERLINK("https://redirect.sdcdeals.com/redirect?code=763034&amp;mavely=https://mavely.app.link/e/bhESV2wGrGb&amp;destination=https%3A%2F%2Fwww.kohls.com%2Fsearch.jsp%3Fsubmit-search%3Dweb-regular%26search%3D68949308", "Retail Link")</f>
        <v>Retail Link</v>
      </c>
      <c r="J904" s="14" t="s">
        <v>4347</v>
      </c>
      <c r="K904" s="13" t="s">
        <v>4506</v>
      </c>
      <c r="L904" s="15">
        <v>20.847999999999999</v>
      </c>
      <c r="M904" s="15">
        <v>40.67</v>
      </c>
      <c r="N904" s="15">
        <v>6.4814999999999969</v>
      </c>
      <c r="O904" s="15">
        <f>V904-M904</f>
        <v>6.6599999999999966</v>
      </c>
      <c r="P904" s="16">
        <f>N904/L904</f>
        <v>0.31089313123561002</v>
      </c>
      <c r="Q904" s="14">
        <v>846</v>
      </c>
      <c r="R904" s="14"/>
      <c r="S904" s="17">
        <v>1.6622834799999999</v>
      </c>
      <c r="T904" s="15">
        <v>40.67</v>
      </c>
      <c r="U904" s="15">
        <v>44.49</v>
      </c>
      <c r="V904" s="15">
        <v>47.33</v>
      </c>
      <c r="W904" s="14" t="s">
        <v>100</v>
      </c>
      <c r="X904" s="14">
        <v>1</v>
      </c>
      <c r="Y904" s="10">
        <f>AC904-AB904</f>
        <v>47534</v>
      </c>
      <c r="Z904" s="18">
        <v>25</v>
      </c>
      <c r="AA904" s="18">
        <v>84</v>
      </c>
      <c r="AB904" s="18">
        <v>0</v>
      </c>
      <c r="AC904" s="18">
        <v>47534</v>
      </c>
      <c r="AD904" s="1" t="s">
        <v>4355</v>
      </c>
      <c r="AE904" s="1" t="s">
        <v>4356</v>
      </c>
      <c r="AF904" s="4">
        <v>6.91</v>
      </c>
      <c r="AG904" s="4">
        <v>7.24</v>
      </c>
    </row>
    <row r="905" spans="1:33" ht="47.25" customHeight="1" x14ac:dyDescent="0.25">
      <c r="A905" s="10" t="s">
        <v>5340</v>
      </c>
      <c r="B905" s="11" t="s">
        <v>33</v>
      </c>
      <c r="C905" s="12" t="s">
        <v>5341</v>
      </c>
      <c r="D905" s="27"/>
      <c r="E905" s="14" t="s">
        <v>35</v>
      </c>
      <c r="F905" s="11" t="str">
        <f>HYPERLINK("https://redirect.sdcdeals.com/redirect?destination=https%3A%2F%2Fwww.amazon.com%2Fdp%2FB09KN2MJ4Y%3Fth%3D1%26psc%3D1%26tag%3Dsdcdeals03-20", "Amazon Link")</f>
        <v>Amazon Link</v>
      </c>
      <c r="G905" s="11" t="s">
        <v>36</v>
      </c>
      <c r="H905" s="14" t="s">
        <v>5342</v>
      </c>
      <c r="I905" s="11" t="str">
        <f>HYPERLINK("https://redirect.sdcdeals.com/redirect?code=763034&amp;mavely=https://mavely.app.link/e/bhESV2wGrGb&amp;destination=https%3A%2F%2Fwww.kohls.com%2Fsearch.jsp%3Fsubmit-search%3Dweb-regular%26search%3D58124997", "Retail Link")</f>
        <v>Retail Link</v>
      </c>
      <c r="J905" s="14" t="s">
        <v>5336</v>
      </c>
      <c r="K905" s="13" t="s">
        <v>5343</v>
      </c>
      <c r="L905" s="15">
        <v>24</v>
      </c>
      <c r="M905" s="15">
        <v>50</v>
      </c>
      <c r="N905" s="15">
        <v>7.3699999999999974</v>
      </c>
      <c r="O905" s="15">
        <f>V905-M905</f>
        <v>1.5499999999999972</v>
      </c>
      <c r="P905" s="16">
        <f>N905/L905</f>
        <v>0.30708333333333321</v>
      </c>
      <c r="Q905" s="14">
        <v>124451</v>
      </c>
      <c r="R905" s="14"/>
      <c r="S905" s="17">
        <v>0.89948496</v>
      </c>
      <c r="T905" s="15">
        <v>50</v>
      </c>
      <c r="U905" s="15">
        <v>50.05</v>
      </c>
      <c r="V905" s="15">
        <v>51.55</v>
      </c>
      <c r="W905" s="14" t="s">
        <v>4270</v>
      </c>
      <c r="X905" s="14">
        <v>3</v>
      </c>
      <c r="Y905" s="10">
        <f>AC905-AB905</f>
        <v>290</v>
      </c>
      <c r="Z905" s="18">
        <v>20</v>
      </c>
      <c r="AA905" s="18">
        <v>66</v>
      </c>
      <c r="AB905" s="18">
        <v>0</v>
      </c>
      <c r="AC905" s="18">
        <v>290</v>
      </c>
      <c r="AD905" s="1" t="s">
        <v>5338</v>
      </c>
      <c r="AE905" s="1" t="s">
        <v>5339</v>
      </c>
      <c r="AF905" s="4">
        <v>8.5</v>
      </c>
      <c r="AG905" s="4">
        <v>11.13</v>
      </c>
    </row>
    <row r="906" spans="1:33" ht="47.25" customHeight="1" x14ac:dyDescent="0.25">
      <c r="A906" s="10" t="s">
        <v>2222</v>
      </c>
      <c r="B906" s="11" t="s">
        <v>33</v>
      </c>
      <c r="C906" s="12" t="s">
        <v>2223</v>
      </c>
      <c r="D906" s="27"/>
      <c r="E906" s="14" t="s">
        <v>35</v>
      </c>
      <c r="F906" s="11" t="str">
        <f>HYPERLINK("https://redirect.sdcdeals.com/redirect?destination=https%3A%2F%2Fwww.amazon.com%2Fdp%2FB0BKQQTPSM%3Fth%3D1%26psc%3D1%26tag%3Dsdcdeals03-20", "Amazon Link")</f>
        <v>Amazon Link</v>
      </c>
      <c r="G906" s="11" t="s">
        <v>36</v>
      </c>
      <c r="H906" s="14" t="s">
        <v>2224</v>
      </c>
      <c r="I906" s="11" t="str">
        <f>HYPERLINK("https://redirect.sdcdeals.com/redirect?code=763034&amp;mavely=https://mavely.app.link/e/bhESV2wGrGb&amp;destination=https%3A%2F%2Fwww.kohls.com%2Fsearch.jsp%3Fsubmit-search%3Dweb-regular%26search%3D62949719", "Retail Link")</f>
        <v>Retail Link</v>
      </c>
      <c r="J906" s="14" t="s">
        <v>2210</v>
      </c>
      <c r="K906" s="13" t="s">
        <v>2225</v>
      </c>
      <c r="L906" s="15">
        <v>52.8</v>
      </c>
      <c r="M906" s="15">
        <v>98.67</v>
      </c>
      <c r="N906" s="15">
        <v>16.139500000000009</v>
      </c>
      <c r="O906" s="15">
        <f>V906-M906</f>
        <v>16.989999999999995</v>
      </c>
      <c r="P906" s="16">
        <f>N906/L906</f>
        <v>0.30567234848484864</v>
      </c>
      <c r="Q906" s="14">
        <v>1403714</v>
      </c>
      <c r="R906" s="14"/>
      <c r="S906" s="17">
        <v>2.2707586000000002</v>
      </c>
      <c r="T906" s="15">
        <v>98.67</v>
      </c>
      <c r="U906" s="15">
        <v>102.62</v>
      </c>
      <c r="V906" s="15">
        <v>115.66</v>
      </c>
      <c r="W906" s="14" t="s">
        <v>981</v>
      </c>
      <c r="X906" s="14">
        <v>1</v>
      </c>
      <c r="Y906" s="10">
        <f>AC906-AB906</f>
        <v>6</v>
      </c>
      <c r="Z906" s="18">
        <v>5</v>
      </c>
      <c r="AA906" s="18">
        <v>25</v>
      </c>
      <c r="AB906" s="18">
        <v>2</v>
      </c>
      <c r="AC906" s="18">
        <v>8</v>
      </c>
      <c r="AD906" s="1" t="s">
        <v>2212</v>
      </c>
      <c r="AE906" s="1" t="s">
        <v>76</v>
      </c>
      <c r="AF906" s="4">
        <v>16.77</v>
      </c>
      <c r="AG906" s="4">
        <v>14.93</v>
      </c>
    </row>
    <row r="907" spans="1:33" ht="47.25" customHeight="1" x14ac:dyDescent="0.25">
      <c r="A907" s="10" t="s">
        <v>3024</v>
      </c>
      <c r="B907" s="11" t="s">
        <v>33</v>
      </c>
      <c r="C907" s="12" t="s">
        <v>3025</v>
      </c>
      <c r="D907" s="27"/>
      <c r="E907" s="14" t="s">
        <v>35</v>
      </c>
      <c r="F907" s="11" t="str">
        <f>HYPERLINK("https://redirect.sdcdeals.com/redirect?destination=https%3A%2F%2Fwww.amazon.com%2Fdp%2FB09RGB8GJ3%3Fth%3D1%26psc%3D1%26tag%3Dsdcdeals03-20", "Amazon Link")</f>
        <v>Amazon Link</v>
      </c>
      <c r="G907" s="11" t="s">
        <v>36</v>
      </c>
      <c r="H907" s="14" t="s">
        <v>3026</v>
      </c>
      <c r="I907" s="11" t="str">
        <f>HYPERLINK("https://redirect.sdcdeals.com/redirect?code=763034&amp;mavely=https://mavely.app.link/e/bhESV2wGrGb&amp;destination=https%3A%2F%2Fwww.kohls.com%2Fsearch.jsp%3Fsubmit-search%3Dweb-regular%26search%3D30513264", "Retail Link")</f>
        <v>Retail Link</v>
      </c>
      <c r="J907" s="14" t="s">
        <v>3027</v>
      </c>
      <c r="K907" s="13" t="s">
        <v>3028</v>
      </c>
      <c r="L907" s="15">
        <v>10.616</v>
      </c>
      <c r="M907" s="15">
        <v>23.9</v>
      </c>
      <c r="N907" s="15">
        <v>3.2189999999999981</v>
      </c>
      <c r="O907" s="15">
        <f>V907-M907</f>
        <v>12.730000000000004</v>
      </c>
      <c r="P907" s="16">
        <f>N907/L907</f>
        <v>0.30322155237377524</v>
      </c>
      <c r="Q907" s="14">
        <v>61277</v>
      </c>
      <c r="R907" s="14"/>
      <c r="S907" s="17">
        <v>1.0361714</v>
      </c>
      <c r="T907" s="15">
        <v>23.9</v>
      </c>
      <c r="U907" s="15">
        <v>34.67</v>
      </c>
      <c r="V907" s="15">
        <v>36.630000000000003</v>
      </c>
      <c r="W907" s="14" t="s">
        <v>342</v>
      </c>
      <c r="X907" s="14">
        <v>5</v>
      </c>
      <c r="Y907" s="10">
        <f>AC907-AB907</f>
        <v>146</v>
      </c>
      <c r="Z907" s="18">
        <v>24</v>
      </c>
      <c r="AA907" s="18">
        <v>86</v>
      </c>
      <c r="AB907" s="18">
        <v>3</v>
      </c>
      <c r="AC907" s="18">
        <v>149</v>
      </c>
      <c r="AD907" s="1" t="s">
        <v>3029</v>
      </c>
      <c r="AE907" s="1" t="s">
        <v>3030</v>
      </c>
      <c r="AG907" s="4">
        <v>6.48</v>
      </c>
    </row>
    <row r="908" spans="1:33" ht="47.25" customHeight="1" x14ac:dyDescent="0.25">
      <c r="A908" s="10" t="s">
        <v>3274</v>
      </c>
      <c r="B908" s="11" t="s">
        <v>33</v>
      </c>
      <c r="C908" s="12" t="s">
        <v>3275</v>
      </c>
      <c r="D908" s="27"/>
      <c r="E908" s="14" t="s">
        <v>35</v>
      </c>
      <c r="F908" s="11" t="str">
        <f>HYPERLINK("https://redirect.sdcdeals.com/redirect?destination=https%3A%2F%2Fwww.amazon.com%2Fdp%2FB08MT4NC89%3Fth%3D1%26psc%3D1%26tag%3Dsdcdeals03-20", "Amazon Link")</f>
        <v>Amazon Link</v>
      </c>
      <c r="G908" s="11" t="s">
        <v>36</v>
      </c>
      <c r="H908" s="14" t="s">
        <v>3276</v>
      </c>
      <c r="I908" s="11" t="str">
        <f>HYPERLINK("https://redirect.sdcdeals.com/redirect?code=763034&amp;mavely=https://mavely.app.link/e/bhESV2wGrGb&amp;destination=https%3A%2F%2Fwww.kohls.com%2Fsearch.jsp%3Fsubmit-search%3Dweb-regular%26search%3D30091067", "Retail Link")</f>
        <v>Retail Link</v>
      </c>
      <c r="J908" s="14" t="s">
        <v>3262</v>
      </c>
      <c r="K908" s="13" t="s">
        <v>3277</v>
      </c>
      <c r="L908" s="15">
        <v>8.4</v>
      </c>
      <c r="M908" s="15">
        <v>19.670000000000002</v>
      </c>
      <c r="N908" s="15">
        <v>2.4994999999999989</v>
      </c>
      <c r="O908" s="15">
        <f>V908-M908</f>
        <v>-2.7000000000000028</v>
      </c>
      <c r="P908" s="16">
        <f>N908/L908</f>
        <v>0.29755952380952366</v>
      </c>
      <c r="Q908" s="14">
        <v>29984</v>
      </c>
      <c r="R908" s="14"/>
      <c r="S908" s="17">
        <v>0.42108242000000001</v>
      </c>
      <c r="T908" s="15">
        <v>19.670000000000002</v>
      </c>
      <c r="U908" s="15">
        <v>17.309999999999999</v>
      </c>
      <c r="V908" s="15">
        <v>16.97</v>
      </c>
      <c r="W908" s="14" t="s">
        <v>366</v>
      </c>
      <c r="X908" s="14">
        <v>9</v>
      </c>
      <c r="Y908" s="10">
        <f>AC908-AB908</f>
        <v>809</v>
      </c>
      <c r="Z908" s="18">
        <v>59</v>
      </c>
      <c r="AA908" s="18">
        <v>136</v>
      </c>
      <c r="AB908" s="18">
        <v>17</v>
      </c>
      <c r="AC908" s="18">
        <v>826</v>
      </c>
      <c r="AD908" s="1" t="s">
        <v>3264</v>
      </c>
      <c r="AE908" s="1" t="s">
        <v>3269</v>
      </c>
      <c r="AG908" s="4">
        <v>5.82</v>
      </c>
    </row>
    <row r="909" spans="1:33" ht="47.25" customHeight="1" x14ac:dyDescent="0.25">
      <c r="A909" s="10" t="s">
        <v>7619</v>
      </c>
      <c r="B909" s="11" t="s">
        <v>33</v>
      </c>
      <c r="C909" s="12" t="s">
        <v>7620</v>
      </c>
      <c r="D909" s="27"/>
      <c r="E909" s="14" t="s">
        <v>35</v>
      </c>
      <c r="F909" s="11" t="str">
        <f>HYPERLINK("https://redirect.sdcdeals.com/redirect?destination=https%3A%2F%2Fwww.amazon.com%2Fdp%2FB0CF2JMM9Y%3Fth%3D1%26psc%3D1%26tag%3Dsdcdeals03-20", "Amazon Link")</f>
        <v>Amazon Link</v>
      </c>
      <c r="G909" s="11" t="s">
        <v>36</v>
      </c>
      <c r="H909" s="14" t="s">
        <v>7621</v>
      </c>
      <c r="I909" s="11" t="str">
        <f>HYPERLINK("https://redirect.sdcdeals.com/redirect?code=763034&amp;mavely=https://mavely.app.link/e/bhESV2wGrGb&amp;destination=https%3A%2F%2Fwww.kohls.com%2Fsearch.jsp%3Fsubmit-search%3Dweb-regular%26search%3D65512385", "Retail Link")</f>
        <v>Retail Link</v>
      </c>
      <c r="J909" s="14" t="s">
        <v>7622</v>
      </c>
      <c r="K909" s="13" t="s">
        <v>7623</v>
      </c>
      <c r="L909" s="15">
        <v>5.976</v>
      </c>
      <c r="M909" s="15">
        <v>16.420000000000002</v>
      </c>
      <c r="N909" s="15">
        <v>1.771000000000001</v>
      </c>
      <c r="O909" s="15">
        <f>V909-M909</f>
        <v>5.9099999999999966</v>
      </c>
      <c r="P909" s="16">
        <f>N909/L909</f>
        <v>0.29635207496653299</v>
      </c>
      <c r="Q909" s="14">
        <v>36069</v>
      </c>
      <c r="R909" s="14"/>
      <c r="S909" s="17">
        <v>0.83775560000000004</v>
      </c>
      <c r="T909" s="15">
        <v>16.420000000000002</v>
      </c>
      <c r="U909" s="15">
        <v>22.56</v>
      </c>
      <c r="V909" s="15">
        <v>22.33</v>
      </c>
      <c r="W909" s="14" t="s">
        <v>2322</v>
      </c>
      <c r="X909" s="14">
        <v>1</v>
      </c>
      <c r="Y909" s="10">
        <f>AC909-AB909</f>
        <v>82</v>
      </c>
      <c r="Z909" s="18">
        <v>33</v>
      </c>
      <c r="AA909" s="18">
        <v>70</v>
      </c>
      <c r="AB909" s="18">
        <v>6</v>
      </c>
      <c r="AC909" s="18">
        <v>88</v>
      </c>
      <c r="AD909" s="1" t="s">
        <v>7624</v>
      </c>
      <c r="AE909" s="1" t="s">
        <v>7625</v>
      </c>
      <c r="AF909" s="4">
        <v>2.46</v>
      </c>
      <c r="AG909" s="4">
        <v>6.21</v>
      </c>
    </row>
    <row r="910" spans="1:33" ht="47.25" customHeight="1" x14ac:dyDescent="0.25">
      <c r="A910" s="10" t="s">
        <v>4332</v>
      </c>
      <c r="B910" s="11" t="s">
        <v>33</v>
      </c>
      <c r="C910" s="12" t="s">
        <v>4333</v>
      </c>
      <c r="D910" s="27"/>
      <c r="E910" s="14" t="s">
        <v>35</v>
      </c>
      <c r="F910" s="11" t="str">
        <f>HYPERLINK("https://redirect.sdcdeals.com/redirect?destination=https%3A%2F%2Fwww.amazon.com%2Fdp%2FB0C8BLPF76%3Fth%3D1%26psc%3D1%26tag%3Dsdcdeals03-20", "Amazon Link")</f>
        <v>Amazon Link</v>
      </c>
      <c r="G910" s="11" t="s">
        <v>36</v>
      </c>
      <c r="H910" s="14" t="s">
        <v>4334</v>
      </c>
      <c r="I910" s="11" t="str">
        <f>HYPERLINK("https://redirect.sdcdeals.com/redirect?code=763034&amp;mavely=https://mavely.app.link/e/bhESV2wGrGb&amp;destination=https%3A%2F%2Fwww.kohls.com%2Fsearch.jsp%3Fsubmit-search%3Dweb-regular%26search%3D28150537", "Retail Link")</f>
        <v>Retail Link</v>
      </c>
      <c r="J910" s="14" t="s">
        <v>4310</v>
      </c>
      <c r="K910" s="13" t="s">
        <v>4335</v>
      </c>
      <c r="L910" s="15">
        <v>6.9840000000000009</v>
      </c>
      <c r="M910" s="15">
        <v>16.59</v>
      </c>
      <c r="N910" s="15">
        <v>2.0674999999999999</v>
      </c>
      <c r="O910" s="15">
        <f>V910-M910</f>
        <v>3.129999999999999</v>
      </c>
      <c r="P910" s="16">
        <f>N910/L910</f>
        <v>0.29603379152348219</v>
      </c>
      <c r="Q910" s="14">
        <v>237976</v>
      </c>
      <c r="R910" s="14"/>
      <c r="S910" s="17">
        <v>0.42990089999999997</v>
      </c>
      <c r="T910" s="15"/>
      <c r="U910" s="15">
        <v>16.59</v>
      </c>
      <c r="V910" s="15">
        <v>19.72</v>
      </c>
      <c r="W910" s="14" t="s">
        <v>593</v>
      </c>
      <c r="X910" s="14">
        <v>1</v>
      </c>
      <c r="Y910" s="10">
        <f>AC910-AB910</f>
        <v>294</v>
      </c>
      <c r="Z910" s="18">
        <v>2</v>
      </c>
      <c r="AA910" s="18">
        <v>12</v>
      </c>
      <c r="AB910" s="18">
        <v>2</v>
      </c>
      <c r="AC910" s="18">
        <v>296</v>
      </c>
      <c r="AD910" s="1" t="s">
        <v>4312</v>
      </c>
      <c r="AE910" s="1" t="s">
        <v>4313</v>
      </c>
      <c r="AG910" s="4">
        <v>5.05</v>
      </c>
    </row>
    <row r="911" spans="1:33" ht="47.25" customHeight="1" x14ac:dyDescent="0.25">
      <c r="A911" s="10" t="s">
        <v>1640</v>
      </c>
      <c r="B911" s="11" t="s">
        <v>33</v>
      </c>
      <c r="C911" s="12" t="s">
        <v>1641</v>
      </c>
      <c r="D911" s="27"/>
      <c r="E911" s="14" t="s">
        <v>35</v>
      </c>
      <c r="F911" s="11" t="str">
        <f>HYPERLINK("https://redirect.sdcdeals.com/redirect?destination=https%3A%2F%2Fwww.amazon.com%2Fdp%2FB0BFTKNT8B%3Fth%3D1%26psc%3D1%26tag%3Dsdcdeals03-20", "Amazon Link")</f>
        <v>Amazon Link</v>
      </c>
      <c r="G911" s="11" t="s">
        <v>36</v>
      </c>
      <c r="H911" s="14" t="s">
        <v>1642</v>
      </c>
      <c r="I911" s="11" t="str">
        <f>HYPERLINK("https://redirect.sdcdeals.com/redirect?code=763034&amp;mavely=https://mavely.app.link/e/bhESV2wGrGb&amp;destination=https%3A%2F%2Fwww.kohls.com%2Fsearch.jsp%3Fsubmit-search%3Dweb-regular%26search%3D71786067", "Retail Link")</f>
        <v>Retail Link</v>
      </c>
      <c r="J911" s="14" t="s">
        <v>1614</v>
      </c>
      <c r="K911" s="13" t="s">
        <v>1643</v>
      </c>
      <c r="L911" s="15">
        <v>44.095999999999997</v>
      </c>
      <c r="M911" s="15">
        <v>87.01</v>
      </c>
      <c r="N911" s="15">
        <v>13.03250000000001</v>
      </c>
      <c r="O911" s="15">
        <f>V911-M911</f>
        <v>1.5499999999999972</v>
      </c>
      <c r="P911" s="16">
        <f>N911/L911</f>
        <v>0.29554834905660399</v>
      </c>
      <c r="Q911" s="14">
        <v>2197019</v>
      </c>
      <c r="R911" s="14"/>
      <c r="S911" s="17">
        <v>1.64905576</v>
      </c>
      <c r="T911" s="15"/>
      <c r="U911" s="15">
        <v>87.01</v>
      </c>
      <c r="V911" s="15">
        <v>88.56</v>
      </c>
      <c r="W911" s="14" t="s">
        <v>1644</v>
      </c>
      <c r="X911" s="14">
        <v>1</v>
      </c>
      <c r="Y911" s="10">
        <f>AC911-AB911</f>
        <v>0</v>
      </c>
      <c r="Z911" s="18">
        <v>2</v>
      </c>
      <c r="AA911" s="18">
        <v>4</v>
      </c>
      <c r="AB911" s="18"/>
      <c r="AC911" s="18"/>
      <c r="AD911" s="1" t="s">
        <v>1616</v>
      </c>
      <c r="AE911" s="1" t="s">
        <v>76</v>
      </c>
      <c r="AG911" s="4">
        <v>16.829999999999998</v>
      </c>
    </row>
    <row r="912" spans="1:33" ht="47.25" customHeight="1" x14ac:dyDescent="0.25">
      <c r="A912" s="10" t="s">
        <v>4287</v>
      </c>
      <c r="B912" s="11" t="s">
        <v>33</v>
      </c>
      <c r="C912" s="12" t="s">
        <v>4288</v>
      </c>
      <c r="D912" s="27"/>
      <c r="E912" s="14" t="s">
        <v>35</v>
      </c>
      <c r="F912" s="11" t="str">
        <f>HYPERLINK("https://redirect.sdcdeals.com/redirect?destination=https%3A%2F%2Fwww.amazon.com%2Fdp%2FB0BKQXM8CJ%3Fth%3D1%26psc%3D1%26tag%3Dsdcdeals03-20", "Amazon Link")</f>
        <v>Amazon Link</v>
      </c>
      <c r="G912" s="11" t="s">
        <v>36</v>
      </c>
      <c r="H912" s="14" t="s">
        <v>4289</v>
      </c>
      <c r="I912" s="11" t="str">
        <f>HYPERLINK("https://redirect.sdcdeals.com/redirect?code=763034&amp;mavely=https://mavely.app.link/e/bhESV2wGrGb&amp;destination=https%3A%2F%2Fwww.kohls.com%2Fsearch.jsp%3Fsubmit-search%3Dweb-regular%26search%3D76194409", "Retail Link")</f>
        <v>Retail Link</v>
      </c>
      <c r="J912" s="14" t="s">
        <v>4231</v>
      </c>
      <c r="K912" s="13" t="s">
        <v>4290</v>
      </c>
      <c r="L912" s="15">
        <v>52.8</v>
      </c>
      <c r="M912" s="15">
        <v>99.99</v>
      </c>
      <c r="N912" s="15">
        <v>15.361499999999991</v>
      </c>
      <c r="O912" s="15">
        <f>V912-M912</f>
        <v>-2.6599999999999966</v>
      </c>
      <c r="P912" s="16">
        <f>N912/L912</f>
        <v>0.29093749999999985</v>
      </c>
      <c r="Q912" s="14">
        <v>778573</v>
      </c>
      <c r="R912" s="14"/>
      <c r="S912" s="17">
        <v>3.00048782</v>
      </c>
      <c r="T912" s="15">
        <v>99.99</v>
      </c>
      <c r="U912" s="15">
        <v>83.61</v>
      </c>
      <c r="V912" s="15">
        <v>97.33</v>
      </c>
      <c r="W912" s="14" t="s">
        <v>296</v>
      </c>
      <c r="X912" s="14">
        <v>7</v>
      </c>
      <c r="Y912" s="10">
        <f>AC912-AB912</f>
        <v>0</v>
      </c>
      <c r="Z912" s="18">
        <v>5</v>
      </c>
      <c r="AA912" s="18">
        <v>29</v>
      </c>
      <c r="AB912" s="18">
        <v>0</v>
      </c>
      <c r="AC912" s="18"/>
      <c r="AD912" s="1" t="s">
        <v>4233</v>
      </c>
      <c r="AE912" s="1" t="s">
        <v>4239</v>
      </c>
      <c r="AF912" s="4">
        <v>17</v>
      </c>
      <c r="AG912" s="4">
        <v>16.829999999999998</v>
      </c>
    </row>
    <row r="913" spans="1:33" ht="47.25" customHeight="1" x14ac:dyDescent="0.25">
      <c r="A913" s="10" t="s">
        <v>482</v>
      </c>
      <c r="B913" s="11" t="s">
        <v>33</v>
      </c>
      <c r="C913" s="12" t="s">
        <v>483</v>
      </c>
      <c r="D913" s="27"/>
      <c r="E913" s="14" t="s">
        <v>35</v>
      </c>
      <c r="F913" s="11" t="str">
        <f>HYPERLINK("https://redirect.sdcdeals.com/redirect?destination=https%3A%2F%2Fwww.amazon.com%2Fdp%2FB0CPP5FCCD%3Fth%3D1%26psc%3D1%26tag%3Dsdcdeals03-20", "Amazon Link")</f>
        <v>Amazon Link</v>
      </c>
      <c r="G913" s="11" t="s">
        <v>36</v>
      </c>
      <c r="H913" s="14" t="s">
        <v>484</v>
      </c>
      <c r="I913" s="11" t="str">
        <f>HYPERLINK("https://redirect.sdcdeals.com/redirect?code=763034&amp;mavely=https://mavely.app.link/e/bhESV2wGrGb&amp;destination=https%3A%2F%2Fwww.kohls.com%2Fsearch.jsp%3Fsubmit-search%3Dweb-regular%26search%3D72579431", "Retail Link")</f>
        <v>Retail Link</v>
      </c>
      <c r="J913" s="14" t="s">
        <v>478</v>
      </c>
      <c r="K913" s="13" t="s">
        <v>485</v>
      </c>
      <c r="L913" s="15">
        <v>16</v>
      </c>
      <c r="M913" s="15">
        <v>31.16</v>
      </c>
      <c r="N913" s="15">
        <v>4.5859999999999994</v>
      </c>
      <c r="O913" s="15">
        <f>V913-M913</f>
        <v>7.4000000000000021</v>
      </c>
      <c r="P913" s="16">
        <f>N913/L913</f>
        <v>0.28662499999999996</v>
      </c>
      <c r="Q913" s="14">
        <v>449567</v>
      </c>
      <c r="R913" s="14"/>
      <c r="S913" s="17">
        <v>0.67240909999999998</v>
      </c>
      <c r="T913" s="15">
        <v>31.16</v>
      </c>
      <c r="U913" s="15">
        <v>38.47</v>
      </c>
      <c r="V913" s="15">
        <v>38.56</v>
      </c>
      <c r="W913" s="14" t="s">
        <v>255</v>
      </c>
      <c r="X913" s="14">
        <v>1</v>
      </c>
      <c r="Y913" s="10">
        <f>AC913-AB913</f>
        <v>0</v>
      </c>
      <c r="Z913" s="18">
        <v>10</v>
      </c>
      <c r="AA913" s="18">
        <v>19</v>
      </c>
      <c r="AB913" s="18"/>
      <c r="AC913" s="18"/>
      <c r="AD913" s="1" t="s">
        <v>480</v>
      </c>
      <c r="AE913" s="1" t="s">
        <v>486</v>
      </c>
      <c r="AF913" s="4">
        <v>5.3</v>
      </c>
      <c r="AG913" s="4">
        <v>5.9</v>
      </c>
    </row>
    <row r="914" spans="1:33" ht="47.25" customHeight="1" x14ac:dyDescent="0.25">
      <c r="A914" s="10" t="s">
        <v>1853</v>
      </c>
      <c r="B914" s="11" t="s">
        <v>33</v>
      </c>
      <c r="C914" s="12" t="s">
        <v>1854</v>
      </c>
      <c r="D914" s="27"/>
      <c r="E914" s="14" t="s">
        <v>35</v>
      </c>
      <c r="F914" s="11" t="str">
        <f>HYPERLINK("https://redirect.sdcdeals.com/redirect?destination=https%3A%2F%2Fwww.amazon.com%2Fdp%2FB0BGVPF4ZM%3Fth%3D1%26psc%3D1%26tag%3Dsdcdeals03-20", "Amazon Link")</f>
        <v>Amazon Link</v>
      </c>
      <c r="G914" s="11" t="s">
        <v>36</v>
      </c>
      <c r="H914" s="14" t="s">
        <v>1855</v>
      </c>
      <c r="I914" s="11" t="str">
        <f>HYPERLINK("https://redirect.sdcdeals.com/redirect?code=763034&amp;mavely=https://mavely.app.link/e/bhESV2wGrGb&amp;destination=https%3A%2F%2Fwww.kohls.com%2Fsearch.jsp%3Fsubmit-search%3Dweb-regular%26search%3D63445448", "Retail Link")</f>
        <v>Retail Link</v>
      </c>
      <c r="J914" s="14" t="s">
        <v>1856</v>
      </c>
      <c r="K914" s="13" t="s">
        <v>1857</v>
      </c>
      <c r="L914" s="15">
        <v>14.295999999999999</v>
      </c>
      <c r="M914" s="15">
        <v>29.67</v>
      </c>
      <c r="N914" s="15">
        <v>4.0635000000000012</v>
      </c>
      <c r="O914" s="15">
        <f>V914-M914</f>
        <v>7.1099999999999994</v>
      </c>
      <c r="P914" s="16">
        <f>N914/L914</f>
        <v>0.28424034695019595</v>
      </c>
      <c r="Q914" s="14">
        <v>57946</v>
      </c>
      <c r="R914" s="14">
        <v>100</v>
      </c>
      <c r="S914" s="17">
        <v>0.85980180000000006</v>
      </c>
      <c r="T914" s="15">
        <v>29.67</v>
      </c>
      <c r="U914" s="15">
        <v>35.369999999999997</v>
      </c>
      <c r="V914" s="15">
        <v>36.78</v>
      </c>
      <c r="W914" s="14" t="s">
        <v>306</v>
      </c>
      <c r="X914" s="14">
        <v>12</v>
      </c>
      <c r="Y914" s="10">
        <f>AC914-AB914</f>
        <v>355</v>
      </c>
      <c r="Z914" s="18">
        <v>45</v>
      </c>
      <c r="AA914" s="18">
        <v>144</v>
      </c>
      <c r="AB914" s="18">
        <v>25</v>
      </c>
      <c r="AC914" s="18">
        <v>380</v>
      </c>
      <c r="AD914" s="1" t="s">
        <v>1858</v>
      </c>
      <c r="AE914" s="1" t="s">
        <v>1859</v>
      </c>
      <c r="AF914" s="4">
        <v>5.04</v>
      </c>
      <c r="AG914" s="4">
        <v>6.86</v>
      </c>
    </row>
    <row r="915" spans="1:33" ht="47.25" customHeight="1" x14ac:dyDescent="0.25">
      <c r="A915" s="10" t="s">
        <v>1212</v>
      </c>
      <c r="B915" s="11" t="s">
        <v>33</v>
      </c>
      <c r="C915" s="12" t="s">
        <v>1213</v>
      </c>
      <c r="D915" s="27"/>
      <c r="E915" s="14" t="s">
        <v>35</v>
      </c>
      <c r="F915" s="11" t="str">
        <f>HYPERLINK("https://redirect.sdcdeals.com/redirect?destination=https%3A%2F%2Fwww.amazon.com%2Fdp%2FB0BKQS12L1%3Fth%3D1%26psc%3D1%26tag%3Dsdcdeals03-20", "Amazon Link")</f>
        <v>Amazon Link</v>
      </c>
      <c r="G915" s="11" t="s">
        <v>36</v>
      </c>
      <c r="H915" s="14" t="s">
        <v>1214</v>
      </c>
      <c r="I915" s="11" t="str">
        <f>HYPERLINK("https://redirect.sdcdeals.com/redirect?code=763034&amp;mavely=https://mavely.app.link/e/bhESV2wGrGb&amp;destination=https%3A%2F%2Fwww.kohls.com%2Fsearch.jsp%3Fsubmit-search%3Dweb-regular%26search%3D28257762", "Retail Link")</f>
        <v>Retail Link</v>
      </c>
      <c r="J915" s="14" t="s">
        <v>1203</v>
      </c>
      <c r="K915" s="13" t="s">
        <v>1215</v>
      </c>
      <c r="L915" s="15">
        <v>19.8</v>
      </c>
      <c r="M915" s="15">
        <v>38.200000000000003</v>
      </c>
      <c r="N915" s="15">
        <v>5.59</v>
      </c>
      <c r="O915" s="15">
        <f>V915-M915</f>
        <v>-8.5800000000000018</v>
      </c>
      <c r="P915" s="16">
        <f>N915/L915</f>
        <v>0.28232323232323231</v>
      </c>
      <c r="Q915" s="14">
        <v>473382</v>
      </c>
      <c r="R915" s="14"/>
      <c r="S915" s="17">
        <v>0.66138600000000003</v>
      </c>
      <c r="T915" s="15">
        <v>38.200000000000003</v>
      </c>
      <c r="U915" s="15">
        <v>29.09</v>
      </c>
      <c r="V915" s="15">
        <v>29.62</v>
      </c>
      <c r="W915" s="14" t="s">
        <v>269</v>
      </c>
      <c r="X915" s="14">
        <v>1</v>
      </c>
      <c r="Y915" s="10">
        <f>AC915-AB915</f>
        <v>29</v>
      </c>
      <c r="Z915" s="18">
        <v>15</v>
      </c>
      <c r="AA915" s="18">
        <v>48</v>
      </c>
      <c r="AB915" s="18">
        <v>0</v>
      </c>
      <c r="AC915" s="18">
        <v>29</v>
      </c>
      <c r="AD915" s="1" t="s">
        <v>1205</v>
      </c>
      <c r="AE915" s="1" t="s">
        <v>1216</v>
      </c>
      <c r="AF915" s="4">
        <v>6.5</v>
      </c>
      <c r="AG915" s="4">
        <v>7.08</v>
      </c>
    </row>
    <row r="916" spans="1:33" ht="47.25" customHeight="1" x14ac:dyDescent="0.25">
      <c r="A916" s="10" t="s">
        <v>6371</v>
      </c>
      <c r="B916" s="11" t="s">
        <v>33</v>
      </c>
      <c r="C916" s="12" t="s">
        <v>6372</v>
      </c>
      <c r="D916" s="27"/>
      <c r="E916" s="14" t="s">
        <v>35</v>
      </c>
      <c r="F916" s="11" t="str">
        <f>HYPERLINK("https://redirect.sdcdeals.com/redirect?destination=https%3A%2F%2Fwww.amazon.com%2Fdp%2FB0CL5BXC36%3Fth%3D1%26psc%3D1%26tag%3Dsdcdeals03-20", "Amazon Link")</f>
        <v>Amazon Link</v>
      </c>
      <c r="G916" s="11" t="s">
        <v>36</v>
      </c>
      <c r="H916" s="14" t="s">
        <v>6373</v>
      </c>
      <c r="I916" s="11" t="str">
        <f>HYPERLINK("https://redirect.sdcdeals.com/redirect?code=763034&amp;mavely=https://mavely.app.link/e/bhESV2wGrGb&amp;destination=https%3A%2F%2Fwww.kohls.com%2Fsearch.jsp%3Fsubmit-search%3Dweb-regular%26search%3D78738274", "Retail Link")</f>
        <v>Retail Link</v>
      </c>
      <c r="J916" s="14" t="s">
        <v>6356</v>
      </c>
      <c r="K916" s="13" t="s">
        <v>6374</v>
      </c>
      <c r="L916" s="15">
        <v>6.4</v>
      </c>
      <c r="M916" s="15">
        <v>15</v>
      </c>
      <c r="N916" s="15">
        <v>1.74</v>
      </c>
      <c r="O916" s="15">
        <f>V916-M916</f>
        <v>7.1999999999999993</v>
      </c>
      <c r="P916" s="16">
        <f>N916/L916</f>
        <v>0.27187499999999998</v>
      </c>
      <c r="Q916" s="14">
        <v>3350405</v>
      </c>
      <c r="R916" s="14"/>
      <c r="S916" s="17">
        <v>0.33069300000000001</v>
      </c>
      <c r="T916" s="15">
        <v>15</v>
      </c>
      <c r="U916" s="15">
        <v>17.68</v>
      </c>
      <c r="V916" s="15">
        <v>22.2</v>
      </c>
      <c r="W916" s="14" t="s">
        <v>3415</v>
      </c>
      <c r="X916" s="14">
        <v>14</v>
      </c>
      <c r="Y916" s="10">
        <f>AC916-AB916</f>
        <v>0</v>
      </c>
      <c r="Z916" s="18">
        <v>5</v>
      </c>
      <c r="AA916" s="18">
        <v>5</v>
      </c>
      <c r="AB916" s="18">
        <v>0</v>
      </c>
      <c r="AC916" s="18"/>
      <c r="AD916" s="1" t="s">
        <v>3379</v>
      </c>
      <c r="AE916" s="1" t="s">
        <v>1453</v>
      </c>
      <c r="AF916" s="4">
        <v>0.75</v>
      </c>
      <c r="AG916" s="4">
        <v>4.6100000000000003</v>
      </c>
    </row>
    <row r="917" spans="1:33" ht="47.25" customHeight="1" x14ac:dyDescent="0.25">
      <c r="A917" s="10" t="s">
        <v>146</v>
      </c>
      <c r="B917" s="11" t="s">
        <v>33</v>
      </c>
      <c r="C917" s="12" t="s">
        <v>147</v>
      </c>
      <c r="D917" s="27"/>
      <c r="E917" s="14" t="s">
        <v>35</v>
      </c>
      <c r="F917" s="11" t="str">
        <f>HYPERLINK("https://redirect.sdcdeals.com/redirect?destination=https%3A%2F%2Fwww.amazon.com%2Fdp%2FB09JNK4Y6C%3Fth%3D1%26psc%3D1%26tag%3Dsdcdeals03-20", "Amazon Link")</f>
        <v>Amazon Link</v>
      </c>
      <c r="G917" s="11" t="s">
        <v>36</v>
      </c>
      <c r="H917" s="14" t="s">
        <v>148</v>
      </c>
      <c r="I917" s="11" t="str">
        <f>HYPERLINK("https://redirect.sdcdeals.com/redirect?code=763034&amp;mavely=https://mavely.app.link/e/bhESV2wGrGb&amp;destination=https%3A%2F%2Fwww.kohls.com%2Fsearch.jsp%3Fsubmit-search%3Dweb-regular%26search%3D83068737", "Retail Link")</f>
        <v>Retail Link</v>
      </c>
      <c r="J917" s="14" t="s">
        <v>149</v>
      </c>
      <c r="K917" s="13" t="s">
        <v>150</v>
      </c>
      <c r="L917" s="15">
        <v>15.6</v>
      </c>
      <c r="M917" s="15">
        <v>31.33</v>
      </c>
      <c r="N917" s="15">
        <v>4.2204999999999986</v>
      </c>
      <c r="O917" s="15">
        <f>V917-M917</f>
        <v>-3.9899999999999984</v>
      </c>
      <c r="P917" s="16">
        <f>N917/L917</f>
        <v>0.27054487179487169</v>
      </c>
      <c r="Q917" s="14">
        <v>46319</v>
      </c>
      <c r="R917" s="14"/>
      <c r="S917" s="17">
        <v>0.66579524000000001</v>
      </c>
      <c r="T917" s="15">
        <v>31.33</v>
      </c>
      <c r="U917" s="15">
        <v>28.4</v>
      </c>
      <c r="V917" s="15">
        <v>27.34</v>
      </c>
      <c r="W917" s="14" t="s">
        <v>151</v>
      </c>
      <c r="X917" s="14">
        <v>17</v>
      </c>
      <c r="Y917" s="10">
        <f>AC917-AB917</f>
        <v>767</v>
      </c>
      <c r="Z917" s="18">
        <v>40</v>
      </c>
      <c r="AA917" s="18">
        <v>126</v>
      </c>
      <c r="AB917" s="18">
        <v>3</v>
      </c>
      <c r="AC917" s="18">
        <v>770</v>
      </c>
      <c r="AD917" s="1" t="s">
        <v>152</v>
      </c>
      <c r="AE917" s="1" t="s">
        <v>153</v>
      </c>
      <c r="AF917" s="4">
        <v>5.33</v>
      </c>
      <c r="AG917" s="4">
        <v>6.81</v>
      </c>
    </row>
    <row r="918" spans="1:33" ht="47.25" customHeight="1" x14ac:dyDescent="0.25">
      <c r="A918" s="10" t="s">
        <v>2543</v>
      </c>
      <c r="B918" s="11" t="s">
        <v>33</v>
      </c>
      <c r="C918" s="12" t="s">
        <v>2544</v>
      </c>
      <c r="D918" s="27"/>
      <c r="E918" s="14" t="s">
        <v>35</v>
      </c>
      <c r="F918" s="11" t="str">
        <f>HYPERLINK("https://redirect.sdcdeals.com/redirect?destination=https%3A%2F%2Fwww.amazon.com%2Fdp%2FB0C8893Z9P%3Fth%3D1%26psc%3D1%26tag%3Dsdcdeals03-20", "Amazon Link")</f>
        <v>Amazon Link</v>
      </c>
      <c r="G918" s="11" t="s">
        <v>36</v>
      </c>
      <c r="H918" s="14" t="s">
        <v>2545</v>
      </c>
      <c r="I918" s="11" t="str">
        <f>HYPERLINK("https://redirect.sdcdeals.com/redirect?code=763034&amp;mavely=https://mavely.app.link/e/bhESV2wGrGb&amp;destination=https%3A%2F%2Fwww.kohls.com%2Fsearch.jsp%3Fsubmit-search%3Dweb-regular%26search%3D29813471", "Retail Link")</f>
        <v>Retail Link</v>
      </c>
      <c r="J918" s="14" t="s">
        <v>2515</v>
      </c>
      <c r="K918" s="13" t="s">
        <v>2546</v>
      </c>
      <c r="L918" s="15">
        <v>7.6959999999999997</v>
      </c>
      <c r="M918" s="15">
        <v>19.27</v>
      </c>
      <c r="N918" s="15">
        <v>2.063499999999999</v>
      </c>
      <c r="O918" s="15">
        <f>V918-M918</f>
        <v>8.48</v>
      </c>
      <c r="P918" s="16">
        <f>N918/L918</f>
        <v>0.26812629937629928</v>
      </c>
      <c r="Q918" s="14">
        <v>166871</v>
      </c>
      <c r="R918" s="14"/>
      <c r="S918" s="17">
        <v>0.82673249999999998</v>
      </c>
      <c r="T918" s="15"/>
      <c r="U918" s="15">
        <v>19.27</v>
      </c>
      <c r="V918" s="15">
        <v>27.75</v>
      </c>
      <c r="W918" s="14" t="s">
        <v>2547</v>
      </c>
      <c r="X918" s="14">
        <v>2</v>
      </c>
      <c r="Y918" s="10">
        <f>AC918-AB918</f>
        <v>193</v>
      </c>
      <c r="Z918" s="18">
        <v>16</v>
      </c>
      <c r="AA918" s="18">
        <v>29</v>
      </c>
      <c r="AB918" s="18">
        <v>25</v>
      </c>
      <c r="AC918" s="18">
        <v>218</v>
      </c>
      <c r="AD918" s="1" t="s">
        <v>2548</v>
      </c>
      <c r="AE918" s="1" t="s">
        <v>235</v>
      </c>
      <c r="AG918" s="4">
        <v>6.62</v>
      </c>
    </row>
    <row r="919" spans="1:33" ht="47.25" customHeight="1" x14ac:dyDescent="0.25">
      <c r="A919" s="10" t="s">
        <v>7538</v>
      </c>
      <c r="B919" s="11" t="s">
        <v>33</v>
      </c>
      <c r="C919" s="12" t="s">
        <v>7539</v>
      </c>
      <c r="D919" s="27"/>
      <c r="E919" s="14" t="s">
        <v>35</v>
      </c>
      <c r="F919" s="11" t="str">
        <f>HYPERLINK("https://redirect.sdcdeals.com/redirect?destination=https%3A%2F%2Fwww.amazon.com%2Fdp%2FB0B15LN4BZ%3Fth%3D1%26psc%3D1%26tag%3Dsdcdeals03-20", "Amazon Link")</f>
        <v>Amazon Link</v>
      </c>
      <c r="G919" s="11" t="s">
        <v>36</v>
      </c>
      <c r="H919" s="14" t="s">
        <v>7540</v>
      </c>
      <c r="I919" s="11" t="str">
        <f>HYPERLINK("https://redirect.sdcdeals.com/redirect?code=763034&amp;mavely=https://mavely.app.link/e/bhESV2wGrGb&amp;destination=https%3A%2F%2Fwww.kohls.com%2Fsearch.jsp%3Fsubmit-search%3Dweb-regular%26search%3D80721404", "Retail Link")</f>
        <v>Retail Link</v>
      </c>
      <c r="J919" s="14" t="s">
        <v>7541</v>
      </c>
      <c r="K919" s="13" t="s">
        <v>7542</v>
      </c>
      <c r="L919" s="15">
        <v>8.8000000000000007</v>
      </c>
      <c r="M919" s="15">
        <v>20.22</v>
      </c>
      <c r="N919" s="15">
        <v>2.3369999999999962</v>
      </c>
      <c r="O919" s="15">
        <f>V919-M919</f>
        <v>3.2699999999999996</v>
      </c>
      <c r="P919" s="16">
        <f>N919/L919</f>
        <v>0.26556818181818137</v>
      </c>
      <c r="Q919" s="14">
        <v>20349</v>
      </c>
      <c r="R919" s="14"/>
      <c r="S919" s="17">
        <v>0.51588107999999999</v>
      </c>
      <c r="T919" s="15">
        <v>20.22</v>
      </c>
      <c r="U919" s="15">
        <v>20.92</v>
      </c>
      <c r="V919" s="15">
        <v>23.49</v>
      </c>
      <c r="W919" s="14" t="s">
        <v>926</v>
      </c>
      <c r="X919" s="14">
        <v>1</v>
      </c>
      <c r="Y919" s="10">
        <f>AC919-AB919</f>
        <v>493</v>
      </c>
      <c r="Z919" s="18">
        <v>31</v>
      </c>
      <c r="AA919" s="18">
        <v>108</v>
      </c>
      <c r="AB919" s="18">
        <v>2</v>
      </c>
      <c r="AC919" s="18">
        <v>495</v>
      </c>
      <c r="AD919" s="1" t="s">
        <v>7543</v>
      </c>
      <c r="AE919" s="1" t="s">
        <v>7544</v>
      </c>
      <c r="AF919" s="4">
        <v>3.44</v>
      </c>
      <c r="AG919" s="4">
        <v>6.05</v>
      </c>
    </row>
    <row r="920" spans="1:33" ht="47.25" customHeight="1" x14ac:dyDescent="0.25">
      <c r="A920" s="10" t="s">
        <v>5139</v>
      </c>
      <c r="B920" s="11" t="s">
        <v>33</v>
      </c>
      <c r="C920" s="12" t="s">
        <v>5140</v>
      </c>
      <c r="D920" s="27"/>
      <c r="E920" s="14" t="s">
        <v>35</v>
      </c>
      <c r="F920" s="11" t="str">
        <f>HYPERLINK("https://redirect.sdcdeals.com/redirect?destination=https%3A%2F%2Fwww.amazon.com%2Fdp%2FB0BN51ZTQQ%3Fth%3D1%26psc%3D1%26tag%3Dsdcdeals03-20", "Amazon Link")</f>
        <v>Amazon Link</v>
      </c>
      <c r="G920" s="11" t="s">
        <v>36</v>
      </c>
      <c r="H920" s="14" t="s">
        <v>5141</v>
      </c>
      <c r="I920" s="11" t="str">
        <f>HYPERLINK("https://redirect.sdcdeals.com/redirect?code=763034&amp;mavely=https://mavely.app.link/e/bhESV2wGrGb&amp;destination=https%3A%2F%2Fwww.kohls.com%2Fsearch.jsp%3Fsubmit-search%3Dweb-regular%26search%3D20254363", "Retail Link")</f>
        <v>Retail Link</v>
      </c>
      <c r="J920" s="14" t="s">
        <v>5123</v>
      </c>
      <c r="K920" s="13" t="s">
        <v>5124</v>
      </c>
      <c r="L920" s="15">
        <v>15.288</v>
      </c>
      <c r="M920" s="15">
        <v>30.28</v>
      </c>
      <c r="N920" s="15">
        <v>3.9699999999999989</v>
      </c>
      <c r="O920" s="15">
        <f>V920-M920</f>
        <v>18.740000000000002</v>
      </c>
      <c r="P920" s="16">
        <f>N920/L920</f>
        <v>0.25968079539508104</v>
      </c>
      <c r="Q920" s="14">
        <v>466301</v>
      </c>
      <c r="R920" s="14"/>
      <c r="S920" s="17">
        <v>0.94798660000000001</v>
      </c>
      <c r="T920" s="15"/>
      <c r="U920" s="15">
        <v>30.28</v>
      </c>
      <c r="V920" s="15">
        <v>49.02</v>
      </c>
      <c r="W920" s="14" t="s">
        <v>2149</v>
      </c>
      <c r="X920" s="14">
        <v>1</v>
      </c>
      <c r="Y920" s="10">
        <f>AC920-AB920</f>
        <v>148</v>
      </c>
      <c r="Z920" s="18">
        <v>9</v>
      </c>
      <c r="AA920" s="18">
        <v>36</v>
      </c>
      <c r="AB920" s="18">
        <v>1</v>
      </c>
      <c r="AC920" s="18">
        <v>149</v>
      </c>
      <c r="AD920" s="1" t="s">
        <v>5125</v>
      </c>
      <c r="AE920" s="1" t="s">
        <v>5126</v>
      </c>
      <c r="AG920" s="4">
        <v>6.48</v>
      </c>
    </row>
    <row r="921" spans="1:33" ht="47.25" customHeight="1" x14ac:dyDescent="0.25">
      <c r="A921" s="10" t="s">
        <v>1446</v>
      </c>
      <c r="B921" s="11" t="s">
        <v>33</v>
      </c>
      <c r="C921" s="12" t="s">
        <v>1447</v>
      </c>
      <c r="D921" s="27"/>
      <c r="E921" s="14" t="s">
        <v>35</v>
      </c>
      <c r="F921" s="11" t="str">
        <f>HYPERLINK("https://redirect.sdcdeals.com/redirect?destination=https%3A%2F%2Fwww.amazon.com%2Fdp%2FB0CJ25BN6C%3Fth%3D1%26psc%3D1%26tag%3Dsdcdeals03-20", "Amazon Link")</f>
        <v>Amazon Link</v>
      </c>
      <c r="G921" s="11" t="s">
        <v>36</v>
      </c>
      <c r="H921" s="14" t="s">
        <v>1448</v>
      </c>
      <c r="I921" s="11" t="str">
        <f>HYPERLINK("https://redirect.sdcdeals.com/redirect?code=763034&amp;mavely=https://mavely.app.link/e/bhESV2wGrGb&amp;destination=https%3A%2F%2Fwww.kohls.com%2Fsearch.jsp%3Fsubmit-search%3Dweb-regular%26search%3D46972653", "Retail Link")</f>
        <v>Retail Link</v>
      </c>
      <c r="J921" s="14" t="s">
        <v>1449</v>
      </c>
      <c r="K921" s="13" t="s">
        <v>1450</v>
      </c>
      <c r="L921" s="15">
        <v>3.84</v>
      </c>
      <c r="M921" s="15">
        <v>10.84</v>
      </c>
      <c r="N921" s="15">
        <v>0.98400000000000087</v>
      </c>
      <c r="O921" s="15">
        <f>V921-M921</f>
        <v>6.7399999999999984</v>
      </c>
      <c r="P921" s="16">
        <f>N921/L921</f>
        <v>0.25625000000000026</v>
      </c>
      <c r="Q921" s="14">
        <v>5800904</v>
      </c>
      <c r="R921" s="14"/>
      <c r="S921" s="17">
        <v>0.19180194</v>
      </c>
      <c r="T921" s="15">
        <v>10.84</v>
      </c>
      <c r="U921" s="15">
        <v>11</v>
      </c>
      <c r="V921" s="15">
        <v>17.579999999999998</v>
      </c>
      <c r="W921" s="14" t="s">
        <v>1451</v>
      </c>
      <c r="X921" s="14">
        <v>3</v>
      </c>
      <c r="Y921" s="10">
        <f>AC921-AB921</f>
        <v>0</v>
      </c>
      <c r="Z921" s="18">
        <v>0</v>
      </c>
      <c r="AA921" s="18">
        <v>17</v>
      </c>
      <c r="AB921" s="18">
        <v>0</v>
      </c>
      <c r="AC921" s="18"/>
      <c r="AD921" s="1" t="s">
        <v>1452</v>
      </c>
      <c r="AE921" s="1" t="s">
        <v>1453</v>
      </c>
      <c r="AF921" s="4">
        <v>0.54</v>
      </c>
      <c r="AG921" s="4">
        <v>4.3899999999999997</v>
      </c>
    </row>
    <row r="922" spans="1:33" ht="47.25" customHeight="1" x14ac:dyDescent="0.25">
      <c r="A922" s="10" t="s">
        <v>3112</v>
      </c>
      <c r="B922" s="11" t="s">
        <v>33</v>
      </c>
      <c r="C922" s="12" t="s">
        <v>3113</v>
      </c>
      <c r="D922" s="27"/>
      <c r="E922" s="14" t="s">
        <v>35</v>
      </c>
      <c r="F922" s="11" t="str">
        <f>HYPERLINK("https://redirect.sdcdeals.com/redirect?destination=https%3A%2F%2Fwww.amazon.com%2Fdp%2FB0B64JG4K8%3Fth%3D1%26psc%3D1%26tag%3Dsdcdeals03-20", "Amazon Link")</f>
        <v>Amazon Link</v>
      </c>
      <c r="G922" s="11" t="s">
        <v>36</v>
      </c>
      <c r="H922" s="14" t="s">
        <v>3114</v>
      </c>
      <c r="I922" s="11" t="str">
        <f>HYPERLINK("https://redirect.sdcdeals.com/redirect?code=763034&amp;mavely=https://mavely.app.link/e/bhESV2wGrGb&amp;destination=https%3A%2F%2Fwww.kohls.com%2Fsearch.jsp%3Fsubmit-search%3Dweb-regular%26search%3D78064368", "Retail Link")</f>
        <v>Retail Link</v>
      </c>
      <c r="J922" s="14" t="s">
        <v>3090</v>
      </c>
      <c r="K922" s="13" t="s">
        <v>3115</v>
      </c>
      <c r="L922" s="15">
        <v>40</v>
      </c>
      <c r="M922" s="15">
        <v>81.93</v>
      </c>
      <c r="N922" s="15">
        <v>10.15050000000001</v>
      </c>
      <c r="O922" s="15">
        <f>V922-M922</f>
        <v>34.139999999999986</v>
      </c>
      <c r="P922" s="16">
        <f>N922/L922</f>
        <v>0.25376250000000022</v>
      </c>
      <c r="Q922" s="14">
        <v>397142</v>
      </c>
      <c r="R922" s="14"/>
      <c r="S922" s="17">
        <v>3.2628376000000001</v>
      </c>
      <c r="T922" s="15">
        <v>73.98</v>
      </c>
      <c r="U922" s="15">
        <v>82.36</v>
      </c>
      <c r="V922" s="15">
        <v>116.07</v>
      </c>
      <c r="W922" s="14" t="s">
        <v>396</v>
      </c>
      <c r="X922" s="14">
        <v>1</v>
      </c>
      <c r="Y922" s="10">
        <f>AC922-AB922</f>
        <v>1932</v>
      </c>
      <c r="Z922" s="18">
        <v>20</v>
      </c>
      <c r="AA922" s="18">
        <v>55</v>
      </c>
      <c r="AB922" s="18">
        <v>0</v>
      </c>
      <c r="AC922" s="18">
        <v>1932</v>
      </c>
      <c r="AD922" s="1" t="s">
        <v>3116</v>
      </c>
      <c r="AE922" s="1" t="s">
        <v>3117</v>
      </c>
      <c r="AF922" s="4">
        <v>13.93</v>
      </c>
      <c r="AG922" s="4">
        <v>19.489999999999998</v>
      </c>
    </row>
    <row r="923" spans="1:33" ht="47.25" customHeight="1" x14ac:dyDescent="0.25">
      <c r="A923" s="10" t="s">
        <v>701</v>
      </c>
      <c r="B923" s="11" t="s">
        <v>33</v>
      </c>
      <c r="C923" s="12" t="s">
        <v>702</v>
      </c>
      <c r="D923" s="27"/>
      <c r="E923" s="14" t="s">
        <v>35</v>
      </c>
      <c r="F923" s="11" t="str">
        <f>HYPERLINK("https://redirect.sdcdeals.com/redirect?destination=https%3A%2F%2Fwww.amazon.com%2Fdp%2FB0BFT5WJJX%3Fth%3D1%26psc%3D1%26tag%3Dsdcdeals03-20", "Amazon Link")</f>
        <v>Amazon Link</v>
      </c>
      <c r="G923" s="11" t="s">
        <v>36</v>
      </c>
      <c r="H923" s="14" t="s">
        <v>703</v>
      </c>
      <c r="I923" s="11" t="str">
        <f>HYPERLINK("https://redirect.sdcdeals.com/redirect?code=763034&amp;mavely=https://mavely.app.link/e/bhESV2wGrGb&amp;destination=https%3A%2F%2Fwww.kohls.com%2Fsearch.jsp%3Fsubmit-search%3Dweb-regular%26search%3D20255779", "Retail Link")</f>
        <v>Retail Link</v>
      </c>
      <c r="J923" s="14" t="s">
        <v>696</v>
      </c>
      <c r="K923" s="13" t="s">
        <v>704</v>
      </c>
      <c r="L923" s="15">
        <v>44.095999999999997</v>
      </c>
      <c r="M923" s="15">
        <v>83.02</v>
      </c>
      <c r="N923" s="15">
        <v>11.160999999999991</v>
      </c>
      <c r="O923" s="15">
        <f>V923-M923</f>
        <v>0</v>
      </c>
      <c r="P923" s="16">
        <f>N923/L923</f>
        <v>0.25310685776487646</v>
      </c>
      <c r="Q923" s="14">
        <v>5986832</v>
      </c>
      <c r="R923" s="14"/>
      <c r="S923" s="17">
        <v>1.38009212</v>
      </c>
      <c r="T923" s="15"/>
      <c r="U923" s="15"/>
      <c r="V923" s="15">
        <v>83.02</v>
      </c>
      <c r="W923" s="14" t="s">
        <v>705</v>
      </c>
      <c r="X923" s="14"/>
      <c r="Y923" s="10">
        <f>AC923-AB923</f>
        <v>1</v>
      </c>
      <c r="Z923" s="18">
        <v>0</v>
      </c>
      <c r="AA923" s="18">
        <v>0</v>
      </c>
      <c r="AB923" s="18">
        <v>0</v>
      </c>
      <c r="AC923" s="18">
        <v>1</v>
      </c>
      <c r="AD923" s="1" t="s">
        <v>699</v>
      </c>
      <c r="AE923" s="1" t="s">
        <v>76</v>
      </c>
      <c r="AG923" s="4">
        <v>15.31</v>
      </c>
    </row>
    <row r="924" spans="1:33" ht="47.25" hidden="1" customHeight="1" x14ac:dyDescent="0.25">
      <c r="A924" s="10" t="s">
        <v>2788</v>
      </c>
      <c r="B924" s="11" t="s">
        <v>33</v>
      </c>
      <c r="C924" s="12" t="s">
        <v>2789</v>
      </c>
      <c r="D924" s="27"/>
      <c r="E924" s="14" t="s">
        <v>35</v>
      </c>
      <c r="F924" s="11" t="str">
        <f>HYPERLINK("https://redirect.sdcdeals.com/redirect?destination=https%3A%2F%2Fwww.amazon.com%2Fdp%2FB0CCBW49PX%3Fth%3D1%26psc%3D1%26tag%3Dsdcdeals03-20", "Amazon Link")</f>
        <v>Amazon Link</v>
      </c>
      <c r="G924" s="11" t="s">
        <v>36</v>
      </c>
      <c r="H924" s="14" t="s">
        <v>2790</v>
      </c>
      <c r="I924" s="11" t="str">
        <f>HYPERLINK("https://redirect.sdcdeals.com/redirect?code=763034&amp;mavely=https://mavely.app.link/e/bhESV2wGrGb&amp;destination=https%3A%2F%2Fwww.kohls.com%2Fsearch.jsp%3Fsubmit-search%3Dweb-regular%26search%3D29746931", "Retail Link")</f>
        <v>Retail Link</v>
      </c>
      <c r="J924" s="14" t="s">
        <v>2705</v>
      </c>
      <c r="K924" s="13" t="s">
        <v>2752</v>
      </c>
      <c r="L924" s="15">
        <v>13.2</v>
      </c>
      <c r="M924" s="15">
        <v>27.4</v>
      </c>
      <c r="N924" s="15">
        <v>3.260000000000002</v>
      </c>
      <c r="O924" s="15">
        <f>V924-M924</f>
        <v>2.990000000000002</v>
      </c>
      <c r="P924" s="16">
        <f>N924/L924</f>
        <v>0.24696969696969714</v>
      </c>
      <c r="Q924" s="14"/>
      <c r="R924" s="14"/>
      <c r="S924" s="17">
        <v>0.90389419999999998</v>
      </c>
      <c r="T924" s="15">
        <v>27.4</v>
      </c>
      <c r="U924" s="15">
        <v>26.4</v>
      </c>
      <c r="V924" s="15">
        <v>30.39</v>
      </c>
      <c r="W924" s="14" t="s">
        <v>913</v>
      </c>
      <c r="X924" s="14">
        <v>2</v>
      </c>
      <c r="Y924" s="10">
        <f>AC924-AB924</f>
        <v>0</v>
      </c>
      <c r="Z924" s="18">
        <v>-1</v>
      </c>
      <c r="AA924" s="18">
        <v>-1</v>
      </c>
      <c r="AB924" s="18"/>
      <c r="AC924" s="18"/>
      <c r="AD924" s="1" t="s">
        <v>2718</v>
      </c>
      <c r="AE924" s="1" t="s">
        <v>2719</v>
      </c>
      <c r="AF924" s="4">
        <v>4.66</v>
      </c>
      <c r="AG924" s="4">
        <v>6.83</v>
      </c>
    </row>
    <row r="925" spans="1:33" ht="47.25" customHeight="1" x14ac:dyDescent="0.25">
      <c r="A925" s="10" t="s">
        <v>3062</v>
      </c>
      <c r="B925" s="11" t="s">
        <v>33</v>
      </c>
      <c r="C925" s="12" t="s">
        <v>3063</v>
      </c>
      <c r="D925" s="27"/>
      <c r="E925" s="14" t="s">
        <v>35</v>
      </c>
      <c r="F925" s="11" t="str">
        <f>HYPERLINK("https://redirect.sdcdeals.com/redirect?destination=https%3A%2F%2Fwww.amazon.com%2Fdp%2FB0CF68TXDM%3Fth%3D1%26psc%3D1%26tag%3Dsdcdeals03-20", "Amazon Link")</f>
        <v>Amazon Link</v>
      </c>
      <c r="G925" s="11" t="s">
        <v>36</v>
      </c>
      <c r="H925" s="14" t="s">
        <v>3064</v>
      </c>
      <c r="I925" s="11" t="str">
        <f>HYPERLINK("https://redirect.sdcdeals.com/redirect?code=763034&amp;mavely=https://mavely.app.link/e/bhESV2wGrGb&amp;destination=https%3A%2F%2Fwww.kohls.com%2Fsearch.jsp%3Fsubmit-search%3Dweb-regular%26search%3D49607311", "Retail Link")</f>
        <v>Retail Link</v>
      </c>
      <c r="J925" s="14" t="s">
        <v>3047</v>
      </c>
      <c r="K925" s="13" t="s">
        <v>3065</v>
      </c>
      <c r="L925" s="15">
        <v>8</v>
      </c>
      <c r="M925" s="15">
        <v>19.989999999999998</v>
      </c>
      <c r="N925" s="15">
        <v>1.9714999999999989</v>
      </c>
      <c r="O925" s="15">
        <f>V925-M925</f>
        <v>0</v>
      </c>
      <c r="P925" s="16">
        <f>N925/L925</f>
        <v>0.24643749999999986</v>
      </c>
      <c r="Q925" s="14">
        <v>382300</v>
      </c>
      <c r="R925" s="14"/>
      <c r="S925" s="17">
        <v>0.54895037999999996</v>
      </c>
      <c r="T925" s="15">
        <v>19.989999999999998</v>
      </c>
      <c r="U925" s="15">
        <v>19.989999999999998</v>
      </c>
      <c r="V925" s="15">
        <v>19.989999999999998</v>
      </c>
      <c r="W925" s="14" t="s">
        <v>290</v>
      </c>
      <c r="X925" s="14">
        <v>9</v>
      </c>
      <c r="Y925" s="10">
        <f>AC925-AB925</f>
        <v>238</v>
      </c>
      <c r="Z925" s="18">
        <v>11</v>
      </c>
      <c r="AA925" s="18">
        <v>12</v>
      </c>
      <c r="AB925" s="18">
        <v>0</v>
      </c>
      <c r="AC925" s="18">
        <v>238</v>
      </c>
      <c r="AD925" s="1" t="s">
        <v>3049</v>
      </c>
      <c r="AE925" s="1" t="s">
        <v>235</v>
      </c>
      <c r="AG925" s="4">
        <v>7.02</v>
      </c>
    </row>
    <row r="926" spans="1:33" ht="47.25" customHeight="1" x14ac:dyDescent="0.25">
      <c r="A926" s="10" t="s">
        <v>3346</v>
      </c>
      <c r="B926" s="11" t="s">
        <v>33</v>
      </c>
      <c r="C926" s="12" t="s">
        <v>3347</v>
      </c>
      <c r="D926" s="27"/>
      <c r="E926" s="14" t="s">
        <v>35</v>
      </c>
      <c r="F926" s="11" t="str">
        <f>HYPERLINK("https://redirect.sdcdeals.com/redirect?destination=https%3A%2F%2Fwww.amazon.com%2Fdp%2FB0BKQYT8WM%3Fth%3D1%26psc%3D1%26tag%3Dsdcdeals03-20", "Amazon Link")</f>
        <v>Amazon Link</v>
      </c>
      <c r="G926" s="11" t="s">
        <v>36</v>
      </c>
      <c r="H926" s="14" t="s">
        <v>3348</v>
      </c>
      <c r="I926" s="11" t="str">
        <f>HYPERLINK("https://redirect.sdcdeals.com/redirect?code=763034&amp;mavely=https://mavely.app.link/e/bhESV2wGrGb&amp;destination=https%3A%2F%2Fwww.kohls.com%2Fsearch.jsp%3Fsubmit-search%3Dweb-regular%26search%3D75541566", "Retail Link")</f>
        <v>Retail Link</v>
      </c>
      <c r="J926" s="14" t="s">
        <v>3318</v>
      </c>
      <c r="K926" s="13" t="s">
        <v>3349</v>
      </c>
      <c r="L926" s="15">
        <v>39.6</v>
      </c>
      <c r="M926" s="15">
        <v>74.849999999999994</v>
      </c>
      <c r="N926" s="15">
        <v>9.4724999999999895</v>
      </c>
      <c r="O926" s="15">
        <f>V926-M926</f>
        <v>6.3100000000000023</v>
      </c>
      <c r="P926" s="16">
        <f>N926/L926</f>
        <v>0.23920454545454517</v>
      </c>
      <c r="Q926" s="14">
        <v>546738</v>
      </c>
      <c r="R926" s="14"/>
      <c r="S926" s="17">
        <v>2.44933282</v>
      </c>
      <c r="T926" s="15">
        <v>74.849999999999994</v>
      </c>
      <c r="U926" s="15">
        <v>71.819999999999993</v>
      </c>
      <c r="V926" s="15">
        <v>81.16</v>
      </c>
      <c r="W926" s="14" t="s">
        <v>1143</v>
      </c>
      <c r="X926" s="14">
        <v>2</v>
      </c>
      <c r="Y926" s="10">
        <f>AC926-AB926</f>
        <v>13</v>
      </c>
      <c r="Z926" s="18">
        <v>14</v>
      </c>
      <c r="AA926" s="18">
        <v>50</v>
      </c>
      <c r="AB926" s="18">
        <v>2</v>
      </c>
      <c r="AC926" s="18">
        <v>15</v>
      </c>
      <c r="AD926" s="1" t="s">
        <v>3320</v>
      </c>
      <c r="AE926" s="1" t="s">
        <v>3329</v>
      </c>
      <c r="AF926" s="4">
        <v>12.72</v>
      </c>
      <c r="AG926" s="4">
        <v>14.55</v>
      </c>
    </row>
    <row r="927" spans="1:33" ht="47.25" customHeight="1" x14ac:dyDescent="0.25">
      <c r="A927" s="10" t="s">
        <v>331</v>
      </c>
      <c r="B927" s="11" t="s">
        <v>33</v>
      </c>
      <c r="C927" s="12" t="s">
        <v>332</v>
      </c>
      <c r="D927" s="27"/>
      <c r="E927" s="14" t="s">
        <v>35</v>
      </c>
      <c r="F927" s="11" t="str">
        <f>HYPERLINK("https://redirect.sdcdeals.com/redirect?destination=https%3A%2F%2Fwww.amazon.com%2Fdp%2FB0BKR4ZGGC%3Fth%3D1%26psc%3D1%26tag%3Dsdcdeals03-20", "Amazon Link")</f>
        <v>Amazon Link</v>
      </c>
      <c r="G927" s="11" t="s">
        <v>36</v>
      </c>
      <c r="H927" s="14" t="s">
        <v>333</v>
      </c>
      <c r="I927" s="11" t="str">
        <f>HYPERLINK("https://redirect.sdcdeals.com/redirect?code=763034&amp;mavely=https://mavely.app.link/e/bhESV2wGrGb&amp;destination=https%3A%2F%2Fwww.kohls.com%2Fsearch.jsp%3Fsubmit-search%3Dweb-regular%26search%3D76899426", "Retail Link")</f>
        <v>Retail Link</v>
      </c>
      <c r="J927" s="14" t="s">
        <v>334</v>
      </c>
      <c r="K927" s="13" t="s">
        <v>335</v>
      </c>
      <c r="L927" s="15">
        <v>18.2</v>
      </c>
      <c r="M927" s="15">
        <v>33.74</v>
      </c>
      <c r="N927" s="15">
        <v>4.3390000000000022</v>
      </c>
      <c r="O927" s="15">
        <f>V927-M927</f>
        <v>1.6099999999999994</v>
      </c>
      <c r="P927" s="16">
        <f>N927/L927</f>
        <v>0.23840659340659354</v>
      </c>
      <c r="Q927" s="14">
        <v>116912</v>
      </c>
      <c r="R927" s="14"/>
      <c r="S927" s="17">
        <v>0.66138600000000003</v>
      </c>
      <c r="T927" s="15">
        <v>33.74</v>
      </c>
      <c r="U927" s="15">
        <v>33.71</v>
      </c>
      <c r="V927" s="15">
        <v>35.35</v>
      </c>
      <c r="W927" s="14" t="s">
        <v>53</v>
      </c>
      <c r="X927" s="14">
        <v>1</v>
      </c>
      <c r="Y927" s="10">
        <f>AC927-AB927</f>
        <v>0</v>
      </c>
      <c r="Z927" s="18">
        <v>12</v>
      </c>
      <c r="AA927" s="18">
        <v>56</v>
      </c>
      <c r="AB927" s="18">
        <v>0</v>
      </c>
      <c r="AC927" s="18"/>
      <c r="AD927" s="1" t="s">
        <v>336</v>
      </c>
      <c r="AE927" s="1" t="s">
        <v>337</v>
      </c>
      <c r="AF927" s="4">
        <v>5.74</v>
      </c>
      <c r="AG927" s="4">
        <v>6.14</v>
      </c>
    </row>
    <row r="928" spans="1:33" ht="47.25" customHeight="1" x14ac:dyDescent="0.25">
      <c r="A928" s="10" t="s">
        <v>2871</v>
      </c>
      <c r="B928" s="11" t="s">
        <v>33</v>
      </c>
      <c r="C928" s="12" t="s">
        <v>2872</v>
      </c>
      <c r="D928" s="27"/>
      <c r="E928" s="14" t="s">
        <v>35</v>
      </c>
      <c r="F928" s="11" t="str">
        <f>HYPERLINK("https://redirect.sdcdeals.com/redirect?destination=https%3A%2F%2Fwww.amazon.com%2Fdp%2FB0BKR16Y1K%3Fth%3D1%26psc%3D1%26tag%3Dsdcdeals03-20", "Amazon Link")</f>
        <v>Amazon Link</v>
      </c>
      <c r="G928" s="11" t="s">
        <v>36</v>
      </c>
      <c r="H928" s="14" t="s">
        <v>2873</v>
      </c>
      <c r="I928" s="11" t="str">
        <f>HYPERLINK("https://redirect.sdcdeals.com/redirect?code=763034&amp;mavely=https://mavely.app.link/e/bhESV2wGrGb&amp;destination=https%3A%2F%2Fwww.kohls.com%2Fsearch.jsp%3Fsubmit-search%3Dweb-regular%26search%3D76932880", "Retail Link")</f>
        <v>Retail Link</v>
      </c>
      <c r="J928" s="14" t="s">
        <v>2863</v>
      </c>
      <c r="K928" s="13" t="s">
        <v>2874</v>
      </c>
      <c r="L928" s="15">
        <v>39.6</v>
      </c>
      <c r="M928" s="15">
        <v>72.13</v>
      </c>
      <c r="N928" s="15">
        <v>9.440499999999993</v>
      </c>
      <c r="O928" s="15">
        <f>V928-M928</f>
        <v>0.96999999999999886</v>
      </c>
      <c r="P928" s="16">
        <f>N928/L928</f>
        <v>0.23839646464646447</v>
      </c>
      <c r="Q928" s="14">
        <v>748350</v>
      </c>
      <c r="R928" s="14"/>
      <c r="S928" s="17">
        <v>2.6190885599999998</v>
      </c>
      <c r="T928" s="15">
        <v>72.13</v>
      </c>
      <c r="U928" s="15">
        <v>61.13</v>
      </c>
      <c r="V928" s="15">
        <v>73.099999999999994</v>
      </c>
      <c r="W928" s="14" t="s">
        <v>95</v>
      </c>
      <c r="X928" s="14">
        <v>2</v>
      </c>
      <c r="Y928" s="10">
        <f>AC928-AB928</f>
        <v>63</v>
      </c>
      <c r="Z928" s="18">
        <v>10</v>
      </c>
      <c r="AA928" s="18">
        <v>66</v>
      </c>
      <c r="AB928" s="18">
        <v>0</v>
      </c>
      <c r="AC928" s="18">
        <v>63</v>
      </c>
      <c r="AD928" s="1" t="s">
        <v>2865</v>
      </c>
      <c r="AE928" s="1" t="s">
        <v>2213</v>
      </c>
      <c r="AF928" s="4">
        <v>12.25</v>
      </c>
      <c r="AG928" s="4">
        <v>12.27</v>
      </c>
    </row>
    <row r="929" spans="1:33" ht="47.25" customHeight="1" x14ac:dyDescent="0.25">
      <c r="A929" s="10" t="s">
        <v>7555</v>
      </c>
      <c r="B929" s="11" t="s">
        <v>33</v>
      </c>
      <c r="C929" s="12" t="s">
        <v>7556</v>
      </c>
      <c r="D929" s="27"/>
      <c r="E929" s="14" t="s">
        <v>35</v>
      </c>
      <c r="F929" s="11" t="str">
        <f>HYPERLINK("https://redirect.sdcdeals.com/redirect?destination=https%3A%2F%2Fwww.amazon.com%2Fdp%2FB0B15NC2P8%3Fth%3D1%26psc%3D1%26tag%3Dsdcdeals03-20", "Amazon Link")</f>
        <v>Amazon Link</v>
      </c>
      <c r="G929" s="11" t="s">
        <v>36</v>
      </c>
      <c r="H929" s="14" t="s">
        <v>7557</v>
      </c>
      <c r="I929" s="11" t="str">
        <f>HYPERLINK("https://redirect.sdcdeals.com/redirect?code=763034&amp;mavely=https://mavely.app.link/e/bhESV2wGrGb&amp;destination=https%3A%2F%2Fwww.kohls.com%2Fsearch.jsp%3Fsubmit-search%3Dweb-regular%26search%3D80721406", "Retail Link")</f>
        <v>Retail Link</v>
      </c>
      <c r="J929" s="14" t="s">
        <v>7541</v>
      </c>
      <c r="K929" s="13" t="s">
        <v>7558</v>
      </c>
      <c r="L929" s="15">
        <v>8.8000000000000007</v>
      </c>
      <c r="M929" s="15">
        <v>20.440000000000001</v>
      </c>
      <c r="N929" s="15">
        <v>2.0940000000000012</v>
      </c>
      <c r="O929" s="15">
        <f>V929-M929</f>
        <v>3.4899999999999984</v>
      </c>
      <c r="P929" s="16">
        <f>N929/L929</f>
        <v>0.23795454545454556</v>
      </c>
      <c r="Q929" s="14">
        <v>24129</v>
      </c>
      <c r="R929" s="14">
        <v>50</v>
      </c>
      <c r="S929" s="17">
        <v>0.57099657999999998</v>
      </c>
      <c r="T929" s="15">
        <v>20.440000000000001</v>
      </c>
      <c r="U929" s="15">
        <v>21.53</v>
      </c>
      <c r="V929" s="15">
        <v>23.93</v>
      </c>
      <c r="W929" s="14" t="s">
        <v>385</v>
      </c>
      <c r="X929" s="14">
        <v>1</v>
      </c>
      <c r="Y929" s="10">
        <f>AC929-AB929</f>
        <v>489</v>
      </c>
      <c r="Z929" s="18">
        <v>27</v>
      </c>
      <c r="AA929" s="18">
        <v>81</v>
      </c>
      <c r="AB929" s="18">
        <v>6</v>
      </c>
      <c r="AC929" s="18">
        <v>495</v>
      </c>
      <c r="AD929" s="1" t="s">
        <v>7543</v>
      </c>
      <c r="AE929" s="1" t="s">
        <v>7544</v>
      </c>
      <c r="AF929" s="4">
        <v>3.47</v>
      </c>
      <c r="AG929" s="4">
        <v>6.48</v>
      </c>
    </row>
    <row r="930" spans="1:33" ht="47.25" customHeight="1" x14ac:dyDescent="0.25">
      <c r="A930" s="10" t="s">
        <v>5237</v>
      </c>
      <c r="B930" s="11" t="s">
        <v>33</v>
      </c>
      <c r="C930" s="12" t="s">
        <v>5238</v>
      </c>
      <c r="D930" s="27"/>
      <c r="E930" s="14" t="s">
        <v>35</v>
      </c>
      <c r="F930" s="11" t="str">
        <f>HYPERLINK("https://redirect.sdcdeals.com/redirect?destination=https%3A%2F%2Fwww.amazon.com%2Fdp%2FB093G5VJBP%3Fth%3D1%26psc%3D1%26tag%3Dsdcdeals03-20", "Amazon Link")</f>
        <v>Amazon Link</v>
      </c>
      <c r="G930" s="11" t="s">
        <v>36</v>
      </c>
      <c r="H930" s="14" t="s">
        <v>5239</v>
      </c>
      <c r="I930" s="11" t="str">
        <f>HYPERLINK("https://redirect.sdcdeals.com/redirect?code=763034&amp;mavely=https://mavely.app.link/e/bhESV2wGrGb&amp;destination=https%3A%2F%2Fwww.kohls.com%2Fsearch.jsp%3Fsubmit-search%3Dweb-regular%26search%3D72098944", "Retail Link")</f>
        <v>Retail Link</v>
      </c>
      <c r="J930" s="14" t="s">
        <v>5206</v>
      </c>
      <c r="K930" s="13" t="s">
        <v>5240</v>
      </c>
      <c r="L930" s="15">
        <v>8.4</v>
      </c>
      <c r="M930" s="15">
        <v>19.16</v>
      </c>
      <c r="N930" s="15">
        <v>1.9860000000000011</v>
      </c>
      <c r="O930" s="15">
        <f>V930-M930</f>
        <v>1.5599999999999987</v>
      </c>
      <c r="P930" s="16">
        <f>N930/L930</f>
        <v>0.23642857142857154</v>
      </c>
      <c r="Q930" s="14">
        <v>109351</v>
      </c>
      <c r="R930" s="14"/>
      <c r="S930" s="17">
        <v>0.18077884</v>
      </c>
      <c r="T930" s="15">
        <v>19.16</v>
      </c>
      <c r="U930" s="15">
        <v>24.26</v>
      </c>
      <c r="V930" s="15">
        <v>20.72</v>
      </c>
      <c r="W930" s="14" t="s">
        <v>3378</v>
      </c>
      <c r="X930" s="14">
        <v>2</v>
      </c>
      <c r="Y930" s="10">
        <f>AC930-AB930</f>
        <v>114</v>
      </c>
      <c r="Z930" s="18">
        <v>19</v>
      </c>
      <c r="AA930" s="18">
        <v>61</v>
      </c>
      <c r="AB930" s="18">
        <v>4</v>
      </c>
      <c r="AC930" s="18">
        <v>118</v>
      </c>
      <c r="AD930" s="1" t="s">
        <v>5208</v>
      </c>
      <c r="AE930" s="1" t="s">
        <v>278</v>
      </c>
      <c r="AF930" s="4">
        <v>1.92</v>
      </c>
      <c r="AG930" s="4">
        <v>5.9</v>
      </c>
    </row>
    <row r="931" spans="1:33" ht="47.25" customHeight="1" x14ac:dyDescent="0.25">
      <c r="A931" s="10" t="s">
        <v>3195</v>
      </c>
      <c r="B931" s="11" t="s">
        <v>33</v>
      </c>
      <c r="C931" s="12" t="s">
        <v>3196</v>
      </c>
      <c r="D931" s="27"/>
      <c r="E931" s="14" t="s">
        <v>35</v>
      </c>
      <c r="F931" s="11" t="str">
        <f>HYPERLINK("https://redirect.sdcdeals.com/redirect?destination=https%3A%2F%2Fwww.amazon.com%2Fdp%2FB0CL5RBM8Z%3Fth%3D1%26psc%3D1%26tag%3Dsdcdeals03-20", "Amazon Link")</f>
        <v>Amazon Link</v>
      </c>
      <c r="G931" s="11" t="s">
        <v>36</v>
      </c>
      <c r="H931" s="14" t="s">
        <v>3197</v>
      </c>
      <c r="I931" s="11" t="str">
        <f>HYPERLINK("https://redirect.sdcdeals.com/redirect?code=763034&amp;mavely=https://mavely.app.link/e/bhESV2wGrGb&amp;destination=https%3A%2F%2Fwww.kohls.com%2Fsearch.jsp%3Fsubmit-search%3Dweb-regular%26search%3D37530931", "Retail Link")</f>
        <v>Retail Link</v>
      </c>
      <c r="J931" s="14" t="s">
        <v>3188</v>
      </c>
      <c r="K931" s="13" t="s">
        <v>3198</v>
      </c>
      <c r="L931" s="15">
        <v>7.6000000000000014</v>
      </c>
      <c r="M931" s="15">
        <v>14.95</v>
      </c>
      <c r="N931" s="15">
        <v>1.757499999999999</v>
      </c>
      <c r="O931" s="15">
        <f>V931-M931</f>
        <v>2.8300000000000018</v>
      </c>
      <c r="P931" s="16">
        <f>N931/L931</f>
        <v>0.23124999999999982</v>
      </c>
      <c r="Q931" s="14">
        <v>53837</v>
      </c>
      <c r="R931" s="14"/>
      <c r="S931" s="17">
        <v>0.39903622</v>
      </c>
      <c r="T931" s="15">
        <v>14.95</v>
      </c>
      <c r="U931" s="15">
        <v>15.02</v>
      </c>
      <c r="V931" s="15">
        <v>17.78</v>
      </c>
      <c r="W931" s="14" t="s">
        <v>67</v>
      </c>
      <c r="X931" s="14">
        <v>8</v>
      </c>
      <c r="Y931" s="10">
        <f>AC931-AB931</f>
        <v>559</v>
      </c>
      <c r="Z931" s="18">
        <v>12</v>
      </c>
      <c r="AA931" s="18">
        <v>75</v>
      </c>
      <c r="AB931" s="18">
        <v>1</v>
      </c>
      <c r="AC931" s="18">
        <v>560</v>
      </c>
      <c r="AD931" s="1" t="s">
        <v>1452</v>
      </c>
      <c r="AE931" s="1" t="s">
        <v>3190</v>
      </c>
      <c r="AF931" s="4">
        <v>0.75</v>
      </c>
      <c r="AG931" s="4">
        <v>3.35</v>
      </c>
    </row>
    <row r="932" spans="1:33" ht="47.25" customHeight="1" x14ac:dyDescent="0.25">
      <c r="A932" s="10" t="s">
        <v>4361</v>
      </c>
      <c r="B932" s="11" t="s">
        <v>33</v>
      </c>
      <c r="C932" s="12" t="s">
        <v>4362</v>
      </c>
      <c r="D932" s="27"/>
      <c r="E932" s="14" t="s">
        <v>35</v>
      </c>
      <c r="F932" s="11" t="str">
        <f>HYPERLINK("https://redirect.sdcdeals.com/redirect?destination=https%3A%2F%2Fwww.amazon.com%2Fdp%2FB0B1KVW2XL%3Fth%3D1%26psc%3D1%26tag%3Dsdcdeals03-20", "Amazon Link")</f>
        <v>Amazon Link</v>
      </c>
      <c r="G932" s="11" t="s">
        <v>36</v>
      </c>
      <c r="H932" s="14" t="s">
        <v>4363</v>
      </c>
      <c r="I932" s="11" t="str">
        <f>HYPERLINK("https://redirect.sdcdeals.com/redirect?code=763034&amp;mavely=https://mavely.app.link/e/bhESV2wGrGb&amp;destination=https%3A%2F%2Fwww.kohls.com%2Fsearch.jsp%3Fsubmit-search%3Dweb-regular%26search%3D68949028", "Retail Link")</f>
        <v>Retail Link</v>
      </c>
      <c r="J932" s="14" t="s">
        <v>4347</v>
      </c>
      <c r="K932" s="13" t="s">
        <v>4364</v>
      </c>
      <c r="L932" s="15">
        <v>20.847999999999999</v>
      </c>
      <c r="M932" s="15">
        <v>38.159999999999997</v>
      </c>
      <c r="N932" s="15">
        <v>4.7779999999999951</v>
      </c>
      <c r="O932" s="15">
        <f>V932-M932</f>
        <v>8.3600000000000065</v>
      </c>
      <c r="P932" s="16">
        <f>N932/L932</f>
        <v>0.22918265541059071</v>
      </c>
      <c r="Q932" s="14">
        <v>846</v>
      </c>
      <c r="R932" s="14"/>
      <c r="S932" s="17">
        <v>1.33159048</v>
      </c>
      <c r="T932" s="15">
        <v>38.159999999999997</v>
      </c>
      <c r="U932" s="15">
        <v>43.73</v>
      </c>
      <c r="V932" s="15">
        <v>46.52</v>
      </c>
      <c r="W932" s="14" t="s">
        <v>255</v>
      </c>
      <c r="X932" s="14">
        <v>1</v>
      </c>
      <c r="Y932" s="10">
        <f>AC932-AB932</f>
        <v>47534</v>
      </c>
      <c r="Z932" s="18">
        <v>26</v>
      </c>
      <c r="AA932" s="18">
        <v>89</v>
      </c>
      <c r="AB932" s="18">
        <v>0</v>
      </c>
      <c r="AC932" s="18">
        <v>47534</v>
      </c>
      <c r="AD932" s="1" t="s">
        <v>4355</v>
      </c>
      <c r="AE932" s="1" t="s">
        <v>4356</v>
      </c>
      <c r="AF932" s="4">
        <v>6.49</v>
      </c>
      <c r="AG932" s="4">
        <v>6.81</v>
      </c>
    </row>
    <row r="933" spans="1:33" ht="47.25" customHeight="1" x14ac:dyDescent="0.25">
      <c r="A933" s="10" t="s">
        <v>1454</v>
      </c>
      <c r="B933" s="11" t="s">
        <v>33</v>
      </c>
      <c r="C933" s="12" t="s">
        <v>1455</v>
      </c>
      <c r="D933" s="27"/>
      <c r="E933" s="14" t="s">
        <v>35</v>
      </c>
      <c r="F933" s="11" t="str">
        <f>HYPERLINK("https://redirect.sdcdeals.com/redirect?destination=https%3A%2F%2Fwww.amazon.com%2Fdp%2FB07FK2Y69W%3Fth%3D1%26psc%3D1%26tag%3Dsdcdeals03-20", "Amazon Link")</f>
        <v>Amazon Link</v>
      </c>
      <c r="G933" s="11" t="s">
        <v>36</v>
      </c>
      <c r="H933" s="14" t="s">
        <v>1456</v>
      </c>
      <c r="I933" s="11" t="str">
        <f>HYPERLINK("https://redirect.sdcdeals.com/redirect?code=763034&amp;mavely=https://mavely.app.link/e/bhESV2wGrGb&amp;destination=https%3A%2F%2Fwww.kohls.com%2Fsearch.jsp%3Fsubmit-search%3Dweb-regular%26search%3D30951252", "Retail Link")</f>
        <v>Retail Link</v>
      </c>
      <c r="J933" s="14" t="s">
        <v>1457</v>
      </c>
      <c r="K933" s="13" t="s">
        <v>1458</v>
      </c>
      <c r="L933" s="15">
        <v>6.4</v>
      </c>
      <c r="M933" s="15">
        <v>16</v>
      </c>
      <c r="N933" s="15">
        <v>1.43</v>
      </c>
      <c r="O933" s="15">
        <f>V933-M933</f>
        <v>-8.9999999999999858E-2</v>
      </c>
      <c r="P933" s="16">
        <f>N933/L933</f>
        <v>0.22343749999999998</v>
      </c>
      <c r="Q933" s="14">
        <v>942997</v>
      </c>
      <c r="R933" s="14"/>
      <c r="S933" s="17">
        <v>1.3007257999999999</v>
      </c>
      <c r="T933" s="15">
        <v>16</v>
      </c>
      <c r="U933" s="15"/>
      <c r="V933" s="15">
        <v>15.91</v>
      </c>
      <c r="W933" s="14" t="s">
        <v>1459</v>
      </c>
      <c r="X933" s="14">
        <v>2</v>
      </c>
      <c r="Y933" s="10">
        <f>AC933-AB933</f>
        <v>13</v>
      </c>
      <c r="Z933" s="18">
        <v>0</v>
      </c>
      <c r="AA933" s="18">
        <v>0</v>
      </c>
      <c r="AB933" s="18"/>
      <c r="AC933" s="18">
        <v>13</v>
      </c>
      <c r="AD933" s="1" t="s">
        <v>1460</v>
      </c>
      <c r="AG933" s="4">
        <v>5.77</v>
      </c>
    </row>
    <row r="934" spans="1:33" ht="47.25" hidden="1" customHeight="1" x14ac:dyDescent="0.25">
      <c r="A934" s="10" t="s">
        <v>5066</v>
      </c>
      <c r="B934" s="11" t="s">
        <v>33</v>
      </c>
      <c r="C934" s="12" t="s">
        <v>5067</v>
      </c>
      <c r="D934" s="27"/>
      <c r="E934" s="14" t="s">
        <v>35</v>
      </c>
      <c r="F934" s="11" t="str">
        <f>HYPERLINK("https://redirect.sdcdeals.com/redirect?destination=https%3A%2F%2Fwww.amazon.com%2Fdp%2FB0CL5LBXGH%3Fth%3D1%26psc%3D1%26tag%3Dsdcdeals03-20", "Amazon Link")</f>
        <v>Amazon Link</v>
      </c>
      <c r="G934" s="11" t="s">
        <v>36</v>
      </c>
      <c r="H934" s="14" t="s">
        <v>5068</v>
      </c>
      <c r="I934" s="11" t="str">
        <f>HYPERLINK("https://redirect.sdcdeals.com/redirect?code=763034&amp;mavely=https://mavely.app.link/e/bhESV2wGrGb&amp;destination=https%3A%2F%2Fwww.kohls.com%2Fsearch.jsp%3Fsubmit-search%3Dweb-regular%26search%3D55860567", "Retail Link")</f>
        <v>Retail Link</v>
      </c>
      <c r="J934" s="14" t="s">
        <v>5064</v>
      </c>
      <c r="K934" s="13" t="s">
        <v>5069</v>
      </c>
      <c r="L934" s="15">
        <v>6.8000000000000007</v>
      </c>
      <c r="M934" s="15">
        <v>16.61</v>
      </c>
      <c r="N934" s="15">
        <v>1.4984999999999979</v>
      </c>
      <c r="O934" s="15">
        <f>V934-M934</f>
        <v>5.3000000000000007</v>
      </c>
      <c r="P934" s="16">
        <f>N934/L934</f>
        <v>0.2203676470588232</v>
      </c>
      <c r="Q934" s="14"/>
      <c r="R934" s="14"/>
      <c r="S934" s="17">
        <v>0.48942564</v>
      </c>
      <c r="T934" s="15">
        <v>16.61</v>
      </c>
      <c r="U934" s="15">
        <v>17.25</v>
      </c>
      <c r="V934" s="15">
        <v>21.91</v>
      </c>
      <c r="W934" s="14" t="s">
        <v>2697</v>
      </c>
      <c r="X934" s="14">
        <v>20</v>
      </c>
      <c r="Y934" s="10">
        <f>AC934-AB934</f>
        <v>0</v>
      </c>
      <c r="Z934" s="18">
        <v>0</v>
      </c>
      <c r="AA934" s="18">
        <v>65</v>
      </c>
      <c r="AB934" s="18">
        <v>0</v>
      </c>
      <c r="AC934" s="18"/>
      <c r="AD934" s="1" t="s">
        <v>1452</v>
      </c>
      <c r="AE934" s="1" t="s">
        <v>5070</v>
      </c>
      <c r="AF934" s="4">
        <v>1.66</v>
      </c>
      <c r="AG934" s="4">
        <v>5.82</v>
      </c>
    </row>
    <row r="935" spans="1:33" ht="47.25" customHeight="1" x14ac:dyDescent="0.25">
      <c r="A935" s="10" t="s">
        <v>5885</v>
      </c>
      <c r="B935" s="11" t="s">
        <v>33</v>
      </c>
      <c r="C935" s="12" t="s">
        <v>5886</v>
      </c>
      <c r="D935" s="27"/>
      <c r="E935" s="14" t="s">
        <v>35</v>
      </c>
      <c r="F935" s="11" t="str">
        <f>HYPERLINK("https://redirect.sdcdeals.com/redirect?destination=https%3A%2F%2Fwww.amazon.com%2Fdp%2FB0CL5RZZ71%3Fth%3D1%26psc%3D1%26tag%3Dsdcdeals03-20", "Amazon Link")</f>
        <v>Amazon Link</v>
      </c>
      <c r="G935" s="11" t="s">
        <v>36</v>
      </c>
      <c r="H935" s="14" t="s">
        <v>5887</v>
      </c>
      <c r="I935" s="11" t="str">
        <f>HYPERLINK("https://redirect.sdcdeals.com/redirect?code=763034&amp;mavely=https://mavely.app.link/e/bhESV2wGrGb&amp;destination=https%3A%2F%2Fwww.kohls.com%2Fsearch.jsp%3Fsubmit-search%3Dweb-regular%26search%3D34133439", "Retail Link")</f>
        <v>Retail Link</v>
      </c>
      <c r="J935" s="14" t="s">
        <v>5878</v>
      </c>
      <c r="K935" s="13" t="s">
        <v>5888</v>
      </c>
      <c r="L935" s="15">
        <v>7.6000000000000014</v>
      </c>
      <c r="M935" s="15">
        <v>14.8</v>
      </c>
      <c r="N935" s="15">
        <v>1.629999999999999</v>
      </c>
      <c r="O935" s="15">
        <f>V935-M935</f>
        <v>1.4299999999999997</v>
      </c>
      <c r="P935" s="16">
        <f>N935/L935</f>
        <v>0.21447368421052615</v>
      </c>
      <c r="Q935" s="14">
        <v>71394</v>
      </c>
      <c r="R935" s="14"/>
      <c r="S935" s="17">
        <v>0.39903622</v>
      </c>
      <c r="T935" s="15">
        <v>14.8</v>
      </c>
      <c r="U935" s="15">
        <v>14.16</v>
      </c>
      <c r="V935" s="15">
        <v>16.23</v>
      </c>
      <c r="W935" s="14" t="s">
        <v>379</v>
      </c>
      <c r="X935" s="14">
        <v>30</v>
      </c>
      <c r="Y935" s="10">
        <f>AC935-AB935</f>
        <v>568</v>
      </c>
      <c r="Z935" s="18">
        <v>13</v>
      </c>
      <c r="AA935" s="18">
        <v>89</v>
      </c>
      <c r="AB935" s="18">
        <v>1</v>
      </c>
      <c r="AC935" s="18">
        <v>569</v>
      </c>
      <c r="AD935" s="1" t="s">
        <v>1452</v>
      </c>
      <c r="AE935" s="1" t="s">
        <v>5880</v>
      </c>
      <c r="AF935" s="4">
        <v>1.48</v>
      </c>
      <c r="AG935" s="4">
        <v>3.35</v>
      </c>
    </row>
    <row r="936" spans="1:33" ht="47.25" customHeight="1" x14ac:dyDescent="0.25">
      <c r="A936" s="10" t="s">
        <v>3265</v>
      </c>
      <c r="B936" s="11" t="s">
        <v>33</v>
      </c>
      <c r="C936" s="12" t="s">
        <v>3266</v>
      </c>
      <c r="D936" s="27"/>
      <c r="E936" s="14" t="s">
        <v>35</v>
      </c>
      <c r="F936" s="11" t="str">
        <f>HYPERLINK("https://redirect.sdcdeals.com/redirect?destination=https%3A%2F%2Fwww.amazon.com%2Fdp%2FB0893SHLHF%3Fth%3D1%26psc%3D1%26tag%3Dsdcdeals03-20", "Amazon Link")</f>
        <v>Amazon Link</v>
      </c>
      <c r="G936" s="11" t="s">
        <v>36</v>
      </c>
      <c r="H936" s="14" t="s">
        <v>3267</v>
      </c>
      <c r="I936" s="11" t="str">
        <f>HYPERLINK("https://redirect.sdcdeals.com/redirect?code=763034&amp;mavely=https://mavely.app.link/e/bhESV2wGrGb&amp;destination=https%3A%2F%2Fwww.kohls.com%2Fsearch.jsp%3Fsubmit-search%3Dweb-regular%26search%3D30091066", "Retail Link")</f>
        <v>Retail Link</v>
      </c>
      <c r="J936" s="14" t="s">
        <v>3262</v>
      </c>
      <c r="K936" s="13" t="s">
        <v>3268</v>
      </c>
      <c r="L936" s="15">
        <v>8.4</v>
      </c>
      <c r="M936" s="15">
        <v>15.89</v>
      </c>
      <c r="N936" s="15">
        <v>1.7565000000000011</v>
      </c>
      <c r="O936" s="15">
        <f>V936-M936</f>
        <v>0.42999999999999972</v>
      </c>
      <c r="P936" s="16">
        <f>N936/L936</f>
        <v>0.20910714285714296</v>
      </c>
      <c r="Q936" s="14">
        <v>29984</v>
      </c>
      <c r="R936" s="14"/>
      <c r="S936" s="17">
        <v>0.28660059999999998</v>
      </c>
      <c r="T936" s="15">
        <v>15</v>
      </c>
      <c r="U936" s="15">
        <v>16.36</v>
      </c>
      <c r="V936" s="15">
        <v>16.32</v>
      </c>
      <c r="W936" s="14" t="s">
        <v>588</v>
      </c>
      <c r="X936" s="14">
        <v>4</v>
      </c>
      <c r="Y936" s="10">
        <f>AC936-AB936</f>
        <v>809</v>
      </c>
      <c r="Z936" s="18">
        <v>50</v>
      </c>
      <c r="AA936" s="18">
        <v>128</v>
      </c>
      <c r="AB936" s="18">
        <v>17</v>
      </c>
      <c r="AC936" s="18">
        <v>826</v>
      </c>
      <c r="AD936" s="1" t="s">
        <v>3264</v>
      </c>
      <c r="AE936" s="1" t="s">
        <v>3269</v>
      </c>
      <c r="AF936" s="4">
        <v>1.59</v>
      </c>
      <c r="AG936" s="4">
        <v>3.35</v>
      </c>
    </row>
    <row r="937" spans="1:33" ht="47.25" customHeight="1" x14ac:dyDescent="0.25">
      <c r="A937" s="10" t="s">
        <v>3270</v>
      </c>
      <c r="B937" s="11" t="s">
        <v>33</v>
      </c>
      <c r="C937" s="12" t="s">
        <v>3271</v>
      </c>
      <c r="D937" s="27"/>
      <c r="E937" s="14" t="s">
        <v>35</v>
      </c>
      <c r="F937" s="11" t="str">
        <f>HYPERLINK("https://redirect.sdcdeals.com/redirect?destination=https%3A%2F%2Fwww.amazon.com%2Fdp%2FB08MR24NC4%3Fth%3D1%26psc%3D1%26tag%3Dsdcdeals03-20", "Amazon Link")</f>
        <v>Amazon Link</v>
      </c>
      <c r="G937" s="11" t="s">
        <v>36</v>
      </c>
      <c r="H937" s="14" t="s">
        <v>3272</v>
      </c>
      <c r="I937" s="11" t="str">
        <f>HYPERLINK("https://redirect.sdcdeals.com/redirect?code=763034&amp;mavely=https://mavely.app.link/e/bhESV2wGrGb&amp;destination=https%3A%2F%2Fwww.kohls.com%2Fsearch.jsp%3Fsubmit-search%3Dweb-regular%26search%3D54082765", "Retail Link")</f>
        <v>Retail Link</v>
      </c>
      <c r="J937" s="14" t="s">
        <v>3262</v>
      </c>
      <c r="K937" s="13" t="s">
        <v>3273</v>
      </c>
      <c r="L937" s="15">
        <v>8.4</v>
      </c>
      <c r="M937" s="15">
        <v>15.89</v>
      </c>
      <c r="N937" s="15">
        <v>1.7565000000000011</v>
      </c>
      <c r="O937" s="15">
        <f>V937-M937</f>
        <v>3.34</v>
      </c>
      <c r="P937" s="16">
        <f>N937/L937</f>
        <v>0.20910714285714296</v>
      </c>
      <c r="Q937" s="14">
        <v>29984</v>
      </c>
      <c r="R937" s="14"/>
      <c r="S937" s="17">
        <v>0.30644218000000001</v>
      </c>
      <c r="T937" s="15">
        <v>15.89</v>
      </c>
      <c r="U937" s="15">
        <v>17.2</v>
      </c>
      <c r="V937" s="15">
        <v>19.23</v>
      </c>
      <c r="W937" s="14" t="s">
        <v>240</v>
      </c>
      <c r="X937" s="14">
        <v>8</v>
      </c>
      <c r="Y937" s="10">
        <f>AC937-AB937</f>
        <v>802</v>
      </c>
      <c r="Z937" s="18">
        <v>48</v>
      </c>
      <c r="AA937" s="18">
        <v>134</v>
      </c>
      <c r="AB937" s="18">
        <v>24</v>
      </c>
      <c r="AC937" s="18">
        <v>826</v>
      </c>
      <c r="AD937" s="1" t="s">
        <v>3264</v>
      </c>
      <c r="AE937" s="1" t="s">
        <v>2681</v>
      </c>
      <c r="AF937" s="4">
        <v>1.59</v>
      </c>
      <c r="AG937" s="4">
        <v>3.35</v>
      </c>
    </row>
    <row r="938" spans="1:33" ht="47.25" customHeight="1" x14ac:dyDescent="0.25">
      <c r="A938" s="10" t="s">
        <v>1786</v>
      </c>
      <c r="B938" s="11" t="s">
        <v>33</v>
      </c>
      <c r="C938" s="12" t="s">
        <v>1787</v>
      </c>
      <c r="D938" s="27"/>
      <c r="E938" s="14" t="s">
        <v>35</v>
      </c>
      <c r="F938" s="11" t="str">
        <f>HYPERLINK("https://redirect.sdcdeals.com/redirect?destination=https%3A%2F%2Fwww.amazon.com%2Fdp%2FB0BJ6DNDS3%3Fth%3D1%26psc%3D1%26tag%3Dsdcdeals03-20", "Amazon Link")</f>
        <v>Amazon Link</v>
      </c>
      <c r="G938" s="11" t="s">
        <v>36</v>
      </c>
      <c r="H938" s="14" t="s">
        <v>1788</v>
      </c>
      <c r="I938" s="11" t="str">
        <f>HYPERLINK("https://redirect.sdcdeals.com/redirect?code=763034&amp;mavely=https://mavely.app.link/e/bhESV2wGrGb&amp;destination=https%3A%2F%2Fwww.kohls.com%2Fsearch.jsp%3Fsubmit-search%3Dweb-regular%26search%3D79062525", "Retail Link")</f>
        <v>Retail Link</v>
      </c>
      <c r="J938" s="14" t="s">
        <v>1732</v>
      </c>
      <c r="K938" s="13" t="s">
        <v>1789</v>
      </c>
      <c r="L938" s="15">
        <v>14</v>
      </c>
      <c r="M938" s="15">
        <v>26.76</v>
      </c>
      <c r="N938" s="15">
        <v>2.9260000000000019</v>
      </c>
      <c r="O938" s="15">
        <f>V938-M938</f>
        <v>15.319999999999997</v>
      </c>
      <c r="P938" s="16">
        <f>N938/L938</f>
        <v>0.20900000000000013</v>
      </c>
      <c r="Q938" s="14">
        <v>37317</v>
      </c>
      <c r="R938" s="14"/>
      <c r="S938" s="17">
        <v>0.95019122</v>
      </c>
      <c r="T938" s="15">
        <v>26.76</v>
      </c>
      <c r="U938" s="15">
        <v>41.01</v>
      </c>
      <c r="V938" s="15">
        <v>42.08</v>
      </c>
      <c r="W938" s="14" t="s">
        <v>1790</v>
      </c>
      <c r="X938" s="14">
        <v>3</v>
      </c>
      <c r="Y938" s="10">
        <f>AC938-AB938</f>
        <v>70</v>
      </c>
      <c r="Z938" s="18">
        <v>51</v>
      </c>
      <c r="AA938" s="18">
        <v>105</v>
      </c>
      <c r="AB938" s="18">
        <v>2</v>
      </c>
      <c r="AC938" s="18">
        <v>72</v>
      </c>
      <c r="AD938" s="1" t="s">
        <v>1735</v>
      </c>
      <c r="AE938" s="1" t="s">
        <v>1736</v>
      </c>
      <c r="AG938" s="4">
        <v>5.82</v>
      </c>
    </row>
    <row r="939" spans="1:33" ht="47.25" customHeight="1" x14ac:dyDescent="0.25">
      <c r="A939" s="10" t="s">
        <v>3782</v>
      </c>
      <c r="B939" s="11" t="s">
        <v>33</v>
      </c>
      <c r="C939" s="12" t="s">
        <v>3783</v>
      </c>
      <c r="D939" s="27"/>
      <c r="E939" s="14" t="s">
        <v>35</v>
      </c>
      <c r="F939" s="11" t="str">
        <f>HYPERLINK("https://redirect.sdcdeals.com/redirect?destination=https%3A%2F%2Fwww.amazon.com%2Fdp%2FB0CD3236NJ%3Fth%3D1%26psc%3D1%26tag%3Dsdcdeals03-20", "Amazon Link")</f>
        <v>Amazon Link</v>
      </c>
      <c r="G939" s="11" t="s">
        <v>36</v>
      </c>
      <c r="H939" s="14" t="s">
        <v>3784</v>
      </c>
      <c r="I939" s="11" t="str">
        <f>HYPERLINK("https://redirect.sdcdeals.com/redirect?code=763034&amp;mavely=https://mavely.app.link/e/bhESV2wGrGb&amp;destination=https%3A%2F%2Fwww.kohls.com%2Fsearch.jsp%3Fsubmit-search%3Dweb-regular%26search%3D65922429", "Retail Link")</f>
        <v>Retail Link</v>
      </c>
      <c r="J939" s="14" t="s">
        <v>3785</v>
      </c>
      <c r="K939" s="13" t="s">
        <v>3786</v>
      </c>
      <c r="L939" s="15">
        <v>7.56</v>
      </c>
      <c r="M939" s="15">
        <v>19.239999999999998</v>
      </c>
      <c r="N939" s="15">
        <v>1.5539999999999989</v>
      </c>
      <c r="O939" s="15">
        <f>V939-M939</f>
        <v>0.49000000000000199</v>
      </c>
      <c r="P939" s="16">
        <f>N939/L939</f>
        <v>0.20555555555555544</v>
      </c>
      <c r="Q939" s="14">
        <v>504786</v>
      </c>
      <c r="R939" s="14"/>
      <c r="S939" s="17">
        <v>0.76941238000000001</v>
      </c>
      <c r="T939" s="15">
        <v>19.239999999999998</v>
      </c>
      <c r="U939" s="15">
        <v>19.47</v>
      </c>
      <c r="V939" s="15">
        <v>19.73</v>
      </c>
      <c r="W939" s="14" t="s">
        <v>342</v>
      </c>
      <c r="X939" s="14">
        <v>2</v>
      </c>
      <c r="Y939" s="10">
        <f>AC939-AB939</f>
        <v>148</v>
      </c>
      <c r="Z939" s="18">
        <v>11</v>
      </c>
      <c r="AA939" s="18">
        <v>30</v>
      </c>
      <c r="AB939" s="18">
        <v>1</v>
      </c>
      <c r="AC939" s="18">
        <v>149</v>
      </c>
      <c r="AD939" s="1" t="s">
        <v>3787</v>
      </c>
      <c r="AE939" s="1" t="s">
        <v>3788</v>
      </c>
      <c r="AF939" s="4">
        <v>2.89</v>
      </c>
      <c r="AG939" s="4">
        <v>7.24</v>
      </c>
    </row>
    <row r="940" spans="1:33" ht="47.25" customHeight="1" x14ac:dyDescent="0.25">
      <c r="A940" s="10" t="s">
        <v>760</v>
      </c>
      <c r="B940" s="11" t="s">
        <v>33</v>
      </c>
      <c r="C940" s="12" t="s">
        <v>761</v>
      </c>
      <c r="D940" s="27"/>
      <c r="E940" s="14" t="s">
        <v>35</v>
      </c>
      <c r="F940" s="11" t="str">
        <f>HYPERLINK("https://redirect.sdcdeals.com/redirect?destination=https%3A%2F%2Fwww.amazon.com%2Fdp%2FB0BH8R73R5%3Fth%3D1%26psc%3D1%26tag%3Dsdcdeals03-20", "Amazon Link")</f>
        <v>Amazon Link</v>
      </c>
      <c r="G940" s="11" t="s">
        <v>36</v>
      </c>
      <c r="H940" s="14" t="s">
        <v>762</v>
      </c>
      <c r="I940" s="11" t="str">
        <f>HYPERLINK("https://redirect.sdcdeals.com/redirect?code=763034&amp;mavely=https://mavely.app.link/e/bhESV2wGrGb&amp;destination=https%3A%2F%2Fwww.kohls.com%2Fsearch.jsp%3Fsubmit-search%3Dweb-regular%26search%3D37267340", "Retail Link")</f>
        <v>Retail Link</v>
      </c>
      <c r="J940" s="14" t="s">
        <v>763</v>
      </c>
      <c r="K940" s="13" t="s">
        <v>764</v>
      </c>
      <c r="L940" s="15">
        <v>7.8000000000000007</v>
      </c>
      <c r="M940" s="15">
        <v>18</v>
      </c>
      <c r="N940" s="15">
        <v>1.5999999999999981</v>
      </c>
      <c r="O940" s="15">
        <f>V940-M940</f>
        <v>3.5599999999999987</v>
      </c>
      <c r="P940" s="16">
        <f>N940/L940</f>
        <v>0.20512820512820487</v>
      </c>
      <c r="Q940" s="14">
        <v>9902095</v>
      </c>
      <c r="R940" s="14"/>
      <c r="S940" s="17">
        <v>0.33069300000000001</v>
      </c>
      <c r="T940" s="15">
        <v>16.82</v>
      </c>
      <c r="U940" s="15">
        <v>21.38</v>
      </c>
      <c r="V940" s="15">
        <v>21.56</v>
      </c>
      <c r="W940" s="14" t="s">
        <v>715</v>
      </c>
      <c r="X940" s="14">
        <v>6</v>
      </c>
      <c r="Y940" s="10">
        <f>AC940-AB940</f>
        <v>0</v>
      </c>
      <c r="Z940" s="18">
        <v>0</v>
      </c>
      <c r="AA940" s="18">
        <v>0</v>
      </c>
      <c r="AB940" s="18">
        <v>0</v>
      </c>
      <c r="AC940" s="18"/>
      <c r="AD940" s="1" t="s">
        <v>765</v>
      </c>
      <c r="AE940" s="1" t="s">
        <v>278</v>
      </c>
      <c r="AF940" s="4">
        <v>1.8</v>
      </c>
      <c r="AG940" s="4">
        <v>5.9</v>
      </c>
    </row>
    <row r="941" spans="1:33" ht="47.25" customHeight="1" x14ac:dyDescent="0.25">
      <c r="A941" s="10" t="s">
        <v>4527</v>
      </c>
      <c r="B941" s="11" t="s">
        <v>33</v>
      </c>
      <c r="C941" s="12" t="s">
        <v>4528</v>
      </c>
      <c r="D941" s="27"/>
      <c r="E941" s="14" t="s">
        <v>35</v>
      </c>
      <c r="F941" s="11" t="str">
        <f>HYPERLINK("https://redirect.sdcdeals.com/redirect?destination=https%3A%2F%2Fwww.amazon.com%2Fdp%2FB0B1KF7N3W%3Fth%3D1%26psc%3D1%26tag%3Dsdcdeals03-20", "Amazon Link")</f>
        <v>Amazon Link</v>
      </c>
      <c r="G941" s="11" t="s">
        <v>36</v>
      </c>
      <c r="H941" s="14" t="s">
        <v>4529</v>
      </c>
      <c r="I941" s="11" t="str">
        <f>HYPERLINK("https://redirect.sdcdeals.com/redirect?code=763034&amp;mavely=https://mavely.app.link/e/bhESV2wGrGb&amp;destination=https%3A%2F%2Fwww.kohls.com%2Fsearch.jsp%3Fsubmit-search%3Dweb-regular%26search%3D68949328", "Retail Link")</f>
        <v>Retail Link</v>
      </c>
      <c r="J941" s="14" t="s">
        <v>4347</v>
      </c>
      <c r="K941" s="13" t="s">
        <v>4530</v>
      </c>
      <c r="L941" s="15">
        <v>20.847999999999999</v>
      </c>
      <c r="M941" s="15">
        <v>37.93</v>
      </c>
      <c r="N941" s="15">
        <v>4.1524999999999963</v>
      </c>
      <c r="O941" s="15">
        <f>V941-M941</f>
        <v>8.259999999999998</v>
      </c>
      <c r="P941" s="16">
        <f>N941/L941</f>
        <v>0.19917977743668441</v>
      </c>
      <c r="Q941" s="14">
        <v>846</v>
      </c>
      <c r="R941" s="14"/>
      <c r="S941" s="17">
        <v>1.6997620200000001</v>
      </c>
      <c r="T941" s="15">
        <v>37.93</v>
      </c>
      <c r="U941" s="15">
        <v>41.72</v>
      </c>
      <c r="V941" s="15">
        <v>46.19</v>
      </c>
      <c r="W941" s="14" t="s">
        <v>106</v>
      </c>
      <c r="X941" s="14">
        <v>1</v>
      </c>
      <c r="Y941" s="10">
        <f>AC941-AB941</f>
        <v>47604</v>
      </c>
      <c r="Z941" s="18">
        <v>44</v>
      </c>
      <c r="AA941" s="18">
        <v>131</v>
      </c>
      <c r="AB941" s="18">
        <v>0</v>
      </c>
      <c r="AC941" s="18">
        <v>47604</v>
      </c>
      <c r="AD941" s="1" t="s">
        <v>4355</v>
      </c>
      <c r="AE941" s="1" t="s">
        <v>4356</v>
      </c>
      <c r="AF941" s="4">
        <v>6.45</v>
      </c>
      <c r="AG941" s="4">
        <v>7.24</v>
      </c>
    </row>
    <row r="942" spans="1:33" ht="47.25" customHeight="1" x14ac:dyDescent="0.25">
      <c r="A942" s="10" t="s">
        <v>1045</v>
      </c>
      <c r="B942" s="11" t="s">
        <v>33</v>
      </c>
      <c r="C942" s="12" t="s">
        <v>1046</v>
      </c>
      <c r="D942" s="27"/>
      <c r="E942" s="14" t="s">
        <v>35</v>
      </c>
      <c r="F942" s="11" t="str">
        <f>HYPERLINK("https://redirect.sdcdeals.com/redirect?destination=https%3A%2F%2Fwww.amazon.com%2Fdp%2FB0C3WF1P34%3Fth%3D1%26psc%3D1%26tag%3Dsdcdeals03-20", "Amazon Link")</f>
        <v>Amazon Link</v>
      </c>
      <c r="G942" s="11" t="s">
        <v>36</v>
      </c>
      <c r="H942" s="14" t="s">
        <v>1047</v>
      </c>
      <c r="I942" s="11" t="str">
        <f>HYPERLINK("https://redirect.sdcdeals.com/redirect?code=763034&amp;mavely=https://mavely.app.link/e/bhESV2wGrGb&amp;destination=https%3A%2F%2Fwww.kohls.com%2Fsearch.jsp%3Fsubmit-search%3Dweb-regular%26search%3D80298256", "Retail Link")</f>
        <v>Retail Link</v>
      </c>
      <c r="J942" s="14" t="s">
        <v>1042</v>
      </c>
      <c r="K942" s="13" t="s">
        <v>1048</v>
      </c>
      <c r="L942" s="15">
        <v>12</v>
      </c>
      <c r="M942" s="15">
        <v>23.83</v>
      </c>
      <c r="N942" s="15">
        <v>2.355499999999997</v>
      </c>
      <c r="O942" s="15">
        <f>V942-M942</f>
        <v>3.2300000000000004</v>
      </c>
      <c r="P942" s="16">
        <f>N942/L942</f>
        <v>0.19629166666666642</v>
      </c>
      <c r="Q942" s="14">
        <v>1392758</v>
      </c>
      <c r="R942" s="14"/>
      <c r="S942" s="17">
        <v>0.63933980000000001</v>
      </c>
      <c r="T942" s="15">
        <v>23.83</v>
      </c>
      <c r="U942" s="15">
        <v>25.89</v>
      </c>
      <c r="V942" s="15">
        <v>27.06</v>
      </c>
      <c r="W942" s="14" t="s">
        <v>613</v>
      </c>
      <c r="X942" s="14">
        <v>1</v>
      </c>
      <c r="Y942" s="10">
        <f>AC942-AB942</f>
        <v>0</v>
      </c>
      <c r="Z942" s="18">
        <v>9</v>
      </c>
      <c r="AA942" s="18">
        <v>23</v>
      </c>
      <c r="AB942" s="18"/>
      <c r="AC942" s="18"/>
      <c r="AD942" s="1" t="s">
        <v>1044</v>
      </c>
      <c r="AE942" s="1" t="s">
        <v>935</v>
      </c>
      <c r="AF942" s="4">
        <v>4.05</v>
      </c>
      <c r="AG942" s="4">
        <v>5.9</v>
      </c>
    </row>
    <row r="943" spans="1:33" ht="47.25" customHeight="1" x14ac:dyDescent="0.25">
      <c r="A943" s="10" t="s">
        <v>716</v>
      </c>
      <c r="B943" s="11" t="s">
        <v>33</v>
      </c>
      <c r="C943" s="12" t="s">
        <v>717</v>
      </c>
      <c r="D943" s="27"/>
      <c r="E943" s="14" t="s">
        <v>35</v>
      </c>
      <c r="F943" s="11" t="str">
        <f>HYPERLINK("https://redirect.sdcdeals.com/redirect?destination=https%3A%2F%2Fwww.amazon.com%2Fdp%2FB0BFTNNYL8%3Fth%3D1%26psc%3D1%26tag%3Dsdcdeals03-20", "Amazon Link")</f>
        <v>Amazon Link</v>
      </c>
      <c r="G943" s="11" t="s">
        <v>36</v>
      </c>
      <c r="H943" s="14" t="s">
        <v>718</v>
      </c>
      <c r="I943" s="11" t="str">
        <f>HYPERLINK("https://redirect.sdcdeals.com/redirect?code=763034&amp;mavely=https://mavely.app.link/e/bhESV2wGrGb&amp;destination=https%3A%2F%2Fwww.kohls.com%2Fsearch.jsp%3Fsubmit-search%3Dweb-regular%26search%3D20255790", "Retail Link")</f>
        <v>Retail Link</v>
      </c>
      <c r="J943" s="14" t="s">
        <v>696</v>
      </c>
      <c r="K943" s="13" t="s">
        <v>719</v>
      </c>
      <c r="L943" s="15">
        <v>44.095999999999997</v>
      </c>
      <c r="M943" s="15">
        <v>79.42</v>
      </c>
      <c r="N943" s="15">
        <v>8.4810000000000088</v>
      </c>
      <c r="O943" s="15">
        <f>V943-M943</f>
        <v>4.3100000000000023</v>
      </c>
      <c r="P943" s="16">
        <f>N943/L943</f>
        <v>0.19233037010159673</v>
      </c>
      <c r="Q943" s="14">
        <v>3328345</v>
      </c>
      <c r="R943" s="14"/>
      <c r="S943" s="17">
        <v>1.3382043400000001</v>
      </c>
      <c r="T943" s="15">
        <v>79.42</v>
      </c>
      <c r="U943" s="15">
        <v>84.21</v>
      </c>
      <c r="V943" s="15">
        <v>83.73</v>
      </c>
      <c r="W943" s="14" t="s">
        <v>720</v>
      </c>
      <c r="X943" s="14">
        <v>1</v>
      </c>
      <c r="Y943" s="10">
        <f>AC943-AB943</f>
        <v>2</v>
      </c>
      <c r="Z943" s="18">
        <v>2</v>
      </c>
      <c r="AA943" s="18">
        <v>4</v>
      </c>
      <c r="AB943" s="18">
        <v>0</v>
      </c>
      <c r="AC943" s="18">
        <v>2</v>
      </c>
      <c r="AD943" s="1" t="s">
        <v>699</v>
      </c>
      <c r="AE943" s="1" t="s">
        <v>710</v>
      </c>
      <c r="AF943" s="4">
        <v>13.5</v>
      </c>
      <c r="AG943" s="4">
        <v>14.93</v>
      </c>
    </row>
    <row r="944" spans="1:33" ht="47.25" customHeight="1" x14ac:dyDescent="0.25">
      <c r="A944" s="10" t="s">
        <v>1986</v>
      </c>
      <c r="B944" s="11" t="s">
        <v>33</v>
      </c>
      <c r="C944" s="12" t="s">
        <v>1987</v>
      </c>
      <c r="D944" s="27"/>
      <c r="E944" s="14" t="s">
        <v>35</v>
      </c>
      <c r="F944" s="11" t="str">
        <f>HYPERLINK("https://redirect.sdcdeals.com/redirect?destination=https%3A%2F%2Fwww.amazon.com%2Fdp%2FB0883NYCBT%3Fth%3D1%26psc%3D1%26tag%3Dsdcdeals03-20", "Amazon Link")</f>
        <v>Amazon Link</v>
      </c>
      <c r="G944" s="11" t="s">
        <v>36</v>
      </c>
      <c r="H944" s="14" t="s">
        <v>1988</v>
      </c>
      <c r="I944" s="11" t="str">
        <f>HYPERLINK("https://redirect.sdcdeals.com/redirect?code=763034&amp;mavely=https://mavely.app.link/e/bhESV2wGrGb&amp;destination=https%3A%2F%2Fwww.kohls.com%2Fsearch.jsp%3Fsubmit-search%3Dweb-regular%26search%3D64129110", "Retail Link")</f>
        <v>Retail Link</v>
      </c>
      <c r="J944" s="14" t="s">
        <v>1963</v>
      </c>
      <c r="K944" s="13" t="s">
        <v>1989</v>
      </c>
      <c r="L944" s="15">
        <v>9.6000000000000014</v>
      </c>
      <c r="M944" s="15">
        <v>19.47</v>
      </c>
      <c r="N944" s="15">
        <v>1.8294999999999959</v>
      </c>
      <c r="O944" s="15">
        <f>V944-M944</f>
        <v>21.130000000000003</v>
      </c>
      <c r="P944" s="16">
        <f>N944/L944</f>
        <v>0.1905729166666662</v>
      </c>
      <c r="Q944" s="14">
        <v>36182</v>
      </c>
      <c r="R944" s="14"/>
      <c r="S944" s="17">
        <v>0.89948496</v>
      </c>
      <c r="T944" s="15">
        <v>19.47</v>
      </c>
      <c r="U944" s="15">
        <v>40.6</v>
      </c>
      <c r="V944" s="15">
        <v>40.6</v>
      </c>
      <c r="W944" s="14" t="s">
        <v>282</v>
      </c>
      <c r="X944" s="14">
        <v>2</v>
      </c>
      <c r="Y944" s="10">
        <f>AC944-AB944</f>
        <v>4814</v>
      </c>
      <c r="Z944" s="18">
        <v>64</v>
      </c>
      <c r="AA944" s="18">
        <v>137</v>
      </c>
      <c r="AB944" s="18">
        <v>77</v>
      </c>
      <c r="AC944" s="18">
        <v>4891</v>
      </c>
      <c r="AD944" s="1" t="s">
        <v>1966</v>
      </c>
      <c r="AE944" s="1" t="s">
        <v>1967</v>
      </c>
      <c r="AG944" s="4">
        <v>5.12</v>
      </c>
    </row>
    <row r="945" spans="1:33" ht="47.25" customHeight="1" x14ac:dyDescent="0.25">
      <c r="A945" s="10" t="s">
        <v>1115</v>
      </c>
      <c r="B945" s="11" t="s">
        <v>33</v>
      </c>
      <c r="C945" s="12" t="s">
        <v>1116</v>
      </c>
      <c r="D945" s="27"/>
      <c r="E945" s="14" t="s">
        <v>35</v>
      </c>
      <c r="F945" s="11" t="str">
        <f>HYPERLINK("https://redirect.sdcdeals.com/redirect?destination=https%3A%2F%2Fwww.amazon.com%2Fdp%2FB09JNJYSCW%3Fth%3D1%26psc%3D1%26tag%3Dsdcdeals03-20", "Amazon Link")</f>
        <v>Amazon Link</v>
      </c>
      <c r="G945" s="11" t="s">
        <v>36</v>
      </c>
      <c r="H945" s="14" t="s">
        <v>1117</v>
      </c>
      <c r="I945" s="11" t="str">
        <f>HYPERLINK("https://redirect.sdcdeals.com/redirect?code=763034&amp;mavely=https://mavely.app.link/e/bhESV2wGrGb&amp;destination=https%3A%2F%2Fwww.kohls.com%2Fsearch.jsp%3Fsubmit-search%3Dweb-regular%26search%3D33476470", "Retail Link")</f>
        <v>Retail Link</v>
      </c>
      <c r="J945" s="14" t="s">
        <v>1118</v>
      </c>
      <c r="K945" s="13" t="s">
        <v>1119</v>
      </c>
      <c r="L945" s="15">
        <v>18</v>
      </c>
      <c r="M945" s="15">
        <v>33.22</v>
      </c>
      <c r="N945" s="15">
        <v>3.427</v>
      </c>
      <c r="O945" s="15">
        <f>V945-M945</f>
        <v>2.1200000000000045</v>
      </c>
      <c r="P945" s="16">
        <f>N945/L945</f>
        <v>0.19038888888888889</v>
      </c>
      <c r="Q945" s="14">
        <v>98250</v>
      </c>
      <c r="R945" s="14"/>
      <c r="S945" s="17">
        <v>0.68343220000000005</v>
      </c>
      <c r="T945" s="15">
        <v>33.22</v>
      </c>
      <c r="U945" s="15">
        <v>33.32</v>
      </c>
      <c r="V945" s="15">
        <v>35.340000000000003</v>
      </c>
      <c r="W945" s="14" t="s">
        <v>698</v>
      </c>
      <c r="X945" s="14">
        <v>19</v>
      </c>
      <c r="Y945" s="10">
        <f>AC945-AB945</f>
        <v>0</v>
      </c>
      <c r="Z945" s="18">
        <v>17</v>
      </c>
      <c r="AA945" s="18">
        <v>56</v>
      </c>
      <c r="AB945" s="18">
        <v>2</v>
      </c>
      <c r="AC945" s="18">
        <v>2</v>
      </c>
      <c r="AD945" s="1" t="s">
        <v>1120</v>
      </c>
      <c r="AE945" s="1" t="s">
        <v>153</v>
      </c>
      <c r="AF945" s="4">
        <v>5.65</v>
      </c>
      <c r="AG945" s="4">
        <v>6.81</v>
      </c>
    </row>
    <row r="946" spans="1:33" ht="47.25" customHeight="1" x14ac:dyDescent="0.25">
      <c r="A946" s="10" t="s">
        <v>4170</v>
      </c>
      <c r="B946" s="11" t="s">
        <v>33</v>
      </c>
      <c r="C946" s="12" t="s">
        <v>4171</v>
      </c>
      <c r="D946" s="27"/>
      <c r="E946" s="14" t="s">
        <v>35</v>
      </c>
      <c r="F946" s="11" t="str">
        <f>HYPERLINK("https://redirect.sdcdeals.com/redirect?destination=https%3A%2F%2Fwww.amazon.com%2Fdp%2FB0C46SB3BT%3Fth%3D1%26psc%3D1%26tag%3Dsdcdeals03-20", "Amazon Link")</f>
        <v>Amazon Link</v>
      </c>
      <c r="G946" s="11" t="s">
        <v>36</v>
      </c>
      <c r="H946" s="14" t="s">
        <v>4172</v>
      </c>
      <c r="I946" s="11" t="str">
        <f>HYPERLINK("https://redirect.sdcdeals.com/redirect?code=763034&amp;mavely=https://mavely.app.link/e/bhESV2wGrGb&amp;destination=https%3A%2F%2Fwww.kohls.com%2Fsearch.jsp%3Fsubmit-search%3Dweb-regular%26search%3D70276809", "Retail Link")</f>
        <v>Retail Link</v>
      </c>
      <c r="J946" s="14" t="s">
        <v>4173</v>
      </c>
      <c r="K946" s="13" t="s">
        <v>4174</v>
      </c>
      <c r="L946" s="15">
        <v>8.32</v>
      </c>
      <c r="M946" s="15">
        <v>17.579999999999998</v>
      </c>
      <c r="N946" s="15">
        <v>1.5729999999999971</v>
      </c>
      <c r="O946" s="15">
        <f>V946-M946</f>
        <v>5.0300000000000011</v>
      </c>
      <c r="P946" s="16">
        <f>N946/L946</f>
        <v>0.18906249999999963</v>
      </c>
      <c r="Q946" s="14">
        <v>166733</v>
      </c>
      <c r="R946" s="14"/>
      <c r="S946" s="17">
        <v>0.31085141999999999</v>
      </c>
      <c r="T946" s="15">
        <v>17.579999999999998</v>
      </c>
      <c r="U946" s="15">
        <v>24.92</v>
      </c>
      <c r="V946" s="15">
        <v>22.61</v>
      </c>
      <c r="W946" s="14" t="s">
        <v>1811</v>
      </c>
      <c r="X946" s="14">
        <v>11</v>
      </c>
      <c r="Y946" s="10">
        <f>AC946-AB946</f>
        <v>646</v>
      </c>
      <c r="Z946" s="18">
        <v>34</v>
      </c>
      <c r="AA946" s="18">
        <v>105</v>
      </c>
      <c r="AB946" s="18">
        <v>4</v>
      </c>
      <c r="AC946" s="18">
        <v>650</v>
      </c>
      <c r="AD946" s="1" t="s">
        <v>4175</v>
      </c>
      <c r="AE946" s="1" t="s">
        <v>4176</v>
      </c>
      <c r="AG946" s="4">
        <v>5.05</v>
      </c>
    </row>
    <row r="947" spans="1:33" ht="47.25" customHeight="1" x14ac:dyDescent="0.25">
      <c r="A947" s="10" t="s">
        <v>3001</v>
      </c>
      <c r="B947" s="11" t="s">
        <v>33</v>
      </c>
      <c r="C947" s="12" t="s">
        <v>3002</v>
      </c>
      <c r="D947" s="27"/>
      <c r="E947" s="14" t="s">
        <v>35</v>
      </c>
      <c r="F947" s="11" t="str">
        <f>HYPERLINK("https://redirect.sdcdeals.com/redirect?destination=https%3A%2F%2Fwww.amazon.com%2Fdp%2FB09B69QQZK%3Fth%3D1%26psc%3D1%26tag%3Dsdcdeals03-20", "Amazon Link")</f>
        <v>Amazon Link</v>
      </c>
      <c r="G947" s="11" t="s">
        <v>36</v>
      </c>
      <c r="H947" s="14" t="s">
        <v>3003</v>
      </c>
      <c r="I947" s="11" t="str">
        <f>HYPERLINK("https://redirect.sdcdeals.com/redirect?code=763034&amp;mavely=https://mavely.app.link/e/bhESV2wGrGb&amp;destination=https%3A%2F%2Fwww.kohls.com%2Fsearch.jsp%3Fsubmit-search%3Dweb-regular%26search%3D30476615", "Retail Link")</f>
        <v>Retail Link</v>
      </c>
      <c r="J947" s="14" t="s">
        <v>2989</v>
      </c>
      <c r="K947" s="13" t="s">
        <v>3004</v>
      </c>
      <c r="L947" s="15">
        <v>11.52</v>
      </c>
      <c r="M947" s="15">
        <v>24.92</v>
      </c>
      <c r="N947" s="15">
        <v>2.162000000000003</v>
      </c>
      <c r="O947" s="15">
        <f>V947-M947</f>
        <v>7.7800000000000011</v>
      </c>
      <c r="P947" s="16">
        <f>N947/L947</f>
        <v>0.18767361111111139</v>
      </c>
      <c r="Q947" s="14">
        <v>109841</v>
      </c>
      <c r="R947" s="14"/>
      <c r="S947" s="17">
        <v>1.3889106</v>
      </c>
      <c r="T947" s="15">
        <v>24.92</v>
      </c>
      <c r="U947" s="15">
        <v>28.6</v>
      </c>
      <c r="V947" s="15">
        <v>32.700000000000003</v>
      </c>
      <c r="W947" s="14" t="s">
        <v>113</v>
      </c>
      <c r="X947" s="14">
        <v>2</v>
      </c>
      <c r="Y947" s="10">
        <f>AC947-AB947</f>
        <v>818</v>
      </c>
      <c r="Z947" s="18">
        <v>28</v>
      </c>
      <c r="AA947" s="18">
        <v>87</v>
      </c>
      <c r="AB947" s="18">
        <v>5</v>
      </c>
      <c r="AC947" s="18">
        <v>823</v>
      </c>
      <c r="AD947" s="1" t="s">
        <v>2991</v>
      </c>
      <c r="AE947" s="1" t="s">
        <v>2992</v>
      </c>
      <c r="AF947" s="4">
        <v>4.24</v>
      </c>
      <c r="AG947" s="4">
        <v>7.5</v>
      </c>
    </row>
    <row r="948" spans="1:33" ht="47.25" hidden="1" customHeight="1" x14ac:dyDescent="0.25">
      <c r="A948" s="10" t="s">
        <v>2823</v>
      </c>
      <c r="B948" s="11" t="s">
        <v>33</v>
      </c>
      <c r="C948" s="12" t="s">
        <v>2824</v>
      </c>
      <c r="D948" s="27"/>
      <c r="E948" s="14" t="s">
        <v>35</v>
      </c>
      <c r="F948" s="11" t="str">
        <f>HYPERLINK("https://redirect.sdcdeals.com/redirect?destination=https%3A%2F%2Fwww.amazon.com%2Fdp%2FB0CCBKPCPJ%3Fth%3D1%26psc%3D1%26tag%3Dsdcdeals03-20", "Amazon Link")</f>
        <v>Amazon Link</v>
      </c>
      <c r="G948" s="11" t="s">
        <v>36</v>
      </c>
      <c r="H948" s="14" t="s">
        <v>2825</v>
      </c>
      <c r="I948" s="11" t="str">
        <f>HYPERLINK("https://redirect.sdcdeals.com/redirect?code=763034&amp;mavely=https://mavely.app.link/e/bhESV2wGrGb&amp;destination=https%3A%2F%2Fwww.kohls.com%2Fsearch.jsp%3Fsubmit-search%3Dweb-regular%26search%3D49706592", "Retail Link")</f>
        <v>Retail Link</v>
      </c>
      <c r="J948" s="14" t="s">
        <v>2705</v>
      </c>
      <c r="K948" s="13" t="s">
        <v>2711</v>
      </c>
      <c r="L948" s="15">
        <v>13.2</v>
      </c>
      <c r="M948" s="15">
        <v>26.46</v>
      </c>
      <c r="N948" s="15">
        <v>2.4609999999999999</v>
      </c>
      <c r="O948" s="15">
        <f>V948-M948</f>
        <v>7.519999999999996</v>
      </c>
      <c r="P948" s="16">
        <f>N948/L948</f>
        <v>0.18643939393939393</v>
      </c>
      <c r="Q948" s="14"/>
      <c r="R948" s="14"/>
      <c r="S948" s="17">
        <v>0.97003280000000003</v>
      </c>
      <c r="T948" s="15">
        <v>26.46</v>
      </c>
      <c r="U948" s="15">
        <v>30.67</v>
      </c>
      <c r="V948" s="15">
        <v>33.979999999999997</v>
      </c>
      <c r="W948" s="14" t="s">
        <v>698</v>
      </c>
      <c r="X948" s="14">
        <v>1</v>
      </c>
      <c r="Y948" s="10">
        <f>AC948-AB948</f>
        <v>2</v>
      </c>
      <c r="Z948" s="18">
        <v>-1</v>
      </c>
      <c r="AA948" s="18">
        <v>-1</v>
      </c>
      <c r="AB948" s="18"/>
      <c r="AC948" s="18">
        <v>2</v>
      </c>
      <c r="AD948" s="1" t="s">
        <v>2712</v>
      </c>
      <c r="AE948" s="1" t="s">
        <v>2713</v>
      </c>
      <c r="AF948" s="4">
        <v>4.5</v>
      </c>
      <c r="AG948" s="4">
        <v>6.83</v>
      </c>
    </row>
    <row r="949" spans="1:33" ht="47.25" customHeight="1" x14ac:dyDescent="0.25">
      <c r="A949" s="10" t="s">
        <v>3995</v>
      </c>
      <c r="B949" s="11" t="s">
        <v>33</v>
      </c>
      <c r="C949" s="12" t="s">
        <v>3996</v>
      </c>
      <c r="D949" s="27"/>
      <c r="E949" s="14" t="s">
        <v>35</v>
      </c>
      <c r="F949" s="11" t="str">
        <f>HYPERLINK("https://redirect.sdcdeals.com/redirect?destination=https%3A%2F%2Fwww.amazon.com%2Fdp%2FB09B699N6Z%3Fth%3D1%26psc%3D1%26tag%3Dsdcdeals03-20", "Amazon Link")</f>
        <v>Amazon Link</v>
      </c>
      <c r="G949" s="11" t="s">
        <v>36</v>
      </c>
      <c r="H949" s="14" t="s">
        <v>3997</v>
      </c>
      <c r="I949" s="11" t="str">
        <f>HYPERLINK("https://redirect.sdcdeals.com/redirect?code=763034&amp;mavely=https://mavely.app.link/e/bhESV2wGrGb&amp;destination=https%3A%2F%2Fwww.kohls.com%2Fsearch.jsp%3Fsubmit-search%3Dweb-regular%26search%3D78202053", "Retail Link")</f>
        <v>Retail Link</v>
      </c>
      <c r="J949" s="14" t="s">
        <v>3942</v>
      </c>
      <c r="K949" s="13" t="s">
        <v>3998</v>
      </c>
      <c r="L949" s="15">
        <v>12.48</v>
      </c>
      <c r="M949" s="15">
        <v>32.06</v>
      </c>
      <c r="N949" s="15">
        <v>2.321000000000002</v>
      </c>
      <c r="O949" s="15">
        <f>V949-M949</f>
        <v>7.6400000000000006</v>
      </c>
      <c r="P949" s="16">
        <f>N949/L949</f>
        <v>0.18597756410256425</v>
      </c>
      <c r="Q949" s="14">
        <v>109613</v>
      </c>
      <c r="R949" s="14"/>
      <c r="S949" s="17">
        <v>1.79015144</v>
      </c>
      <c r="T949" s="15">
        <v>32.06</v>
      </c>
      <c r="U949" s="15">
        <v>32.880000000000003</v>
      </c>
      <c r="V949" s="15">
        <v>39.700000000000003</v>
      </c>
      <c r="W949" s="14" t="s">
        <v>3999</v>
      </c>
      <c r="X949" s="14">
        <v>1</v>
      </c>
      <c r="Y949" s="10">
        <f>AC949-AB949</f>
        <v>822</v>
      </c>
      <c r="Z949" s="18">
        <v>24</v>
      </c>
      <c r="AA949" s="18">
        <v>82</v>
      </c>
      <c r="AB949" s="18">
        <v>1</v>
      </c>
      <c r="AC949" s="18">
        <v>823</v>
      </c>
      <c r="AD949" s="1" t="s">
        <v>2991</v>
      </c>
      <c r="AE949" s="1" t="s">
        <v>2992</v>
      </c>
      <c r="AF949" s="4">
        <v>5.45</v>
      </c>
      <c r="AG949" s="4">
        <v>12.45</v>
      </c>
    </row>
    <row r="950" spans="1:33" ht="47.25" hidden="1" customHeight="1" x14ac:dyDescent="0.25">
      <c r="A950" s="10" t="s">
        <v>6118</v>
      </c>
      <c r="B950" s="11" t="s">
        <v>33</v>
      </c>
      <c r="C950" s="12" t="s">
        <v>6119</v>
      </c>
      <c r="D950" s="27"/>
      <c r="E950" s="14" t="s">
        <v>35</v>
      </c>
      <c r="F950" s="11" t="str">
        <f>HYPERLINK("https://redirect.sdcdeals.com/redirect?destination=https%3A%2F%2Fwww.amazon.com%2Fdp%2FB0CYR2Z1Q9%3Fth%3D1%26psc%3D1%26tag%3Dsdcdeals03-20", "Amazon Link")</f>
        <v>Amazon Link</v>
      </c>
      <c r="G950" s="11" t="s">
        <v>36</v>
      </c>
      <c r="H950" s="14" t="s">
        <v>6120</v>
      </c>
      <c r="I950" s="11" t="str">
        <f>HYPERLINK("https://redirect.sdcdeals.com/redirect?code=763034&amp;mavely=https://mavely.app.link/e/bhESV2wGrGb&amp;destination=https%3A%2F%2Fwww.kohls.com%2Fsearch.jsp%3Fsubmit-search%3Dweb-regular%26search%3D64965048", "Retail Link")</f>
        <v>Retail Link</v>
      </c>
      <c r="J950" s="14" t="s">
        <v>6121</v>
      </c>
      <c r="K950" s="13" t="s">
        <v>6122</v>
      </c>
      <c r="L950" s="15">
        <v>18.2</v>
      </c>
      <c r="M950" s="15">
        <v>35</v>
      </c>
      <c r="N950" s="15">
        <v>3.350000000000001</v>
      </c>
      <c r="O950" s="15">
        <f>V950-M950</f>
        <v>17.479999999999997</v>
      </c>
      <c r="P950" s="16">
        <f>N950/L950</f>
        <v>0.18406593406593413</v>
      </c>
      <c r="Q950" s="14"/>
      <c r="R950" s="14"/>
      <c r="S950" s="17">
        <v>2.46035592</v>
      </c>
      <c r="T950" s="15">
        <v>35</v>
      </c>
      <c r="U950" s="15">
        <v>52.48</v>
      </c>
      <c r="V950" s="15">
        <v>52.48</v>
      </c>
      <c r="W950" s="14" t="s">
        <v>849</v>
      </c>
      <c r="X950" s="14">
        <v>2</v>
      </c>
      <c r="Y950" s="10">
        <f>AC950-AB950</f>
        <v>0</v>
      </c>
      <c r="Z950" s="18">
        <v>-1</v>
      </c>
      <c r="AA950" s="18">
        <v>-1</v>
      </c>
      <c r="AB950" s="18"/>
      <c r="AC950" s="18"/>
      <c r="AD950" s="1" t="s">
        <v>6123</v>
      </c>
      <c r="AE950" s="1" t="s">
        <v>6124</v>
      </c>
      <c r="AF950" s="4">
        <v>5.95</v>
      </c>
      <c r="AG950" s="4">
        <v>8.1999999999999993</v>
      </c>
    </row>
    <row r="951" spans="1:33" ht="47.25" hidden="1" customHeight="1" x14ac:dyDescent="0.25">
      <c r="A951" s="10" t="s">
        <v>6125</v>
      </c>
      <c r="B951" s="11" t="s">
        <v>33</v>
      </c>
      <c r="C951" s="12" t="s">
        <v>6126</v>
      </c>
      <c r="D951" s="27"/>
      <c r="E951" s="14" t="s">
        <v>35</v>
      </c>
      <c r="F951" s="11" t="str">
        <f>HYPERLINK("https://redirect.sdcdeals.com/redirect?destination=https%3A%2F%2Fwww.amazon.com%2Fdp%2FB0CYQZN5G6%3Fth%3D1%26psc%3D1%26tag%3Dsdcdeals03-20", "Amazon Link")</f>
        <v>Amazon Link</v>
      </c>
      <c r="G951" s="11" t="s">
        <v>36</v>
      </c>
      <c r="H951" s="14" t="s">
        <v>6127</v>
      </c>
      <c r="I951" s="11" t="str">
        <f>HYPERLINK("https://redirect.sdcdeals.com/redirect?code=763034&amp;mavely=https://mavely.app.link/e/bhESV2wGrGb&amp;destination=https%3A%2F%2Fwww.kohls.com%2Fsearch.jsp%3Fsubmit-search%3Dweb-regular%26search%3D64965049", "Retail Link")</f>
        <v>Retail Link</v>
      </c>
      <c r="J951" s="14" t="s">
        <v>6121</v>
      </c>
      <c r="K951" s="13" t="s">
        <v>6122</v>
      </c>
      <c r="L951" s="15">
        <v>18.2</v>
      </c>
      <c r="M951" s="15">
        <v>35</v>
      </c>
      <c r="N951" s="15">
        <v>3.350000000000001</v>
      </c>
      <c r="O951" s="15">
        <f>V951-M951</f>
        <v>17.43</v>
      </c>
      <c r="P951" s="16">
        <f>N951/L951</f>
        <v>0.18406593406593413</v>
      </c>
      <c r="Q951" s="14"/>
      <c r="R951" s="14"/>
      <c r="S951" s="17">
        <v>2.46035592</v>
      </c>
      <c r="T951" s="15">
        <v>35</v>
      </c>
      <c r="U951" s="15">
        <v>52.43</v>
      </c>
      <c r="V951" s="15">
        <v>52.43</v>
      </c>
      <c r="W951" s="14" t="s">
        <v>1134</v>
      </c>
      <c r="X951" s="14">
        <v>2</v>
      </c>
      <c r="Y951" s="10">
        <f>AC951-AB951</f>
        <v>0</v>
      </c>
      <c r="Z951" s="18">
        <v>-1</v>
      </c>
      <c r="AA951" s="18">
        <v>-1</v>
      </c>
      <c r="AB951" s="18"/>
      <c r="AC951" s="18"/>
      <c r="AD951" s="1" t="s">
        <v>6128</v>
      </c>
      <c r="AE951" s="1" t="s">
        <v>6124</v>
      </c>
      <c r="AF951" s="4">
        <v>5.95</v>
      </c>
      <c r="AG951" s="4">
        <v>8.1999999999999993</v>
      </c>
    </row>
    <row r="952" spans="1:33" ht="47.25" customHeight="1" x14ac:dyDescent="0.25">
      <c r="A952" s="10" t="s">
        <v>6675</v>
      </c>
      <c r="B952" s="11" t="s">
        <v>33</v>
      </c>
      <c r="C952" s="12" t="s">
        <v>6676</v>
      </c>
      <c r="D952" s="27"/>
      <c r="E952" s="14" t="s">
        <v>35</v>
      </c>
      <c r="F952" s="11" t="str">
        <f>HYPERLINK("https://redirect.sdcdeals.com/redirect?destination=https%3A%2F%2Fwww.amazon.com%2Fdp%2FB0BNSP3G9T%3Fth%3D1%26psc%3D1%26tag%3Dsdcdeals03-20", "Amazon Link")</f>
        <v>Amazon Link</v>
      </c>
      <c r="G952" s="11" t="s">
        <v>36</v>
      </c>
      <c r="H952" s="14" t="s">
        <v>6677</v>
      </c>
      <c r="I952" s="11" t="str">
        <f>HYPERLINK("https://redirect.sdcdeals.com/redirect?code=763034&amp;mavely=https://mavely.app.link/e/bhESV2wGrGb&amp;destination=https%3A%2F%2Fwww.kohls.com%2Fsearch.jsp%3Fsubmit-search%3Dweb-regular%26search%3D63562506", "Retail Link")</f>
        <v>Retail Link</v>
      </c>
      <c r="J952" s="14" t="s">
        <v>6668</v>
      </c>
      <c r="K952" s="13" t="s">
        <v>6678</v>
      </c>
      <c r="L952" s="15">
        <v>19.600000000000001</v>
      </c>
      <c r="M952" s="15">
        <v>34.229999999999997</v>
      </c>
      <c r="N952" s="15">
        <v>3.5954999999999941</v>
      </c>
      <c r="O952" s="15">
        <f>V952-M952</f>
        <v>-4.8799999999999955</v>
      </c>
      <c r="P952" s="16">
        <f>N952/L952</f>
        <v>0.1834438775510201</v>
      </c>
      <c r="Q952" s="14">
        <v>303411</v>
      </c>
      <c r="R952" s="14"/>
      <c r="S952" s="17">
        <v>0.29100984000000002</v>
      </c>
      <c r="T952" s="15">
        <v>34.229999999999997</v>
      </c>
      <c r="U952" s="15">
        <v>35.51</v>
      </c>
      <c r="V952" s="15">
        <v>29.35</v>
      </c>
      <c r="W952" s="14" t="s">
        <v>698</v>
      </c>
      <c r="X952" s="14">
        <v>4</v>
      </c>
      <c r="Y952" s="10">
        <f>AC952-AB952</f>
        <v>0</v>
      </c>
      <c r="Z952" s="18">
        <v>3</v>
      </c>
      <c r="AA952" s="18">
        <v>12</v>
      </c>
      <c r="AB952" s="18">
        <v>0</v>
      </c>
      <c r="AC952" s="18"/>
      <c r="AD952" s="1" t="s">
        <v>6670</v>
      </c>
      <c r="AE952" s="1" t="s">
        <v>76</v>
      </c>
      <c r="AG952" s="4">
        <v>5.9</v>
      </c>
    </row>
    <row r="953" spans="1:33" ht="47.25" customHeight="1" x14ac:dyDescent="0.25">
      <c r="A953" s="10" t="s">
        <v>5914</v>
      </c>
      <c r="B953" s="11" t="s">
        <v>33</v>
      </c>
      <c r="C953" s="12" t="s">
        <v>5915</v>
      </c>
      <c r="D953" s="27"/>
      <c r="E953" s="14" t="s">
        <v>35</v>
      </c>
      <c r="F953" s="11" t="str">
        <f>HYPERLINK("https://redirect.sdcdeals.com/redirect?destination=https%3A%2F%2Fwww.amazon.com%2Fdp%2FB0BKQQFQBF%3Fth%3D1%26psc%3D1%26tag%3Dsdcdeals03-20", "Amazon Link")</f>
        <v>Amazon Link</v>
      </c>
      <c r="G953" s="11" t="s">
        <v>36</v>
      </c>
      <c r="H953" s="14" t="s">
        <v>5916</v>
      </c>
      <c r="I953" s="11" t="str">
        <f>HYPERLINK("https://redirect.sdcdeals.com/redirect?code=763034&amp;mavely=https://mavely.app.link/e/bhESV2wGrGb&amp;destination=https%3A%2F%2Fwww.kohls.com%2Fsearch.jsp%3Fsubmit-search%3Dweb-regular%26search%3D46912071", "Retail Link")</f>
        <v>Retail Link</v>
      </c>
      <c r="J953" s="14" t="s">
        <v>5910</v>
      </c>
      <c r="K953" s="13" t="s">
        <v>5917</v>
      </c>
      <c r="L953" s="15">
        <v>67.600000000000009</v>
      </c>
      <c r="M953" s="15">
        <v>108.99</v>
      </c>
      <c r="N953" s="15">
        <v>12.391499999999979</v>
      </c>
      <c r="O953" s="15">
        <f>V953-M953</f>
        <v>-3.1299999999999955</v>
      </c>
      <c r="P953" s="16">
        <f>N953/L953</f>
        <v>0.18330621301775116</v>
      </c>
      <c r="Q953" s="14">
        <v>426598</v>
      </c>
      <c r="R953" s="14"/>
      <c r="S953" s="17">
        <v>2.3589433999999998</v>
      </c>
      <c r="T953" s="15">
        <v>108.99</v>
      </c>
      <c r="U953" s="15">
        <v>86.51</v>
      </c>
      <c r="V953" s="15">
        <v>105.86</v>
      </c>
      <c r="W953" s="14" t="s">
        <v>131</v>
      </c>
      <c r="X953" s="14">
        <v>2</v>
      </c>
      <c r="Y953" s="10">
        <f>AC953-AB953</f>
        <v>16</v>
      </c>
      <c r="Z953" s="18">
        <v>21</v>
      </c>
      <c r="AA953" s="18">
        <v>47</v>
      </c>
      <c r="AB953" s="18">
        <v>1</v>
      </c>
      <c r="AC953" s="18">
        <v>17</v>
      </c>
      <c r="AD953" s="1" t="s">
        <v>5912</v>
      </c>
      <c r="AE953" s="1" t="s">
        <v>5918</v>
      </c>
      <c r="AF953" s="4">
        <v>18.53</v>
      </c>
      <c r="AG953" s="4">
        <v>12.65</v>
      </c>
    </row>
    <row r="954" spans="1:33" ht="47.25" hidden="1" customHeight="1" x14ac:dyDescent="0.25">
      <c r="A954" s="10" t="s">
        <v>6262</v>
      </c>
      <c r="B954" s="11" t="s">
        <v>33</v>
      </c>
      <c r="C954" s="12" t="s">
        <v>6263</v>
      </c>
      <c r="D954" s="27"/>
      <c r="E954" s="14" t="s">
        <v>35</v>
      </c>
      <c r="F954" s="11" t="str">
        <f>HYPERLINK("https://redirect.sdcdeals.com/redirect?destination=https%3A%2F%2Fwww.amazon.com%2Fdp%2FB0CL5JYC18%3Fth%3D1%26psc%3D1%26tag%3Dsdcdeals03-20", "Amazon Link")</f>
        <v>Amazon Link</v>
      </c>
      <c r="G954" s="11" t="s">
        <v>36</v>
      </c>
      <c r="H954" s="14" t="s">
        <v>6264</v>
      </c>
      <c r="I954" s="11" t="str">
        <f>HYPERLINK("https://redirect.sdcdeals.com/redirect?code=763034&amp;mavely=https://mavely.app.link/e/bhESV2wGrGb&amp;destination=https%3A%2F%2Fwww.kohls.com%2Fsearch.jsp%3Fsubmit-search%3Dweb-regular%26search%3D78299458", "Retail Link")</f>
        <v>Retail Link</v>
      </c>
      <c r="J954" s="14" t="s">
        <v>6242</v>
      </c>
      <c r="K954" s="13" t="s">
        <v>6265</v>
      </c>
      <c r="L954" s="15">
        <v>7.6000000000000014</v>
      </c>
      <c r="M954" s="15">
        <v>17.399999999999999</v>
      </c>
      <c r="N954" s="15">
        <v>1.369999999999997</v>
      </c>
      <c r="O954" s="15">
        <f>V954-M954</f>
        <v>9.5600000000000023</v>
      </c>
      <c r="P954" s="16">
        <f>N954/L954</f>
        <v>0.1802631578947364</v>
      </c>
      <c r="Q954" s="14"/>
      <c r="R954" s="14"/>
      <c r="S954" s="17">
        <v>0.63933980000000001</v>
      </c>
      <c r="T954" s="15">
        <v>17.399999999999999</v>
      </c>
      <c r="U954" s="15">
        <v>21.39</v>
      </c>
      <c r="V954" s="15">
        <v>26.96</v>
      </c>
      <c r="W954" s="14" t="s">
        <v>1459</v>
      </c>
      <c r="X954" s="14">
        <v>7</v>
      </c>
      <c r="Y954" s="10">
        <f>AC954-AB954</f>
        <v>0</v>
      </c>
      <c r="Z954" s="18">
        <v>0</v>
      </c>
      <c r="AA954" s="18">
        <v>80</v>
      </c>
      <c r="AB954" s="18">
        <v>0</v>
      </c>
      <c r="AC954" s="18"/>
      <c r="AD954" s="1" t="s">
        <v>1452</v>
      </c>
      <c r="AE954" s="1" t="s">
        <v>6252</v>
      </c>
      <c r="AF954" s="4">
        <v>2.96</v>
      </c>
      <c r="AG954" s="4">
        <v>5.82</v>
      </c>
    </row>
    <row r="955" spans="1:33" ht="47.25" customHeight="1" x14ac:dyDescent="0.25">
      <c r="A955" s="10" t="s">
        <v>266</v>
      </c>
      <c r="B955" s="11" t="s">
        <v>33</v>
      </c>
      <c r="C955" s="12" t="s">
        <v>267</v>
      </c>
      <c r="D955" s="27"/>
      <c r="E955" s="14" t="s">
        <v>35</v>
      </c>
      <c r="F955" s="11" t="str">
        <f>HYPERLINK("https://redirect.sdcdeals.com/redirect?destination=https%3A%2F%2Fwww.amazon.com%2Fdp%2FB093QY8X81%3Fth%3D1%26psc%3D1%26tag%3Dsdcdeals03-20", "Amazon Link")</f>
        <v>Amazon Link</v>
      </c>
      <c r="G955" s="11" t="s">
        <v>36</v>
      </c>
      <c r="H955" s="14" t="s">
        <v>268</v>
      </c>
      <c r="I955" s="11" t="str">
        <f>HYPERLINK("https://redirect.sdcdeals.com/redirect?code=763034&amp;mavely=https://mavely.app.link/e/bhESV2wGrGb&amp;destination=https%3A%2F%2Fwww.kohls.com%2Fsearch.jsp%3Fsubmit-search%3Dweb-regular%26search%3D37286469", "Retail Link")</f>
        <v>Retail Link</v>
      </c>
      <c r="J955" s="14" t="s">
        <v>263</v>
      </c>
      <c r="K955" s="13" t="s">
        <v>264</v>
      </c>
      <c r="L955" s="15">
        <v>8.4</v>
      </c>
      <c r="M955" s="15">
        <v>18.600000000000001</v>
      </c>
      <c r="N955" s="15">
        <v>1.51</v>
      </c>
      <c r="O955" s="15">
        <f>V955-M955</f>
        <v>0.60999999999999943</v>
      </c>
      <c r="P955" s="16">
        <f>N955/L955</f>
        <v>0.17976190476190476</v>
      </c>
      <c r="Q955" s="14">
        <v>101269</v>
      </c>
      <c r="R955" s="14"/>
      <c r="S955" s="17">
        <v>0.18077884</v>
      </c>
      <c r="T955" s="15">
        <v>13.1</v>
      </c>
      <c r="U955" s="15">
        <v>20.78</v>
      </c>
      <c r="V955" s="15">
        <v>19.21</v>
      </c>
      <c r="W955" s="14" t="s">
        <v>269</v>
      </c>
      <c r="X955" s="14">
        <v>4</v>
      </c>
      <c r="Y955" s="10">
        <f>AC955-AB955</f>
        <v>451</v>
      </c>
      <c r="Z955" s="18">
        <v>21</v>
      </c>
      <c r="AA955" s="18">
        <v>76</v>
      </c>
      <c r="AB955" s="18">
        <v>2</v>
      </c>
      <c r="AC955" s="18">
        <v>453</v>
      </c>
      <c r="AD955" s="1" t="s">
        <v>265</v>
      </c>
      <c r="AE955" s="1" t="s">
        <v>69</v>
      </c>
      <c r="AF955" s="4">
        <v>1.86</v>
      </c>
      <c r="AG955" s="4">
        <v>5.9</v>
      </c>
    </row>
    <row r="956" spans="1:33" ht="47.25" customHeight="1" x14ac:dyDescent="0.25">
      <c r="A956" s="10" t="s">
        <v>3139</v>
      </c>
      <c r="B956" s="11" t="s">
        <v>33</v>
      </c>
      <c r="C956" s="12" t="s">
        <v>3140</v>
      </c>
      <c r="D956" s="27"/>
      <c r="E956" s="14" t="s">
        <v>35</v>
      </c>
      <c r="F956" s="11" t="str">
        <f>HYPERLINK("https://redirect.sdcdeals.com/redirect?destination=https%3A%2F%2Fwww.amazon.com%2Fdp%2FB0B5FFRWY1%3Fth%3D1%26psc%3D1%26tag%3Dsdcdeals03-20", "Amazon Link")</f>
        <v>Amazon Link</v>
      </c>
      <c r="G956" s="11" t="s">
        <v>36</v>
      </c>
      <c r="H956" s="14" t="s">
        <v>3141</v>
      </c>
      <c r="I956" s="11" t="str">
        <f>HYPERLINK("https://redirect.sdcdeals.com/redirect?code=763034&amp;mavely=https://mavely.app.link/e/bhESV2wGrGb&amp;destination=https%3A%2F%2Fwww.kohls.com%2Fsearch.jsp%3Fsubmit-search%3Dweb-regular%26search%3D78064370", "Retail Link")</f>
        <v>Retail Link</v>
      </c>
      <c r="J956" s="14" t="s">
        <v>3090</v>
      </c>
      <c r="K956" s="13" t="s">
        <v>3142</v>
      </c>
      <c r="L956" s="15">
        <v>40</v>
      </c>
      <c r="M956" s="15">
        <v>78.3</v>
      </c>
      <c r="N956" s="15">
        <v>7.0649999999999977</v>
      </c>
      <c r="O956" s="15">
        <f>V956-M956</f>
        <v>30.269999999999996</v>
      </c>
      <c r="P956" s="16">
        <f>N956/L956</f>
        <v>0.17662499999999995</v>
      </c>
      <c r="Q956" s="14">
        <v>356748</v>
      </c>
      <c r="R956" s="14"/>
      <c r="S956" s="17">
        <v>3.2628376000000001</v>
      </c>
      <c r="T956" s="15">
        <v>78.3</v>
      </c>
      <c r="U956" s="15">
        <v>96</v>
      </c>
      <c r="V956" s="15">
        <v>108.57</v>
      </c>
      <c r="W956" s="14" t="s">
        <v>926</v>
      </c>
      <c r="X956" s="14">
        <v>1</v>
      </c>
      <c r="Y956" s="10">
        <f>AC956-AB956</f>
        <v>1930</v>
      </c>
      <c r="Z956" s="18">
        <v>16</v>
      </c>
      <c r="AA956" s="18">
        <v>40</v>
      </c>
      <c r="AB956" s="18">
        <v>0</v>
      </c>
      <c r="AC956" s="18">
        <v>1930</v>
      </c>
      <c r="AD956" s="1" t="s">
        <v>3143</v>
      </c>
      <c r="AE956" s="1" t="s">
        <v>3117</v>
      </c>
      <c r="AG956" s="4">
        <v>19.489999999999998</v>
      </c>
    </row>
    <row r="957" spans="1:33" ht="47.25" customHeight="1" x14ac:dyDescent="0.25">
      <c r="A957" s="10" t="s">
        <v>3540</v>
      </c>
      <c r="B957" s="11" t="s">
        <v>33</v>
      </c>
      <c r="C957" s="12" t="s">
        <v>3541</v>
      </c>
      <c r="D957" s="27"/>
      <c r="E957" s="14" t="s">
        <v>35</v>
      </c>
      <c r="F957" s="11" t="str">
        <f>HYPERLINK("https://redirect.sdcdeals.com/redirect?destination=https%3A%2F%2Fwww.amazon.com%2Fdp%2FB0BKQZ9KCH%3Fth%3D1%26psc%3D1%26tag%3Dsdcdeals03-20", "Amazon Link")</f>
        <v>Amazon Link</v>
      </c>
      <c r="G957" s="11" t="s">
        <v>36</v>
      </c>
      <c r="H957" s="14" t="s">
        <v>3542</v>
      </c>
      <c r="I957" s="11" t="str">
        <f>HYPERLINK("https://redirect.sdcdeals.com/redirect?code=763034&amp;mavely=https://mavely.app.link/e/bhESV2wGrGb&amp;destination=https%3A%2F%2Fwww.kohls.com%2Fsearch.jsp%3Fsubmit-search%3Dweb-regular%26search%3D58450441", "Retail Link")</f>
        <v>Retail Link</v>
      </c>
      <c r="J957" s="14" t="s">
        <v>3497</v>
      </c>
      <c r="K957" s="13" t="s">
        <v>3543</v>
      </c>
      <c r="L957" s="15">
        <v>24</v>
      </c>
      <c r="M957" s="15">
        <v>47.94</v>
      </c>
      <c r="N957" s="15">
        <v>4.0989999999999966</v>
      </c>
      <c r="O957" s="15">
        <f>V957-M957</f>
        <v>1.9400000000000048</v>
      </c>
      <c r="P957" s="16">
        <f>N957/L957</f>
        <v>0.17079166666666654</v>
      </c>
      <c r="Q957" s="14">
        <v>826894</v>
      </c>
      <c r="R957" s="14"/>
      <c r="S957" s="17">
        <v>0.81570940000000003</v>
      </c>
      <c r="T957" s="15">
        <v>39.950000000000003</v>
      </c>
      <c r="U957" s="15">
        <v>47.94</v>
      </c>
      <c r="V957" s="15">
        <v>49.88</v>
      </c>
      <c r="W957" s="14" t="s">
        <v>95</v>
      </c>
      <c r="X957" s="14">
        <v>3</v>
      </c>
      <c r="Y957" s="10">
        <f>AC957-AB957</f>
        <v>7</v>
      </c>
      <c r="Z957" s="18">
        <v>11</v>
      </c>
      <c r="AA957" s="18">
        <v>27</v>
      </c>
      <c r="AB957" s="18">
        <v>0</v>
      </c>
      <c r="AC957" s="18">
        <v>7</v>
      </c>
      <c r="AD957" s="1" t="s">
        <v>3499</v>
      </c>
      <c r="AE957" s="1" t="s">
        <v>3535</v>
      </c>
      <c r="AF957" s="4">
        <v>8.15</v>
      </c>
      <c r="AG957" s="4">
        <v>12.65</v>
      </c>
    </row>
    <row r="958" spans="1:33" ht="47.25" customHeight="1" x14ac:dyDescent="0.25">
      <c r="A958" s="10" t="s">
        <v>7499</v>
      </c>
      <c r="B958" s="11" t="s">
        <v>33</v>
      </c>
      <c r="C958" s="12" t="s">
        <v>7500</v>
      </c>
      <c r="D958" s="27"/>
      <c r="E958" s="14" t="s">
        <v>35</v>
      </c>
      <c r="F958" s="11" t="str">
        <f>HYPERLINK("https://redirect.sdcdeals.com/redirect?destination=https%3A%2F%2Fwww.amazon.com%2Fdp%2FB0BKR1VD8C%3Fth%3D1%26psc%3D1%26tag%3Dsdcdeals03-20", "Amazon Link")</f>
        <v>Amazon Link</v>
      </c>
      <c r="G958" s="11" t="s">
        <v>36</v>
      </c>
      <c r="H958" s="14" t="s">
        <v>7501</v>
      </c>
      <c r="I958" s="11" t="str">
        <f>HYPERLINK("https://redirect.sdcdeals.com/redirect?code=763034&amp;mavely=https://mavely.app.link/e/bhESV2wGrGb&amp;destination=https%3A%2F%2Fwww.kohls.com%2Fsearch.jsp%3Fsubmit-search%3Dweb-regular%26search%3D55628812", "Retail Link")</f>
        <v>Retail Link</v>
      </c>
      <c r="J958" s="14" t="s">
        <v>7447</v>
      </c>
      <c r="K958" s="13" t="s">
        <v>7502</v>
      </c>
      <c r="L958" s="15">
        <v>24</v>
      </c>
      <c r="M958" s="15">
        <v>47.68</v>
      </c>
      <c r="N958" s="15">
        <v>3.8780000000000001</v>
      </c>
      <c r="O958" s="15">
        <f>V958-M958</f>
        <v>2.759999999999998</v>
      </c>
      <c r="P958" s="16">
        <f>N958/L958</f>
        <v>0.16158333333333333</v>
      </c>
      <c r="Q958" s="14">
        <v>815706</v>
      </c>
      <c r="R958" s="14"/>
      <c r="S958" s="17">
        <v>0.81570940000000003</v>
      </c>
      <c r="T958" s="15">
        <v>47.68</v>
      </c>
      <c r="U958" s="15">
        <v>45.88</v>
      </c>
      <c r="V958" s="15">
        <v>50.44</v>
      </c>
      <c r="W958" s="14" t="s">
        <v>1536</v>
      </c>
      <c r="X958" s="14">
        <v>1</v>
      </c>
      <c r="Y958" s="10">
        <f>AC958-AB958</f>
        <v>0</v>
      </c>
      <c r="Z958" s="18">
        <v>9</v>
      </c>
      <c r="AA958" s="18">
        <v>23</v>
      </c>
      <c r="AB958" s="18">
        <v>0</v>
      </c>
      <c r="AC958" s="18"/>
      <c r="AD958" s="1" t="s">
        <v>7449</v>
      </c>
      <c r="AE958" s="1" t="s">
        <v>3535</v>
      </c>
      <c r="AF958" s="4">
        <v>8.11</v>
      </c>
      <c r="AG958" s="4">
        <v>12.65</v>
      </c>
    </row>
    <row r="959" spans="1:33" ht="47.25" customHeight="1" x14ac:dyDescent="0.25">
      <c r="A959" s="10" t="s">
        <v>1737</v>
      </c>
      <c r="B959" s="11" t="s">
        <v>33</v>
      </c>
      <c r="C959" s="12" t="s">
        <v>1738</v>
      </c>
      <c r="D959" s="27"/>
      <c r="E959" s="14" t="s">
        <v>35</v>
      </c>
      <c r="F959" s="11" t="str">
        <f>HYPERLINK("https://redirect.sdcdeals.com/redirect?destination=https%3A%2F%2Fwww.amazon.com%2Fdp%2FB0BHL7Q21P%3Fth%3D1%26psc%3D1%26tag%3Dsdcdeals03-20", "Amazon Link")</f>
        <v>Amazon Link</v>
      </c>
      <c r="G959" s="11" t="s">
        <v>36</v>
      </c>
      <c r="H959" s="14" t="s">
        <v>1739</v>
      </c>
      <c r="I959" s="11" t="str">
        <f>HYPERLINK("https://redirect.sdcdeals.com/redirect?code=763034&amp;mavely=https://mavely.app.link/e/bhESV2wGrGb&amp;destination=https%3A%2F%2Fwww.kohls.com%2Fsearch.jsp%3Fsubmit-search%3Dweb-regular%26search%3D77202421", "Retail Link")</f>
        <v>Retail Link</v>
      </c>
      <c r="J959" s="14" t="s">
        <v>1732</v>
      </c>
      <c r="K959" s="13" t="s">
        <v>1740</v>
      </c>
      <c r="L959" s="15">
        <v>14</v>
      </c>
      <c r="M959" s="15">
        <v>25.97</v>
      </c>
      <c r="N959" s="15">
        <v>2.2544999999999971</v>
      </c>
      <c r="O959" s="15">
        <f>V959-M959</f>
        <v>6.2800000000000011</v>
      </c>
      <c r="P959" s="16">
        <f>N959/L959</f>
        <v>0.16103571428571409</v>
      </c>
      <c r="Q959" s="14">
        <v>37317</v>
      </c>
      <c r="R959" s="14"/>
      <c r="S959" s="17">
        <v>1.0141252000000001</v>
      </c>
      <c r="T959" s="15">
        <v>25.97</v>
      </c>
      <c r="U959" s="15">
        <v>32.020000000000003</v>
      </c>
      <c r="V959" s="15">
        <v>32.25</v>
      </c>
      <c r="W959" s="14" t="s">
        <v>1741</v>
      </c>
      <c r="X959" s="14">
        <v>2</v>
      </c>
      <c r="Y959" s="10">
        <f>AC959-AB959</f>
        <v>71</v>
      </c>
      <c r="Z959" s="18">
        <v>63</v>
      </c>
      <c r="AA959" s="18">
        <v>124</v>
      </c>
      <c r="AB959" s="18">
        <v>1</v>
      </c>
      <c r="AC959" s="18">
        <v>72</v>
      </c>
      <c r="AD959" s="1" t="s">
        <v>1735</v>
      </c>
      <c r="AE959" s="1" t="s">
        <v>76</v>
      </c>
      <c r="AG959" s="4">
        <v>5.82</v>
      </c>
    </row>
    <row r="960" spans="1:33" ht="47.25" customHeight="1" x14ac:dyDescent="0.25">
      <c r="A960" s="10" t="s">
        <v>6527</v>
      </c>
      <c r="B960" s="11" t="s">
        <v>33</v>
      </c>
      <c r="C960" s="12" t="s">
        <v>6528</v>
      </c>
      <c r="D960" s="27"/>
      <c r="E960" s="14" t="s">
        <v>35</v>
      </c>
      <c r="F960" s="11" t="str">
        <f>HYPERLINK("https://redirect.sdcdeals.com/redirect?destination=https%3A%2F%2Fwww.amazon.com%2Fdp%2FB0BGVZFXW6%3Fth%3D1%26psc%3D1%26tag%3Dsdcdeals03-20", "Amazon Link")</f>
        <v>Amazon Link</v>
      </c>
      <c r="G960" s="11" t="s">
        <v>36</v>
      </c>
      <c r="H960" s="14" t="s">
        <v>6529</v>
      </c>
      <c r="I960" s="11" t="str">
        <f>HYPERLINK("https://redirect.sdcdeals.com/redirect?code=763034&amp;mavely=https://mavely.app.link/e/bhESV2wGrGb&amp;destination=https%3A%2F%2Fwww.kohls.com%2Fsearch.jsp%3Fsubmit-search%3Dweb-regular%26search%3D73028229", "Retail Link")</f>
        <v>Retail Link</v>
      </c>
      <c r="J960" s="14" t="s">
        <v>6518</v>
      </c>
      <c r="K960" s="13" t="s">
        <v>6530</v>
      </c>
      <c r="L960" s="15">
        <v>21.6</v>
      </c>
      <c r="M960" s="15">
        <v>37.46</v>
      </c>
      <c r="N960" s="15">
        <v>3.4310000000000009</v>
      </c>
      <c r="O960" s="15">
        <f>V960-M960</f>
        <v>5.9099999999999966</v>
      </c>
      <c r="P960" s="16">
        <f>N960/L960</f>
        <v>0.15884259259259262</v>
      </c>
      <c r="Q960" s="14">
        <v>113321</v>
      </c>
      <c r="R960" s="14"/>
      <c r="S960" s="17">
        <v>0.94798660000000001</v>
      </c>
      <c r="T960" s="15">
        <v>37.46</v>
      </c>
      <c r="U960" s="15">
        <v>45.9</v>
      </c>
      <c r="V960" s="15">
        <v>43.37</v>
      </c>
      <c r="W960" s="14" t="s">
        <v>199</v>
      </c>
      <c r="X960" s="14">
        <v>12</v>
      </c>
      <c r="Y960" s="10">
        <f>AC960-AB960</f>
        <v>60</v>
      </c>
      <c r="Z960" s="18">
        <v>39</v>
      </c>
      <c r="AA960" s="18">
        <v>109</v>
      </c>
      <c r="AB960" s="18">
        <v>1</v>
      </c>
      <c r="AC960" s="18">
        <v>61</v>
      </c>
      <c r="AD960" s="1" t="s">
        <v>6520</v>
      </c>
      <c r="AE960" s="1" t="s">
        <v>6531</v>
      </c>
      <c r="AF960" s="4">
        <v>6.37</v>
      </c>
      <c r="AG960" s="4">
        <v>6.81</v>
      </c>
    </row>
    <row r="961" spans="1:33" ht="47.25" customHeight="1" x14ac:dyDescent="0.25">
      <c r="A961" s="10" t="s">
        <v>6173</v>
      </c>
      <c r="B961" s="11" t="s">
        <v>33</v>
      </c>
      <c r="C961" s="12" t="s">
        <v>6174</v>
      </c>
      <c r="D961" s="27"/>
      <c r="E961" s="14" t="s">
        <v>35</v>
      </c>
      <c r="F961" s="11" t="str">
        <f>HYPERLINK("https://redirect.sdcdeals.com/redirect?destination=https%3A%2F%2Fwww.amazon.com%2Fdp%2FB0CL5RLSZ8%3Fth%3D1%26psc%3D1%26tag%3Dsdcdeals03-20", "Amazon Link")</f>
        <v>Amazon Link</v>
      </c>
      <c r="G961" s="11" t="s">
        <v>36</v>
      </c>
      <c r="H961" s="14" t="s">
        <v>6175</v>
      </c>
      <c r="I961" s="11" t="str">
        <f>HYPERLINK("https://redirect.sdcdeals.com/redirect?code=763034&amp;mavely=https://mavely.app.link/e/bhESV2wGrGb&amp;destination=https%3A%2F%2Fwww.kohls.com%2Fsearch.jsp%3Fsubmit-search%3Dweb-regular%26search%3D62953101", "Retail Link")</f>
        <v>Retail Link</v>
      </c>
      <c r="J961" s="14" t="s">
        <v>6148</v>
      </c>
      <c r="K961" s="13" t="s">
        <v>6176</v>
      </c>
      <c r="L961" s="15">
        <v>7.6000000000000014</v>
      </c>
      <c r="M961" s="15">
        <v>14.29</v>
      </c>
      <c r="N961" s="15">
        <v>1.196499999999999</v>
      </c>
      <c r="O961" s="15">
        <f>V961-M961</f>
        <v>7</v>
      </c>
      <c r="P961" s="16">
        <f>N961/L961</f>
        <v>0.15743421052631562</v>
      </c>
      <c r="Q961" s="14">
        <v>53837</v>
      </c>
      <c r="R961" s="14"/>
      <c r="S961" s="17">
        <v>0.39903622</v>
      </c>
      <c r="T961" s="15">
        <v>14.29</v>
      </c>
      <c r="U961" s="15">
        <v>16.309999999999999</v>
      </c>
      <c r="V961" s="15">
        <v>21.29</v>
      </c>
      <c r="W961" s="14" t="s">
        <v>1847</v>
      </c>
      <c r="X961" s="14">
        <v>14</v>
      </c>
      <c r="Y961" s="10">
        <f>AC961-AB961</f>
        <v>0</v>
      </c>
      <c r="Z961" s="18">
        <v>8</v>
      </c>
      <c r="AA961" s="18">
        <v>71</v>
      </c>
      <c r="AB961" s="18">
        <v>0</v>
      </c>
      <c r="AC961" s="18"/>
      <c r="AE961" s="1" t="s">
        <v>6150</v>
      </c>
      <c r="AF961" s="4">
        <v>0.71</v>
      </c>
      <c r="AG961" s="4">
        <v>3.35</v>
      </c>
    </row>
    <row r="962" spans="1:33" ht="47.25" customHeight="1" x14ac:dyDescent="0.25">
      <c r="A962" s="10" t="s">
        <v>6005</v>
      </c>
      <c r="B962" s="11" t="s">
        <v>33</v>
      </c>
      <c r="C962" s="12" t="s">
        <v>6006</v>
      </c>
      <c r="D962" s="27"/>
      <c r="E962" s="14" t="s">
        <v>35</v>
      </c>
      <c r="F962" s="11" t="str">
        <f>HYPERLINK("https://redirect.sdcdeals.com/redirect?destination=https%3A%2F%2Fwww.amazon.com%2Fdp%2FB096YJ7BTJ%3Fth%3D1%26psc%3D1%26tag%3Dsdcdeals03-20", "Amazon Link")</f>
        <v>Amazon Link</v>
      </c>
      <c r="G962" s="11" t="s">
        <v>36</v>
      </c>
      <c r="H962" s="14" t="s">
        <v>6007</v>
      </c>
      <c r="I962" s="11" t="str">
        <f>HYPERLINK("https://redirect.sdcdeals.com/redirect?code=763034&amp;mavely=https://mavely.app.link/e/bhESV2wGrGb&amp;destination=https%3A%2F%2Fwww.kohls.com%2Fsearch.jsp%3Fsubmit-search%3Dweb-regular%26search%3D62532822", "Retail Link")</f>
        <v>Retail Link</v>
      </c>
      <c r="J962" s="14" t="s">
        <v>6002</v>
      </c>
      <c r="K962" s="13" t="s">
        <v>6008</v>
      </c>
      <c r="L962" s="15">
        <v>5.6000000000000014</v>
      </c>
      <c r="M962" s="15">
        <v>12.79</v>
      </c>
      <c r="N962" s="15">
        <v>0.88149999999999817</v>
      </c>
      <c r="O962" s="15">
        <f>V962-M962</f>
        <v>0.96000000000000085</v>
      </c>
      <c r="P962" s="16">
        <f>N962/L962</f>
        <v>0.15741071428571393</v>
      </c>
      <c r="Q962" s="14">
        <v>44131</v>
      </c>
      <c r="R962" s="14"/>
      <c r="S962" s="17">
        <v>0.14991415999999999</v>
      </c>
      <c r="T962" s="15">
        <v>12.79</v>
      </c>
      <c r="U962" s="15">
        <v>12.52</v>
      </c>
      <c r="V962" s="15">
        <v>13.75</v>
      </c>
      <c r="W962" s="14" t="s">
        <v>5283</v>
      </c>
      <c r="X962" s="14">
        <v>1</v>
      </c>
      <c r="Y962" s="10">
        <f>AC962-AB962</f>
        <v>4269</v>
      </c>
      <c r="Z962" s="18">
        <v>40</v>
      </c>
      <c r="AA962" s="18">
        <v>101</v>
      </c>
      <c r="AB962" s="18">
        <v>37</v>
      </c>
      <c r="AC962" s="18">
        <v>4306</v>
      </c>
      <c r="AD962" s="1" t="s">
        <v>6004</v>
      </c>
      <c r="AE962" s="1" t="s">
        <v>278</v>
      </c>
      <c r="AF962" s="4">
        <v>0.64</v>
      </c>
      <c r="AG962" s="4">
        <v>4.3899999999999997</v>
      </c>
    </row>
    <row r="963" spans="1:33" ht="47.25" customHeight="1" x14ac:dyDescent="0.25">
      <c r="A963" s="10" t="s">
        <v>1527</v>
      </c>
      <c r="B963" s="11" t="s">
        <v>33</v>
      </c>
      <c r="C963" s="12" t="s">
        <v>1528</v>
      </c>
      <c r="D963" s="27"/>
      <c r="E963" s="14" t="s">
        <v>35</v>
      </c>
      <c r="F963" s="11" t="str">
        <f>HYPERLINK("https://redirect.sdcdeals.com/redirect?destination=https%3A%2F%2Fwww.amazon.com%2Fdp%2FB0BM1YZS21%3Fth%3D1%26psc%3D1%26tag%3Dsdcdeals03-20", "Amazon Link")</f>
        <v>Amazon Link</v>
      </c>
      <c r="G963" s="11" t="s">
        <v>36</v>
      </c>
      <c r="H963" s="14" t="s">
        <v>1529</v>
      </c>
      <c r="I963" s="11" t="str">
        <f>HYPERLINK("https://redirect.sdcdeals.com/redirect?code=763034&amp;mavely=https://mavely.app.link/e/bhESV2wGrGb&amp;destination=https%3A%2F%2Fwww.kohls.com%2Fsearch.jsp%3Fsubmit-search%3Dweb-regular%26search%3D82048396", "Retail Link")</f>
        <v>Retail Link</v>
      </c>
      <c r="J963" s="14" t="s">
        <v>1517</v>
      </c>
      <c r="K963" s="13" t="s">
        <v>1530</v>
      </c>
      <c r="L963" s="15">
        <v>5.9920000000000009</v>
      </c>
      <c r="M963" s="15">
        <v>16.670000000000002</v>
      </c>
      <c r="N963" s="15">
        <v>0.9375</v>
      </c>
      <c r="O963" s="15">
        <f>V963-M963</f>
        <v>2.1199999999999974</v>
      </c>
      <c r="P963" s="16">
        <f>N963/L963</f>
        <v>0.15645861148197596</v>
      </c>
      <c r="Q963" s="14">
        <v>143809</v>
      </c>
      <c r="R963" s="14"/>
      <c r="S963" s="17">
        <v>0.22046199999999999</v>
      </c>
      <c r="T963" s="15">
        <v>16.670000000000002</v>
      </c>
      <c r="U963" s="15">
        <v>17.61</v>
      </c>
      <c r="V963" s="15">
        <v>18.79</v>
      </c>
      <c r="W963" s="14" t="s">
        <v>229</v>
      </c>
      <c r="X963" s="14">
        <v>5</v>
      </c>
      <c r="Y963" s="10">
        <f>AC963-AB963</f>
        <v>28</v>
      </c>
      <c r="Z963" s="18">
        <v>5</v>
      </c>
      <c r="AA963" s="18">
        <v>30</v>
      </c>
      <c r="AB963" s="18">
        <v>4</v>
      </c>
      <c r="AC963" s="18">
        <v>32</v>
      </c>
      <c r="AF963" s="4">
        <v>2.5</v>
      </c>
      <c r="AG963" s="4">
        <v>7.24</v>
      </c>
    </row>
    <row r="964" spans="1:33" ht="47.25" customHeight="1" x14ac:dyDescent="0.25">
      <c r="A964" s="10" t="s">
        <v>1782</v>
      </c>
      <c r="B964" s="11" t="s">
        <v>33</v>
      </c>
      <c r="C964" s="12" t="s">
        <v>1783</v>
      </c>
      <c r="D964" s="27"/>
      <c r="E964" s="14" t="s">
        <v>35</v>
      </c>
      <c r="F964" s="11" t="str">
        <f>HYPERLINK("https://redirect.sdcdeals.com/redirect?destination=https%3A%2F%2Fwww.amazon.com%2Fdp%2FB0BJ5N9R26%3Fth%3D1%26psc%3D1%26tag%3Dsdcdeals03-20", "Amazon Link")</f>
        <v>Amazon Link</v>
      </c>
      <c r="G964" s="11" t="s">
        <v>36</v>
      </c>
      <c r="H964" s="14" t="s">
        <v>1784</v>
      </c>
      <c r="I964" s="11" t="str">
        <f>HYPERLINK("https://redirect.sdcdeals.com/redirect?code=763034&amp;mavely=https://mavely.app.link/e/bhESV2wGrGb&amp;destination=https%3A%2F%2Fwww.kohls.com%2Fsearch.jsp%3Fsubmit-search%3Dweb-regular%26search%3D62942370", "Retail Link")</f>
        <v>Retail Link</v>
      </c>
      <c r="J964" s="14" t="s">
        <v>1732</v>
      </c>
      <c r="K964" s="13" t="s">
        <v>1785</v>
      </c>
      <c r="L964" s="15">
        <v>14</v>
      </c>
      <c r="M964" s="15">
        <v>27.09</v>
      </c>
      <c r="N964" s="15">
        <v>2.1664999999999992</v>
      </c>
      <c r="O964" s="15">
        <f>V964-M964</f>
        <v>5.4599999999999973</v>
      </c>
      <c r="P964" s="16">
        <f>N964/L964</f>
        <v>0.15474999999999994</v>
      </c>
      <c r="Q964" s="14">
        <v>38876</v>
      </c>
      <c r="R964" s="14"/>
      <c r="S964" s="17">
        <v>1.0471945</v>
      </c>
      <c r="T964" s="15">
        <v>27.09</v>
      </c>
      <c r="U964" s="15">
        <v>33.200000000000003</v>
      </c>
      <c r="V964" s="15">
        <v>32.549999999999997</v>
      </c>
      <c r="W964" s="14" t="s">
        <v>1741</v>
      </c>
      <c r="X964" s="14">
        <v>1</v>
      </c>
      <c r="Y964" s="10">
        <f>AC964-AB964</f>
        <v>71</v>
      </c>
      <c r="Z964" s="18">
        <v>40</v>
      </c>
      <c r="AA964" s="18">
        <v>84</v>
      </c>
      <c r="AB964" s="18">
        <v>1</v>
      </c>
      <c r="AC964" s="18">
        <v>72</v>
      </c>
      <c r="AD964" s="1" t="s">
        <v>1735</v>
      </c>
      <c r="AE964" s="1" t="s">
        <v>1747</v>
      </c>
      <c r="AG964" s="4">
        <v>6.86</v>
      </c>
    </row>
    <row r="965" spans="1:33" ht="47.25" customHeight="1" x14ac:dyDescent="0.25">
      <c r="A965" s="10" t="s">
        <v>1796</v>
      </c>
      <c r="B965" s="11" t="s">
        <v>33</v>
      </c>
      <c r="C965" s="12" t="s">
        <v>1797</v>
      </c>
      <c r="D965" s="27"/>
      <c r="E965" s="14" t="s">
        <v>35</v>
      </c>
      <c r="F965" s="11" t="str">
        <f>HYPERLINK("https://redirect.sdcdeals.com/redirect?destination=https%3A%2F%2Fwww.amazon.com%2Fdp%2FB0BJ6H1MXH%3Fth%3D1%26psc%3D1%26tag%3Dsdcdeals03-20", "Amazon Link")</f>
        <v>Amazon Link</v>
      </c>
      <c r="G965" s="11" t="s">
        <v>36</v>
      </c>
      <c r="H965" s="14" t="s">
        <v>1798</v>
      </c>
      <c r="I965" s="11" t="str">
        <f>HYPERLINK("https://redirect.sdcdeals.com/redirect?code=763034&amp;mavely=https://mavely.app.link/e/bhESV2wGrGb&amp;destination=https%3A%2F%2Fwww.kohls.com%2Fsearch.jsp%3Fsubmit-search%3Dweb-regular%26search%3D62942371", "Retail Link")</f>
        <v>Retail Link</v>
      </c>
      <c r="J965" s="14" t="s">
        <v>1732</v>
      </c>
      <c r="K965" s="13" t="s">
        <v>1799</v>
      </c>
      <c r="L965" s="15">
        <v>14</v>
      </c>
      <c r="M965" s="15">
        <v>27.09</v>
      </c>
      <c r="N965" s="15">
        <v>2.1664999999999992</v>
      </c>
      <c r="O965" s="15">
        <f>V965-M965</f>
        <v>5.0699999999999967</v>
      </c>
      <c r="P965" s="16">
        <f>N965/L965</f>
        <v>0.15474999999999994</v>
      </c>
      <c r="Q965" s="14">
        <v>38876</v>
      </c>
      <c r="R965" s="14"/>
      <c r="S965" s="17">
        <v>1.1904948</v>
      </c>
      <c r="T965" s="15">
        <v>27.09</v>
      </c>
      <c r="U965" s="15">
        <v>32.299999999999997</v>
      </c>
      <c r="V965" s="15">
        <v>32.159999999999997</v>
      </c>
      <c r="W965" s="14" t="s">
        <v>1800</v>
      </c>
      <c r="X965" s="14">
        <v>2</v>
      </c>
      <c r="Y965" s="10">
        <f>AC965-AB965</f>
        <v>72</v>
      </c>
      <c r="Z965" s="18">
        <v>36</v>
      </c>
      <c r="AA965" s="18">
        <v>73</v>
      </c>
      <c r="AB965" s="18">
        <v>0</v>
      </c>
      <c r="AC965" s="18">
        <v>72</v>
      </c>
      <c r="AD965" s="1" t="s">
        <v>1735</v>
      </c>
      <c r="AE965" s="1" t="s">
        <v>1747</v>
      </c>
      <c r="AG965" s="4">
        <v>6.86</v>
      </c>
    </row>
    <row r="966" spans="1:33" ht="47.25" customHeight="1" x14ac:dyDescent="0.25">
      <c r="A966" s="10" t="s">
        <v>1768</v>
      </c>
      <c r="B966" s="11" t="s">
        <v>33</v>
      </c>
      <c r="C966" s="12" t="s">
        <v>1769</v>
      </c>
      <c r="D966" s="27"/>
      <c r="E966" s="14" t="s">
        <v>35</v>
      </c>
      <c r="F966" s="11" t="str">
        <f>HYPERLINK("https://redirect.sdcdeals.com/redirect?destination=https%3A%2F%2Fwww.amazon.com%2Fdp%2FB0BHN1T4MW%3Fth%3D1%26psc%3D1%26tag%3Dsdcdeals03-20", "Amazon Link")</f>
        <v>Amazon Link</v>
      </c>
      <c r="G966" s="11" t="s">
        <v>36</v>
      </c>
      <c r="H966" s="14" t="s">
        <v>1770</v>
      </c>
      <c r="I966" s="11" t="str">
        <f>HYPERLINK("https://redirect.sdcdeals.com/redirect?code=763034&amp;mavely=https://mavely.app.link/e/bhESV2wGrGb&amp;destination=https%3A%2F%2Fwww.kohls.com%2Fsearch.jsp%3Fsubmit-search%3Dweb-regular%26search%3D79062524", "Retail Link")</f>
        <v>Retail Link</v>
      </c>
      <c r="J966" s="14" t="s">
        <v>1732</v>
      </c>
      <c r="K966" s="13" t="s">
        <v>1771</v>
      </c>
      <c r="L966" s="15">
        <v>14</v>
      </c>
      <c r="M966" s="15">
        <v>26.76</v>
      </c>
      <c r="N966" s="15">
        <v>2.1460000000000008</v>
      </c>
      <c r="O966" s="15">
        <f>V966-M966</f>
        <v>5.2899999999999956</v>
      </c>
      <c r="P966" s="16">
        <f>N966/L966</f>
        <v>0.15328571428571433</v>
      </c>
      <c r="Q966" s="14">
        <v>43543</v>
      </c>
      <c r="R966" s="14"/>
      <c r="S966" s="17">
        <v>1.1508116399999999</v>
      </c>
      <c r="T966" s="15">
        <v>26.76</v>
      </c>
      <c r="U966" s="15">
        <v>32.049999999999997</v>
      </c>
      <c r="V966" s="15">
        <v>32.049999999999997</v>
      </c>
      <c r="W966" s="14" t="s">
        <v>1772</v>
      </c>
      <c r="X966" s="14">
        <v>2</v>
      </c>
      <c r="Y966" s="10">
        <f>AC966-AB966</f>
        <v>64</v>
      </c>
      <c r="Z966" s="18">
        <v>55</v>
      </c>
      <c r="AA966" s="18">
        <v>112</v>
      </c>
      <c r="AB966" s="18">
        <v>8</v>
      </c>
      <c r="AC966" s="18">
        <v>72</v>
      </c>
      <c r="AD966" s="1" t="s">
        <v>1735</v>
      </c>
      <c r="AE966" s="1" t="s">
        <v>1736</v>
      </c>
      <c r="AG966" s="4">
        <v>6.6</v>
      </c>
    </row>
    <row r="967" spans="1:33" ht="47.25" customHeight="1" x14ac:dyDescent="0.25">
      <c r="A967" s="10" t="s">
        <v>7459</v>
      </c>
      <c r="B967" s="11" t="s">
        <v>33</v>
      </c>
      <c r="C967" s="12" t="s">
        <v>7460</v>
      </c>
      <c r="D967" s="27"/>
      <c r="E967" s="14" t="s">
        <v>35</v>
      </c>
      <c r="F967" s="11" t="str">
        <f>HYPERLINK("https://redirect.sdcdeals.com/redirect?destination=https%3A%2F%2Fwww.amazon.com%2Fdp%2FB0BKR112RQ%3Fth%3D1%26psc%3D1%26tag%3Dsdcdeals03-20", "Amazon Link")</f>
        <v>Amazon Link</v>
      </c>
      <c r="G967" s="11" t="s">
        <v>36</v>
      </c>
      <c r="H967" s="14" t="s">
        <v>7461</v>
      </c>
      <c r="I967" s="11" t="str">
        <f>HYPERLINK("https://redirect.sdcdeals.com/redirect?code=763034&amp;mavely=https://mavely.app.link/e/bhESV2wGrGb&amp;destination=https%3A%2F%2Fwww.kohls.com%2Fsearch.jsp%3Fsubmit-search%3Dweb-regular%26search%3D55628819", "Retail Link")</f>
        <v>Retail Link</v>
      </c>
      <c r="J967" s="14" t="s">
        <v>7447</v>
      </c>
      <c r="K967" s="13" t="s">
        <v>7462</v>
      </c>
      <c r="L967" s="15">
        <v>24</v>
      </c>
      <c r="M967" s="15">
        <v>47.78</v>
      </c>
      <c r="N967" s="15">
        <v>3.582999999999998</v>
      </c>
      <c r="O967" s="15">
        <f>V967-M967</f>
        <v>-0.55000000000000426</v>
      </c>
      <c r="P967" s="16">
        <f>N967/L967</f>
        <v>0.14929166666666657</v>
      </c>
      <c r="Q967" s="14">
        <v>826894</v>
      </c>
      <c r="R967" s="14"/>
      <c r="S967" s="17">
        <v>0.98987438000000005</v>
      </c>
      <c r="T967" s="15">
        <v>47.78</v>
      </c>
      <c r="U967" s="15">
        <v>40.22</v>
      </c>
      <c r="V967" s="15">
        <v>47.23</v>
      </c>
      <c r="W967" s="14" t="s">
        <v>311</v>
      </c>
      <c r="X967" s="14">
        <v>2</v>
      </c>
      <c r="Y967" s="10">
        <f>AC967-AB967</f>
        <v>9</v>
      </c>
      <c r="Z967" s="18">
        <v>11</v>
      </c>
      <c r="AA967" s="18">
        <v>41</v>
      </c>
      <c r="AB967" s="18">
        <v>0</v>
      </c>
      <c r="AC967" s="18">
        <v>9</v>
      </c>
      <c r="AD967" s="1" t="s">
        <v>7449</v>
      </c>
      <c r="AE967" s="1" t="s">
        <v>3500</v>
      </c>
      <c r="AF967" s="4">
        <v>8.1199999999999992</v>
      </c>
      <c r="AG967" s="4">
        <v>13.03</v>
      </c>
    </row>
    <row r="968" spans="1:33" ht="47.25" customHeight="1" x14ac:dyDescent="0.25">
      <c r="A968" s="10" t="s">
        <v>2561</v>
      </c>
      <c r="B968" s="11" t="s">
        <v>33</v>
      </c>
      <c r="C968" s="12" t="s">
        <v>2562</v>
      </c>
      <c r="D968" s="27"/>
      <c r="E968" s="14" t="s">
        <v>35</v>
      </c>
      <c r="F968" s="11" t="str">
        <f>HYPERLINK("https://redirect.sdcdeals.com/redirect?destination=https%3A%2F%2Fwww.amazon.com%2Fdp%2FB0C885VNC8%3Fth%3D1%26psc%3D1%26tag%3Dsdcdeals03-20", "Amazon Link")</f>
        <v>Amazon Link</v>
      </c>
      <c r="G968" s="11" t="s">
        <v>36</v>
      </c>
      <c r="H968" s="14" t="s">
        <v>2563</v>
      </c>
      <c r="I968" s="11" t="str">
        <f>HYPERLINK("https://redirect.sdcdeals.com/redirect?code=763034&amp;mavely=https://mavely.app.link/e/bhESV2wGrGb&amp;destination=https%3A%2F%2Fwww.kohls.com%2Fsearch.jsp%3Fsubmit-search%3Dweb-regular%26search%3D29813474", "Retail Link")</f>
        <v>Retail Link</v>
      </c>
      <c r="J968" s="14" t="s">
        <v>2515</v>
      </c>
      <c r="K968" s="13" t="s">
        <v>2564</v>
      </c>
      <c r="L968" s="15">
        <v>7.6959999999999997</v>
      </c>
      <c r="M968" s="15">
        <v>19.09</v>
      </c>
      <c r="N968" s="15">
        <v>1.1304999999999981</v>
      </c>
      <c r="O968" s="15">
        <f>V968-M968</f>
        <v>7.4699999999999989</v>
      </c>
      <c r="P968" s="16">
        <f>N968/L968</f>
        <v>0.14689449064449039</v>
      </c>
      <c r="Q968" s="14">
        <v>217505</v>
      </c>
      <c r="R968" s="14"/>
      <c r="S968" s="17">
        <v>1.4793000199999999</v>
      </c>
      <c r="T968" s="15"/>
      <c r="U968" s="15">
        <v>19.09</v>
      </c>
      <c r="V968" s="15">
        <v>26.56</v>
      </c>
      <c r="W968" s="14" t="s">
        <v>2565</v>
      </c>
      <c r="X968" s="14">
        <v>1</v>
      </c>
      <c r="Y968" s="10">
        <f>AC968-AB968</f>
        <v>209</v>
      </c>
      <c r="Z968" s="18">
        <v>14</v>
      </c>
      <c r="AA968" s="18">
        <v>35</v>
      </c>
      <c r="AB968" s="18">
        <v>10</v>
      </c>
      <c r="AC968" s="18">
        <v>219</v>
      </c>
      <c r="AD968" s="1" t="s">
        <v>2566</v>
      </c>
      <c r="AE968" s="1" t="s">
        <v>235</v>
      </c>
      <c r="AG968" s="4">
        <v>7.4</v>
      </c>
    </row>
    <row r="969" spans="1:33" ht="47.25" customHeight="1" x14ac:dyDescent="0.25">
      <c r="A969" s="10" t="s">
        <v>344</v>
      </c>
      <c r="B969" s="11" t="s">
        <v>33</v>
      </c>
      <c r="C969" s="12" t="s">
        <v>345</v>
      </c>
      <c r="D969" s="27"/>
      <c r="E969" s="14" t="s">
        <v>35</v>
      </c>
      <c r="F969" s="11" t="str">
        <f>HYPERLINK("https://redirect.sdcdeals.com/redirect?destination=https%3A%2F%2Fwww.amazon.com%2Fdp%2FB0BKR71BJH%3Fth%3D1%26psc%3D1%26tag%3Dsdcdeals03-20", "Amazon Link")</f>
        <v>Amazon Link</v>
      </c>
      <c r="G969" s="11" t="s">
        <v>36</v>
      </c>
      <c r="H969" s="14" t="s">
        <v>346</v>
      </c>
      <c r="I969" s="11" t="str">
        <f>HYPERLINK("https://redirect.sdcdeals.com/redirect?code=763034&amp;mavely=https://mavely.app.link/e/bhESV2wGrGb&amp;destination=https%3A%2F%2Fwww.kohls.com%2Fsearch.jsp%3Fsubmit-search%3Dweb-regular%26search%3D76899431", "Retail Link")</f>
        <v>Retail Link</v>
      </c>
      <c r="J969" s="14" t="s">
        <v>334</v>
      </c>
      <c r="K969" s="13" t="s">
        <v>347</v>
      </c>
      <c r="L969" s="15">
        <v>18.2</v>
      </c>
      <c r="M969" s="15">
        <v>31.72</v>
      </c>
      <c r="N969" s="15">
        <v>2.6219999999999999</v>
      </c>
      <c r="O969" s="15">
        <f>V969-M969</f>
        <v>4.3900000000000006</v>
      </c>
      <c r="P969" s="16">
        <f>N969/L969</f>
        <v>0.14406593406593407</v>
      </c>
      <c r="Q969" s="14">
        <v>111915</v>
      </c>
      <c r="R969" s="14"/>
      <c r="S969" s="17">
        <v>0.86862028000000002</v>
      </c>
      <c r="T969" s="15">
        <v>31.72</v>
      </c>
      <c r="U969" s="15">
        <v>33.74</v>
      </c>
      <c r="V969" s="15">
        <v>36.11</v>
      </c>
      <c r="W969" s="14" t="s">
        <v>290</v>
      </c>
      <c r="X969" s="14">
        <v>2</v>
      </c>
      <c r="Y969" s="10">
        <f>AC969-AB969</f>
        <v>0</v>
      </c>
      <c r="Z969" s="18">
        <v>9</v>
      </c>
      <c r="AA969" s="18">
        <v>45</v>
      </c>
      <c r="AB969" s="18">
        <v>0</v>
      </c>
      <c r="AC969" s="18"/>
      <c r="AD969" s="1" t="s">
        <v>336</v>
      </c>
      <c r="AE969" s="1" t="s">
        <v>337</v>
      </c>
      <c r="AF969" s="4">
        <v>5.4</v>
      </c>
      <c r="AG969" s="4">
        <v>6.14</v>
      </c>
    </row>
    <row r="970" spans="1:33" ht="47.25" customHeight="1" x14ac:dyDescent="0.25">
      <c r="A970" s="10" t="s">
        <v>6367</v>
      </c>
      <c r="B970" s="11" t="s">
        <v>33</v>
      </c>
      <c r="C970" s="12" t="s">
        <v>6368</v>
      </c>
      <c r="D970" s="27"/>
      <c r="E970" s="14" t="s">
        <v>35</v>
      </c>
      <c r="F970" s="11" t="str">
        <f>HYPERLINK("https://redirect.sdcdeals.com/redirect?destination=https%3A%2F%2Fwww.amazon.com%2Fdp%2FB0CL5D14L3%3Fth%3D1%26psc%3D1%26tag%3Dsdcdeals03-20", "Amazon Link")</f>
        <v>Amazon Link</v>
      </c>
      <c r="G970" s="11" t="s">
        <v>36</v>
      </c>
      <c r="H970" s="14" t="s">
        <v>6369</v>
      </c>
      <c r="I970" s="11" t="str">
        <f>HYPERLINK("https://redirect.sdcdeals.com/redirect?code=763034&amp;mavely=https://mavely.app.link/e/bhESV2wGrGb&amp;destination=https%3A%2F%2Fwww.kohls.com%2Fsearch.jsp%3Fsubmit-search%3Dweb-regular%26search%3D78738273", "Retail Link")</f>
        <v>Retail Link</v>
      </c>
      <c r="J970" s="14" t="s">
        <v>6356</v>
      </c>
      <c r="K970" s="13" t="s">
        <v>6370</v>
      </c>
      <c r="L970" s="15">
        <v>6.4</v>
      </c>
      <c r="M970" s="15">
        <v>14</v>
      </c>
      <c r="N970" s="15">
        <v>0.88999999999999968</v>
      </c>
      <c r="O970" s="15">
        <f>V970-M970</f>
        <v>7.68</v>
      </c>
      <c r="P970" s="16">
        <f>N970/L970</f>
        <v>0.13906249999999995</v>
      </c>
      <c r="Q970" s="14">
        <v>5366526</v>
      </c>
      <c r="R970" s="14"/>
      <c r="S970" s="17">
        <v>0.33069300000000001</v>
      </c>
      <c r="T970" s="15">
        <v>14</v>
      </c>
      <c r="U970" s="15">
        <v>16.760000000000002</v>
      </c>
      <c r="V970" s="15">
        <v>21.68</v>
      </c>
      <c r="W970" s="14" t="s">
        <v>2376</v>
      </c>
      <c r="X970" s="14">
        <v>15</v>
      </c>
      <c r="Y970" s="10">
        <f>AC970-AB970</f>
        <v>0</v>
      </c>
      <c r="Z970" s="18">
        <v>0</v>
      </c>
      <c r="AA970" s="18">
        <v>0</v>
      </c>
      <c r="AB970" s="18">
        <v>0</v>
      </c>
      <c r="AC970" s="18"/>
      <c r="AE970" s="1" t="s">
        <v>1453</v>
      </c>
      <c r="AF970" s="4">
        <v>0.7</v>
      </c>
      <c r="AG970" s="4">
        <v>4.6100000000000003</v>
      </c>
    </row>
    <row r="971" spans="1:33" ht="47.25" customHeight="1" x14ac:dyDescent="0.25">
      <c r="A971" s="10" t="s">
        <v>6910</v>
      </c>
      <c r="B971" s="11" t="s">
        <v>33</v>
      </c>
      <c r="C971" s="12" t="s">
        <v>6911</v>
      </c>
      <c r="D971" s="27"/>
      <c r="E971" s="14" t="s">
        <v>35</v>
      </c>
      <c r="F971" s="11" t="str">
        <f>HYPERLINK("https://redirect.sdcdeals.com/redirect?destination=https%3A%2F%2Fwww.amazon.com%2Fdp%2FB0BKR4YTXG%3Fth%3D1%26psc%3D1%26tag%3Dsdcdeals03-20", "Amazon Link")</f>
        <v>Amazon Link</v>
      </c>
      <c r="G971" s="11" t="s">
        <v>36</v>
      </c>
      <c r="H971" s="14" t="s">
        <v>6912</v>
      </c>
      <c r="I971" s="11" t="str">
        <f>HYPERLINK("https://redirect.sdcdeals.com/redirect?code=763034&amp;mavely=https://mavely.app.link/e/bhESV2wGrGb&amp;destination=https%3A%2F%2Fwww.kohls.com%2Fsearch.jsp%3Fsubmit-search%3Dweb-regular%26search%3D81836399", "Retail Link")</f>
        <v>Retail Link</v>
      </c>
      <c r="J971" s="14" t="s">
        <v>6897</v>
      </c>
      <c r="K971" s="13" t="s">
        <v>6913</v>
      </c>
      <c r="L971" s="15">
        <v>13</v>
      </c>
      <c r="M971" s="15">
        <v>24.36</v>
      </c>
      <c r="N971" s="15">
        <v>1.8059999999999989</v>
      </c>
      <c r="O971" s="15">
        <f>V971-M971</f>
        <v>3.25</v>
      </c>
      <c r="P971" s="16">
        <f>N971/L971</f>
        <v>0.13892307692307684</v>
      </c>
      <c r="Q971" s="14">
        <v>473134</v>
      </c>
      <c r="R971" s="14"/>
      <c r="S971" s="17">
        <v>0.44092399999999998</v>
      </c>
      <c r="T971" s="15">
        <v>24.36</v>
      </c>
      <c r="U971" s="15">
        <v>26</v>
      </c>
      <c r="V971" s="15">
        <v>27.61</v>
      </c>
      <c r="W971" s="14" t="s">
        <v>671</v>
      </c>
      <c r="X971" s="14">
        <v>1</v>
      </c>
      <c r="Y971" s="10">
        <f>AC971-AB971</f>
        <v>14</v>
      </c>
      <c r="Z971" s="18">
        <v>13</v>
      </c>
      <c r="AA971" s="18">
        <v>29</v>
      </c>
      <c r="AB971" s="18">
        <v>1</v>
      </c>
      <c r="AC971" s="18">
        <v>15</v>
      </c>
      <c r="AD971" s="1" t="s">
        <v>6899</v>
      </c>
      <c r="AE971" s="1" t="s">
        <v>6900</v>
      </c>
      <c r="AF971" s="4">
        <v>4.1399999999999997</v>
      </c>
      <c r="AG971" s="4">
        <v>5.9</v>
      </c>
    </row>
    <row r="972" spans="1:33" ht="47.25" customHeight="1" x14ac:dyDescent="0.25">
      <c r="A972" s="10" t="s">
        <v>6375</v>
      </c>
      <c r="B972" s="11" t="s">
        <v>33</v>
      </c>
      <c r="C972" s="12" t="s">
        <v>6376</v>
      </c>
      <c r="D972" s="27"/>
      <c r="E972" s="14" t="s">
        <v>35</v>
      </c>
      <c r="F972" s="11" t="str">
        <f>HYPERLINK("https://redirect.sdcdeals.com/redirect?destination=https%3A%2F%2Fwww.amazon.com%2Fdp%2FB0CL5DBDV2%3Fth%3D1%26psc%3D1%26tag%3Dsdcdeals03-20", "Amazon Link")</f>
        <v>Amazon Link</v>
      </c>
      <c r="G972" s="11" t="s">
        <v>36</v>
      </c>
      <c r="H972" s="14" t="s">
        <v>6377</v>
      </c>
      <c r="I972" s="11" t="str">
        <f>HYPERLINK("https://redirect.sdcdeals.com/redirect?code=763034&amp;mavely=https://mavely.app.link/e/bhESV2wGrGb&amp;destination=https%3A%2F%2Fwww.kohls.com%2Fsearch.jsp%3Fsubmit-search%3Dweb-regular%26search%3D78738275", "Retail Link")</f>
        <v>Retail Link</v>
      </c>
      <c r="J972" s="14" t="s">
        <v>6356</v>
      </c>
      <c r="K972" s="13" t="s">
        <v>6378</v>
      </c>
      <c r="L972" s="15">
        <v>6.4</v>
      </c>
      <c r="M972" s="15">
        <v>13.98</v>
      </c>
      <c r="N972" s="15">
        <v>0.87300000000000022</v>
      </c>
      <c r="O972" s="15">
        <f>V972-M972</f>
        <v>7.4199999999999982</v>
      </c>
      <c r="P972" s="16">
        <f>N972/L972</f>
        <v>0.13640625000000003</v>
      </c>
      <c r="Q972" s="14">
        <v>3847736</v>
      </c>
      <c r="R972" s="14"/>
      <c r="S972" s="17">
        <v>0.33069300000000001</v>
      </c>
      <c r="T972" s="15">
        <v>13.98</v>
      </c>
      <c r="U972" s="15">
        <v>16.62</v>
      </c>
      <c r="V972" s="15">
        <v>21.4</v>
      </c>
      <c r="W972" s="14" t="s">
        <v>6379</v>
      </c>
      <c r="X972" s="14">
        <v>15</v>
      </c>
      <c r="Y972" s="10">
        <f>AC972-AB972</f>
        <v>0</v>
      </c>
      <c r="Z972" s="18">
        <v>1</v>
      </c>
      <c r="AA972" s="18">
        <v>72</v>
      </c>
      <c r="AB972" s="18">
        <v>0</v>
      </c>
      <c r="AC972" s="18"/>
      <c r="AE972" s="1" t="s">
        <v>1453</v>
      </c>
      <c r="AF972" s="4">
        <v>0.7</v>
      </c>
      <c r="AG972" s="4">
        <v>4.6100000000000003</v>
      </c>
    </row>
    <row r="973" spans="1:33" ht="47.25" customHeight="1" x14ac:dyDescent="0.25">
      <c r="A973" s="10" t="s">
        <v>4768</v>
      </c>
      <c r="B973" s="11" t="s">
        <v>33</v>
      </c>
      <c r="C973" s="12" t="s">
        <v>4769</v>
      </c>
      <c r="D973" s="27"/>
      <c r="E973" s="14" t="s">
        <v>35</v>
      </c>
      <c r="F973" s="11" t="str">
        <f>HYPERLINK("https://redirect.sdcdeals.com/redirect?destination=https%3A%2F%2Fwww.amazon.com%2Fdp%2FB09Z3P5YTF%3Fth%3D1%26psc%3D1%26tag%3Dsdcdeals03-20", "Amazon Link")</f>
        <v>Amazon Link</v>
      </c>
      <c r="G973" s="11" t="s">
        <v>36</v>
      </c>
      <c r="H973" s="14" t="s">
        <v>4770</v>
      </c>
      <c r="I973" s="11" t="str">
        <f>HYPERLINK("https://redirect.sdcdeals.com/redirect?code=763034&amp;mavely=https://mavely.app.link/e/bhESV2wGrGb&amp;destination=https%3A%2F%2Fwww.kohls.com%2Fsearch.jsp%3Fsubmit-search%3Dweb-regular%26search%3D34141604", "Retail Link")</f>
        <v>Retail Link</v>
      </c>
      <c r="J973" s="14" t="s">
        <v>4761</v>
      </c>
      <c r="K973" s="13" t="s">
        <v>4771</v>
      </c>
      <c r="L973" s="15">
        <v>13</v>
      </c>
      <c r="M973" s="15">
        <v>24.26</v>
      </c>
      <c r="N973" s="15">
        <v>1.7210000000000021</v>
      </c>
      <c r="O973" s="15">
        <f>V973-M973</f>
        <v>6.16</v>
      </c>
      <c r="P973" s="16">
        <f>N973/L973</f>
        <v>0.13238461538461554</v>
      </c>
      <c r="Q973" s="14">
        <v>273987</v>
      </c>
      <c r="R973" s="14"/>
      <c r="S973" s="17">
        <v>0.46076558000000001</v>
      </c>
      <c r="T973" s="15">
        <v>24.26</v>
      </c>
      <c r="U973" s="15">
        <v>28.81</v>
      </c>
      <c r="V973" s="15">
        <v>30.42</v>
      </c>
      <c r="W973" s="14" t="s">
        <v>240</v>
      </c>
      <c r="X973" s="14">
        <v>6</v>
      </c>
      <c r="Y973" s="10">
        <f>AC973-AB973</f>
        <v>9</v>
      </c>
      <c r="Z973" s="18">
        <v>18</v>
      </c>
      <c r="AA973" s="18">
        <v>44</v>
      </c>
      <c r="AB973" s="18">
        <v>0</v>
      </c>
      <c r="AC973" s="18">
        <v>9</v>
      </c>
      <c r="AD973" s="1" t="s">
        <v>4763</v>
      </c>
      <c r="AE973" s="1" t="s">
        <v>2603</v>
      </c>
      <c r="AF973" s="4">
        <v>4.12</v>
      </c>
      <c r="AG973" s="4">
        <v>5.9</v>
      </c>
    </row>
    <row r="974" spans="1:33" ht="47.25" customHeight="1" x14ac:dyDescent="0.25">
      <c r="A974" s="10" t="s">
        <v>2621</v>
      </c>
      <c r="B974" s="11" t="s">
        <v>33</v>
      </c>
      <c r="C974" s="12" t="s">
        <v>2622</v>
      </c>
      <c r="D974" s="27"/>
      <c r="E974" s="14" t="s">
        <v>35</v>
      </c>
      <c r="F974" s="11" t="str">
        <f>HYPERLINK("https://redirect.sdcdeals.com/redirect?destination=https%3A%2F%2Fwww.amazon.com%2Fdp%2FB0BNR166YW%3Fth%3D1%26psc%3D1%26tag%3Dsdcdeals03-20", "Amazon Link")</f>
        <v>Amazon Link</v>
      </c>
      <c r="G974" s="11" t="s">
        <v>36</v>
      </c>
      <c r="H974" s="14" t="s">
        <v>2623</v>
      </c>
      <c r="I974" s="11" t="str">
        <f>HYPERLINK("https://redirect.sdcdeals.com/redirect?code=763034&amp;mavely=https://mavely.app.link/e/bhESV2wGrGb&amp;destination=https%3A%2F%2Fwww.kohls.com%2Fsearch.jsp%3Fsubmit-search%3Dweb-regular%26search%3D49642719", "Retail Link")</f>
        <v>Retail Link</v>
      </c>
      <c r="J974" s="14" t="s">
        <v>2600</v>
      </c>
      <c r="K974" s="13" t="s">
        <v>2624</v>
      </c>
      <c r="L974" s="15">
        <v>18.2</v>
      </c>
      <c r="M974" s="15">
        <v>31.17</v>
      </c>
      <c r="N974" s="15">
        <v>2.3945000000000038</v>
      </c>
      <c r="O974" s="15">
        <f>V974-M974</f>
        <v>6.9899999999999949</v>
      </c>
      <c r="P974" s="16">
        <f>N974/L974</f>
        <v>0.13156593406593428</v>
      </c>
      <c r="Q974" s="14">
        <v>76198</v>
      </c>
      <c r="R974" s="14"/>
      <c r="S974" s="17">
        <v>0.48942564</v>
      </c>
      <c r="T974" s="15">
        <v>31.17</v>
      </c>
      <c r="U974" s="15">
        <v>41.74</v>
      </c>
      <c r="V974" s="15">
        <v>38.159999999999997</v>
      </c>
      <c r="W974" s="14" t="s">
        <v>311</v>
      </c>
      <c r="X974" s="14">
        <v>6</v>
      </c>
      <c r="Y974" s="10">
        <f>AC974-AB974</f>
        <v>0</v>
      </c>
      <c r="Z974" s="18">
        <v>22</v>
      </c>
      <c r="AA974" s="18">
        <v>63</v>
      </c>
      <c r="AB974" s="18">
        <v>0</v>
      </c>
      <c r="AC974" s="18"/>
      <c r="AD974" s="1" t="s">
        <v>2602</v>
      </c>
      <c r="AE974" s="1" t="s">
        <v>2603</v>
      </c>
      <c r="AF974" s="4">
        <v>5.3</v>
      </c>
      <c r="AG974" s="4">
        <v>5.9</v>
      </c>
    </row>
    <row r="975" spans="1:33" ht="47.25" hidden="1" customHeight="1" x14ac:dyDescent="0.25">
      <c r="A975" s="10" t="s">
        <v>7421</v>
      </c>
      <c r="B975" s="11" t="s">
        <v>33</v>
      </c>
      <c r="C975" s="12" t="s">
        <v>7422</v>
      </c>
      <c r="D975" s="27"/>
      <c r="E975" s="14" t="s">
        <v>35</v>
      </c>
      <c r="F975" s="11" t="str">
        <f>HYPERLINK("https://redirect.sdcdeals.com/redirect?destination=https%3A%2F%2Fwww.amazon.com%2Fdp%2FB0CL5CWFCT%3Fth%3D1%26psc%3D1%26tag%3Dsdcdeals03-20", "Amazon Link")</f>
        <v>Amazon Link</v>
      </c>
      <c r="G975" s="11" t="s">
        <v>36</v>
      </c>
      <c r="H975" s="14" t="s">
        <v>7423</v>
      </c>
      <c r="I975" s="11" t="str">
        <f>HYPERLINK("https://redirect.sdcdeals.com/redirect?code=763034&amp;mavely=https://mavely.app.link/e/bhESV2wGrGb&amp;destination=https%3A%2F%2Fwww.kohls.com%2Fsearch.jsp%3Fsubmit-search%3Dweb-regular%26search%3D65222706", "Retail Link")</f>
        <v>Retail Link</v>
      </c>
      <c r="J975" s="14" t="s">
        <v>7424</v>
      </c>
      <c r="K975" s="13" t="s">
        <v>7425</v>
      </c>
      <c r="L975" s="15">
        <v>6.4</v>
      </c>
      <c r="M975" s="15">
        <v>14</v>
      </c>
      <c r="N975" s="15">
        <v>0.83000000000000007</v>
      </c>
      <c r="O975" s="15">
        <f>V975-M975</f>
        <v>1.6500000000000004</v>
      </c>
      <c r="P975" s="16">
        <f>N975/L975</f>
        <v>0.12968750000000001</v>
      </c>
      <c r="Q975" s="14"/>
      <c r="R975" s="14"/>
      <c r="S975" s="17">
        <v>0.22928048000000001</v>
      </c>
      <c r="T975" s="15">
        <v>14</v>
      </c>
      <c r="U975" s="15">
        <v>15.65</v>
      </c>
      <c r="V975" s="15">
        <v>15.65</v>
      </c>
      <c r="W975" s="14" t="s">
        <v>60</v>
      </c>
      <c r="X975" s="14">
        <v>2</v>
      </c>
      <c r="Y975" s="10">
        <f>AC975-AB975</f>
        <v>870</v>
      </c>
      <c r="Z975" s="18">
        <v>0</v>
      </c>
      <c r="AA975" s="18">
        <v>0</v>
      </c>
      <c r="AB975" s="18">
        <v>0</v>
      </c>
      <c r="AC975" s="18">
        <v>870</v>
      </c>
      <c r="AF975" s="4">
        <v>1.4</v>
      </c>
      <c r="AG975" s="4">
        <v>4.67</v>
      </c>
    </row>
    <row r="976" spans="1:33" ht="47.25" hidden="1" customHeight="1" x14ac:dyDescent="0.25">
      <c r="A976" s="10" t="s">
        <v>7426</v>
      </c>
      <c r="B976" s="11" t="s">
        <v>33</v>
      </c>
      <c r="C976" s="12" t="s">
        <v>7427</v>
      </c>
      <c r="D976" s="27"/>
      <c r="E976" s="14" t="s">
        <v>35</v>
      </c>
      <c r="F976" s="11" t="str">
        <f>HYPERLINK("https://redirect.sdcdeals.com/redirect?destination=https%3A%2F%2Fwww.amazon.com%2Fdp%2FB0CL5DGHGZ%3Fth%3D1%26psc%3D1%26tag%3Dsdcdeals03-20", "Amazon Link")</f>
        <v>Amazon Link</v>
      </c>
      <c r="G976" s="11" t="s">
        <v>36</v>
      </c>
      <c r="H976" s="14" t="s">
        <v>7428</v>
      </c>
      <c r="I976" s="11" t="str">
        <f>HYPERLINK("https://redirect.sdcdeals.com/redirect?code=763034&amp;mavely=https://mavely.app.link/e/bhESV2wGrGb&amp;destination=https%3A%2F%2Fwww.kohls.com%2Fsearch.jsp%3Fsubmit-search%3Dweb-regular%26search%3D65222707", "Retail Link")</f>
        <v>Retail Link</v>
      </c>
      <c r="J976" s="14" t="s">
        <v>7424</v>
      </c>
      <c r="K976" s="13" t="s">
        <v>7429</v>
      </c>
      <c r="L976" s="15">
        <v>6.4</v>
      </c>
      <c r="M976" s="15">
        <v>14</v>
      </c>
      <c r="N976" s="15">
        <v>0.83000000000000007</v>
      </c>
      <c r="O976" s="15">
        <f>V976-M976</f>
        <v>9.3500000000000014</v>
      </c>
      <c r="P976" s="16">
        <f>N976/L976</f>
        <v>0.12968750000000001</v>
      </c>
      <c r="Q976" s="14"/>
      <c r="R976" s="14"/>
      <c r="S976" s="17">
        <v>0.22928048000000001</v>
      </c>
      <c r="T976" s="15">
        <v>14</v>
      </c>
      <c r="U976" s="15">
        <v>17.68</v>
      </c>
      <c r="V976" s="15">
        <v>23.35</v>
      </c>
      <c r="W976" s="14" t="s">
        <v>436</v>
      </c>
      <c r="X976" s="14">
        <v>6</v>
      </c>
      <c r="Y976" s="10">
        <f>AC976-AB976</f>
        <v>0</v>
      </c>
      <c r="Z976" s="18">
        <v>0</v>
      </c>
      <c r="AA976" s="18">
        <v>1</v>
      </c>
      <c r="AB976" s="18">
        <v>0</v>
      </c>
      <c r="AC976" s="18"/>
      <c r="AE976" s="1" t="s">
        <v>7430</v>
      </c>
      <c r="AF976" s="4">
        <v>1.4</v>
      </c>
      <c r="AG976" s="4">
        <v>4.67</v>
      </c>
    </row>
    <row r="977" spans="1:33" ht="47.25" customHeight="1" x14ac:dyDescent="0.25">
      <c r="A977" s="10" t="s">
        <v>7217</v>
      </c>
      <c r="B977" s="11" t="s">
        <v>33</v>
      </c>
      <c r="C977" s="12" t="s">
        <v>7218</v>
      </c>
      <c r="D977" s="27"/>
      <c r="E977" s="14" t="s">
        <v>35</v>
      </c>
      <c r="F977" s="11" t="str">
        <f>HYPERLINK("https://redirect.sdcdeals.com/redirect?destination=https%3A%2F%2Fwww.amazon.com%2Fdp%2FB08NPV15RX%3Fth%3D1%26psc%3D1%26tag%3Dsdcdeals03-20", "Amazon Link")</f>
        <v>Amazon Link</v>
      </c>
      <c r="G977" s="11" t="s">
        <v>36</v>
      </c>
      <c r="H977" s="14" t="s">
        <v>7219</v>
      </c>
      <c r="I977" s="11" t="str">
        <f>HYPERLINK("https://redirect.sdcdeals.com/redirect?code=763034&amp;mavely=https://mavely.app.link/e/bhESV2wGrGb&amp;destination=https%3A%2F%2Fwww.kohls.com%2Fsearch.jsp%3Fsubmit-search%3Dweb-regular%26search%3D71949755", "Retail Link")</f>
        <v>Retail Link</v>
      </c>
      <c r="J977" s="14" t="s">
        <v>7220</v>
      </c>
      <c r="K977" s="13" t="s">
        <v>7221</v>
      </c>
      <c r="L977" s="15">
        <v>8.2799999999999994</v>
      </c>
      <c r="M977" s="15">
        <v>17.940000000000001</v>
      </c>
      <c r="N977" s="15">
        <v>1.0690000000000011</v>
      </c>
      <c r="O977" s="15">
        <f>V977-M977</f>
        <v>9.8999999999999986</v>
      </c>
      <c r="P977" s="16">
        <f>N977/L977</f>
        <v>0.12910628019323686</v>
      </c>
      <c r="Q977" s="14">
        <v>3478016</v>
      </c>
      <c r="R977" s="14"/>
      <c r="S977" s="17">
        <v>0.74957079999999998</v>
      </c>
      <c r="T977" s="15">
        <v>9.9499999999999993</v>
      </c>
      <c r="U977" s="15">
        <v>21.48</v>
      </c>
      <c r="V977" s="15">
        <v>27.84</v>
      </c>
      <c r="W977" s="14" t="s">
        <v>131</v>
      </c>
      <c r="X977" s="14">
        <v>2</v>
      </c>
      <c r="Y977" s="10">
        <f>AC977-AB977</f>
        <v>1</v>
      </c>
      <c r="Z977" s="18">
        <v>0</v>
      </c>
      <c r="AA977" s="18">
        <v>3</v>
      </c>
      <c r="AB977" s="18">
        <v>0</v>
      </c>
      <c r="AC977" s="18">
        <v>1</v>
      </c>
      <c r="AD977" s="1" t="s">
        <v>7222</v>
      </c>
      <c r="AE977" s="1" t="s">
        <v>76</v>
      </c>
      <c r="AF977" s="4">
        <v>1.79</v>
      </c>
      <c r="AG977" s="4">
        <v>5.9</v>
      </c>
    </row>
    <row r="978" spans="1:33" ht="47.25" customHeight="1" x14ac:dyDescent="0.25">
      <c r="A978" s="10" t="s">
        <v>159</v>
      </c>
      <c r="B978" s="11" t="s">
        <v>33</v>
      </c>
      <c r="C978" s="12" t="s">
        <v>160</v>
      </c>
      <c r="D978" s="27"/>
      <c r="E978" s="14" t="s">
        <v>35</v>
      </c>
      <c r="F978" s="11" t="str">
        <f>HYPERLINK("https://redirect.sdcdeals.com/redirect?destination=https%3A%2F%2Fwww.amazon.com%2Fdp%2FB09KMDMRLB%3Fth%3D1%26psc%3D1%26tag%3Dsdcdeals03-20", "Amazon Link")</f>
        <v>Amazon Link</v>
      </c>
      <c r="G978" s="11" t="s">
        <v>36</v>
      </c>
      <c r="H978" s="14" t="s">
        <v>161</v>
      </c>
      <c r="I978" s="11" t="str">
        <f>HYPERLINK("https://redirect.sdcdeals.com/redirect?code=763034&amp;mavely=https://mavely.app.link/e/bhESV2wGrGb&amp;destination=https%3A%2F%2Fwww.kohls.com%2Fsearch.jsp%3Fsubmit-search%3Dweb-regular%26search%3D63856210", "Retail Link")</f>
        <v>Retail Link</v>
      </c>
      <c r="J978" s="14" t="s">
        <v>162</v>
      </c>
      <c r="K978" s="13" t="s">
        <v>163</v>
      </c>
      <c r="L978" s="15">
        <v>53.2</v>
      </c>
      <c r="M978" s="15">
        <v>85.89</v>
      </c>
      <c r="N978" s="15">
        <v>6.7764999999999986</v>
      </c>
      <c r="O978" s="15">
        <f>V978-M978</f>
        <v>12.900000000000006</v>
      </c>
      <c r="P978" s="16">
        <f>N978/L978</f>
        <v>0.12737781954887215</v>
      </c>
      <c r="Q978" s="14">
        <v>440037</v>
      </c>
      <c r="R978" s="14"/>
      <c r="S978" s="17">
        <v>1.52780166</v>
      </c>
      <c r="T978" s="15">
        <v>79.959999999999994</v>
      </c>
      <c r="U978" s="15">
        <v>97.87</v>
      </c>
      <c r="V978" s="15">
        <v>98.79</v>
      </c>
      <c r="W978" s="14" t="s">
        <v>164</v>
      </c>
      <c r="X978" s="14">
        <v>4</v>
      </c>
      <c r="Y978" s="10">
        <f>AC978-AB978</f>
        <v>0</v>
      </c>
      <c r="Z978" s="18">
        <v>20</v>
      </c>
      <c r="AA978" s="18">
        <v>64</v>
      </c>
      <c r="AB978" s="18">
        <v>0</v>
      </c>
      <c r="AC978" s="18"/>
      <c r="AD978" s="1" t="s">
        <v>165</v>
      </c>
      <c r="AE978" s="1" t="s">
        <v>166</v>
      </c>
      <c r="AF978" s="4">
        <v>14.6</v>
      </c>
      <c r="AG978" s="4">
        <v>13.03</v>
      </c>
    </row>
    <row r="979" spans="1:33" ht="47.25" customHeight="1" x14ac:dyDescent="0.25">
      <c r="A979" s="10" t="s">
        <v>6399</v>
      </c>
      <c r="B979" s="11" t="s">
        <v>33</v>
      </c>
      <c r="C979" s="12" t="s">
        <v>6400</v>
      </c>
      <c r="D979" s="27"/>
      <c r="E979" s="14" t="s">
        <v>35</v>
      </c>
      <c r="F979" s="11" t="str">
        <f>HYPERLINK("https://redirect.sdcdeals.com/redirect?destination=https%3A%2F%2Fwww.amazon.com%2Fdp%2FB0CJFRN2J6%3Fth%3D1%26psc%3D1%26tag%3Dsdcdeals03-20", "Amazon Link")</f>
        <v>Amazon Link</v>
      </c>
      <c r="G979" s="11" t="s">
        <v>36</v>
      </c>
      <c r="H979" s="14" t="s">
        <v>6401</v>
      </c>
      <c r="I979" s="11" t="str">
        <f>HYPERLINK("https://redirect.sdcdeals.com/redirect?code=763034&amp;mavely=https://mavely.app.link/e/bhESV2wGrGb&amp;destination=https%3A%2F%2Fwww.kohls.com%2Fsearch.jsp%3Fsubmit-search%3Dweb-regular%26search%3D19951507", "Retail Link")</f>
        <v>Retail Link</v>
      </c>
      <c r="J979" s="14" t="s">
        <v>6383</v>
      </c>
      <c r="K979" s="13" t="s">
        <v>6402</v>
      </c>
      <c r="L979" s="15">
        <v>16.792000000000002</v>
      </c>
      <c r="M979" s="15">
        <v>30.67</v>
      </c>
      <c r="N979" s="15">
        <v>1.9575</v>
      </c>
      <c r="O979" s="15">
        <f>V979-M979</f>
        <v>12.5</v>
      </c>
      <c r="P979" s="16">
        <f>N979/L979</f>
        <v>0.11657336827060504</v>
      </c>
      <c r="Q979" s="14">
        <v>4395950</v>
      </c>
      <c r="R979" s="14"/>
      <c r="S979" s="17">
        <v>2.2928047999999999</v>
      </c>
      <c r="T979" s="15">
        <v>30.67</v>
      </c>
      <c r="U979" s="15">
        <v>39.08</v>
      </c>
      <c r="V979" s="15">
        <v>43.17</v>
      </c>
      <c r="W979" s="14" t="s">
        <v>671</v>
      </c>
      <c r="X979" s="14">
        <v>4</v>
      </c>
      <c r="Y979" s="10">
        <f>AC979-AB979</f>
        <v>1</v>
      </c>
      <c r="Z979" s="18">
        <v>0</v>
      </c>
      <c r="AA979" s="18">
        <v>5</v>
      </c>
      <c r="AB979" s="18">
        <v>1</v>
      </c>
      <c r="AC979" s="18">
        <v>2</v>
      </c>
      <c r="AD979" s="1" t="s">
        <v>6394</v>
      </c>
      <c r="AE979" s="1" t="s">
        <v>4821</v>
      </c>
      <c r="AF979" s="4">
        <v>4.5999999999999996</v>
      </c>
      <c r="AG979" s="4">
        <v>7.32</v>
      </c>
    </row>
    <row r="980" spans="1:33" ht="47.25" hidden="1" customHeight="1" x14ac:dyDescent="0.25">
      <c r="A980" s="10" t="s">
        <v>6258</v>
      </c>
      <c r="B980" s="11" t="s">
        <v>33</v>
      </c>
      <c r="C980" s="12" t="s">
        <v>6259</v>
      </c>
      <c r="D980" s="27"/>
      <c r="E980" s="14" t="s">
        <v>35</v>
      </c>
      <c r="F980" s="11" t="str">
        <f>HYPERLINK("https://redirect.sdcdeals.com/redirect?destination=https%3A%2F%2Fwww.amazon.com%2Fdp%2FB0CL5L72XY%3Fth%3D1%26psc%3D1%26tag%3Dsdcdeals03-20", "Amazon Link")</f>
        <v>Amazon Link</v>
      </c>
      <c r="G980" s="11" t="s">
        <v>36</v>
      </c>
      <c r="H980" s="14" t="s">
        <v>6260</v>
      </c>
      <c r="I980" s="11" t="str">
        <f>HYPERLINK("https://redirect.sdcdeals.com/redirect?code=763034&amp;mavely=https://mavely.app.link/e/bhESV2wGrGb&amp;destination=https%3A%2F%2Fwww.kohls.com%2Fsearch.jsp%3Fsubmit-search%3Dweb-regular%26search%3D78299456", "Retail Link")</f>
        <v>Retail Link</v>
      </c>
      <c r="J980" s="14" t="s">
        <v>6242</v>
      </c>
      <c r="K980" s="13" t="s">
        <v>6261</v>
      </c>
      <c r="L980" s="15">
        <v>7.6000000000000014</v>
      </c>
      <c r="M980" s="15">
        <v>17.989999999999998</v>
      </c>
      <c r="N980" s="15">
        <v>0.88149999999999551</v>
      </c>
      <c r="O980" s="15">
        <f>V980-M980</f>
        <v>9.4400000000000013</v>
      </c>
      <c r="P980" s="16">
        <f>N980/L980</f>
        <v>0.11598684210526254</v>
      </c>
      <c r="Q980" s="14"/>
      <c r="R980" s="14"/>
      <c r="S980" s="17">
        <v>2.7800258200000001</v>
      </c>
      <c r="T980" s="15">
        <v>17.989999999999998</v>
      </c>
      <c r="U980" s="15">
        <v>22.09</v>
      </c>
      <c r="V980" s="15">
        <v>27.43</v>
      </c>
      <c r="W980" s="14" t="s">
        <v>40</v>
      </c>
      <c r="X980" s="14">
        <v>7</v>
      </c>
      <c r="Y980" s="10">
        <f>AC980-AB980</f>
        <v>0</v>
      </c>
      <c r="Z980" s="18">
        <v>0</v>
      </c>
      <c r="AA980" s="18">
        <v>68</v>
      </c>
      <c r="AB980" s="18">
        <v>0</v>
      </c>
      <c r="AC980" s="18"/>
      <c r="AE980" s="1" t="s">
        <v>6252</v>
      </c>
      <c r="AF980" s="4">
        <v>3.06</v>
      </c>
      <c r="AG980" s="4">
        <v>6.81</v>
      </c>
    </row>
    <row r="981" spans="1:33" ht="47.25" customHeight="1" x14ac:dyDescent="0.25">
      <c r="A981" s="10" t="s">
        <v>6395</v>
      </c>
      <c r="B981" s="11" t="s">
        <v>33</v>
      </c>
      <c r="C981" s="12" t="s">
        <v>6396</v>
      </c>
      <c r="D981" s="27"/>
      <c r="E981" s="14" t="s">
        <v>35</v>
      </c>
      <c r="F981" s="11" t="str">
        <f>HYPERLINK("https://redirect.sdcdeals.com/redirect?destination=https%3A%2F%2Fwww.amazon.com%2Fdp%2FB0CJFRQH14%3Fth%3D1%26psc%3D1%26tag%3Dsdcdeals03-20", "Amazon Link")</f>
        <v>Amazon Link</v>
      </c>
      <c r="G981" s="11" t="s">
        <v>36</v>
      </c>
      <c r="H981" s="14" t="s">
        <v>6397</v>
      </c>
      <c r="I981" s="11" t="str">
        <f>HYPERLINK("https://redirect.sdcdeals.com/redirect?code=763034&amp;mavely=https://mavely.app.link/e/bhESV2wGrGb&amp;destination=https%3A%2F%2Fwww.kohls.com%2Fsearch.jsp%3Fsubmit-search%3Dweb-regular%26search%3D19951497", "Retail Link")</f>
        <v>Retail Link</v>
      </c>
      <c r="J981" s="14" t="s">
        <v>6383</v>
      </c>
      <c r="K981" s="13" t="s">
        <v>6398</v>
      </c>
      <c r="L981" s="15">
        <v>16.792000000000002</v>
      </c>
      <c r="M981" s="15">
        <v>30.54</v>
      </c>
      <c r="N981" s="15">
        <v>1.927</v>
      </c>
      <c r="O981" s="15">
        <f>V981-M981</f>
        <v>4.490000000000002</v>
      </c>
      <c r="P981" s="16">
        <f>N981/L981</f>
        <v>0.11475702715578846</v>
      </c>
      <c r="Q981" s="14">
        <v>4397157</v>
      </c>
      <c r="R981" s="14"/>
      <c r="S981" s="17">
        <v>2.0833659</v>
      </c>
      <c r="T981" s="15">
        <v>30.53</v>
      </c>
      <c r="U981" s="15">
        <v>32.549999999999997</v>
      </c>
      <c r="V981" s="15">
        <v>35.03</v>
      </c>
      <c r="W981" s="14" t="s">
        <v>2099</v>
      </c>
      <c r="X981" s="14">
        <v>4</v>
      </c>
      <c r="Y981" s="10">
        <f>AC981-AB981</f>
        <v>0</v>
      </c>
      <c r="Z981" s="18">
        <v>0</v>
      </c>
      <c r="AA981" s="18">
        <v>5</v>
      </c>
      <c r="AB981" s="18">
        <v>0</v>
      </c>
      <c r="AC981" s="18"/>
      <c r="AD981" s="1" t="s">
        <v>6394</v>
      </c>
      <c r="AE981" s="1" t="s">
        <v>4821</v>
      </c>
      <c r="AF981" s="4">
        <v>4.58</v>
      </c>
      <c r="AG981" s="4">
        <v>7.24</v>
      </c>
    </row>
    <row r="982" spans="1:33" ht="47.25" customHeight="1" x14ac:dyDescent="0.25">
      <c r="A982" s="10" t="s">
        <v>1960</v>
      </c>
      <c r="B982" s="11" t="s">
        <v>33</v>
      </c>
      <c r="C982" s="12" t="s">
        <v>1961</v>
      </c>
      <c r="D982" s="27"/>
      <c r="E982" s="14" t="s">
        <v>35</v>
      </c>
      <c r="F982" s="11" t="str">
        <f>HYPERLINK("https://redirect.sdcdeals.com/redirect?destination=https%3A%2F%2Fwww.amazon.com%2Fdp%2FB0883NZC1Z%3Fth%3D1%26psc%3D1%26tag%3Dsdcdeals03-20", "Amazon Link")</f>
        <v>Amazon Link</v>
      </c>
      <c r="G982" s="11" t="s">
        <v>36</v>
      </c>
      <c r="H982" s="14" t="s">
        <v>1962</v>
      </c>
      <c r="I982" s="11" t="str">
        <f>HYPERLINK("https://redirect.sdcdeals.com/redirect?code=763034&amp;mavely=https://mavely.app.link/e/bhESV2wGrGb&amp;destination=https%3A%2F%2Fwww.kohls.com%2Fsearch.jsp%3Fsubmit-search%3Dweb-regular%26search%3D71946777", "Retail Link")</f>
        <v>Retail Link</v>
      </c>
      <c r="J982" s="14" t="s">
        <v>1963</v>
      </c>
      <c r="K982" s="13" t="s">
        <v>1964</v>
      </c>
      <c r="L982" s="15">
        <v>9.6000000000000014</v>
      </c>
      <c r="M982" s="15">
        <v>19.47</v>
      </c>
      <c r="N982" s="15">
        <v>1.049499999999997</v>
      </c>
      <c r="O982" s="15">
        <f>V982-M982</f>
        <v>4.870000000000001</v>
      </c>
      <c r="P982" s="16">
        <f>N982/L982</f>
        <v>0.10932291666666634</v>
      </c>
      <c r="Q982" s="14">
        <v>36182</v>
      </c>
      <c r="R982" s="14"/>
      <c r="S982" s="17">
        <v>0.77382161999999999</v>
      </c>
      <c r="T982" s="15">
        <v>19.47</v>
      </c>
      <c r="U982" s="15">
        <v>35.450000000000003</v>
      </c>
      <c r="V982" s="15">
        <v>24.34</v>
      </c>
      <c r="W982" s="14" t="s">
        <v>1965</v>
      </c>
      <c r="X982" s="14">
        <v>1</v>
      </c>
      <c r="Y982" s="10">
        <f>AC982-AB982</f>
        <v>4853</v>
      </c>
      <c r="Z982" s="18">
        <v>52</v>
      </c>
      <c r="AA982" s="18">
        <v>109</v>
      </c>
      <c r="AB982" s="18">
        <v>38</v>
      </c>
      <c r="AC982" s="18">
        <v>4891</v>
      </c>
      <c r="AD982" s="1" t="s">
        <v>1966</v>
      </c>
      <c r="AE982" s="1" t="s">
        <v>1967</v>
      </c>
      <c r="AG982" s="4">
        <v>5.9</v>
      </c>
    </row>
    <row r="983" spans="1:33" ht="47.25" customHeight="1" x14ac:dyDescent="0.25">
      <c r="A983" s="10" t="s">
        <v>1978</v>
      </c>
      <c r="B983" s="11" t="s">
        <v>33</v>
      </c>
      <c r="C983" s="12" t="s">
        <v>1979</v>
      </c>
      <c r="D983" s="27"/>
      <c r="E983" s="14" t="s">
        <v>35</v>
      </c>
      <c r="F983" s="11" t="str">
        <f>HYPERLINK("https://redirect.sdcdeals.com/redirect?destination=https%3A%2F%2Fwww.amazon.com%2Fdp%2FB0883Q56M4%3Fth%3D1%26psc%3D1%26tag%3Dsdcdeals03-20", "Amazon Link")</f>
        <v>Amazon Link</v>
      </c>
      <c r="G983" s="11" t="s">
        <v>36</v>
      </c>
      <c r="H983" s="14" t="s">
        <v>1980</v>
      </c>
      <c r="I983" s="11" t="str">
        <f>HYPERLINK("https://redirect.sdcdeals.com/redirect?code=763034&amp;mavely=https://mavely.app.link/e/bhESV2wGrGb&amp;destination=https%3A%2F%2Fwww.kohls.com%2Fsearch.jsp%3Fsubmit-search%3Dweb-regular%26search%3D18950388", "Retail Link")</f>
        <v>Retail Link</v>
      </c>
      <c r="J983" s="14" t="s">
        <v>1963</v>
      </c>
      <c r="K983" s="13" t="s">
        <v>1981</v>
      </c>
      <c r="L983" s="15">
        <v>9.6000000000000014</v>
      </c>
      <c r="M983" s="15">
        <v>19.47</v>
      </c>
      <c r="N983" s="15">
        <v>1.049499999999997</v>
      </c>
      <c r="O983" s="15">
        <f>V983-M983</f>
        <v>23.700000000000003</v>
      </c>
      <c r="P983" s="16">
        <f>N983/L983</f>
        <v>0.10932291666666634</v>
      </c>
      <c r="Q983" s="14">
        <v>36182</v>
      </c>
      <c r="R983" s="14"/>
      <c r="S983" s="17">
        <v>0.79145858000000002</v>
      </c>
      <c r="T983" s="15">
        <v>19.47</v>
      </c>
      <c r="U983" s="15">
        <v>43.17</v>
      </c>
      <c r="V983" s="15">
        <v>43.17</v>
      </c>
      <c r="W983" s="14" t="s">
        <v>926</v>
      </c>
      <c r="X983" s="14">
        <v>2</v>
      </c>
      <c r="Y983" s="10">
        <f>AC983-AB983</f>
        <v>4833</v>
      </c>
      <c r="Z983" s="18">
        <v>56</v>
      </c>
      <c r="AA983" s="18">
        <v>145</v>
      </c>
      <c r="AB983" s="18">
        <v>58</v>
      </c>
      <c r="AC983" s="18">
        <v>4891</v>
      </c>
      <c r="AD983" s="1" t="s">
        <v>1966</v>
      </c>
      <c r="AE983" s="1" t="s">
        <v>1967</v>
      </c>
      <c r="AG983" s="4">
        <v>5.9</v>
      </c>
    </row>
    <row r="984" spans="1:33" ht="47.25" customHeight="1" x14ac:dyDescent="0.25">
      <c r="A984" s="10" t="s">
        <v>2431</v>
      </c>
      <c r="B984" s="11" t="s">
        <v>33</v>
      </c>
      <c r="C984" s="12" t="s">
        <v>2432</v>
      </c>
      <c r="D984" s="27"/>
      <c r="E984" s="14" t="s">
        <v>35</v>
      </c>
      <c r="F984" s="11" t="str">
        <f>HYPERLINK("https://redirect.sdcdeals.com/redirect?destination=https%3A%2F%2Fwww.amazon.com%2Fdp%2FB0BV2WMT1F%3Fth%3D1%26psc%3D1%26tag%3Dsdcdeals03-20", "Amazon Link")</f>
        <v>Amazon Link</v>
      </c>
      <c r="G984" s="11" t="s">
        <v>36</v>
      </c>
      <c r="H984" s="14" t="s">
        <v>2433</v>
      </c>
      <c r="I984" s="11" t="str">
        <f>HYPERLINK("https://redirect.sdcdeals.com/redirect?code=763034&amp;mavely=https://mavely.app.link/e/bhESV2wGrGb&amp;destination=https%3A%2F%2Fwww.kohls.com%2Fsearch.jsp%3Fsubmit-search%3Dweb-regular%26search%3D67089091", "Retail Link")</f>
        <v>Retail Link</v>
      </c>
      <c r="J984" s="14" t="s">
        <v>2427</v>
      </c>
      <c r="K984" s="13" t="s">
        <v>2434</v>
      </c>
      <c r="L984" s="15">
        <v>33.6</v>
      </c>
      <c r="M984" s="15">
        <v>49.58</v>
      </c>
      <c r="N984" s="15">
        <v>3.4230000000000018</v>
      </c>
      <c r="O984" s="15">
        <f>V984-M984</f>
        <v>-5.3699999999999974</v>
      </c>
      <c r="P984" s="16">
        <f>N984/L984</f>
        <v>0.10187500000000005</v>
      </c>
      <c r="Q984" s="14">
        <v>197779</v>
      </c>
      <c r="R984" s="14"/>
      <c r="S984" s="17">
        <v>0.67902295999999995</v>
      </c>
      <c r="T984" s="15">
        <v>49.58</v>
      </c>
      <c r="U984" s="15">
        <v>46.34</v>
      </c>
      <c r="V984" s="15">
        <v>44.21</v>
      </c>
      <c r="W984" s="14" t="s">
        <v>88</v>
      </c>
      <c r="X984" s="14">
        <v>2</v>
      </c>
      <c r="Y984" s="10">
        <f>AC984-AB984</f>
        <v>613</v>
      </c>
      <c r="Z984" s="18">
        <v>22</v>
      </c>
      <c r="AA984" s="18">
        <v>72</v>
      </c>
      <c r="AB984" s="18">
        <v>0</v>
      </c>
      <c r="AC984" s="18">
        <v>613</v>
      </c>
      <c r="AD984" s="1" t="s">
        <v>2435</v>
      </c>
      <c r="AE984" s="1" t="s">
        <v>2436</v>
      </c>
      <c r="AF984" s="4">
        <v>8.43</v>
      </c>
      <c r="AG984" s="4">
        <v>5.12</v>
      </c>
    </row>
    <row r="985" spans="1:33" ht="47.25" customHeight="1" x14ac:dyDescent="0.25">
      <c r="A985" s="10" t="s">
        <v>5253</v>
      </c>
      <c r="B985" s="11" t="s">
        <v>33</v>
      </c>
      <c r="C985" s="12" t="s">
        <v>5254</v>
      </c>
      <c r="D985" s="27"/>
      <c r="E985" s="14" t="s">
        <v>35</v>
      </c>
      <c r="F985" s="11" t="str">
        <f>HYPERLINK("https://redirect.sdcdeals.com/redirect?destination=https%3A%2F%2Fwww.amazon.com%2Fdp%2FB093G54WZ4%3Fth%3D1%26psc%3D1%26tag%3Dsdcdeals03-20", "Amazon Link")</f>
        <v>Amazon Link</v>
      </c>
      <c r="G985" s="11" t="s">
        <v>36</v>
      </c>
      <c r="H985" s="14" t="s">
        <v>5255</v>
      </c>
      <c r="I985" s="11" t="str">
        <f>HYPERLINK("https://redirect.sdcdeals.com/redirect?code=763034&amp;mavely=https://mavely.app.link/e/bhESV2wGrGb&amp;destination=https%3A%2F%2Fwww.kohls.com%2Fsearch.jsp%3Fsubmit-search%3Dweb-regular%26search%3D72098941", "Retail Link")</f>
        <v>Retail Link</v>
      </c>
      <c r="J985" s="14" t="s">
        <v>5206</v>
      </c>
      <c r="K985" s="13" t="s">
        <v>5256</v>
      </c>
      <c r="L985" s="15">
        <v>8.4</v>
      </c>
      <c r="M985" s="15">
        <v>14.68</v>
      </c>
      <c r="N985" s="15">
        <v>0.80799999999999983</v>
      </c>
      <c r="O985" s="15">
        <f>V985-M985</f>
        <v>6.370000000000001</v>
      </c>
      <c r="P985" s="16">
        <f>N985/L985</f>
        <v>9.619047619047616E-2</v>
      </c>
      <c r="Q985" s="14">
        <v>104530</v>
      </c>
      <c r="R985" s="14"/>
      <c r="S985" s="17">
        <v>0.17636959999999999</v>
      </c>
      <c r="T985" s="15">
        <v>9</v>
      </c>
      <c r="U985" s="15">
        <v>18.8</v>
      </c>
      <c r="V985" s="15">
        <v>21.05</v>
      </c>
      <c r="W985" s="14" t="s">
        <v>2804</v>
      </c>
      <c r="X985" s="14">
        <v>10</v>
      </c>
      <c r="Y985" s="10">
        <f>AC985-AB985</f>
        <v>118</v>
      </c>
      <c r="Z985" s="18">
        <v>31</v>
      </c>
      <c r="AA985" s="18">
        <v>87</v>
      </c>
      <c r="AB985" s="18">
        <v>0</v>
      </c>
      <c r="AC985" s="18">
        <v>118</v>
      </c>
      <c r="AD985" s="1" t="s">
        <v>5208</v>
      </c>
      <c r="AE985" s="1" t="s">
        <v>278</v>
      </c>
      <c r="AF985" s="4">
        <v>0.73</v>
      </c>
      <c r="AG985" s="4">
        <v>3.27</v>
      </c>
    </row>
    <row r="986" spans="1:33" ht="47.25" customHeight="1" x14ac:dyDescent="0.25">
      <c r="A986" s="10" t="s">
        <v>3044</v>
      </c>
      <c r="B986" s="11" t="s">
        <v>33</v>
      </c>
      <c r="C986" s="12" t="s">
        <v>3045</v>
      </c>
      <c r="D986" s="27"/>
      <c r="E986" s="14" t="s">
        <v>35</v>
      </c>
      <c r="F986" s="11" t="str">
        <f>HYPERLINK("https://redirect.sdcdeals.com/redirect?destination=https%3A%2F%2Fwww.amazon.com%2Fdp%2FB0CF6BFXVY%3Fth%3D1%26psc%3D1%26tag%3Dsdcdeals03-20", "Amazon Link")</f>
        <v>Amazon Link</v>
      </c>
      <c r="G986" s="11" t="s">
        <v>36</v>
      </c>
      <c r="H986" s="14" t="s">
        <v>3046</v>
      </c>
      <c r="I986" s="11" t="str">
        <f>HYPERLINK("https://redirect.sdcdeals.com/redirect?code=763034&amp;mavely=https://mavely.app.link/e/bhESV2wGrGb&amp;destination=https%3A%2F%2Fwww.kohls.com%2Fsearch.jsp%3Fsubmit-search%3Dweb-regular%26search%3D49607313", "Retail Link")</f>
        <v>Retail Link</v>
      </c>
      <c r="J986" s="14" t="s">
        <v>3047</v>
      </c>
      <c r="K986" s="13" t="s">
        <v>3048</v>
      </c>
      <c r="L986" s="15">
        <v>8</v>
      </c>
      <c r="M986" s="15">
        <v>17.940000000000001</v>
      </c>
      <c r="N986" s="15">
        <v>0.76900000000000013</v>
      </c>
      <c r="O986" s="15">
        <f>V986-M986</f>
        <v>1.8399999999999999</v>
      </c>
      <c r="P986" s="16">
        <f>N986/L986</f>
        <v>9.6125000000000016E-2</v>
      </c>
      <c r="Q986" s="14">
        <v>1737431</v>
      </c>
      <c r="R986" s="14"/>
      <c r="S986" s="17">
        <v>0.48942564</v>
      </c>
      <c r="T986" s="15">
        <v>17.940000000000001</v>
      </c>
      <c r="U986" s="15">
        <v>19.73</v>
      </c>
      <c r="V986" s="15">
        <v>19.78</v>
      </c>
      <c r="W986" s="14" t="s">
        <v>598</v>
      </c>
      <c r="X986" s="14">
        <v>5</v>
      </c>
      <c r="Y986" s="10">
        <f>AC986-AB986</f>
        <v>0</v>
      </c>
      <c r="Z986" s="18">
        <v>5</v>
      </c>
      <c r="AA986" s="18">
        <v>9</v>
      </c>
      <c r="AB986" s="18">
        <v>0</v>
      </c>
      <c r="AC986" s="18"/>
      <c r="AD986" s="1" t="s">
        <v>3049</v>
      </c>
      <c r="AE986" s="1" t="s">
        <v>235</v>
      </c>
      <c r="AG986" s="4">
        <v>6.48</v>
      </c>
    </row>
    <row r="987" spans="1:33" ht="47.25" customHeight="1" x14ac:dyDescent="0.25">
      <c r="A987" s="10" t="s">
        <v>1294</v>
      </c>
      <c r="B987" s="11" t="s">
        <v>33</v>
      </c>
      <c r="C987" s="12" t="s">
        <v>1295</v>
      </c>
      <c r="D987" s="27"/>
      <c r="E987" s="14" t="s">
        <v>35</v>
      </c>
      <c r="F987" s="11" t="str">
        <f>HYPERLINK("https://redirect.sdcdeals.com/redirect?destination=https%3A%2F%2Fwww.amazon.com%2Fdp%2FB09N682CBZ%3Fth%3D1%26psc%3D1%26tag%3Dsdcdeals03-20", "Amazon Link")</f>
        <v>Amazon Link</v>
      </c>
      <c r="G987" s="11" t="s">
        <v>36</v>
      </c>
      <c r="H987" s="14" t="s">
        <v>1296</v>
      </c>
      <c r="I987" s="11" t="str">
        <f>HYPERLINK("https://redirect.sdcdeals.com/redirect?code=763034&amp;mavely=https://mavely.app.link/e/bhESV2wGrGb&amp;destination=https%3A%2F%2Fwww.kohls.com%2Fsearch.jsp%3Fsubmit-search%3Dweb-regular%26search%3D60161507", "Retail Link")</f>
        <v>Retail Link</v>
      </c>
      <c r="J987" s="14" t="s">
        <v>1290</v>
      </c>
      <c r="K987" s="13" t="s">
        <v>1297</v>
      </c>
      <c r="L987" s="15">
        <v>39.991999999999997</v>
      </c>
      <c r="M987" s="15">
        <v>59.99</v>
      </c>
      <c r="N987" s="15">
        <v>3.7595000000000032</v>
      </c>
      <c r="O987" s="15">
        <f>V987-M987</f>
        <v>-10.210000000000001</v>
      </c>
      <c r="P987" s="16">
        <f>N987/L987</f>
        <v>9.400630126025214E-2</v>
      </c>
      <c r="Q987" s="14">
        <v>5499</v>
      </c>
      <c r="R987" s="14"/>
      <c r="S987" s="17">
        <v>1.5410293799999999</v>
      </c>
      <c r="T987" s="15"/>
      <c r="U987" s="15">
        <v>59.99</v>
      </c>
      <c r="V987" s="15">
        <v>49.78</v>
      </c>
      <c r="W987" s="14" t="s">
        <v>100</v>
      </c>
      <c r="X987" s="14">
        <v>1</v>
      </c>
      <c r="Y987" s="10">
        <f>AC987-AB987</f>
        <v>23928</v>
      </c>
      <c r="Z987" s="18">
        <v>15</v>
      </c>
      <c r="AA987" s="18">
        <v>53</v>
      </c>
      <c r="AB987" s="18">
        <v>0</v>
      </c>
      <c r="AC987" s="18">
        <v>23928</v>
      </c>
      <c r="AD987" s="1" t="s">
        <v>1292</v>
      </c>
      <c r="AE987" s="1" t="s">
        <v>1293</v>
      </c>
      <c r="AG987" s="4">
        <v>7.24</v>
      </c>
    </row>
    <row r="988" spans="1:33" ht="47.25" customHeight="1" x14ac:dyDescent="0.25">
      <c r="A988" s="10" t="s">
        <v>5213</v>
      </c>
      <c r="B988" s="11" t="s">
        <v>33</v>
      </c>
      <c r="C988" s="12" t="s">
        <v>5214</v>
      </c>
      <c r="D988" s="27"/>
      <c r="E988" s="14" t="s">
        <v>35</v>
      </c>
      <c r="F988" s="11" t="str">
        <f>HYPERLINK("https://redirect.sdcdeals.com/redirect?destination=https%3A%2F%2Fwww.amazon.com%2Fdp%2FB093QYGPWX%3Fth%3D1%26psc%3D1%26tag%3Dsdcdeals03-20", "Amazon Link")</f>
        <v>Amazon Link</v>
      </c>
      <c r="G988" s="11" t="s">
        <v>36</v>
      </c>
      <c r="H988" s="14" t="s">
        <v>5215</v>
      </c>
      <c r="I988" s="11" t="str">
        <f>HYPERLINK("https://redirect.sdcdeals.com/redirect?code=763034&amp;mavely=https://mavely.app.link/e/bhESV2wGrGb&amp;destination=https%3A%2F%2Fwww.kohls.com%2Fsearch.jsp%3Fsubmit-search%3Dweb-regular%26search%3D37910680", "Retail Link")</f>
        <v>Retail Link</v>
      </c>
      <c r="J988" s="14" t="s">
        <v>5206</v>
      </c>
      <c r="K988" s="13" t="s">
        <v>5216</v>
      </c>
      <c r="L988" s="15">
        <v>8.4</v>
      </c>
      <c r="M988" s="15">
        <v>17.7</v>
      </c>
      <c r="N988" s="15">
        <v>0.74499999999999744</v>
      </c>
      <c r="O988" s="15">
        <f>V988-M988</f>
        <v>3.7600000000000016</v>
      </c>
      <c r="P988" s="16">
        <f>N988/L988</f>
        <v>8.8690476190475875E-2</v>
      </c>
      <c r="Q988" s="14">
        <v>109351</v>
      </c>
      <c r="R988" s="14"/>
      <c r="S988" s="17">
        <v>0.27337287999999998</v>
      </c>
      <c r="T988" s="15">
        <v>17.7</v>
      </c>
      <c r="U988" s="15">
        <v>20.190000000000001</v>
      </c>
      <c r="V988" s="15">
        <v>21.46</v>
      </c>
      <c r="W988" s="14" t="s">
        <v>164</v>
      </c>
      <c r="X988" s="14">
        <v>4</v>
      </c>
      <c r="Y988" s="10">
        <f>AC988-AB988</f>
        <v>118</v>
      </c>
      <c r="Z988" s="18">
        <v>23</v>
      </c>
      <c r="AA988" s="18">
        <v>71</v>
      </c>
      <c r="AB988" s="18">
        <v>0</v>
      </c>
      <c r="AC988" s="18">
        <v>118</v>
      </c>
      <c r="AD988" s="1" t="s">
        <v>5208</v>
      </c>
      <c r="AE988" s="1" t="s">
        <v>273</v>
      </c>
      <c r="AG988" s="4">
        <v>5.9</v>
      </c>
    </row>
    <row r="989" spans="1:33" ht="47.25" hidden="1" customHeight="1" x14ac:dyDescent="0.25">
      <c r="A989" s="10" t="s">
        <v>5101</v>
      </c>
      <c r="B989" s="11" t="s">
        <v>33</v>
      </c>
      <c r="C989" s="12" t="s">
        <v>5102</v>
      </c>
      <c r="D989" s="27"/>
      <c r="E989" s="14" t="s">
        <v>35</v>
      </c>
      <c r="F989" s="11" t="str">
        <f>HYPERLINK("https://redirect.sdcdeals.com/redirect?destination=https%3A%2F%2Fwww.amazon.com%2Fdp%2FB0CL5K8C7L%3Fth%3D1%26psc%3D1%26tag%3Dsdcdeals03-20", "Amazon Link")</f>
        <v>Amazon Link</v>
      </c>
      <c r="G989" s="11" t="s">
        <v>36</v>
      </c>
      <c r="H989" s="14" t="s">
        <v>5103</v>
      </c>
      <c r="I989" s="11" t="str">
        <f>HYPERLINK("https://redirect.sdcdeals.com/redirect?code=763034&amp;mavely=https://mavely.app.link/e/bhESV2wGrGb&amp;destination=https%3A%2F%2Fwww.kohls.com%2Fsearch.jsp%3Fsubmit-search%3Dweb-regular%26search%3D18796708", "Retail Link")</f>
        <v>Retail Link</v>
      </c>
      <c r="J989" s="14" t="s">
        <v>5090</v>
      </c>
      <c r="K989" s="13" t="s">
        <v>5104</v>
      </c>
      <c r="L989" s="15">
        <v>7.6000000000000014</v>
      </c>
      <c r="M989" s="15">
        <v>16.809999999999999</v>
      </c>
      <c r="N989" s="15">
        <v>0.6684999999999981</v>
      </c>
      <c r="O989" s="15">
        <f>V989-M989</f>
        <v>11.25</v>
      </c>
      <c r="P989" s="16">
        <f>N989/L989</f>
        <v>8.7960526315789211E-2</v>
      </c>
      <c r="Q989" s="14"/>
      <c r="R989" s="14"/>
      <c r="S989" s="17">
        <v>0.46076558000000001</v>
      </c>
      <c r="T989" s="15">
        <v>16.809999999999999</v>
      </c>
      <c r="U989" s="15">
        <v>22.36</v>
      </c>
      <c r="V989" s="15">
        <v>28.06</v>
      </c>
      <c r="W989" s="14" t="s">
        <v>5105</v>
      </c>
      <c r="X989" s="14">
        <v>6</v>
      </c>
      <c r="Y989" s="10">
        <f>AC989-AB989</f>
        <v>0</v>
      </c>
      <c r="Z989" s="18">
        <v>0</v>
      </c>
      <c r="AA989" s="18">
        <v>0</v>
      </c>
      <c r="AB989" s="18">
        <v>0</v>
      </c>
      <c r="AC989" s="18"/>
      <c r="AE989" s="1" t="s">
        <v>5092</v>
      </c>
      <c r="AF989" s="4">
        <v>2.86</v>
      </c>
      <c r="AG989" s="4">
        <v>6.02</v>
      </c>
    </row>
    <row r="990" spans="1:33" ht="47.25" customHeight="1" x14ac:dyDescent="0.25">
      <c r="A990" s="10" t="s">
        <v>1365</v>
      </c>
      <c r="B990" s="11" t="s">
        <v>33</v>
      </c>
      <c r="C990" s="12" t="s">
        <v>1366</v>
      </c>
      <c r="D990" s="27"/>
      <c r="E990" s="14" t="s">
        <v>35</v>
      </c>
      <c r="F990" s="11" t="str">
        <f>HYPERLINK("https://redirect.sdcdeals.com/redirect?destination=https%3A%2F%2Fwww.amazon.com%2Fdp%2FB0CH876QJ6%3Fth%3D1%26psc%3D1%26tag%3Dsdcdeals03-20", "Amazon Link")</f>
        <v>Amazon Link</v>
      </c>
      <c r="G990" s="11" t="s">
        <v>36</v>
      </c>
      <c r="H990" s="14" t="s">
        <v>1367</v>
      </c>
      <c r="I990" s="11" t="str">
        <f>HYPERLINK("https://redirect.sdcdeals.com/redirect?code=763034&amp;mavely=https://mavely.app.link/e/bhESV2wGrGb&amp;destination=https%3A%2F%2Fwww.kohls.com%2Fsearch.jsp%3Fsubmit-search%3Dweb-regular%26search%3D20110856", "Retail Link")</f>
        <v>Retail Link</v>
      </c>
      <c r="J990" s="14" t="s">
        <v>1368</v>
      </c>
      <c r="K990" s="13" t="s">
        <v>1369</v>
      </c>
      <c r="L990" s="15">
        <v>9.6000000000000014</v>
      </c>
      <c r="M990" s="15">
        <v>19.2</v>
      </c>
      <c r="N990" s="15">
        <v>0.81999999999999851</v>
      </c>
      <c r="O990" s="15">
        <f>V990-M990</f>
        <v>5.2899999999999991</v>
      </c>
      <c r="P990" s="16">
        <f>N990/L990</f>
        <v>8.5416666666666502E-2</v>
      </c>
      <c r="Q990" s="14">
        <v>3616579</v>
      </c>
      <c r="R990" s="14"/>
      <c r="S990" s="17">
        <v>0.52910880000000005</v>
      </c>
      <c r="T990" s="15">
        <v>19.2</v>
      </c>
      <c r="U990" s="15">
        <v>21.62</v>
      </c>
      <c r="V990" s="15">
        <v>24.49</v>
      </c>
      <c r="W990" s="14" t="s">
        <v>277</v>
      </c>
      <c r="X990" s="14">
        <v>1</v>
      </c>
      <c r="Y990" s="10">
        <f>AC990-AB990</f>
        <v>0</v>
      </c>
      <c r="Z990" s="18">
        <v>1</v>
      </c>
      <c r="AA990" s="18">
        <v>5</v>
      </c>
      <c r="AB990" s="18"/>
      <c r="AC990" s="18"/>
      <c r="AD990" s="1" t="s">
        <v>1370</v>
      </c>
      <c r="AE990" s="1" t="s">
        <v>1371</v>
      </c>
      <c r="AF990" s="4">
        <v>1.92</v>
      </c>
      <c r="AG990" s="4">
        <v>5.9</v>
      </c>
    </row>
    <row r="991" spans="1:33" ht="47.25" customHeight="1" x14ac:dyDescent="0.25">
      <c r="A991" s="10" t="s">
        <v>5120</v>
      </c>
      <c r="B991" s="11" t="s">
        <v>33</v>
      </c>
      <c r="C991" s="12" t="s">
        <v>5121</v>
      </c>
      <c r="D991" s="27"/>
      <c r="E991" s="14" t="s">
        <v>35</v>
      </c>
      <c r="F991" s="11" t="str">
        <f>HYPERLINK("https://redirect.sdcdeals.com/redirect?destination=https%3A%2F%2Fwww.amazon.com%2Fdp%2FB0BN4ZYJCL%3Fth%3D1%26psc%3D1%26tag%3Dsdcdeals03-20", "Amazon Link")</f>
        <v>Amazon Link</v>
      </c>
      <c r="G991" s="11" t="s">
        <v>36</v>
      </c>
      <c r="H991" s="14" t="s">
        <v>5122</v>
      </c>
      <c r="I991" s="11" t="str">
        <f>HYPERLINK("https://redirect.sdcdeals.com/redirect?code=763034&amp;mavely=https://mavely.app.link/e/bhESV2wGrGb&amp;destination=https%3A%2F%2Fwww.kohls.com%2Fsearch.jsp%3Fsubmit-search%3Dweb-regular%26search%3D20254361", "Retail Link")</f>
        <v>Retail Link</v>
      </c>
      <c r="J991" s="14" t="s">
        <v>5123</v>
      </c>
      <c r="K991" s="13" t="s">
        <v>5124</v>
      </c>
      <c r="L991" s="15">
        <v>15.288</v>
      </c>
      <c r="M991" s="15">
        <v>26.55</v>
      </c>
      <c r="N991" s="15">
        <v>1.139499999999998</v>
      </c>
      <c r="O991" s="15">
        <f>V991-M991</f>
        <v>20.84</v>
      </c>
      <c r="P991" s="16">
        <f>N991/L991</f>
        <v>7.4535583464154759E-2</v>
      </c>
      <c r="Q991" s="14">
        <v>466301</v>
      </c>
      <c r="R991" s="14"/>
      <c r="S991" s="17">
        <v>0.72752459999999997</v>
      </c>
      <c r="T991" s="15"/>
      <c r="U991" s="15">
        <v>26.55</v>
      </c>
      <c r="V991" s="15">
        <v>47.39</v>
      </c>
      <c r="W991" s="14" t="s">
        <v>849</v>
      </c>
      <c r="X991" s="14">
        <v>1</v>
      </c>
      <c r="Y991" s="10">
        <f>AC991-AB991</f>
        <v>139</v>
      </c>
      <c r="Z991" s="18">
        <v>7</v>
      </c>
      <c r="AA991" s="18">
        <v>34</v>
      </c>
      <c r="AB991" s="18">
        <v>2</v>
      </c>
      <c r="AC991" s="18">
        <v>141</v>
      </c>
      <c r="AD991" s="1" t="s">
        <v>5125</v>
      </c>
      <c r="AE991" s="1" t="s">
        <v>5126</v>
      </c>
      <c r="AG991" s="4">
        <v>6.14</v>
      </c>
    </row>
    <row r="992" spans="1:33" ht="47.25" customHeight="1" x14ac:dyDescent="0.25">
      <c r="A992" s="10" t="s">
        <v>5971</v>
      </c>
      <c r="B992" s="11" t="s">
        <v>33</v>
      </c>
      <c r="C992" s="12" t="s">
        <v>5972</v>
      </c>
      <c r="D992" s="27"/>
      <c r="E992" s="14" t="s">
        <v>35</v>
      </c>
      <c r="F992" s="11" t="str">
        <f>HYPERLINK("https://redirect.sdcdeals.com/redirect?destination=https%3A%2F%2Fwww.amazon.com%2Fdp%2FB0BFTTCVNV%3Fth%3D1%26psc%3D1%26tag%3Dsdcdeals03-20", "Amazon Link")</f>
        <v>Amazon Link</v>
      </c>
      <c r="G992" s="11" t="s">
        <v>36</v>
      </c>
      <c r="H992" s="14" t="s">
        <v>5973</v>
      </c>
      <c r="I992" s="11" t="str">
        <f>HYPERLINK("https://redirect.sdcdeals.com/redirect?code=763034&amp;mavely=https://mavely.app.link/e/bhESV2wGrGb&amp;destination=https%3A%2F%2Fwww.kohls.com%2Fsearch.jsp%3Fsubmit-search%3Dweb-regular%26search%3D72822602", "Retail Link")</f>
        <v>Retail Link</v>
      </c>
      <c r="J992" s="14" t="s">
        <v>5974</v>
      </c>
      <c r="K992" s="13" t="s">
        <v>5975</v>
      </c>
      <c r="L992" s="15">
        <v>44.095999999999997</v>
      </c>
      <c r="M992" s="15">
        <v>74.97</v>
      </c>
      <c r="N992" s="15">
        <v>3.1785000000000072</v>
      </c>
      <c r="O992" s="15">
        <f>V992-M992</f>
        <v>-5.7399999999999949</v>
      </c>
      <c r="P992" s="16">
        <f>N992/L992</f>
        <v>7.2081367924528475E-2</v>
      </c>
      <c r="Q992" s="14">
        <v>2059549</v>
      </c>
      <c r="R992" s="14"/>
      <c r="S992" s="17">
        <v>1.82762998</v>
      </c>
      <c r="T992" s="15">
        <v>74.97</v>
      </c>
      <c r="U992" s="15">
        <v>56.98</v>
      </c>
      <c r="V992" s="15">
        <v>69.23</v>
      </c>
      <c r="W992" s="14" t="s">
        <v>1822</v>
      </c>
      <c r="X992" s="14">
        <v>1</v>
      </c>
      <c r="Y992" s="10">
        <f>AC992-AB992</f>
        <v>6</v>
      </c>
      <c r="Z992" s="18">
        <v>2</v>
      </c>
      <c r="AA992" s="18">
        <v>12</v>
      </c>
      <c r="AB992" s="18">
        <v>1</v>
      </c>
      <c r="AC992" s="18">
        <v>7</v>
      </c>
      <c r="AD992" s="1" t="s">
        <v>5976</v>
      </c>
      <c r="AE992" s="1" t="s">
        <v>5977</v>
      </c>
      <c r="AF992" s="4">
        <v>12.74</v>
      </c>
      <c r="AG992" s="4">
        <v>16.45</v>
      </c>
    </row>
    <row r="993" spans="1:33" ht="47.25" customHeight="1" x14ac:dyDescent="0.25">
      <c r="A993" s="10" t="s">
        <v>2469</v>
      </c>
      <c r="B993" s="11" t="s">
        <v>33</v>
      </c>
      <c r="C993" s="12" t="s">
        <v>2470</v>
      </c>
      <c r="D993" s="27"/>
      <c r="E993" s="14" t="s">
        <v>35</v>
      </c>
      <c r="F993" s="11" t="str">
        <f>HYPERLINK("https://redirect.sdcdeals.com/redirect?destination=https%3A%2F%2Fwww.amazon.com%2Fdp%2FB08FTJJR93%3Fth%3D1%26psc%3D1%26tag%3Dsdcdeals03-20", "Amazon Link")</f>
        <v>Amazon Link</v>
      </c>
      <c r="G993" s="11" t="s">
        <v>36</v>
      </c>
      <c r="H993" s="14" t="s">
        <v>2471</v>
      </c>
      <c r="I993" s="11" t="str">
        <f>HYPERLINK("https://redirect.sdcdeals.com/redirect?code=763034&amp;mavely=https://mavely.app.link/e/bhESV2wGrGb&amp;destination=https%3A%2F%2Fwww.kohls.com%2Fsearch.jsp%3Fsubmit-search%3Dweb-regular%26search%3D71884971", "Retail Link")</f>
        <v>Retail Link</v>
      </c>
      <c r="J993" s="14" t="s">
        <v>2427</v>
      </c>
      <c r="K993" s="13" t="s">
        <v>2472</v>
      </c>
      <c r="L993" s="15">
        <v>33.6</v>
      </c>
      <c r="M993" s="15">
        <v>48.97</v>
      </c>
      <c r="N993" s="15">
        <v>2.1244999999999981</v>
      </c>
      <c r="O993" s="15">
        <f>V993-M993</f>
        <v>-19.419999999999998</v>
      </c>
      <c r="P993" s="16">
        <f>N993/L993</f>
        <v>6.32291666666666E-2</v>
      </c>
      <c r="Q993" s="14">
        <v>243019</v>
      </c>
      <c r="R993" s="14"/>
      <c r="S993" s="17">
        <v>0.95019122</v>
      </c>
      <c r="T993" s="15">
        <v>48.97</v>
      </c>
      <c r="U993" s="15">
        <v>26.38</v>
      </c>
      <c r="V993" s="15">
        <v>29.55</v>
      </c>
      <c r="W993" s="14" t="s">
        <v>2473</v>
      </c>
      <c r="X993" s="14">
        <v>2</v>
      </c>
      <c r="Y993" s="10">
        <f>AC993-AB993</f>
        <v>1087</v>
      </c>
      <c r="Z993" s="18">
        <v>29</v>
      </c>
      <c r="AA993" s="18">
        <v>90</v>
      </c>
      <c r="AB993" s="18">
        <v>393</v>
      </c>
      <c r="AC993" s="18">
        <v>1480</v>
      </c>
      <c r="AD993" s="1" t="s">
        <v>2429</v>
      </c>
      <c r="AE993" s="1" t="s">
        <v>2445</v>
      </c>
      <c r="AG993" s="4">
        <v>5.9</v>
      </c>
    </row>
    <row r="994" spans="1:33" ht="47.25" customHeight="1" x14ac:dyDescent="0.25">
      <c r="A994" s="10" t="s">
        <v>1200</v>
      </c>
      <c r="B994" s="11" t="s">
        <v>33</v>
      </c>
      <c r="C994" s="12" t="s">
        <v>1201</v>
      </c>
      <c r="D994" s="27"/>
      <c r="E994" s="14" t="s">
        <v>35</v>
      </c>
      <c r="F994" s="11" t="str">
        <f>HYPERLINK("https://redirect.sdcdeals.com/redirect?destination=https%3A%2F%2Fwww.amazon.com%2Fdp%2FB0BKQRM5X1%3Fth%3D1%26psc%3D1%26tag%3Dsdcdeals03-20", "Amazon Link")</f>
        <v>Amazon Link</v>
      </c>
      <c r="G994" s="11" t="s">
        <v>36</v>
      </c>
      <c r="H994" s="14" t="s">
        <v>1202</v>
      </c>
      <c r="I994" s="11" t="str">
        <f>HYPERLINK("https://redirect.sdcdeals.com/redirect?code=763034&amp;mavely=https://mavely.app.link/e/bhESV2wGrGb&amp;destination=https%3A%2F%2Fwww.kohls.com%2Fsearch.jsp%3Fsubmit-search%3Dweb-regular%26search%3D28257745", "Retail Link")</f>
        <v>Retail Link</v>
      </c>
      <c r="J994" s="14" t="s">
        <v>1203</v>
      </c>
      <c r="K994" s="13" t="s">
        <v>1204</v>
      </c>
      <c r="L994" s="15">
        <v>19.8</v>
      </c>
      <c r="M994" s="15">
        <v>32.5</v>
      </c>
      <c r="N994" s="15">
        <v>1.2249999999999981</v>
      </c>
      <c r="O994" s="15">
        <f>V994-M994</f>
        <v>4.3699999999999974</v>
      </c>
      <c r="P994" s="16">
        <f>N994/L994</f>
        <v>6.1868686868686767E-2</v>
      </c>
      <c r="Q994" s="14">
        <v>446300</v>
      </c>
      <c r="R994" s="14"/>
      <c r="S994" s="17">
        <v>0.85980180000000006</v>
      </c>
      <c r="T994" s="15">
        <v>32.5</v>
      </c>
      <c r="U994" s="15">
        <v>32.090000000000003</v>
      </c>
      <c r="V994" s="15">
        <v>36.869999999999997</v>
      </c>
      <c r="W994" s="14" t="s">
        <v>53</v>
      </c>
      <c r="X994" s="14">
        <v>1</v>
      </c>
      <c r="Y994" s="10">
        <f>AC994-AB994</f>
        <v>28</v>
      </c>
      <c r="Z994" s="18">
        <v>8</v>
      </c>
      <c r="AA994" s="18">
        <v>33</v>
      </c>
      <c r="AB994" s="18">
        <v>1</v>
      </c>
      <c r="AC994" s="18">
        <v>29</v>
      </c>
      <c r="AD994" s="1" t="s">
        <v>1205</v>
      </c>
      <c r="AE994" s="1" t="s">
        <v>1206</v>
      </c>
      <c r="AF994" s="4">
        <v>5.53</v>
      </c>
      <c r="AG994" s="4">
        <v>6.6</v>
      </c>
    </row>
    <row r="995" spans="1:33" ht="47.25" customHeight="1" x14ac:dyDescent="0.25">
      <c r="A995" s="10" t="s">
        <v>4258</v>
      </c>
      <c r="B995" s="11" t="s">
        <v>33</v>
      </c>
      <c r="C995" s="12" t="s">
        <v>4259</v>
      </c>
      <c r="D995" s="27"/>
      <c r="E995" s="14" t="s">
        <v>35</v>
      </c>
      <c r="F995" s="11" t="str">
        <f>HYPERLINK("https://redirect.sdcdeals.com/redirect?destination=https%3A%2F%2Fwww.amazon.com%2Fdp%2FB0BKQVKGQG%3Fth%3D1%26psc%3D1%26tag%3Dsdcdeals03-20", "Amazon Link")</f>
        <v>Amazon Link</v>
      </c>
      <c r="G995" s="11" t="s">
        <v>36</v>
      </c>
      <c r="H995" s="14" t="s">
        <v>4260</v>
      </c>
      <c r="I995" s="11" t="str">
        <f>HYPERLINK("https://redirect.sdcdeals.com/redirect?code=763034&amp;mavely=https://mavely.app.link/e/bhESV2wGrGb&amp;destination=https%3A%2F%2Fwww.kohls.com%2Fsearch.jsp%3Fsubmit-search%3Dweb-regular%26search%3D76194402", "Retail Link")</f>
        <v>Retail Link</v>
      </c>
      <c r="J995" s="14" t="s">
        <v>4231</v>
      </c>
      <c r="K995" s="13" t="s">
        <v>4261</v>
      </c>
      <c r="L995" s="15">
        <v>52.8</v>
      </c>
      <c r="M995" s="15">
        <v>84.99</v>
      </c>
      <c r="N995" s="15">
        <v>2.9914999999999878</v>
      </c>
      <c r="O995" s="15">
        <f>V995-M995</f>
        <v>6.0799999999999983</v>
      </c>
      <c r="P995" s="16">
        <f>N995/L995</f>
        <v>5.665719696969674E-2</v>
      </c>
      <c r="Q995" s="14">
        <v>931412</v>
      </c>
      <c r="R995" s="14"/>
      <c r="S995" s="17">
        <v>2.8704152399999998</v>
      </c>
      <c r="T995" s="15">
        <v>84.99</v>
      </c>
      <c r="U995" s="15">
        <v>82.18</v>
      </c>
      <c r="V995" s="15">
        <v>91.07</v>
      </c>
      <c r="W995" s="14" t="s">
        <v>3378</v>
      </c>
      <c r="X995" s="14">
        <v>8</v>
      </c>
      <c r="Y995" s="10">
        <f>AC995-AB995</f>
        <v>4</v>
      </c>
      <c r="Z995" s="18">
        <v>6</v>
      </c>
      <c r="AA995" s="18">
        <v>31</v>
      </c>
      <c r="AB995" s="18">
        <v>0</v>
      </c>
      <c r="AC995" s="18">
        <v>4</v>
      </c>
      <c r="AD995" s="1" t="s">
        <v>4233</v>
      </c>
      <c r="AE995" s="1" t="s">
        <v>4239</v>
      </c>
      <c r="AF995" s="4">
        <v>14.45</v>
      </c>
      <c r="AG995" s="4">
        <v>16.45</v>
      </c>
    </row>
    <row r="996" spans="1:33" ht="47.25" customHeight="1" x14ac:dyDescent="0.25">
      <c r="A996" s="10" t="s">
        <v>2440</v>
      </c>
      <c r="B996" s="11" t="s">
        <v>33</v>
      </c>
      <c r="C996" s="12" t="s">
        <v>2441</v>
      </c>
      <c r="D996" s="27"/>
      <c r="E996" s="14" t="s">
        <v>35</v>
      </c>
      <c r="F996" s="11" t="str">
        <f>HYPERLINK("https://redirect.sdcdeals.com/redirect?destination=https%3A%2F%2Fwww.amazon.com%2Fdp%2FB08FTKT3VP%3Fth%3D1%26psc%3D1%26tag%3Dsdcdeals03-20", "Amazon Link")</f>
        <v>Amazon Link</v>
      </c>
      <c r="G996" s="11" t="s">
        <v>36</v>
      </c>
      <c r="H996" s="14" t="s">
        <v>2442</v>
      </c>
      <c r="I996" s="11" t="str">
        <f>HYPERLINK("https://redirect.sdcdeals.com/redirect?code=763034&amp;mavely=https://mavely.app.link/e/bhESV2wGrGb&amp;destination=https%3A%2F%2Fwww.kohls.com%2Fsearch.jsp%3Fsubmit-search%3Dweb-regular%26search%3D71884969", "Retail Link")</f>
        <v>Retail Link</v>
      </c>
      <c r="J996" s="14" t="s">
        <v>2427</v>
      </c>
      <c r="K996" s="13" t="s">
        <v>2443</v>
      </c>
      <c r="L996" s="15">
        <v>33.6</v>
      </c>
      <c r="M996" s="15">
        <v>48.97</v>
      </c>
      <c r="N996" s="15">
        <v>1.8844999999999961</v>
      </c>
      <c r="O996" s="15">
        <f>V996-M996</f>
        <v>-18.549999999999997</v>
      </c>
      <c r="P996" s="16">
        <f>N996/L996</f>
        <v>5.6086309523809406E-2</v>
      </c>
      <c r="Q996" s="14">
        <v>243019</v>
      </c>
      <c r="R996" s="14"/>
      <c r="S996" s="17">
        <v>0.78925396000000003</v>
      </c>
      <c r="T996" s="15">
        <v>48.97</v>
      </c>
      <c r="U996" s="15">
        <v>29.29</v>
      </c>
      <c r="V996" s="15">
        <v>30.42</v>
      </c>
      <c r="W996" s="14" t="s">
        <v>2444</v>
      </c>
      <c r="X996" s="14">
        <v>4</v>
      </c>
      <c r="Y996" s="10">
        <f>AC996-AB996</f>
        <v>1142</v>
      </c>
      <c r="Z996" s="18">
        <v>51</v>
      </c>
      <c r="AA996" s="18">
        <v>133</v>
      </c>
      <c r="AB996" s="18">
        <v>338</v>
      </c>
      <c r="AC996" s="18">
        <v>1480</v>
      </c>
      <c r="AD996" s="1" t="s">
        <v>2429</v>
      </c>
      <c r="AE996" s="1" t="s">
        <v>2445</v>
      </c>
      <c r="AG996" s="4">
        <v>6.14</v>
      </c>
    </row>
    <row r="997" spans="1:33" ht="47.25" customHeight="1" x14ac:dyDescent="0.25">
      <c r="A997" s="10" t="s">
        <v>2352</v>
      </c>
      <c r="B997" s="11" t="s">
        <v>33</v>
      </c>
      <c r="C997" s="12" t="s">
        <v>2353</v>
      </c>
      <c r="D997" s="27"/>
      <c r="E997" s="14" t="s">
        <v>35</v>
      </c>
      <c r="F997" s="11" t="str">
        <f>HYPERLINK("https://redirect.sdcdeals.com/redirect?destination=https%3A%2F%2Fwww.amazon.com%2Fdp%2FB09XWSRQJT%3Fth%3D1%26psc%3D1%26tag%3Dsdcdeals03-20", "Amazon Link")</f>
        <v>Amazon Link</v>
      </c>
      <c r="G997" s="11" t="s">
        <v>36</v>
      </c>
      <c r="H997" s="14" t="s">
        <v>2354</v>
      </c>
      <c r="I997" s="11" t="str">
        <f>HYPERLINK("https://redirect.sdcdeals.com/redirect?code=763034&amp;mavely=https://mavely.app.link/e/bhESV2wGrGb&amp;destination=https%3A%2F%2Fwww.kohls.com%2Fsearch.jsp%3Fsubmit-search%3Dweb-regular%26search%3D74842774", "Retail Link")</f>
        <v>Retail Link</v>
      </c>
      <c r="J997" s="14" t="s">
        <v>2355</v>
      </c>
      <c r="K997" s="13" t="s">
        <v>2356</v>
      </c>
      <c r="L997" s="15">
        <v>13.496</v>
      </c>
      <c r="M997" s="15">
        <v>24.75</v>
      </c>
      <c r="N997" s="15">
        <v>0.73149999999999871</v>
      </c>
      <c r="O997" s="15">
        <f>V997-M997</f>
        <v>3.6000000000000014</v>
      </c>
      <c r="P997" s="16">
        <f>N997/L997</f>
        <v>5.4201244813277913E-2</v>
      </c>
      <c r="Q997" s="14">
        <v>19453</v>
      </c>
      <c r="R997" s="14">
        <v>50</v>
      </c>
      <c r="S997" s="17">
        <v>0.79366320000000001</v>
      </c>
      <c r="T997" s="15">
        <v>24.75</v>
      </c>
      <c r="U997" s="15">
        <v>23.83</v>
      </c>
      <c r="V997" s="15">
        <v>28.35</v>
      </c>
      <c r="W997" s="14" t="s">
        <v>436</v>
      </c>
      <c r="X997" s="14">
        <v>18</v>
      </c>
      <c r="Y997" s="10">
        <f>AC997-AB997</f>
        <v>68</v>
      </c>
      <c r="Z997" s="18">
        <v>66</v>
      </c>
      <c r="AA997" s="18">
        <v>184</v>
      </c>
      <c r="AB997" s="18">
        <v>1</v>
      </c>
      <c r="AC997" s="18">
        <v>69</v>
      </c>
      <c r="AD997" s="1" t="s">
        <v>2357</v>
      </c>
      <c r="AE997" s="1" t="s">
        <v>2358</v>
      </c>
      <c r="AF997" s="4">
        <v>2.48</v>
      </c>
      <c r="AG997" s="4">
        <v>6.81</v>
      </c>
    </row>
    <row r="998" spans="1:33" ht="47.25" customHeight="1" x14ac:dyDescent="0.25">
      <c r="A998" s="10" t="s">
        <v>5133</v>
      </c>
      <c r="B998" s="11" t="s">
        <v>33</v>
      </c>
      <c r="C998" s="12" t="s">
        <v>5134</v>
      </c>
      <c r="D998" s="27"/>
      <c r="E998" s="14" t="s">
        <v>35</v>
      </c>
      <c r="F998" s="11" t="str">
        <f>HYPERLINK("https://redirect.sdcdeals.com/redirect?destination=https%3A%2F%2Fwww.amazon.com%2Fdp%2FB0BN51N1BG%3Fth%3D1%26psc%3D1%26tag%3Dsdcdeals03-20", "Amazon Link")</f>
        <v>Amazon Link</v>
      </c>
      <c r="G998" s="11" t="s">
        <v>36</v>
      </c>
      <c r="H998" s="14" t="s">
        <v>5135</v>
      </c>
      <c r="I998" s="11" t="str">
        <f>HYPERLINK("https://redirect.sdcdeals.com/redirect?code=763034&amp;mavely=https://mavely.app.link/e/bhESV2wGrGb&amp;destination=https%3A%2F%2Fwww.kohls.com%2Fsearch.jsp%3Fsubmit-search%3Dweb-regular%26search%3D20254362", "Retail Link")</f>
        <v>Retail Link</v>
      </c>
      <c r="J998" s="14" t="s">
        <v>5123</v>
      </c>
      <c r="K998" s="13" t="s">
        <v>5124</v>
      </c>
      <c r="L998" s="15">
        <v>15.288</v>
      </c>
      <c r="M998" s="15">
        <v>26.16</v>
      </c>
      <c r="N998" s="15">
        <v>0.80799999999999983</v>
      </c>
      <c r="O998" s="15">
        <f>V998-M998</f>
        <v>18.860000000000003</v>
      </c>
      <c r="P998" s="16">
        <f>N998/L998</f>
        <v>5.2851909994767125E-2</v>
      </c>
      <c r="Q998" s="14">
        <v>466301</v>
      </c>
      <c r="R998" s="14"/>
      <c r="S998" s="17">
        <v>0.85980180000000006</v>
      </c>
      <c r="T998" s="15"/>
      <c r="U998" s="15">
        <v>26.16</v>
      </c>
      <c r="V998" s="15">
        <v>45.02</v>
      </c>
      <c r="W998" s="14" t="s">
        <v>582</v>
      </c>
      <c r="X998" s="14">
        <v>1</v>
      </c>
      <c r="Y998" s="10">
        <f>AC998-AB998</f>
        <v>148</v>
      </c>
      <c r="Z998" s="18">
        <v>2</v>
      </c>
      <c r="AA998" s="18">
        <v>30</v>
      </c>
      <c r="AB998" s="18">
        <v>0</v>
      </c>
      <c r="AC998" s="18">
        <v>148</v>
      </c>
      <c r="AD998" s="1" t="s">
        <v>5125</v>
      </c>
      <c r="AE998" s="1" t="s">
        <v>5126</v>
      </c>
      <c r="AG998" s="4">
        <v>6.14</v>
      </c>
    </row>
    <row r="999" spans="1:33" ht="30" x14ac:dyDescent="0.25">
      <c r="A999" s="10" t="s">
        <v>1306</v>
      </c>
      <c r="B999" s="11" t="s">
        <v>33</v>
      </c>
      <c r="C999" s="12" t="s">
        <v>1307</v>
      </c>
      <c r="D999" s="27"/>
      <c r="E999" s="14" t="s">
        <v>35</v>
      </c>
      <c r="F999" s="11" t="str">
        <f>HYPERLINK("https://redirect.sdcdeals.com/redirect?destination=https%3A%2F%2Fwww.amazon.com%2Fdp%2FB09N6NW25T%3Fth%3D1%26psc%3D1%26tag%3Dsdcdeals03-20", "Amazon Link")</f>
        <v>Amazon Link</v>
      </c>
      <c r="G999" s="11" t="s">
        <v>36</v>
      </c>
      <c r="H999" s="14" t="s">
        <v>1308</v>
      </c>
      <c r="I999" s="11" t="str">
        <f>HYPERLINK("https://redirect.sdcdeals.com/redirect?code=763034&amp;mavely=https://mavely.app.link/e/bhESV2wGrGb&amp;destination=https%3A%2F%2Fwww.kohls.com%2Fsearch.jsp%3Fsubmit-search%3Dweb-regular%26search%3D60161516", "Retail Link")</f>
        <v>Retail Link</v>
      </c>
      <c r="J999" s="14" t="s">
        <v>1290</v>
      </c>
      <c r="K999" s="13" t="s">
        <v>1309</v>
      </c>
      <c r="L999" s="15">
        <v>39.991999999999997</v>
      </c>
      <c r="M999" s="15">
        <v>56.68</v>
      </c>
      <c r="N999" s="15">
        <v>1.585999999999999</v>
      </c>
      <c r="O999" s="15">
        <f>V999-M999</f>
        <v>-6.1899999999999977</v>
      </c>
      <c r="P999" s="16">
        <f>N999/L999</f>
        <v>3.9657931586317238E-2</v>
      </c>
      <c r="Q999" s="14">
        <v>5499</v>
      </c>
      <c r="R999" s="14"/>
      <c r="S999" s="17">
        <v>1.6093725999999999</v>
      </c>
      <c r="T999" s="15"/>
      <c r="U999" s="15">
        <v>56.68</v>
      </c>
      <c r="V999" s="15">
        <v>50.49</v>
      </c>
      <c r="W999" s="14" t="s">
        <v>88</v>
      </c>
      <c r="X999" s="14">
        <v>1</v>
      </c>
      <c r="Y999" s="10">
        <f>AC999-AB999</f>
        <v>23832</v>
      </c>
      <c r="Z999" s="18">
        <v>18</v>
      </c>
      <c r="AA999" s="18">
        <v>59</v>
      </c>
      <c r="AB999" s="18">
        <v>2</v>
      </c>
      <c r="AC999" s="18">
        <v>23834</v>
      </c>
      <c r="AD999" s="1" t="s">
        <v>1292</v>
      </c>
      <c r="AE999" s="1" t="s">
        <v>1293</v>
      </c>
      <c r="AG999" s="4">
        <v>6.6</v>
      </c>
    </row>
    <row r="1000" spans="1:33" ht="30" x14ac:dyDescent="0.25">
      <c r="A1000" s="10" t="s">
        <v>167</v>
      </c>
      <c r="B1000" s="11" t="s">
        <v>33</v>
      </c>
      <c r="C1000" s="12" t="s">
        <v>168</v>
      </c>
      <c r="D1000" s="27"/>
      <c r="E1000" s="14" t="s">
        <v>35</v>
      </c>
      <c r="F1000" s="11" t="str">
        <f>HYPERLINK("https://redirect.sdcdeals.com/redirect?destination=https%3A%2F%2Fwww.amazon.com%2Fdp%2FB0BKQYFTNY%3Fth%3D1%26psc%3D1%26tag%3Dsdcdeals03-20", "Amazon Link")</f>
        <v>Amazon Link</v>
      </c>
      <c r="G1000" s="11" t="s">
        <v>36</v>
      </c>
      <c r="H1000" s="14" t="s">
        <v>169</v>
      </c>
      <c r="I1000" s="11" t="str">
        <f>HYPERLINK("https://redirect.sdcdeals.com/redirect?code=763034&amp;mavely=https://mavely.app.link/e/bhESV2wGrGb&amp;destination=https%3A%2F%2Fwww.kohls.com%2Fsearch.jsp%3Fsubmit-search%3Dweb-regular%26search%3D58791810", "Retail Link")</f>
        <v>Retail Link</v>
      </c>
      <c r="J1000" s="14" t="s">
        <v>162</v>
      </c>
      <c r="K1000" s="13" t="s">
        <v>170</v>
      </c>
      <c r="L1000" s="15">
        <v>53.2</v>
      </c>
      <c r="M1000" s="15">
        <v>78.53</v>
      </c>
      <c r="N1000" s="15">
        <v>2.040500000000002</v>
      </c>
      <c r="O1000" s="15">
        <f>V1000-M1000</f>
        <v>3.7099999999999937</v>
      </c>
      <c r="P1000" s="16">
        <f>N1000/L1000</f>
        <v>3.8355263157894774E-2</v>
      </c>
      <c r="Q1000" s="14">
        <v>440037</v>
      </c>
      <c r="R1000" s="14"/>
      <c r="S1000" s="17">
        <v>1.4991416</v>
      </c>
      <c r="T1000" s="15">
        <v>78.53</v>
      </c>
      <c r="U1000" s="15">
        <v>75.63</v>
      </c>
      <c r="V1000" s="15">
        <v>82.24</v>
      </c>
      <c r="W1000" s="14" t="s">
        <v>88</v>
      </c>
      <c r="X1000" s="14">
        <v>3</v>
      </c>
      <c r="Y1000" s="10">
        <f>AC1000-AB1000</f>
        <v>-1</v>
      </c>
      <c r="Z1000" s="18">
        <v>9</v>
      </c>
      <c r="AA1000" s="18">
        <v>44</v>
      </c>
      <c r="AB1000" s="18">
        <v>2</v>
      </c>
      <c r="AC1000" s="18">
        <v>1</v>
      </c>
      <c r="AD1000" s="1" t="s">
        <v>165</v>
      </c>
      <c r="AE1000" s="1" t="s">
        <v>171</v>
      </c>
      <c r="AF1000" s="4">
        <v>13.35</v>
      </c>
      <c r="AG1000" s="4">
        <v>11.51</v>
      </c>
    </row>
    <row r="1001" spans="1:33" ht="30" x14ac:dyDescent="0.25">
      <c r="A1001" s="10" t="s">
        <v>5449</v>
      </c>
      <c r="B1001" s="11" t="s">
        <v>33</v>
      </c>
      <c r="C1001" s="12" t="s">
        <v>5450</v>
      </c>
      <c r="D1001" s="27"/>
      <c r="E1001" s="14" t="s">
        <v>35</v>
      </c>
      <c r="F1001" s="11" t="str">
        <f>HYPERLINK("https://redirect.sdcdeals.com/redirect?destination=https%3A%2F%2Fwww.amazon.com%2Fdp%2FB09KMRRYQZ%3Fth%3D1%26psc%3D1%26tag%3Dsdcdeals03-20", "Amazon Link")</f>
        <v>Amazon Link</v>
      </c>
      <c r="G1001" s="11" t="s">
        <v>36</v>
      </c>
      <c r="H1001" s="14" t="s">
        <v>5451</v>
      </c>
      <c r="I1001" s="11" t="str">
        <f>HYPERLINK("https://redirect.sdcdeals.com/redirect?code=763034&amp;mavely=https://mavely.app.link/e/bhESV2wGrGb&amp;destination=https%3A%2F%2Fwww.kohls.com%2Fsearch.jsp%3Fsubmit-search%3Dweb-regular%26search%3D86410796", "Retail Link")</f>
        <v>Retail Link</v>
      </c>
      <c r="J1001" s="14" t="s">
        <v>5441</v>
      </c>
      <c r="K1001" s="13" t="s">
        <v>5452</v>
      </c>
      <c r="L1001" s="15">
        <v>18</v>
      </c>
      <c r="M1001" s="15">
        <v>29.99</v>
      </c>
      <c r="N1001" s="15">
        <v>0.68149999999999977</v>
      </c>
      <c r="O1001" s="15">
        <f>V1001-M1001</f>
        <v>-2.2299999999999969</v>
      </c>
      <c r="P1001" s="16">
        <f>N1001/L1001</f>
        <v>3.7861111111111095E-2</v>
      </c>
      <c r="Q1001" s="14">
        <v>742136</v>
      </c>
      <c r="R1001" s="14"/>
      <c r="S1001" s="17">
        <v>0.90389419999999998</v>
      </c>
      <c r="T1001" s="15">
        <v>29.99</v>
      </c>
      <c r="U1001" s="15">
        <v>29.34</v>
      </c>
      <c r="V1001" s="15">
        <v>27.76</v>
      </c>
      <c r="W1001" s="14" t="s">
        <v>240</v>
      </c>
      <c r="X1001" s="14">
        <v>15</v>
      </c>
      <c r="Y1001" s="10">
        <f>AC1001-AB1001</f>
        <v>148</v>
      </c>
      <c r="Z1001" s="18">
        <v>14</v>
      </c>
      <c r="AA1001" s="18">
        <v>61</v>
      </c>
      <c r="AB1001" s="18">
        <v>2</v>
      </c>
      <c r="AC1001" s="18">
        <v>150</v>
      </c>
      <c r="AD1001" s="1" t="s">
        <v>5443</v>
      </c>
      <c r="AE1001" s="1" t="s">
        <v>805</v>
      </c>
      <c r="AF1001" s="4">
        <v>5.0999999999999996</v>
      </c>
      <c r="AG1001" s="4">
        <v>6.81</v>
      </c>
    </row>
    <row r="1002" spans="1:33" ht="30" x14ac:dyDescent="0.25">
      <c r="A1002" s="10" t="s">
        <v>302</v>
      </c>
      <c r="B1002" s="11" t="s">
        <v>33</v>
      </c>
      <c r="C1002" s="12" t="s">
        <v>303</v>
      </c>
      <c r="D1002" s="27"/>
      <c r="E1002" s="14" t="s">
        <v>35</v>
      </c>
      <c r="F1002" s="11" t="str">
        <f>HYPERLINK("https://redirect.sdcdeals.com/redirect?destination=https%3A%2F%2Fwww.amazon.com%2Fdp%2FB0BLZTWXYH%3Fth%3D1%26psc%3D1%26tag%3Dsdcdeals03-20", "Amazon Link")</f>
        <v>Amazon Link</v>
      </c>
      <c r="G1002" s="11" t="s">
        <v>36</v>
      </c>
      <c r="H1002" s="14" t="s">
        <v>304</v>
      </c>
      <c r="I1002" s="11" t="str">
        <f>HYPERLINK("https://redirect.sdcdeals.com/redirect?code=763034&amp;mavely=https://mavely.app.link/e/bhESV2wGrGb&amp;destination=https%3A%2F%2Fwww.kohls.com%2Fsearch.jsp%3Fsubmit-search%3Dweb-regular%26search%3D80629058", "Retail Link")</f>
        <v>Retail Link</v>
      </c>
      <c r="J1002" s="14" t="s">
        <v>294</v>
      </c>
      <c r="K1002" s="13" t="s">
        <v>305</v>
      </c>
      <c r="L1002" s="15">
        <v>11.192</v>
      </c>
      <c r="M1002" s="15">
        <v>21.99</v>
      </c>
      <c r="N1002" s="15">
        <v>0.41949999999999749</v>
      </c>
      <c r="O1002" s="15">
        <f>V1002-M1002</f>
        <v>4</v>
      </c>
      <c r="P1002" s="16">
        <f>N1002/L1002</f>
        <v>3.748213009292329E-2</v>
      </c>
      <c r="Q1002" s="14">
        <v>88694</v>
      </c>
      <c r="R1002" s="14"/>
      <c r="S1002" s="17">
        <v>0.14991415999999999</v>
      </c>
      <c r="T1002" s="15">
        <v>15</v>
      </c>
      <c r="U1002" s="15">
        <v>22.11</v>
      </c>
      <c r="V1002" s="15">
        <v>25.99</v>
      </c>
      <c r="W1002" s="14" t="s">
        <v>306</v>
      </c>
      <c r="X1002" s="14">
        <v>3</v>
      </c>
      <c r="Y1002" s="10">
        <f>AC1002-AB1002</f>
        <v>71</v>
      </c>
      <c r="Z1002" s="18">
        <v>16</v>
      </c>
      <c r="AA1002" s="18">
        <v>54</v>
      </c>
      <c r="AB1002" s="18">
        <v>6</v>
      </c>
      <c r="AC1002" s="18">
        <v>77</v>
      </c>
      <c r="AE1002" s="1" t="s">
        <v>145</v>
      </c>
      <c r="AF1002" s="4">
        <v>3.3</v>
      </c>
      <c r="AG1002" s="4">
        <v>7.08</v>
      </c>
    </row>
    <row r="1003" spans="1:33" ht="30" x14ac:dyDescent="0.25">
      <c r="A1003" s="10" t="s">
        <v>798</v>
      </c>
      <c r="B1003" s="11" t="s">
        <v>33</v>
      </c>
      <c r="C1003" s="12" t="s">
        <v>799</v>
      </c>
      <c r="D1003" s="27"/>
      <c r="E1003" s="14" t="s">
        <v>35</v>
      </c>
      <c r="F1003" s="11" t="str">
        <f>HYPERLINK("https://redirect.sdcdeals.com/redirect?destination=https%3A%2F%2Fwww.amazon.com%2Fdp%2FB0028K3CMI%3Fth%3D1%26psc%3D1%26tag%3Dsdcdeals03-20", "Amazon Link")</f>
        <v>Amazon Link</v>
      </c>
      <c r="G1003" s="11" t="s">
        <v>36</v>
      </c>
      <c r="H1003" s="14" t="s">
        <v>800</v>
      </c>
      <c r="I1003" s="11" t="str">
        <f>HYPERLINK("https://redirect.sdcdeals.com/redirect?code=763034&amp;mavely=https://mavely.app.link/e/bhESV2wGrGb&amp;destination=https%3A%2F%2Fwww.kohls.com%2Fsearch.jsp%3Fsubmit-search%3Dweb-regular%26search%3D45904947", "Retail Link")</f>
        <v>Retail Link</v>
      </c>
      <c r="J1003" s="14" t="s">
        <v>801</v>
      </c>
      <c r="K1003" s="13" t="s">
        <v>802</v>
      </c>
      <c r="L1003" s="15">
        <v>30</v>
      </c>
      <c r="M1003" s="15">
        <v>39.99</v>
      </c>
      <c r="N1003" s="15">
        <v>0.93150000000000333</v>
      </c>
      <c r="O1003" s="15">
        <f>V1003-M1003</f>
        <v>-0.5800000000000054</v>
      </c>
      <c r="P1003" s="16">
        <f>N1003/L1003</f>
        <v>3.1050000000000112E-2</v>
      </c>
      <c r="Q1003" s="14">
        <v>1956364</v>
      </c>
      <c r="R1003" s="14"/>
      <c r="S1003" s="17">
        <v>5.0706260000000003E-2</v>
      </c>
      <c r="T1003" s="15">
        <v>39.99</v>
      </c>
      <c r="U1003" s="15">
        <v>39.619999999999997</v>
      </c>
      <c r="V1003" s="15">
        <v>39.409999999999997</v>
      </c>
      <c r="W1003" s="14" t="s">
        <v>803</v>
      </c>
      <c r="X1003" s="14">
        <v>2</v>
      </c>
      <c r="Y1003" s="10">
        <f>AC1003-AB1003</f>
        <v>17</v>
      </c>
      <c r="Z1003" s="18">
        <v>3</v>
      </c>
      <c r="AA1003" s="18">
        <v>19</v>
      </c>
      <c r="AB1003" s="18">
        <v>104</v>
      </c>
      <c r="AC1003" s="18">
        <v>121</v>
      </c>
      <c r="AD1003" s="1" t="s">
        <v>804</v>
      </c>
      <c r="AE1003" s="1" t="s">
        <v>805</v>
      </c>
      <c r="AG1003" s="4">
        <v>3.06</v>
      </c>
    </row>
    <row r="1004" spans="1:33" ht="30" x14ac:dyDescent="0.25">
      <c r="A1004" s="10" t="s">
        <v>5241</v>
      </c>
      <c r="B1004" s="11" t="s">
        <v>33</v>
      </c>
      <c r="C1004" s="12" t="s">
        <v>5242</v>
      </c>
      <c r="D1004" s="27"/>
      <c r="E1004" s="14" t="s">
        <v>35</v>
      </c>
      <c r="F1004" s="11" t="str">
        <f>HYPERLINK("https://redirect.sdcdeals.com/redirect?destination=https%3A%2F%2Fwww.amazon.com%2Fdp%2FB093G5QZLX%3Fth%3D1%26psc%3D1%26tag%3Dsdcdeals03-20", "Amazon Link")</f>
        <v>Amazon Link</v>
      </c>
      <c r="G1004" s="11" t="s">
        <v>36</v>
      </c>
      <c r="H1004" s="14" t="s">
        <v>5243</v>
      </c>
      <c r="I1004" s="11" t="str">
        <f>HYPERLINK("https://redirect.sdcdeals.com/redirect?code=763034&amp;mavely=https://mavely.app.link/e/bhESV2wGrGb&amp;destination=https%3A%2F%2Fwww.kohls.com%2Fsearch.jsp%3Fsubmit-search%3Dweb-regular%26search%3D67183671", "Retail Link")</f>
        <v>Retail Link</v>
      </c>
      <c r="J1004" s="14" t="s">
        <v>5206</v>
      </c>
      <c r="K1004" s="13" t="s">
        <v>5244</v>
      </c>
      <c r="L1004" s="15">
        <v>8.4</v>
      </c>
      <c r="M1004" s="15">
        <v>13.88</v>
      </c>
      <c r="N1004" s="15">
        <v>0.12800000000000011</v>
      </c>
      <c r="O1004" s="15">
        <f>V1004-M1004</f>
        <v>0.58999999999999986</v>
      </c>
      <c r="P1004" s="16">
        <f>N1004/L1004</f>
        <v>1.523809523809525E-2</v>
      </c>
      <c r="Q1004" s="14">
        <v>84810</v>
      </c>
      <c r="R1004" s="14"/>
      <c r="S1004" s="17">
        <v>0.17636959999999999</v>
      </c>
      <c r="T1004" s="15">
        <v>8.1999999999999993</v>
      </c>
      <c r="U1004" s="15">
        <v>17.64</v>
      </c>
      <c r="V1004" s="15">
        <v>14.47</v>
      </c>
      <c r="W1004" s="14" t="s">
        <v>671</v>
      </c>
      <c r="X1004" s="14">
        <v>3</v>
      </c>
      <c r="Y1004" s="10">
        <f>AC1004-AB1004</f>
        <v>115</v>
      </c>
      <c r="Z1004" s="18">
        <v>24</v>
      </c>
      <c r="AA1004" s="18">
        <v>69</v>
      </c>
      <c r="AB1004" s="18">
        <v>3</v>
      </c>
      <c r="AC1004" s="18">
        <v>118</v>
      </c>
      <c r="AD1004" s="1" t="s">
        <v>5208</v>
      </c>
      <c r="AE1004" s="1" t="s">
        <v>76</v>
      </c>
      <c r="AF1004" s="4">
        <v>0.69</v>
      </c>
      <c r="AG1004" s="4">
        <v>3.27</v>
      </c>
    </row>
    <row r="1005" spans="1:33" ht="30" x14ac:dyDescent="0.25">
      <c r="A1005" s="10" t="s">
        <v>2726</v>
      </c>
      <c r="B1005" s="11" t="s">
        <v>33</v>
      </c>
      <c r="C1005" s="12" t="s">
        <v>2727</v>
      </c>
      <c r="D1005" s="27"/>
      <c r="E1005" s="14" t="s">
        <v>35</v>
      </c>
      <c r="F1005" s="11" t="str">
        <f>HYPERLINK("https://redirect.sdcdeals.com/redirect?destination=https%3A%2F%2Fwww.amazon.com%2Fdp%2FB0CRWQZBJY%3Fth%3D1%26psc%3D1%26tag%3Dsdcdeals03-20", "Amazon Link")</f>
        <v>Amazon Link</v>
      </c>
      <c r="G1005" s="11" t="s">
        <v>36</v>
      </c>
      <c r="H1005" s="14" t="s">
        <v>2728</v>
      </c>
      <c r="I1005" s="11" t="str">
        <f>HYPERLINK("https://redirect.sdcdeals.com/redirect?code=763034&amp;mavely=https://mavely.app.link/e/bhESV2wGrGb&amp;destination=https%3A%2F%2Fwww.kohls.com%2Fsearch.jsp%3Fsubmit-search%3Dweb-regular%26search%3D81947208", "Retail Link")</f>
        <v>Retail Link</v>
      </c>
      <c r="J1005" s="14" t="s">
        <v>2705</v>
      </c>
      <c r="K1005" s="13" t="s">
        <v>2729</v>
      </c>
      <c r="L1005" s="15">
        <v>13.2</v>
      </c>
      <c r="M1005" s="15">
        <v>23.51</v>
      </c>
      <c r="N1005" s="15">
        <v>0.18350000000000041</v>
      </c>
      <c r="O1005" s="15">
        <f>V1005-M1005</f>
        <v>0.32999999999999829</v>
      </c>
      <c r="P1005" s="16">
        <f>N1005/L1005</f>
        <v>1.3901515151515184E-2</v>
      </c>
      <c r="Q1005" s="14">
        <v>6297349</v>
      </c>
      <c r="R1005" s="14"/>
      <c r="S1005" s="17">
        <v>0.78264010000000006</v>
      </c>
      <c r="T1005" s="15">
        <v>23.51</v>
      </c>
      <c r="U1005" s="15">
        <v>23.78</v>
      </c>
      <c r="V1005" s="15">
        <v>23.84</v>
      </c>
      <c r="W1005" s="14" t="s">
        <v>60</v>
      </c>
      <c r="X1005" s="14">
        <v>2</v>
      </c>
      <c r="Y1005" s="10">
        <f>AC1005-AB1005</f>
        <v>0</v>
      </c>
      <c r="Z1005" s="18">
        <v>1</v>
      </c>
      <c r="AA1005" s="18">
        <v>2</v>
      </c>
      <c r="AB1005" s="18"/>
      <c r="AC1005" s="18"/>
      <c r="AD1005" s="1" t="s">
        <v>2730</v>
      </c>
      <c r="AE1005" s="1" t="s">
        <v>2731</v>
      </c>
      <c r="AF1005" s="4">
        <v>3.99</v>
      </c>
      <c r="AG1005" s="4">
        <v>6.6</v>
      </c>
    </row>
    <row r="1006" spans="1:33" ht="30" hidden="1" x14ac:dyDescent="0.25">
      <c r="A1006" s="10" t="s">
        <v>3185</v>
      </c>
      <c r="B1006" s="11" t="s">
        <v>33</v>
      </c>
      <c r="C1006" s="12" t="s">
        <v>3186</v>
      </c>
      <c r="D1006" s="27"/>
      <c r="E1006" s="14" t="s">
        <v>35</v>
      </c>
      <c r="F1006" s="11" t="str">
        <f>HYPERLINK("https://redirect.sdcdeals.com/redirect?destination=https%3A%2F%2Fwww.amazon.com%2Fdp%2FB0CL5S6HNH%3Fth%3D1%26psc%3D1%26tag%3Dsdcdeals03-20", "Amazon Link")</f>
        <v>Amazon Link</v>
      </c>
      <c r="G1006" s="11" t="s">
        <v>36</v>
      </c>
      <c r="H1006" s="14" t="s">
        <v>3187</v>
      </c>
      <c r="I1006" s="11" t="str">
        <f>HYPERLINK("https://redirect.sdcdeals.com/redirect?code=763034&amp;mavely=https://mavely.app.link/e/bhESV2wGrGb&amp;destination=https%3A%2F%2Fwww.kohls.com%2Fsearch.jsp%3Fsubmit-search%3Dweb-regular%26search%3D37530930", "Retail Link")</f>
        <v>Retail Link</v>
      </c>
      <c r="J1006" s="14" t="s">
        <v>3188</v>
      </c>
      <c r="K1006" s="13" t="s">
        <v>3189</v>
      </c>
      <c r="L1006" s="15">
        <v>7.6000000000000014</v>
      </c>
      <c r="M1006" s="15">
        <v>13</v>
      </c>
      <c r="N1006" s="15">
        <v>9.9999999999997868E-2</v>
      </c>
      <c r="O1006" s="15">
        <f>V1006-M1006</f>
        <v>13.920000000000002</v>
      </c>
      <c r="P1006" s="16">
        <f>N1006/L1006</f>
        <v>1.3157894736841822E-2</v>
      </c>
      <c r="Q1006" s="14"/>
      <c r="R1006" s="14"/>
      <c r="S1006" s="17">
        <v>0.39903622</v>
      </c>
      <c r="T1006" s="15">
        <v>13</v>
      </c>
      <c r="U1006" s="15">
        <v>21.07</v>
      </c>
      <c r="V1006" s="15">
        <v>26.92</v>
      </c>
      <c r="W1006" s="14" t="s">
        <v>296</v>
      </c>
      <c r="X1006" s="14">
        <v>4</v>
      </c>
      <c r="Y1006" s="10">
        <f>AC1006-AB1006</f>
        <v>0</v>
      </c>
      <c r="Z1006" s="18">
        <v>0</v>
      </c>
      <c r="AA1006" s="18">
        <v>0</v>
      </c>
      <c r="AB1006" s="18">
        <v>0</v>
      </c>
      <c r="AC1006" s="18"/>
      <c r="AE1006" s="1" t="s">
        <v>3190</v>
      </c>
      <c r="AG1006" s="4">
        <v>3.35</v>
      </c>
    </row>
    <row r="1007" spans="1:33" ht="30" x14ac:dyDescent="0.25">
      <c r="A1007" s="10" t="s">
        <v>6145</v>
      </c>
      <c r="B1007" s="11" t="s">
        <v>33</v>
      </c>
      <c r="C1007" s="12" t="s">
        <v>6146</v>
      </c>
      <c r="D1007" s="27"/>
      <c r="E1007" s="14" t="s">
        <v>35</v>
      </c>
      <c r="F1007" s="11" t="str">
        <f>HYPERLINK("https://redirect.sdcdeals.com/redirect?destination=https%3A%2F%2Fwww.amazon.com%2Fdp%2FB0CL5SCFBN%3Fth%3D1%26psc%3D1%26tag%3Dsdcdeals03-20", "Amazon Link")</f>
        <v>Amazon Link</v>
      </c>
      <c r="G1007" s="11" t="s">
        <v>36</v>
      </c>
      <c r="H1007" s="14" t="s">
        <v>6147</v>
      </c>
      <c r="I1007" s="11" t="str">
        <f>HYPERLINK("https://redirect.sdcdeals.com/redirect?code=763034&amp;mavely=https://mavely.app.link/e/bhESV2wGrGb&amp;destination=https%3A%2F%2Fwww.kohls.com%2Fsearch.jsp%3Fsubmit-search%3Dweb-regular%26search%3D62953083", "Retail Link")</f>
        <v>Retail Link</v>
      </c>
      <c r="J1007" s="14" t="s">
        <v>6148</v>
      </c>
      <c r="K1007" s="13" t="s">
        <v>6149</v>
      </c>
      <c r="L1007" s="15">
        <v>7.6000000000000014</v>
      </c>
      <c r="M1007" s="15">
        <v>13</v>
      </c>
      <c r="N1007" s="15">
        <v>9.9999999999997868E-2</v>
      </c>
      <c r="O1007" s="15">
        <f>V1007-M1007</f>
        <v>9.2399999999999984</v>
      </c>
      <c r="P1007" s="16">
        <f>N1007/L1007</f>
        <v>1.3157894736841822E-2</v>
      </c>
      <c r="Q1007" s="14">
        <v>69499</v>
      </c>
      <c r="R1007" s="14"/>
      <c r="S1007" s="17">
        <v>0.39903622</v>
      </c>
      <c r="T1007" s="15">
        <v>13</v>
      </c>
      <c r="U1007" s="15">
        <v>17.59</v>
      </c>
      <c r="V1007" s="15">
        <v>22.24</v>
      </c>
      <c r="W1007" s="14" t="s">
        <v>321</v>
      </c>
      <c r="X1007" s="14">
        <v>6</v>
      </c>
      <c r="Y1007" s="10">
        <f>AC1007-AB1007</f>
        <v>569</v>
      </c>
      <c r="Z1007" s="18">
        <v>9</v>
      </c>
      <c r="AA1007" s="18">
        <v>82</v>
      </c>
      <c r="AB1007" s="18">
        <v>0</v>
      </c>
      <c r="AC1007" s="18">
        <v>569</v>
      </c>
      <c r="AE1007" s="1" t="s">
        <v>6150</v>
      </c>
      <c r="AF1007" s="4">
        <v>1.3</v>
      </c>
      <c r="AG1007" s="4">
        <v>3.35</v>
      </c>
    </row>
    <row r="1008" spans="1:33" ht="30" hidden="1" x14ac:dyDescent="0.25">
      <c r="A1008" s="10" t="s">
        <v>3381</v>
      </c>
      <c r="B1008" s="11" t="s">
        <v>33</v>
      </c>
      <c r="C1008" s="12" t="s">
        <v>3382</v>
      </c>
      <c r="D1008" s="27"/>
      <c r="E1008" s="14" t="s">
        <v>35</v>
      </c>
      <c r="F1008" s="11" t="str">
        <f>HYPERLINK("https://redirect.sdcdeals.com/redirect?destination=https%3A%2F%2Fwww.amazon.com%2Fdp%2FB0CL5BWDSB%3Fth%3D1%26psc%3D1%26tag%3Dsdcdeals03-20", "Amazon Link")</f>
        <v>Amazon Link</v>
      </c>
      <c r="G1008" s="11" t="s">
        <v>36</v>
      </c>
      <c r="H1008" s="14" t="s">
        <v>3383</v>
      </c>
      <c r="I1008" s="11" t="str">
        <f>HYPERLINK("https://redirect.sdcdeals.com/redirect?code=763034&amp;mavely=https://mavely.app.link/e/bhESV2wGrGb&amp;destination=https%3A%2F%2Fwww.kohls.com%2Fsearch.jsp%3Fsubmit-search%3Dweb-regular%26search%3D54727585", "Retail Link")</f>
        <v>Retail Link</v>
      </c>
      <c r="J1008" s="14" t="s">
        <v>3376</v>
      </c>
      <c r="K1008" s="13" t="s">
        <v>3384</v>
      </c>
      <c r="L1008" s="15">
        <v>6.4</v>
      </c>
      <c r="M1008" s="15">
        <v>12.99</v>
      </c>
      <c r="N1008" s="15">
        <v>3.1499999999998529E-2</v>
      </c>
      <c r="O1008" s="15">
        <f>V1008-M1008</f>
        <v>6.5299999999999994</v>
      </c>
      <c r="P1008" s="16">
        <f>N1008/L1008</f>
        <v>4.9218749999997702E-3</v>
      </c>
      <c r="Q1008" s="14"/>
      <c r="R1008" s="14"/>
      <c r="S1008" s="17">
        <v>0.33069300000000001</v>
      </c>
      <c r="T1008" s="15">
        <v>12.99</v>
      </c>
      <c r="U1008" s="15">
        <v>14.67</v>
      </c>
      <c r="V1008" s="15">
        <v>19.52</v>
      </c>
      <c r="W1008" s="14" t="s">
        <v>720</v>
      </c>
      <c r="X1008" s="14">
        <v>16</v>
      </c>
      <c r="Y1008" s="10">
        <f>AC1008-AB1008</f>
        <v>0</v>
      </c>
      <c r="Z1008" s="18">
        <v>4</v>
      </c>
      <c r="AA1008" s="18">
        <v>62</v>
      </c>
      <c r="AB1008" s="18">
        <v>0</v>
      </c>
      <c r="AC1008" s="18"/>
      <c r="AD1008" s="1" t="s">
        <v>1452</v>
      </c>
      <c r="AE1008" s="1" t="s">
        <v>3380</v>
      </c>
      <c r="AF1008" s="4">
        <v>2.21</v>
      </c>
      <c r="AG1008" s="4">
        <v>4.6100000000000003</v>
      </c>
    </row>
    <row r="1009" spans="1:33" ht="30" x14ac:dyDescent="0.25">
      <c r="A1009" s="10" t="s">
        <v>1310</v>
      </c>
      <c r="B1009" s="11" t="s">
        <v>33</v>
      </c>
      <c r="C1009" s="12" t="s">
        <v>1311</v>
      </c>
      <c r="D1009" s="27"/>
      <c r="E1009" s="14" t="s">
        <v>35</v>
      </c>
      <c r="F1009" s="11" t="str">
        <f>HYPERLINK("https://redirect.sdcdeals.com/redirect?destination=https%3A%2F%2Fwww.amazon.com%2Fdp%2FB09N6HFN19%3Fth%3D1%26psc%3D1%26tag%3Dsdcdeals03-20", "Amazon Link")</f>
        <v>Amazon Link</v>
      </c>
      <c r="G1009" s="11" t="s">
        <v>36</v>
      </c>
      <c r="H1009" s="14" t="s">
        <v>1312</v>
      </c>
      <c r="I1009" s="11" t="str">
        <f>HYPERLINK("https://redirect.sdcdeals.com/redirect?code=763034&amp;mavely=https://mavely.app.link/e/bhESV2wGrGb&amp;destination=https%3A%2F%2Fwww.kohls.com%2Fsearch.jsp%3Fsubmit-search%3Dweb-regular%26search%3D60161519", "Retail Link")</f>
        <v>Retail Link</v>
      </c>
      <c r="J1009" s="14" t="s">
        <v>1290</v>
      </c>
      <c r="K1009" s="13" t="s">
        <v>1313</v>
      </c>
      <c r="L1009" s="15">
        <v>39.991999999999997</v>
      </c>
      <c r="M1009" s="15">
        <v>54.95</v>
      </c>
      <c r="N1009" s="15">
        <v>0.1155000000000044</v>
      </c>
      <c r="O1009" s="15">
        <f>V1009-M1009</f>
        <v>-7.8000000000000043</v>
      </c>
      <c r="P1009" s="16">
        <f>N1009/L1009</f>
        <v>2.888077615523215E-3</v>
      </c>
      <c r="Q1009" s="14">
        <v>5499</v>
      </c>
      <c r="R1009" s="14"/>
      <c r="S1009" s="17">
        <v>1.5410293799999999</v>
      </c>
      <c r="T1009" s="15"/>
      <c r="U1009" s="15">
        <v>54.95</v>
      </c>
      <c r="V1009" s="15">
        <v>47.15</v>
      </c>
      <c r="W1009" s="14" t="s">
        <v>100</v>
      </c>
      <c r="X1009" s="14">
        <v>1</v>
      </c>
      <c r="Y1009" s="10">
        <f>AC1009-AB1009</f>
        <v>23890</v>
      </c>
      <c r="Z1009" s="18">
        <v>18</v>
      </c>
      <c r="AA1009" s="18">
        <v>54</v>
      </c>
      <c r="AB1009" s="18">
        <v>4</v>
      </c>
      <c r="AC1009" s="18">
        <v>23894</v>
      </c>
      <c r="AD1009" s="1" t="s">
        <v>1292</v>
      </c>
      <c r="AE1009" s="1" t="s">
        <v>1293</v>
      </c>
      <c r="AG1009" s="4">
        <v>6.6</v>
      </c>
    </row>
    <row r="1010" spans="1:33" ht="30" x14ac:dyDescent="0.25">
      <c r="A1010" s="10" t="s">
        <v>7431</v>
      </c>
      <c r="B1010" s="11" t="s">
        <v>33</v>
      </c>
      <c r="C1010" s="12" t="s">
        <v>7432</v>
      </c>
      <c r="D1010" s="27"/>
      <c r="E1010" s="14" t="s">
        <v>35</v>
      </c>
      <c r="F1010" s="11" t="str">
        <f>HYPERLINK("https://redirect.sdcdeals.com/redirect?destination=https%3A%2F%2Fwww.amazon.com%2Fdp%2FB0CL5DL141%3Fth%3D1%26psc%3D1%26tag%3Dsdcdeals03-20", "Amazon Link")</f>
        <v>Amazon Link</v>
      </c>
      <c r="G1010" s="11" t="s">
        <v>36</v>
      </c>
      <c r="H1010" s="14" t="s">
        <v>7433</v>
      </c>
      <c r="I1010" s="11" t="str">
        <f>HYPERLINK("https://redirect.sdcdeals.com/redirect?code=763034&amp;mavely=https://mavely.app.link/e/bhESV2wGrGb&amp;destination=https%3A%2F%2Fwww.kohls.com%2Fsearch.jsp%3Fsubmit-search%3Dweb-regular%26search%3D65222709", "Retail Link")</f>
        <v>Retail Link</v>
      </c>
      <c r="J1010" s="14" t="s">
        <v>7424</v>
      </c>
      <c r="K1010" s="13" t="s">
        <v>7434</v>
      </c>
      <c r="L1010" s="15">
        <v>6.4</v>
      </c>
      <c r="M1010" s="15">
        <v>12.97</v>
      </c>
      <c r="N1010" s="15">
        <v>1.4499999999999069E-2</v>
      </c>
      <c r="O1010" s="15">
        <f>V1010-M1010</f>
        <v>9.2499999999999982</v>
      </c>
      <c r="P1010" s="16">
        <f>N1010/L1010</f>
        <v>2.2656249999998546E-3</v>
      </c>
      <c r="Q1010" s="14">
        <v>3532628</v>
      </c>
      <c r="R1010" s="14"/>
      <c r="S1010" s="17">
        <v>0.22928048000000001</v>
      </c>
      <c r="T1010" s="15">
        <v>12.97</v>
      </c>
      <c r="U1010" s="15">
        <v>17.329999999999998</v>
      </c>
      <c r="V1010" s="15">
        <v>22.22</v>
      </c>
      <c r="W1010" s="14" t="s">
        <v>164</v>
      </c>
      <c r="X1010" s="14">
        <v>13</v>
      </c>
      <c r="Y1010" s="10">
        <f>AC1010-AB1010</f>
        <v>0</v>
      </c>
      <c r="Z1010" s="18">
        <v>5</v>
      </c>
      <c r="AA1010" s="18">
        <v>49</v>
      </c>
      <c r="AB1010" s="18">
        <v>0</v>
      </c>
      <c r="AC1010" s="18"/>
      <c r="AD1010" s="1" t="s">
        <v>1452</v>
      </c>
      <c r="AE1010" s="1" t="s">
        <v>7430</v>
      </c>
      <c r="AF1010" s="4">
        <v>0.65</v>
      </c>
      <c r="AG1010" s="4">
        <v>4.6100000000000003</v>
      </c>
    </row>
    <row r="1011" spans="1:33" ht="45" x14ac:dyDescent="0.25">
      <c r="A1011" s="10" t="s">
        <v>132</v>
      </c>
      <c r="B1011" s="11" t="s">
        <v>33</v>
      </c>
      <c r="C1011" s="12" t="s">
        <v>133</v>
      </c>
      <c r="D1011" s="27"/>
      <c r="E1011" s="14" t="s">
        <v>35</v>
      </c>
      <c r="F1011" s="11" t="str">
        <f>HYPERLINK("https://redirect.sdcdeals.com/redirect?destination=https%3A%2F%2Fwww.amazon.com%2Fdp%2FB06X9RNJ8P%3Fth%3D1%26psc%3D1%26tag%3Dsdcdeals03-20", "Amazon Link")</f>
        <v>Amazon Link</v>
      </c>
      <c r="G1011" s="11" t="s">
        <v>36</v>
      </c>
      <c r="H1011" s="14" t="s">
        <v>134</v>
      </c>
      <c r="I1011" s="11" t="str">
        <f>HYPERLINK("https://redirect.sdcdeals.com/redirect?code=763034&amp;mavely=https://mavely.app.link/e/bhESV2wGrGb&amp;destination=https%3A%2F%2Fwww.kohls.com%2Fsearch.jsp%3Fsubmit-search%3Dweb-regular%26search%3D50632995", "Retail Link")</f>
        <v>Retail Link</v>
      </c>
      <c r="J1011" s="14" t="s">
        <v>135</v>
      </c>
      <c r="K1011" s="13" t="s">
        <v>136</v>
      </c>
      <c r="L1011" s="15">
        <v>7.9200000000000008</v>
      </c>
      <c r="M1011" s="15"/>
      <c r="N1011" s="15"/>
      <c r="O1011" s="15">
        <f>V1011-M1011</f>
        <v>0</v>
      </c>
      <c r="P1011" s="16">
        <f>N1011/L1011</f>
        <v>0</v>
      </c>
      <c r="Q1011" s="14">
        <v>2423964</v>
      </c>
      <c r="R1011" s="14"/>
      <c r="S1011" s="17">
        <v>0.65036289999999997</v>
      </c>
      <c r="T1011" s="15"/>
      <c r="U1011" s="15"/>
      <c r="V1011" s="15"/>
      <c r="W1011" s="14" t="s">
        <v>88</v>
      </c>
      <c r="X1011" s="14"/>
      <c r="Y1011" s="10">
        <f>AC1011-AB1011</f>
        <v>151</v>
      </c>
      <c r="Z1011" s="18">
        <v>2</v>
      </c>
      <c r="AA1011" s="18">
        <v>2</v>
      </c>
      <c r="AB1011" s="18">
        <v>0</v>
      </c>
      <c r="AC1011" s="18">
        <v>151</v>
      </c>
      <c r="AD1011" s="1" t="s">
        <v>137</v>
      </c>
      <c r="AE1011" s="1" t="s">
        <v>138</v>
      </c>
      <c r="AG1011" s="4">
        <v>5.12</v>
      </c>
    </row>
    <row r="1012" spans="1:33" ht="30" x14ac:dyDescent="0.25">
      <c r="A1012" s="10" t="s">
        <v>236</v>
      </c>
      <c r="B1012" s="11" t="s">
        <v>33</v>
      </c>
      <c r="C1012" s="12" t="s">
        <v>237</v>
      </c>
      <c r="D1012" s="27"/>
      <c r="E1012" s="14" t="s">
        <v>35</v>
      </c>
      <c r="F1012" s="11" t="str">
        <f>HYPERLINK("https://redirect.sdcdeals.com/redirect?destination=https%3A%2F%2Fwww.amazon.com%2Fdp%2FB0BD1VNG5H%3Fth%3D1%26psc%3D1%26tag%3Dsdcdeals03-20", "Amazon Link")</f>
        <v>Amazon Link</v>
      </c>
      <c r="G1012" s="11" t="s">
        <v>36</v>
      </c>
      <c r="H1012" s="14" t="s">
        <v>238</v>
      </c>
      <c r="I1012" s="11" t="str">
        <f>HYPERLINK("https://redirect.sdcdeals.com/redirect?code=763034&amp;mavely=https://mavely.app.link/e/bhESV2wGrGb&amp;destination=https%3A%2F%2Fwww.kohls.com%2Fsearch.jsp%3Fsubmit-search%3Dweb-regular%26search%3D77141450", "Retail Link")</f>
        <v>Retail Link</v>
      </c>
      <c r="J1012" s="14" t="s">
        <v>227</v>
      </c>
      <c r="K1012" s="13" t="s">
        <v>239</v>
      </c>
      <c r="L1012" s="15">
        <v>9.7920000000000016</v>
      </c>
      <c r="M1012" s="15"/>
      <c r="N1012" s="15"/>
      <c r="O1012" s="15">
        <f>V1012-M1012</f>
        <v>0</v>
      </c>
      <c r="P1012" s="16">
        <f>N1012/L1012</f>
        <v>0</v>
      </c>
      <c r="Q1012" s="14">
        <v>13897714</v>
      </c>
      <c r="R1012" s="14"/>
      <c r="S1012" s="17">
        <v>1.0802638</v>
      </c>
      <c r="T1012" s="15"/>
      <c r="U1012" s="15"/>
      <c r="V1012" s="15"/>
      <c r="W1012" s="14" t="s">
        <v>240</v>
      </c>
      <c r="X1012" s="14"/>
      <c r="Y1012" s="10">
        <f>AC1012-AB1012</f>
        <v>0</v>
      </c>
      <c r="Z1012" s="18">
        <v>0</v>
      </c>
      <c r="AA1012" s="18">
        <v>0</v>
      </c>
      <c r="AB1012" s="18"/>
      <c r="AC1012" s="18"/>
      <c r="AE1012" s="1" t="s">
        <v>76</v>
      </c>
      <c r="AG1012" s="4">
        <v>6.05</v>
      </c>
    </row>
    <row r="1013" spans="1:33" ht="30" x14ac:dyDescent="0.25">
      <c r="A1013" s="10" t="s">
        <v>256</v>
      </c>
      <c r="B1013" s="11" t="s">
        <v>33</v>
      </c>
      <c r="C1013" s="12" t="s">
        <v>257</v>
      </c>
      <c r="D1013" s="27"/>
      <c r="E1013" s="14" t="s">
        <v>35</v>
      </c>
      <c r="F1013" s="11" t="str">
        <f>HYPERLINK("https://redirect.sdcdeals.com/redirect?destination=https%3A%2F%2Fwww.amazon.com%2Fdp%2FB0BD28RDH5%3Fth%3D1%26psc%3D1%26tag%3Dsdcdeals03-20", "Amazon Link")</f>
        <v>Amazon Link</v>
      </c>
      <c r="G1013" s="11" t="s">
        <v>36</v>
      </c>
      <c r="H1013" s="14" t="s">
        <v>258</v>
      </c>
      <c r="I1013" s="11" t="str">
        <f>HYPERLINK("https://redirect.sdcdeals.com/redirect?code=763034&amp;mavely=https://mavely.app.link/e/bhESV2wGrGb&amp;destination=https%3A%2F%2Fwww.kohls.com%2Fsearch.jsp%3Fsubmit-search%3Dweb-regular%26search%3D80663936", "Retail Link")</f>
        <v>Retail Link</v>
      </c>
      <c r="J1013" s="14" t="s">
        <v>227</v>
      </c>
      <c r="K1013" s="13" t="s">
        <v>259</v>
      </c>
      <c r="L1013" s="15">
        <v>9.7920000000000016</v>
      </c>
      <c r="M1013" s="15"/>
      <c r="N1013" s="15"/>
      <c r="O1013" s="15">
        <f>V1013-M1013</f>
        <v>0</v>
      </c>
      <c r="P1013" s="16">
        <f>N1013/L1013</f>
        <v>0</v>
      </c>
      <c r="Q1013" s="14">
        <v>13897714</v>
      </c>
      <c r="R1013" s="14"/>
      <c r="S1013" s="17">
        <v>1.32056738</v>
      </c>
      <c r="T1013" s="15"/>
      <c r="U1013" s="15"/>
      <c r="V1013" s="15"/>
      <c r="W1013" s="14" t="s">
        <v>95</v>
      </c>
      <c r="X1013" s="14"/>
      <c r="Y1013" s="10">
        <f>AC1013-AB1013</f>
        <v>0</v>
      </c>
      <c r="Z1013" s="18">
        <v>0</v>
      </c>
      <c r="AA1013" s="18">
        <v>0</v>
      </c>
      <c r="AB1013" s="18"/>
      <c r="AC1013" s="18"/>
      <c r="AE1013" s="1" t="s">
        <v>235</v>
      </c>
      <c r="AG1013" s="4">
        <v>6.21</v>
      </c>
    </row>
    <row r="1014" spans="1:33" ht="30" x14ac:dyDescent="0.25">
      <c r="A1014" s="10" t="s">
        <v>326</v>
      </c>
      <c r="B1014" s="11" t="s">
        <v>33</v>
      </c>
      <c r="C1014" s="12" t="s">
        <v>327</v>
      </c>
      <c r="D1014" s="27"/>
      <c r="E1014" s="14" t="s">
        <v>35</v>
      </c>
      <c r="F1014" s="11" t="str">
        <f>HYPERLINK("https://redirect.sdcdeals.com/redirect?destination=https%3A%2F%2Fwww.amazon.com%2Fdp%2FB0BLZT1M7P%3Fth%3D1%26psc%3D1%26tag%3Dsdcdeals03-20", "Amazon Link")</f>
        <v>Amazon Link</v>
      </c>
      <c r="G1014" s="11" t="s">
        <v>36</v>
      </c>
      <c r="H1014" s="14" t="s">
        <v>328</v>
      </c>
      <c r="I1014" s="11" t="str">
        <f>HYPERLINK("https://redirect.sdcdeals.com/redirect?code=763034&amp;mavely=https://mavely.app.link/e/bhESV2wGrGb&amp;destination=https%3A%2F%2Fwww.kohls.com%2Fsearch.jsp%3Fsubmit-search%3Dweb-regular%26search%3D76796274", "Retail Link")</f>
        <v>Retail Link</v>
      </c>
      <c r="J1014" s="14" t="s">
        <v>294</v>
      </c>
      <c r="K1014" s="13" t="s">
        <v>329</v>
      </c>
      <c r="L1014" s="15">
        <v>9.5920000000000005</v>
      </c>
      <c r="M1014" s="15"/>
      <c r="N1014" s="15"/>
      <c r="O1014" s="15">
        <f>V1014-M1014</f>
        <v>0</v>
      </c>
      <c r="P1014" s="16">
        <f>N1014/L1014</f>
        <v>0</v>
      </c>
      <c r="Q1014" s="14">
        <v>100566</v>
      </c>
      <c r="R1014" s="14"/>
      <c r="S1014" s="17">
        <v>0.29100984000000002</v>
      </c>
      <c r="T1014" s="15"/>
      <c r="U1014" s="15"/>
      <c r="V1014" s="15"/>
      <c r="W1014" s="14" t="s">
        <v>330</v>
      </c>
      <c r="X1014" s="14"/>
      <c r="Y1014" s="10">
        <f>AC1014-AB1014</f>
        <v>35</v>
      </c>
      <c r="Z1014" s="18">
        <v>4</v>
      </c>
      <c r="AA1014" s="18">
        <v>14</v>
      </c>
      <c r="AB1014" s="18">
        <v>5</v>
      </c>
      <c r="AC1014" s="18">
        <v>40</v>
      </c>
      <c r="AG1014" s="4">
        <v>7.72</v>
      </c>
    </row>
    <row r="1015" spans="1:33" ht="30" x14ac:dyDescent="0.25">
      <c r="A1015" s="10" t="s">
        <v>428</v>
      </c>
      <c r="B1015" s="11" t="s">
        <v>33</v>
      </c>
      <c r="C1015" s="12" t="s">
        <v>429</v>
      </c>
      <c r="D1015" s="27"/>
      <c r="E1015" s="14" t="s">
        <v>35</v>
      </c>
      <c r="F1015" s="11" t="str">
        <f>HYPERLINK("https://redirect.sdcdeals.com/redirect?destination=https%3A%2F%2Fwww.amazon.com%2Fdp%2FB09PDXWBMD%3Fth%3D1%26psc%3D1%26tag%3Dsdcdeals03-20", "Amazon Link")</f>
        <v>Amazon Link</v>
      </c>
      <c r="G1015" s="11" t="s">
        <v>36</v>
      </c>
      <c r="H1015" s="14" t="s">
        <v>430</v>
      </c>
      <c r="I1015" s="11" t="str">
        <f>HYPERLINK("https://redirect.sdcdeals.com/redirect?code=763034&amp;mavely=https://mavely.app.link/e/bhESV2wGrGb&amp;destination=https%3A%2F%2Fwww.kohls.com%2Fsearch.jsp%3Fsubmit-search%3Dweb-regular%26search%3D49080754", "Retail Link")</f>
        <v>Retail Link</v>
      </c>
      <c r="J1015" s="14" t="s">
        <v>426</v>
      </c>
      <c r="K1015" s="13" t="s">
        <v>431</v>
      </c>
      <c r="L1015" s="15">
        <v>12</v>
      </c>
      <c r="M1015" s="15"/>
      <c r="N1015" s="15"/>
      <c r="O1015" s="15">
        <f>V1015-M1015</f>
        <v>0</v>
      </c>
      <c r="P1015" s="16">
        <f>N1015/L1015</f>
        <v>0</v>
      </c>
      <c r="Q1015" s="14">
        <v>1284819</v>
      </c>
      <c r="R1015" s="14"/>
      <c r="S1015" s="17">
        <v>1.4109567999999999</v>
      </c>
      <c r="T1015" s="15"/>
      <c r="U1015" s="15"/>
      <c r="V1015" s="15"/>
      <c r="W1015" s="14" t="s">
        <v>277</v>
      </c>
      <c r="X1015" s="14"/>
      <c r="Y1015" s="10">
        <f>AC1015-AB1015</f>
        <v>0</v>
      </c>
      <c r="Z1015" s="18">
        <v>0</v>
      </c>
      <c r="AA1015" s="18">
        <v>0</v>
      </c>
      <c r="AB1015" s="18"/>
      <c r="AC1015" s="18"/>
      <c r="AE1015" s="1" t="s">
        <v>76</v>
      </c>
      <c r="AG1015" s="4">
        <v>7.08</v>
      </c>
    </row>
    <row r="1016" spans="1:33" ht="30" x14ac:dyDescent="0.25">
      <c r="A1016" s="10" t="s">
        <v>584</v>
      </c>
      <c r="B1016" s="11" t="s">
        <v>33</v>
      </c>
      <c r="C1016" s="12" t="s">
        <v>585</v>
      </c>
      <c r="D1016" s="27"/>
      <c r="E1016" s="14" t="s">
        <v>35</v>
      </c>
      <c r="F1016" s="11" t="str">
        <f>HYPERLINK("https://redirect.sdcdeals.com/redirect?destination=https%3A%2F%2Fwww.amazon.com%2Fdp%2FB09N63RDCW%3Fth%3D1%26psc%3D1%26tag%3Dsdcdeals03-20", "Amazon Link")</f>
        <v>Amazon Link</v>
      </c>
      <c r="G1016" s="11" t="s">
        <v>36</v>
      </c>
      <c r="H1016" s="14" t="s">
        <v>586</v>
      </c>
      <c r="I1016" s="11" t="str">
        <f>HYPERLINK("https://redirect.sdcdeals.com/redirect?code=763034&amp;mavely=https://mavely.app.link/e/bhESV2wGrGb&amp;destination=https%3A%2F%2Fwww.kohls.com%2Fsearch.jsp%3Fsubmit-search%3Dweb-regular%26search%3D68728524", "Retail Link")</f>
        <v>Retail Link</v>
      </c>
      <c r="J1016" s="14" t="s">
        <v>580</v>
      </c>
      <c r="K1016" s="13" t="s">
        <v>587</v>
      </c>
      <c r="L1016" s="15">
        <v>11.128</v>
      </c>
      <c r="M1016" s="15"/>
      <c r="N1016" s="15"/>
      <c r="O1016" s="15">
        <f>V1016-M1016</f>
        <v>0</v>
      </c>
      <c r="P1016" s="16">
        <f>N1016/L1016</f>
        <v>0</v>
      </c>
      <c r="Q1016" s="14">
        <v>12109</v>
      </c>
      <c r="R1016" s="14"/>
      <c r="S1016" s="17">
        <v>1.34040896</v>
      </c>
      <c r="T1016" s="15"/>
      <c r="U1016" s="15"/>
      <c r="V1016" s="15"/>
      <c r="W1016" s="14" t="s">
        <v>588</v>
      </c>
      <c r="X1016" s="14"/>
      <c r="Y1016" s="10">
        <f>AC1016-AB1016</f>
        <v>1956</v>
      </c>
      <c r="Z1016" s="18">
        <v>1</v>
      </c>
      <c r="AA1016" s="18">
        <v>7</v>
      </c>
      <c r="AB1016" s="18">
        <v>1</v>
      </c>
      <c r="AC1016" s="18">
        <v>1957</v>
      </c>
      <c r="AD1016" s="1" t="s">
        <v>583</v>
      </c>
      <c r="AE1016" s="1" t="s">
        <v>178</v>
      </c>
      <c r="AG1016" s="4">
        <v>7.24</v>
      </c>
    </row>
    <row r="1017" spans="1:33" ht="30" x14ac:dyDescent="0.25">
      <c r="A1017" s="10" t="s">
        <v>706</v>
      </c>
      <c r="B1017" s="11" t="s">
        <v>33</v>
      </c>
      <c r="C1017" s="12" t="s">
        <v>707</v>
      </c>
      <c r="D1017" s="27"/>
      <c r="E1017" s="14" t="s">
        <v>35</v>
      </c>
      <c r="F1017" s="11" t="str">
        <f>HYPERLINK("https://redirect.sdcdeals.com/redirect?destination=https%3A%2F%2Fwww.amazon.com%2Fdp%2FB0BFVKJHTT%3Fth%3D1%26psc%3D1%26tag%3Dsdcdeals03-20", "Amazon Link")</f>
        <v>Amazon Link</v>
      </c>
      <c r="G1017" s="11" t="s">
        <v>36</v>
      </c>
      <c r="H1017" s="14" t="s">
        <v>708</v>
      </c>
      <c r="I1017" s="11" t="str">
        <f>HYPERLINK("https://redirect.sdcdeals.com/redirect?code=763034&amp;mavely=https://mavely.app.link/e/bhESV2wGrGb&amp;destination=https%3A%2F%2Fwww.kohls.com%2Fsearch.jsp%3Fsubmit-search%3Dweb-regular%26search%3D20255789", "Retail Link")</f>
        <v>Retail Link</v>
      </c>
      <c r="J1017" s="14" t="s">
        <v>696</v>
      </c>
      <c r="K1017" s="13" t="s">
        <v>709</v>
      </c>
      <c r="L1017" s="15">
        <v>44.095999999999997</v>
      </c>
      <c r="M1017" s="15"/>
      <c r="N1017" s="15"/>
      <c r="O1017" s="15">
        <f>V1017-M1017</f>
        <v>0</v>
      </c>
      <c r="P1017" s="16">
        <f>N1017/L1017</f>
        <v>0</v>
      </c>
      <c r="Q1017" s="14">
        <v>3328345</v>
      </c>
      <c r="R1017" s="14"/>
      <c r="S1017" s="17">
        <v>1.31615814</v>
      </c>
      <c r="T1017" s="15"/>
      <c r="U1017" s="15"/>
      <c r="V1017" s="15"/>
      <c r="W1017" s="14" t="s">
        <v>705</v>
      </c>
      <c r="X1017" s="14"/>
      <c r="Y1017" s="10">
        <f>AC1017-AB1017</f>
        <v>0</v>
      </c>
      <c r="Z1017" s="18">
        <v>1</v>
      </c>
      <c r="AA1017" s="18">
        <v>3</v>
      </c>
      <c r="AB1017" s="18">
        <v>0</v>
      </c>
      <c r="AC1017" s="18"/>
      <c r="AD1017" s="1" t="s">
        <v>699</v>
      </c>
      <c r="AE1017" s="1" t="s">
        <v>710</v>
      </c>
      <c r="AG1017" s="4">
        <v>16.07</v>
      </c>
    </row>
    <row r="1018" spans="1:33" ht="30" x14ac:dyDescent="0.25">
      <c r="A1018" s="10" t="s">
        <v>726</v>
      </c>
      <c r="B1018" s="11" t="s">
        <v>33</v>
      </c>
      <c r="C1018" s="12" t="s">
        <v>727</v>
      </c>
      <c r="D1018" s="27"/>
      <c r="E1018" s="14" t="s">
        <v>35</v>
      </c>
      <c r="F1018" s="11" t="str">
        <f>HYPERLINK("https://redirect.sdcdeals.com/redirect?destination=https%3A%2F%2Fwww.amazon.com%2Fdp%2FB0BFTG9ZG7%3Fth%3D1%26psc%3D1%26tag%3Dsdcdeals03-20", "Amazon Link")</f>
        <v>Amazon Link</v>
      </c>
      <c r="G1018" s="11" t="s">
        <v>36</v>
      </c>
      <c r="H1018" s="14" t="s">
        <v>728</v>
      </c>
      <c r="I1018" s="11" t="str">
        <f>HYPERLINK("https://redirect.sdcdeals.com/redirect?code=763034&amp;mavely=https://mavely.app.link/e/bhESV2wGrGb&amp;destination=https%3A%2F%2Fwww.kohls.com%2Fsearch.jsp%3Fsubmit-search%3Dweb-regular%26search%3D20255791", "Retail Link")</f>
        <v>Retail Link</v>
      </c>
      <c r="J1018" s="14" t="s">
        <v>696</v>
      </c>
      <c r="K1018" s="13" t="s">
        <v>729</v>
      </c>
      <c r="L1018" s="15">
        <v>44.095999999999997</v>
      </c>
      <c r="M1018" s="15"/>
      <c r="N1018" s="15"/>
      <c r="O1018" s="15">
        <f>V1018-M1018</f>
        <v>0</v>
      </c>
      <c r="P1018" s="16">
        <f>N1018/L1018</f>
        <v>0</v>
      </c>
      <c r="Q1018" s="14">
        <v>3328345</v>
      </c>
      <c r="R1018" s="14"/>
      <c r="S1018" s="17">
        <v>1.3668644000000001</v>
      </c>
      <c r="T1018" s="15"/>
      <c r="U1018" s="15"/>
      <c r="V1018" s="15"/>
      <c r="W1018" s="14" t="s">
        <v>385</v>
      </c>
      <c r="X1018" s="14"/>
      <c r="Y1018" s="10">
        <f>AC1018-AB1018</f>
        <v>0</v>
      </c>
      <c r="Z1018" s="18">
        <v>1</v>
      </c>
      <c r="AA1018" s="18">
        <v>2</v>
      </c>
      <c r="AB1018" s="18">
        <v>0</v>
      </c>
      <c r="AC1018" s="18"/>
      <c r="AD1018" s="1" t="s">
        <v>699</v>
      </c>
      <c r="AE1018" s="1" t="s">
        <v>710</v>
      </c>
      <c r="AG1018" s="4">
        <v>17.97</v>
      </c>
    </row>
    <row r="1019" spans="1:33" ht="30" x14ac:dyDescent="0.25">
      <c r="A1019" s="10" t="s">
        <v>738</v>
      </c>
      <c r="B1019" s="11" t="s">
        <v>33</v>
      </c>
      <c r="C1019" s="12" t="s">
        <v>739</v>
      </c>
      <c r="D1019" s="27"/>
      <c r="E1019" s="14" t="s">
        <v>35</v>
      </c>
      <c r="F1019" s="11" t="str">
        <f>HYPERLINK("https://redirect.sdcdeals.com/redirect?destination=https%3A%2F%2Fwww.amazon.com%2Fdp%2FB0BFTRR8GN%3Fth%3D1%26psc%3D1%26tag%3Dsdcdeals03-20", "Amazon Link")</f>
        <v>Amazon Link</v>
      </c>
      <c r="G1019" s="11" t="s">
        <v>36</v>
      </c>
      <c r="H1019" s="14" t="s">
        <v>740</v>
      </c>
      <c r="I1019" s="11" t="str">
        <f>HYPERLINK("https://redirect.sdcdeals.com/redirect?code=763034&amp;mavely=https://mavely.app.link/e/bhESV2wGrGb&amp;destination=https%3A%2F%2Fwww.kohls.com%2Fsearch.jsp%3Fsubmit-search%3Dweb-regular%26search%3D20255782", "Retail Link")</f>
        <v>Retail Link</v>
      </c>
      <c r="J1019" s="14" t="s">
        <v>696</v>
      </c>
      <c r="K1019" s="13" t="s">
        <v>741</v>
      </c>
      <c r="L1019" s="15">
        <v>44.095999999999997</v>
      </c>
      <c r="M1019" s="15"/>
      <c r="N1019" s="15"/>
      <c r="O1019" s="15">
        <f>V1019-M1019</f>
        <v>0</v>
      </c>
      <c r="P1019" s="16">
        <f>N1019/L1019</f>
        <v>0</v>
      </c>
      <c r="Q1019" s="14">
        <v>3328345</v>
      </c>
      <c r="R1019" s="14"/>
      <c r="S1019" s="17">
        <v>1.38009212</v>
      </c>
      <c r="T1019" s="15"/>
      <c r="U1019" s="15"/>
      <c r="V1019" s="15"/>
      <c r="W1019" s="14" t="s">
        <v>742</v>
      </c>
      <c r="X1019" s="14"/>
      <c r="Y1019" s="10">
        <f>AC1019-AB1019</f>
        <v>0</v>
      </c>
      <c r="Z1019" s="18">
        <v>1</v>
      </c>
      <c r="AA1019" s="18">
        <v>2</v>
      </c>
      <c r="AB1019" s="18">
        <v>0</v>
      </c>
      <c r="AC1019" s="18"/>
      <c r="AD1019" s="1" t="s">
        <v>699</v>
      </c>
      <c r="AE1019" s="1" t="s">
        <v>76</v>
      </c>
      <c r="AG1019" s="4">
        <v>15.31</v>
      </c>
    </row>
    <row r="1020" spans="1:33" ht="30" hidden="1" x14ac:dyDescent="0.25">
      <c r="A1020" s="10" t="s">
        <v>766</v>
      </c>
      <c r="B1020" s="11" t="s">
        <v>33</v>
      </c>
      <c r="C1020" s="12" t="s">
        <v>767</v>
      </c>
      <c r="D1020" s="27"/>
      <c r="E1020" s="14" t="s">
        <v>35</v>
      </c>
      <c r="F1020" s="11" t="str">
        <f>HYPERLINK("https://redirect.sdcdeals.com/redirect?destination=https%3A%2F%2Fwww.amazon.com%2Fdp%2FB0CNSCS2HZ%3Fth%3D1%26psc%3D1%26tag%3Dsdcdeals03-20", "Amazon Link")</f>
        <v>Amazon Link</v>
      </c>
      <c r="G1020" s="11" t="s">
        <v>36</v>
      </c>
      <c r="H1020" s="14" t="s">
        <v>768</v>
      </c>
      <c r="I1020" s="11" t="str">
        <f>HYPERLINK("https://redirect.sdcdeals.com/redirect?code=763034&amp;mavely=https://mavely.app.link/e/bhESV2wGrGb&amp;destination=https%3A%2F%2Fwww.kohls.com%2Fsearch.jsp%3Fsubmit-search%3Dweb-regular%26search%3D80326125", "Retail Link")</f>
        <v>Retail Link</v>
      </c>
      <c r="J1020" s="14" t="s">
        <v>769</v>
      </c>
      <c r="K1020" s="13" t="s">
        <v>770</v>
      </c>
      <c r="L1020" s="15">
        <v>3.36</v>
      </c>
      <c r="M1020" s="15">
        <v>35.409999999999997</v>
      </c>
      <c r="N1020" s="15"/>
      <c r="O1020" s="15">
        <f>V1020-M1020</f>
        <v>0</v>
      </c>
      <c r="P1020" s="16">
        <f>N1020/L1020</f>
        <v>0</v>
      </c>
      <c r="Q1020" s="14"/>
      <c r="R1020" s="14"/>
      <c r="S1020" s="17"/>
      <c r="T1020" s="15"/>
      <c r="U1020" s="15"/>
      <c r="V1020" s="15">
        <v>35.409999999999997</v>
      </c>
      <c r="W1020" s="14" t="s">
        <v>106</v>
      </c>
      <c r="X1020" s="14">
        <v>1</v>
      </c>
      <c r="Y1020" s="10">
        <f>AC1020-AB1020</f>
        <v>0</v>
      </c>
      <c r="Z1020" s="18">
        <v>-1</v>
      </c>
      <c r="AA1020" s="18">
        <v>-1</v>
      </c>
      <c r="AB1020" s="18"/>
      <c r="AC1020" s="18"/>
      <c r="AE1020" s="1" t="s">
        <v>771</v>
      </c>
    </row>
    <row r="1021" spans="1:33" ht="30" hidden="1" x14ac:dyDescent="0.25">
      <c r="A1021" s="10" t="s">
        <v>838</v>
      </c>
      <c r="B1021" s="11" t="s">
        <v>33</v>
      </c>
      <c r="C1021" s="12" t="s">
        <v>839</v>
      </c>
      <c r="D1021" s="27"/>
      <c r="E1021" s="14" t="s">
        <v>35</v>
      </c>
      <c r="F1021" s="11" t="str">
        <f>HYPERLINK("https://redirect.sdcdeals.com/redirect?destination=https%3A%2F%2Fwww.amazon.com%2Fdp%2FB0CRZ81DPX%3Fth%3D1%26psc%3D1%26tag%3Dsdcdeals03-20", "Amazon Link")</f>
        <v>Amazon Link</v>
      </c>
      <c r="G1021" s="11" t="s">
        <v>36</v>
      </c>
      <c r="H1021" s="14" t="s">
        <v>840</v>
      </c>
      <c r="I1021" s="11" t="str">
        <f>HYPERLINK("https://redirect.sdcdeals.com/redirect?code=763034&amp;mavely=https://mavely.app.link/e/bhESV2wGrGb&amp;destination=https%3A%2F%2Fwww.kohls.com%2Fsearch.jsp%3Fsubmit-search%3Dweb-regular%26search%3D78316036", "Retail Link")</f>
        <v>Retail Link</v>
      </c>
      <c r="J1021" s="14" t="s">
        <v>841</v>
      </c>
      <c r="K1021" s="13" t="s">
        <v>842</v>
      </c>
      <c r="L1021" s="15">
        <v>4.8000000000000007</v>
      </c>
      <c r="M1021" s="15">
        <v>20</v>
      </c>
      <c r="N1021" s="15"/>
      <c r="O1021" s="15">
        <f>V1021-M1021</f>
        <v>0.67000000000000171</v>
      </c>
      <c r="P1021" s="16">
        <f>N1021/L1021</f>
        <v>0</v>
      </c>
      <c r="Q1021" s="14"/>
      <c r="R1021" s="14"/>
      <c r="S1021" s="17">
        <v>0.31085141999999999</v>
      </c>
      <c r="T1021" s="15">
        <v>20</v>
      </c>
      <c r="U1021" s="15">
        <v>20</v>
      </c>
      <c r="V1021" s="15">
        <v>20.67</v>
      </c>
      <c r="W1021" s="14" t="s">
        <v>843</v>
      </c>
      <c r="X1021" s="14">
        <v>1</v>
      </c>
      <c r="Y1021" s="10">
        <f>AC1021-AB1021</f>
        <v>0</v>
      </c>
      <c r="Z1021" s="18">
        <v>-1</v>
      </c>
      <c r="AA1021" s="18">
        <v>-1</v>
      </c>
      <c r="AB1021" s="18"/>
      <c r="AC1021" s="18"/>
    </row>
    <row r="1022" spans="1:33" ht="30" hidden="1" x14ac:dyDescent="0.25">
      <c r="A1022" s="10" t="s">
        <v>876</v>
      </c>
      <c r="B1022" s="11" t="s">
        <v>33</v>
      </c>
      <c r="C1022" s="12" t="s">
        <v>877</v>
      </c>
      <c r="D1022" s="27"/>
      <c r="E1022" s="14" t="s">
        <v>35</v>
      </c>
      <c r="F1022" s="11" t="str">
        <f>HYPERLINK("https://redirect.sdcdeals.com/redirect?destination=https%3A%2F%2Fwww.amazon.com%2Fdp%2FB0D324X26M%3Fth%3D1%26psc%3D1%26tag%3Dsdcdeals03-20", "Amazon Link")</f>
        <v>Amazon Link</v>
      </c>
      <c r="G1022" s="11" t="s">
        <v>36</v>
      </c>
      <c r="H1022" s="14" t="s">
        <v>878</v>
      </c>
      <c r="I1022" s="11" t="str">
        <f>HYPERLINK("https://redirect.sdcdeals.com/redirect?code=763034&amp;mavely=https://mavely.app.link/e/bhESV2wGrGb&amp;destination=https%3A%2F%2Fwww.kohls.com%2Fsearch.jsp%3Fsubmit-search%3Dweb-regular%26search%3D79243961", "Retail Link")</f>
        <v>Retail Link</v>
      </c>
      <c r="J1022" s="14" t="s">
        <v>879</v>
      </c>
      <c r="K1022" s="13" t="s">
        <v>880</v>
      </c>
      <c r="L1022" s="15">
        <v>11.2</v>
      </c>
      <c r="M1022" s="15">
        <v>52.99</v>
      </c>
      <c r="N1022" s="15"/>
      <c r="O1022" s="15">
        <f>V1022-M1022</f>
        <v>0</v>
      </c>
      <c r="P1022" s="16">
        <f>N1022/L1022</f>
        <v>0</v>
      </c>
      <c r="Q1022" s="14"/>
      <c r="R1022" s="14"/>
      <c r="S1022" s="17"/>
      <c r="T1022" s="15">
        <v>27.25</v>
      </c>
      <c r="U1022" s="15">
        <v>52.99</v>
      </c>
      <c r="V1022" s="15">
        <v>52.99</v>
      </c>
      <c r="W1022" s="14" t="s">
        <v>229</v>
      </c>
      <c r="X1022" s="14">
        <v>3</v>
      </c>
      <c r="Y1022" s="10">
        <f>AC1022-AB1022</f>
        <v>0</v>
      </c>
      <c r="Z1022" s="18">
        <v>-1</v>
      </c>
      <c r="AA1022" s="18">
        <v>-1</v>
      </c>
      <c r="AB1022" s="18"/>
      <c r="AC1022" s="18"/>
      <c r="AE1022" s="1" t="s">
        <v>410</v>
      </c>
    </row>
    <row r="1023" spans="1:33" ht="30" x14ac:dyDescent="0.25">
      <c r="A1023" s="10" t="s">
        <v>936</v>
      </c>
      <c r="B1023" s="11" t="s">
        <v>33</v>
      </c>
      <c r="C1023" s="12" t="s">
        <v>937</v>
      </c>
      <c r="D1023" s="27"/>
      <c r="E1023" s="14" t="s">
        <v>35</v>
      </c>
      <c r="F1023" s="11" t="str">
        <f>HYPERLINK("https://redirect.sdcdeals.com/redirect?destination=https%3A%2F%2Fwww.amazon.com%2Fdp%2FB0CHHPCS27%3Fth%3D1%26psc%3D1%26tag%3Dsdcdeals03-20", "Amazon Link")</f>
        <v>Amazon Link</v>
      </c>
      <c r="G1023" s="11" t="s">
        <v>36</v>
      </c>
      <c r="H1023" s="14" t="s">
        <v>938</v>
      </c>
      <c r="I1023" s="11" t="str">
        <f>HYPERLINK("https://redirect.sdcdeals.com/redirect?code=763034&amp;mavely=https://mavely.app.link/e/bhESV2wGrGb&amp;destination=https%3A%2F%2Fwww.kohls.com%2Fsearch.jsp%3Fsubmit-search%3Dweb-regular%26search%3D54692385", "Retail Link")</f>
        <v>Retail Link</v>
      </c>
      <c r="J1023" s="14" t="s">
        <v>939</v>
      </c>
      <c r="K1023" s="13" t="s">
        <v>940</v>
      </c>
      <c r="L1023" s="15">
        <v>6.4</v>
      </c>
      <c r="M1023" s="15">
        <v>22.99</v>
      </c>
      <c r="N1023" s="15"/>
      <c r="O1023" s="15">
        <f>V1023-M1023</f>
        <v>0</v>
      </c>
      <c r="P1023" s="16">
        <f>N1023/L1023</f>
        <v>0</v>
      </c>
      <c r="Q1023" s="14">
        <v>1677184</v>
      </c>
      <c r="R1023" s="14"/>
      <c r="S1023" s="17"/>
      <c r="T1023" s="15"/>
      <c r="U1023" s="15"/>
      <c r="V1023" s="15">
        <v>22.99</v>
      </c>
      <c r="W1023" s="14" t="s">
        <v>941</v>
      </c>
      <c r="X1023" s="14">
        <v>1</v>
      </c>
      <c r="Y1023" s="10">
        <f>AC1023-AB1023</f>
        <v>326</v>
      </c>
      <c r="Z1023" s="18">
        <v>0</v>
      </c>
      <c r="AA1023" s="18">
        <v>2</v>
      </c>
      <c r="AB1023" s="18">
        <v>0</v>
      </c>
      <c r="AC1023" s="18">
        <v>326</v>
      </c>
      <c r="AE1023" s="1" t="s">
        <v>942</v>
      </c>
    </row>
    <row r="1024" spans="1:33" ht="30" x14ac:dyDescent="0.25">
      <c r="A1024" s="10" t="s">
        <v>949</v>
      </c>
      <c r="B1024" s="11" t="s">
        <v>33</v>
      </c>
      <c r="C1024" s="12" t="s">
        <v>950</v>
      </c>
      <c r="D1024" s="27"/>
      <c r="E1024" s="14" t="s">
        <v>35</v>
      </c>
      <c r="F1024" s="11" t="str">
        <f>HYPERLINK("https://redirect.sdcdeals.com/redirect?destination=https%3A%2F%2Fwww.amazon.com%2Fdp%2FB0B8HJL5CC%3Fth%3D1%26psc%3D1%26tag%3Dsdcdeals03-20", "Amazon Link")</f>
        <v>Amazon Link</v>
      </c>
      <c r="G1024" s="11" t="s">
        <v>36</v>
      </c>
      <c r="H1024" s="14" t="s">
        <v>951</v>
      </c>
      <c r="I1024" s="11" t="str">
        <f>HYPERLINK("https://redirect.sdcdeals.com/redirect?code=763034&amp;mavely=https://mavely.app.link/e/bhESV2wGrGb&amp;destination=https%3A%2F%2Fwww.kohls.com%2Fsearch.jsp%3Fsubmit-search%3Dweb-regular%26search%3D34116147", "Retail Link")</f>
        <v>Retail Link</v>
      </c>
      <c r="J1024" s="14" t="s">
        <v>952</v>
      </c>
      <c r="K1024" s="13" t="s">
        <v>953</v>
      </c>
      <c r="L1024" s="15">
        <v>8.9920000000000009</v>
      </c>
      <c r="M1024" s="15"/>
      <c r="N1024" s="15"/>
      <c r="O1024" s="15">
        <f>V1024-M1024</f>
        <v>0</v>
      </c>
      <c r="P1024" s="16">
        <f>N1024/L1024</f>
        <v>0</v>
      </c>
      <c r="Q1024" s="14">
        <v>6700686</v>
      </c>
      <c r="R1024" s="14"/>
      <c r="S1024" s="17">
        <v>0.93034963999999998</v>
      </c>
      <c r="T1024" s="15"/>
      <c r="U1024" s="15"/>
      <c r="V1024" s="15"/>
      <c r="W1024" s="14" t="s">
        <v>255</v>
      </c>
      <c r="X1024" s="14"/>
      <c r="Y1024" s="10">
        <f>AC1024-AB1024</f>
        <v>1</v>
      </c>
      <c r="Z1024" s="18">
        <v>0</v>
      </c>
      <c r="AA1024" s="18">
        <v>0</v>
      </c>
      <c r="AB1024" s="18">
        <v>0</v>
      </c>
      <c r="AC1024" s="18">
        <v>1</v>
      </c>
      <c r="AE1024" s="1" t="s">
        <v>954</v>
      </c>
      <c r="AG1024" s="4">
        <v>5.52</v>
      </c>
    </row>
    <row r="1025" spans="1:33" ht="30" x14ac:dyDescent="0.25">
      <c r="A1025" s="10" t="s">
        <v>960</v>
      </c>
      <c r="B1025" s="11" t="s">
        <v>33</v>
      </c>
      <c r="C1025" s="12" t="s">
        <v>961</v>
      </c>
      <c r="D1025" s="27"/>
      <c r="E1025" s="14" t="s">
        <v>35</v>
      </c>
      <c r="F1025" s="11" t="str">
        <f>HYPERLINK("https://redirect.sdcdeals.com/redirect?destination=https%3A%2F%2Fwww.amazon.com%2Fdp%2FB0BLK74KPR%3Fth%3D1%26psc%3D1%26tag%3Dsdcdeals03-20", "Amazon Link")</f>
        <v>Amazon Link</v>
      </c>
      <c r="G1025" s="11" t="s">
        <v>36</v>
      </c>
      <c r="H1025" s="14" t="s">
        <v>962</v>
      </c>
      <c r="I1025" s="11" t="str">
        <f>HYPERLINK("https://redirect.sdcdeals.com/redirect?code=763034&amp;mavely=https://mavely.app.link/e/bhESV2wGrGb&amp;destination=https%3A%2F%2Fwww.kohls.com%2Fsearch.jsp%3Fsubmit-search%3Dweb-regular%26search%3D54543231", "Retail Link")</f>
        <v>Retail Link</v>
      </c>
      <c r="J1025" s="14" t="s">
        <v>952</v>
      </c>
      <c r="K1025" s="13" t="s">
        <v>963</v>
      </c>
      <c r="L1025" s="15">
        <v>8.9920000000000009</v>
      </c>
      <c r="M1025" s="15"/>
      <c r="N1025" s="15"/>
      <c r="O1025" s="15">
        <f>V1025-M1025</f>
        <v>0</v>
      </c>
      <c r="P1025" s="16">
        <f>N1025/L1025</f>
        <v>0</v>
      </c>
      <c r="Q1025" s="14">
        <v>6700686</v>
      </c>
      <c r="R1025" s="14"/>
      <c r="S1025" s="17">
        <v>0.98987438000000005</v>
      </c>
      <c r="T1025" s="15"/>
      <c r="U1025" s="15"/>
      <c r="V1025" s="15"/>
      <c r="W1025" s="14" t="s">
        <v>964</v>
      </c>
      <c r="X1025" s="14"/>
      <c r="Y1025" s="10">
        <f>AC1025-AB1025</f>
        <v>1</v>
      </c>
      <c r="Z1025" s="18">
        <v>0</v>
      </c>
      <c r="AA1025" s="18">
        <v>0</v>
      </c>
      <c r="AB1025" s="18">
        <v>0</v>
      </c>
      <c r="AC1025" s="18">
        <v>1</v>
      </c>
      <c r="AE1025" s="1" t="s">
        <v>965</v>
      </c>
      <c r="AG1025" s="4">
        <v>5.77</v>
      </c>
    </row>
    <row r="1026" spans="1:33" ht="30" x14ac:dyDescent="0.25">
      <c r="A1026" s="10" t="s">
        <v>966</v>
      </c>
      <c r="B1026" s="11" t="s">
        <v>33</v>
      </c>
      <c r="C1026" s="12" t="s">
        <v>967</v>
      </c>
      <c r="D1026" s="27"/>
      <c r="E1026" s="14" t="s">
        <v>35</v>
      </c>
      <c r="F1026" s="11" t="str">
        <f>HYPERLINK("https://redirect.sdcdeals.com/redirect?destination=https%3A%2F%2Fwww.amazon.com%2Fdp%2FB0B9XGBG21%3Fth%3D1%26psc%3D1%26tag%3Dsdcdeals03-20", "Amazon Link")</f>
        <v>Amazon Link</v>
      </c>
      <c r="G1026" s="11" t="s">
        <v>36</v>
      </c>
      <c r="H1026" s="14" t="s">
        <v>968</v>
      </c>
      <c r="I1026" s="11" t="str">
        <f>HYPERLINK("https://redirect.sdcdeals.com/redirect?code=763034&amp;mavely=https://mavely.app.link/e/bhESV2wGrGb&amp;destination=https%3A%2F%2Fwww.kohls.com%2Fsearch.jsp%3Fsubmit-search%3Dweb-regular%26search%3D34116149", "Retail Link")</f>
        <v>Retail Link</v>
      </c>
      <c r="J1026" s="14" t="s">
        <v>952</v>
      </c>
      <c r="K1026" s="13" t="s">
        <v>969</v>
      </c>
      <c r="L1026" s="15">
        <v>8.9920000000000009</v>
      </c>
      <c r="M1026" s="15"/>
      <c r="N1026" s="15"/>
      <c r="O1026" s="15">
        <f>V1026-M1026</f>
        <v>0</v>
      </c>
      <c r="P1026" s="16">
        <f>N1026/L1026</f>
        <v>0</v>
      </c>
      <c r="Q1026" s="14">
        <v>6700686</v>
      </c>
      <c r="R1026" s="14"/>
      <c r="S1026" s="17">
        <v>0.98987438000000005</v>
      </c>
      <c r="T1026" s="15"/>
      <c r="U1026" s="15"/>
      <c r="V1026" s="15"/>
      <c r="W1026" s="14" t="s">
        <v>88</v>
      </c>
      <c r="X1026" s="14"/>
      <c r="Y1026" s="10">
        <f>AC1026-AB1026</f>
        <v>0</v>
      </c>
      <c r="Z1026" s="18">
        <v>0</v>
      </c>
      <c r="AA1026" s="18">
        <v>0</v>
      </c>
      <c r="AB1026" s="18"/>
      <c r="AC1026" s="18"/>
      <c r="AE1026" s="1" t="s">
        <v>954</v>
      </c>
      <c r="AG1026" s="4">
        <v>5.52</v>
      </c>
    </row>
    <row r="1027" spans="1:33" ht="30" x14ac:dyDescent="0.25">
      <c r="A1027" s="10" t="s">
        <v>1001</v>
      </c>
      <c r="B1027" s="11" t="s">
        <v>33</v>
      </c>
      <c r="C1027" s="12" t="s">
        <v>1002</v>
      </c>
      <c r="D1027" s="27"/>
      <c r="E1027" s="14" t="s">
        <v>35</v>
      </c>
      <c r="F1027" s="11" t="str">
        <f>HYPERLINK("https://redirect.sdcdeals.com/redirect?destination=https%3A%2F%2Fwww.amazon.com%2Fdp%2FB0BFV7ZXBP%3Fth%3D1%26psc%3D1%26tag%3Dsdcdeals03-20", "Amazon Link")</f>
        <v>Amazon Link</v>
      </c>
      <c r="G1027" s="11" t="s">
        <v>36</v>
      </c>
      <c r="H1027" s="14" t="s">
        <v>1003</v>
      </c>
      <c r="I1027" s="11" t="str">
        <f>HYPERLINK("https://redirect.sdcdeals.com/redirect?code=763034&amp;mavely=https://mavely.app.link/e/bhESV2wGrGb&amp;destination=https%3A%2F%2Fwww.kohls.com%2Fsearch.jsp%3Fsubmit-search%3Dweb-regular%26search%3D83188586", "Retail Link")</f>
        <v>Retail Link</v>
      </c>
      <c r="J1027" s="14" t="s">
        <v>973</v>
      </c>
      <c r="K1027" s="13" t="s">
        <v>1004</v>
      </c>
      <c r="L1027" s="15">
        <v>49.496000000000002</v>
      </c>
      <c r="M1027" s="15"/>
      <c r="N1027" s="15"/>
      <c r="O1027" s="15">
        <f>V1027-M1027</f>
        <v>0</v>
      </c>
      <c r="P1027" s="16">
        <f>N1027/L1027</f>
        <v>0</v>
      </c>
      <c r="Q1027" s="14">
        <v>2079619</v>
      </c>
      <c r="R1027" s="14"/>
      <c r="S1027" s="17">
        <v>2.0701381799999998</v>
      </c>
      <c r="T1027" s="15"/>
      <c r="U1027" s="15"/>
      <c r="V1027" s="15"/>
      <c r="W1027" s="14" t="s">
        <v>234</v>
      </c>
      <c r="X1027" s="14"/>
      <c r="Y1027" s="10">
        <f>AC1027-AB1027</f>
        <v>1</v>
      </c>
      <c r="Z1027" s="18">
        <v>1</v>
      </c>
      <c r="AA1027" s="18">
        <v>1</v>
      </c>
      <c r="AB1027" s="18">
        <v>0</v>
      </c>
      <c r="AC1027" s="18">
        <v>1</v>
      </c>
      <c r="AD1027" s="1" t="s">
        <v>976</v>
      </c>
      <c r="AE1027" s="1" t="s">
        <v>76</v>
      </c>
      <c r="AG1027" s="4">
        <v>20.25</v>
      </c>
    </row>
    <row r="1028" spans="1:33" ht="30" x14ac:dyDescent="0.25">
      <c r="A1028" s="10" t="s">
        <v>1005</v>
      </c>
      <c r="B1028" s="11" t="s">
        <v>33</v>
      </c>
      <c r="C1028" s="12" t="s">
        <v>1006</v>
      </c>
      <c r="D1028" s="27"/>
      <c r="E1028" s="14" t="s">
        <v>35</v>
      </c>
      <c r="F1028" s="11" t="str">
        <f>HYPERLINK("https://redirect.sdcdeals.com/redirect?destination=https%3A%2F%2Fwww.amazon.com%2Fdp%2FB0BFTVD44Y%3Fth%3D1%26psc%3D1%26tag%3Dsdcdeals03-20", "Amazon Link")</f>
        <v>Amazon Link</v>
      </c>
      <c r="G1028" s="11" t="s">
        <v>36</v>
      </c>
      <c r="H1028" s="14" t="s">
        <v>1007</v>
      </c>
      <c r="I1028" s="11" t="str">
        <f>HYPERLINK("https://redirect.sdcdeals.com/redirect?code=763034&amp;mavely=https://mavely.app.link/e/bhESV2wGrGb&amp;destination=https%3A%2F%2Fwww.kohls.com%2Fsearch.jsp%3Fsubmit-search%3Dweb-regular%26search%3D83188591", "Retail Link")</f>
        <v>Retail Link</v>
      </c>
      <c r="J1028" s="14" t="s">
        <v>973</v>
      </c>
      <c r="K1028" s="13" t="s">
        <v>1008</v>
      </c>
      <c r="L1028" s="15">
        <v>49.496000000000002</v>
      </c>
      <c r="M1028" s="15"/>
      <c r="N1028" s="15"/>
      <c r="O1028" s="15">
        <f>V1028-M1028</f>
        <v>0</v>
      </c>
      <c r="P1028" s="16">
        <f>N1028/L1028</f>
        <v>0</v>
      </c>
      <c r="Q1028" s="14">
        <v>2079619</v>
      </c>
      <c r="R1028" s="14"/>
      <c r="S1028" s="17">
        <v>1.9797487600000001</v>
      </c>
      <c r="T1028" s="15"/>
      <c r="U1028" s="15"/>
      <c r="V1028" s="15"/>
      <c r="W1028" s="14" t="s">
        <v>255</v>
      </c>
      <c r="X1028" s="14"/>
      <c r="Y1028" s="10">
        <f>AC1028-AB1028</f>
        <v>0</v>
      </c>
      <c r="Z1028" s="18">
        <v>0</v>
      </c>
      <c r="AA1028" s="18">
        <v>0</v>
      </c>
      <c r="AB1028" s="18">
        <v>0</v>
      </c>
      <c r="AC1028" s="18"/>
      <c r="AD1028" s="1" t="s">
        <v>976</v>
      </c>
      <c r="AE1028" s="1" t="s">
        <v>700</v>
      </c>
      <c r="AG1028" s="4">
        <v>16.829999999999998</v>
      </c>
    </row>
    <row r="1029" spans="1:33" ht="30" x14ac:dyDescent="0.25">
      <c r="A1029" s="10" t="s">
        <v>1009</v>
      </c>
      <c r="B1029" s="11" t="s">
        <v>33</v>
      </c>
      <c r="C1029" s="12" t="s">
        <v>1010</v>
      </c>
      <c r="D1029" s="27"/>
      <c r="E1029" s="14" t="s">
        <v>35</v>
      </c>
      <c r="F1029" s="11" t="str">
        <f>HYPERLINK("https://redirect.sdcdeals.com/redirect?destination=https%3A%2F%2Fwww.amazon.com%2Fdp%2FB0CNBLVFDT%3Fth%3D1%26psc%3D1%26tag%3Dsdcdeals03-20", "Amazon Link")</f>
        <v>Amazon Link</v>
      </c>
      <c r="G1029" s="11" t="s">
        <v>36</v>
      </c>
      <c r="H1029" s="14" t="s">
        <v>1011</v>
      </c>
      <c r="I1029" s="11" t="str">
        <f>HYPERLINK("https://redirect.sdcdeals.com/redirect?code=763034&amp;mavely=https://mavely.app.link/e/bhESV2wGrGb&amp;destination=https%3A%2F%2Fwww.kohls.com%2Fsearch.jsp%3Fsubmit-search%3Dweb-regular%26search%3D65209270", "Retail Link")</f>
        <v>Retail Link</v>
      </c>
      <c r="J1029" s="14" t="s">
        <v>1012</v>
      </c>
      <c r="K1029" s="13" t="s">
        <v>1013</v>
      </c>
      <c r="L1029" s="15">
        <v>6</v>
      </c>
      <c r="M1029" s="15">
        <v>33.729999999999997</v>
      </c>
      <c r="N1029" s="15"/>
      <c r="O1029" s="15">
        <f>V1029-M1029</f>
        <v>-10.539999999999996</v>
      </c>
      <c r="P1029" s="16">
        <f>N1029/L1029</f>
        <v>0</v>
      </c>
      <c r="Q1029" s="14">
        <v>8847176</v>
      </c>
      <c r="R1029" s="14"/>
      <c r="S1029" s="17"/>
      <c r="T1029" s="15"/>
      <c r="U1029" s="15">
        <v>33.729999999999997</v>
      </c>
      <c r="V1029" s="15">
        <v>23.19</v>
      </c>
      <c r="W1029" s="14" t="s">
        <v>1014</v>
      </c>
      <c r="X1029" s="14">
        <v>1</v>
      </c>
      <c r="Y1029" s="10">
        <f>AC1029-AB1029</f>
        <v>0</v>
      </c>
      <c r="Z1029" s="18">
        <v>0</v>
      </c>
      <c r="AA1029" s="18">
        <v>10</v>
      </c>
      <c r="AB1029" s="18">
        <v>0</v>
      </c>
      <c r="AC1029" s="18"/>
      <c r="AE1029" s="1" t="s">
        <v>1015</v>
      </c>
    </row>
    <row r="1030" spans="1:33" ht="60" hidden="1" x14ac:dyDescent="0.25">
      <c r="A1030" s="10" t="s">
        <v>1021</v>
      </c>
      <c r="B1030" s="11" t="s">
        <v>33</v>
      </c>
      <c r="C1030" s="12" t="s">
        <v>1022</v>
      </c>
      <c r="D1030" s="27"/>
      <c r="E1030" s="14" t="s">
        <v>35</v>
      </c>
      <c r="F1030" s="11" t="str">
        <f>HYPERLINK("https://redirect.sdcdeals.com/redirect?destination=https%3A%2F%2Fwww.amazon.com%2Fdp%2FB09DKPV39W%3Fth%3D1%26psc%3D1%26tag%3Dsdcdeals03-20", "Amazon Link")</f>
        <v>Amazon Link</v>
      </c>
      <c r="G1030" s="11" t="s">
        <v>36</v>
      </c>
      <c r="H1030" s="14" t="s">
        <v>1023</v>
      </c>
      <c r="I1030" s="11" t="str">
        <f>HYPERLINK("https://redirect.sdcdeals.com/redirect?code=763034&amp;mavely=https://mavely.app.link/e/bhESV2wGrGb&amp;destination=https%3A%2F%2Fwww.kohls.com%2Fsearch.jsp%3Fsubmit-search%3Dweb-regular%26search%3D66057937", "Retail Link")</f>
        <v>Retail Link</v>
      </c>
      <c r="J1030" s="14" t="s">
        <v>1024</v>
      </c>
      <c r="K1030" s="13" t="s">
        <v>1025</v>
      </c>
      <c r="L1030" s="15">
        <v>4.8000000000000007</v>
      </c>
      <c r="M1030" s="15"/>
      <c r="N1030" s="15"/>
      <c r="O1030" s="15">
        <f>V1030-M1030</f>
        <v>0</v>
      </c>
      <c r="P1030" s="16">
        <f>N1030/L1030</f>
        <v>0</v>
      </c>
      <c r="Q1030" s="14"/>
      <c r="R1030" s="14"/>
      <c r="S1030" s="17"/>
      <c r="T1030" s="15"/>
      <c r="U1030" s="15"/>
      <c r="V1030" s="15"/>
      <c r="W1030" s="14" t="s">
        <v>959</v>
      </c>
      <c r="X1030" s="14"/>
      <c r="Y1030" s="10">
        <f>AC1030-AB1030</f>
        <v>0</v>
      </c>
      <c r="Z1030" s="18">
        <v>-1</v>
      </c>
      <c r="AA1030" s="18">
        <v>-1</v>
      </c>
      <c r="AB1030" s="18"/>
      <c r="AC1030" s="18"/>
    </row>
    <row r="1031" spans="1:33" ht="30" hidden="1" x14ac:dyDescent="0.25">
      <c r="A1031" s="10" t="s">
        <v>1103</v>
      </c>
      <c r="B1031" s="11" t="s">
        <v>33</v>
      </c>
      <c r="C1031" s="12" t="s">
        <v>1104</v>
      </c>
      <c r="D1031" s="27"/>
      <c r="E1031" s="14" t="s">
        <v>35</v>
      </c>
      <c r="F1031" s="11" t="str">
        <f>HYPERLINK("https://redirect.sdcdeals.com/redirect?destination=https%3A%2F%2Fwww.amazon.com%2Fdp%2FB07WN4HHM4%3Fth%3D1%26psc%3D1%26tag%3Dsdcdeals03-20", "Amazon Link")</f>
        <v>Amazon Link</v>
      </c>
      <c r="G1031" s="11" t="s">
        <v>36</v>
      </c>
      <c r="H1031" s="14" t="s">
        <v>1105</v>
      </c>
      <c r="I1031" s="11" t="str">
        <f>HYPERLINK("https://redirect.sdcdeals.com/redirect?code=763034&amp;mavely=https://mavely.app.link/e/bhESV2wGrGb&amp;destination=https%3A%2F%2Fwww.kohls.com%2Fsearch.jsp%3Fsubmit-search%3Dweb-regular%26search%3D67179452", "Retail Link")</f>
        <v>Retail Link</v>
      </c>
      <c r="J1031" s="14" t="s">
        <v>1106</v>
      </c>
      <c r="K1031" s="13" t="s">
        <v>1107</v>
      </c>
      <c r="L1031" s="15">
        <v>17.992000000000001</v>
      </c>
      <c r="M1031" s="15"/>
      <c r="N1031" s="15"/>
      <c r="O1031" s="15">
        <f>V1031-M1031</f>
        <v>0</v>
      </c>
      <c r="P1031" s="16">
        <f>N1031/L1031</f>
        <v>0</v>
      </c>
      <c r="Q1031" s="14"/>
      <c r="R1031" s="14"/>
      <c r="S1031" s="17"/>
      <c r="T1031" s="15"/>
      <c r="U1031" s="15"/>
      <c r="V1031" s="15"/>
      <c r="W1031" s="14" t="s">
        <v>282</v>
      </c>
      <c r="X1031" s="14"/>
      <c r="Y1031" s="10">
        <f>AC1031-AB1031</f>
        <v>0</v>
      </c>
      <c r="Z1031" s="18">
        <v>-1</v>
      </c>
      <c r="AA1031" s="18">
        <v>-1</v>
      </c>
      <c r="AB1031" s="18"/>
      <c r="AC1031" s="18"/>
    </row>
    <row r="1032" spans="1:33" x14ac:dyDescent="0.25">
      <c r="A1032" s="10" t="s">
        <v>1144</v>
      </c>
      <c r="B1032" s="11" t="s">
        <v>33</v>
      </c>
      <c r="C1032" s="12" t="s">
        <v>1145</v>
      </c>
      <c r="D1032" s="27"/>
      <c r="E1032" s="14" t="s">
        <v>35</v>
      </c>
      <c r="F1032" s="11" t="str">
        <f>HYPERLINK("https://redirect.sdcdeals.com/redirect?destination=https%3A%2F%2Fwww.amazon.com%2Fdp%2FB07FKL5VSM%3Fth%3D1%26psc%3D1%26tag%3Dsdcdeals03-20", "Amazon Link")</f>
        <v>Amazon Link</v>
      </c>
      <c r="G1032" s="11" t="s">
        <v>36</v>
      </c>
      <c r="H1032" s="14" t="s">
        <v>1146</v>
      </c>
      <c r="I1032" s="11" t="str">
        <f>HYPERLINK("https://redirect.sdcdeals.com/redirect?code=763034&amp;mavely=https://mavely.app.link/e/bhESV2wGrGb&amp;destination=https%3A%2F%2Fwww.kohls.com%2Fsearch.jsp%3Fsubmit-search%3Dweb-regular%26search%3D64893511", "Retail Link")</f>
        <v>Retail Link</v>
      </c>
      <c r="J1032" s="14" t="s">
        <v>1147</v>
      </c>
      <c r="K1032" s="13" t="s">
        <v>1148</v>
      </c>
      <c r="L1032" s="15">
        <v>16</v>
      </c>
      <c r="M1032" s="15"/>
      <c r="N1032" s="15"/>
      <c r="O1032" s="15">
        <f>V1032-M1032</f>
        <v>0</v>
      </c>
      <c r="P1032" s="16">
        <f>N1032/L1032</f>
        <v>0</v>
      </c>
      <c r="Q1032" s="14">
        <v>35212</v>
      </c>
      <c r="R1032" s="14"/>
      <c r="S1032" s="17">
        <v>0.75398003999999996</v>
      </c>
      <c r="T1032" s="15"/>
      <c r="U1032" s="15"/>
      <c r="V1032" s="15"/>
      <c r="W1032" s="14" t="s">
        <v>255</v>
      </c>
      <c r="X1032" s="14"/>
      <c r="Y1032" s="10">
        <f>AC1032-AB1032</f>
        <v>1778</v>
      </c>
      <c r="Z1032" s="18">
        <v>4</v>
      </c>
      <c r="AA1032" s="18">
        <v>25</v>
      </c>
      <c r="AB1032" s="18">
        <v>2</v>
      </c>
      <c r="AC1032" s="18">
        <v>1780</v>
      </c>
      <c r="AD1032" s="1" t="s">
        <v>1149</v>
      </c>
      <c r="AE1032" s="1" t="s">
        <v>1150</v>
      </c>
      <c r="AG1032" s="4">
        <v>5.9</v>
      </c>
    </row>
    <row r="1033" spans="1:33" ht="30" x14ac:dyDescent="0.25">
      <c r="A1033" s="10" t="s">
        <v>1165</v>
      </c>
      <c r="B1033" s="11" t="s">
        <v>33</v>
      </c>
      <c r="C1033" s="12" t="s">
        <v>1166</v>
      </c>
      <c r="D1033" s="27"/>
      <c r="E1033" s="14" t="s">
        <v>35</v>
      </c>
      <c r="F1033" s="11" t="str">
        <f>HYPERLINK("https://redirect.sdcdeals.com/redirect?destination=https%3A%2F%2Fwww.amazon.com%2Fdp%2FB0BF3G3Z69%3Fth%3D1%26psc%3D1%26tag%3Dsdcdeals03-20", "Amazon Link")</f>
        <v>Amazon Link</v>
      </c>
      <c r="G1033" s="11" t="s">
        <v>36</v>
      </c>
      <c r="H1033" s="14" t="s">
        <v>1167</v>
      </c>
      <c r="I1033" s="11" t="str">
        <f>HYPERLINK("https://redirect.sdcdeals.com/redirect?code=763034&amp;mavely=https://mavely.app.link/e/bhESV2wGrGb&amp;destination=https%3A%2F%2Fwww.kohls.com%2Fsearch.jsp%3Fsubmit-search%3Dweb-regular%26search%3D49598685", "Retail Link")</f>
        <v>Retail Link</v>
      </c>
      <c r="J1033" s="14" t="s">
        <v>1168</v>
      </c>
      <c r="K1033" s="13" t="s">
        <v>1169</v>
      </c>
      <c r="L1033" s="15">
        <v>10.4</v>
      </c>
      <c r="M1033" s="15">
        <v>53.33</v>
      </c>
      <c r="N1033" s="15"/>
      <c r="O1033" s="15">
        <f>V1033-M1033</f>
        <v>-6.2199999999999989</v>
      </c>
      <c r="P1033" s="16">
        <f>N1033/L1033</f>
        <v>0</v>
      </c>
      <c r="Q1033" s="14">
        <v>286603</v>
      </c>
      <c r="R1033" s="14"/>
      <c r="S1033" s="17"/>
      <c r="T1033" s="15">
        <v>53.33</v>
      </c>
      <c r="U1033" s="15">
        <v>48.76</v>
      </c>
      <c r="V1033" s="15">
        <v>47.11</v>
      </c>
      <c r="W1033" s="14" t="s">
        <v>60</v>
      </c>
      <c r="X1033" s="14">
        <v>2</v>
      </c>
      <c r="Y1033" s="10">
        <f>AC1033-AB1033</f>
        <v>92</v>
      </c>
      <c r="Z1033" s="18">
        <v>19</v>
      </c>
      <c r="AA1033" s="18">
        <v>39</v>
      </c>
      <c r="AB1033" s="18">
        <v>0</v>
      </c>
      <c r="AC1033" s="18">
        <v>92</v>
      </c>
      <c r="AE1033" s="1" t="s">
        <v>1170</v>
      </c>
    </row>
    <row r="1034" spans="1:33" ht="30" x14ac:dyDescent="0.25">
      <c r="A1034" s="10" t="s">
        <v>1171</v>
      </c>
      <c r="B1034" s="11" t="s">
        <v>33</v>
      </c>
      <c r="C1034" s="12" t="s">
        <v>1172</v>
      </c>
      <c r="D1034" s="27"/>
      <c r="E1034" s="14" t="s">
        <v>35</v>
      </c>
      <c r="F1034" s="11" t="str">
        <f>HYPERLINK("https://redirect.sdcdeals.com/redirect?destination=https%3A%2F%2Fwww.amazon.com%2Fdp%2FB0BF2ZML5X%3Fth%3D1%26psc%3D1%26tag%3Dsdcdeals03-20", "Amazon Link")</f>
        <v>Amazon Link</v>
      </c>
      <c r="G1034" s="11" t="s">
        <v>36</v>
      </c>
      <c r="H1034" s="14" t="s">
        <v>1173</v>
      </c>
      <c r="I1034" s="11" t="str">
        <f>HYPERLINK("https://redirect.sdcdeals.com/redirect?code=763034&amp;mavely=https://mavely.app.link/e/bhESV2wGrGb&amp;destination=https%3A%2F%2Fwww.kohls.com%2Fsearch.jsp%3Fsubmit-search%3Dweb-regular%26search%3D49598691", "Retail Link")</f>
        <v>Retail Link</v>
      </c>
      <c r="J1034" s="14" t="s">
        <v>1168</v>
      </c>
      <c r="K1034" s="13" t="s">
        <v>1174</v>
      </c>
      <c r="L1034" s="15">
        <v>10.4</v>
      </c>
      <c r="M1034" s="15">
        <v>52.91</v>
      </c>
      <c r="N1034" s="15"/>
      <c r="O1034" s="15">
        <f>V1034-M1034</f>
        <v>-5.2199999999999989</v>
      </c>
      <c r="P1034" s="16">
        <f>N1034/L1034</f>
        <v>0</v>
      </c>
      <c r="Q1034" s="14">
        <v>286603</v>
      </c>
      <c r="R1034" s="14"/>
      <c r="S1034" s="17"/>
      <c r="T1034" s="15">
        <v>52.91</v>
      </c>
      <c r="U1034" s="15">
        <v>50.01</v>
      </c>
      <c r="V1034" s="15">
        <v>47.69</v>
      </c>
      <c r="W1034" s="14" t="s">
        <v>342</v>
      </c>
      <c r="X1034" s="14">
        <v>2</v>
      </c>
      <c r="Y1034" s="10">
        <f>AC1034-AB1034</f>
        <v>92</v>
      </c>
      <c r="Z1034" s="18">
        <v>16</v>
      </c>
      <c r="AA1034" s="18">
        <v>40</v>
      </c>
      <c r="AB1034" s="18">
        <v>0</v>
      </c>
      <c r="AC1034" s="18">
        <v>92</v>
      </c>
      <c r="AE1034" s="1" t="s">
        <v>1170</v>
      </c>
    </row>
    <row r="1035" spans="1:33" ht="30" x14ac:dyDescent="0.25">
      <c r="A1035" s="10" t="s">
        <v>1175</v>
      </c>
      <c r="B1035" s="11" t="s">
        <v>33</v>
      </c>
      <c r="C1035" s="12" t="s">
        <v>1176</v>
      </c>
      <c r="D1035" s="27"/>
      <c r="E1035" s="14" t="s">
        <v>35</v>
      </c>
      <c r="F1035" s="11" t="str">
        <f>HYPERLINK("https://redirect.sdcdeals.com/redirect?destination=https%3A%2F%2Fwww.amazon.com%2Fdp%2FB0BF2T5GF5%3Fth%3D1%26psc%3D1%26tag%3Dsdcdeals03-20", "Amazon Link")</f>
        <v>Amazon Link</v>
      </c>
      <c r="G1035" s="11" t="s">
        <v>36</v>
      </c>
      <c r="H1035" s="14" t="s">
        <v>1177</v>
      </c>
      <c r="I1035" s="11" t="str">
        <f>HYPERLINK("https://redirect.sdcdeals.com/redirect?code=763034&amp;mavely=https://mavely.app.link/e/bhESV2wGrGb&amp;destination=https%3A%2F%2Fwww.kohls.com%2Fsearch.jsp%3Fsubmit-search%3Dweb-regular%26search%3D49598697", "Retail Link")</f>
        <v>Retail Link</v>
      </c>
      <c r="J1035" s="14" t="s">
        <v>1168</v>
      </c>
      <c r="K1035" s="13" t="s">
        <v>1178</v>
      </c>
      <c r="L1035" s="15">
        <v>10.4</v>
      </c>
      <c r="M1035" s="15">
        <v>52.72</v>
      </c>
      <c r="N1035" s="15"/>
      <c r="O1035" s="15">
        <f>V1035-M1035</f>
        <v>-4.9600000000000009</v>
      </c>
      <c r="P1035" s="16">
        <f>N1035/L1035</f>
        <v>0</v>
      </c>
      <c r="Q1035" s="14">
        <v>286603</v>
      </c>
      <c r="R1035" s="14"/>
      <c r="S1035" s="17"/>
      <c r="T1035" s="15">
        <v>52.72</v>
      </c>
      <c r="U1035" s="15">
        <v>50.04</v>
      </c>
      <c r="V1035" s="15">
        <v>47.76</v>
      </c>
      <c r="W1035" s="14" t="s">
        <v>100</v>
      </c>
      <c r="X1035" s="14">
        <v>2</v>
      </c>
      <c r="Y1035" s="10">
        <f>AC1035-AB1035</f>
        <v>92</v>
      </c>
      <c r="Z1035" s="18">
        <v>14</v>
      </c>
      <c r="AA1035" s="18">
        <v>42</v>
      </c>
      <c r="AB1035" s="18">
        <v>0</v>
      </c>
      <c r="AC1035" s="18">
        <v>92</v>
      </c>
      <c r="AE1035" s="1" t="s">
        <v>1170</v>
      </c>
    </row>
    <row r="1036" spans="1:33" ht="30" x14ac:dyDescent="0.25">
      <c r="A1036" s="10" t="s">
        <v>1179</v>
      </c>
      <c r="B1036" s="11" t="s">
        <v>33</v>
      </c>
      <c r="C1036" s="12" t="s">
        <v>1180</v>
      </c>
      <c r="D1036" s="27"/>
      <c r="E1036" s="14" t="s">
        <v>35</v>
      </c>
      <c r="F1036" s="11" t="str">
        <f>HYPERLINK("https://redirect.sdcdeals.com/redirect?destination=https%3A%2F%2Fwww.amazon.com%2Fdp%2FB0BF3RLPSG%3Fth%3D1%26psc%3D1%26tag%3Dsdcdeals03-20", "Amazon Link")</f>
        <v>Amazon Link</v>
      </c>
      <c r="G1036" s="11" t="s">
        <v>36</v>
      </c>
      <c r="H1036" s="14" t="s">
        <v>1181</v>
      </c>
      <c r="I1036" s="11" t="str">
        <f>HYPERLINK("https://redirect.sdcdeals.com/redirect?code=763034&amp;mavely=https://mavely.app.link/e/bhESV2wGrGb&amp;destination=https%3A%2F%2Fwww.kohls.com%2Fsearch.jsp%3Fsubmit-search%3Dweb-regular%26search%3D49598703", "Retail Link")</f>
        <v>Retail Link</v>
      </c>
      <c r="J1036" s="14" t="s">
        <v>1168</v>
      </c>
      <c r="K1036" s="13" t="s">
        <v>1182</v>
      </c>
      <c r="L1036" s="15">
        <v>10.4</v>
      </c>
      <c r="M1036" s="15">
        <v>52.74</v>
      </c>
      <c r="N1036" s="15"/>
      <c r="O1036" s="15">
        <f>V1036-M1036</f>
        <v>-6.07</v>
      </c>
      <c r="P1036" s="16">
        <f>N1036/L1036</f>
        <v>0</v>
      </c>
      <c r="Q1036" s="14">
        <v>286603</v>
      </c>
      <c r="R1036" s="14"/>
      <c r="S1036" s="17"/>
      <c r="T1036" s="15">
        <v>52.74</v>
      </c>
      <c r="U1036" s="15">
        <v>48.56</v>
      </c>
      <c r="V1036" s="15">
        <v>46.67</v>
      </c>
      <c r="W1036" s="14" t="s">
        <v>342</v>
      </c>
      <c r="X1036" s="14">
        <v>2</v>
      </c>
      <c r="Y1036" s="10">
        <f>AC1036-AB1036</f>
        <v>95</v>
      </c>
      <c r="Z1036" s="18">
        <v>14</v>
      </c>
      <c r="AA1036" s="18">
        <v>40</v>
      </c>
      <c r="AB1036" s="18">
        <v>0</v>
      </c>
      <c r="AC1036" s="18">
        <v>95</v>
      </c>
      <c r="AE1036" s="1" t="s">
        <v>1170</v>
      </c>
    </row>
    <row r="1037" spans="1:33" ht="30" x14ac:dyDescent="0.25">
      <c r="A1037" s="10" t="s">
        <v>1183</v>
      </c>
      <c r="B1037" s="11" t="s">
        <v>33</v>
      </c>
      <c r="C1037" s="12" t="s">
        <v>1184</v>
      </c>
      <c r="D1037" s="27"/>
      <c r="E1037" s="14" t="s">
        <v>35</v>
      </c>
      <c r="F1037" s="11" t="str">
        <f>HYPERLINK("https://redirect.sdcdeals.com/redirect?destination=https%3A%2F%2Fwww.amazon.com%2Fdp%2FB0BF3DC5N8%3Fth%3D1%26psc%3D1%26tag%3Dsdcdeals03-20", "Amazon Link")</f>
        <v>Amazon Link</v>
      </c>
      <c r="G1037" s="11" t="s">
        <v>36</v>
      </c>
      <c r="H1037" s="14" t="s">
        <v>1185</v>
      </c>
      <c r="I1037" s="11" t="str">
        <f>HYPERLINK("https://redirect.sdcdeals.com/redirect?code=763034&amp;mavely=https://mavely.app.link/e/bhESV2wGrGb&amp;destination=https%3A%2F%2Fwww.kohls.com%2Fsearch.jsp%3Fsubmit-search%3Dweb-regular%26search%3D49598709", "Retail Link")</f>
        <v>Retail Link</v>
      </c>
      <c r="J1037" s="14" t="s">
        <v>1168</v>
      </c>
      <c r="K1037" s="13" t="s">
        <v>1186</v>
      </c>
      <c r="L1037" s="15">
        <v>10.4</v>
      </c>
      <c r="M1037" s="15">
        <v>53.56</v>
      </c>
      <c r="N1037" s="15"/>
      <c r="O1037" s="15">
        <f>V1037-M1037</f>
        <v>-5.7899999999999991</v>
      </c>
      <c r="P1037" s="16">
        <f>N1037/L1037</f>
        <v>0</v>
      </c>
      <c r="Q1037" s="14">
        <v>286603</v>
      </c>
      <c r="R1037" s="14"/>
      <c r="S1037" s="17"/>
      <c r="T1037" s="15">
        <v>53.56</v>
      </c>
      <c r="U1037" s="15">
        <v>50.08</v>
      </c>
      <c r="V1037" s="15">
        <v>47.77</v>
      </c>
      <c r="W1037" s="14" t="s">
        <v>342</v>
      </c>
      <c r="X1037" s="14">
        <v>2</v>
      </c>
      <c r="Y1037" s="10">
        <f>AC1037-AB1037</f>
        <v>95</v>
      </c>
      <c r="Z1037" s="18">
        <v>13</v>
      </c>
      <c r="AA1037" s="18">
        <v>35</v>
      </c>
      <c r="AB1037" s="18">
        <v>0</v>
      </c>
      <c r="AC1037" s="18">
        <v>95</v>
      </c>
      <c r="AE1037" s="1" t="s">
        <v>1170</v>
      </c>
    </row>
    <row r="1038" spans="1:33" ht="30" x14ac:dyDescent="0.25">
      <c r="A1038" s="10" t="s">
        <v>1187</v>
      </c>
      <c r="B1038" s="11" t="s">
        <v>33</v>
      </c>
      <c r="C1038" s="12" t="s">
        <v>1188</v>
      </c>
      <c r="D1038" s="27"/>
      <c r="E1038" s="14" t="s">
        <v>35</v>
      </c>
      <c r="F1038" s="11" t="str">
        <f>HYPERLINK("https://redirect.sdcdeals.com/redirect?destination=https%3A%2F%2Fwww.amazon.com%2Fdp%2FB0BF2WJQSR%3Fth%3D1%26psc%3D1%26tag%3Dsdcdeals03-20", "Amazon Link")</f>
        <v>Amazon Link</v>
      </c>
      <c r="G1038" s="11" t="s">
        <v>36</v>
      </c>
      <c r="H1038" s="14" t="s">
        <v>1189</v>
      </c>
      <c r="I1038" s="11" t="str">
        <f>HYPERLINK("https://redirect.sdcdeals.com/redirect?code=763034&amp;mavely=https://mavely.app.link/e/bhESV2wGrGb&amp;destination=https%3A%2F%2Fwww.kohls.com%2Fsearch.jsp%3Fsubmit-search%3Dweb-regular%26search%3D49598698", "Retail Link")</f>
        <v>Retail Link</v>
      </c>
      <c r="J1038" s="14" t="s">
        <v>1168</v>
      </c>
      <c r="K1038" s="13" t="s">
        <v>1190</v>
      </c>
      <c r="L1038" s="15">
        <v>10.4</v>
      </c>
      <c r="M1038" s="15">
        <v>32.659999999999997</v>
      </c>
      <c r="N1038" s="15"/>
      <c r="O1038" s="15">
        <f>V1038-M1038</f>
        <v>3.8000000000000043</v>
      </c>
      <c r="P1038" s="16">
        <f>N1038/L1038</f>
        <v>0</v>
      </c>
      <c r="Q1038" s="14">
        <v>286603</v>
      </c>
      <c r="R1038" s="14"/>
      <c r="S1038" s="17"/>
      <c r="T1038" s="15">
        <v>32.659999999999997</v>
      </c>
      <c r="U1038" s="15">
        <v>33.21</v>
      </c>
      <c r="V1038" s="15">
        <v>36.46</v>
      </c>
      <c r="W1038" s="14" t="s">
        <v>60</v>
      </c>
      <c r="X1038" s="14">
        <v>2</v>
      </c>
      <c r="Y1038" s="10">
        <f>AC1038-AB1038</f>
        <v>95</v>
      </c>
      <c r="Z1038" s="18">
        <v>6</v>
      </c>
      <c r="AA1038" s="18">
        <v>22</v>
      </c>
      <c r="AB1038" s="18">
        <v>0</v>
      </c>
      <c r="AC1038" s="18">
        <v>95</v>
      </c>
      <c r="AD1038" s="1" t="s">
        <v>1191</v>
      </c>
      <c r="AE1038" s="1" t="s">
        <v>1170</v>
      </c>
    </row>
    <row r="1039" spans="1:33" ht="30" x14ac:dyDescent="0.25">
      <c r="A1039" s="10" t="s">
        <v>1192</v>
      </c>
      <c r="B1039" s="11" t="s">
        <v>33</v>
      </c>
      <c r="C1039" s="12" t="s">
        <v>1193</v>
      </c>
      <c r="D1039" s="27"/>
      <c r="E1039" s="14" t="s">
        <v>35</v>
      </c>
      <c r="F1039" s="11" t="str">
        <f>HYPERLINK("https://redirect.sdcdeals.com/redirect?destination=https%3A%2F%2Fwww.amazon.com%2Fdp%2FB0BF2TKQH5%3Fth%3D1%26psc%3D1%26tag%3Dsdcdeals03-20", "Amazon Link")</f>
        <v>Amazon Link</v>
      </c>
      <c r="G1039" s="11" t="s">
        <v>36</v>
      </c>
      <c r="H1039" s="14" t="s">
        <v>1194</v>
      </c>
      <c r="I1039" s="11" t="str">
        <f>HYPERLINK("https://redirect.sdcdeals.com/redirect?code=763034&amp;mavely=https://mavely.app.link/e/bhESV2wGrGb&amp;destination=https%3A%2F%2Fwww.kohls.com%2Fsearch.jsp%3Fsubmit-search%3Dweb-regular%26search%3D49598710", "Retail Link")</f>
        <v>Retail Link</v>
      </c>
      <c r="J1039" s="14" t="s">
        <v>1168</v>
      </c>
      <c r="K1039" s="13" t="s">
        <v>1195</v>
      </c>
      <c r="L1039" s="15">
        <v>10.4</v>
      </c>
      <c r="M1039" s="15">
        <v>52.91</v>
      </c>
      <c r="N1039" s="15"/>
      <c r="O1039" s="15">
        <f>V1039-M1039</f>
        <v>-4.9499999999999957</v>
      </c>
      <c r="P1039" s="16">
        <f>N1039/L1039</f>
        <v>0</v>
      </c>
      <c r="Q1039" s="14">
        <v>286603</v>
      </c>
      <c r="R1039" s="14"/>
      <c r="S1039" s="17"/>
      <c r="T1039" s="15">
        <v>52.91</v>
      </c>
      <c r="U1039" s="15">
        <v>50.18</v>
      </c>
      <c r="V1039" s="15">
        <v>47.96</v>
      </c>
      <c r="W1039" s="14" t="s">
        <v>53</v>
      </c>
      <c r="X1039" s="14">
        <v>2</v>
      </c>
      <c r="Y1039" s="10">
        <f>AC1039-AB1039</f>
        <v>95</v>
      </c>
      <c r="Z1039" s="18">
        <v>15</v>
      </c>
      <c r="AA1039" s="18">
        <v>38</v>
      </c>
      <c r="AB1039" s="18">
        <v>0</v>
      </c>
      <c r="AC1039" s="18">
        <v>95</v>
      </c>
      <c r="AD1039" s="1" t="s">
        <v>1191</v>
      </c>
      <c r="AE1039" s="1" t="s">
        <v>1170</v>
      </c>
    </row>
    <row r="1040" spans="1:33" ht="30" x14ac:dyDescent="0.25">
      <c r="A1040" s="10" t="s">
        <v>1196</v>
      </c>
      <c r="B1040" s="11" t="s">
        <v>33</v>
      </c>
      <c r="C1040" s="12" t="s">
        <v>1197</v>
      </c>
      <c r="D1040" s="27"/>
      <c r="E1040" s="14" t="s">
        <v>35</v>
      </c>
      <c r="F1040" s="11" t="str">
        <f>HYPERLINK("https://redirect.sdcdeals.com/redirect?destination=https%3A%2F%2Fwww.amazon.com%2Fdp%2FB0BF3JQKL3%3Fth%3D1%26psc%3D1%26tag%3Dsdcdeals03-20", "Amazon Link")</f>
        <v>Amazon Link</v>
      </c>
      <c r="G1040" s="11" t="s">
        <v>36</v>
      </c>
      <c r="H1040" s="14" t="s">
        <v>1198</v>
      </c>
      <c r="I1040" s="11" t="str">
        <f>HYPERLINK("https://redirect.sdcdeals.com/redirect?code=763034&amp;mavely=https://mavely.app.link/e/bhESV2wGrGb&amp;destination=https%3A%2F%2Fwww.kohls.com%2Fsearch.jsp%3Fsubmit-search%3Dweb-regular%26search%3D49598716", "Retail Link")</f>
        <v>Retail Link</v>
      </c>
      <c r="J1040" s="14" t="s">
        <v>1168</v>
      </c>
      <c r="K1040" s="13" t="s">
        <v>1199</v>
      </c>
      <c r="L1040" s="15">
        <v>10.4</v>
      </c>
      <c r="M1040" s="15">
        <v>52.67</v>
      </c>
      <c r="N1040" s="15"/>
      <c r="O1040" s="15">
        <f>V1040-M1040</f>
        <v>-5.18</v>
      </c>
      <c r="P1040" s="16">
        <f>N1040/L1040</f>
        <v>0</v>
      </c>
      <c r="Q1040" s="14">
        <v>286603</v>
      </c>
      <c r="R1040" s="14"/>
      <c r="S1040" s="17"/>
      <c r="T1040" s="15">
        <v>52.67</v>
      </c>
      <c r="U1040" s="15">
        <v>49.75</v>
      </c>
      <c r="V1040" s="15">
        <v>47.49</v>
      </c>
      <c r="W1040" s="14" t="s">
        <v>53</v>
      </c>
      <c r="X1040" s="14">
        <v>2</v>
      </c>
      <c r="Y1040" s="10">
        <f>AC1040-AB1040</f>
        <v>95</v>
      </c>
      <c r="Z1040" s="18">
        <v>23</v>
      </c>
      <c r="AA1040" s="18">
        <v>59</v>
      </c>
      <c r="AB1040" s="18">
        <v>0</v>
      </c>
      <c r="AC1040" s="18">
        <v>95</v>
      </c>
      <c r="AE1040" s="1" t="s">
        <v>1170</v>
      </c>
    </row>
    <row r="1041" spans="1:33" ht="75" x14ac:dyDescent="0.25">
      <c r="A1041" s="10" t="s">
        <v>1223</v>
      </c>
      <c r="B1041" s="11" t="s">
        <v>33</v>
      </c>
      <c r="C1041" s="12" t="s">
        <v>1224</v>
      </c>
      <c r="D1041" s="27"/>
      <c r="E1041" s="14" t="s">
        <v>35</v>
      </c>
      <c r="F1041" s="11" t="str">
        <f>HYPERLINK("https://redirect.sdcdeals.com/redirect?destination=https%3A%2F%2Fwww.amazon.com%2Fdp%2FB08VRSGK4Z%3Fth%3D1%26psc%3D1%26tag%3Dsdcdeals03-20", "Amazon Link")</f>
        <v>Amazon Link</v>
      </c>
      <c r="G1041" s="11" t="s">
        <v>36</v>
      </c>
      <c r="H1041" s="14" t="s">
        <v>1225</v>
      </c>
      <c r="I1041" s="11" t="str">
        <f>HYPERLINK("https://redirect.sdcdeals.com/redirect?code=763034&amp;mavely=https://mavely.app.link/e/bhESV2wGrGb&amp;destination=https%3A%2F%2Fwww.kohls.com%2Fsearch.jsp%3Fsubmit-search%3Dweb-regular%26search%3D50895372", "Retail Link")</f>
        <v>Retail Link</v>
      </c>
      <c r="J1041" s="14" t="s">
        <v>1226</v>
      </c>
      <c r="K1041" s="13" t="s">
        <v>1227</v>
      </c>
      <c r="L1041" s="15">
        <v>12</v>
      </c>
      <c r="M1041" s="15"/>
      <c r="N1041" s="15"/>
      <c r="O1041" s="15">
        <f>V1041-M1041</f>
        <v>0</v>
      </c>
      <c r="P1041" s="16">
        <f>N1041/L1041</f>
        <v>0</v>
      </c>
      <c r="Q1041" s="14">
        <v>1535012</v>
      </c>
      <c r="R1041" s="14"/>
      <c r="S1041" s="17">
        <v>3.3069300000000003E-2</v>
      </c>
      <c r="T1041" s="15"/>
      <c r="U1041" s="15"/>
      <c r="V1041" s="15"/>
      <c r="W1041" s="14" t="s">
        <v>516</v>
      </c>
      <c r="X1041" s="14"/>
      <c r="Y1041" s="10">
        <f>AC1041-AB1041</f>
        <v>0</v>
      </c>
      <c r="Z1041" s="18">
        <v>0</v>
      </c>
      <c r="AA1041" s="18">
        <v>0</v>
      </c>
      <c r="AB1041" s="18"/>
      <c r="AC1041" s="18"/>
      <c r="AG1041" s="4">
        <v>2.29</v>
      </c>
    </row>
    <row r="1042" spans="1:33" ht="60" x14ac:dyDescent="0.25">
      <c r="A1042" s="10" t="s">
        <v>1228</v>
      </c>
      <c r="B1042" s="11" t="s">
        <v>33</v>
      </c>
      <c r="C1042" s="12" t="s">
        <v>1229</v>
      </c>
      <c r="D1042" s="27"/>
      <c r="E1042" s="14" t="s">
        <v>35</v>
      </c>
      <c r="F1042" s="11" t="str">
        <f>HYPERLINK("https://redirect.sdcdeals.com/redirect?destination=https%3A%2F%2Fwww.amazon.com%2Fdp%2FB08VRTCFL1%3Fth%3D1%26psc%3D1%26tag%3Dsdcdeals03-20", "Amazon Link")</f>
        <v>Amazon Link</v>
      </c>
      <c r="G1042" s="11" t="s">
        <v>36</v>
      </c>
      <c r="H1042" s="14" t="s">
        <v>1230</v>
      </c>
      <c r="I1042" s="11" t="str">
        <f>HYPERLINK("https://redirect.sdcdeals.com/redirect?code=763034&amp;mavely=https://mavely.app.link/e/bhESV2wGrGb&amp;destination=https%3A%2F%2Fwww.kohls.com%2Fsearch.jsp%3Fsubmit-search%3Dweb-regular%26search%3D50895370", "Retail Link")</f>
        <v>Retail Link</v>
      </c>
      <c r="J1042" s="14" t="s">
        <v>1226</v>
      </c>
      <c r="K1042" s="13" t="s">
        <v>1231</v>
      </c>
      <c r="L1042" s="15">
        <v>12</v>
      </c>
      <c r="M1042" s="15"/>
      <c r="N1042" s="15"/>
      <c r="O1042" s="15">
        <f>V1042-M1042</f>
        <v>0</v>
      </c>
      <c r="P1042" s="16">
        <f>N1042/L1042</f>
        <v>0</v>
      </c>
      <c r="Q1042" s="14">
        <v>1535012</v>
      </c>
      <c r="R1042" s="14"/>
      <c r="S1042" s="17">
        <v>3.3069300000000003E-2</v>
      </c>
      <c r="T1042" s="15"/>
      <c r="U1042" s="15"/>
      <c r="V1042" s="15"/>
      <c r="W1042" s="14" t="s">
        <v>588</v>
      </c>
      <c r="X1042" s="14"/>
      <c r="Y1042" s="10">
        <f>AC1042-AB1042</f>
        <v>0</v>
      </c>
      <c r="Z1042" s="18">
        <v>0</v>
      </c>
      <c r="AA1042" s="18">
        <v>0</v>
      </c>
      <c r="AB1042" s="18"/>
      <c r="AC1042" s="18"/>
      <c r="AG1042" s="4">
        <v>2.29</v>
      </c>
    </row>
    <row r="1043" spans="1:33" ht="75" x14ac:dyDescent="0.25">
      <c r="A1043" s="10" t="s">
        <v>1232</v>
      </c>
      <c r="B1043" s="11" t="s">
        <v>33</v>
      </c>
      <c r="C1043" s="12" t="s">
        <v>1233</v>
      </c>
      <c r="D1043" s="27"/>
      <c r="E1043" s="14" t="s">
        <v>35</v>
      </c>
      <c r="F1043" s="11" t="str">
        <f>HYPERLINK("https://redirect.sdcdeals.com/redirect?destination=https%3A%2F%2Fwww.amazon.com%2Fdp%2FB08VRS1Z7P%3Fth%3D1%26psc%3D1%26tag%3Dsdcdeals03-20", "Amazon Link")</f>
        <v>Amazon Link</v>
      </c>
      <c r="G1043" s="11" t="s">
        <v>36</v>
      </c>
      <c r="H1043" s="14" t="s">
        <v>1234</v>
      </c>
      <c r="I1043" s="11" t="str">
        <f>HYPERLINK("https://redirect.sdcdeals.com/redirect?code=763034&amp;mavely=https://mavely.app.link/e/bhESV2wGrGb&amp;destination=https%3A%2F%2Fwww.kohls.com%2Fsearch.jsp%3Fsubmit-search%3Dweb-regular%26search%3D50895371", "Retail Link")</f>
        <v>Retail Link</v>
      </c>
      <c r="J1043" s="14" t="s">
        <v>1226</v>
      </c>
      <c r="K1043" s="13" t="s">
        <v>1235</v>
      </c>
      <c r="L1043" s="15">
        <v>12</v>
      </c>
      <c r="M1043" s="15"/>
      <c r="N1043" s="15"/>
      <c r="O1043" s="15">
        <f>V1043-M1043</f>
        <v>0</v>
      </c>
      <c r="P1043" s="16">
        <f>N1043/L1043</f>
        <v>0</v>
      </c>
      <c r="Q1043" s="14">
        <v>1535012</v>
      </c>
      <c r="R1043" s="14"/>
      <c r="S1043" s="17">
        <v>3.3069300000000003E-2</v>
      </c>
      <c r="T1043" s="15"/>
      <c r="U1043" s="15"/>
      <c r="V1043" s="15"/>
      <c r="W1043" s="14" t="s">
        <v>1236</v>
      </c>
      <c r="X1043" s="14"/>
      <c r="Y1043" s="10">
        <f>AC1043-AB1043</f>
        <v>0</v>
      </c>
      <c r="Z1043" s="18">
        <v>0</v>
      </c>
      <c r="AA1043" s="18">
        <v>0</v>
      </c>
      <c r="AB1043" s="18"/>
      <c r="AC1043" s="18"/>
      <c r="AG1043" s="4">
        <v>2.29</v>
      </c>
    </row>
    <row r="1044" spans="1:33" ht="30" hidden="1" x14ac:dyDescent="0.25">
      <c r="A1044" s="10" t="s">
        <v>1237</v>
      </c>
      <c r="B1044" s="11" t="s">
        <v>33</v>
      </c>
      <c r="C1044" s="12" t="s">
        <v>1238</v>
      </c>
      <c r="D1044" s="27"/>
      <c r="E1044" s="14" t="s">
        <v>35</v>
      </c>
      <c r="F1044" s="11" t="str">
        <f>HYPERLINK("https://redirect.sdcdeals.com/redirect?destination=https%3A%2F%2Fwww.amazon.com%2Fdp%2FB0CJRZ68C9%3Fth%3D1%26psc%3D1%26tag%3Dsdcdeals03-20", "Amazon Link")</f>
        <v>Amazon Link</v>
      </c>
      <c r="G1044" s="11" t="s">
        <v>36</v>
      </c>
      <c r="H1044" s="14" t="s">
        <v>1239</v>
      </c>
      <c r="I1044" s="11" t="str">
        <f>HYPERLINK("https://redirect.sdcdeals.com/redirect?code=763034&amp;mavely=https://mavely.app.link/e/bhESV2wGrGb&amp;destination=https%3A%2F%2Fwww.kohls.com%2Fsearch.jsp%3Fsubmit-search%3Dweb-regular%26search%3D81904548", "Retail Link")</f>
        <v>Retail Link</v>
      </c>
      <c r="J1044" s="14" t="s">
        <v>1240</v>
      </c>
      <c r="K1044" s="13" t="s">
        <v>1241</v>
      </c>
      <c r="L1044" s="15">
        <v>10.56</v>
      </c>
      <c r="M1044" s="15">
        <v>14.99</v>
      </c>
      <c r="N1044" s="15"/>
      <c r="O1044" s="15">
        <f>V1044-M1044</f>
        <v>16.659999999999997</v>
      </c>
      <c r="P1044" s="16">
        <f>N1044/L1044</f>
        <v>0</v>
      </c>
      <c r="Q1044" s="14"/>
      <c r="R1044" s="14"/>
      <c r="S1044" s="17">
        <v>0.54895037999999996</v>
      </c>
      <c r="T1044" s="15">
        <v>14.99</v>
      </c>
      <c r="U1044" s="15">
        <v>19.48</v>
      </c>
      <c r="V1044" s="15">
        <v>31.65</v>
      </c>
      <c r="W1044" s="14" t="s">
        <v>903</v>
      </c>
      <c r="X1044" s="14">
        <v>2</v>
      </c>
      <c r="Y1044" s="10">
        <f>AC1044-AB1044</f>
        <v>2</v>
      </c>
      <c r="Z1044" s="18">
        <v>0</v>
      </c>
      <c r="AA1044" s="18">
        <v>0</v>
      </c>
      <c r="AB1044" s="18"/>
      <c r="AC1044" s="18">
        <v>2</v>
      </c>
      <c r="AD1044" s="1" t="s">
        <v>1242</v>
      </c>
      <c r="AE1044" s="1" t="s">
        <v>1243</v>
      </c>
    </row>
    <row r="1045" spans="1:33" x14ac:dyDescent="0.25">
      <c r="A1045" s="10" t="s">
        <v>1269</v>
      </c>
      <c r="B1045" s="11" t="s">
        <v>33</v>
      </c>
      <c r="C1045" s="12" t="s">
        <v>1270</v>
      </c>
      <c r="D1045" s="27"/>
      <c r="E1045" s="14" t="s">
        <v>35</v>
      </c>
      <c r="F1045" s="11" t="str">
        <f>HYPERLINK("https://redirect.sdcdeals.com/redirect?destination=https%3A%2F%2Fwww.amazon.com%2Fdp%2FB00ISFA5R2%3Fth%3D1%26psc%3D1%26tag%3Dsdcdeals03-20", "Amazon Link")</f>
        <v>Amazon Link</v>
      </c>
      <c r="G1045" s="11" t="s">
        <v>36</v>
      </c>
      <c r="H1045" s="14" t="s">
        <v>1271</v>
      </c>
      <c r="I1045" s="11" t="str">
        <f>HYPERLINK("https://redirect.sdcdeals.com/redirect?code=763034&amp;mavely=https://mavely.app.link/e/bhESV2wGrGb&amp;destination=https%3A%2F%2Fwww.kohls.com%2Fsearch.jsp%3Fsubmit-search%3Dweb-regular%26search%3D82026091", "Retail Link")</f>
        <v>Retail Link</v>
      </c>
      <c r="J1045" s="14" t="s">
        <v>1272</v>
      </c>
      <c r="K1045" s="13" t="s">
        <v>1273</v>
      </c>
      <c r="L1045" s="15">
        <v>12</v>
      </c>
      <c r="M1045" s="15"/>
      <c r="N1045" s="15"/>
      <c r="O1045" s="15">
        <f>V1045-M1045</f>
        <v>0</v>
      </c>
      <c r="P1045" s="16">
        <f>N1045/L1045</f>
        <v>0</v>
      </c>
      <c r="Q1045" s="14">
        <v>4571509</v>
      </c>
      <c r="R1045" s="14"/>
      <c r="S1045" s="17"/>
      <c r="T1045" s="15"/>
      <c r="U1045" s="15"/>
      <c r="V1045" s="15"/>
      <c r="W1045" s="14" t="s">
        <v>255</v>
      </c>
      <c r="X1045" s="14">
        <v>1</v>
      </c>
      <c r="Y1045" s="10">
        <f>AC1045-AB1045</f>
        <v>0</v>
      </c>
      <c r="Z1045" s="18">
        <v>0</v>
      </c>
      <c r="AA1045" s="18">
        <v>0</v>
      </c>
      <c r="AB1045" s="18"/>
      <c r="AC1045" s="18"/>
    </row>
    <row r="1046" spans="1:33" ht="30" hidden="1" x14ac:dyDescent="0.25">
      <c r="A1046" s="10" t="s">
        <v>1274</v>
      </c>
      <c r="B1046" s="11" t="s">
        <v>33</v>
      </c>
      <c r="C1046" s="12" t="s">
        <v>1275</v>
      </c>
      <c r="D1046" s="27"/>
      <c r="E1046" s="14" t="s">
        <v>35</v>
      </c>
      <c r="F1046" s="11" t="str">
        <f>HYPERLINK("https://redirect.sdcdeals.com/redirect?destination=https%3A%2F%2Fwww.amazon.com%2Fdp%2FB0CNFT39CL%3Fth%3D1%26psc%3D1%26tag%3Dsdcdeals03-20", "Amazon Link")</f>
        <v>Amazon Link</v>
      </c>
      <c r="G1046" s="11" t="s">
        <v>36</v>
      </c>
      <c r="H1046" s="14" t="s">
        <v>1276</v>
      </c>
      <c r="I1046" s="11" t="str">
        <f>HYPERLINK("https://redirect.sdcdeals.com/redirect?code=763034&amp;mavely=https://mavely.app.link/e/bhESV2wGrGb&amp;destination=https%3A%2F%2Fwww.kohls.com%2Fsearch.jsp%3Fsubmit-search%3Dweb-regular%26search%3D49616332", "Retail Link")</f>
        <v>Retail Link</v>
      </c>
      <c r="J1046" s="14" t="s">
        <v>1277</v>
      </c>
      <c r="K1046" s="13" t="s">
        <v>1278</v>
      </c>
      <c r="L1046" s="15">
        <v>6.4</v>
      </c>
      <c r="M1046" s="15">
        <v>16</v>
      </c>
      <c r="N1046" s="15"/>
      <c r="O1046" s="15">
        <f>V1046-M1046</f>
        <v>2.6700000000000017</v>
      </c>
      <c r="P1046" s="16">
        <f>N1046/L1046</f>
        <v>0</v>
      </c>
      <c r="Q1046" s="14"/>
      <c r="R1046" s="14"/>
      <c r="S1046" s="17"/>
      <c r="T1046" s="15">
        <v>16</v>
      </c>
      <c r="U1046" s="15">
        <v>16.899999999999999</v>
      </c>
      <c r="V1046" s="15">
        <v>18.670000000000002</v>
      </c>
      <c r="W1046" s="14" t="s">
        <v>113</v>
      </c>
      <c r="X1046" s="14">
        <v>1</v>
      </c>
      <c r="Y1046" s="10">
        <f>AC1046-AB1046</f>
        <v>333</v>
      </c>
      <c r="Z1046" s="18">
        <v>-1</v>
      </c>
      <c r="AA1046" s="18">
        <v>-1</v>
      </c>
      <c r="AB1046" s="18">
        <v>0</v>
      </c>
      <c r="AC1046" s="18">
        <v>333</v>
      </c>
      <c r="AE1046" s="1" t="s">
        <v>1279</v>
      </c>
    </row>
    <row r="1047" spans="1:33" hidden="1" x14ac:dyDescent="0.25">
      <c r="A1047" s="10" t="s">
        <v>1381</v>
      </c>
      <c r="B1047" s="11" t="s">
        <v>33</v>
      </c>
      <c r="C1047" s="12" t="s">
        <v>1382</v>
      </c>
      <c r="D1047" s="27"/>
      <c r="E1047" s="14" t="s">
        <v>35</v>
      </c>
      <c r="F1047" s="11" t="str">
        <f>HYPERLINK("https://redirect.sdcdeals.com/redirect?destination=https%3A%2F%2Fwww.amazon.com%2Fdp%2FB0957Z1ZCS%3Fth%3D1%26psc%3D1%26tag%3Dsdcdeals03-20", "Amazon Link")</f>
        <v>Amazon Link</v>
      </c>
      <c r="G1047" s="11" t="s">
        <v>36</v>
      </c>
      <c r="H1047" s="14" t="s">
        <v>1383</v>
      </c>
      <c r="I1047" s="11" t="str">
        <f>HYPERLINK("https://redirect.sdcdeals.com/redirect?code=763034&amp;mavely=https://mavely.app.link/e/bhESV2wGrGb&amp;destination=https%3A%2F%2Fwww.kohls.com%2Fsearch.jsp%3Fsubmit-search%3Dweb-regular%26search%3D71084082", "Retail Link")</f>
        <v>Retail Link</v>
      </c>
      <c r="J1047" s="14" t="s">
        <v>1384</v>
      </c>
      <c r="K1047" s="13" t="s">
        <v>1385</v>
      </c>
      <c r="L1047" s="15">
        <v>120</v>
      </c>
      <c r="M1047" s="15"/>
      <c r="N1047" s="15"/>
      <c r="O1047" s="15">
        <f>V1047-M1047</f>
        <v>0</v>
      </c>
      <c r="P1047" s="16">
        <f>N1047/L1047</f>
        <v>0</v>
      </c>
      <c r="Q1047" s="14"/>
      <c r="R1047" s="14"/>
      <c r="S1047" s="17">
        <v>7.0547840000000001E-2</v>
      </c>
      <c r="T1047" s="15"/>
      <c r="U1047" s="15"/>
      <c r="V1047" s="15"/>
      <c r="W1047" s="14" t="s">
        <v>1386</v>
      </c>
      <c r="X1047" s="14"/>
      <c r="Y1047" s="10">
        <f>AC1047-AB1047</f>
        <v>0</v>
      </c>
      <c r="Z1047" s="18">
        <v>0</v>
      </c>
      <c r="AA1047" s="18">
        <v>0</v>
      </c>
      <c r="AB1047" s="18"/>
      <c r="AC1047" s="18"/>
      <c r="AD1047" s="1" t="s">
        <v>1387</v>
      </c>
      <c r="AG1047" s="4">
        <v>3.68</v>
      </c>
    </row>
    <row r="1048" spans="1:33" ht="30" x14ac:dyDescent="0.25">
      <c r="A1048" s="10" t="s">
        <v>1475</v>
      </c>
      <c r="B1048" s="11" t="s">
        <v>33</v>
      </c>
      <c r="C1048" s="12" t="s">
        <v>1476</v>
      </c>
      <c r="D1048" s="27"/>
      <c r="E1048" s="14" t="s">
        <v>35</v>
      </c>
      <c r="F1048" s="11" t="str">
        <f>HYPERLINK("https://redirect.sdcdeals.com/redirect?destination=https%3A%2F%2Fwww.amazon.com%2Fdp%2FB0CCZPS864%3Fth%3D1%26psc%3D1%26tag%3Dsdcdeals03-20", "Amazon Link")</f>
        <v>Amazon Link</v>
      </c>
      <c r="G1048" s="11" t="s">
        <v>36</v>
      </c>
      <c r="H1048" s="14" t="s">
        <v>1477</v>
      </c>
      <c r="I1048" s="11" t="str">
        <f>HYPERLINK("https://redirect.sdcdeals.com/redirect?code=763034&amp;mavely=https://mavely.app.link/e/bhESV2wGrGb&amp;destination=https%3A%2F%2Fwww.kohls.com%2Fsearch.jsp%3Fsubmit-search%3Dweb-regular%26search%3D86836453", "Retail Link")</f>
        <v>Retail Link</v>
      </c>
      <c r="J1048" s="14" t="s">
        <v>1471</v>
      </c>
      <c r="K1048" s="13" t="s">
        <v>1472</v>
      </c>
      <c r="L1048" s="15">
        <v>20.847999999999999</v>
      </c>
      <c r="M1048" s="15"/>
      <c r="N1048" s="15"/>
      <c r="O1048" s="15">
        <f>V1048-M1048</f>
        <v>0</v>
      </c>
      <c r="P1048" s="16">
        <f>N1048/L1048</f>
        <v>0</v>
      </c>
      <c r="Q1048" s="14">
        <v>6208</v>
      </c>
      <c r="R1048" s="14"/>
      <c r="S1048" s="17">
        <v>1.5498478600000001</v>
      </c>
      <c r="T1048" s="15"/>
      <c r="U1048" s="15"/>
      <c r="V1048" s="15"/>
      <c r="W1048" s="14" t="s">
        <v>342</v>
      </c>
      <c r="X1048" s="14"/>
      <c r="Y1048" s="10">
        <f>AC1048-AB1048</f>
        <v>0</v>
      </c>
      <c r="Z1048" s="18">
        <v>1</v>
      </c>
      <c r="AA1048" s="18">
        <v>9</v>
      </c>
      <c r="AB1048" s="18">
        <v>0</v>
      </c>
      <c r="AC1048" s="18"/>
      <c r="AD1048" s="1" t="s">
        <v>1473</v>
      </c>
      <c r="AE1048" s="1" t="s">
        <v>1474</v>
      </c>
      <c r="AG1048" s="4">
        <v>6.14</v>
      </c>
    </row>
    <row r="1049" spans="1:33" hidden="1" x14ac:dyDescent="0.25">
      <c r="A1049" s="10" t="s">
        <v>1545</v>
      </c>
      <c r="B1049" s="11" t="s">
        <v>33</v>
      </c>
      <c r="C1049" s="12" t="s">
        <v>1546</v>
      </c>
      <c r="D1049" s="27"/>
      <c r="E1049" s="14" t="s">
        <v>35</v>
      </c>
      <c r="F1049" s="11" t="str">
        <f>HYPERLINK("https://redirect.sdcdeals.com/redirect?destination=https%3A%2F%2Fwww.amazon.com%2Fdp%2FB093YYD7PC%3Fth%3D1%26psc%3D1%26tag%3Dsdcdeals03-20", "Amazon Link")</f>
        <v>Amazon Link</v>
      </c>
      <c r="G1049" s="11" t="s">
        <v>36</v>
      </c>
      <c r="H1049" s="14" t="s">
        <v>1547</v>
      </c>
      <c r="I1049" s="11" t="str">
        <f>HYPERLINK("https://redirect.sdcdeals.com/redirect?code=763034&amp;mavely=https://mavely.app.link/e/bhESV2wGrGb&amp;destination=https%3A%2F%2Fwww.kohls.com%2Fsearch.jsp%3Fsubmit-search%3Dweb-regular%26search%3D75067471", "Retail Link")</f>
        <v>Retail Link</v>
      </c>
      <c r="J1049" s="14" t="s">
        <v>1541</v>
      </c>
      <c r="K1049" s="13" t="s">
        <v>1548</v>
      </c>
      <c r="L1049" s="15">
        <v>20.847999999999999</v>
      </c>
      <c r="M1049" s="15"/>
      <c r="N1049" s="15"/>
      <c r="O1049" s="15">
        <f>V1049-M1049</f>
        <v>0</v>
      </c>
      <c r="P1049" s="16">
        <f>N1049/L1049</f>
        <v>0</v>
      </c>
      <c r="Q1049" s="14"/>
      <c r="R1049" s="14"/>
      <c r="S1049" s="17">
        <v>1.4109567999999999</v>
      </c>
      <c r="T1049" s="15"/>
      <c r="U1049" s="15"/>
      <c r="V1049" s="15"/>
      <c r="W1049" s="14" t="s">
        <v>255</v>
      </c>
      <c r="X1049" s="14"/>
      <c r="Y1049" s="10">
        <f>AC1049-AB1049</f>
        <v>49</v>
      </c>
      <c r="Z1049" s="18">
        <v>0</v>
      </c>
      <c r="AA1049" s="18">
        <v>0</v>
      </c>
      <c r="AB1049" s="18">
        <v>0</v>
      </c>
      <c r="AC1049" s="18">
        <v>49</v>
      </c>
      <c r="AD1049" s="1" t="s">
        <v>1549</v>
      </c>
      <c r="AG1049" s="4">
        <v>7.83</v>
      </c>
    </row>
    <row r="1050" spans="1:33" ht="60" x14ac:dyDescent="0.25">
      <c r="A1050" s="10" t="s">
        <v>1557</v>
      </c>
      <c r="B1050" s="11" t="s">
        <v>33</v>
      </c>
      <c r="C1050" s="12" t="s">
        <v>1558</v>
      </c>
      <c r="D1050" s="27"/>
      <c r="E1050" s="14" t="s">
        <v>35</v>
      </c>
      <c r="F1050" s="11" t="str">
        <f>HYPERLINK("https://redirect.sdcdeals.com/redirect?destination=https%3A%2F%2Fwww.amazon.com%2Fdp%2FB09SBJTD9P%3Fth%3D1%26psc%3D1%26tag%3Dsdcdeals03-20", "Amazon Link")</f>
        <v>Amazon Link</v>
      </c>
      <c r="G1050" s="11" t="s">
        <v>36</v>
      </c>
      <c r="H1050" s="14" t="s">
        <v>1559</v>
      </c>
      <c r="I1050" s="11" t="str">
        <f>HYPERLINK("https://redirect.sdcdeals.com/redirect?code=763034&amp;mavely=https://mavely.app.link/e/bhESV2wGrGb&amp;destination=https%3A%2F%2Fwww.kohls.com%2Fsearch.jsp%3Fsubmit-search%3Dweb-regular%26search%3D63404654", "Retail Link")</f>
        <v>Retail Link</v>
      </c>
      <c r="J1050" s="14" t="s">
        <v>1553</v>
      </c>
      <c r="K1050" s="13" t="s">
        <v>1560</v>
      </c>
      <c r="L1050" s="15">
        <v>3.592000000000001</v>
      </c>
      <c r="M1050" s="15"/>
      <c r="N1050" s="15"/>
      <c r="O1050" s="15">
        <f>V1050-M1050</f>
        <v>0</v>
      </c>
      <c r="P1050" s="16">
        <f>N1050/L1050</f>
        <v>0</v>
      </c>
      <c r="Q1050" s="14">
        <v>182265</v>
      </c>
      <c r="R1050" s="14"/>
      <c r="S1050" s="17">
        <v>9.0389419999999998E-2</v>
      </c>
      <c r="T1050" s="15"/>
      <c r="U1050" s="15"/>
      <c r="V1050" s="15"/>
      <c r="W1050" s="14" t="s">
        <v>941</v>
      </c>
      <c r="X1050" s="14"/>
      <c r="Y1050" s="10">
        <f>AC1050-AB1050</f>
        <v>1</v>
      </c>
      <c r="Z1050" s="18">
        <v>0</v>
      </c>
      <c r="AA1050" s="18">
        <v>0</v>
      </c>
      <c r="AB1050" s="18">
        <v>8</v>
      </c>
      <c r="AC1050" s="18">
        <v>9</v>
      </c>
      <c r="AD1050" s="1" t="s">
        <v>1561</v>
      </c>
      <c r="AE1050" s="1" t="s">
        <v>1562</v>
      </c>
      <c r="AG1050" s="4">
        <v>3.06</v>
      </c>
    </row>
    <row r="1051" spans="1:33" ht="60" x14ac:dyDescent="0.25">
      <c r="A1051" s="10" t="s">
        <v>1569</v>
      </c>
      <c r="B1051" s="11" t="s">
        <v>33</v>
      </c>
      <c r="C1051" s="12" t="s">
        <v>1570</v>
      </c>
      <c r="D1051" s="27"/>
      <c r="E1051" s="14" t="s">
        <v>35</v>
      </c>
      <c r="F1051" s="11" t="str">
        <f>HYPERLINK("https://redirect.sdcdeals.com/redirect?destination=https%3A%2F%2Fwww.amazon.com%2Fdp%2FB09SB5MW8D%3Fth%3D1%26psc%3D1%26tag%3Dsdcdeals03-20", "Amazon Link")</f>
        <v>Amazon Link</v>
      </c>
      <c r="G1051" s="11" t="s">
        <v>36</v>
      </c>
      <c r="H1051" s="14" t="s">
        <v>1571</v>
      </c>
      <c r="I1051" s="11" t="str">
        <f>HYPERLINK("https://redirect.sdcdeals.com/redirect?code=763034&amp;mavely=https://mavely.app.link/e/bhESV2wGrGb&amp;destination=https%3A%2F%2Fwww.kohls.com%2Fsearch.jsp%3Fsubmit-search%3Dweb-regular%26search%3D65088851", "Retail Link")</f>
        <v>Retail Link</v>
      </c>
      <c r="J1051" s="14" t="s">
        <v>1553</v>
      </c>
      <c r="K1051" s="13" t="s">
        <v>1572</v>
      </c>
      <c r="L1051" s="15">
        <v>4.1920000000000002</v>
      </c>
      <c r="M1051" s="15"/>
      <c r="N1051" s="15"/>
      <c r="O1051" s="15">
        <f>V1051-M1051</f>
        <v>0</v>
      </c>
      <c r="P1051" s="16">
        <f>N1051/L1051</f>
        <v>0</v>
      </c>
      <c r="Q1051" s="14">
        <v>189603</v>
      </c>
      <c r="R1051" s="14"/>
      <c r="S1051" s="17">
        <v>0.110231</v>
      </c>
      <c r="T1051" s="15"/>
      <c r="U1051" s="15"/>
      <c r="V1051" s="15"/>
      <c r="W1051" s="14" t="s">
        <v>1573</v>
      </c>
      <c r="X1051" s="14"/>
      <c r="Y1051" s="10">
        <f>AC1051-AB1051</f>
        <v>7</v>
      </c>
      <c r="Z1051" s="18">
        <v>0</v>
      </c>
      <c r="AA1051" s="18">
        <v>0</v>
      </c>
      <c r="AB1051" s="18"/>
      <c r="AC1051" s="18">
        <v>7</v>
      </c>
      <c r="AD1051" s="1" t="s">
        <v>1574</v>
      </c>
      <c r="AE1051" s="1" t="s">
        <v>1562</v>
      </c>
      <c r="AG1051" s="4">
        <v>3.86</v>
      </c>
    </row>
    <row r="1052" spans="1:33" ht="45" x14ac:dyDescent="0.25">
      <c r="A1052" s="10" t="s">
        <v>1575</v>
      </c>
      <c r="B1052" s="11" t="s">
        <v>33</v>
      </c>
      <c r="C1052" s="12" t="s">
        <v>1576</v>
      </c>
      <c r="D1052" s="27"/>
      <c r="E1052" s="14" t="s">
        <v>35</v>
      </c>
      <c r="F1052" s="11" t="str">
        <f>HYPERLINK("https://redirect.sdcdeals.com/redirect?destination=https%3A%2F%2Fwww.amazon.com%2Fdp%2FB09SBCQYMX%3Fth%3D1%26psc%3D1%26tag%3Dsdcdeals03-20", "Amazon Link")</f>
        <v>Amazon Link</v>
      </c>
      <c r="G1052" s="11" t="s">
        <v>36</v>
      </c>
      <c r="H1052" s="14" t="s">
        <v>1577</v>
      </c>
      <c r="I1052" s="11" t="str">
        <f>HYPERLINK("https://redirect.sdcdeals.com/redirect?code=763034&amp;mavely=https://mavely.app.link/e/bhESV2wGrGb&amp;destination=https%3A%2F%2Fwww.kohls.com%2Fsearch.jsp%3Fsubmit-search%3Dweb-regular%26search%3D50886832", "Retail Link")</f>
        <v>Retail Link</v>
      </c>
      <c r="J1052" s="14" t="s">
        <v>1553</v>
      </c>
      <c r="K1052" s="13" t="s">
        <v>1578</v>
      </c>
      <c r="L1052" s="15">
        <v>3.592000000000001</v>
      </c>
      <c r="M1052" s="15"/>
      <c r="N1052" s="15"/>
      <c r="O1052" s="15">
        <f>V1052-M1052</f>
        <v>0</v>
      </c>
      <c r="P1052" s="16">
        <f>N1052/L1052</f>
        <v>0</v>
      </c>
      <c r="Q1052" s="14">
        <v>208831</v>
      </c>
      <c r="R1052" s="14"/>
      <c r="S1052" s="17">
        <v>0.20062041999999999</v>
      </c>
      <c r="T1052" s="15"/>
      <c r="U1052" s="15"/>
      <c r="V1052" s="15"/>
      <c r="W1052" s="14" t="s">
        <v>1579</v>
      </c>
      <c r="X1052" s="14"/>
      <c r="Y1052" s="10">
        <f>AC1052-AB1052</f>
        <v>2</v>
      </c>
      <c r="Z1052" s="18">
        <v>0</v>
      </c>
      <c r="AA1052" s="18">
        <v>0</v>
      </c>
      <c r="AB1052" s="18">
        <v>8</v>
      </c>
      <c r="AC1052" s="18">
        <v>10</v>
      </c>
      <c r="AD1052" s="1" t="s">
        <v>1580</v>
      </c>
      <c r="AE1052" s="1" t="s">
        <v>1562</v>
      </c>
      <c r="AG1052" s="4">
        <v>4.08</v>
      </c>
    </row>
    <row r="1053" spans="1:33" ht="60" hidden="1" x14ac:dyDescent="0.25">
      <c r="A1053" s="10" t="s">
        <v>1586</v>
      </c>
      <c r="B1053" s="11" t="s">
        <v>33</v>
      </c>
      <c r="C1053" s="12" t="s">
        <v>1587</v>
      </c>
      <c r="D1053" s="27"/>
      <c r="E1053" s="14" t="s">
        <v>35</v>
      </c>
      <c r="F1053" s="11" t="str">
        <f>HYPERLINK("https://redirect.sdcdeals.com/redirect?destination=https%3A%2F%2Fwww.amazon.com%2Fdp%2FB09BDWKMMC%3Fth%3D1%26psc%3D1%26tag%3Dsdcdeals03-20", "Amazon Link")</f>
        <v>Amazon Link</v>
      </c>
      <c r="G1053" s="11" t="s">
        <v>36</v>
      </c>
      <c r="H1053" s="14" t="s">
        <v>1588</v>
      </c>
      <c r="I1053" s="11" t="str">
        <f>HYPERLINK("https://redirect.sdcdeals.com/redirect?code=763034&amp;mavely=https://mavely.app.link/e/bhESV2wGrGb&amp;destination=https%3A%2F%2Fwww.kohls.com%2Fsearch.jsp%3Fsubmit-search%3Dweb-regular%26search%3D67398569", "Retail Link")</f>
        <v>Retail Link</v>
      </c>
      <c r="J1053" s="14" t="s">
        <v>1589</v>
      </c>
      <c r="K1053" s="13" t="s">
        <v>1590</v>
      </c>
      <c r="L1053" s="15">
        <v>7.9200000000000008</v>
      </c>
      <c r="M1053" s="15"/>
      <c r="N1053" s="15"/>
      <c r="O1053" s="15">
        <f>V1053-M1053</f>
        <v>0</v>
      </c>
      <c r="P1053" s="16">
        <f>N1053/L1053</f>
        <v>0</v>
      </c>
      <c r="Q1053" s="14"/>
      <c r="R1053" s="14"/>
      <c r="S1053" s="17"/>
      <c r="T1053" s="15"/>
      <c r="U1053" s="15"/>
      <c r="V1053" s="15"/>
      <c r="W1053" s="14" t="s">
        <v>436</v>
      </c>
      <c r="X1053" s="14"/>
      <c r="Y1053" s="10">
        <f>AC1053-AB1053</f>
        <v>0</v>
      </c>
      <c r="Z1053" s="18">
        <v>-1</v>
      </c>
      <c r="AA1053" s="18">
        <v>-1</v>
      </c>
      <c r="AB1053" s="18"/>
      <c r="AC1053" s="18"/>
    </row>
    <row r="1054" spans="1:33" ht="45" x14ac:dyDescent="0.25">
      <c r="A1054" s="10" t="s">
        <v>1628</v>
      </c>
      <c r="B1054" s="11" t="s">
        <v>33</v>
      </c>
      <c r="C1054" s="12" t="s">
        <v>1629</v>
      </c>
      <c r="D1054" s="27"/>
      <c r="E1054" s="14" t="s">
        <v>35</v>
      </c>
      <c r="F1054" s="11" t="str">
        <f>HYPERLINK("https://redirect.sdcdeals.com/redirect?destination=https%3A%2F%2Fwww.amazon.com%2Fdp%2FB0BFV5DW2T%3Fth%3D1%26psc%3D1%26tag%3Dsdcdeals03-20", "Amazon Link")</f>
        <v>Amazon Link</v>
      </c>
      <c r="G1054" s="11" t="s">
        <v>36</v>
      </c>
      <c r="H1054" s="14" t="s">
        <v>1630</v>
      </c>
      <c r="I1054" s="11" t="str">
        <f>HYPERLINK("https://redirect.sdcdeals.com/redirect?code=763034&amp;mavely=https://mavely.app.link/e/bhESV2wGrGb&amp;destination=https%3A%2F%2Fwww.kohls.com%2Fsearch.jsp%3Fsubmit-search%3Dweb-regular%26search%3D71786097", "Retail Link")</f>
        <v>Retail Link</v>
      </c>
      <c r="J1054" s="14" t="s">
        <v>1614</v>
      </c>
      <c r="K1054" s="13" t="s">
        <v>1631</v>
      </c>
      <c r="L1054" s="15">
        <v>44.095999999999997</v>
      </c>
      <c r="M1054" s="15"/>
      <c r="N1054" s="15"/>
      <c r="O1054" s="15">
        <f>V1054-M1054</f>
        <v>0</v>
      </c>
      <c r="P1054" s="16">
        <f>N1054/L1054</f>
        <v>0</v>
      </c>
      <c r="Q1054" s="14">
        <v>2197019</v>
      </c>
      <c r="R1054" s="14"/>
      <c r="S1054" s="17">
        <v>1.64905576</v>
      </c>
      <c r="T1054" s="15"/>
      <c r="U1054" s="15"/>
      <c r="V1054" s="15"/>
      <c r="W1054" s="14" t="s">
        <v>908</v>
      </c>
      <c r="X1054" s="14"/>
      <c r="Y1054" s="10">
        <f>AC1054-AB1054</f>
        <v>0</v>
      </c>
      <c r="Z1054" s="18">
        <v>2</v>
      </c>
      <c r="AA1054" s="18">
        <v>3</v>
      </c>
      <c r="AB1054" s="18">
        <v>0</v>
      </c>
      <c r="AC1054" s="18"/>
      <c r="AD1054" s="1" t="s">
        <v>1616</v>
      </c>
      <c r="AE1054" s="1" t="s">
        <v>700</v>
      </c>
      <c r="AG1054" s="4">
        <v>13.41</v>
      </c>
    </row>
    <row r="1055" spans="1:33" ht="30" hidden="1" x14ac:dyDescent="0.25">
      <c r="A1055" s="10" t="s">
        <v>1944</v>
      </c>
      <c r="B1055" s="11" t="s">
        <v>33</v>
      </c>
      <c r="C1055" s="12" t="s">
        <v>1945</v>
      </c>
      <c r="D1055" s="27"/>
      <c r="E1055" s="14" t="s">
        <v>35</v>
      </c>
      <c r="F1055" s="11" t="str">
        <f>HYPERLINK("https://redirect.sdcdeals.com/redirect?destination=https%3A%2F%2Fwww.amazon.com%2Fdp%2FB00B9DAOU8%3Fth%3D1%26psc%3D1%26tag%3Dsdcdeals03-20", "Amazon Link")</f>
        <v>Amazon Link</v>
      </c>
      <c r="G1055" s="11" t="s">
        <v>36</v>
      </c>
      <c r="H1055" s="14" t="s">
        <v>1946</v>
      </c>
      <c r="I1055" s="11" t="str">
        <f>HYPERLINK("https://redirect.sdcdeals.com/redirect?code=763034&amp;mavely=https://mavely.app.link/e/bhESV2wGrGb&amp;destination=https%3A%2F%2Fwww.kohls.com%2Fsearch.jsp%3Fsubmit-search%3Dweb-regular%26search%3D30527196", "Retail Link")</f>
        <v>Retail Link</v>
      </c>
      <c r="J1055" s="14" t="s">
        <v>1947</v>
      </c>
      <c r="K1055" s="13" t="s">
        <v>1948</v>
      </c>
      <c r="L1055" s="15">
        <v>9.6000000000000014</v>
      </c>
      <c r="M1055" s="15"/>
      <c r="N1055" s="15"/>
      <c r="O1055" s="15">
        <f>V1055-M1055</f>
        <v>0</v>
      </c>
      <c r="P1055" s="16">
        <f>N1055/L1055</f>
        <v>0</v>
      </c>
      <c r="Q1055" s="14"/>
      <c r="R1055" s="14"/>
      <c r="S1055" s="17"/>
      <c r="T1055" s="15"/>
      <c r="U1055" s="15"/>
      <c r="V1055" s="15"/>
      <c r="W1055" s="14" t="s">
        <v>1949</v>
      </c>
      <c r="X1055" s="14"/>
      <c r="Y1055" s="10">
        <f>AC1055-AB1055</f>
        <v>0</v>
      </c>
      <c r="Z1055" s="18">
        <v>-1</v>
      </c>
      <c r="AA1055" s="18">
        <v>-1</v>
      </c>
      <c r="AB1055" s="18"/>
      <c r="AC1055" s="18"/>
    </row>
    <row r="1056" spans="1:33" ht="30" hidden="1" x14ac:dyDescent="0.25">
      <c r="A1056" s="10" t="s">
        <v>1950</v>
      </c>
      <c r="B1056" s="11" t="s">
        <v>33</v>
      </c>
      <c r="C1056" s="12" t="s">
        <v>1951</v>
      </c>
      <c r="D1056" s="27"/>
      <c r="E1056" s="14" t="s">
        <v>35</v>
      </c>
      <c r="F1056" s="11" t="str">
        <f>HYPERLINK("https://redirect.sdcdeals.com/redirect?destination=https%3A%2F%2Fwww.amazon.com%2Fdp%2FB00B9DAPFC%3Fth%3D1%26psc%3D1%26tag%3Dsdcdeals03-20", "Amazon Link")</f>
        <v>Amazon Link</v>
      </c>
      <c r="G1056" s="11" t="s">
        <v>36</v>
      </c>
      <c r="H1056" s="14" t="s">
        <v>1952</v>
      </c>
      <c r="I1056" s="11" t="str">
        <f>HYPERLINK("https://redirect.sdcdeals.com/redirect?code=763034&amp;mavely=https://mavely.app.link/e/bhESV2wGrGb&amp;destination=https%3A%2F%2Fwww.kohls.com%2Fsearch.jsp%3Fsubmit-search%3Dweb-regular%26search%3D30527202", "Retail Link")</f>
        <v>Retail Link</v>
      </c>
      <c r="J1056" s="14" t="s">
        <v>1947</v>
      </c>
      <c r="K1056" s="13" t="s">
        <v>1953</v>
      </c>
      <c r="L1056" s="15">
        <v>9.6000000000000014</v>
      </c>
      <c r="M1056" s="15"/>
      <c r="N1056" s="15"/>
      <c r="O1056" s="15">
        <f>V1056-M1056</f>
        <v>0</v>
      </c>
      <c r="P1056" s="16">
        <f>N1056/L1056</f>
        <v>0</v>
      </c>
      <c r="Q1056" s="14"/>
      <c r="R1056" s="14"/>
      <c r="S1056" s="17"/>
      <c r="T1056" s="15"/>
      <c r="U1056" s="15"/>
      <c r="V1056" s="15"/>
      <c r="W1056" s="14" t="s">
        <v>1954</v>
      </c>
      <c r="X1056" s="14"/>
      <c r="Y1056" s="10">
        <f>AC1056-AB1056</f>
        <v>0</v>
      </c>
      <c r="Z1056" s="18">
        <v>-1</v>
      </c>
      <c r="AA1056" s="18">
        <v>-1</v>
      </c>
      <c r="AB1056" s="18"/>
      <c r="AC1056" s="18"/>
    </row>
    <row r="1057" spans="1:33" ht="30" hidden="1" x14ac:dyDescent="0.25">
      <c r="A1057" s="10" t="s">
        <v>1955</v>
      </c>
      <c r="B1057" s="11" t="s">
        <v>33</v>
      </c>
      <c r="C1057" s="12" t="s">
        <v>1956</v>
      </c>
      <c r="D1057" s="27"/>
      <c r="E1057" s="14" t="s">
        <v>35</v>
      </c>
      <c r="F1057" s="11" t="str">
        <f>HYPERLINK("https://redirect.sdcdeals.com/redirect?destination=https%3A%2F%2Fwww.amazon.com%2Fdp%2FB00B9DAQ56%3Fth%3D1%26psc%3D1%26tag%3Dsdcdeals03-20", "Amazon Link")</f>
        <v>Amazon Link</v>
      </c>
      <c r="G1057" s="11" t="s">
        <v>36</v>
      </c>
      <c r="H1057" s="14" t="s">
        <v>1957</v>
      </c>
      <c r="I1057" s="11" t="str">
        <f>HYPERLINK("https://redirect.sdcdeals.com/redirect?code=763034&amp;mavely=https://mavely.app.link/e/bhESV2wGrGb&amp;destination=https%3A%2F%2Fwww.kohls.com%2Fsearch.jsp%3Fsubmit-search%3Dweb-regular%26search%3D30527203", "Retail Link")</f>
        <v>Retail Link</v>
      </c>
      <c r="J1057" s="14" t="s">
        <v>1947</v>
      </c>
      <c r="K1057" s="13" t="s">
        <v>1958</v>
      </c>
      <c r="L1057" s="15">
        <v>9.6000000000000014</v>
      </c>
      <c r="M1057" s="15"/>
      <c r="N1057" s="15"/>
      <c r="O1057" s="15">
        <f>V1057-M1057</f>
        <v>0</v>
      </c>
      <c r="P1057" s="16">
        <f>N1057/L1057</f>
        <v>0</v>
      </c>
      <c r="Q1057" s="14"/>
      <c r="R1057" s="14"/>
      <c r="S1057" s="17"/>
      <c r="T1057" s="15"/>
      <c r="U1057" s="15"/>
      <c r="V1057" s="15"/>
      <c r="W1057" s="14" t="s">
        <v>1959</v>
      </c>
      <c r="X1057" s="14"/>
      <c r="Y1057" s="10">
        <f>AC1057-AB1057</f>
        <v>0</v>
      </c>
      <c r="Z1057" s="18">
        <v>-1</v>
      </c>
      <c r="AA1057" s="18">
        <v>-1</v>
      </c>
      <c r="AB1057" s="18"/>
      <c r="AC1057" s="18"/>
    </row>
    <row r="1058" spans="1:33" ht="30" hidden="1" x14ac:dyDescent="0.25">
      <c r="A1058" s="10" t="s">
        <v>1990</v>
      </c>
      <c r="B1058" s="11" t="s">
        <v>33</v>
      </c>
      <c r="C1058" s="12" t="s">
        <v>1991</v>
      </c>
      <c r="D1058" s="27"/>
      <c r="E1058" s="14" t="s">
        <v>35</v>
      </c>
      <c r="F1058" s="11" t="str">
        <f>HYPERLINK("https://redirect.sdcdeals.com/redirect?destination=https%3A%2F%2Fwww.amazon.com%2Fdp%2FB0CMDWVW53%3Fth%3D1%26psc%3D1%26tag%3Dsdcdeals03-20", "Amazon Link")</f>
        <v>Amazon Link</v>
      </c>
      <c r="G1058" s="11" t="s">
        <v>36</v>
      </c>
      <c r="H1058" s="14" t="s">
        <v>1992</v>
      </c>
      <c r="I1058" s="11" t="str">
        <f>HYPERLINK("https://redirect.sdcdeals.com/redirect?code=763034&amp;mavely=https://mavely.app.link/e/bhESV2wGrGb&amp;destination=https%3A%2F%2Fwww.kohls.com%2Fsearch.jsp%3Fsubmit-search%3Dweb-regular%26search%3D71766573", "Retail Link")</f>
        <v>Retail Link</v>
      </c>
      <c r="J1058" s="14" t="s">
        <v>1993</v>
      </c>
      <c r="K1058" s="13" t="s">
        <v>1994</v>
      </c>
      <c r="L1058" s="15">
        <v>25.992000000000001</v>
      </c>
      <c r="M1058" s="15"/>
      <c r="N1058" s="15"/>
      <c r="O1058" s="15">
        <f>V1058-M1058</f>
        <v>0</v>
      </c>
      <c r="P1058" s="16">
        <f>N1058/L1058</f>
        <v>0</v>
      </c>
      <c r="Q1058" s="14"/>
      <c r="R1058" s="14"/>
      <c r="S1058" s="17">
        <v>2.5000390800000001</v>
      </c>
      <c r="T1058" s="15"/>
      <c r="U1058" s="15"/>
      <c r="V1058" s="15"/>
      <c r="W1058" s="14" t="s">
        <v>1995</v>
      </c>
      <c r="X1058" s="14"/>
      <c r="Y1058" s="10">
        <f>AC1058-AB1058</f>
        <v>0</v>
      </c>
      <c r="Z1058" s="18">
        <v>-1</v>
      </c>
      <c r="AA1058" s="18">
        <v>-1</v>
      </c>
      <c r="AB1058" s="18"/>
      <c r="AC1058" s="18"/>
      <c r="AE1058" s="1" t="s">
        <v>1996</v>
      </c>
      <c r="AG1058" s="4">
        <v>8.1199999999999992</v>
      </c>
    </row>
    <row r="1059" spans="1:33" ht="30" hidden="1" x14ac:dyDescent="0.25">
      <c r="A1059" s="10" t="s">
        <v>1997</v>
      </c>
      <c r="B1059" s="11" t="s">
        <v>33</v>
      </c>
      <c r="C1059" s="12" t="s">
        <v>1998</v>
      </c>
      <c r="D1059" s="27"/>
      <c r="E1059" s="14" t="s">
        <v>35</v>
      </c>
      <c r="F1059" s="11" t="str">
        <f>HYPERLINK("https://redirect.sdcdeals.com/redirect?destination=https%3A%2F%2Fwww.amazon.com%2Fdp%2FB0CMFF2MNK%3Fth%3D1%26psc%3D1%26tag%3Dsdcdeals03-20", "Amazon Link")</f>
        <v>Amazon Link</v>
      </c>
      <c r="G1059" s="11" t="s">
        <v>36</v>
      </c>
      <c r="H1059" s="14" t="s">
        <v>1999</v>
      </c>
      <c r="I1059" s="11" t="str">
        <f>HYPERLINK("https://redirect.sdcdeals.com/redirect?code=763034&amp;mavely=https://mavely.app.link/e/bhESV2wGrGb&amp;destination=https%3A%2F%2Fwww.kohls.com%2Fsearch.jsp%3Fsubmit-search%3Dweb-regular%26search%3D71766576", "Retail Link")</f>
        <v>Retail Link</v>
      </c>
      <c r="J1059" s="14" t="s">
        <v>1993</v>
      </c>
      <c r="K1059" s="13" t="s">
        <v>2000</v>
      </c>
      <c r="L1059" s="15">
        <v>25.992000000000001</v>
      </c>
      <c r="M1059" s="15"/>
      <c r="N1059" s="15"/>
      <c r="O1059" s="15">
        <f>V1059-M1059</f>
        <v>0</v>
      </c>
      <c r="P1059" s="16">
        <f>N1059/L1059</f>
        <v>0</v>
      </c>
      <c r="Q1059" s="14"/>
      <c r="R1059" s="14"/>
      <c r="S1059" s="17">
        <v>2.5000390800000001</v>
      </c>
      <c r="T1059" s="15"/>
      <c r="U1059" s="15"/>
      <c r="V1059" s="15"/>
      <c r="W1059" s="14" t="s">
        <v>2001</v>
      </c>
      <c r="X1059" s="14"/>
      <c r="Y1059" s="10">
        <f>AC1059-AB1059</f>
        <v>0</v>
      </c>
      <c r="Z1059" s="18">
        <v>-1</v>
      </c>
      <c r="AA1059" s="18">
        <v>-1</v>
      </c>
      <c r="AB1059" s="18"/>
      <c r="AC1059" s="18"/>
      <c r="AE1059" s="1" t="s">
        <v>1996</v>
      </c>
      <c r="AG1059" s="4">
        <v>8.1199999999999992</v>
      </c>
    </row>
    <row r="1060" spans="1:33" hidden="1" x14ac:dyDescent="0.25">
      <c r="A1060" s="10" t="s">
        <v>2407</v>
      </c>
      <c r="B1060" s="11" t="s">
        <v>33</v>
      </c>
      <c r="C1060" s="12" t="s">
        <v>2408</v>
      </c>
      <c r="D1060" s="27"/>
      <c r="E1060" s="14" t="s">
        <v>35</v>
      </c>
      <c r="F1060" s="11" t="str">
        <f>HYPERLINK("https://redirect.sdcdeals.com/redirect?destination=https%3A%2F%2Fwww.amazon.com%2Fdp%2FB0009X3EII%3Fth%3D1%26psc%3D1%26tag%3Dsdcdeals03-20", "Amazon Link")</f>
        <v>Amazon Link</v>
      </c>
      <c r="G1060" s="11" t="s">
        <v>36</v>
      </c>
      <c r="H1060" s="14" t="s">
        <v>2409</v>
      </c>
      <c r="I1060" s="11" t="str">
        <f>HYPERLINK("https://redirect.sdcdeals.com/redirect?code=763034&amp;mavely=https://mavely.app.link/e/bhESV2wGrGb&amp;destination=https%3A%2F%2Fwww.kohls.com%2Fsearch.jsp%3Fsubmit-search%3Dweb-regular%26search%3D76789950", "Retail Link")</f>
        <v>Retail Link</v>
      </c>
      <c r="J1060" s="14" t="s">
        <v>2395</v>
      </c>
      <c r="K1060" s="13" t="s">
        <v>2410</v>
      </c>
      <c r="L1060" s="15">
        <v>10.4</v>
      </c>
      <c r="M1060" s="15"/>
      <c r="N1060" s="15"/>
      <c r="O1060" s="15">
        <f>V1060-M1060</f>
        <v>0</v>
      </c>
      <c r="P1060" s="16">
        <f>N1060/L1060</f>
        <v>0</v>
      </c>
      <c r="Q1060" s="14"/>
      <c r="R1060" s="14"/>
      <c r="S1060" s="17"/>
      <c r="T1060" s="15"/>
      <c r="U1060" s="15"/>
      <c r="V1060" s="15"/>
      <c r="W1060" s="14" t="s">
        <v>742</v>
      </c>
      <c r="X1060" s="14"/>
      <c r="Y1060" s="10">
        <f>AC1060-AB1060</f>
        <v>0</v>
      </c>
      <c r="Z1060" s="18">
        <v>-1</v>
      </c>
      <c r="AA1060" s="18">
        <v>-1</v>
      </c>
      <c r="AB1060" s="18"/>
      <c r="AC1060" s="18"/>
    </row>
    <row r="1061" spans="1:33" hidden="1" x14ac:dyDescent="0.25">
      <c r="A1061" s="10" t="s">
        <v>2416</v>
      </c>
      <c r="B1061" s="11" t="s">
        <v>33</v>
      </c>
      <c r="C1061" s="12" t="s">
        <v>2417</v>
      </c>
      <c r="D1061" s="27"/>
      <c r="E1061" s="14" t="s">
        <v>35</v>
      </c>
      <c r="F1061" s="11" t="str">
        <f>HYPERLINK("https://redirect.sdcdeals.com/redirect?destination=https%3A%2F%2Fwww.amazon.com%2Fdp%2FB00IQV2SZ0%3Fth%3D1%26psc%3D1%26tag%3Dsdcdeals03-20", "Amazon Link")</f>
        <v>Amazon Link</v>
      </c>
      <c r="G1061" s="11" t="s">
        <v>36</v>
      </c>
      <c r="H1061" s="14" t="s">
        <v>2418</v>
      </c>
      <c r="I1061" s="11" t="str">
        <f>HYPERLINK("https://redirect.sdcdeals.com/redirect?code=763034&amp;mavely=https://mavely.app.link/e/bhESV2wGrGb&amp;destination=https%3A%2F%2Fwww.kohls.com%2Fsearch.jsp%3Fsubmit-search%3Dweb-regular%26search%3D76789951", "Retail Link")</f>
        <v>Retail Link</v>
      </c>
      <c r="J1061" s="14" t="s">
        <v>2395</v>
      </c>
      <c r="K1061" s="13" t="s">
        <v>2419</v>
      </c>
      <c r="L1061" s="15">
        <v>10.4</v>
      </c>
      <c r="M1061" s="15">
        <v>27.24</v>
      </c>
      <c r="N1061" s="15"/>
      <c r="O1061" s="15">
        <f>V1061-M1061</f>
        <v>0</v>
      </c>
      <c r="P1061" s="16">
        <f>N1061/L1061</f>
        <v>0</v>
      </c>
      <c r="Q1061" s="14"/>
      <c r="R1061" s="14"/>
      <c r="S1061" s="17"/>
      <c r="T1061" s="15">
        <v>27.24</v>
      </c>
      <c r="U1061" s="15">
        <v>27.24</v>
      </c>
      <c r="V1061" s="15">
        <v>27.24</v>
      </c>
      <c r="W1061" s="14" t="s">
        <v>282</v>
      </c>
      <c r="X1061" s="14">
        <v>1</v>
      </c>
      <c r="Y1061" s="10">
        <f>AC1061-AB1061</f>
        <v>0</v>
      </c>
      <c r="Z1061" s="18">
        <v>0</v>
      </c>
      <c r="AA1061" s="18">
        <v>0</v>
      </c>
      <c r="AB1061" s="18"/>
      <c r="AC1061" s="18"/>
    </row>
    <row r="1062" spans="1:33" x14ac:dyDescent="0.25">
      <c r="A1062" s="10" t="s">
        <v>2420</v>
      </c>
      <c r="B1062" s="11" t="s">
        <v>33</v>
      </c>
      <c r="C1062" s="12" t="s">
        <v>2421</v>
      </c>
      <c r="D1062" s="27"/>
      <c r="E1062" s="14" t="s">
        <v>35</v>
      </c>
      <c r="F1062" s="11" t="str">
        <f>HYPERLINK("https://redirect.sdcdeals.com/redirect?destination=https%3A%2F%2Fwww.amazon.com%2Fdp%2FB00IQV2RZG%3Fth%3D1%26psc%3D1%26tag%3Dsdcdeals03-20", "Amazon Link")</f>
        <v>Amazon Link</v>
      </c>
      <c r="G1062" s="11" t="s">
        <v>36</v>
      </c>
      <c r="H1062" s="14" t="s">
        <v>2422</v>
      </c>
      <c r="I1062" s="11" t="str">
        <f>HYPERLINK("https://redirect.sdcdeals.com/redirect?code=763034&amp;mavely=https://mavely.app.link/e/bhESV2wGrGb&amp;destination=https%3A%2F%2Fwww.kohls.com%2Fsearch.jsp%3Fsubmit-search%3Dweb-regular%26search%3D76789947", "Retail Link")</f>
        <v>Retail Link</v>
      </c>
      <c r="J1062" s="14" t="s">
        <v>2395</v>
      </c>
      <c r="K1062" s="13" t="s">
        <v>2423</v>
      </c>
      <c r="L1062" s="15">
        <v>10.4</v>
      </c>
      <c r="M1062" s="15">
        <v>9</v>
      </c>
      <c r="N1062" s="15"/>
      <c r="O1062" s="15">
        <f>V1062-M1062</f>
        <v>0</v>
      </c>
      <c r="P1062" s="16">
        <f>N1062/L1062</f>
        <v>0</v>
      </c>
      <c r="Q1062" s="14">
        <v>4530254</v>
      </c>
      <c r="R1062" s="14"/>
      <c r="S1062" s="17"/>
      <c r="T1062" s="15">
        <v>9</v>
      </c>
      <c r="U1062" s="15">
        <v>9</v>
      </c>
      <c r="V1062" s="15">
        <v>9</v>
      </c>
      <c r="W1062" s="14" t="s">
        <v>1097</v>
      </c>
      <c r="X1062" s="14">
        <v>2</v>
      </c>
      <c r="Y1062" s="10">
        <f>AC1062-AB1062</f>
        <v>0</v>
      </c>
      <c r="Z1062" s="18">
        <v>0</v>
      </c>
      <c r="AA1062" s="18">
        <v>0</v>
      </c>
      <c r="AB1062" s="18"/>
      <c r="AC1062" s="18"/>
    </row>
    <row r="1063" spans="1:33" ht="30" x14ac:dyDescent="0.25">
      <c r="A1063" s="10" t="s">
        <v>2455</v>
      </c>
      <c r="B1063" s="11" t="s">
        <v>33</v>
      </c>
      <c r="C1063" s="12" t="s">
        <v>2460</v>
      </c>
      <c r="D1063" s="27"/>
      <c r="E1063" s="14" t="s">
        <v>35</v>
      </c>
      <c r="F1063" s="11" t="str">
        <f>HYPERLINK("https://redirect.sdcdeals.com/redirect?destination=https%3A%2F%2Fwww.amazon.com%2Fdp%2FB0BV2YLQ4H%3Fth%3D1%26psc%3D1%26tag%3Dsdcdeals03-20", "Amazon Link")</f>
        <v>Amazon Link</v>
      </c>
      <c r="G1063" s="11" t="s">
        <v>36</v>
      </c>
      <c r="H1063" s="14" t="s">
        <v>2457</v>
      </c>
      <c r="I1063" s="11" t="str">
        <f>HYPERLINK("https://redirect.sdcdeals.com/redirect?code=763034&amp;mavely=https://mavely.app.link/e/bhESV2wGrGb&amp;destination=https%3A%2F%2Fwww.kohls.com%2Fsearch.jsp%3Fsubmit-search%3Dweb-regular%26search%3D71884970", "Retail Link")</f>
        <v>Retail Link</v>
      </c>
      <c r="J1063" s="14" t="s">
        <v>2427</v>
      </c>
      <c r="K1063" s="13" t="s">
        <v>2461</v>
      </c>
      <c r="L1063" s="15">
        <v>33.6</v>
      </c>
      <c r="M1063" s="15"/>
      <c r="N1063" s="15"/>
      <c r="O1063" s="15">
        <f>V1063-M1063</f>
        <v>0</v>
      </c>
      <c r="P1063" s="16">
        <f>N1063/L1063</f>
        <v>0</v>
      </c>
      <c r="Q1063" s="14">
        <v>197779</v>
      </c>
      <c r="R1063" s="14"/>
      <c r="S1063" s="17">
        <v>0.82011864000000001</v>
      </c>
      <c r="T1063" s="15"/>
      <c r="U1063" s="15"/>
      <c r="V1063" s="15"/>
      <c r="W1063" s="14" t="s">
        <v>2459</v>
      </c>
      <c r="X1063" s="14">
        <v>1</v>
      </c>
      <c r="Y1063" s="10">
        <f>AC1063-AB1063</f>
        <v>0</v>
      </c>
      <c r="Z1063" s="18">
        <v>4</v>
      </c>
      <c r="AA1063" s="18">
        <v>16</v>
      </c>
      <c r="AB1063" s="18">
        <v>0</v>
      </c>
      <c r="AC1063" s="18"/>
      <c r="AD1063" s="1" t="s">
        <v>2429</v>
      </c>
      <c r="AE1063" s="1" t="s">
        <v>2430</v>
      </c>
      <c r="AG1063" s="4">
        <v>5.9</v>
      </c>
    </row>
    <row r="1064" spans="1:33" ht="30" x14ac:dyDescent="0.25">
      <c r="A1064" s="10" t="s">
        <v>2469</v>
      </c>
      <c r="B1064" s="11" t="s">
        <v>33</v>
      </c>
      <c r="C1064" s="12" t="s">
        <v>2474</v>
      </c>
      <c r="D1064" s="27"/>
      <c r="E1064" s="14" t="s">
        <v>35</v>
      </c>
      <c r="F1064" s="11" t="str">
        <f>HYPERLINK("https://redirect.sdcdeals.com/redirect?destination=https%3A%2F%2Fwww.amazon.com%2Fdp%2FB0BV2WHBTQ%3Fth%3D1%26psc%3D1%26tag%3Dsdcdeals03-20", "Amazon Link")</f>
        <v>Amazon Link</v>
      </c>
      <c r="G1064" s="11" t="s">
        <v>36</v>
      </c>
      <c r="H1064" s="14" t="s">
        <v>2471</v>
      </c>
      <c r="I1064" s="11" t="str">
        <f>HYPERLINK("https://redirect.sdcdeals.com/redirect?code=763034&amp;mavely=https://mavely.app.link/e/bhESV2wGrGb&amp;destination=https%3A%2F%2Fwww.kohls.com%2Fsearch.jsp%3Fsubmit-search%3Dweb-regular%26search%3D71884971", "Retail Link")</f>
        <v>Retail Link</v>
      </c>
      <c r="J1064" s="14" t="s">
        <v>2427</v>
      </c>
      <c r="K1064" s="13" t="s">
        <v>2475</v>
      </c>
      <c r="L1064" s="15">
        <v>33.6</v>
      </c>
      <c r="M1064" s="15"/>
      <c r="N1064" s="15"/>
      <c r="O1064" s="15">
        <f>V1064-M1064</f>
        <v>0</v>
      </c>
      <c r="P1064" s="16">
        <f>N1064/L1064</f>
        <v>0</v>
      </c>
      <c r="Q1064" s="14">
        <v>197779</v>
      </c>
      <c r="R1064" s="14"/>
      <c r="S1064" s="17">
        <v>0.87964337999999997</v>
      </c>
      <c r="T1064" s="15"/>
      <c r="U1064" s="15"/>
      <c r="V1064" s="15"/>
      <c r="W1064" s="14" t="s">
        <v>2473</v>
      </c>
      <c r="X1064" s="14">
        <v>1</v>
      </c>
      <c r="Y1064" s="10">
        <f>AC1064-AB1064</f>
        <v>1</v>
      </c>
      <c r="Z1064" s="18">
        <v>4</v>
      </c>
      <c r="AA1064" s="18">
        <v>6</v>
      </c>
      <c r="AB1064" s="18"/>
      <c r="AC1064" s="18">
        <v>1</v>
      </c>
      <c r="AD1064" s="1" t="s">
        <v>2429</v>
      </c>
      <c r="AE1064" s="1" t="s">
        <v>2430</v>
      </c>
      <c r="AG1064" s="4">
        <v>5.9</v>
      </c>
    </row>
    <row r="1065" spans="1:33" ht="45" hidden="1" x14ac:dyDescent="0.25">
      <c r="A1065" s="10" t="s">
        <v>2490</v>
      </c>
      <c r="B1065" s="11" t="s">
        <v>33</v>
      </c>
      <c r="C1065" s="12" t="s">
        <v>2491</v>
      </c>
      <c r="D1065" s="27"/>
      <c r="E1065" s="14" t="s">
        <v>35</v>
      </c>
      <c r="F1065" s="11" t="str">
        <f>HYPERLINK("https://redirect.sdcdeals.com/redirect?destination=https%3A%2F%2Fwww.amazon.com%2Fdp%2FB0B7J5JN63%3Fth%3D1%26psc%3D1%26tag%3Dsdcdeals03-20", "Amazon Link")</f>
        <v>Amazon Link</v>
      </c>
      <c r="G1065" s="11" t="s">
        <v>36</v>
      </c>
      <c r="H1065" s="14" t="s">
        <v>2492</v>
      </c>
      <c r="I1065" s="11" t="str">
        <f>HYPERLINK("https://redirect.sdcdeals.com/redirect?code=763034&amp;mavely=https://mavely.app.link/e/bhESV2wGrGb&amp;destination=https%3A%2F%2Fwww.kohls.com%2Fsearch.jsp%3Fsubmit-search%3Dweb-regular%26search%3D29765592", "Retail Link")</f>
        <v>Retail Link</v>
      </c>
      <c r="J1065" s="14" t="s">
        <v>2493</v>
      </c>
      <c r="K1065" s="13" t="s">
        <v>2494</v>
      </c>
      <c r="L1065" s="15">
        <v>14.992000000000001</v>
      </c>
      <c r="M1065" s="15"/>
      <c r="N1065" s="15"/>
      <c r="O1065" s="15">
        <f>V1065-M1065</f>
        <v>0</v>
      </c>
      <c r="P1065" s="16">
        <f>N1065/L1065</f>
        <v>0</v>
      </c>
      <c r="Q1065" s="14"/>
      <c r="R1065" s="14"/>
      <c r="S1065" s="17">
        <v>3.00048782</v>
      </c>
      <c r="T1065" s="15"/>
      <c r="U1065" s="15"/>
      <c r="V1065" s="15"/>
      <c r="W1065" s="14" t="s">
        <v>2495</v>
      </c>
      <c r="X1065" s="14"/>
      <c r="Y1065" s="10">
        <f>AC1065-AB1065</f>
        <v>0</v>
      </c>
      <c r="Z1065" s="18">
        <v>-1</v>
      </c>
      <c r="AA1065" s="18">
        <v>-1</v>
      </c>
      <c r="AB1065" s="18"/>
      <c r="AC1065" s="18"/>
      <c r="AD1065" s="1" t="s">
        <v>2490</v>
      </c>
      <c r="AE1065" s="1" t="s">
        <v>2496</v>
      </c>
      <c r="AG1065" s="4">
        <v>22.15</v>
      </c>
    </row>
    <row r="1066" spans="1:33" ht="30" x14ac:dyDescent="0.25">
      <c r="A1066" s="10" t="s">
        <v>2657</v>
      </c>
      <c r="B1066" s="11" t="s">
        <v>33</v>
      </c>
      <c r="C1066" s="12" t="s">
        <v>2658</v>
      </c>
      <c r="D1066" s="27"/>
      <c r="E1066" s="14" t="s">
        <v>35</v>
      </c>
      <c r="F1066" s="11" t="str">
        <f>HYPERLINK("https://redirect.sdcdeals.com/redirect?destination=https%3A%2F%2Fwww.amazon.com%2Fdp%2FB0CYSLZX7R%3Fth%3D1%26psc%3D1%26tag%3Dsdcdeals03-20", "Amazon Link")</f>
        <v>Amazon Link</v>
      </c>
      <c r="G1066" s="11" t="s">
        <v>36</v>
      </c>
      <c r="H1066" s="14" t="s">
        <v>2659</v>
      </c>
      <c r="I1066" s="11" t="str">
        <f>HYPERLINK("https://redirect.sdcdeals.com/redirect?code=763034&amp;mavely=https://mavely.app.link/e/bhESV2wGrGb&amp;destination=https%3A%2F%2Fwww.kohls.com%2Fsearch.jsp%3Fsubmit-search%3Dweb-regular%26search%3D73025631", "Retail Link")</f>
        <v>Retail Link</v>
      </c>
      <c r="J1066" s="14" t="s">
        <v>2660</v>
      </c>
      <c r="K1066" s="13" t="s">
        <v>2661</v>
      </c>
      <c r="L1066" s="15">
        <v>15.4</v>
      </c>
      <c r="M1066" s="15">
        <v>275.55</v>
      </c>
      <c r="N1066" s="15"/>
      <c r="O1066" s="15">
        <f>V1066-M1066</f>
        <v>-6.4900000000000091</v>
      </c>
      <c r="P1066" s="16">
        <f>N1066/L1066</f>
        <v>0</v>
      </c>
      <c r="Q1066" s="14">
        <v>5575248</v>
      </c>
      <c r="R1066" s="14"/>
      <c r="S1066" s="17"/>
      <c r="T1066" s="15">
        <v>255.55</v>
      </c>
      <c r="U1066" s="15">
        <v>269.06</v>
      </c>
      <c r="V1066" s="15">
        <v>269.06</v>
      </c>
      <c r="W1066" s="14" t="s">
        <v>2253</v>
      </c>
      <c r="X1066" s="14">
        <v>2</v>
      </c>
      <c r="Y1066" s="10">
        <f>AC1066-AB1066</f>
        <v>0</v>
      </c>
      <c r="Z1066" s="18">
        <v>0</v>
      </c>
      <c r="AA1066" s="18">
        <v>3</v>
      </c>
      <c r="AB1066" s="18"/>
      <c r="AC1066" s="18"/>
      <c r="AE1066" s="1" t="s">
        <v>2662</v>
      </c>
    </row>
    <row r="1067" spans="1:33" ht="30" hidden="1" x14ac:dyDescent="0.25">
      <c r="A1067" s="10" t="s">
        <v>2668</v>
      </c>
      <c r="B1067" s="11" t="s">
        <v>33</v>
      </c>
      <c r="C1067" s="12" t="s">
        <v>2669</v>
      </c>
      <c r="D1067" s="27"/>
      <c r="E1067" s="14" t="s">
        <v>35</v>
      </c>
      <c r="F1067" s="11" t="str">
        <f>HYPERLINK("https://redirect.sdcdeals.com/redirect?destination=https%3A%2F%2Fwww.amazon.com%2Fdp%2FB0D5VSJCKX%3Fth%3D1%26psc%3D1%26tag%3Dsdcdeals03-20", "Amazon Link")</f>
        <v>Amazon Link</v>
      </c>
      <c r="G1067" s="11" t="s">
        <v>36</v>
      </c>
      <c r="H1067" s="14" t="s">
        <v>2670</v>
      </c>
      <c r="I1067" s="11" t="str">
        <f>HYPERLINK("https://redirect.sdcdeals.com/redirect?code=763034&amp;mavely=https://mavely.app.link/e/bhESV2wGrGb&amp;destination=https%3A%2F%2Fwww.kohls.com%2Fsearch.jsp%3Fsubmit-search%3Dweb-regular%26search%3D66456363", "Retail Link")</f>
        <v>Retail Link</v>
      </c>
      <c r="J1067" s="14" t="s">
        <v>2671</v>
      </c>
      <c r="K1067" s="13" t="s">
        <v>2672</v>
      </c>
      <c r="L1067" s="15">
        <v>6</v>
      </c>
      <c r="M1067" s="15"/>
      <c r="N1067" s="15"/>
      <c r="O1067" s="15">
        <f>V1067-M1067</f>
        <v>0</v>
      </c>
      <c r="P1067" s="16">
        <f>N1067/L1067</f>
        <v>0</v>
      </c>
      <c r="Q1067" s="14"/>
      <c r="R1067" s="14"/>
      <c r="S1067" s="17"/>
      <c r="T1067" s="15"/>
      <c r="U1067" s="15"/>
      <c r="V1067" s="15"/>
      <c r="W1067" s="14" t="s">
        <v>245</v>
      </c>
      <c r="X1067" s="14"/>
      <c r="Y1067" s="10">
        <f>AC1067-AB1067</f>
        <v>0</v>
      </c>
      <c r="Z1067" s="18">
        <v>-1</v>
      </c>
      <c r="AA1067" s="18">
        <v>-1</v>
      </c>
      <c r="AB1067" s="18"/>
      <c r="AC1067" s="18"/>
      <c r="AD1067" s="1" t="s">
        <v>2673</v>
      </c>
      <c r="AE1067" s="1" t="s">
        <v>2674</v>
      </c>
    </row>
    <row r="1068" spans="1:33" ht="30" hidden="1" x14ac:dyDescent="0.25">
      <c r="A1068" s="10" t="s">
        <v>3170</v>
      </c>
      <c r="B1068" s="11" t="s">
        <v>33</v>
      </c>
      <c r="C1068" s="12" t="s">
        <v>3171</v>
      </c>
      <c r="D1068" s="27"/>
      <c r="E1068" s="14" t="s">
        <v>35</v>
      </c>
      <c r="F1068" s="11" t="str">
        <f>HYPERLINK("https://redirect.sdcdeals.com/redirect?destination=https%3A%2F%2Fwww.amazon.com%2Fdp%2FB0CKWLLCN1%3Fth%3D1%26psc%3D1%26tag%3Dsdcdeals03-20", "Amazon Link")</f>
        <v>Amazon Link</v>
      </c>
      <c r="G1068" s="11" t="s">
        <v>36</v>
      </c>
      <c r="H1068" s="14" t="s">
        <v>3172</v>
      </c>
      <c r="I1068" s="11" t="str">
        <f>HYPERLINK("https://redirect.sdcdeals.com/redirect?code=763034&amp;mavely=https://mavely.app.link/e/bhESV2wGrGb&amp;destination=https%3A%2F%2Fwww.kohls.com%2Fsearch.jsp%3Fsubmit-search%3Dweb-regular%26search%3D65443196", "Retail Link")</f>
        <v>Retail Link</v>
      </c>
      <c r="J1068" s="14" t="s">
        <v>3173</v>
      </c>
      <c r="K1068" s="13" t="s">
        <v>3174</v>
      </c>
      <c r="L1068" s="15">
        <v>6.08</v>
      </c>
      <c r="M1068" s="15">
        <v>37.119999999999997</v>
      </c>
      <c r="N1068" s="15"/>
      <c r="O1068" s="15">
        <f>V1068-M1068</f>
        <v>0</v>
      </c>
      <c r="P1068" s="16">
        <f>N1068/L1068</f>
        <v>0</v>
      </c>
      <c r="Q1068" s="14"/>
      <c r="R1068" s="14"/>
      <c r="S1068" s="17"/>
      <c r="T1068" s="15"/>
      <c r="U1068" s="15"/>
      <c r="V1068" s="15">
        <v>37.119999999999997</v>
      </c>
      <c r="W1068" s="14" t="s">
        <v>3175</v>
      </c>
      <c r="X1068" s="14">
        <v>1</v>
      </c>
      <c r="Y1068" s="10">
        <f>AC1068-AB1068</f>
        <v>0</v>
      </c>
      <c r="Z1068" s="18">
        <v>0</v>
      </c>
      <c r="AA1068" s="18">
        <v>12</v>
      </c>
      <c r="AB1068" s="18">
        <v>0</v>
      </c>
      <c r="AC1068" s="18"/>
    </row>
    <row r="1069" spans="1:33" ht="30" hidden="1" x14ac:dyDescent="0.25">
      <c r="A1069" s="10" t="s">
        <v>3176</v>
      </c>
      <c r="B1069" s="11" t="s">
        <v>33</v>
      </c>
      <c r="C1069" s="12" t="s">
        <v>3177</v>
      </c>
      <c r="D1069" s="27"/>
      <c r="E1069" s="14" t="s">
        <v>35</v>
      </c>
      <c r="F1069" s="11" t="str">
        <f>HYPERLINK("https://redirect.sdcdeals.com/redirect?destination=https%3A%2F%2Fwww.amazon.com%2Fdp%2FB0CKWHMQ3L%3Fth%3D1%26psc%3D1%26tag%3Dsdcdeals03-20", "Amazon Link")</f>
        <v>Amazon Link</v>
      </c>
      <c r="G1069" s="11" t="s">
        <v>36</v>
      </c>
      <c r="H1069" s="14" t="s">
        <v>3178</v>
      </c>
      <c r="I1069" s="11" t="str">
        <f>HYPERLINK("https://redirect.sdcdeals.com/redirect?code=763034&amp;mavely=https://mavely.app.link/e/bhESV2wGrGb&amp;destination=https%3A%2F%2Fwww.kohls.com%2Fsearch.jsp%3Fsubmit-search%3Dweb-regular%26search%3D65443197", "Retail Link")</f>
        <v>Retail Link</v>
      </c>
      <c r="J1069" s="14" t="s">
        <v>3173</v>
      </c>
      <c r="K1069" s="13" t="s">
        <v>3179</v>
      </c>
      <c r="L1069" s="15">
        <v>6.08</v>
      </c>
      <c r="M1069" s="15">
        <v>37.119999999999997</v>
      </c>
      <c r="N1069" s="15"/>
      <c r="O1069" s="15">
        <f>V1069-M1069</f>
        <v>0</v>
      </c>
      <c r="P1069" s="16">
        <f>N1069/L1069</f>
        <v>0</v>
      </c>
      <c r="Q1069" s="14"/>
      <c r="R1069" s="14"/>
      <c r="S1069" s="17"/>
      <c r="T1069" s="15"/>
      <c r="U1069" s="15"/>
      <c r="V1069" s="15">
        <v>37.119999999999997</v>
      </c>
      <c r="W1069" s="14" t="s">
        <v>659</v>
      </c>
      <c r="X1069" s="14">
        <v>1</v>
      </c>
      <c r="Y1069" s="10">
        <f>AC1069-AB1069</f>
        <v>0</v>
      </c>
      <c r="Z1069" s="18">
        <v>0</v>
      </c>
      <c r="AA1069" s="18">
        <v>6</v>
      </c>
      <c r="AB1069" s="18">
        <v>0</v>
      </c>
      <c r="AC1069" s="18"/>
    </row>
    <row r="1070" spans="1:33" ht="30" hidden="1" x14ac:dyDescent="0.25">
      <c r="A1070" s="10" t="s">
        <v>3180</v>
      </c>
      <c r="B1070" s="11" t="s">
        <v>33</v>
      </c>
      <c r="C1070" s="12" t="s">
        <v>3181</v>
      </c>
      <c r="D1070" s="27"/>
      <c r="E1070" s="14" t="s">
        <v>35</v>
      </c>
      <c r="F1070" s="11" t="str">
        <f>HYPERLINK("https://redirect.sdcdeals.com/redirect?destination=https%3A%2F%2Fwww.amazon.com%2Fdp%2FB0CKWJPD58%3Fth%3D1%26psc%3D1%26tag%3Dsdcdeals03-20", "Amazon Link")</f>
        <v>Amazon Link</v>
      </c>
      <c r="G1070" s="11" t="s">
        <v>36</v>
      </c>
      <c r="H1070" s="14" t="s">
        <v>3182</v>
      </c>
      <c r="I1070" s="11" t="str">
        <f>HYPERLINK("https://redirect.sdcdeals.com/redirect?code=763034&amp;mavely=https://mavely.app.link/e/bhESV2wGrGb&amp;destination=https%3A%2F%2Fwww.kohls.com%2Fsearch.jsp%3Fsubmit-search%3Dweb-regular%26search%3D65443203", "Retail Link")</f>
        <v>Retail Link</v>
      </c>
      <c r="J1070" s="14" t="s">
        <v>3173</v>
      </c>
      <c r="K1070" s="13" t="s">
        <v>3183</v>
      </c>
      <c r="L1070" s="15">
        <v>6.08</v>
      </c>
      <c r="M1070" s="15">
        <v>37.119999999999997</v>
      </c>
      <c r="N1070" s="15"/>
      <c r="O1070" s="15">
        <f>V1070-M1070</f>
        <v>0</v>
      </c>
      <c r="P1070" s="16">
        <f>N1070/L1070</f>
        <v>0</v>
      </c>
      <c r="Q1070" s="14"/>
      <c r="R1070" s="14"/>
      <c r="S1070" s="17"/>
      <c r="T1070" s="15"/>
      <c r="U1070" s="15">
        <v>37.119999999999997</v>
      </c>
      <c r="V1070" s="15">
        <v>37.119999999999997</v>
      </c>
      <c r="W1070" s="14" t="s">
        <v>3184</v>
      </c>
      <c r="X1070" s="14">
        <v>1</v>
      </c>
      <c r="Y1070" s="10">
        <f>AC1070-AB1070</f>
        <v>0</v>
      </c>
      <c r="Z1070" s="18">
        <v>0</v>
      </c>
      <c r="AA1070" s="18">
        <v>7</v>
      </c>
      <c r="AB1070" s="18">
        <v>0</v>
      </c>
      <c r="AC1070" s="18"/>
    </row>
    <row r="1071" spans="1:33" x14ac:dyDescent="0.25">
      <c r="A1071" s="10" t="s">
        <v>3285</v>
      </c>
      <c r="B1071" s="11" t="s">
        <v>33</v>
      </c>
      <c r="C1071" s="12" t="s">
        <v>3286</v>
      </c>
      <c r="D1071" s="27"/>
      <c r="E1071" s="14" t="s">
        <v>35</v>
      </c>
      <c r="F1071" s="11" t="str">
        <f>HYPERLINK("https://redirect.sdcdeals.com/redirect?destination=https%3A%2F%2Fwww.amazon.com%2Fdp%2FB0BPDZXB1S%3Fth%3D1%26psc%3D1%26tag%3Dsdcdeals03-20", "Amazon Link")</f>
        <v>Amazon Link</v>
      </c>
      <c r="G1071" s="11" t="s">
        <v>36</v>
      </c>
      <c r="H1071" s="14" t="s">
        <v>3287</v>
      </c>
      <c r="I1071" s="11" t="str">
        <f>HYPERLINK("https://redirect.sdcdeals.com/redirect?code=763034&amp;mavely=https://mavely.app.link/e/bhESV2wGrGb&amp;destination=https%3A%2F%2Fwww.kohls.com%2Fsearch.jsp%3Fsubmit-search%3Dweb-regular%26search%3D30479044", "Retail Link")</f>
        <v>Retail Link</v>
      </c>
      <c r="J1071" s="14" t="s">
        <v>3281</v>
      </c>
      <c r="K1071" s="13" t="s">
        <v>3288</v>
      </c>
      <c r="L1071" s="15">
        <v>5.4960000000000004</v>
      </c>
      <c r="M1071" s="15"/>
      <c r="N1071" s="15"/>
      <c r="O1071" s="15">
        <f>V1071-M1071</f>
        <v>0</v>
      </c>
      <c r="P1071" s="16">
        <f>N1071/L1071</f>
        <v>0</v>
      </c>
      <c r="Q1071" s="14">
        <v>57922</v>
      </c>
      <c r="R1071" s="14"/>
      <c r="S1071" s="17">
        <v>0.3086468</v>
      </c>
      <c r="T1071" s="15"/>
      <c r="U1071" s="15"/>
      <c r="V1071" s="15"/>
      <c r="W1071" s="14" t="s">
        <v>3289</v>
      </c>
      <c r="X1071" s="14"/>
      <c r="Y1071" s="10">
        <f>AC1071-AB1071</f>
        <v>45</v>
      </c>
      <c r="Z1071" s="18">
        <v>3</v>
      </c>
      <c r="AA1071" s="18">
        <v>7</v>
      </c>
      <c r="AB1071" s="18">
        <v>0</v>
      </c>
      <c r="AC1071" s="18">
        <v>45</v>
      </c>
      <c r="AD1071" s="1" t="s">
        <v>3283</v>
      </c>
      <c r="AE1071" s="1" t="s">
        <v>3284</v>
      </c>
      <c r="AG1071" s="4">
        <v>5.37</v>
      </c>
    </row>
    <row r="1072" spans="1:33" x14ac:dyDescent="0.25">
      <c r="A1072" s="10" t="s">
        <v>3290</v>
      </c>
      <c r="B1072" s="11" t="s">
        <v>33</v>
      </c>
      <c r="C1072" s="12" t="s">
        <v>3291</v>
      </c>
      <c r="D1072" s="27"/>
      <c r="E1072" s="14" t="s">
        <v>35</v>
      </c>
      <c r="F1072" s="11" t="str">
        <f>HYPERLINK("https://redirect.sdcdeals.com/redirect?destination=https%3A%2F%2Fwww.amazon.com%2Fdp%2FB0BPDX487R%3Fth%3D1%26psc%3D1%26tag%3Dsdcdeals03-20", "Amazon Link")</f>
        <v>Amazon Link</v>
      </c>
      <c r="G1072" s="11" t="s">
        <v>36</v>
      </c>
      <c r="H1072" s="14" t="s">
        <v>3292</v>
      </c>
      <c r="I1072" s="11" t="str">
        <f>HYPERLINK("https://redirect.sdcdeals.com/redirect?code=763034&amp;mavely=https://mavely.app.link/e/bhESV2wGrGb&amp;destination=https%3A%2F%2Fwww.kohls.com%2Fsearch.jsp%3Fsubmit-search%3Dweb-regular%26search%3D76909170", "Retail Link")</f>
        <v>Retail Link</v>
      </c>
      <c r="J1072" s="14" t="s">
        <v>3281</v>
      </c>
      <c r="K1072" s="13" t="s">
        <v>3293</v>
      </c>
      <c r="L1072" s="15">
        <v>5.4960000000000004</v>
      </c>
      <c r="M1072" s="15"/>
      <c r="N1072" s="15"/>
      <c r="O1072" s="15">
        <f>V1072-M1072</f>
        <v>0</v>
      </c>
      <c r="P1072" s="16">
        <f>N1072/L1072</f>
        <v>0</v>
      </c>
      <c r="Q1072" s="14">
        <v>57922</v>
      </c>
      <c r="R1072" s="14"/>
      <c r="S1072" s="17">
        <v>0.32187452</v>
      </c>
      <c r="T1072" s="15"/>
      <c r="U1072" s="15"/>
      <c r="V1072" s="15"/>
      <c r="W1072" s="14" t="s">
        <v>1847</v>
      </c>
      <c r="X1072" s="14"/>
      <c r="Y1072" s="10">
        <f>AC1072-AB1072</f>
        <v>74</v>
      </c>
      <c r="Z1072" s="18">
        <v>2</v>
      </c>
      <c r="AA1072" s="18">
        <v>6</v>
      </c>
      <c r="AB1072" s="18">
        <v>0</v>
      </c>
      <c r="AC1072" s="18">
        <v>74</v>
      </c>
      <c r="AD1072" s="1" t="s">
        <v>3294</v>
      </c>
      <c r="AE1072" s="1" t="s">
        <v>3295</v>
      </c>
      <c r="AG1072" s="4">
        <v>5.37</v>
      </c>
    </row>
    <row r="1073" spans="1:33" ht="30" hidden="1" x14ac:dyDescent="0.25">
      <c r="A1073" s="10" t="s">
        <v>3714</v>
      </c>
      <c r="B1073" s="11" t="s">
        <v>33</v>
      </c>
      <c r="C1073" s="12" t="s">
        <v>3715</v>
      </c>
      <c r="D1073" s="27"/>
      <c r="E1073" s="14" t="s">
        <v>35</v>
      </c>
      <c r="F1073" s="11" t="str">
        <f>HYPERLINK("https://redirect.sdcdeals.com/redirect?destination=https%3A%2F%2Fwww.amazon.com%2Fdp%2FB00IQV2TTK%3Fth%3D1%26psc%3D1%26tag%3Dsdcdeals03-20", "Amazon Link")</f>
        <v>Amazon Link</v>
      </c>
      <c r="G1073" s="11" t="s">
        <v>36</v>
      </c>
      <c r="H1073" s="14" t="s">
        <v>3716</v>
      </c>
      <c r="I1073" s="11" t="str">
        <f>HYPERLINK("https://redirect.sdcdeals.com/redirect?code=763034&amp;mavely=https://mavely.app.link/e/bhESV2wGrGb&amp;destination=https%3A%2F%2Fwww.kohls.com%2Fsearch.jsp%3Fsubmit-search%3Dweb-regular%26search%3D76792734", "Retail Link")</f>
        <v>Retail Link</v>
      </c>
      <c r="J1073" s="14" t="s">
        <v>3701</v>
      </c>
      <c r="K1073" s="13" t="s">
        <v>3717</v>
      </c>
      <c r="L1073" s="15">
        <v>12</v>
      </c>
      <c r="M1073" s="15"/>
      <c r="N1073" s="15"/>
      <c r="O1073" s="15">
        <f>V1073-M1073</f>
        <v>0</v>
      </c>
      <c r="P1073" s="16">
        <f>N1073/L1073</f>
        <v>0</v>
      </c>
      <c r="Q1073" s="14"/>
      <c r="R1073" s="14"/>
      <c r="S1073" s="17"/>
      <c r="T1073" s="15"/>
      <c r="U1073" s="15"/>
      <c r="V1073" s="15"/>
      <c r="W1073" s="14" t="s">
        <v>516</v>
      </c>
      <c r="X1073" s="14"/>
      <c r="Y1073" s="10">
        <f>AC1073-AB1073</f>
        <v>0</v>
      </c>
      <c r="Z1073" s="18">
        <v>-1</v>
      </c>
      <c r="AA1073" s="18">
        <v>-1</v>
      </c>
      <c r="AB1073" s="18"/>
      <c r="AC1073" s="18"/>
    </row>
    <row r="1074" spans="1:33" ht="45" x14ac:dyDescent="0.25">
      <c r="A1074" s="10" t="s">
        <v>4006</v>
      </c>
      <c r="B1074" s="11" t="s">
        <v>33</v>
      </c>
      <c r="C1074" s="12" t="s">
        <v>4007</v>
      </c>
      <c r="D1074" s="27"/>
      <c r="E1074" s="14" t="s">
        <v>35</v>
      </c>
      <c r="F1074" s="11" t="str">
        <f>HYPERLINK("https://redirect.sdcdeals.com/redirect?destination=https%3A%2F%2Fwww.amazon.com%2Fdp%2FB0BSVHS9JJ%3Fth%3D1%26psc%3D1%26tag%3Dsdcdeals03-20", "Amazon Link")</f>
        <v>Amazon Link</v>
      </c>
      <c r="G1074" s="11" t="s">
        <v>36</v>
      </c>
      <c r="H1074" s="14" t="s">
        <v>4008</v>
      </c>
      <c r="I1074" s="11" t="str">
        <f>HYPERLINK("https://redirect.sdcdeals.com/redirect?code=763034&amp;mavely=https://mavely.app.link/e/bhESV2wGrGb&amp;destination=https%3A%2F%2Fwww.kohls.com%2Fsearch.jsp%3Fsubmit-search%3Dweb-regular%26search%3D37297692", "Retail Link")</f>
        <v>Retail Link</v>
      </c>
      <c r="J1074" s="14" t="s">
        <v>4009</v>
      </c>
      <c r="K1074" s="13" t="s">
        <v>4010</v>
      </c>
      <c r="L1074" s="15">
        <v>4.4159999999999986</v>
      </c>
      <c r="M1074" s="15"/>
      <c r="N1074" s="15"/>
      <c r="O1074" s="15">
        <f>V1074-M1074</f>
        <v>0</v>
      </c>
      <c r="P1074" s="16">
        <f>N1074/L1074</f>
        <v>0</v>
      </c>
      <c r="Q1074" s="14">
        <v>758707</v>
      </c>
      <c r="R1074" s="14"/>
      <c r="S1074" s="17">
        <v>0.70106915999999997</v>
      </c>
      <c r="T1074" s="15"/>
      <c r="U1074" s="15"/>
      <c r="V1074" s="15"/>
      <c r="W1074" s="14" t="s">
        <v>4011</v>
      </c>
      <c r="X1074" s="14">
        <v>1</v>
      </c>
      <c r="Y1074" s="10">
        <f>AC1074-AB1074</f>
        <v>1</v>
      </c>
      <c r="Z1074" s="18">
        <v>0</v>
      </c>
      <c r="AA1074" s="18">
        <v>1</v>
      </c>
      <c r="AB1074" s="18">
        <v>0</v>
      </c>
      <c r="AC1074" s="18">
        <v>1</v>
      </c>
      <c r="AD1074" s="1" t="s">
        <v>4012</v>
      </c>
      <c r="AE1074" s="1" t="s">
        <v>4013</v>
      </c>
      <c r="AG1074" s="4">
        <v>5.52</v>
      </c>
    </row>
    <row r="1075" spans="1:33" ht="30" hidden="1" x14ac:dyDescent="0.25">
      <c r="A1075" s="10" t="s">
        <v>4214</v>
      </c>
      <c r="B1075" s="11" t="s">
        <v>33</v>
      </c>
      <c r="C1075" s="12" t="s">
        <v>4219</v>
      </c>
      <c r="D1075" s="27"/>
      <c r="E1075" s="14" t="s">
        <v>35</v>
      </c>
      <c r="F1075" s="11" t="str">
        <f>HYPERLINK("https://redirect.sdcdeals.com/redirect?destination=https%3A%2F%2Fwww.amazon.com%2Fdp%2FB0CY15WX3N%3Fth%3D1%26psc%3D1%26tag%3Dsdcdeals03-20", "Amazon Link")</f>
        <v>Amazon Link</v>
      </c>
      <c r="G1075" s="11" t="s">
        <v>36</v>
      </c>
      <c r="H1075" s="14" t="s">
        <v>4216</v>
      </c>
      <c r="I1075" s="11" t="str">
        <f>HYPERLINK("https://redirect.sdcdeals.com/redirect?code=763034&amp;mavely=https://mavely.app.link/e/bhESV2wGrGb&amp;destination=https%3A%2F%2Fwww.kohls.com%2Fsearch.jsp%3Fsubmit-search%3Dweb-regular%26search%3D81866575", "Retail Link")</f>
        <v>Retail Link</v>
      </c>
      <c r="J1075" s="14" t="s">
        <v>4205</v>
      </c>
      <c r="K1075" s="13" t="s">
        <v>4220</v>
      </c>
      <c r="L1075" s="15">
        <v>7.6000000000000014</v>
      </c>
      <c r="M1075" s="15">
        <v>32</v>
      </c>
      <c r="N1075" s="15"/>
      <c r="O1075" s="15">
        <f>V1075-M1075</f>
        <v>-2.379999999999999</v>
      </c>
      <c r="P1075" s="16">
        <f>N1075/L1075</f>
        <v>0</v>
      </c>
      <c r="Q1075" s="14"/>
      <c r="R1075" s="14"/>
      <c r="S1075" s="17"/>
      <c r="T1075" s="15">
        <v>32</v>
      </c>
      <c r="U1075" s="15">
        <v>29.62</v>
      </c>
      <c r="V1075" s="15">
        <v>29.62</v>
      </c>
      <c r="W1075" s="14" t="s">
        <v>4218</v>
      </c>
      <c r="X1075" s="14">
        <v>1</v>
      </c>
      <c r="Y1075" s="10">
        <f>AC1075-AB1075</f>
        <v>5</v>
      </c>
      <c r="Z1075" s="18">
        <v>0</v>
      </c>
      <c r="AA1075" s="18">
        <v>10</v>
      </c>
      <c r="AB1075" s="18">
        <v>0</v>
      </c>
      <c r="AC1075" s="18">
        <v>5</v>
      </c>
      <c r="AE1075" s="1" t="s">
        <v>4221</v>
      </c>
    </row>
    <row r="1076" spans="1:33" ht="30" hidden="1" x14ac:dyDescent="0.25">
      <c r="A1076" s="10" t="s">
        <v>4222</v>
      </c>
      <c r="B1076" s="11" t="s">
        <v>33</v>
      </c>
      <c r="C1076" s="12" t="s">
        <v>4223</v>
      </c>
      <c r="D1076" s="27"/>
      <c r="E1076" s="14" t="s">
        <v>35</v>
      </c>
      <c r="F1076" s="11" t="str">
        <f>HYPERLINK("https://redirect.sdcdeals.com/redirect?destination=https%3A%2F%2Fwww.amazon.com%2Fdp%2FB07WH5WPWP%3Fth%3D1%26psc%3D1%26tag%3Dsdcdeals03-20", "Amazon Link")</f>
        <v>Amazon Link</v>
      </c>
      <c r="G1076" s="11" t="s">
        <v>36</v>
      </c>
      <c r="H1076" s="14" t="s">
        <v>4224</v>
      </c>
      <c r="I1076" s="11" t="str">
        <f>HYPERLINK("https://redirect.sdcdeals.com/redirect?code=763034&amp;mavely=https://mavely.app.link/e/bhESV2wGrGb&amp;destination=https%3A%2F%2Fwww.kohls.com%2Fsearch.jsp%3Fsubmit-search%3Dweb-regular%26search%3D30420025", "Retail Link")</f>
        <v>Retail Link</v>
      </c>
      <c r="J1076" s="14" t="s">
        <v>4225</v>
      </c>
      <c r="K1076" s="13" t="s">
        <v>4226</v>
      </c>
      <c r="L1076" s="15">
        <v>13.992000000000001</v>
      </c>
      <c r="M1076" s="15"/>
      <c r="N1076" s="15"/>
      <c r="O1076" s="15">
        <f>V1076-M1076</f>
        <v>0</v>
      </c>
      <c r="P1076" s="16">
        <f>N1076/L1076</f>
        <v>0</v>
      </c>
      <c r="Q1076" s="14"/>
      <c r="R1076" s="14"/>
      <c r="S1076" s="17"/>
      <c r="T1076" s="15"/>
      <c r="U1076" s="15"/>
      <c r="V1076" s="15"/>
      <c r="W1076" s="14" t="s">
        <v>4227</v>
      </c>
      <c r="X1076" s="14"/>
      <c r="Y1076" s="10">
        <f>AC1076-AB1076</f>
        <v>0</v>
      </c>
      <c r="Z1076" s="18">
        <v>-1</v>
      </c>
      <c r="AA1076" s="18">
        <v>-1</v>
      </c>
      <c r="AB1076" s="18"/>
      <c r="AC1076" s="18"/>
    </row>
    <row r="1077" spans="1:33" hidden="1" x14ac:dyDescent="0.25">
      <c r="A1077" s="10" t="s">
        <v>4381</v>
      </c>
      <c r="B1077" s="11" t="s">
        <v>33</v>
      </c>
      <c r="C1077" s="12" t="s">
        <v>4382</v>
      </c>
      <c r="D1077" s="27"/>
      <c r="E1077" s="14" t="s">
        <v>35</v>
      </c>
      <c r="F1077" s="11" t="str">
        <f>HYPERLINK("https://redirect.sdcdeals.com/redirect?destination=https%3A%2F%2Fwww.amazon.com%2Fdp%2FB0C9ZZ46LN%3Fth%3D1%26psc%3D1%26tag%3Dsdcdeals03-20", "Amazon Link")</f>
        <v>Amazon Link</v>
      </c>
      <c r="G1077" s="11" t="s">
        <v>36</v>
      </c>
      <c r="H1077" s="14" t="s">
        <v>4383</v>
      </c>
      <c r="I1077" s="11" t="str">
        <f>HYPERLINK("https://redirect.sdcdeals.com/redirect?code=763034&amp;mavely=https://mavely.app.link/e/bhESV2wGrGb&amp;destination=https%3A%2F%2Fwww.kohls.com%2Fsearch.jsp%3Fsubmit-search%3Dweb-regular%26search%3D70259841", "Retail Link")</f>
        <v>Retail Link</v>
      </c>
      <c r="J1077" s="14" t="s">
        <v>4347</v>
      </c>
      <c r="K1077" s="13" t="s">
        <v>4384</v>
      </c>
      <c r="L1077" s="15">
        <v>20.847999999999999</v>
      </c>
      <c r="M1077" s="15"/>
      <c r="N1077" s="15"/>
      <c r="O1077" s="15">
        <f>V1077-M1077</f>
        <v>0</v>
      </c>
      <c r="P1077" s="16">
        <f>N1077/L1077</f>
        <v>0</v>
      </c>
      <c r="Q1077" s="14"/>
      <c r="R1077" s="14"/>
      <c r="S1077" s="17">
        <v>1.2610426400000001</v>
      </c>
      <c r="T1077" s="15"/>
      <c r="U1077" s="15"/>
      <c r="V1077" s="15"/>
      <c r="W1077" s="14" t="s">
        <v>131</v>
      </c>
      <c r="X1077" s="14"/>
      <c r="Y1077" s="10">
        <f>AC1077-AB1077</f>
        <v>0</v>
      </c>
      <c r="Z1077" s="18">
        <v>-1</v>
      </c>
      <c r="AA1077" s="18">
        <v>-1</v>
      </c>
      <c r="AB1077" s="18"/>
      <c r="AC1077" s="18"/>
      <c r="AD1077" s="1" t="s">
        <v>4385</v>
      </c>
      <c r="AE1077" s="1" t="s">
        <v>4386</v>
      </c>
      <c r="AG1077" s="4">
        <v>7.24</v>
      </c>
    </row>
    <row r="1078" spans="1:33" ht="30" hidden="1" x14ac:dyDescent="0.25">
      <c r="A1078" s="10" t="s">
        <v>4695</v>
      </c>
      <c r="B1078" s="11" t="s">
        <v>33</v>
      </c>
      <c r="C1078" s="12" t="s">
        <v>4696</v>
      </c>
      <c r="D1078" s="27"/>
      <c r="E1078" s="14" t="s">
        <v>35</v>
      </c>
      <c r="F1078" s="11" t="str">
        <f>HYPERLINK("https://redirect.sdcdeals.com/redirect?destination=https%3A%2F%2Fwww.amazon.com%2Fdp%2FB0CFQ4TSCL%3Fth%3D1%26psc%3D1%26tag%3Dsdcdeals03-20", "Amazon Link")</f>
        <v>Amazon Link</v>
      </c>
      <c r="G1078" s="11" t="s">
        <v>36</v>
      </c>
      <c r="H1078" s="14" t="s">
        <v>4697</v>
      </c>
      <c r="I1078" s="11" t="str">
        <f>HYPERLINK("https://redirect.sdcdeals.com/redirect?code=763034&amp;mavely=https://mavely.app.link/e/bhESV2wGrGb&amp;destination=https%3A%2F%2Fwww.kohls.com%2Fsearch.jsp%3Fsubmit-search%3Dweb-regular%26search%3D28257902", "Retail Link")</f>
        <v>Retail Link</v>
      </c>
      <c r="J1078" s="14" t="s">
        <v>4698</v>
      </c>
      <c r="K1078" s="13" t="s">
        <v>4699</v>
      </c>
      <c r="L1078" s="15">
        <v>54.776000000000003</v>
      </c>
      <c r="M1078" s="15"/>
      <c r="N1078" s="15"/>
      <c r="O1078" s="15">
        <f>V1078-M1078</f>
        <v>0</v>
      </c>
      <c r="P1078" s="16">
        <f>N1078/L1078</f>
        <v>0</v>
      </c>
      <c r="Q1078" s="14"/>
      <c r="R1078" s="14"/>
      <c r="S1078" s="17">
        <v>2.1495044999999999</v>
      </c>
      <c r="T1078" s="15"/>
      <c r="U1078" s="15"/>
      <c r="V1078" s="15"/>
      <c r="W1078" s="14" t="s">
        <v>330</v>
      </c>
      <c r="X1078" s="14"/>
      <c r="Y1078" s="10">
        <f>AC1078-AB1078</f>
        <v>0</v>
      </c>
      <c r="Z1078" s="18">
        <v>-1</v>
      </c>
      <c r="AA1078" s="18">
        <v>-1</v>
      </c>
      <c r="AB1078" s="18"/>
      <c r="AC1078" s="18"/>
      <c r="AD1078" s="1" t="s">
        <v>4700</v>
      </c>
      <c r="AE1078" s="1" t="s">
        <v>4701</v>
      </c>
      <c r="AG1078" s="4">
        <v>6.6</v>
      </c>
    </row>
    <row r="1079" spans="1:33" ht="30" hidden="1" x14ac:dyDescent="0.25">
      <c r="A1079" s="10" t="s">
        <v>4702</v>
      </c>
      <c r="B1079" s="11" t="s">
        <v>33</v>
      </c>
      <c r="C1079" s="12" t="s">
        <v>4703</v>
      </c>
      <c r="D1079" s="27"/>
      <c r="E1079" s="14" t="s">
        <v>35</v>
      </c>
      <c r="F1079" s="11" t="str">
        <f>HYPERLINK("https://redirect.sdcdeals.com/redirect?destination=https%3A%2F%2Fwww.amazon.com%2Fdp%2FB0CFQ6T86D%3Fth%3D1%26psc%3D1%26tag%3Dsdcdeals03-20", "Amazon Link")</f>
        <v>Amazon Link</v>
      </c>
      <c r="G1079" s="11" t="s">
        <v>36</v>
      </c>
      <c r="H1079" s="14" t="s">
        <v>4704</v>
      </c>
      <c r="I1079" s="11" t="str">
        <f>HYPERLINK("https://redirect.sdcdeals.com/redirect?code=763034&amp;mavely=https://mavely.app.link/e/bhESV2wGrGb&amp;destination=https%3A%2F%2Fwww.kohls.com%2Fsearch.jsp%3Fsubmit-search%3Dweb-regular%26search%3D28257888", "Retail Link")</f>
        <v>Retail Link</v>
      </c>
      <c r="J1079" s="14" t="s">
        <v>4698</v>
      </c>
      <c r="K1079" s="13" t="s">
        <v>4705</v>
      </c>
      <c r="L1079" s="15">
        <v>54.776000000000003</v>
      </c>
      <c r="M1079" s="15">
        <v>140.16</v>
      </c>
      <c r="N1079" s="15"/>
      <c r="O1079" s="15">
        <f>V1079-M1079</f>
        <v>32</v>
      </c>
      <c r="P1079" s="16">
        <f>N1079/L1079</f>
        <v>0</v>
      </c>
      <c r="Q1079" s="14"/>
      <c r="R1079" s="14"/>
      <c r="S1079" s="17"/>
      <c r="T1079" s="15">
        <v>140.16</v>
      </c>
      <c r="U1079" s="15">
        <v>172.16</v>
      </c>
      <c r="V1079" s="15">
        <v>172.16</v>
      </c>
      <c r="W1079" s="14" t="s">
        <v>352</v>
      </c>
      <c r="X1079" s="14">
        <v>2</v>
      </c>
      <c r="Y1079" s="10">
        <f>AC1079-AB1079</f>
        <v>0</v>
      </c>
      <c r="Z1079" s="18">
        <v>-1</v>
      </c>
      <c r="AA1079" s="18">
        <v>-1</v>
      </c>
      <c r="AB1079" s="18"/>
      <c r="AC1079" s="18"/>
      <c r="AD1079" s="1" t="s">
        <v>4706</v>
      </c>
      <c r="AE1079" s="1" t="s">
        <v>76</v>
      </c>
    </row>
    <row r="1080" spans="1:33" ht="30" hidden="1" x14ac:dyDescent="0.25">
      <c r="A1080" s="10" t="s">
        <v>4707</v>
      </c>
      <c r="B1080" s="11" t="s">
        <v>33</v>
      </c>
      <c r="C1080" s="12" t="s">
        <v>4708</v>
      </c>
      <c r="D1080" s="27"/>
      <c r="E1080" s="14" t="s">
        <v>35</v>
      </c>
      <c r="F1080" s="11" t="str">
        <f>HYPERLINK("https://redirect.sdcdeals.com/redirect?destination=https%3A%2F%2Fwww.amazon.com%2Fdp%2FB0CFQ352S5%3Fth%3D1%26psc%3D1%26tag%3Dsdcdeals03-20", "Amazon Link")</f>
        <v>Amazon Link</v>
      </c>
      <c r="G1080" s="11" t="s">
        <v>36</v>
      </c>
      <c r="H1080" s="14" t="s">
        <v>4709</v>
      </c>
      <c r="I1080" s="11" t="str">
        <f>HYPERLINK("https://redirect.sdcdeals.com/redirect?code=763034&amp;mavely=https://mavely.app.link/e/bhESV2wGrGb&amp;destination=https%3A%2F%2Fwww.kohls.com%2Fsearch.jsp%3Fsubmit-search%3Dweb-regular%26search%3D28257895", "Retail Link")</f>
        <v>Retail Link</v>
      </c>
      <c r="J1080" s="14" t="s">
        <v>4698</v>
      </c>
      <c r="K1080" s="13" t="s">
        <v>4710</v>
      </c>
      <c r="L1080" s="15">
        <v>54.776000000000003</v>
      </c>
      <c r="M1080" s="15">
        <v>140.16</v>
      </c>
      <c r="N1080" s="15"/>
      <c r="O1080" s="15">
        <f>V1080-M1080</f>
        <v>75.59</v>
      </c>
      <c r="P1080" s="16">
        <f>N1080/L1080</f>
        <v>0</v>
      </c>
      <c r="Q1080" s="14"/>
      <c r="R1080" s="14"/>
      <c r="S1080" s="17"/>
      <c r="T1080" s="15">
        <v>140.16</v>
      </c>
      <c r="U1080" s="15">
        <v>221.44</v>
      </c>
      <c r="V1080" s="15">
        <v>215.75</v>
      </c>
      <c r="W1080" s="14" t="s">
        <v>269</v>
      </c>
      <c r="X1080" s="14">
        <v>2</v>
      </c>
      <c r="Y1080" s="10">
        <f>AC1080-AB1080</f>
        <v>0</v>
      </c>
      <c r="Z1080" s="18">
        <v>-1</v>
      </c>
      <c r="AA1080" s="18">
        <v>-1</v>
      </c>
      <c r="AB1080" s="18"/>
      <c r="AC1080" s="18"/>
      <c r="AD1080" s="1" t="s">
        <v>4711</v>
      </c>
      <c r="AE1080" s="1" t="s">
        <v>4712</v>
      </c>
    </row>
    <row r="1081" spans="1:33" ht="45" x14ac:dyDescent="0.25">
      <c r="A1081" s="10" t="s">
        <v>4782</v>
      </c>
      <c r="B1081" s="11" t="s">
        <v>33</v>
      </c>
      <c r="C1081" s="12" t="s">
        <v>4783</v>
      </c>
      <c r="D1081" s="27"/>
      <c r="E1081" s="14" t="s">
        <v>35</v>
      </c>
      <c r="F1081" s="11" t="str">
        <f>HYPERLINK("https://redirect.sdcdeals.com/redirect?destination=https%3A%2F%2Fwww.amazon.com%2Fdp%2FB0CQD5DBTY%3Fth%3D1%26psc%3D1%26tag%3Dsdcdeals03-20", "Amazon Link")</f>
        <v>Amazon Link</v>
      </c>
      <c r="G1081" s="11" t="s">
        <v>36</v>
      </c>
      <c r="H1081" s="14" t="s">
        <v>4784</v>
      </c>
      <c r="I1081" s="11" t="str">
        <f>HYPERLINK("https://redirect.sdcdeals.com/redirect?code=763034&amp;mavely=https://mavely.app.link/e/bhESV2wGrGb&amp;destination=https%3A%2F%2Fwww.kohls.com%2Fsearch.jsp%3Fsubmit-search%3Dweb-regular%26search%3D46962766", "Retail Link")</f>
        <v>Retail Link</v>
      </c>
      <c r="J1081" s="14" t="s">
        <v>4779</v>
      </c>
      <c r="K1081" s="13" t="s">
        <v>4785</v>
      </c>
      <c r="L1081" s="15">
        <v>8.6639999999999997</v>
      </c>
      <c r="M1081" s="15">
        <v>32.369999999999997</v>
      </c>
      <c r="N1081" s="15"/>
      <c r="O1081" s="15">
        <f>V1081-M1081</f>
        <v>0</v>
      </c>
      <c r="P1081" s="16">
        <f>N1081/L1081</f>
        <v>0</v>
      </c>
      <c r="Q1081" s="14">
        <v>988131</v>
      </c>
      <c r="R1081" s="14"/>
      <c r="S1081" s="17"/>
      <c r="T1081" s="15"/>
      <c r="U1081" s="15"/>
      <c r="V1081" s="15">
        <v>32.369999999999997</v>
      </c>
      <c r="W1081" s="14" t="s">
        <v>639</v>
      </c>
      <c r="X1081" s="14"/>
      <c r="Y1081" s="10">
        <f>AC1081-AB1081</f>
        <v>0</v>
      </c>
      <c r="Z1081" s="18">
        <v>0</v>
      </c>
      <c r="AA1081" s="18">
        <v>0</v>
      </c>
      <c r="AB1081" s="18"/>
      <c r="AC1081" s="18"/>
      <c r="AD1081" s="1" t="s">
        <v>4781</v>
      </c>
      <c r="AE1081" s="1" t="s">
        <v>1705</v>
      </c>
    </row>
    <row r="1082" spans="1:33" ht="45" x14ac:dyDescent="0.25">
      <c r="A1082" s="10" t="s">
        <v>4786</v>
      </c>
      <c r="B1082" s="11" t="s">
        <v>33</v>
      </c>
      <c r="C1082" s="12" t="s">
        <v>4787</v>
      </c>
      <c r="D1082" s="27"/>
      <c r="E1082" s="14" t="s">
        <v>35</v>
      </c>
      <c r="F1082" s="11" t="str">
        <f>HYPERLINK("https://redirect.sdcdeals.com/redirect?destination=https%3A%2F%2Fwww.amazon.com%2Fdp%2FB0CQD663CB%3Fth%3D1%26psc%3D1%26tag%3Dsdcdeals03-20", "Amazon Link")</f>
        <v>Amazon Link</v>
      </c>
      <c r="G1082" s="11" t="s">
        <v>36</v>
      </c>
      <c r="H1082" s="14" t="s">
        <v>4788</v>
      </c>
      <c r="I1082" s="11" t="str">
        <f>HYPERLINK("https://redirect.sdcdeals.com/redirect?code=763034&amp;mavely=https://mavely.app.link/e/bhESV2wGrGb&amp;destination=https%3A%2F%2Fwww.kohls.com%2Fsearch.jsp%3Fsubmit-search%3Dweb-regular%26search%3D46962765", "Retail Link")</f>
        <v>Retail Link</v>
      </c>
      <c r="J1082" s="14" t="s">
        <v>4779</v>
      </c>
      <c r="K1082" s="13" t="s">
        <v>4789</v>
      </c>
      <c r="L1082" s="15">
        <v>8.6639999999999997</v>
      </c>
      <c r="M1082" s="15"/>
      <c r="N1082" s="15"/>
      <c r="O1082" s="15">
        <f>V1082-M1082</f>
        <v>0</v>
      </c>
      <c r="P1082" s="16">
        <f>N1082/L1082</f>
        <v>0</v>
      </c>
      <c r="Q1082" s="14">
        <v>988131</v>
      </c>
      <c r="R1082" s="14"/>
      <c r="S1082" s="17"/>
      <c r="T1082" s="15"/>
      <c r="U1082" s="15"/>
      <c r="V1082" s="15"/>
      <c r="W1082" s="14" t="s">
        <v>2376</v>
      </c>
      <c r="X1082" s="14"/>
      <c r="Y1082" s="10">
        <f>AC1082-AB1082</f>
        <v>0</v>
      </c>
      <c r="Z1082" s="18">
        <v>0</v>
      </c>
      <c r="AA1082" s="18">
        <v>0</v>
      </c>
      <c r="AB1082" s="18"/>
      <c r="AC1082" s="18"/>
      <c r="AD1082" s="1" t="s">
        <v>4781</v>
      </c>
      <c r="AE1082" s="1" t="s">
        <v>1705</v>
      </c>
    </row>
    <row r="1083" spans="1:33" ht="45" x14ac:dyDescent="0.25">
      <c r="A1083" s="10" t="s">
        <v>4790</v>
      </c>
      <c r="B1083" s="11" t="s">
        <v>33</v>
      </c>
      <c r="C1083" s="12" t="s">
        <v>4791</v>
      </c>
      <c r="D1083" s="27"/>
      <c r="E1083" s="14" t="s">
        <v>35</v>
      </c>
      <c r="F1083" s="11" t="str">
        <f>HYPERLINK("https://redirect.sdcdeals.com/redirect?destination=https%3A%2F%2Fwww.amazon.com%2Fdp%2FB0CQD4GPCJ%3Fth%3D1%26psc%3D1%26tag%3Dsdcdeals03-20", "Amazon Link")</f>
        <v>Amazon Link</v>
      </c>
      <c r="G1083" s="11" t="s">
        <v>36</v>
      </c>
      <c r="H1083" s="14" t="s">
        <v>4792</v>
      </c>
      <c r="I1083" s="11" t="str">
        <f>HYPERLINK("https://redirect.sdcdeals.com/redirect?code=763034&amp;mavely=https://mavely.app.link/e/bhESV2wGrGb&amp;destination=https%3A%2F%2Fwww.kohls.com%2Fsearch.jsp%3Fsubmit-search%3Dweb-regular%26search%3D46962767", "Retail Link")</f>
        <v>Retail Link</v>
      </c>
      <c r="J1083" s="14" t="s">
        <v>4779</v>
      </c>
      <c r="K1083" s="13" t="s">
        <v>4793</v>
      </c>
      <c r="L1083" s="15">
        <v>8.6639999999999997</v>
      </c>
      <c r="M1083" s="15"/>
      <c r="N1083" s="15"/>
      <c r="O1083" s="15">
        <f>V1083-M1083</f>
        <v>0</v>
      </c>
      <c r="P1083" s="16">
        <f>N1083/L1083</f>
        <v>0</v>
      </c>
      <c r="Q1083" s="14">
        <v>988131</v>
      </c>
      <c r="R1083" s="14"/>
      <c r="S1083" s="17"/>
      <c r="T1083" s="15"/>
      <c r="U1083" s="15"/>
      <c r="V1083" s="15"/>
      <c r="W1083" s="14" t="s">
        <v>4794</v>
      </c>
      <c r="X1083" s="14"/>
      <c r="Y1083" s="10">
        <f>AC1083-AB1083</f>
        <v>0</v>
      </c>
      <c r="Z1083" s="18">
        <v>0</v>
      </c>
      <c r="AA1083" s="18">
        <v>0</v>
      </c>
      <c r="AB1083" s="18"/>
      <c r="AC1083" s="18"/>
      <c r="AD1083" s="1" t="s">
        <v>4781</v>
      </c>
      <c r="AE1083" s="1" t="s">
        <v>1705</v>
      </c>
    </row>
    <row r="1084" spans="1:33" ht="45" x14ac:dyDescent="0.25">
      <c r="A1084" s="10" t="s">
        <v>4795</v>
      </c>
      <c r="B1084" s="11" t="s">
        <v>33</v>
      </c>
      <c r="C1084" s="12" t="s">
        <v>4796</v>
      </c>
      <c r="D1084" s="27"/>
      <c r="E1084" s="14" t="s">
        <v>35</v>
      </c>
      <c r="F1084" s="11" t="str">
        <f>HYPERLINK("https://redirect.sdcdeals.com/redirect?destination=https%3A%2F%2Fwww.amazon.com%2Fdp%2FB0CQD5TXQR%3Fth%3D1%26psc%3D1%26tag%3Dsdcdeals03-20", "Amazon Link")</f>
        <v>Amazon Link</v>
      </c>
      <c r="G1084" s="11" t="s">
        <v>36</v>
      </c>
      <c r="H1084" s="14" t="s">
        <v>4797</v>
      </c>
      <c r="I1084" s="11" t="str">
        <f>HYPERLINK("https://redirect.sdcdeals.com/redirect?code=763034&amp;mavely=https://mavely.app.link/e/bhESV2wGrGb&amp;destination=https%3A%2F%2Fwww.kohls.com%2Fsearch.jsp%3Fsubmit-search%3Dweb-regular%26search%3D46962768", "Retail Link")</f>
        <v>Retail Link</v>
      </c>
      <c r="J1084" s="14" t="s">
        <v>4779</v>
      </c>
      <c r="K1084" s="13" t="s">
        <v>4798</v>
      </c>
      <c r="L1084" s="15">
        <v>8.6639999999999997</v>
      </c>
      <c r="M1084" s="15">
        <v>18.149999999999999</v>
      </c>
      <c r="N1084" s="15"/>
      <c r="O1084" s="15">
        <f>V1084-M1084</f>
        <v>5.620000000000001</v>
      </c>
      <c r="P1084" s="16">
        <f>N1084/L1084</f>
        <v>0</v>
      </c>
      <c r="Q1084" s="14">
        <v>988131</v>
      </c>
      <c r="R1084" s="14"/>
      <c r="S1084" s="17"/>
      <c r="T1084" s="15"/>
      <c r="U1084" s="15">
        <v>18.149999999999999</v>
      </c>
      <c r="V1084" s="15">
        <v>23.77</v>
      </c>
      <c r="W1084" s="14" t="s">
        <v>4799</v>
      </c>
      <c r="X1084" s="14">
        <v>1</v>
      </c>
      <c r="Y1084" s="10">
        <f>AC1084-AB1084</f>
        <v>0</v>
      </c>
      <c r="Z1084" s="18">
        <v>0</v>
      </c>
      <c r="AA1084" s="18">
        <v>0</v>
      </c>
      <c r="AB1084" s="18"/>
      <c r="AC1084" s="18"/>
      <c r="AD1084" s="1" t="s">
        <v>4781</v>
      </c>
      <c r="AE1084" s="1" t="s">
        <v>1705</v>
      </c>
    </row>
    <row r="1085" spans="1:33" ht="45" x14ac:dyDescent="0.25">
      <c r="A1085" s="10" t="s">
        <v>4800</v>
      </c>
      <c r="B1085" s="11" t="s">
        <v>33</v>
      </c>
      <c r="C1085" s="12" t="s">
        <v>4801</v>
      </c>
      <c r="D1085" s="27"/>
      <c r="E1085" s="14" t="s">
        <v>35</v>
      </c>
      <c r="F1085" s="11" t="str">
        <f>HYPERLINK("https://redirect.sdcdeals.com/redirect?destination=https%3A%2F%2Fwww.amazon.com%2Fdp%2FB0CQD55T4H%3Fth%3D1%26psc%3D1%26tag%3Dsdcdeals03-20", "Amazon Link")</f>
        <v>Amazon Link</v>
      </c>
      <c r="G1085" s="11" t="s">
        <v>36</v>
      </c>
      <c r="H1085" s="14" t="s">
        <v>4802</v>
      </c>
      <c r="I1085" s="11" t="str">
        <f>HYPERLINK("https://redirect.sdcdeals.com/redirect?code=763034&amp;mavely=https://mavely.app.link/e/bhESV2wGrGb&amp;destination=https%3A%2F%2Fwww.kohls.com%2Fsearch.jsp%3Fsubmit-search%3Dweb-regular%26search%3D46962769", "Retail Link")</f>
        <v>Retail Link</v>
      </c>
      <c r="J1085" s="14" t="s">
        <v>4779</v>
      </c>
      <c r="K1085" s="13" t="s">
        <v>4803</v>
      </c>
      <c r="L1085" s="15">
        <v>8.6639999999999997</v>
      </c>
      <c r="M1085" s="15">
        <v>25.48</v>
      </c>
      <c r="N1085" s="15"/>
      <c r="O1085" s="15">
        <f>V1085-M1085</f>
        <v>1.1900000000000013</v>
      </c>
      <c r="P1085" s="16">
        <f>N1085/L1085</f>
        <v>0</v>
      </c>
      <c r="Q1085" s="14">
        <v>988131</v>
      </c>
      <c r="R1085" s="14"/>
      <c r="S1085" s="17"/>
      <c r="T1085" s="15">
        <v>25.48</v>
      </c>
      <c r="U1085" s="15">
        <v>25.44</v>
      </c>
      <c r="V1085" s="15">
        <v>26.67</v>
      </c>
      <c r="W1085" s="14" t="s">
        <v>4804</v>
      </c>
      <c r="X1085" s="14">
        <v>1</v>
      </c>
      <c r="Y1085" s="10">
        <f>AC1085-AB1085</f>
        <v>0</v>
      </c>
      <c r="Z1085" s="18">
        <v>2</v>
      </c>
      <c r="AA1085" s="18">
        <v>2</v>
      </c>
      <c r="AB1085" s="18"/>
      <c r="AC1085" s="18"/>
      <c r="AD1085" s="1" t="s">
        <v>4781</v>
      </c>
      <c r="AE1085" s="1" t="s">
        <v>1705</v>
      </c>
    </row>
    <row r="1086" spans="1:33" ht="45" x14ac:dyDescent="0.25">
      <c r="A1086" s="10" t="s">
        <v>4805</v>
      </c>
      <c r="B1086" s="11" t="s">
        <v>33</v>
      </c>
      <c r="C1086" s="12" t="s">
        <v>4806</v>
      </c>
      <c r="D1086" s="27"/>
      <c r="E1086" s="14" t="s">
        <v>35</v>
      </c>
      <c r="F1086" s="11" t="str">
        <f>HYPERLINK("https://redirect.sdcdeals.com/redirect?destination=https%3A%2F%2Fwww.amazon.com%2Fdp%2FB0CQD4THKJ%3Fth%3D1%26psc%3D1%26tag%3Dsdcdeals03-20", "Amazon Link")</f>
        <v>Amazon Link</v>
      </c>
      <c r="G1086" s="11" t="s">
        <v>36</v>
      </c>
      <c r="H1086" s="14" t="s">
        <v>4807</v>
      </c>
      <c r="I1086" s="11" t="str">
        <f>HYPERLINK("https://redirect.sdcdeals.com/redirect?code=763034&amp;mavely=https://mavely.app.link/e/bhESV2wGrGb&amp;destination=https%3A%2F%2Fwww.kohls.com%2Fsearch.jsp%3Fsubmit-search%3Dweb-regular%26search%3D46962770", "Retail Link")</f>
        <v>Retail Link</v>
      </c>
      <c r="J1086" s="14" t="s">
        <v>4779</v>
      </c>
      <c r="K1086" s="13" t="s">
        <v>4808</v>
      </c>
      <c r="L1086" s="15">
        <v>8.6639999999999997</v>
      </c>
      <c r="M1086" s="15">
        <v>25.48</v>
      </c>
      <c r="N1086" s="15"/>
      <c r="O1086" s="15">
        <f>V1086-M1086</f>
        <v>-1.0000000000001563E-2</v>
      </c>
      <c r="P1086" s="16">
        <f>N1086/L1086</f>
        <v>0</v>
      </c>
      <c r="Q1086" s="14">
        <v>988131</v>
      </c>
      <c r="R1086" s="14"/>
      <c r="S1086" s="17"/>
      <c r="T1086" s="15">
        <v>25.48</v>
      </c>
      <c r="U1086" s="15">
        <v>25.47</v>
      </c>
      <c r="V1086" s="15">
        <v>25.47</v>
      </c>
      <c r="W1086" s="14" t="s">
        <v>639</v>
      </c>
      <c r="X1086" s="14">
        <v>1</v>
      </c>
      <c r="Y1086" s="10">
        <f>AC1086-AB1086</f>
        <v>0</v>
      </c>
      <c r="Z1086" s="18">
        <v>1</v>
      </c>
      <c r="AA1086" s="18">
        <v>1</v>
      </c>
      <c r="AB1086" s="18"/>
      <c r="AC1086" s="18"/>
      <c r="AD1086" s="1" t="s">
        <v>4781</v>
      </c>
      <c r="AE1086" s="1" t="s">
        <v>1705</v>
      </c>
    </row>
    <row r="1087" spans="1:33" x14ac:dyDescent="0.25">
      <c r="A1087" s="10" t="s">
        <v>4809</v>
      </c>
      <c r="B1087" s="11" t="s">
        <v>33</v>
      </c>
      <c r="C1087" s="12" t="s">
        <v>4810</v>
      </c>
      <c r="D1087" s="27"/>
      <c r="E1087" s="14" t="s">
        <v>35</v>
      </c>
      <c r="F1087" s="11" t="str">
        <f>HYPERLINK("https://redirect.sdcdeals.com/redirect?destination=https%3A%2F%2Fwww.amazon.com%2Fdp%2FB0CT83TLW9%3Fth%3D1%26psc%3D1%26tag%3Dsdcdeals03-20", "Amazon Link")</f>
        <v>Amazon Link</v>
      </c>
      <c r="G1087" s="11" t="s">
        <v>36</v>
      </c>
      <c r="H1087" s="14" t="s">
        <v>4811</v>
      </c>
      <c r="I1087" s="11" t="str">
        <f>HYPERLINK("https://redirect.sdcdeals.com/redirect?code=763034&amp;mavely=https://mavely.app.link/e/bhESV2wGrGb&amp;destination=https%3A%2F%2Fwww.kohls.com%2Fsearch.jsp%3Fsubmit-search%3Dweb-regular%26search%3D79144594", "Retail Link")</f>
        <v>Retail Link</v>
      </c>
      <c r="J1087" s="14" t="s">
        <v>4812</v>
      </c>
      <c r="K1087" s="13" t="s">
        <v>4813</v>
      </c>
      <c r="L1087" s="15">
        <v>17.591999999999999</v>
      </c>
      <c r="M1087" s="15">
        <v>54.73</v>
      </c>
      <c r="N1087" s="15"/>
      <c r="O1087" s="15">
        <f>V1087-M1087</f>
        <v>0</v>
      </c>
      <c r="P1087" s="16">
        <f>N1087/L1087</f>
        <v>0</v>
      </c>
      <c r="Q1087" s="14">
        <v>302763</v>
      </c>
      <c r="R1087" s="14"/>
      <c r="S1087" s="17"/>
      <c r="T1087" s="15">
        <v>54.73</v>
      </c>
      <c r="U1087" s="15">
        <v>54.73</v>
      </c>
      <c r="V1087" s="15">
        <v>54.73</v>
      </c>
      <c r="W1087" s="14" t="s">
        <v>106</v>
      </c>
      <c r="X1087" s="14">
        <v>2</v>
      </c>
      <c r="Y1087" s="10">
        <f>AC1087-AB1087</f>
        <v>75</v>
      </c>
      <c r="Z1087" s="18">
        <v>4</v>
      </c>
      <c r="AA1087" s="18">
        <v>4</v>
      </c>
      <c r="AB1087" s="18">
        <v>0</v>
      </c>
      <c r="AC1087" s="18">
        <v>75</v>
      </c>
      <c r="AE1087" s="1" t="s">
        <v>4814</v>
      </c>
    </row>
    <row r="1088" spans="1:33" ht="30" x14ac:dyDescent="0.25">
      <c r="A1088" s="10" t="s">
        <v>4890</v>
      </c>
      <c r="B1088" s="11" t="s">
        <v>33</v>
      </c>
      <c r="C1088" s="12" t="s">
        <v>4891</v>
      </c>
      <c r="D1088" s="27"/>
      <c r="E1088" s="14" t="s">
        <v>35</v>
      </c>
      <c r="F1088" s="11" t="str">
        <f>HYPERLINK("https://redirect.sdcdeals.com/redirect?destination=https%3A%2F%2Fwww.amazon.com%2Fdp%2FB0CFQ2K88H%3Fth%3D1%26psc%3D1%26tag%3Dsdcdeals03-20", "Amazon Link")</f>
        <v>Amazon Link</v>
      </c>
      <c r="G1088" s="11" t="s">
        <v>36</v>
      </c>
      <c r="H1088" s="14" t="s">
        <v>4892</v>
      </c>
      <c r="I1088" s="11" t="str">
        <f>HYPERLINK("https://redirect.sdcdeals.com/redirect?code=763034&amp;mavely=https://mavely.app.link/e/bhESV2wGrGb&amp;destination=https%3A%2F%2Fwww.kohls.com%2Fsearch.jsp%3Fsubmit-search%3Dweb-regular%26search%3D19710897", "Retail Link")</f>
        <v>Retail Link</v>
      </c>
      <c r="J1088" s="14" t="s">
        <v>4893</v>
      </c>
      <c r="K1088" s="13" t="s">
        <v>4894</v>
      </c>
      <c r="L1088" s="15">
        <v>13</v>
      </c>
      <c r="M1088" s="15">
        <v>30.81</v>
      </c>
      <c r="N1088" s="15"/>
      <c r="O1088" s="15">
        <f>V1088-M1088</f>
        <v>9.1500000000000021</v>
      </c>
      <c r="P1088" s="16">
        <f>N1088/L1088</f>
        <v>0</v>
      </c>
      <c r="Q1088" s="14">
        <v>1353219</v>
      </c>
      <c r="R1088" s="14"/>
      <c r="S1088" s="17"/>
      <c r="T1088" s="15">
        <v>30.81</v>
      </c>
      <c r="U1088" s="15">
        <v>39</v>
      </c>
      <c r="V1088" s="15">
        <v>39.96</v>
      </c>
      <c r="W1088" s="14" t="s">
        <v>576</v>
      </c>
      <c r="X1088" s="14">
        <v>2</v>
      </c>
      <c r="Y1088" s="10">
        <f>AC1088-AB1088</f>
        <v>11</v>
      </c>
      <c r="Z1088" s="18">
        <v>3</v>
      </c>
      <c r="AA1088" s="18">
        <v>10</v>
      </c>
      <c r="AB1088" s="18">
        <v>0</v>
      </c>
      <c r="AC1088" s="18">
        <v>11</v>
      </c>
      <c r="AD1088" s="1" t="s">
        <v>4895</v>
      </c>
      <c r="AE1088" s="1" t="s">
        <v>4896</v>
      </c>
    </row>
    <row r="1089" spans="1:33" ht="30" x14ac:dyDescent="0.25">
      <c r="A1089" s="10" t="s">
        <v>4897</v>
      </c>
      <c r="B1089" s="11" t="s">
        <v>33</v>
      </c>
      <c r="C1089" s="12" t="s">
        <v>4898</v>
      </c>
      <c r="D1089" s="27"/>
      <c r="E1089" s="14" t="s">
        <v>35</v>
      </c>
      <c r="F1089" s="11" t="str">
        <f>HYPERLINK("https://redirect.sdcdeals.com/redirect?destination=https%3A%2F%2Fwww.amazon.com%2Fdp%2FB0CFQ415G2%3Fth%3D1%26psc%3D1%26tag%3Dsdcdeals03-20", "Amazon Link")</f>
        <v>Amazon Link</v>
      </c>
      <c r="G1089" s="11" t="s">
        <v>36</v>
      </c>
      <c r="H1089" s="14" t="s">
        <v>4899</v>
      </c>
      <c r="I1089" s="11" t="str">
        <f>HYPERLINK("https://redirect.sdcdeals.com/redirect?code=763034&amp;mavely=https://mavely.app.link/e/bhESV2wGrGb&amp;destination=https%3A%2F%2Fwww.kohls.com%2Fsearch.jsp%3Fsubmit-search%3Dweb-regular%26search%3D19710907", "Retail Link")</f>
        <v>Retail Link</v>
      </c>
      <c r="J1089" s="14" t="s">
        <v>4893</v>
      </c>
      <c r="K1089" s="13" t="s">
        <v>4900</v>
      </c>
      <c r="L1089" s="15">
        <v>13</v>
      </c>
      <c r="M1089" s="15">
        <v>30.81</v>
      </c>
      <c r="N1089" s="15"/>
      <c r="O1089" s="15">
        <f>V1089-M1089</f>
        <v>15.710000000000004</v>
      </c>
      <c r="P1089" s="16">
        <f>N1089/L1089</f>
        <v>0</v>
      </c>
      <c r="Q1089" s="14">
        <v>1323131</v>
      </c>
      <c r="R1089" s="14"/>
      <c r="S1089" s="17"/>
      <c r="T1089" s="15">
        <v>30.81</v>
      </c>
      <c r="U1089" s="15">
        <v>39</v>
      </c>
      <c r="V1089" s="15">
        <v>46.52</v>
      </c>
      <c r="W1089" s="14" t="s">
        <v>131</v>
      </c>
      <c r="X1089" s="14">
        <v>2</v>
      </c>
      <c r="Y1089" s="10">
        <f>AC1089-AB1089</f>
        <v>0</v>
      </c>
      <c r="Z1089" s="18">
        <v>4</v>
      </c>
      <c r="AA1089" s="18">
        <v>10</v>
      </c>
      <c r="AB1089" s="18">
        <v>0</v>
      </c>
      <c r="AC1089" s="18"/>
      <c r="AD1089" s="1" t="s">
        <v>4901</v>
      </c>
      <c r="AE1089" s="1" t="s">
        <v>4701</v>
      </c>
    </row>
    <row r="1090" spans="1:33" ht="30" x14ac:dyDescent="0.25">
      <c r="A1090" s="10" t="s">
        <v>4908</v>
      </c>
      <c r="B1090" s="11" t="s">
        <v>33</v>
      </c>
      <c r="C1090" s="12" t="s">
        <v>4909</v>
      </c>
      <c r="D1090" s="27"/>
      <c r="E1090" s="14" t="s">
        <v>35</v>
      </c>
      <c r="F1090" s="11" t="str">
        <f>HYPERLINK("https://redirect.sdcdeals.com/redirect?destination=https%3A%2F%2Fwww.amazon.com%2Fdp%2FB0CFQ3KM2W%3Fth%3D1%26psc%3D1%26tag%3Dsdcdeals03-20", "Amazon Link")</f>
        <v>Amazon Link</v>
      </c>
      <c r="G1090" s="11" t="s">
        <v>36</v>
      </c>
      <c r="H1090" s="14" t="s">
        <v>4910</v>
      </c>
      <c r="I1090" s="11" t="str">
        <f>HYPERLINK("https://redirect.sdcdeals.com/redirect?code=763034&amp;mavely=https://mavely.app.link/e/bhESV2wGrGb&amp;destination=https%3A%2F%2Fwww.kohls.com%2Fsearch.jsp%3Fsubmit-search%3Dweb-regular%26search%3D19702639", "Retail Link")</f>
        <v>Retail Link</v>
      </c>
      <c r="J1090" s="14" t="s">
        <v>4893</v>
      </c>
      <c r="K1090" s="13" t="s">
        <v>4911</v>
      </c>
      <c r="L1090" s="15">
        <v>13</v>
      </c>
      <c r="M1090" s="15">
        <v>30.81</v>
      </c>
      <c r="N1090" s="15"/>
      <c r="O1090" s="15">
        <f>V1090-M1090</f>
        <v>8.610000000000003</v>
      </c>
      <c r="P1090" s="16">
        <f>N1090/L1090</f>
        <v>0</v>
      </c>
      <c r="Q1090" s="14">
        <v>1353219</v>
      </c>
      <c r="R1090" s="14"/>
      <c r="S1090" s="17"/>
      <c r="T1090" s="15">
        <v>30.81</v>
      </c>
      <c r="U1090" s="15">
        <v>39.85</v>
      </c>
      <c r="V1090" s="15">
        <v>39.42</v>
      </c>
      <c r="W1090" s="14" t="s">
        <v>282</v>
      </c>
      <c r="X1090" s="14">
        <v>1</v>
      </c>
      <c r="Y1090" s="10">
        <f>AC1090-AB1090</f>
        <v>11</v>
      </c>
      <c r="Z1090" s="18">
        <v>3</v>
      </c>
      <c r="AA1090" s="18">
        <v>12</v>
      </c>
      <c r="AB1090" s="18">
        <v>0</v>
      </c>
      <c r="AC1090" s="18">
        <v>11</v>
      </c>
      <c r="AD1090" s="1" t="s">
        <v>4912</v>
      </c>
      <c r="AE1090" s="1" t="s">
        <v>4913</v>
      </c>
    </row>
    <row r="1091" spans="1:33" ht="30" x14ac:dyDescent="0.25">
      <c r="A1091" s="10" t="s">
        <v>4914</v>
      </c>
      <c r="B1091" s="11" t="s">
        <v>33</v>
      </c>
      <c r="C1091" s="12" t="s">
        <v>4915</v>
      </c>
      <c r="D1091" s="27"/>
      <c r="E1091" s="14" t="s">
        <v>35</v>
      </c>
      <c r="F1091" s="11" t="str">
        <f>HYPERLINK("https://redirect.sdcdeals.com/redirect?destination=https%3A%2F%2Fwww.amazon.com%2Fdp%2FB0CFQ1ZFTJ%3Fth%3D1%26psc%3D1%26tag%3Dsdcdeals03-20", "Amazon Link")</f>
        <v>Amazon Link</v>
      </c>
      <c r="G1091" s="11" t="s">
        <v>36</v>
      </c>
      <c r="H1091" s="14" t="s">
        <v>4916</v>
      </c>
      <c r="I1091" s="11" t="str">
        <f>HYPERLINK("https://redirect.sdcdeals.com/redirect?code=763034&amp;mavely=https://mavely.app.link/e/bhESV2wGrGb&amp;destination=https%3A%2F%2Fwww.kohls.com%2Fsearch.jsp%3Fsubmit-search%3Dweb-regular%26search%3D19710912", "Retail Link")</f>
        <v>Retail Link</v>
      </c>
      <c r="J1091" s="14" t="s">
        <v>4893</v>
      </c>
      <c r="K1091" s="13" t="s">
        <v>4917</v>
      </c>
      <c r="L1091" s="15">
        <v>13</v>
      </c>
      <c r="M1091" s="15">
        <v>30.81</v>
      </c>
      <c r="N1091" s="15"/>
      <c r="O1091" s="15">
        <f>V1091-M1091</f>
        <v>9.629999999999999</v>
      </c>
      <c r="P1091" s="16">
        <f>N1091/L1091</f>
        <v>0</v>
      </c>
      <c r="Q1091" s="14">
        <v>1346563</v>
      </c>
      <c r="R1091" s="14"/>
      <c r="S1091" s="17"/>
      <c r="T1091" s="15">
        <v>30.81</v>
      </c>
      <c r="U1091" s="15">
        <v>39</v>
      </c>
      <c r="V1091" s="15">
        <v>40.44</v>
      </c>
      <c r="W1091" s="14" t="s">
        <v>576</v>
      </c>
      <c r="X1091" s="14">
        <v>1</v>
      </c>
      <c r="Y1091" s="10">
        <f>AC1091-AB1091</f>
        <v>11</v>
      </c>
      <c r="Z1091" s="18">
        <v>3</v>
      </c>
      <c r="AA1091" s="18">
        <v>9</v>
      </c>
      <c r="AB1091" s="18">
        <v>0</v>
      </c>
      <c r="AC1091" s="18">
        <v>11</v>
      </c>
      <c r="AD1091" s="1" t="s">
        <v>4918</v>
      </c>
      <c r="AE1091" s="1" t="s">
        <v>4919</v>
      </c>
    </row>
    <row r="1092" spans="1:33" ht="30" x14ac:dyDescent="0.25">
      <c r="A1092" s="10" t="s">
        <v>4920</v>
      </c>
      <c r="B1092" s="11" t="s">
        <v>33</v>
      </c>
      <c r="C1092" s="12" t="s">
        <v>4921</v>
      </c>
      <c r="D1092" s="27"/>
      <c r="E1092" s="14" t="s">
        <v>35</v>
      </c>
      <c r="F1092" s="11" t="str">
        <f>HYPERLINK("https://redirect.sdcdeals.com/redirect?destination=https%3A%2F%2Fwww.amazon.com%2Fdp%2FB0CFQ3G1ZR%3Fth%3D1%26psc%3D1%26tag%3Dsdcdeals03-20", "Amazon Link")</f>
        <v>Amazon Link</v>
      </c>
      <c r="G1092" s="11" t="s">
        <v>36</v>
      </c>
      <c r="H1092" s="14" t="s">
        <v>4922</v>
      </c>
      <c r="I1092" s="11" t="str">
        <f>HYPERLINK("https://redirect.sdcdeals.com/redirect?code=763034&amp;mavely=https://mavely.app.link/e/bhESV2wGrGb&amp;destination=https%3A%2F%2Fwww.kohls.com%2Fsearch.jsp%3Fsubmit-search%3Dweb-regular%26search%3D19710898", "Retail Link")</f>
        <v>Retail Link</v>
      </c>
      <c r="J1092" s="14" t="s">
        <v>4893</v>
      </c>
      <c r="K1092" s="13" t="s">
        <v>4923</v>
      </c>
      <c r="L1092" s="15">
        <v>13</v>
      </c>
      <c r="M1092" s="15">
        <v>38.799999999999997</v>
      </c>
      <c r="N1092" s="15"/>
      <c r="O1092" s="15">
        <f>V1092-M1092</f>
        <v>16.190000000000005</v>
      </c>
      <c r="P1092" s="16">
        <f>N1092/L1092</f>
        <v>0</v>
      </c>
      <c r="Q1092" s="14">
        <v>1355059</v>
      </c>
      <c r="R1092" s="14"/>
      <c r="S1092" s="17"/>
      <c r="T1092" s="15">
        <v>30.81</v>
      </c>
      <c r="U1092" s="15">
        <v>58.51</v>
      </c>
      <c r="V1092" s="15">
        <v>54.99</v>
      </c>
      <c r="W1092" s="14" t="s">
        <v>4924</v>
      </c>
      <c r="X1092" s="14">
        <v>3</v>
      </c>
      <c r="Y1092" s="10">
        <f>AC1092-AB1092</f>
        <v>11</v>
      </c>
      <c r="Z1092" s="18">
        <v>2</v>
      </c>
      <c r="AA1092" s="18">
        <v>14</v>
      </c>
      <c r="AB1092" s="18">
        <v>0</v>
      </c>
      <c r="AC1092" s="18">
        <v>11</v>
      </c>
      <c r="AD1092" s="1" t="s">
        <v>4925</v>
      </c>
      <c r="AE1092" s="1" t="s">
        <v>4896</v>
      </c>
    </row>
    <row r="1093" spans="1:33" ht="30" x14ac:dyDescent="0.25">
      <c r="A1093" s="10" t="s">
        <v>4941</v>
      </c>
      <c r="B1093" s="11" t="s">
        <v>33</v>
      </c>
      <c r="C1093" s="12" t="s">
        <v>4942</v>
      </c>
      <c r="D1093" s="27"/>
      <c r="E1093" s="14" t="s">
        <v>35</v>
      </c>
      <c r="F1093" s="11" t="str">
        <f>HYPERLINK("https://redirect.sdcdeals.com/redirect?destination=https%3A%2F%2Fwww.amazon.com%2Fdp%2FB0CFQ2JDZX%3Fth%3D1%26psc%3D1%26tag%3Dsdcdeals03-20", "Amazon Link")</f>
        <v>Amazon Link</v>
      </c>
      <c r="G1093" s="11" t="s">
        <v>36</v>
      </c>
      <c r="H1093" s="14" t="s">
        <v>4943</v>
      </c>
      <c r="I1093" s="11" t="str">
        <f>HYPERLINK("https://redirect.sdcdeals.com/redirect?code=763034&amp;mavely=https://mavely.app.link/e/bhESV2wGrGb&amp;destination=https%3A%2F%2Fwww.kohls.com%2Fsearch.jsp%3Fsubmit-search%3Dweb-regular%26search%3D19702644", "Retail Link")</f>
        <v>Retail Link</v>
      </c>
      <c r="J1093" s="14" t="s">
        <v>4893</v>
      </c>
      <c r="K1093" s="13" t="s">
        <v>4944</v>
      </c>
      <c r="L1093" s="15">
        <v>13</v>
      </c>
      <c r="M1093" s="15">
        <v>30.81</v>
      </c>
      <c r="N1093" s="15"/>
      <c r="O1093" s="15">
        <f>V1093-M1093</f>
        <v>8.8499999999999979</v>
      </c>
      <c r="P1093" s="16">
        <f>N1093/L1093</f>
        <v>0</v>
      </c>
      <c r="Q1093" s="14">
        <v>1353219</v>
      </c>
      <c r="R1093" s="14"/>
      <c r="S1093" s="17"/>
      <c r="T1093" s="15">
        <v>30.81</v>
      </c>
      <c r="U1093" s="15">
        <v>39</v>
      </c>
      <c r="V1093" s="15">
        <v>39.659999999999997</v>
      </c>
      <c r="W1093" s="14" t="s">
        <v>113</v>
      </c>
      <c r="X1093" s="14">
        <v>2</v>
      </c>
      <c r="Y1093" s="10">
        <f>AC1093-AB1093</f>
        <v>11</v>
      </c>
      <c r="Z1093" s="18">
        <v>3</v>
      </c>
      <c r="AA1093" s="18">
        <v>14</v>
      </c>
      <c r="AB1093" s="18">
        <v>0</v>
      </c>
      <c r="AC1093" s="18">
        <v>11</v>
      </c>
      <c r="AD1093" s="1" t="s">
        <v>4945</v>
      </c>
      <c r="AE1093" s="1" t="s">
        <v>4913</v>
      </c>
    </row>
    <row r="1094" spans="1:33" ht="30" x14ac:dyDescent="0.25">
      <c r="A1094" s="10" t="s">
        <v>4946</v>
      </c>
      <c r="B1094" s="11" t="s">
        <v>33</v>
      </c>
      <c r="C1094" s="12" t="s">
        <v>4947</v>
      </c>
      <c r="D1094" s="27"/>
      <c r="E1094" s="14" t="s">
        <v>35</v>
      </c>
      <c r="F1094" s="11" t="str">
        <f>HYPERLINK("https://redirect.sdcdeals.com/redirect?destination=https%3A%2F%2Fwww.amazon.com%2Fdp%2FB0CFQ2WKCF%3Fth%3D1%26psc%3D1%26tag%3Dsdcdeals03-20", "Amazon Link")</f>
        <v>Amazon Link</v>
      </c>
      <c r="G1094" s="11" t="s">
        <v>36</v>
      </c>
      <c r="H1094" s="14" t="s">
        <v>4948</v>
      </c>
      <c r="I1094" s="11" t="str">
        <f>HYPERLINK("https://redirect.sdcdeals.com/redirect?code=763034&amp;mavely=https://mavely.app.link/e/bhESV2wGrGb&amp;destination=https%3A%2F%2Fwww.kohls.com%2Fsearch.jsp%3Fsubmit-search%3Dweb-regular%26search%3D19702645", "Retail Link")</f>
        <v>Retail Link</v>
      </c>
      <c r="J1094" s="14" t="s">
        <v>4893</v>
      </c>
      <c r="K1094" s="13" t="s">
        <v>4949</v>
      </c>
      <c r="L1094" s="15">
        <v>13</v>
      </c>
      <c r="M1094" s="15">
        <v>30.81</v>
      </c>
      <c r="N1094" s="15"/>
      <c r="O1094" s="15">
        <f>V1094-M1094</f>
        <v>8.1900000000000013</v>
      </c>
      <c r="P1094" s="16">
        <f>N1094/L1094</f>
        <v>0</v>
      </c>
      <c r="Q1094" s="14">
        <v>1355059</v>
      </c>
      <c r="R1094" s="14"/>
      <c r="S1094" s="17"/>
      <c r="T1094" s="15">
        <v>30.81</v>
      </c>
      <c r="U1094" s="15">
        <v>39</v>
      </c>
      <c r="V1094" s="15">
        <v>39</v>
      </c>
      <c r="W1094" s="14" t="s">
        <v>385</v>
      </c>
      <c r="X1094" s="14">
        <v>2</v>
      </c>
      <c r="Y1094" s="10">
        <f>AC1094-AB1094</f>
        <v>10</v>
      </c>
      <c r="Z1094" s="18">
        <v>3</v>
      </c>
      <c r="AA1094" s="18">
        <v>11</v>
      </c>
      <c r="AB1094" s="18">
        <v>1</v>
      </c>
      <c r="AC1094" s="18">
        <v>11</v>
      </c>
      <c r="AD1094" s="1" t="s">
        <v>4950</v>
      </c>
      <c r="AE1094" s="1" t="s">
        <v>4913</v>
      </c>
    </row>
    <row r="1095" spans="1:33" ht="30" x14ac:dyDescent="0.25">
      <c r="A1095" s="10" t="s">
        <v>4951</v>
      </c>
      <c r="B1095" s="11" t="s">
        <v>33</v>
      </c>
      <c r="C1095" s="12" t="s">
        <v>4952</v>
      </c>
      <c r="D1095" s="27"/>
      <c r="E1095" s="14" t="s">
        <v>35</v>
      </c>
      <c r="F1095" s="11" t="str">
        <f>HYPERLINK("https://redirect.sdcdeals.com/redirect?destination=https%3A%2F%2Fwww.amazon.com%2Fdp%2FB0CFQ31DV5%3Fth%3D1%26psc%3D1%26tag%3Dsdcdeals03-20", "Amazon Link")</f>
        <v>Amazon Link</v>
      </c>
      <c r="G1095" s="11" t="s">
        <v>36</v>
      </c>
      <c r="H1095" s="14" t="s">
        <v>4953</v>
      </c>
      <c r="I1095" s="11" t="str">
        <f>HYPERLINK("https://redirect.sdcdeals.com/redirect?code=763034&amp;mavely=https://mavely.app.link/e/bhESV2wGrGb&amp;destination=https%3A%2F%2Fwww.kohls.com%2Fsearch.jsp%3Fsubmit-search%3Dweb-regular%26search%3D19702646", "Retail Link")</f>
        <v>Retail Link</v>
      </c>
      <c r="J1095" s="14" t="s">
        <v>4893</v>
      </c>
      <c r="K1095" s="13" t="s">
        <v>4954</v>
      </c>
      <c r="L1095" s="15">
        <v>13</v>
      </c>
      <c r="M1095" s="15">
        <v>30.81</v>
      </c>
      <c r="N1095" s="15"/>
      <c r="O1095" s="15">
        <f>V1095-M1095</f>
        <v>12.460000000000004</v>
      </c>
      <c r="P1095" s="16">
        <f>N1095/L1095</f>
        <v>0</v>
      </c>
      <c r="Q1095" s="14">
        <v>1355059</v>
      </c>
      <c r="R1095" s="14"/>
      <c r="S1095" s="17"/>
      <c r="T1095" s="15">
        <v>30.81</v>
      </c>
      <c r="U1095" s="15">
        <v>43.27</v>
      </c>
      <c r="V1095" s="15">
        <v>43.27</v>
      </c>
      <c r="W1095" s="14" t="s">
        <v>2022</v>
      </c>
      <c r="X1095" s="14">
        <v>2</v>
      </c>
      <c r="Y1095" s="10">
        <f>AC1095-AB1095</f>
        <v>11</v>
      </c>
      <c r="Z1095" s="18">
        <v>3</v>
      </c>
      <c r="AA1095" s="18">
        <v>16</v>
      </c>
      <c r="AB1095" s="18">
        <v>0</v>
      </c>
      <c r="AC1095" s="18">
        <v>11</v>
      </c>
      <c r="AD1095" s="1" t="s">
        <v>4955</v>
      </c>
      <c r="AE1095" s="1" t="s">
        <v>4913</v>
      </c>
    </row>
    <row r="1096" spans="1:33" ht="30" x14ac:dyDescent="0.25">
      <c r="A1096" s="10" t="s">
        <v>4956</v>
      </c>
      <c r="B1096" s="11" t="s">
        <v>33</v>
      </c>
      <c r="C1096" s="12" t="s">
        <v>4957</v>
      </c>
      <c r="D1096" s="27"/>
      <c r="E1096" s="14" t="s">
        <v>35</v>
      </c>
      <c r="F1096" s="11" t="str">
        <f>HYPERLINK("https://redirect.sdcdeals.com/redirect?destination=https%3A%2F%2Fwww.amazon.com%2Fdp%2FB0CFQ3GL7X%3Fth%3D1%26psc%3D1%26tag%3Dsdcdeals03-20", "Amazon Link")</f>
        <v>Amazon Link</v>
      </c>
      <c r="G1096" s="11" t="s">
        <v>36</v>
      </c>
      <c r="H1096" s="14" t="s">
        <v>4958</v>
      </c>
      <c r="I1096" s="11" t="str">
        <f>HYPERLINK("https://redirect.sdcdeals.com/redirect?code=763034&amp;mavely=https://mavely.app.link/e/bhESV2wGrGb&amp;destination=https%3A%2F%2Fwww.kohls.com%2Fsearch.jsp%3Fsubmit-search%3Dweb-regular%26search%3D19702638", "Retail Link")</f>
        <v>Retail Link</v>
      </c>
      <c r="J1096" s="14" t="s">
        <v>4893</v>
      </c>
      <c r="K1096" s="13" t="s">
        <v>4959</v>
      </c>
      <c r="L1096" s="15">
        <v>13</v>
      </c>
      <c r="M1096" s="15">
        <v>38.799999999999997</v>
      </c>
      <c r="N1096" s="15"/>
      <c r="O1096" s="15">
        <f>V1096-M1096</f>
        <v>18.440000000000005</v>
      </c>
      <c r="P1096" s="16">
        <f>N1096/L1096</f>
        <v>0</v>
      </c>
      <c r="Q1096" s="14">
        <v>1355059</v>
      </c>
      <c r="R1096" s="14"/>
      <c r="S1096" s="17"/>
      <c r="T1096" s="15">
        <v>30.81</v>
      </c>
      <c r="U1096" s="15">
        <v>57.24</v>
      </c>
      <c r="V1096" s="15">
        <v>57.24</v>
      </c>
      <c r="W1096" s="14" t="s">
        <v>849</v>
      </c>
      <c r="X1096" s="14">
        <v>2</v>
      </c>
      <c r="Y1096" s="10">
        <f>AC1096-AB1096</f>
        <v>8</v>
      </c>
      <c r="Z1096" s="18">
        <v>4</v>
      </c>
      <c r="AA1096" s="18">
        <v>17</v>
      </c>
      <c r="AB1096" s="18">
        <v>0</v>
      </c>
      <c r="AC1096" s="18">
        <v>8</v>
      </c>
      <c r="AD1096" s="1" t="s">
        <v>4960</v>
      </c>
      <c r="AE1096" s="1" t="s">
        <v>4907</v>
      </c>
    </row>
    <row r="1097" spans="1:33" ht="30" x14ac:dyDescent="0.25">
      <c r="A1097" s="10" t="s">
        <v>4961</v>
      </c>
      <c r="B1097" s="11" t="s">
        <v>33</v>
      </c>
      <c r="C1097" s="12" t="s">
        <v>4962</v>
      </c>
      <c r="D1097" s="27"/>
      <c r="E1097" s="14" t="s">
        <v>35</v>
      </c>
      <c r="F1097" s="11" t="str">
        <f>HYPERLINK("https://redirect.sdcdeals.com/redirect?destination=https%3A%2F%2Fwww.amazon.com%2Fdp%2FB0CFQ35ZN8%3Fth%3D1%26psc%3D1%26tag%3Dsdcdeals03-20", "Amazon Link")</f>
        <v>Amazon Link</v>
      </c>
      <c r="G1097" s="11" t="s">
        <v>36</v>
      </c>
      <c r="H1097" s="14" t="s">
        <v>4963</v>
      </c>
      <c r="I1097" s="11" t="str">
        <f>HYPERLINK("https://redirect.sdcdeals.com/redirect?code=763034&amp;mavely=https://mavely.app.link/e/bhESV2wGrGb&amp;destination=https%3A%2F%2Fwww.kohls.com%2Fsearch.jsp%3Fsubmit-search%3Dweb-regular%26search%3D19710916", "Retail Link")</f>
        <v>Retail Link</v>
      </c>
      <c r="J1097" s="14" t="s">
        <v>4893</v>
      </c>
      <c r="K1097" s="13" t="s">
        <v>4964</v>
      </c>
      <c r="L1097" s="15">
        <v>13</v>
      </c>
      <c r="M1097" s="15">
        <v>38.799999999999997</v>
      </c>
      <c r="N1097" s="15"/>
      <c r="O1097" s="15">
        <f>V1097-M1097</f>
        <v>18.5</v>
      </c>
      <c r="P1097" s="16">
        <f>N1097/L1097</f>
        <v>0</v>
      </c>
      <c r="Q1097" s="14">
        <v>1346563</v>
      </c>
      <c r="R1097" s="14"/>
      <c r="S1097" s="17"/>
      <c r="T1097" s="15">
        <v>30.81</v>
      </c>
      <c r="U1097" s="15">
        <v>57.3</v>
      </c>
      <c r="V1097" s="15">
        <v>57.3</v>
      </c>
      <c r="W1097" s="14" t="s">
        <v>88</v>
      </c>
      <c r="X1097" s="14">
        <v>2</v>
      </c>
      <c r="Y1097" s="10">
        <f>AC1097-AB1097</f>
        <v>11</v>
      </c>
      <c r="Z1097" s="18">
        <v>3</v>
      </c>
      <c r="AA1097" s="18">
        <v>11</v>
      </c>
      <c r="AB1097" s="18">
        <v>0</v>
      </c>
      <c r="AC1097" s="18">
        <v>11</v>
      </c>
      <c r="AD1097" s="1" t="s">
        <v>4965</v>
      </c>
      <c r="AE1097" s="1" t="s">
        <v>4919</v>
      </c>
    </row>
    <row r="1098" spans="1:33" hidden="1" x14ac:dyDescent="0.25">
      <c r="A1098" s="10" t="s">
        <v>5428</v>
      </c>
      <c r="B1098" s="11" t="s">
        <v>33</v>
      </c>
      <c r="C1098" s="12" t="s">
        <v>5429</v>
      </c>
      <c r="D1098" s="27"/>
      <c r="E1098" s="14" t="s">
        <v>35</v>
      </c>
      <c r="F1098" s="11" t="str">
        <f>HYPERLINK("https://redirect.sdcdeals.com/redirect?destination=https%3A%2F%2Fwww.amazon.com%2Fdp%2FB00ISFBV48%3Fth%3D1%26psc%3D1%26tag%3Dsdcdeals03-20", "Amazon Link")</f>
        <v>Amazon Link</v>
      </c>
      <c r="G1098" s="11" t="s">
        <v>36</v>
      </c>
      <c r="H1098" s="14" t="s">
        <v>5430</v>
      </c>
      <c r="I1098" s="11" t="str">
        <f>HYPERLINK("https://redirect.sdcdeals.com/redirect?code=763034&amp;mavely=https://mavely.app.link/e/bhESV2wGrGb&amp;destination=https%3A%2F%2Fwww.kohls.com%2Fsearch.jsp%3Fsubmit-search%3Dweb-regular%26search%3D30931802", "Retail Link")</f>
        <v>Retail Link</v>
      </c>
      <c r="J1098" s="14" t="s">
        <v>5431</v>
      </c>
      <c r="K1098" s="13" t="s">
        <v>5432</v>
      </c>
      <c r="L1098" s="15">
        <v>12</v>
      </c>
      <c r="M1098" s="15">
        <v>116.58</v>
      </c>
      <c r="N1098" s="15"/>
      <c r="O1098" s="15">
        <f>V1098-M1098</f>
        <v>0</v>
      </c>
      <c r="P1098" s="16">
        <f>N1098/L1098</f>
        <v>0</v>
      </c>
      <c r="Q1098" s="14"/>
      <c r="R1098" s="14"/>
      <c r="S1098" s="17"/>
      <c r="T1098" s="15">
        <v>104.63</v>
      </c>
      <c r="U1098" s="15">
        <v>116.58</v>
      </c>
      <c r="V1098" s="15">
        <v>116.58</v>
      </c>
      <c r="W1098" s="14" t="s">
        <v>959</v>
      </c>
      <c r="X1098" s="14">
        <v>1</v>
      </c>
      <c r="Y1098" s="10">
        <f>AC1098-AB1098</f>
        <v>0</v>
      </c>
      <c r="Z1098" s="18">
        <v>-1</v>
      </c>
      <c r="AA1098" s="18">
        <v>-1</v>
      </c>
      <c r="AB1098" s="18"/>
      <c r="AC1098" s="18"/>
    </row>
    <row r="1099" spans="1:33" ht="60" hidden="1" x14ac:dyDescent="0.25">
      <c r="A1099" s="10" t="s">
        <v>5587</v>
      </c>
      <c r="B1099" s="11" t="s">
        <v>33</v>
      </c>
      <c r="C1099" s="12" t="s">
        <v>5588</v>
      </c>
      <c r="D1099" s="27"/>
      <c r="E1099" s="14" t="s">
        <v>35</v>
      </c>
      <c r="F1099" s="11" t="str">
        <f>HYPERLINK("https://redirect.sdcdeals.com/redirect?destination=https%3A%2F%2Fwww.amazon.com%2Fdp%2FB07HRPPQPW%3Fth%3D1%26psc%3D1%26tag%3Dsdcdeals03-20", "Amazon Link")</f>
        <v>Amazon Link</v>
      </c>
      <c r="G1099" s="11" t="s">
        <v>36</v>
      </c>
      <c r="H1099" s="14" t="s">
        <v>5589</v>
      </c>
      <c r="I1099" s="11" t="str">
        <f>HYPERLINK("https://redirect.sdcdeals.com/redirect?code=763034&amp;mavely=https://mavely.app.link/e/bhESV2wGrGb&amp;destination=https%3A%2F%2Fwww.kohls.com%2Fsearch.jsp%3Fsubmit-search%3Dweb-regular%26search%3D44179845", "Retail Link")</f>
        <v>Retail Link</v>
      </c>
      <c r="J1099" s="14" t="s">
        <v>5590</v>
      </c>
      <c r="K1099" s="13" t="s">
        <v>5591</v>
      </c>
      <c r="L1099" s="15">
        <v>10.8</v>
      </c>
      <c r="M1099" s="15"/>
      <c r="N1099" s="15"/>
      <c r="O1099" s="15">
        <f>V1099-M1099</f>
        <v>0</v>
      </c>
      <c r="P1099" s="16">
        <f>N1099/L1099</f>
        <v>0</v>
      </c>
      <c r="Q1099" s="14"/>
      <c r="R1099" s="14"/>
      <c r="S1099" s="17"/>
      <c r="T1099" s="15"/>
      <c r="U1099" s="15"/>
      <c r="V1099" s="15"/>
      <c r="W1099" s="14" t="s">
        <v>5592</v>
      </c>
      <c r="X1099" s="14"/>
      <c r="Y1099" s="10">
        <f>AC1099-AB1099</f>
        <v>0</v>
      </c>
      <c r="Z1099" s="18">
        <v>-1</v>
      </c>
      <c r="AA1099" s="18">
        <v>-1</v>
      </c>
      <c r="AB1099" s="18"/>
      <c r="AC1099" s="18"/>
    </row>
    <row r="1100" spans="1:33" ht="60" hidden="1" x14ac:dyDescent="0.25">
      <c r="A1100" s="10" t="s">
        <v>5593</v>
      </c>
      <c r="B1100" s="11" t="s">
        <v>33</v>
      </c>
      <c r="C1100" s="12" t="s">
        <v>5594</v>
      </c>
      <c r="D1100" s="27"/>
      <c r="E1100" s="14" t="s">
        <v>35</v>
      </c>
      <c r="F1100" s="11" t="str">
        <f>HYPERLINK("https://redirect.sdcdeals.com/redirect?destination=https%3A%2F%2Fwww.amazon.com%2Fdp%2FB07HRPWH1W%3Fth%3D1%26psc%3D1%26tag%3Dsdcdeals03-20", "Amazon Link")</f>
        <v>Amazon Link</v>
      </c>
      <c r="G1100" s="11" t="s">
        <v>36</v>
      </c>
      <c r="H1100" s="14" t="s">
        <v>5595</v>
      </c>
      <c r="I1100" s="11" t="str">
        <f>HYPERLINK("https://redirect.sdcdeals.com/redirect?code=763034&amp;mavely=https://mavely.app.link/e/bhESV2wGrGb&amp;destination=https%3A%2F%2Fwww.kohls.com%2Fsearch.jsp%3Fsubmit-search%3Dweb-regular%26search%3D44179846", "Retail Link")</f>
        <v>Retail Link</v>
      </c>
      <c r="J1100" s="14" t="s">
        <v>5590</v>
      </c>
      <c r="K1100" s="13" t="s">
        <v>5596</v>
      </c>
      <c r="L1100" s="15">
        <v>10.8</v>
      </c>
      <c r="M1100" s="15"/>
      <c r="N1100" s="15"/>
      <c r="O1100" s="15">
        <f>V1100-M1100</f>
        <v>0</v>
      </c>
      <c r="P1100" s="16">
        <f>N1100/L1100</f>
        <v>0</v>
      </c>
      <c r="Q1100" s="14"/>
      <c r="R1100" s="14"/>
      <c r="S1100" s="17"/>
      <c r="T1100" s="15"/>
      <c r="U1100" s="15"/>
      <c r="V1100" s="15"/>
      <c r="W1100" s="14" t="s">
        <v>296</v>
      </c>
      <c r="X1100" s="14"/>
      <c r="Y1100" s="10">
        <f>AC1100-AB1100</f>
        <v>0</v>
      </c>
      <c r="Z1100" s="18">
        <v>-1</v>
      </c>
      <c r="AA1100" s="18">
        <v>-1</v>
      </c>
      <c r="AB1100" s="18"/>
      <c r="AC1100" s="18"/>
    </row>
    <row r="1101" spans="1:33" ht="30" x14ac:dyDescent="0.25">
      <c r="A1101" s="10" t="s">
        <v>5673</v>
      </c>
      <c r="B1101" s="11" t="s">
        <v>33</v>
      </c>
      <c r="C1101" s="12" t="s">
        <v>5674</v>
      </c>
      <c r="D1101" s="27"/>
      <c r="E1101" s="14" t="s">
        <v>35</v>
      </c>
      <c r="F1101" s="11" t="str">
        <f>HYPERLINK("https://redirect.sdcdeals.com/redirect?destination=https%3A%2F%2Fwww.amazon.com%2Fdp%2FB07QMFSBKD%3Fth%3D1%26psc%3D1%26tag%3Dsdcdeals03-20", "Amazon Link")</f>
        <v>Amazon Link</v>
      </c>
      <c r="G1101" s="11" t="s">
        <v>36</v>
      </c>
      <c r="H1101" s="14" t="s">
        <v>5675</v>
      </c>
      <c r="I1101" s="11" t="str">
        <f>HYPERLINK("https://redirect.sdcdeals.com/redirect?code=763034&amp;mavely=https://mavely.app.link/e/bhESV2wGrGb&amp;destination=https%3A%2F%2Fwww.kohls.com%2Fsearch.jsp%3Fsubmit-search%3Dweb-regular%26search%3D19188585", "Retail Link")</f>
        <v>Retail Link</v>
      </c>
      <c r="J1101" s="14" t="s">
        <v>5676</v>
      </c>
      <c r="K1101" s="13" t="s">
        <v>5677</v>
      </c>
      <c r="L1101" s="15">
        <v>45</v>
      </c>
      <c r="M1101" s="15"/>
      <c r="N1101" s="15"/>
      <c r="O1101" s="15">
        <f>V1101-M1101</f>
        <v>0</v>
      </c>
      <c r="P1101" s="16">
        <f>N1101/L1101</f>
        <v>0</v>
      </c>
      <c r="Q1101" s="14">
        <v>5269334</v>
      </c>
      <c r="R1101" s="14"/>
      <c r="S1101" s="17">
        <v>1.90038244</v>
      </c>
      <c r="T1101" s="15"/>
      <c r="U1101" s="15"/>
      <c r="V1101" s="15"/>
      <c r="W1101" s="14" t="s">
        <v>290</v>
      </c>
      <c r="X1101" s="14"/>
      <c r="Y1101" s="10">
        <f>AC1101-AB1101</f>
        <v>87</v>
      </c>
      <c r="Z1101" s="18">
        <v>0</v>
      </c>
      <c r="AA1101" s="18">
        <v>0</v>
      </c>
      <c r="AB1101" s="18">
        <v>8</v>
      </c>
      <c r="AC1101" s="18">
        <v>95</v>
      </c>
      <c r="AD1101" s="1" t="s">
        <v>5678</v>
      </c>
      <c r="AE1101" s="1" t="s">
        <v>5679</v>
      </c>
      <c r="AG1101" s="4">
        <v>7.4</v>
      </c>
    </row>
    <row r="1102" spans="1:33" ht="30" x14ac:dyDescent="0.25">
      <c r="A1102" s="10" t="s">
        <v>5680</v>
      </c>
      <c r="B1102" s="11" t="s">
        <v>33</v>
      </c>
      <c r="C1102" s="12" t="s">
        <v>5681</v>
      </c>
      <c r="D1102" s="27"/>
      <c r="E1102" s="14" t="s">
        <v>35</v>
      </c>
      <c r="F1102" s="11" t="str">
        <f>HYPERLINK("https://redirect.sdcdeals.com/redirect?destination=https%3A%2F%2Fwww.amazon.com%2Fdp%2FB07QQMB1YG%3Fth%3D1%26psc%3D1%26tag%3Dsdcdeals03-20", "Amazon Link")</f>
        <v>Amazon Link</v>
      </c>
      <c r="G1102" s="11" t="s">
        <v>36</v>
      </c>
      <c r="H1102" s="14" t="s">
        <v>5682</v>
      </c>
      <c r="I1102" s="11" t="str">
        <f>HYPERLINK("https://redirect.sdcdeals.com/redirect?code=763034&amp;mavely=https://mavely.app.link/e/bhESV2wGrGb&amp;destination=https%3A%2F%2Fwww.kohls.com%2Fsearch.jsp%3Fsubmit-search%3Dweb-regular%26search%3D19188590", "Retail Link")</f>
        <v>Retail Link</v>
      </c>
      <c r="J1102" s="14" t="s">
        <v>5676</v>
      </c>
      <c r="K1102" s="13" t="s">
        <v>5683</v>
      </c>
      <c r="L1102" s="15">
        <v>45</v>
      </c>
      <c r="M1102" s="15"/>
      <c r="N1102" s="15"/>
      <c r="O1102" s="15">
        <f>V1102-M1102</f>
        <v>0</v>
      </c>
      <c r="P1102" s="16">
        <f>N1102/L1102</f>
        <v>0</v>
      </c>
      <c r="Q1102" s="14">
        <v>5269334</v>
      </c>
      <c r="R1102" s="14"/>
      <c r="S1102" s="17">
        <v>2.2509170200000002</v>
      </c>
      <c r="T1102" s="15"/>
      <c r="U1102" s="15"/>
      <c r="V1102" s="15"/>
      <c r="W1102" s="14" t="s">
        <v>277</v>
      </c>
      <c r="X1102" s="14"/>
      <c r="Y1102" s="10">
        <f>AC1102-AB1102</f>
        <v>90</v>
      </c>
      <c r="Z1102" s="18">
        <v>0</v>
      </c>
      <c r="AA1102" s="18">
        <v>0</v>
      </c>
      <c r="AB1102" s="18">
        <v>5</v>
      </c>
      <c r="AC1102" s="18">
        <v>95</v>
      </c>
      <c r="AD1102" s="1" t="s">
        <v>5678</v>
      </c>
      <c r="AE1102" s="1" t="s">
        <v>1490</v>
      </c>
      <c r="AG1102" s="4">
        <v>16.45</v>
      </c>
    </row>
    <row r="1103" spans="1:33" ht="30" hidden="1" x14ac:dyDescent="0.25">
      <c r="A1103" s="10" t="s">
        <v>5684</v>
      </c>
      <c r="B1103" s="11" t="s">
        <v>33</v>
      </c>
      <c r="C1103" s="12" t="s">
        <v>5685</v>
      </c>
      <c r="D1103" s="27"/>
      <c r="E1103" s="14" t="s">
        <v>35</v>
      </c>
      <c r="F1103" s="11" t="str">
        <f>HYPERLINK("https://redirect.sdcdeals.com/redirect?destination=https%3A%2F%2Fwww.amazon.com%2Fdp%2FB07QLFMYFS%3Fth%3D1%26psc%3D1%26tag%3Dsdcdeals03-20", "Amazon Link")</f>
        <v>Amazon Link</v>
      </c>
      <c r="G1103" s="11" t="s">
        <v>36</v>
      </c>
      <c r="H1103" s="14" t="s">
        <v>5686</v>
      </c>
      <c r="I1103" s="11" t="str">
        <f>HYPERLINK("https://redirect.sdcdeals.com/redirect?code=763034&amp;mavely=https://mavely.app.link/e/bhESV2wGrGb&amp;destination=https%3A%2F%2Fwww.kohls.com%2Fsearch.jsp%3Fsubmit-search%3Dweb-regular%26search%3D19188580", "Retail Link")</f>
        <v>Retail Link</v>
      </c>
      <c r="J1103" s="14" t="s">
        <v>5676</v>
      </c>
      <c r="K1103" s="13" t="s">
        <v>5687</v>
      </c>
      <c r="L1103" s="15">
        <v>45</v>
      </c>
      <c r="M1103" s="15"/>
      <c r="N1103" s="15"/>
      <c r="O1103" s="15">
        <f>V1103-M1103</f>
        <v>0</v>
      </c>
      <c r="P1103" s="16">
        <f>N1103/L1103</f>
        <v>0</v>
      </c>
      <c r="Q1103" s="14"/>
      <c r="R1103" s="14"/>
      <c r="S1103" s="17">
        <v>2.2795770800000001</v>
      </c>
      <c r="T1103" s="15"/>
      <c r="U1103" s="15"/>
      <c r="V1103" s="15"/>
      <c r="W1103" s="14" t="s">
        <v>100</v>
      </c>
      <c r="X1103" s="14"/>
      <c r="Y1103" s="10">
        <f>AC1103-AB1103</f>
        <v>0</v>
      </c>
      <c r="Z1103" s="18">
        <v>0</v>
      </c>
      <c r="AA1103" s="18">
        <v>0</v>
      </c>
      <c r="AB1103" s="18">
        <v>10</v>
      </c>
      <c r="AC1103" s="18">
        <v>10</v>
      </c>
      <c r="AD1103" s="1" t="s">
        <v>5678</v>
      </c>
      <c r="AE1103" s="1" t="s">
        <v>76</v>
      </c>
      <c r="AG1103" s="4">
        <v>14.55</v>
      </c>
    </row>
    <row r="1104" spans="1:33" ht="30" x14ac:dyDescent="0.25">
      <c r="A1104" s="10" t="s">
        <v>5701</v>
      </c>
      <c r="B1104" s="11" t="s">
        <v>33</v>
      </c>
      <c r="C1104" s="12" t="s">
        <v>5702</v>
      </c>
      <c r="D1104" s="27"/>
      <c r="E1104" s="14" t="s">
        <v>35</v>
      </c>
      <c r="F1104" s="11" t="str">
        <f>HYPERLINK("https://redirect.sdcdeals.com/redirect?destination=https%3A%2F%2Fwww.amazon.com%2Fdp%2FB0CQD5XHXV%3Fth%3D1%26psc%3D1%26tag%3Dsdcdeals03-20", "Amazon Link")</f>
        <v>Amazon Link</v>
      </c>
      <c r="G1104" s="11" t="s">
        <v>36</v>
      </c>
      <c r="H1104" s="14" t="s">
        <v>5703</v>
      </c>
      <c r="I1104" s="11" t="str">
        <f>HYPERLINK("https://redirect.sdcdeals.com/redirect?code=763034&amp;mavely=https://mavely.app.link/e/bhESV2wGrGb&amp;destination=https%3A%2F%2Fwww.kohls.com%2Fsearch.jsp%3Fsubmit-search%3Dweb-regular%26search%3D20272412", "Retail Link")</f>
        <v>Retail Link</v>
      </c>
      <c r="J1104" s="14" t="s">
        <v>5704</v>
      </c>
      <c r="K1104" s="13" t="s">
        <v>5705</v>
      </c>
      <c r="L1104" s="15">
        <v>8.6639999999999997</v>
      </c>
      <c r="M1104" s="15">
        <v>15.47</v>
      </c>
      <c r="N1104" s="15"/>
      <c r="O1104" s="15">
        <f>V1104-M1104</f>
        <v>6.85</v>
      </c>
      <c r="P1104" s="16">
        <f>N1104/L1104</f>
        <v>0</v>
      </c>
      <c r="Q1104" s="14">
        <v>988131</v>
      </c>
      <c r="R1104" s="14"/>
      <c r="S1104" s="17"/>
      <c r="T1104" s="15">
        <v>14.99</v>
      </c>
      <c r="U1104" s="15">
        <v>15.78</v>
      </c>
      <c r="V1104" s="15">
        <v>22.32</v>
      </c>
      <c r="W1104" s="14" t="s">
        <v>1949</v>
      </c>
      <c r="X1104" s="14">
        <v>1</v>
      </c>
      <c r="Y1104" s="10">
        <f>AC1104-AB1104</f>
        <v>0</v>
      </c>
      <c r="Z1104" s="18">
        <v>1</v>
      </c>
      <c r="AA1104" s="18">
        <v>1</v>
      </c>
      <c r="AB1104" s="18"/>
      <c r="AC1104" s="18"/>
      <c r="AD1104" s="1" t="s">
        <v>5706</v>
      </c>
      <c r="AE1104" s="1" t="s">
        <v>5707</v>
      </c>
    </row>
    <row r="1105" spans="1:33" ht="30" x14ac:dyDescent="0.25">
      <c r="A1105" s="10" t="s">
        <v>5708</v>
      </c>
      <c r="B1105" s="11" t="s">
        <v>33</v>
      </c>
      <c r="C1105" s="12" t="s">
        <v>5709</v>
      </c>
      <c r="D1105" s="27"/>
      <c r="E1105" s="14" t="s">
        <v>35</v>
      </c>
      <c r="F1105" s="11" t="str">
        <f>HYPERLINK("https://redirect.sdcdeals.com/redirect?destination=https%3A%2F%2Fwww.amazon.com%2Fdp%2FB0CQD3NXZ2%3Fth%3D1%26psc%3D1%26tag%3Dsdcdeals03-20", "Amazon Link")</f>
        <v>Amazon Link</v>
      </c>
      <c r="G1105" s="11" t="s">
        <v>36</v>
      </c>
      <c r="H1105" s="14" t="s">
        <v>5710</v>
      </c>
      <c r="I1105" s="11" t="str">
        <f>HYPERLINK("https://redirect.sdcdeals.com/redirect?code=763034&amp;mavely=https://mavely.app.link/e/bhESV2wGrGb&amp;destination=https%3A%2F%2Fwww.kohls.com%2Fsearch.jsp%3Fsubmit-search%3Dweb-regular%26search%3D20272414", "Retail Link")</f>
        <v>Retail Link</v>
      </c>
      <c r="J1105" s="14" t="s">
        <v>5704</v>
      </c>
      <c r="K1105" s="13" t="s">
        <v>5711</v>
      </c>
      <c r="L1105" s="15">
        <v>8.6639999999999997</v>
      </c>
      <c r="M1105" s="15">
        <v>15.99</v>
      </c>
      <c r="N1105" s="15"/>
      <c r="O1105" s="15">
        <f>V1105-M1105</f>
        <v>-15.99</v>
      </c>
      <c r="P1105" s="16">
        <f>N1105/L1105</f>
        <v>0</v>
      </c>
      <c r="Q1105" s="14">
        <v>988131</v>
      </c>
      <c r="R1105" s="14"/>
      <c r="S1105" s="17"/>
      <c r="T1105" s="15">
        <v>15.99</v>
      </c>
      <c r="U1105" s="15"/>
      <c r="V1105" s="15"/>
      <c r="W1105" s="14" t="s">
        <v>1014</v>
      </c>
      <c r="X1105" s="14"/>
      <c r="Y1105" s="10">
        <f>AC1105-AB1105</f>
        <v>0</v>
      </c>
      <c r="Z1105" s="18">
        <v>0</v>
      </c>
      <c r="AA1105" s="18">
        <v>0</v>
      </c>
      <c r="AB1105" s="18"/>
      <c r="AC1105" s="18"/>
      <c r="AD1105" s="1" t="s">
        <v>5706</v>
      </c>
      <c r="AE1105" s="1" t="s">
        <v>5707</v>
      </c>
    </row>
    <row r="1106" spans="1:33" ht="30" x14ac:dyDescent="0.25">
      <c r="A1106" s="10" t="s">
        <v>5712</v>
      </c>
      <c r="B1106" s="11" t="s">
        <v>33</v>
      </c>
      <c r="C1106" s="12" t="s">
        <v>5713</v>
      </c>
      <c r="D1106" s="27"/>
      <c r="E1106" s="14" t="s">
        <v>35</v>
      </c>
      <c r="F1106" s="11" t="str">
        <f>HYPERLINK("https://redirect.sdcdeals.com/redirect?destination=https%3A%2F%2Fwww.amazon.com%2Fdp%2FB0CQD5373X%3Fth%3D1%26psc%3D1%26tag%3Dsdcdeals03-20", "Amazon Link")</f>
        <v>Amazon Link</v>
      </c>
      <c r="G1106" s="11" t="s">
        <v>36</v>
      </c>
      <c r="H1106" s="14" t="s">
        <v>5714</v>
      </c>
      <c r="I1106" s="11" t="str">
        <f>HYPERLINK("https://redirect.sdcdeals.com/redirect?code=763034&amp;mavely=https://mavely.app.link/e/bhESV2wGrGb&amp;destination=https%3A%2F%2Fwww.kohls.com%2Fsearch.jsp%3Fsubmit-search%3Dweb-regular%26search%3D20272413", "Retail Link")</f>
        <v>Retail Link</v>
      </c>
      <c r="J1106" s="14" t="s">
        <v>5704</v>
      </c>
      <c r="K1106" s="13" t="s">
        <v>5715</v>
      </c>
      <c r="L1106" s="15">
        <v>8.6639999999999997</v>
      </c>
      <c r="M1106" s="15"/>
      <c r="N1106" s="15"/>
      <c r="O1106" s="15">
        <f>V1106-M1106</f>
        <v>0</v>
      </c>
      <c r="P1106" s="16">
        <f>N1106/L1106</f>
        <v>0</v>
      </c>
      <c r="Q1106" s="14">
        <v>988131</v>
      </c>
      <c r="R1106" s="14"/>
      <c r="S1106" s="17"/>
      <c r="T1106" s="15"/>
      <c r="U1106" s="15"/>
      <c r="V1106" s="15"/>
      <c r="W1106" s="14" t="s">
        <v>5716</v>
      </c>
      <c r="X1106" s="14"/>
      <c r="Y1106" s="10">
        <f>AC1106-AB1106</f>
        <v>0</v>
      </c>
      <c r="Z1106" s="18">
        <v>0</v>
      </c>
      <c r="AA1106" s="18">
        <v>0</v>
      </c>
      <c r="AB1106" s="18"/>
      <c r="AC1106" s="18"/>
      <c r="AD1106" s="1" t="s">
        <v>5706</v>
      </c>
      <c r="AE1106" s="1" t="s">
        <v>5707</v>
      </c>
    </row>
    <row r="1107" spans="1:33" ht="30" x14ac:dyDescent="0.25">
      <c r="A1107" s="10" t="s">
        <v>5717</v>
      </c>
      <c r="B1107" s="11" t="s">
        <v>33</v>
      </c>
      <c r="C1107" s="12" t="s">
        <v>5718</v>
      </c>
      <c r="D1107" s="27"/>
      <c r="E1107" s="14" t="s">
        <v>35</v>
      </c>
      <c r="F1107" s="11" t="str">
        <f>HYPERLINK("https://redirect.sdcdeals.com/redirect?destination=https%3A%2F%2Fwww.amazon.com%2Fdp%2FB0CQD5DBTV%3Fth%3D1%26psc%3D1%26tag%3Dsdcdeals03-20", "Amazon Link")</f>
        <v>Amazon Link</v>
      </c>
      <c r="G1107" s="11" t="s">
        <v>36</v>
      </c>
      <c r="H1107" s="14" t="s">
        <v>5719</v>
      </c>
      <c r="I1107" s="11" t="str">
        <f>HYPERLINK("https://redirect.sdcdeals.com/redirect?code=763034&amp;mavely=https://mavely.app.link/e/bhESV2wGrGb&amp;destination=https%3A%2F%2Fwww.kohls.com%2Fsearch.jsp%3Fsubmit-search%3Dweb-regular%26search%3D20272415", "Retail Link")</f>
        <v>Retail Link</v>
      </c>
      <c r="J1107" s="14" t="s">
        <v>5704</v>
      </c>
      <c r="K1107" s="13" t="s">
        <v>5720</v>
      </c>
      <c r="L1107" s="15">
        <v>8.6639999999999997</v>
      </c>
      <c r="M1107" s="15">
        <v>52.42</v>
      </c>
      <c r="N1107" s="15"/>
      <c r="O1107" s="15">
        <f>V1107-M1107</f>
        <v>0.89999999999999858</v>
      </c>
      <c r="P1107" s="16">
        <f>N1107/L1107</f>
        <v>0</v>
      </c>
      <c r="Q1107" s="14">
        <v>988131</v>
      </c>
      <c r="R1107" s="14"/>
      <c r="S1107" s="17"/>
      <c r="T1107" s="15"/>
      <c r="U1107" s="15">
        <v>52.42</v>
      </c>
      <c r="V1107" s="15">
        <v>53.32</v>
      </c>
      <c r="W1107" s="14" t="s">
        <v>4584</v>
      </c>
      <c r="X1107" s="14">
        <v>1</v>
      </c>
      <c r="Y1107" s="10">
        <f>AC1107-AB1107</f>
        <v>0</v>
      </c>
      <c r="Z1107" s="18">
        <v>1</v>
      </c>
      <c r="AA1107" s="18">
        <v>1</v>
      </c>
      <c r="AB1107" s="18"/>
      <c r="AC1107" s="18"/>
      <c r="AD1107" s="1" t="s">
        <v>5706</v>
      </c>
      <c r="AE1107" s="1" t="s">
        <v>5707</v>
      </c>
    </row>
    <row r="1108" spans="1:33" ht="45" x14ac:dyDescent="0.25">
      <c r="A1108" s="10" t="s">
        <v>5721</v>
      </c>
      <c r="B1108" s="11" t="s">
        <v>33</v>
      </c>
      <c r="C1108" s="12" t="s">
        <v>5722</v>
      </c>
      <c r="D1108" s="27"/>
      <c r="E1108" s="14" t="s">
        <v>35</v>
      </c>
      <c r="F1108" s="11" t="str">
        <f>HYPERLINK("https://redirect.sdcdeals.com/redirect?destination=https%3A%2F%2Fwww.amazon.com%2Fdp%2FB0CQD663CV%3Fth%3D1%26psc%3D1%26tag%3Dsdcdeals03-20", "Amazon Link")</f>
        <v>Amazon Link</v>
      </c>
      <c r="G1108" s="11" t="s">
        <v>36</v>
      </c>
      <c r="H1108" s="14" t="s">
        <v>5723</v>
      </c>
      <c r="I1108" s="11" t="str">
        <f>HYPERLINK("https://redirect.sdcdeals.com/redirect?code=763034&amp;mavely=https://mavely.app.link/e/bhESV2wGrGb&amp;destination=https%3A%2F%2Fwww.kohls.com%2Fsearch.jsp%3Fsubmit-search%3Dweb-regular%26search%3D20272416", "Retail Link")</f>
        <v>Retail Link</v>
      </c>
      <c r="J1108" s="14" t="s">
        <v>5704</v>
      </c>
      <c r="K1108" s="13" t="s">
        <v>5724</v>
      </c>
      <c r="L1108" s="15">
        <v>8.6639999999999997</v>
      </c>
      <c r="M1108" s="15">
        <v>15.47</v>
      </c>
      <c r="N1108" s="15"/>
      <c r="O1108" s="15">
        <f>V1108-M1108</f>
        <v>0</v>
      </c>
      <c r="P1108" s="16">
        <f>N1108/L1108</f>
        <v>0</v>
      </c>
      <c r="Q1108" s="14">
        <v>988131</v>
      </c>
      <c r="R1108" s="14"/>
      <c r="S1108" s="17"/>
      <c r="T1108" s="15">
        <v>15.47</v>
      </c>
      <c r="U1108" s="15">
        <v>15.47</v>
      </c>
      <c r="V1108" s="15">
        <v>15.47</v>
      </c>
      <c r="W1108" s="14" t="s">
        <v>3289</v>
      </c>
      <c r="X1108" s="14">
        <v>1</v>
      </c>
      <c r="Y1108" s="10">
        <f>AC1108-AB1108</f>
        <v>0</v>
      </c>
      <c r="Z1108" s="18">
        <v>1</v>
      </c>
      <c r="AA1108" s="18">
        <v>1</v>
      </c>
      <c r="AB1108" s="18"/>
      <c r="AC1108" s="18"/>
      <c r="AD1108" s="1" t="s">
        <v>5706</v>
      </c>
      <c r="AE1108" s="1" t="s">
        <v>5707</v>
      </c>
    </row>
    <row r="1109" spans="1:33" ht="45" x14ac:dyDescent="0.25">
      <c r="A1109" s="10" t="s">
        <v>5725</v>
      </c>
      <c r="B1109" s="11" t="s">
        <v>33</v>
      </c>
      <c r="C1109" s="12" t="s">
        <v>5726</v>
      </c>
      <c r="D1109" s="27"/>
      <c r="E1109" s="14" t="s">
        <v>35</v>
      </c>
      <c r="F1109" s="11" t="str">
        <f>HYPERLINK("https://redirect.sdcdeals.com/redirect?destination=https%3A%2F%2Fwww.amazon.com%2Fdp%2FB0CQD4BHPZ%3Fth%3D1%26psc%3D1%26tag%3Dsdcdeals03-20", "Amazon Link")</f>
        <v>Amazon Link</v>
      </c>
      <c r="G1109" s="11" t="s">
        <v>36</v>
      </c>
      <c r="H1109" s="14" t="s">
        <v>5727</v>
      </c>
      <c r="I1109" s="11" t="str">
        <f>HYPERLINK("https://redirect.sdcdeals.com/redirect?code=763034&amp;mavely=https://mavely.app.link/e/bhESV2wGrGb&amp;destination=https%3A%2F%2Fwww.kohls.com%2Fsearch.jsp%3Fsubmit-search%3Dweb-regular%26search%3D20272417", "Retail Link")</f>
        <v>Retail Link</v>
      </c>
      <c r="J1109" s="14" t="s">
        <v>5704</v>
      </c>
      <c r="K1109" s="13" t="s">
        <v>5728</v>
      </c>
      <c r="L1109" s="15">
        <v>8.6639999999999997</v>
      </c>
      <c r="M1109" s="15">
        <v>15.47</v>
      </c>
      <c r="N1109" s="15"/>
      <c r="O1109" s="15">
        <f>V1109-M1109</f>
        <v>2.5099999999999998</v>
      </c>
      <c r="P1109" s="16">
        <f>N1109/L1109</f>
        <v>0</v>
      </c>
      <c r="Q1109" s="14">
        <v>988131</v>
      </c>
      <c r="R1109" s="14"/>
      <c r="S1109" s="17"/>
      <c r="T1109" s="15">
        <v>15.47</v>
      </c>
      <c r="U1109" s="15">
        <v>15.47</v>
      </c>
      <c r="V1109" s="15">
        <v>17.98</v>
      </c>
      <c r="W1109" s="14" t="s">
        <v>2797</v>
      </c>
      <c r="X1109" s="14">
        <v>1</v>
      </c>
      <c r="Y1109" s="10">
        <f>AC1109-AB1109</f>
        <v>0</v>
      </c>
      <c r="Z1109" s="18">
        <v>1</v>
      </c>
      <c r="AA1109" s="18">
        <v>1</v>
      </c>
      <c r="AB1109" s="18"/>
      <c r="AC1109" s="18"/>
      <c r="AD1109" s="1" t="s">
        <v>5706</v>
      </c>
      <c r="AE1109" s="1" t="s">
        <v>5707</v>
      </c>
    </row>
    <row r="1110" spans="1:33" ht="45" x14ac:dyDescent="0.25">
      <c r="A1110" s="10" t="s">
        <v>5729</v>
      </c>
      <c r="B1110" s="11" t="s">
        <v>33</v>
      </c>
      <c r="C1110" s="12" t="s">
        <v>5730</v>
      </c>
      <c r="D1110" s="27"/>
      <c r="E1110" s="14" t="s">
        <v>35</v>
      </c>
      <c r="F1110" s="11" t="str">
        <f>HYPERLINK("https://redirect.sdcdeals.com/redirect?destination=https%3A%2F%2Fwww.amazon.com%2Fdp%2FB0CQD5Y45P%3Fth%3D1%26psc%3D1%26tag%3Dsdcdeals03-20", "Amazon Link")</f>
        <v>Amazon Link</v>
      </c>
      <c r="G1110" s="11" t="s">
        <v>36</v>
      </c>
      <c r="H1110" s="14" t="s">
        <v>5731</v>
      </c>
      <c r="I1110" s="11" t="str">
        <f>HYPERLINK("https://redirect.sdcdeals.com/redirect?code=763034&amp;mavely=https://mavely.app.link/e/bhESV2wGrGb&amp;destination=https%3A%2F%2Fwww.kohls.com%2Fsearch.jsp%3Fsubmit-search%3Dweb-regular%26search%3D20272418", "Retail Link")</f>
        <v>Retail Link</v>
      </c>
      <c r="J1110" s="14" t="s">
        <v>5704</v>
      </c>
      <c r="K1110" s="13" t="s">
        <v>5732</v>
      </c>
      <c r="L1110" s="15">
        <v>8.6639999999999997</v>
      </c>
      <c r="M1110" s="15">
        <v>15.47</v>
      </c>
      <c r="N1110" s="15"/>
      <c r="O1110" s="15">
        <f>V1110-M1110</f>
        <v>0</v>
      </c>
      <c r="P1110" s="16">
        <f>N1110/L1110</f>
        <v>0</v>
      </c>
      <c r="Q1110" s="14">
        <v>988131</v>
      </c>
      <c r="R1110" s="14"/>
      <c r="S1110" s="17"/>
      <c r="T1110" s="15">
        <v>15.47</v>
      </c>
      <c r="U1110" s="15">
        <v>15.47</v>
      </c>
      <c r="V1110" s="15">
        <v>15.47</v>
      </c>
      <c r="W1110" s="14" t="s">
        <v>2652</v>
      </c>
      <c r="X1110" s="14">
        <v>1</v>
      </c>
      <c r="Y1110" s="10">
        <f>AC1110-AB1110</f>
        <v>0</v>
      </c>
      <c r="Z1110" s="18">
        <v>1</v>
      </c>
      <c r="AA1110" s="18">
        <v>1</v>
      </c>
      <c r="AB1110" s="18"/>
      <c r="AC1110" s="18"/>
      <c r="AD1110" s="1" t="s">
        <v>5706</v>
      </c>
      <c r="AE1110" s="1" t="s">
        <v>5707</v>
      </c>
    </row>
    <row r="1111" spans="1:33" ht="30" x14ac:dyDescent="0.25">
      <c r="A1111" s="10" t="s">
        <v>5741</v>
      </c>
      <c r="B1111" s="11" t="s">
        <v>33</v>
      </c>
      <c r="C1111" s="12" t="s">
        <v>5742</v>
      </c>
      <c r="D1111" s="27"/>
      <c r="E1111" s="14" t="s">
        <v>35</v>
      </c>
      <c r="F1111" s="11" t="str">
        <f>HYPERLINK("https://redirect.sdcdeals.com/redirect?destination=https%3A%2F%2Fwww.amazon.com%2Fdp%2FB096HF7VZB%3Fth%3D1%26psc%3D1%26tag%3Dsdcdeals03-20", "Amazon Link")</f>
        <v>Amazon Link</v>
      </c>
      <c r="G1111" s="11" t="s">
        <v>36</v>
      </c>
      <c r="H1111" s="14" t="s">
        <v>5743</v>
      </c>
      <c r="I1111" s="11" t="str">
        <f>HYPERLINK("https://redirect.sdcdeals.com/redirect?code=763034&amp;mavely=https://mavely.app.link/e/bhESV2wGrGb&amp;destination=https%3A%2F%2Fwww.kohls.com%2Fsearch.jsp%3Fsubmit-search%3Dweb-regular%26search%3D48734898", "Retail Link")</f>
        <v>Retail Link</v>
      </c>
      <c r="J1111" s="14" t="s">
        <v>5744</v>
      </c>
      <c r="K1111" s="13" t="s">
        <v>5745</v>
      </c>
      <c r="L1111" s="15">
        <v>12.504</v>
      </c>
      <c r="M1111" s="15"/>
      <c r="N1111" s="15"/>
      <c r="O1111" s="15">
        <f>V1111-M1111</f>
        <v>0</v>
      </c>
      <c r="P1111" s="16">
        <f>N1111/L1111</f>
        <v>0</v>
      </c>
      <c r="Q1111" s="14">
        <v>5449</v>
      </c>
      <c r="R1111" s="14"/>
      <c r="S1111" s="17">
        <v>1.4219799</v>
      </c>
      <c r="T1111" s="15"/>
      <c r="U1111" s="15"/>
      <c r="V1111" s="15"/>
      <c r="W1111" s="14" t="s">
        <v>46</v>
      </c>
      <c r="X1111" s="14"/>
      <c r="Y1111" s="10">
        <f>AC1111-AB1111</f>
        <v>33294</v>
      </c>
      <c r="Z1111" s="18">
        <v>3</v>
      </c>
      <c r="AA1111" s="18">
        <v>25</v>
      </c>
      <c r="AB1111" s="18">
        <v>0</v>
      </c>
      <c r="AC1111" s="18">
        <v>33294</v>
      </c>
      <c r="AD1111" s="1" t="s">
        <v>5746</v>
      </c>
      <c r="AE1111" s="1" t="s">
        <v>5747</v>
      </c>
      <c r="AG1111" s="4">
        <v>7.08</v>
      </c>
    </row>
    <row r="1112" spans="1:33" ht="30" hidden="1" x14ac:dyDescent="0.25">
      <c r="A1112" s="10" t="s">
        <v>5748</v>
      </c>
      <c r="B1112" s="11" t="s">
        <v>33</v>
      </c>
      <c r="C1112" s="12" t="s">
        <v>5749</v>
      </c>
      <c r="D1112" s="27"/>
      <c r="E1112" s="14" t="s">
        <v>35</v>
      </c>
      <c r="F1112" s="11" t="str">
        <f>HYPERLINK("https://redirect.sdcdeals.com/redirect?destination=https%3A%2F%2Fwww.amazon.com%2Fdp%2FB09LVGMLKR%3Fth%3D1%26psc%3D1%26tag%3Dsdcdeals03-20", "Amazon Link")</f>
        <v>Amazon Link</v>
      </c>
      <c r="G1112" s="11" t="s">
        <v>36</v>
      </c>
      <c r="H1112" s="14" t="s">
        <v>5750</v>
      </c>
      <c r="I1112" s="11" t="str">
        <f>HYPERLINK("https://redirect.sdcdeals.com/redirect?code=763034&amp;mavely=https://mavely.app.link/e/bhESV2wGrGb&amp;destination=https%3A%2F%2Fwww.kohls.com%2Fsearch.jsp%3Fsubmit-search%3Dweb-regular%26search%3D86472761", "Retail Link")</f>
        <v>Retail Link</v>
      </c>
      <c r="J1112" s="14" t="s">
        <v>5751</v>
      </c>
      <c r="K1112" s="13" t="s">
        <v>5752</v>
      </c>
      <c r="L1112" s="15">
        <v>6.2960000000000003</v>
      </c>
      <c r="M1112" s="15"/>
      <c r="N1112" s="15"/>
      <c r="O1112" s="15">
        <f>V1112-M1112</f>
        <v>0</v>
      </c>
      <c r="P1112" s="16">
        <f>N1112/L1112</f>
        <v>0</v>
      </c>
      <c r="Q1112" s="14"/>
      <c r="R1112" s="14"/>
      <c r="S1112" s="17">
        <v>0.29982831999999998</v>
      </c>
      <c r="T1112" s="15"/>
      <c r="U1112" s="15"/>
      <c r="V1112" s="15"/>
      <c r="W1112" s="14" t="s">
        <v>164</v>
      </c>
      <c r="X1112" s="14"/>
      <c r="Y1112" s="10">
        <f>AC1112-AB1112</f>
        <v>0</v>
      </c>
      <c r="Z1112" s="18">
        <v>-1</v>
      </c>
      <c r="AA1112" s="18">
        <v>-1</v>
      </c>
      <c r="AB1112" s="18"/>
      <c r="AC1112" s="18"/>
      <c r="AD1112" s="1" t="s">
        <v>5753</v>
      </c>
      <c r="AE1112" s="1" t="s">
        <v>76</v>
      </c>
      <c r="AG1112" s="4">
        <v>4.45</v>
      </c>
    </row>
    <row r="1113" spans="1:33" ht="30" hidden="1" x14ac:dyDescent="0.25">
      <c r="A1113" s="10" t="s">
        <v>5754</v>
      </c>
      <c r="B1113" s="11" t="s">
        <v>33</v>
      </c>
      <c r="C1113" s="12" t="s">
        <v>5755</v>
      </c>
      <c r="D1113" s="27"/>
      <c r="E1113" s="14" t="s">
        <v>35</v>
      </c>
      <c r="F1113" s="11" t="str">
        <f>HYPERLINK("https://redirect.sdcdeals.com/redirect?destination=https%3A%2F%2Fwww.amazon.com%2Fdp%2FB09LVGBGF3%3Fth%3D1%26psc%3D1%26tag%3Dsdcdeals03-20", "Amazon Link")</f>
        <v>Amazon Link</v>
      </c>
      <c r="G1113" s="11" t="s">
        <v>36</v>
      </c>
      <c r="H1113" s="14" t="s">
        <v>5756</v>
      </c>
      <c r="I1113" s="11" t="str">
        <f>HYPERLINK("https://redirect.sdcdeals.com/redirect?code=763034&amp;mavely=https://mavely.app.link/e/bhESV2wGrGb&amp;destination=https%3A%2F%2Fwww.kohls.com%2Fsearch.jsp%3Fsubmit-search%3Dweb-regular%26search%3D86472762", "Retail Link")</f>
        <v>Retail Link</v>
      </c>
      <c r="J1113" s="14" t="s">
        <v>5751</v>
      </c>
      <c r="K1113" s="13" t="s">
        <v>5757</v>
      </c>
      <c r="L1113" s="15">
        <v>6.2960000000000003</v>
      </c>
      <c r="M1113" s="15"/>
      <c r="N1113" s="15"/>
      <c r="O1113" s="15">
        <f>V1113-M1113</f>
        <v>0</v>
      </c>
      <c r="P1113" s="16">
        <f>N1113/L1113</f>
        <v>0</v>
      </c>
      <c r="Q1113" s="14"/>
      <c r="R1113" s="14"/>
      <c r="S1113" s="17">
        <v>1.0008974799999999</v>
      </c>
      <c r="T1113" s="15"/>
      <c r="U1113" s="15"/>
      <c r="V1113" s="15"/>
      <c r="W1113" s="14" t="s">
        <v>100</v>
      </c>
      <c r="X1113" s="14"/>
      <c r="Y1113" s="10">
        <f>AC1113-AB1113</f>
        <v>0</v>
      </c>
      <c r="Z1113" s="18">
        <v>-1</v>
      </c>
      <c r="AA1113" s="18">
        <v>-1</v>
      </c>
      <c r="AB1113" s="18"/>
      <c r="AC1113" s="18"/>
      <c r="AD1113" s="1" t="s">
        <v>5753</v>
      </c>
      <c r="AE1113" s="1" t="s">
        <v>76</v>
      </c>
      <c r="AG1113" s="4">
        <v>6.6</v>
      </c>
    </row>
    <row r="1114" spans="1:33" ht="30" hidden="1" x14ac:dyDescent="0.25">
      <c r="A1114" s="10" t="s">
        <v>5758</v>
      </c>
      <c r="B1114" s="11" t="s">
        <v>33</v>
      </c>
      <c r="C1114" s="12" t="s">
        <v>5759</v>
      </c>
      <c r="D1114" s="27"/>
      <c r="E1114" s="14" t="s">
        <v>35</v>
      </c>
      <c r="F1114" s="11" t="str">
        <f>HYPERLINK("https://redirect.sdcdeals.com/redirect?destination=https%3A%2F%2Fwww.amazon.com%2Fdp%2FB09LVHKMDT%3Fth%3D1%26psc%3D1%26tag%3Dsdcdeals03-20", "Amazon Link")</f>
        <v>Amazon Link</v>
      </c>
      <c r="G1114" s="11" t="s">
        <v>36</v>
      </c>
      <c r="H1114" s="14" t="s">
        <v>5760</v>
      </c>
      <c r="I1114" s="11" t="str">
        <f>HYPERLINK("https://redirect.sdcdeals.com/redirect?code=763034&amp;mavely=https://mavely.app.link/e/bhESV2wGrGb&amp;destination=https%3A%2F%2Fwww.kohls.com%2Fsearch.jsp%3Fsubmit-search%3Dweb-regular%26search%3D86472752", "Retail Link")</f>
        <v>Retail Link</v>
      </c>
      <c r="J1114" s="14" t="s">
        <v>5751</v>
      </c>
      <c r="K1114" s="13" t="s">
        <v>5761</v>
      </c>
      <c r="L1114" s="15">
        <v>6.2960000000000003</v>
      </c>
      <c r="M1114" s="15"/>
      <c r="N1114" s="15"/>
      <c r="O1114" s="15">
        <f>V1114-M1114</f>
        <v>0</v>
      </c>
      <c r="P1114" s="16">
        <f>N1114/L1114</f>
        <v>0</v>
      </c>
      <c r="Q1114" s="14"/>
      <c r="R1114" s="14"/>
      <c r="S1114" s="17">
        <v>1.0008974799999999</v>
      </c>
      <c r="T1114" s="15"/>
      <c r="U1114" s="15"/>
      <c r="V1114" s="15"/>
      <c r="W1114" s="14" t="s">
        <v>330</v>
      </c>
      <c r="X1114" s="14"/>
      <c r="Y1114" s="10">
        <f>AC1114-AB1114</f>
        <v>0</v>
      </c>
      <c r="Z1114" s="18">
        <v>-1</v>
      </c>
      <c r="AA1114" s="18">
        <v>-1</v>
      </c>
      <c r="AB1114" s="18"/>
      <c r="AC1114" s="18"/>
      <c r="AD1114" s="1" t="s">
        <v>5753</v>
      </c>
      <c r="AE1114" s="1" t="s">
        <v>5762</v>
      </c>
      <c r="AG1114" s="4">
        <v>6.6</v>
      </c>
    </row>
    <row r="1115" spans="1:33" ht="30" hidden="1" x14ac:dyDescent="0.25">
      <c r="A1115" s="10" t="s">
        <v>5763</v>
      </c>
      <c r="B1115" s="11" t="s">
        <v>33</v>
      </c>
      <c r="C1115" s="12" t="s">
        <v>5764</v>
      </c>
      <c r="D1115" s="27"/>
      <c r="E1115" s="14" t="s">
        <v>35</v>
      </c>
      <c r="F1115" s="11" t="str">
        <f>HYPERLINK("https://redirect.sdcdeals.com/redirect?destination=https%3A%2F%2Fwww.amazon.com%2Fdp%2FB09LVHBDL1%3Fth%3D1%26psc%3D1%26tag%3Dsdcdeals03-20", "Amazon Link")</f>
        <v>Amazon Link</v>
      </c>
      <c r="G1115" s="11" t="s">
        <v>36</v>
      </c>
      <c r="H1115" s="14" t="s">
        <v>5765</v>
      </c>
      <c r="I1115" s="11" t="str">
        <f>HYPERLINK("https://redirect.sdcdeals.com/redirect?code=763034&amp;mavely=https://mavely.app.link/e/bhESV2wGrGb&amp;destination=https%3A%2F%2Fwww.kohls.com%2Fsearch.jsp%3Fsubmit-search%3Dweb-regular%26search%3D86472754", "Retail Link")</f>
        <v>Retail Link</v>
      </c>
      <c r="J1115" s="14" t="s">
        <v>5751</v>
      </c>
      <c r="K1115" s="13" t="s">
        <v>5766</v>
      </c>
      <c r="L1115" s="15">
        <v>6.2960000000000003</v>
      </c>
      <c r="M1115" s="15"/>
      <c r="N1115" s="15"/>
      <c r="O1115" s="15">
        <f>V1115-M1115</f>
        <v>0</v>
      </c>
      <c r="P1115" s="16">
        <f>N1115/L1115</f>
        <v>0</v>
      </c>
      <c r="Q1115" s="14"/>
      <c r="R1115" s="14"/>
      <c r="S1115" s="17">
        <v>1.0008974799999999</v>
      </c>
      <c r="T1115" s="15"/>
      <c r="U1115" s="15"/>
      <c r="V1115" s="15"/>
      <c r="W1115" s="14" t="s">
        <v>88</v>
      </c>
      <c r="X1115" s="14"/>
      <c r="Y1115" s="10">
        <f>AC1115-AB1115</f>
        <v>0</v>
      </c>
      <c r="Z1115" s="18">
        <v>-1</v>
      </c>
      <c r="AA1115" s="18">
        <v>-1</v>
      </c>
      <c r="AB1115" s="18"/>
      <c r="AC1115" s="18"/>
      <c r="AD1115" s="1" t="s">
        <v>5753</v>
      </c>
      <c r="AE1115" s="1" t="s">
        <v>5762</v>
      </c>
      <c r="AG1115" s="4">
        <v>6.6</v>
      </c>
    </row>
    <row r="1116" spans="1:33" ht="30" hidden="1" x14ac:dyDescent="0.25">
      <c r="A1116" s="10" t="s">
        <v>5767</v>
      </c>
      <c r="B1116" s="11" t="s">
        <v>33</v>
      </c>
      <c r="C1116" s="12" t="s">
        <v>5768</v>
      </c>
      <c r="D1116" s="27"/>
      <c r="E1116" s="14" t="s">
        <v>35</v>
      </c>
      <c r="F1116" s="11" t="str">
        <f>HYPERLINK("https://redirect.sdcdeals.com/redirect?destination=https%3A%2F%2Fwww.amazon.com%2Fdp%2FB09LVJ33NZ%3Fth%3D1%26psc%3D1%26tag%3Dsdcdeals03-20", "Amazon Link")</f>
        <v>Amazon Link</v>
      </c>
      <c r="G1116" s="11" t="s">
        <v>36</v>
      </c>
      <c r="H1116" s="14" t="s">
        <v>5769</v>
      </c>
      <c r="I1116" s="11" t="str">
        <f>HYPERLINK("https://redirect.sdcdeals.com/redirect?code=763034&amp;mavely=https://mavely.app.link/e/bhESV2wGrGb&amp;destination=https%3A%2F%2Fwww.kohls.com%2Fsearch.jsp%3Fsubmit-search%3Dweb-regular%26search%3D86472755", "Retail Link")</f>
        <v>Retail Link</v>
      </c>
      <c r="J1116" s="14" t="s">
        <v>5751</v>
      </c>
      <c r="K1116" s="13" t="s">
        <v>5770</v>
      </c>
      <c r="L1116" s="15">
        <v>6.2960000000000003</v>
      </c>
      <c r="M1116" s="15"/>
      <c r="N1116" s="15"/>
      <c r="O1116" s="15">
        <f>V1116-M1116</f>
        <v>0</v>
      </c>
      <c r="P1116" s="16">
        <f>N1116/L1116</f>
        <v>0</v>
      </c>
      <c r="Q1116" s="14"/>
      <c r="R1116" s="14"/>
      <c r="S1116" s="17">
        <v>1.0008974799999999</v>
      </c>
      <c r="T1116" s="15"/>
      <c r="U1116" s="15"/>
      <c r="V1116" s="15"/>
      <c r="W1116" s="14" t="s">
        <v>60</v>
      </c>
      <c r="X1116" s="14"/>
      <c r="Y1116" s="10">
        <f>AC1116-AB1116</f>
        <v>0</v>
      </c>
      <c r="Z1116" s="18">
        <v>-1</v>
      </c>
      <c r="AA1116" s="18">
        <v>-1</v>
      </c>
      <c r="AB1116" s="18"/>
      <c r="AC1116" s="18"/>
      <c r="AD1116" s="1" t="s">
        <v>5753</v>
      </c>
      <c r="AE1116" s="1" t="s">
        <v>5762</v>
      </c>
      <c r="AG1116" s="4">
        <v>6.6</v>
      </c>
    </row>
    <row r="1117" spans="1:33" hidden="1" x14ac:dyDescent="0.25">
      <c r="A1117" s="10" t="s">
        <v>6019</v>
      </c>
      <c r="B1117" s="11" t="s">
        <v>33</v>
      </c>
      <c r="C1117" s="12" t="s">
        <v>6020</v>
      </c>
      <c r="D1117" s="27"/>
      <c r="E1117" s="14" t="s">
        <v>35</v>
      </c>
      <c r="F1117" s="11" t="str">
        <f>HYPERLINK("https://redirect.sdcdeals.com/redirect?destination=https%3A%2F%2Fwww.amazon.com%2Fdp%2FB0CFB9L51S%3Fth%3D1%26psc%3D1%26tag%3Dsdcdeals03-20", "Amazon Link")</f>
        <v>Amazon Link</v>
      </c>
      <c r="G1117" s="11" t="s">
        <v>36</v>
      </c>
      <c r="H1117" s="14" t="s">
        <v>6021</v>
      </c>
      <c r="I1117" s="11" t="str">
        <f>HYPERLINK("https://redirect.sdcdeals.com/redirect?code=763034&amp;mavely=https://mavely.app.link/e/bhESV2wGrGb&amp;destination=https%3A%2F%2Fwww.kohls.com%2Fsearch.jsp%3Fsubmit-search%3Dweb-regular%26search%3D54568183", "Retail Link")</f>
        <v>Retail Link</v>
      </c>
      <c r="J1117" s="14" t="s">
        <v>6022</v>
      </c>
      <c r="K1117" s="13" t="s">
        <v>6023</v>
      </c>
      <c r="L1117" s="15">
        <v>5.7200000000000006</v>
      </c>
      <c r="M1117" s="15"/>
      <c r="N1117" s="15"/>
      <c r="O1117" s="15">
        <f>V1117-M1117</f>
        <v>0</v>
      </c>
      <c r="P1117" s="16">
        <f>N1117/L1117</f>
        <v>0</v>
      </c>
      <c r="Q1117" s="14"/>
      <c r="R1117" s="14"/>
      <c r="S1117" s="17"/>
      <c r="T1117" s="15"/>
      <c r="U1117" s="15"/>
      <c r="V1117" s="15"/>
      <c r="W1117" s="14" t="s">
        <v>6024</v>
      </c>
      <c r="X1117" s="14"/>
      <c r="Y1117" s="10">
        <f>AC1117-AB1117</f>
        <v>0</v>
      </c>
      <c r="Z1117" s="18">
        <v>0</v>
      </c>
      <c r="AA1117" s="18">
        <v>0</v>
      </c>
      <c r="AB1117" s="18"/>
      <c r="AC1117" s="18"/>
      <c r="AE1117" s="1" t="s">
        <v>6025</v>
      </c>
    </row>
    <row r="1118" spans="1:33" hidden="1" x14ac:dyDescent="0.25">
      <c r="A1118" s="10" t="s">
        <v>6026</v>
      </c>
      <c r="B1118" s="11" t="s">
        <v>33</v>
      </c>
      <c r="C1118" s="12" t="s">
        <v>6027</v>
      </c>
      <c r="D1118" s="27"/>
      <c r="E1118" s="14" t="s">
        <v>35</v>
      </c>
      <c r="F1118" s="11" t="str">
        <f>HYPERLINK("https://redirect.sdcdeals.com/redirect?destination=https%3A%2F%2Fwww.amazon.com%2Fdp%2FB0CFB8LVST%3Fth%3D1%26psc%3D1%26tag%3Dsdcdeals03-20", "Amazon Link")</f>
        <v>Amazon Link</v>
      </c>
      <c r="G1118" s="11" t="s">
        <v>36</v>
      </c>
      <c r="H1118" s="14" t="s">
        <v>6028</v>
      </c>
      <c r="I1118" s="11" t="str">
        <f>HYPERLINK("https://redirect.sdcdeals.com/redirect?code=763034&amp;mavely=https://mavely.app.link/e/bhESV2wGrGb&amp;destination=https%3A%2F%2Fwww.kohls.com%2Fsearch.jsp%3Fsubmit-search%3Dweb-regular%26search%3D29259301", "Retail Link")</f>
        <v>Retail Link</v>
      </c>
      <c r="J1118" s="14" t="s">
        <v>6022</v>
      </c>
      <c r="K1118" s="13" t="s">
        <v>6029</v>
      </c>
      <c r="L1118" s="15">
        <v>5.7200000000000006</v>
      </c>
      <c r="M1118" s="15"/>
      <c r="N1118" s="15"/>
      <c r="O1118" s="15">
        <f>V1118-M1118</f>
        <v>0</v>
      </c>
      <c r="P1118" s="16">
        <f>N1118/L1118</f>
        <v>0</v>
      </c>
      <c r="Q1118" s="14"/>
      <c r="R1118" s="14"/>
      <c r="S1118" s="17"/>
      <c r="T1118" s="15"/>
      <c r="U1118" s="15"/>
      <c r="V1118" s="15"/>
      <c r="W1118" s="14" t="s">
        <v>6030</v>
      </c>
      <c r="X1118" s="14"/>
      <c r="Y1118" s="10">
        <f>AC1118-AB1118</f>
        <v>0</v>
      </c>
      <c r="Z1118" s="18">
        <v>0</v>
      </c>
      <c r="AA1118" s="18">
        <v>0</v>
      </c>
      <c r="AB1118" s="18"/>
      <c r="AC1118" s="18"/>
      <c r="AE1118" s="1" t="s">
        <v>6025</v>
      </c>
    </row>
    <row r="1119" spans="1:33" ht="45" x14ac:dyDescent="0.25">
      <c r="A1119" s="10" t="s">
        <v>6072</v>
      </c>
      <c r="B1119" s="11" t="s">
        <v>33</v>
      </c>
      <c r="C1119" s="12" t="s">
        <v>6073</v>
      </c>
      <c r="D1119" s="27"/>
      <c r="E1119" s="14" t="s">
        <v>35</v>
      </c>
      <c r="F1119" s="11" t="str">
        <f>HYPERLINK("https://redirect.sdcdeals.com/redirect?destination=https%3A%2F%2Fwww.amazon.com%2Fdp%2FB0BFTXD38P%3Fth%3D1%26psc%3D1%26tag%3Dsdcdeals03-20", "Amazon Link")</f>
        <v>Amazon Link</v>
      </c>
      <c r="G1119" s="11" t="s">
        <v>36</v>
      </c>
      <c r="H1119" s="14" t="s">
        <v>6074</v>
      </c>
      <c r="I1119" s="11" t="str">
        <f>HYPERLINK("https://redirect.sdcdeals.com/redirect?code=763034&amp;mavely=https://mavely.app.link/e/bhESV2wGrGb&amp;destination=https%3A%2F%2Fwww.kohls.com%2Fsearch.jsp%3Fsubmit-search%3Dweb-regular%26search%3D66293121", "Retail Link")</f>
        <v>Retail Link</v>
      </c>
      <c r="J1119" s="14" t="s">
        <v>6065</v>
      </c>
      <c r="K1119" s="13" t="s">
        <v>6075</v>
      </c>
      <c r="L1119" s="15">
        <v>54</v>
      </c>
      <c r="M1119" s="15"/>
      <c r="N1119" s="15"/>
      <c r="O1119" s="15">
        <f>V1119-M1119</f>
        <v>0</v>
      </c>
      <c r="P1119" s="16">
        <f>N1119/L1119</f>
        <v>0</v>
      </c>
      <c r="Q1119" s="14">
        <v>2563893</v>
      </c>
      <c r="R1119" s="14"/>
      <c r="S1119" s="17">
        <v>2.5992469800000002</v>
      </c>
      <c r="T1119" s="15"/>
      <c r="U1119" s="15"/>
      <c r="V1119" s="15"/>
      <c r="W1119" s="14" t="s">
        <v>959</v>
      </c>
      <c r="X1119" s="14"/>
      <c r="Y1119" s="10">
        <f>AC1119-AB1119</f>
        <v>0</v>
      </c>
      <c r="Z1119" s="18">
        <v>1</v>
      </c>
      <c r="AA1119" s="18">
        <v>2</v>
      </c>
      <c r="AB1119" s="18">
        <v>0</v>
      </c>
      <c r="AC1119" s="18"/>
      <c r="AD1119" s="1" t="s">
        <v>6067</v>
      </c>
      <c r="AE1119" s="1" t="s">
        <v>6076</v>
      </c>
      <c r="AG1119" s="4">
        <v>14.17</v>
      </c>
    </row>
    <row r="1120" spans="1:33" ht="45" x14ac:dyDescent="0.25">
      <c r="A1120" s="10" t="s">
        <v>6082</v>
      </c>
      <c r="B1120" s="11" t="s">
        <v>33</v>
      </c>
      <c r="C1120" s="12" t="s">
        <v>6083</v>
      </c>
      <c r="D1120" s="27"/>
      <c r="E1120" s="14" t="s">
        <v>35</v>
      </c>
      <c r="F1120" s="11" t="str">
        <f>HYPERLINK("https://redirect.sdcdeals.com/redirect?destination=https%3A%2F%2Fwww.amazon.com%2Fdp%2FB0BFTQX4NC%3Fth%3D1%26psc%3D1%26tag%3Dsdcdeals03-20", "Amazon Link")</f>
        <v>Amazon Link</v>
      </c>
      <c r="G1120" s="11" t="s">
        <v>36</v>
      </c>
      <c r="H1120" s="14" t="s">
        <v>6084</v>
      </c>
      <c r="I1120" s="11" t="str">
        <f>HYPERLINK("https://redirect.sdcdeals.com/redirect?code=763034&amp;mavely=https://mavely.app.link/e/bhESV2wGrGb&amp;destination=https%3A%2F%2Fwww.kohls.com%2Fsearch.jsp%3Fsubmit-search%3Dweb-regular%26search%3D80018211", "Retail Link")</f>
        <v>Retail Link</v>
      </c>
      <c r="J1120" s="14" t="s">
        <v>6065</v>
      </c>
      <c r="K1120" s="13" t="s">
        <v>6085</v>
      </c>
      <c r="L1120" s="15">
        <v>54</v>
      </c>
      <c r="M1120" s="15"/>
      <c r="N1120" s="15"/>
      <c r="O1120" s="15">
        <f>V1120-M1120</f>
        <v>0</v>
      </c>
      <c r="P1120" s="16">
        <f>N1120/L1120</f>
        <v>0</v>
      </c>
      <c r="Q1120" s="14">
        <v>2563893</v>
      </c>
      <c r="R1120" s="14"/>
      <c r="S1120" s="17">
        <v>2.40083118</v>
      </c>
      <c r="T1120" s="15"/>
      <c r="U1120" s="15"/>
      <c r="V1120" s="15"/>
      <c r="W1120" s="14" t="s">
        <v>46</v>
      </c>
      <c r="X1120" s="14"/>
      <c r="Y1120" s="10">
        <f>AC1120-AB1120</f>
        <v>1</v>
      </c>
      <c r="Z1120" s="18">
        <v>1</v>
      </c>
      <c r="AA1120" s="18">
        <v>1</v>
      </c>
      <c r="AB1120" s="18">
        <v>0</v>
      </c>
      <c r="AC1120" s="18">
        <v>1</v>
      </c>
      <c r="AD1120" s="1" t="s">
        <v>6067</v>
      </c>
      <c r="AE1120" s="1" t="s">
        <v>138</v>
      </c>
      <c r="AG1120" s="4">
        <v>13.41</v>
      </c>
    </row>
    <row r="1121" spans="1:33" ht="45" x14ac:dyDescent="0.25">
      <c r="A1121" s="10" t="s">
        <v>6090</v>
      </c>
      <c r="B1121" s="11" t="s">
        <v>33</v>
      </c>
      <c r="C1121" s="12" t="s">
        <v>6091</v>
      </c>
      <c r="D1121" s="27"/>
      <c r="E1121" s="14" t="s">
        <v>35</v>
      </c>
      <c r="F1121" s="11" t="str">
        <f>HYPERLINK("https://redirect.sdcdeals.com/redirect?destination=https%3A%2F%2Fwww.amazon.com%2Fdp%2FB0BFTRJCTF%3Fth%3D1%26psc%3D1%26tag%3Dsdcdeals03-20", "Amazon Link")</f>
        <v>Amazon Link</v>
      </c>
      <c r="G1121" s="11" t="s">
        <v>36</v>
      </c>
      <c r="H1121" s="14" t="s">
        <v>6092</v>
      </c>
      <c r="I1121" s="11" t="str">
        <f>HYPERLINK("https://redirect.sdcdeals.com/redirect?code=763034&amp;mavely=https://mavely.app.link/e/bhESV2wGrGb&amp;destination=https%3A%2F%2Fwww.kohls.com%2Fsearch.jsp%3Fsubmit-search%3Dweb-regular%26search%3D66293139", "Retail Link")</f>
        <v>Retail Link</v>
      </c>
      <c r="J1121" s="14" t="s">
        <v>6065</v>
      </c>
      <c r="K1121" s="13" t="s">
        <v>6093</v>
      </c>
      <c r="L1121" s="15">
        <v>54</v>
      </c>
      <c r="M1121" s="15"/>
      <c r="N1121" s="15"/>
      <c r="O1121" s="15">
        <f>V1121-M1121</f>
        <v>0</v>
      </c>
      <c r="P1121" s="16">
        <f>N1121/L1121</f>
        <v>0</v>
      </c>
      <c r="Q1121" s="14">
        <v>2563893</v>
      </c>
      <c r="R1121" s="14"/>
      <c r="S1121" s="17">
        <v>2.5992469800000002</v>
      </c>
      <c r="T1121" s="15"/>
      <c r="U1121" s="15"/>
      <c r="V1121" s="15"/>
      <c r="W1121" s="14" t="s">
        <v>1579</v>
      </c>
      <c r="X1121" s="14"/>
      <c r="Y1121" s="10">
        <f>AC1121-AB1121</f>
        <v>0</v>
      </c>
      <c r="Z1121" s="18">
        <v>1</v>
      </c>
      <c r="AA1121" s="18">
        <v>1</v>
      </c>
      <c r="AB1121" s="18">
        <v>0</v>
      </c>
      <c r="AC1121" s="18"/>
      <c r="AD1121" s="1" t="s">
        <v>6067</v>
      </c>
      <c r="AE1121" s="1" t="s">
        <v>6081</v>
      </c>
      <c r="AG1121" s="4">
        <v>14.17</v>
      </c>
    </row>
    <row r="1122" spans="1:33" ht="45" x14ac:dyDescent="0.25">
      <c r="A1122" s="10" t="s">
        <v>6094</v>
      </c>
      <c r="B1122" s="11" t="s">
        <v>33</v>
      </c>
      <c r="C1122" s="12" t="s">
        <v>6095</v>
      </c>
      <c r="D1122" s="27"/>
      <c r="E1122" s="14" t="s">
        <v>35</v>
      </c>
      <c r="F1122" s="11" t="str">
        <f>HYPERLINK("https://redirect.sdcdeals.com/redirect?destination=https%3A%2F%2Fwww.amazon.com%2Fdp%2FB0BFTRGZSJ%3Fth%3D1%26psc%3D1%26tag%3Dsdcdeals03-20", "Amazon Link")</f>
        <v>Amazon Link</v>
      </c>
      <c r="G1122" s="11" t="s">
        <v>36</v>
      </c>
      <c r="H1122" s="14" t="s">
        <v>6096</v>
      </c>
      <c r="I1122" s="11" t="str">
        <f>HYPERLINK("https://redirect.sdcdeals.com/redirect?code=763034&amp;mavely=https://mavely.app.link/e/bhESV2wGrGb&amp;destination=https%3A%2F%2Fwww.kohls.com%2Fsearch.jsp%3Fsubmit-search%3Dweb-regular%26search%3D66293122", "Retail Link")</f>
        <v>Retail Link</v>
      </c>
      <c r="J1122" s="14" t="s">
        <v>6065</v>
      </c>
      <c r="K1122" s="13" t="s">
        <v>6097</v>
      </c>
      <c r="L1122" s="15">
        <v>54</v>
      </c>
      <c r="M1122" s="15"/>
      <c r="N1122" s="15"/>
      <c r="O1122" s="15">
        <f>V1122-M1122</f>
        <v>0</v>
      </c>
      <c r="P1122" s="16">
        <f>N1122/L1122</f>
        <v>0</v>
      </c>
      <c r="Q1122" s="14">
        <v>2563893</v>
      </c>
      <c r="R1122" s="14"/>
      <c r="S1122" s="17">
        <v>2.5992469800000002</v>
      </c>
      <c r="T1122" s="15"/>
      <c r="U1122" s="15"/>
      <c r="V1122" s="15"/>
      <c r="W1122" s="14" t="s">
        <v>588</v>
      </c>
      <c r="X1122" s="14"/>
      <c r="Y1122" s="10">
        <f>AC1122-AB1122</f>
        <v>0</v>
      </c>
      <c r="Z1122" s="18">
        <v>1</v>
      </c>
      <c r="AA1122" s="18">
        <v>1</v>
      </c>
      <c r="AB1122" s="18">
        <v>0</v>
      </c>
      <c r="AC1122" s="18"/>
      <c r="AD1122" s="1" t="s">
        <v>6067</v>
      </c>
      <c r="AE1122" s="1" t="s">
        <v>6076</v>
      </c>
      <c r="AG1122" s="4">
        <v>14.17</v>
      </c>
    </row>
    <row r="1123" spans="1:33" ht="30" x14ac:dyDescent="0.25">
      <c r="A1123" s="10" t="s">
        <v>6098</v>
      </c>
      <c r="B1123" s="11" t="s">
        <v>33</v>
      </c>
      <c r="C1123" s="12" t="s">
        <v>6099</v>
      </c>
      <c r="D1123" s="27"/>
      <c r="E1123" s="14" t="s">
        <v>35</v>
      </c>
      <c r="F1123" s="11" t="str">
        <f>HYPERLINK("https://redirect.sdcdeals.com/redirect?destination=https%3A%2F%2Fwww.amazon.com%2Fdp%2FB0BFTCY24M%3Fth%3D1%26psc%3D1%26tag%3Dsdcdeals03-20", "Amazon Link")</f>
        <v>Amazon Link</v>
      </c>
      <c r="G1123" s="11" t="s">
        <v>36</v>
      </c>
      <c r="H1123" s="14" t="s">
        <v>6100</v>
      </c>
      <c r="I1123" s="11" t="str">
        <f>HYPERLINK("https://redirect.sdcdeals.com/redirect?code=763034&amp;mavely=https://mavely.app.link/e/bhESV2wGrGb&amp;destination=https%3A%2F%2Fwww.kohls.com%2Fsearch.jsp%3Fsubmit-search%3Dweb-regular%26search%3D80018203", "Retail Link")</f>
        <v>Retail Link</v>
      </c>
      <c r="J1123" s="14" t="s">
        <v>6065</v>
      </c>
      <c r="K1123" s="13" t="s">
        <v>6101</v>
      </c>
      <c r="L1123" s="15">
        <v>54</v>
      </c>
      <c r="M1123" s="15"/>
      <c r="N1123" s="15"/>
      <c r="O1123" s="15">
        <f>V1123-M1123</f>
        <v>0</v>
      </c>
      <c r="P1123" s="16">
        <f>N1123/L1123</f>
        <v>0</v>
      </c>
      <c r="Q1123" s="14">
        <v>2563893</v>
      </c>
      <c r="R1123" s="14"/>
      <c r="S1123" s="17">
        <v>2.5992469800000002</v>
      </c>
      <c r="T1123" s="15"/>
      <c r="U1123" s="15"/>
      <c r="V1123" s="15"/>
      <c r="W1123" s="14" t="s">
        <v>576</v>
      </c>
      <c r="X1123" s="14"/>
      <c r="Y1123" s="10">
        <f>AC1123-AB1123</f>
        <v>0</v>
      </c>
      <c r="Z1123" s="18">
        <v>1</v>
      </c>
      <c r="AA1123" s="18">
        <v>1</v>
      </c>
      <c r="AB1123" s="18">
        <v>0</v>
      </c>
      <c r="AC1123" s="18"/>
      <c r="AD1123" s="1" t="s">
        <v>6067</v>
      </c>
      <c r="AE1123" s="1" t="s">
        <v>76</v>
      </c>
      <c r="AG1123" s="4">
        <v>14.17</v>
      </c>
    </row>
    <row r="1124" spans="1:33" ht="45" x14ac:dyDescent="0.25">
      <c r="A1124" s="10" t="s">
        <v>6106</v>
      </c>
      <c r="B1124" s="11" t="s">
        <v>33</v>
      </c>
      <c r="C1124" s="12" t="s">
        <v>6107</v>
      </c>
      <c r="D1124" s="27"/>
      <c r="E1124" s="14" t="s">
        <v>35</v>
      </c>
      <c r="F1124" s="11" t="str">
        <f>HYPERLINK("https://redirect.sdcdeals.com/redirect?destination=https%3A%2F%2Fwww.amazon.com%2Fdp%2FB0BFTYWJWT%3Fth%3D1%26psc%3D1%26tag%3Dsdcdeals03-20", "Amazon Link")</f>
        <v>Amazon Link</v>
      </c>
      <c r="G1124" s="11" t="s">
        <v>36</v>
      </c>
      <c r="H1124" s="14" t="s">
        <v>6108</v>
      </c>
      <c r="I1124" s="11" t="str">
        <f>HYPERLINK("https://redirect.sdcdeals.com/redirect?code=763034&amp;mavely=https://mavely.app.link/e/bhESV2wGrGb&amp;destination=https%3A%2F%2Fwww.kohls.com%2Fsearch.jsp%3Fsubmit-search%3Dweb-regular%26search%3D66293129", "Retail Link")</f>
        <v>Retail Link</v>
      </c>
      <c r="J1124" s="14" t="s">
        <v>6065</v>
      </c>
      <c r="K1124" s="13" t="s">
        <v>6109</v>
      </c>
      <c r="L1124" s="15">
        <v>54</v>
      </c>
      <c r="M1124" s="15"/>
      <c r="N1124" s="15"/>
      <c r="O1124" s="15">
        <f>V1124-M1124</f>
        <v>0</v>
      </c>
      <c r="P1124" s="16">
        <f>N1124/L1124</f>
        <v>0</v>
      </c>
      <c r="Q1124" s="14">
        <v>2563893</v>
      </c>
      <c r="R1124" s="14"/>
      <c r="S1124" s="17">
        <v>2.5992469800000002</v>
      </c>
      <c r="T1124" s="15"/>
      <c r="U1124" s="15"/>
      <c r="V1124" s="15"/>
      <c r="W1124" s="14" t="s">
        <v>282</v>
      </c>
      <c r="X1124" s="14"/>
      <c r="Y1124" s="10">
        <f>AC1124-AB1124</f>
        <v>1</v>
      </c>
      <c r="Z1124" s="18">
        <v>1</v>
      </c>
      <c r="AA1124" s="18">
        <v>1</v>
      </c>
      <c r="AB1124" s="18">
        <v>0</v>
      </c>
      <c r="AC1124" s="18">
        <v>1</v>
      </c>
      <c r="AD1124" s="1" t="s">
        <v>6067</v>
      </c>
      <c r="AE1124" s="1" t="s">
        <v>6076</v>
      </c>
      <c r="AG1124" s="4">
        <v>14.17</v>
      </c>
    </row>
    <row r="1125" spans="1:33" ht="45" x14ac:dyDescent="0.25">
      <c r="A1125" s="10" t="s">
        <v>6110</v>
      </c>
      <c r="B1125" s="11" t="s">
        <v>33</v>
      </c>
      <c r="C1125" s="12" t="s">
        <v>6111</v>
      </c>
      <c r="D1125" s="27"/>
      <c r="E1125" s="14" t="s">
        <v>35</v>
      </c>
      <c r="F1125" s="11" t="str">
        <f>HYPERLINK("https://redirect.sdcdeals.com/redirect?destination=https%3A%2F%2Fwww.amazon.com%2Fdp%2FB0BFTXG69W%3Fth%3D1%26psc%3D1%26tag%3Dsdcdeals03-20", "Amazon Link")</f>
        <v>Amazon Link</v>
      </c>
      <c r="G1125" s="11" t="s">
        <v>36</v>
      </c>
      <c r="H1125" s="14" t="s">
        <v>6112</v>
      </c>
      <c r="I1125" s="11" t="str">
        <f>HYPERLINK("https://redirect.sdcdeals.com/redirect?code=763034&amp;mavely=https://mavely.app.link/e/bhESV2wGrGb&amp;destination=https%3A%2F%2Fwww.kohls.com%2Fsearch.jsp%3Fsubmit-search%3Dweb-regular%26search%3D66293140", "Retail Link")</f>
        <v>Retail Link</v>
      </c>
      <c r="J1125" s="14" t="s">
        <v>6065</v>
      </c>
      <c r="K1125" s="13" t="s">
        <v>6113</v>
      </c>
      <c r="L1125" s="15">
        <v>54</v>
      </c>
      <c r="M1125" s="15"/>
      <c r="N1125" s="15"/>
      <c r="O1125" s="15">
        <f>V1125-M1125</f>
        <v>0</v>
      </c>
      <c r="P1125" s="16">
        <f>N1125/L1125</f>
        <v>0</v>
      </c>
      <c r="Q1125" s="14">
        <v>6569481</v>
      </c>
      <c r="R1125" s="14"/>
      <c r="S1125" s="17">
        <v>2.5992469800000002</v>
      </c>
      <c r="T1125" s="15"/>
      <c r="U1125" s="15"/>
      <c r="V1125" s="15"/>
      <c r="W1125" s="14" t="s">
        <v>849</v>
      </c>
      <c r="X1125" s="14"/>
      <c r="Y1125" s="10">
        <f>AC1125-AB1125</f>
        <v>1</v>
      </c>
      <c r="Z1125" s="18">
        <v>0</v>
      </c>
      <c r="AA1125" s="18">
        <v>0</v>
      </c>
      <c r="AB1125" s="18">
        <v>0</v>
      </c>
      <c r="AC1125" s="18">
        <v>1</v>
      </c>
      <c r="AD1125" s="1" t="s">
        <v>6067</v>
      </c>
      <c r="AE1125" s="1" t="s">
        <v>6081</v>
      </c>
      <c r="AG1125" s="4">
        <v>14.17</v>
      </c>
    </row>
    <row r="1126" spans="1:33" ht="45" x14ac:dyDescent="0.25">
      <c r="A1126" s="10" t="s">
        <v>6114</v>
      </c>
      <c r="B1126" s="11" t="s">
        <v>33</v>
      </c>
      <c r="C1126" s="12" t="s">
        <v>6115</v>
      </c>
      <c r="D1126" s="27"/>
      <c r="E1126" s="14" t="s">
        <v>35</v>
      </c>
      <c r="F1126" s="11" t="str">
        <f>HYPERLINK("https://redirect.sdcdeals.com/redirect?destination=https%3A%2F%2Fwww.amazon.com%2Fdp%2FB0BFVHM2P3%3Fth%3D1%26psc%3D1%26tag%3Dsdcdeals03-20", "Amazon Link")</f>
        <v>Amazon Link</v>
      </c>
      <c r="G1126" s="11" t="s">
        <v>36</v>
      </c>
      <c r="H1126" s="14" t="s">
        <v>6116</v>
      </c>
      <c r="I1126" s="11" t="str">
        <f>HYPERLINK("https://redirect.sdcdeals.com/redirect?code=763034&amp;mavely=https://mavely.app.link/e/bhESV2wGrGb&amp;destination=https%3A%2F%2Fwww.kohls.com%2Fsearch.jsp%3Fsubmit-search%3Dweb-regular%26search%3D66293141", "Retail Link")</f>
        <v>Retail Link</v>
      </c>
      <c r="J1126" s="14" t="s">
        <v>6065</v>
      </c>
      <c r="K1126" s="13" t="s">
        <v>6117</v>
      </c>
      <c r="L1126" s="15">
        <v>54</v>
      </c>
      <c r="M1126" s="15"/>
      <c r="N1126" s="15"/>
      <c r="O1126" s="15">
        <f>V1126-M1126</f>
        <v>0</v>
      </c>
      <c r="P1126" s="16">
        <f>N1126/L1126</f>
        <v>0</v>
      </c>
      <c r="Q1126" s="14">
        <v>2563893</v>
      </c>
      <c r="R1126" s="14"/>
      <c r="S1126" s="17">
        <v>2.5992469800000002</v>
      </c>
      <c r="T1126" s="15"/>
      <c r="U1126" s="15"/>
      <c r="V1126" s="15"/>
      <c r="W1126" s="14" t="s">
        <v>131</v>
      </c>
      <c r="X1126" s="14"/>
      <c r="Y1126" s="10">
        <f>AC1126-AB1126</f>
        <v>1</v>
      </c>
      <c r="Z1126" s="18">
        <v>1</v>
      </c>
      <c r="AA1126" s="18">
        <v>1</v>
      </c>
      <c r="AB1126" s="18">
        <v>0</v>
      </c>
      <c r="AC1126" s="18">
        <v>1</v>
      </c>
      <c r="AD1126" s="1" t="s">
        <v>6067</v>
      </c>
      <c r="AE1126" s="1" t="s">
        <v>6081</v>
      </c>
      <c r="AG1126" s="4">
        <v>14.17</v>
      </c>
    </row>
    <row r="1127" spans="1:33" ht="30" x14ac:dyDescent="0.25">
      <c r="A1127" s="10" t="s">
        <v>6215</v>
      </c>
      <c r="B1127" s="11" t="s">
        <v>33</v>
      </c>
      <c r="C1127" s="12" t="s">
        <v>6216</v>
      </c>
      <c r="D1127" s="27"/>
      <c r="E1127" s="14" t="s">
        <v>35</v>
      </c>
      <c r="F1127" s="11" t="str">
        <f>HYPERLINK("https://redirect.sdcdeals.com/redirect?destination=https%3A%2F%2Fwww.amazon.com%2Fdp%2FB0CLYRRLX4%3Fth%3D1%26psc%3D1%26tag%3Dsdcdeals03-20", "Amazon Link")</f>
        <v>Amazon Link</v>
      </c>
      <c r="G1127" s="11" t="s">
        <v>36</v>
      </c>
      <c r="H1127" s="14" t="s">
        <v>6217</v>
      </c>
      <c r="I1127" s="11" t="str">
        <f>HYPERLINK("https://redirect.sdcdeals.com/redirect?code=763034&amp;mavely=https://mavely.app.link/e/bhESV2wGrGb&amp;destination=https%3A%2F%2Fwww.kohls.com%2Fsearch.jsp%3Fsubmit-search%3Dweb-regular%26search%3D76846071", "Retail Link")</f>
        <v>Retail Link</v>
      </c>
      <c r="J1127" s="14" t="s">
        <v>6218</v>
      </c>
      <c r="K1127" s="13" t="s">
        <v>6219</v>
      </c>
      <c r="L1127" s="15">
        <v>12.8</v>
      </c>
      <c r="M1127" s="15">
        <v>34.99</v>
      </c>
      <c r="N1127" s="15"/>
      <c r="O1127" s="15">
        <f>V1127-M1127</f>
        <v>-34.99</v>
      </c>
      <c r="P1127" s="16">
        <f>N1127/L1127</f>
        <v>0</v>
      </c>
      <c r="Q1127" s="14">
        <v>1562538</v>
      </c>
      <c r="R1127" s="14"/>
      <c r="S1127" s="17"/>
      <c r="T1127" s="15">
        <v>34.99</v>
      </c>
      <c r="U1127" s="15"/>
      <c r="V1127" s="15"/>
      <c r="W1127" s="14" t="s">
        <v>2078</v>
      </c>
      <c r="X1127" s="14">
        <v>1</v>
      </c>
      <c r="Y1127" s="10">
        <f>AC1127-AB1127</f>
        <v>55</v>
      </c>
      <c r="Z1127" s="18">
        <v>1</v>
      </c>
      <c r="AA1127" s="18">
        <v>2</v>
      </c>
      <c r="AB1127" s="18">
        <v>0</v>
      </c>
      <c r="AC1127" s="18">
        <v>55</v>
      </c>
      <c r="AE1127" s="1" t="s">
        <v>6220</v>
      </c>
    </row>
    <row r="1128" spans="1:33" ht="30" x14ac:dyDescent="0.25">
      <c r="A1128" s="10" t="s">
        <v>6221</v>
      </c>
      <c r="B1128" s="11" t="s">
        <v>33</v>
      </c>
      <c r="C1128" s="12" t="s">
        <v>6222</v>
      </c>
      <c r="D1128" s="27"/>
      <c r="E1128" s="14" t="s">
        <v>35</v>
      </c>
      <c r="F1128" s="11" t="str">
        <f>HYPERLINK("https://redirect.sdcdeals.com/redirect?destination=https%3A%2F%2Fwww.amazon.com%2Fdp%2FB0CMVBNZ8K%3Fth%3D1%26psc%3D1%26tag%3Dsdcdeals03-20", "Amazon Link")</f>
        <v>Amazon Link</v>
      </c>
      <c r="G1128" s="11" t="s">
        <v>36</v>
      </c>
      <c r="H1128" s="14" t="s">
        <v>6223</v>
      </c>
      <c r="I1128" s="11" t="str">
        <f>HYPERLINK("https://redirect.sdcdeals.com/redirect?code=763034&amp;mavely=https://mavely.app.link/e/bhESV2wGrGb&amp;destination=https%3A%2F%2Fwww.kohls.com%2Fsearch.jsp%3Fsubmit-search%3Dweb-regular%26search%3D47636297", "Retail Link")</f>
        <v>Retail Link</v>
      </c>
      <c r="J1128" s="14" t="s">
        <v>6218</v>
      </c>
      <c r="K1128" s="13" t="s">
        <v>6224</v>
      </c>
      <c r="L1128" s="15">
        <v>14</v>
      </c>
      <c r="M1128" s="15">
        <v>54.98</v>
      </c>
      <c r="N1128" s="15"/>
      <c r="O1128" s="15">
        <f>V1128-M1128</f>
        <v>0.22000000000000597</v>
      </c>
      <c r="P1128" s="16">
        <f>N1128/L1128</f>
        <v>0</v>
      </c>
      <c r="Q1128" s="14">
        <v>1417306</v>
      </c>
      <c r="R1128" s="14"/>
      <c r="S1128" s="17"/>
      <c r="T1128" s="15">
        <v>49.99</v>
      </c>
      <c r="U1128" s="15">
        <v>54.98</v>
      </c>
      <c r="V1128" s="15">
        <v>55.2</v>
      </c>
      <c r="W1128" s="14" t="s">
        <v>725</v>
      </c>
      <c r="X1128" s="14">
        <v>1</v>
      </c>
      <c r="Y1128" s="10">
        <f>AC1128-AB1128</f>
        <v>154</v>
      </c>
      <c r="Z1128" s="18">
        <v>0</v>
      </c>
      <c r="AA1128" s="18">
        <v>0</v>
      </c>
      <c r="AB1128" s="18">
        <v>0</v>
      </c>
      <c r="AC1128" s="18">
        <v>154</v>
      </c>
      <c r="AE1128" s="1" t="s">
        <v>935</v>
      </c>
    </row>
    <row r="1129" spans="1:33" ht="30" hidden="1" x14ac:dyDescent="0.25">
      <c r="A1129" s="10" t="s">
        <v>6225</v>
      </c>
      <c r="B1129" s="11" t="s">
        <v>33</v>
      </c>
      <c r="C1129" s="12" t="s">
        <v>6226</v>
      </c>
      <c r="D1129" s="27"/>
      <c r="E1129" s="14" t="s">
        <v>35</v>
      </c>
      <c r="F1129" s="11" t="str">
        <f>HYPERLINK("https://redirect.sdcdeals.com/redirect?destination=https%3A%2F%2Fwww.amazon.com%2Fdp%2FB0CKH5GGP1%3Fth%3D1%26psc%3D1%26tag%3Dsdcdeals03-20", "Amazon Link")</f>
        <v>Amazon Link</v>
      </c>
      <c r="G1129" s="11" t="s">
        <v>36</v>
      </c>
      <c r="H1129" s="14" t="s">
        <v>6227</v>
      </c>
      <c r="I1129" s="11" t="str">
        <f>HYPERLINK("https://redirect.sdcdeals.com/redirect?code=763034&amp;mavely=https://mavely.app.link/e/bhESV2wGrGb&amp;destination=https%3A%2F%2Fwww.kohls.com%2Fsearch.jsp%3Fsubmit-search%3Dweb-regular%26search%3D47636304", "Retail Link")</f>
        <v>Retail Link</v>
      </c>
      <c r="J1129" s="14" t="s">
        <v>6218</v>
      </c>
      <c r="K1129" s="13" t="s">
        <v>6228</v>
      </c>
      <c r="L1129" s="15">
        <v>14</v>
      </c>
      <c r="M1129" s="15">
        <v>44.98</v>
      </c>
      <c r="N1129" s="15"/>
      <c r="O1129" s="15">
        <f>V1129-M1129</f>
        <v>0</v>
      </c>
      <c r="P1129" s="16">
        <f>N1129/L1129</f>
        <v>0</v>
      </c>
      <c r="Q1129" s="14"/>
      <c r="R1129" s="14"/>
      <c r="S1129" s="17"/>
      <c r="T1129" s="15">
        <v>39.99</v>
      </c>
      <c r="U1129" s="15">
        <v>44.98</v>
      </c>
      <c r="V1129" s="15">
        <v>44.98</v>
      </c>
      <c r="W1129" s="14" t="s">
        <v>6229</v>
      </c>
      <c r="X1129" s="14">
        <v>1</v>
      </c>
      <c r="Y1129" s="10">
        <f>AC1129-AB1129</f>
        <v>0</v>
      </c>
      <c r="Z1129" s="18">
        <v>-1</v>
      </c>
      <c r="AA1129" s="18">
        <v>-1</v>
      </c>
      <c r="AB1129" s="18"/>
      <c r="AC1129" s="18"/>
      <c r="AE1129" s="1" t="s">
        <v>935</v>
      </c>
    </row>
    <row r="1130" spans="1:33" ht="30" x14ac:dyDescent="0.25">
      <c r="A1130" s="10" t="s">
        <v>6230</v>
      </c>
      <c r="B1130" s="11" t="s">
        <v>33</v>
      </c>
      <c r="C1130" s="12" t="s">
        <v>6231</v>
      </c>
      <c r="D1130" s="27"/>
      <c r="E1130" s="14" t="s">
        <v>35</v>
      </c>
      <c r="F1130" s="11" t="str">
        <f>HYPERLINK("https://redirect.sdcdeals.com/redirect?destination=https%3A%2F%2Fwww.amazon.com%2Fdp%2FB0CLYNXR2T%3Fth%3D1%26psc%3D1%26tag%3Dsdcdeals03-20", "Amazon Link")</f>
        <v>Amazon Link</v>
      </c>
      <c r="G1130" s="11" t="s">
        <v>36</v>
      </c>
      <c r="H1130" s="14" t="s">
        <v>6232</v>
      </c>
      <c r="I1130" s="11" t="str">
        <f>HYPERLINK("https://redirect.sdcdeals.com/redirect?code=763034&amp;mavely=https://mavely.app.link/e/bhESV2wGrGb&amp;destination=https%3A%2F%2Fwww.kohls.com%2Fsearch.jsp%3Fsubmit-search%3Dweb-regular%26search%3D47636307", "Retail Link")</f>
        <v>Retail Link</v>
      </c>
      <c r="J1130" s="14" t="s">
        <v>6218</v>
      </c>
      <c r="K1130" s="13" t="s">
        <v>6233</v>
      </c>
      <c r="L1130" s="15">
        <v>14</v>
      </c>
      <c r="M1130" s="15">
        <v>44.9</v>
      </c>
      <c r="N1130" s="15"/>
      <c r="O1130" s="15">
        <f>V1130-M1130</f>
        <v>0</v>
      </c>
      <c r="P1130" s="16">
        <f>N1130/L1130</f>
        <v>0</v>
      </c>
      <c r="Q1130" s="14">
        <v>1562538</v>
      </c>
      <c r="R1130" s="14"/>
      <c r="S1130" s="17"/>
      <c r="T1130" s="15">
        <v>39.909999999999997</v>
      </c>
      <c r="U1130" s="15">
        <v>44.9</v>
      </c>
      <c r="V1130" s="15">
        <v>44.9</v>
      </c>
      <c r="W1130" s="14" t="s">
        <v>4136</v>
      </c>
      <c r="X1130" s="14">
        <v>1</v>
      </c>
      <c r="Y1130" s="10">
        <f>AC1130-AB1130</f>
        <v>54</v>
      </c>
      <c r="Z1130" s="18">
        <v>1</v>
      </c>
      <c r="AA1130" s="18">
        <v>2</v>
      </c>
      <c r="AB1130" s="18">
        <v>0</v>
      </c>
      <c r="AC1130" s="18">
        <v>54</v>
      </c>
      <c r="AE1130" s="1" t="s">
        <v>6220</v>
      </c>
    </row>
    <row r="1131" spans="1:33" ht="30" hidden="1" x14ac:dyDescent="0.25">
      <c r="A1131" s="10" t="s">
        <v>6234</v>
      </c>
      <c r="B1131" s="11" t="s">
        <v>33</v>
      </c>
      <c r="C1131" s="12" t="s">
        <v>6235</v>
      </c>
      <c r="D1131" s="27"/>
      <c r="E1131" s="14" t="s">
        <v>35</v>
      </c>
      <c r="F1131" s="11" t="str">
        <f>HYPERLINK("https://redirect.sdcdeals.com/redirect?destination=https%3A%2F%2Fwww.amazon.com%2Fdp%2FB0BY3G3N88%3Fth%3D1%26psc%3D1%26tag%3Dsdcdeals03-20", "Amazon Link")</f>
        <v>Amazon Link</v>
      </c>
      <c r="G1131" s="11" t="s">
        <v>36</v>
      </c>
      <c r="H1131" s="14" t="s">
        <v>6236</v>
      </c>
      <c r="I1131" s="11" t="str">
        <f>HYPERLINK("https://redirect.sdcdeals.com/redirect?code=763034&amp;mavely=https://mavely.app.link/e/bhESV2wGrGb&amp;destination=https%3A%2F%2Fwww.kohls.com%2Fsearch.jsp%3Fsubmit-search%3Dweb-regular%26search%3D79178681", "Retail Link")</f>
        <v>Retail Link</v>
      </c>
      <c r="J1131" s="14" t="s">
        <v>6237</v>
      </c>
      <c r="K1131" s="13" t="s">
        <v>6238</v>
      </c>
      <c r="L1131" s="15">
        <v>11.192</v>
      </c>
      <c r="M1131" s="15"/>
      <c r="N1131" s="15"/>
      <c r="O1131" s="15">
        <f>V1131-M1131</f>
        <v>0</v>
      </c>
      <c r="P1131" s="16">
        <f>N1131/L1131</f>
        <v>0</v>
      </c>
      <c r="Q1131" s="14"/>
      <c r="R1131" s="14"/>
      <c r="S1131" s="17"/>
      <c r="T1131" s="15"/>
      <c r="U1131" s="15"/>
      <c r="V1131" s="15"/>
      <c r="W1131" s="14" t="s">
        <v>2253</v>
      </c>
      <c r="X1131" s="14">
        <v>1</v>
      </c>
      <c r="Y1131" s="10">
        <f>AC1131-AB1131</f>
        <v>0</v>
      </c>
      <c r="Z1131" s="18">
        <v>-1</v>
      </c>
      <c r="AA1131" s="18">
        <v>-1</v>
      </c>
      <c r="AB1131" s="18"/>
      <c r="AC1131" s="18"/>
    </row>
    <row r="1132" spans="1:33" hidden="1" x14ac:dyDescent="0.25">
      <c r="A1132" s="10" t="s">
        <v>6293</v>
      </c>
      <c r="B1132" s="11" t="s">
        <v>33</v>
      </c>
      <c r="C1132" s="12" t="s">
        <v>6294</v>
      </c>
      <c r="D1132" s="27"/>
      <c r="E1132" s="14" t="s">
        <v>35</v>
      </c>
      <c r="F1132" s="11" t="str">
        <f>HYPERLINK("https://redirect.sdcdeals.com/redirect?destination=https%3A%2F%2Fwww.amazon.com%2Fdp%2FB0044SSWGS%3Fth%3D1%26psc%3D1%26tag%3Dsdcdeals03-20", "Amazon Link")</f>
        <v>Amazon Link</v>
      </c>
      <c r="G1132" s="11" t="s">
        <v>36</v>
      </c>
      <c r="H1132" s="14" t="s">
        <v>6295</v>
      </c>
      <c r="I1132" s="11" t="str">
        <f>HYPERLINK("https://redirect.sdcdeals.com/redirect?code=763034&amp;mavely=https://mavely.app.link/e/bhESV2wGrGb&amp;destination=https%3A%2F%2Fwww.kohls.com%2Fsearch.jsp%3Fsubmit-search%3Dweb-regular%26search%3D29331718", "Retail Link")</f>
        <v>Retail Link</v>
      </c>
      <c r="J1132" s="14" t="s">
        <v>6296</v>
      </c>
      <c r="K1132" s="13" t="s">
        <v>6297</v>
      </c>
      <c r="L1132" s="15">
        <v>10.4</v>
      </c>
      <c r="M1132" s="15">
        <v>51.82</v>
      </c>
      <c r="N1132" s="15"/>
      <c r="O1132" s="15">
        <f>V1132-M1132</f>
        <v>0</v>
      </c>
      <c r="P1132" s="16">
        <f>N1132/L1132</f>
        <v>0</v>
      </c>
      <c r="Q1132" s="14"/>
      <c r="R1132" s="14"/>
      <c r="S1132" s="17"/>
      <c r="T1132" s="15"/>
      <c r="U1132" s="15"/>
      <c r="V1132" s="15">
        <v>51.82</v>
      </c>
      <c r="W1132" s="14" t="s">
        <v>311</v>
      </c>
      <c r="X1132" s="14"/>
      <c r="Y1132" s="10">
        <f>AC1132-AB1132</f>
        <v>0</v>
      </c>
      <c r="Z1132" s="18">
        <v>0</v>
      </c>
      <c r="AA1132" s="18">
        <v>0</v>
      </c>
      <c r="AB1132" s="18"/>
      <c r="AC1132" s="18"/>
      <c r="AD1132" s="1" t="s">
        <v>6298</v>
      </c>
    </row>
    <row r="1133" spans="1:33" ht="30" x14ac:dyDescent="0.25">
      <c r="A1133" s="10" t="s">
        <v>6433</v>
      </c>
      <c r="B1133" s="11" t="s">
        <v>33</v>
      </c>
      <c r="C1133" s="12" t="s">
        <v>6434</v>
      </c>
      <c r="D1133" s="27"/>
      <c r="E1133" s="14" t="s">
        <v>35</v>
      </c>
      <c r="F1133" s="11" t="str">
        <f>HYPERLINK("https://redirect.sdcdeals.com/redirect?destination=https%3A%2F%2Fwww.amazon.com%2Fdp%2FB0144F31N4%3Fth%3D1%26psc%3D1%26tag%3Dsdcdeals03-20", "Amazon Link")</f>
        <v>Amazon Link</v>
      </c>
      <c r="G1133" s="11" t="s">
        <v>36</v>
      </c>
      <c r="H1133" s="14" t="s">
        <v>6435</v>
      </c>
      <c r="I1133" s="11" t="str">
        <f>HYPERLINK("https://redirect.sdcdeals.com/redirect?code=763034&amp;mavely=https://mavely.app.link/e/bhESV2wGrGb&amp;destination=https%3A%2F%2Fwww.kohls.com%2Fsearch.jsp%3Fsubmit-search%3Dweb-regular%26search%3D30225648", "Retail Link")</f>
        <v>Retail Link</v>
      </c>
      <c r="J1133" s="14" t="s">
        <v>6436</v>
      </c>
      <c r="K1133" s="13" t="s">
        <v>6437</v>
      </c>
      <c r="L1133" s="15">
        <v>72</v>
      </c>
      <c r="M1133" s="15"/>
      <c r="N1133" s="15"/>
      <c r="O1133" s="15">
        <f>V1133-M1133</f>
        <v>0</v>
      </c>
      <c r="P1133" s="16">
        <f>N1133/L1133</f>
        <v>0</v>
      </c>
      <c r="Q1133" s="14">
        <v>3097908</v>
      </c>
      <c r="R1133" s="14"/>
      <c r="S1133" s="17">
        <v>5.0706260000000003E-2</v>
      </c>
      <c r="T1133" s="15"/>
      <c r="U1133" s="15"/>
      <c r="V1133" s="15"/>
      <c r="W1133" s="14" t="s">
        <v>659</v>
      </c>
      <c r="X1133" s="14"/>
      <c r="Y1133" s="10">
        <f>AC1133-AB1133</f>
        <v>86</v>
      </c>
      <c r="Z1133" s="18">
        <v>0</v>
      </c>
      <c r="AA1133" s="18">
        <v>0</v>
      </c>
      <c r="AB1133" s="18"/>
      <c r="AC1133" s="18">
        <v>86</v>
      </c>
      <c r="AD1133" s="1" t="s">
        <v>6438</v>
      </c>
      <c r="AE1133" s="1" t="s">
        <v>278</v>
      </c>
      <c r="AG1133" s="4">
        <v>3.68</v>
      </c>
    </row>
    <row r="1134" spans="1:33" ht="30" hidden="1" x14ac:dyDescent="0.25">
      <c r="A1134" s="10" t="s">
        <v>6439</v>
      </c>
      <c r="B1134" s="11" t="s">
        <v>33</v>
      </c>
      <c r="C1134" s="12" t="s">
        <v>6440</v>
      </c>
      <c r="D1134" s="27"/>
      <c r="E1134" s="14" t="s">
        <v>35</v>
      </c>
      <c r="F1134" s="11" t="str">
        <f>HYPERLINK("https://redirect.sdcdeals.com/redirect?destination=https%3A%2F%2Fwww.amazon.com%2Fdp%2FB0CMBBXX33%3Fth%3D1%26psc%3D1%26tag%3Dsdcdeals03-20", "Amazon Link")</f>
        <v>Amazon Link</v>
      </c>
      <c r="G1134" s="11" t="s">
        <v>36</v>
      </c>
      <c r="H1134" s="14" t="s">
        <v>6441</v>
      </c>
      <c r="I1134" s="11" t="str">
        <f>HYPERLINK("https://redirect.sdcdeals.com/redirect?code=763034&amp;mavely=https://mavely.app.link/e/bhESV2wGrGb&amp;destination=https%3A%2F%2Fwww.kohls.com%2Fsearch.jsp%3Fsubmit-search%3Dweb-regular%26search%3D47900684", "Retail Link")</f>
        <v>Retail Link</v>
      </c>
      <c r="J1134" s="14" t="s">
        <v>6442</v>
      </c>
      <c r="K1134" s="13" t="s">
        <v>6443</v>
      </c>
      <c r="L1134" s="15">
        <v>4.4800000000000004</v>
      </c>
      <c r="M1134" s="15"/>
      <c r="N1134" s="15"/>
      <c r="O1134" s="15">
        <f>V1134-M1134</f>
        <v>0</v>
      </c>
      <c r="P1134" s="16">
        <f>N1134/L1134</f>
        <v>0</v>
      </c>
      <c r="Q1134" s="14"/>
      <c r="R1134" s="14"/>
      <c r="S1134" s="17">
        <v>0.57320119999999997</v>
      </c>
      <c r="T1134" s="15"/>
      <c r="U1134" s="15"/>
      <c r="V1134" s="15"/>
      <c r="W1134" s="14" t="s">
        <v>2381</v>
      </c>
      <c r="X1134" s="14"/>
      <c r="Y1134" s="10">
        <f>AC1134-AB1134</f>
        <v>0</v>
      </c>
      <c r="Z1134" s="18">
        <v>-1</v>
      </c>
      <c r="AA1134" s="18">
        <v>-1</v>
      </c>
      <c r="AB1134" s="18"/>
      <c r="AC1134" s="18"/>
      <c r="AE1134" s="1" t="s">
        <v>935</v>
      </c>
      <c r="AG1134" s="4">
        <v>6.6</v>
      </c>
    </row>
    <row r="1135" spans="1:33" ht="30" x14ac:dyDescent="0.25">
      <c r="A1135" s="10" t="s">
        <v>6476</v>
      </c>
      <c r="B1135" s="11" t="s">
        <v>33</v>
      </c>
      <c r="C1135" s="12" t="s">
        <v>6477</v>
      </c>
      <c r="D1135" s="27"/>
      <c r="E1135" s="14" t="s">
        <v>35</v>
      </c>
      <c r="F1135" s="11" t="str">
        <f>HYPERLINK("https://redirect.sdcdeals.com/redirect?destination=https%3A%2F%2Fwww.amazon.com%2Fdp%2FB0CS8GJ2G7%3Fth%3D1%26psc%3D1%26tag%3Dsdcdeals03-20", "Amazon Link")</f>
        <v>Amazon Link</v>
      </c>
      <c r="G1135" s="11" t="s">
        <v>36</v>
      </c>
      <c r="H1135" s="14" t="s">
        <v>6478</v>
      </c>
      <c r="I1135" s="11" t="str">
        <f>HYPERLINK("https://redirect.sdcdeals.com/redirect?code=763034&amp;mavely=https://mavely.app.link/e/bhESV2wGrGb&amp;destination=https%3A%2F%2Fwww.kohls.com%2Fsearch.jsp%3Fsubmit-search%3Dweb-regular%26search%3D28180716", "Retail Link")</f>
        <v>Retail Link</v>
      </c>
      <c r="J1135" s="14" t="s">
        <v>6473</v>
      </c>
      <c r="K1135" s="13" t="s">
        <v>6479</v>
      </c>
      <c r="L1135" s="15">
        <v>7.8000000000000007</v>
      </c>
      <c r="M1135" s="15">
        <v>33.24</v>
      </c>
      <c r="N1135" s="15"/>
      <c r="O1135" s="15">
        <f>V1135-M1135</f>
        <v>-0.71000000000000085</v>
      </c>
      <c r="P1135" s="16">
        <f>N1135/L1135</f>
        <v>0</v>
      </c>
      <c r="Q1135" s="14">
        <v>1333464</v>
      </c>
      <c r="R1135" s="14"/>
      <c r="S1135" s="17"/>
      <c r="T1135" s="15"/>
      <c r="U1135" s="15">
        <v>33.24</v>
      </c>
      <c r="V1135" s="15">
        <v>32.53</v>
      </c>
      <c r="W1135" s="14" t="s">
        <v>6480</v>
      </c>
      <c r="X1135" s="14">
        <v>2</v>
      </c>
      <c r="Y1135" s="10">
        <f>AC1135-AB1135</f>
        <v>3</v>
      </c>
      <c r="Z1135" s="18">
        <v>1</v>
      </c>
      <c r="AA1135" s="18">
        <v>5</v>
      </c>
      <c r="AB1135" s="18">
        <v>0</v>
      </c>
      <c r="AC1135" s="18">
        <v>3</v>
      </c>
      <c r="AE1135" s="1" t="s">
        <v>6475</v>
      </c>
    </row>
    <row r="1136" spans="1:33" ht="30" x14ac:dyDescent="0.25">
      <c r="A1136" s="10" t="s">
        <v>6481</v>
      </c>
      <c r="B1136" s="11" t="s">
        <v>33</v>
      </c>
      <c r="C1136" s="12" t="s">
        <v>6482</v>
      </c>
      <c r="D1136" s="27"/>
      <c r="E1136" s="14" t="s">
        <v>35</v>
      </c>
      <c r="F1136" s="11" t="str">
        <f>HYPERLINK("https://redirect.sdcdeals.com/redirect?destination=https%3A%2F%2Fwww.amazon.com%2Fdp%2FB0CS8CFMXN%3Fth%3D1%26psc%3D1%26tag%3Dsdcdeals03-20", "Amazon Link")</f>
        <v>Amazon Link</v>
      </c>
      <c r="G1136" s="11" t="s">
        <v>36</v>
      </c>
      <c r="H1136" s="14" t="s">
        <v>6483</v>
      </c>
      <c r="I1136" s="11" t="str">
        <f>HYPERLINK("https://redirect.sdcdeals.com/redirect?code=763034&amp;mavely=https://mavely.app.link/e/bhESV2wGrGb&amp;destination=https%3A%2F%2Fwww.kohls.com%2Fsearch.jsp%3Fsubmit-search%3Dweb-regular%26search%3D28180717", "Retail Link")</f>
        <v>Retail Link</v>
      </c>
      <c r="J1136" s="14" t="s">
        <v>6473</v>
      </c>
      <c r="K1136" s="13" t="s">
        <v>6484</v>
      </c>
      <c r="L1136" s="15">
        <v>7.8000000000000007</v>
      </c>
      <c r="M1136" s="15">
        <v>45.98</v>
      </c>
      <c r="N1136" s="15"/>
      <c r="O1136" s="15">
        <f>V1136-M1136</f>
        <v>0</v>
      </c>
      <c r="P1136" s="16">
        <f>N1136/L1136</f>
        <v>0</v>
      </c>
      <c r="Q1136" s="14">
        <v>1333464</v>
      </c>
      <c r="R1136" s="14"/>
      <c r="S1136" s="17"/>
      <c r="T1136" s="15"/>
      <c r="U1136" s="15">
        <v>45.98</v>
      </c>
      <c r="V1136" s="15">
        <v>45.98</v>
      </c>
      <c r="W1136" s="14" t="s">
        <v>2001</v>
      </c>
      <c r="X1136" s="14">
        <v>1</v>
      </c>
      <c r="Y1136" s="10">
        <f>AC1136-AB1136</f>
        <v>4</v>
      </c>
      <c r="Z1136" s="18">
        <v>2</v>
      </c>
      <c r="AA1136" s="18">
        <v>6</v>
      </c>
      <c r="AB1136" s="18">
        <v>0</v>
      </c>
      <c r="AC1136" s="18">
        <v>4</v>
      </c>
      <c r="AE1136" s="1" t="s">
        <v>6475</v>
      </c>
    </row>
    <row r="1137" spans="1:33" ht="45" x14ac:dyDescent="0.25">
      <c r="A1137" s="10" t="s">
        <v>6722</v>
      </c>
      <c r="B1137" s="11" t="s">
        <v>33</v>
      </c>
      <c r="C1137" s="12" t="s">
        <v>6723</v>
      </c>
      <c r="D1137" s="27"/>
      <c r="E1137" s="14" t="s">
        <v>35</v>
      </c>
      <c r="F1137" s="11" t="str">
        <f>HYPERLINK("https://redirect.sdcdeals.com/redirect?destination=https%3A%2F%2Fwww.amazon.com%2Fdp%2FB0BFTDC8X3%3Fth%3D1%26psc%3D1%26tag%3Dsdcdeals03-20", "Amazon Link")</f>
        <v>Amazon Link</v>
      </c>
      <c r="G1137" s="11" t="s">
        <v>36</v>
      </c>
      <c r="H1137" s="14" t="s">
        <v>6724</v>
      </c>
      <c r="I1137" s="11" t="str">
        <f>HYPERLINK("https://redirect.sdcdeals.com/redirect?code=763034&amp;mavely=https://mavely.app.link/e/bhESV2wGrGb&amp;destination=https%3A%2F%2Fwww.kohls.com%2Fsearch.jsp%3Fsubmit-search%3Dweb-regular%26search%3D59123816", "Retail Link")</f>
        <v>Retail Link</v>
      </c>
      <c r="J1137" s="14" t="s">
        <v>6710</v>
      </c>
      <c r="K1137" s="13" t="s">
        <v>6725</v>
      </c>
      <c r="L1137" s="15">
        <v>63</v>
      </c>
      <c r="M1137" s="15"/>
      <c r="N1137" s="15"/>
      <c r="O1137" s="15">
        <f>V1137-M1137</f>
        <v>0</v>
      </c>
      <c r="P1137" s="16">
        <f>N1137/L1137</f>
        <v>0</v>
      </c>
      <c r="Q1137" s="14">
        <v>3639163</v>
      </c>
      <c r="R1137" s="14"/>
      <c r="S1137" s="17">
        <v>3.28047456</v>
      </c>
      <c r="T1137" s="15"/>
      <c r="U1137" s="15"/>
      <c r="V1137" s="15"/>
      <c r="W1137" s="14" t="s">
        <v>3060</v>
      </c>
      <c r="X1137" s="14"/>
      <c r="Y1137" s="10">
        <f>AC1137-AB1137</f>
        <v>9</v>
      </c>
      <c r="Z1137" s="18">
        <v>0</v>
      </c>
      <c r="AA1137" s="18">
        <v>1</v>
      </c>
      <c r="AB1137" s="18">
        <v>0</v>
      </c>
      <c r="AC1137" s="18">
        <v>9</v>
      </c>
      <c r="AD1137" s="1" t="s">
        <v>6712</v>
      </c>
      <c r="AE1137" s="1" t="s">
        <v>76</v>
      </c>
      <c r="AG1137" s="4">
        <v>16.45</v>
      </c>
    </row>
    <row r="1138" spans="1:33" ht="45" hidden="1" x14ac:dyDescent="0.25">
      <c r="A1138" s="10" t="s">
        <v>6756</v>
      </c>
      <c r="B1138" s="11" t="s">
        <v>33</v>
      </c>
      <c r="C1138" s="12" t="s">
        <v>6757</v>
      </c>
      <c r="D1138" s="27"/>
      <c r="E1138" s="14" t="s">
        <v>35</v>
      </c>
      <c r="F1138" s="11" t="str">
        <f>HYPERLINK("https://redirect.sdcdeals.com/redirect?destination=https%3A%2F%2Fwww.amazon.com%2Fdp%2FB08B4WPXX5%3Fth%3D1%26psc%3D1%26tag%3Dsdcdeals03-20", "Amazon Link")</f>
        <v>Amazon Link</v>
      </c>
      <c r="G1138" s="11" t="s">
        <v>36</v>
      </c>
      <c r="H1138" s="14" t="s">
        <v>6758</v>
      </c>
      <c r="I1138" s="11" t="str">
        <f>HYPERLINK("https://redirect.sdcdeals.com/redirect?code=763034&amp;mavely=https://mavely.app.link/e/bhESV2wGrGb&amp;destination=https%3A%2F%2Fwww.kohls.com%2Fsearch.jsp%3Fsubmit-search%3Dweb-regular%26search%3D47570283", "Retail Link")</f>
        <v>Retail Link</v>
      </c>
      <c r="J1138" s="14" t="s">
        <v>6759</v>
      </c>
      <c r="K1138" s="13" t="s">
        <v>6760</v>
      </c>
      <c r="L1138" s="15">
        <v>12</v>
      </c>
      <c r="M1138" s="15"/>
      <c r="N1138" s="15"/>
      <c r="O1138" s="15">
        <f>V1138-M1138</f>
        <v>0</v>
      </c>
      <c r="P1138" s="16">
        <f>N1138/L1138</f>
        <v>0</v>
      </c>
      <c r="Q1138" s="14"/>
      <c r="R1138" s="14"/>
      <c r="S1138" s="17"/>
      <c r="T1138" s="15"/>
      <c r="U1138" s="15"/>
      <c r="V1138" s="15"/>
      <c r="W1138" s="14" t="s">
        <v>53</v>
      </c>
      <c r="X1138" s="14"/>
      <c r="Y1138" s="10">
        <f>AC1138-AB1138</f>
        <v>0</v>
      </c>
      <c r="Z1138" s="18">
        <v>-1</v>
      </c>
      <c r="AA1138" s="18">
        <v>-1</v>
      </c>
      <c r="AB1138" s="18">
        <v>0</v>
      </c>
      <c r="AC1138" s="18"/>
    </row>
    <row r="1139" spans="1:33" ht="30" x14ac:dyDescent="0.25">
      <c r="A1139" s="10" t="s">
        <v>7095</v>
      </c>
      <c r="B1139" s="11" t="s">
        <v>33</v>
      </c>
      <c r="C1139" s="12" t="s">
        <v>7096</v>
      </c>
      <c r="D1139" s="27"/>
      <c r="E1139" s="14" t="s">
        <v>35</v>
      </c>
      <c r="F1139" s="11" t="str">
        <f>HYPERLINK("https://redirect.sdcdeals.com/redirect?destination=https%3A%2F%2Fwww.amazon.com%2Fdp%2FB09HFT2DLW%3Fth%3D1%26psc%3D1%26tag%3Dsdcdeals03-20", "Amazon Link")</f>
        <v>Amazon Link</v>
      </c>
      <c r="G1139" s="11" t="s">
        <v>36</v>
      </c>
      <c r="H1139" s="14" t="s">
        <v>7097</v>
      </c>
      <c r="I1139" s="11" t="str">
        <f>HYPERLINK("https://redirect.sdcdeals.com/redirect?code=763034&amp;mavely=https://mavely.app.link/e/bhESV2wGrGb&amp;destination=https%3A%2F%2Fwww.kohls.com%2Fsearch.jsp%3Fsubmit-search%3Dweb-regular%26search%3D46602277", "Retail Link")</f>
        <v>Retail Link</v>
      </c>
      <c r="J1139" s="14" t="s">
        <v>7098</v>
      </c>
      <c r="K1139" s="13" t="s">
        <v>7099</v>
      </c>
      <c r="L1139" s="15">
        <v>20.992000000000001</v>
      </c>
      <c r="M1139" s="15"/>
      <c r="N1139" s="15"/>
      <c r="O1139" s="15">
        <f>V1139-M1139</f>
        <v>0</v>
      </c>
      <c r="P1139" s="16">
        <f>N1139/L1139</f>
        <v>0</v>
      </c>
      <c r="Q1139" s="14">
        <v>636391</v>
      </c>
      <c r="R1139" s="14"/>
      <c r="S1139" s="17">
        <v>3.26063298</v>
      </c>
      <c r="T1139" s="15"/>
      <c r="U1139" s="15"/>
      <c r="V1139" s="15"/>
      <c r="W1139" s="14" t="s">
        <v>7100</v>
      </c>
      <c r="X1139" s="14"/>
      <c r="Y1139" s="10">
        <f>AC1139-AB1139</f>
        <v>0</v>
      </c>
      <c r="Z1139" s="18">
        <v>1</v>
      </c>
      <c r="AA1139" s="18">
        <v>1</v>
      </c>
      <c r="AB1139" s="18">
        <v>11</v>
      </c>
      <c r="AC1139" s="18">
        <v>11</v>
      </c>
      <c r="AG1139" s="4">
        <v>8.1999999999999993</v>
      </c>
    </row>
    <row r="1140" spans="1:33" ht="30" hidden="1" x14ac:dyDescent="0.25">
      <c r="A1140" s="10" t="s">
        <v>7242</v>
      </c>
      <c r="B1140" s="11" t="s">
        <v>33</v>
      </c>
      <c r="C1140" s="12" t="s">
        <v>7243</v>
      </c>
      <c r="D1140" s="27"/>
      <c r="E1140" s="14" t="s">
        <v>35</v>
      </c>
      <c r="F1140" s="11" t="str">
        <f>HYPERLINK("https://redirect.sdcdeals.com/redirect?destination=https%3A%2F%2Fwww.amazon.com%2Fdp%2FB0CWDZDP6Q%3Fth%3D1%26psc%3D1%26tag%3Dsdcdeals03-20", "Amazon Link")</f>
        <v>Amazon Link</v>
      </c>
      <c r="G1140" s="11" t="s">
        <v>36</v>
      </c>
      <c r="H1140" s="14" t="s">
        <v>7244</v>
      </c>
      <c r="I1140" s="11" t="str">
        <f>HYPERLINK("https://redirect.sdcdeals.com/redirect?code=763034&amp;mavely=https://mavely.app.link/e/bhESV2wGrGb&amp;destination=https%3A%2F%2Fwww.kohls.com%2Fsearch.jsp%3Fsubmit-search%3Dweb-regular%26search%3D70038985", "Retail Link")</f>
        <v>Retail Link</v>
      </c>
      <c r="J1140" s="14" t="s">
        <v>7245</v>
      </c>
      <c r="K1140" s="13" t="s">
        <v>7246</v>
      </c>
      <c r="L1140" s="15">
        <v>4.8000000000000007</v>
      </c>
      <c r="M1140" s="15">
        <v>18</v>
      </c>
      <c r="N1140" s="15"/>
      <c r="O1140" s="15">
        <f>V1140-M1140</f>
        <v>0</v>
      </c>
      <c r="P1140" s="16">
        <f>N1140/L1140</f>
        <v>0</v>
      </c>
      <c r="Q1140" s="14"/>
      <c r="R1140" s="14"/>
      <c r="S1140" s="17"/>
      <c r="T1140" s="15">
        <v>18</v>
      </c>
      <c r="U1140" s="15">
        <v>18</v>
      </c>
      <c r="V1140" s="15">
        <v>18</v>
      </c>
      <c r="W1140" s="14" t="s">
        <v>986</v>
      </c>
      <c r="X1140" s="14">
        <v>1</v>
      </c>
      <c r="Y1140" s="10">
        <f>AC1140-AB1140</f>
        <v>0</v>
      </c>
      <c r="Z1140" s="18">
        <v>0</v>
      </c>
      <c r="AA1140" s="18">
        <v>0</v>
      </c>
      <c r="AB1140" s="18">
        <v>0</v>
      </c>
      <c r="AC1140" s="18"/>
      <c r="AD1140" s="1" t="s">
        <v>7247</v>
      </c>
      <c r="AE1140" s="1" t="s">
        <v>7248</v>
      </c>
    </row>
    <row r="1141" spans="1:33" ht="30" hidden="1" x14ac:dyDescent="0.25">
      <c r="A1141" s="10" t="s">
        <v>7249</v>
      </c>
      <c r="B1141" s="11" t="s">
        <v>33</v>
      </c>
      <c r="C1141" s="12" t="s">
        <v>7250</v>
      </c>
      <c r="D1141" s="27"/>
      <c r="E1141" s="14" t="s">
        <v>35</v>
      </c>
      <c r="F1141" s="11" t="str">
        <f>HYPERLINK("https://redirect.sdcdeals.com/redirect?destination=https%3A%2F%2Fwww.amazon.com%2Fdp%2FB0CWDZ7NSL%3Fth%3D1%26psc%3D1%26tag%3Dsdcdeals03-20", "Amazon Link")</f>
        <v>Amazon Link</v>
      </c>
      <c r="G1141" s="11" t="s">
        <v>36</v>
      </c>
      <c r="H1141" s="14" t="s">
        <v>7251</v>
      </c>
      <c r="I1141" s="11" t="str">
        <f>HYPERLINK("https://redirect.sdcdeals.com/redirect?code=763034&amp;mavely=https://mavely.app.link/e/bhESV2wGrGb&amp;destination=https%3A%2F%2Fwww.kohls.com%2Fsearch.jsp%3Fsubmit-search%3Dweb-regular%26search%3D70038976", "Retail Link")</f>
        <v>Retail Link</v>
      </c>
      <c r="J1141" s="14" t="s">
        <v>7245</v>
      </c>
      <c r="K1141" s="13" t="s">
        <v>7252</v>
      </c>
      <c r="L1141" s="15">
        <v>4.8000000000000007</v>
      </c>
      <c r="M1141" s="15">
        <v>18</v>
      </c>
      <c r="N1141" s="15"/>
      <c r="O1141" s="15">
        <f>V1141-M1141</f>
        <v>0</v>
      </c>
      <c r="P1141" s="16">
        <f>N1141/L1141</f>
        <v>0</v>
      </c>
      <c r="Q1141" s="14"/>
      <c r="R1141" s="14"/>
      <c r="S1141" s="17"/>
      <c r="T1141" s="15">
        <v>18</v>
      </c>
      <c r="U1141" s="15">
        <v>18</v>
      </c>
      <c r="V1141" s="15">
        <v>18</v>
      </c>
      <c r="W1141" s="14" t="s">
        <v>908</v>
      </c>
      <c r="X1141" s="14">
        <v>1</v>
      </c>
      <c r="Y1141" s="10">
        <f>AC1141-AB1141</f>
        <v>0</v>
      </c>
      <c r="Z1141" s="18">
        <v>0</v>
      </c>
      <c r="AA1141" s="18">
        <v>0</v>
      </c>
      <c r="AB1141" s="18">
        <v>0</v>
      </c>
      <c r="AC1141" s="18"/>
      <c r="AD1141" s="1" t="s">
        <v>7247</v>
      </c>
      <c r="AE1141" s="1" t="s">
        <v>7248</v>
      </c>
    </row>
    <row r="1142" spans="1:33" hidden="1" x14ac:dyDescent="0.25">
      <c r="A1142" s="10" t="s">
        <v>7404</v>
      </c>
      <c r="B1142" s="11" t="s">
        <v>33</v>
      </c>
      <c r="C1142" s="12" t="s">
        <v>7405</v>
      </c>
      <c r="D1142" s="27"/>
      <c r="E1142" s="14" t="s">
        <v>35</v>
      </c>
      <c r="F1142" s="11" t="str">
        <f>HYPERLINK("https://redirect.sdcdeals.com/redirect?destination=https%3A%2F%2Fwww.amazon.com%2Fdp%2FB0CWPQ3DLZ%3Fth%3D1%26psc%3D1%26tag%3Dsdcdeals03-20", "Amazon Link")</f>
        <v>Amazon Link</v>
      </c>
      <c r="G1142" s="11" t="s">
        <v>36</v>
      </c>
      <c r="H1142" s="14" t="s">
        <v>7406</v>
      </c>
      <c r="I1142" s="11" t="str">
        <f>HYPERLINK("https://redirect.sdcdeals.com/redirect?code=763034&amp;mavely=https://mavely.app.link/e/bhESV2wGrGb&amp;destination=https%3A%2F%2Fwww.kohls.com%2Fsearch.jsp%3Fsubmit-search%3Dweb-regular%26search%3D29246659", "Retail Link")</f>
        <v>Retail Link</v>
      </c>
      <c r="J1142" s="14" t="s">
        <v>7407</v>
      </c>
      <c r="K1142" s="13" t="s">
        <v>7408</v>
      </c>
      <c r="L1142" s="15">
        <v>12.792</v>
      </c>
      <c r="M1142" s="15">
        <v>89.99</v>
      </c>
      <c r="N1142" s="15"/>
      <c r="O1142" s="15">
        <f>V1142-M1142</f>
        <v>0</v>
      </c>
      <c r="P1142" s="16">
        <f>N1142/L1142</f>
        <v>0</v>
      </c>
      <c r="Q1142" s="14"/>
      <c r="R1142" s="14"/>
      <c r="S1142" s="17"/>
      <c r="T1142" s="15"/>
      <c r="U1142" s="15">
        <v>89.99</v>
      </c>
      <c r="V1142" s="15">
        <v>89.99</v>
      </c>
      <c r="W1142" s="14" t="s">
        <v>2072</v>
      </c>
      <c r="X1142" s="14">
        <v>1</v>
      </c>
      <c r="Y1142" s="10">
        <f>AC1142-AB1142</f>
        <v>0</v>
      </c>
      <c r="Z1142" s="18">
        <v>-1</v>
      </c>
      <c r="AA1142" s="18">
        <v>-1</v>
      </c>
      <c r="AB1142" s="18"/>
      <c r="AC1142" s="18"/>
    </row>
    <row r="1143" spans="1:33" ht="60" hidden="1" x14ac:dyDescent="0.25">
      <c r="A1143" s="10" t="s">
        <v>7435</v>
      </c>
      <c r="B1143" s="11" t="s">
        <v>33</v>
      </c>
      <c r="C1143" s="12" t="s">
        <v>7436</v>
      </c>
      <c r="D1143" s="27"/>
      <c r="E1143" s="14" t="s">
        <v>35</v>
      </c>
      <c r="F1143" s="11" t="str">
        <f>HYPERLINK("https://redirect.sdcdeals.com/redirect?destination=https%3A%2F%2Fwww.amazon.com%2Fdp%2FB07J57VWRY%3Fth%3D1%26psc%3D1%26tag%3Dsdcdeals03-20", "Amazon Link")</f>
        <v>Amazon Link</v>
      </c>
      <c r="G1143" s="11" t="s">
        <v>36</v>
      </c>
      <c r="H1143" s="14" t="s">
        <v>7437</v>
      </c>
      <c r="I1143" s="11" t="str">
        <f>HYPERLINK("https://redirect.sdcdeals.com/redirect?code=763034&amp;mavely=https://mavely.app.link/e/bhESV2wGrGb&amp;destination=https%3A%2F%2Fwww.kohls.com%2Fsearch.jsp%3Fsubmit-search%3Dweb-regular%26search%3D29276897", "Retail Link")</f>
        <v>Retail Link</v>
      </c>
      <c r="J1143" s="14" t="s">
        <v>7438</v>
      </c>
      <c r="K1143" s="13" t="s">
        <v>7439</v>
      </c>
      <c r="L1143" s="15">
        <v>10</v>
      </c>
      <c r="M1143" s="15"/>
      <c r="N1143" s="15"/>
      <c r="O1143" s="15">
        <f>V1143-M1143</f>
        <v>0</v>
      </c>
      <c r="P1143" s="16">
        <f>N1143/L1143</f>
        <v>0</v>
      </c>
      <c r="Q1143" s="14"/>
      <c r="R1143" s="14"/>
      <c r="S1143" s="17"/>
      <c r="T1143" s="15"/>
      <c r="U1143" s="15"/>
      <c r="V1143" s="15"/>
      <c r="W1143" s="14" t="s">
        <v>941</v>
      </c>
      <c r="X1143" s="14"/>
      <c r="Y1143" s="10">
        <f>AC1143-AB1143</f>
        <v>0</v>
      </c>
      <c r="Z1143" s="18">
        <v>-1</v>
      </c>
      <c r="AA1143" s="18">
        <v>-1</v>
      </c>
      <c r="AB1143" s="18"/>
      <c r="AC1143" s="18"/>
    </row>
    <row r="1144" spans="1:33" ht="60" hidden="1" x14ac:dyDescent="0.25">
      <c r="A1144" s="10" t="s">
        <v>7440</v>
      </c>
      <c r="B1144" s="11" t="s">
        <v>33</v>
      </c>
      <c r="C1144" s="12" t="s">
        <v>7441</v>
      </c>
      <c r="D1144" s="27"/>
      <c r="E1144" s="14" t="s">
        <v>35</v>
      </c>
      <c r="F1144" s="11" t="str">
        <f>HYPERLINK("https://redirect.sdcdeals.com/redirect?destination=https%3A%2F%2Fwww.amazon.com%2Fdp%2FB07J4VDRW3%3Fth%3D1%26psc%3D1%26tag%3Dsdcdeals03-20", "Amazon Link")</f>
        <v>Amazon Link</v>
      </c>
      <c r="G1144" s="11" t="s">
        <v>36</v>
      </c>
      <c r="H1144" s="14" t="s">
        <v>7442</v>
      </c>
      <c r="I1144" s="11" t="str">
        <f>HYPERLINK("https://redirect.sdcdeals.com/redirect?code=763034&amp;mavely=https://mavely.app.link/e/bhESV2wGrGb&amp;destination=https%3A%2F%2Fwww.kohls.com%2Fsearch.jsp%3Fsubmit-search%3Dweb-regular%26search%3D29276899", "Retail Link")</f>
        <v>Retail Link</v>
      </c>
      <c r="J1144" s="14" t="s">
        <v>7438</v>
      </c>
      <c r="K1144" s="13" t="s">
        <v>7443</v>
      </c>
      <c r="L1144" s="15">
        <v>10</v>
      </c>
      <c r="M1144" s="15"/>
      <c r="N1144" s="15"/>
      <c r="O1144" s="15">
        <f>V1144-M1144</f>
        <v>0</v>
      </c>
      <c r="P1144" s="16">
        <f>N1144/L1144</f>
        <v>0</v>
      </c>
      <c r="Q1144" s="14"/>
      <c r="R1144" s="14"/>
      <c r="S1144" s="17"/>
      <c r="T1144" s="15"/>
      <c r="U1144" s="15"/>
      <c r="V1144" s="15"/>
      <c r="W1144" s="14" t="s">
        <v>1254</v>
      </c>
      <c r="X1144" s="14"/>
      <c r="Y1144" s="10">
        <f>AC1144-AB1144</f>
        <v>0</v>
      </c>
      <c r="Z1144" s="18">
        <v>-1</v>
      </c>
      <c r="AA1144" s="18">
        <v>-1</v>
      </c>
      <c r="AB1144" s="18"/>
      <c r="AC1144" s="18"/>
    </row>
    <row r="1145" spans="1:33" x14ac:dyDescent="0.25">
      <c r="A1145" s="10" t="s">
        <v>7559</v>
      </c>
      <c r="B1145" s="11" t="s">
        <v>33</v>
      </c>
      <c r="C1145" s="12" t="s">
        <v>7560</v>
      </c>
      <c r="D1145" s="27"/>
      <c r="E1145" s="14" t="s">
        <v>35</v>
      </c>
      <c r="F1145" s="11" t="str">
        <f>HYPERLINK("https://redirect.sdcdeals.com/redirect?destination=https%3A%2F%2Fwww.amazon.com%2Fdp%2FB0CFB9JRKJ%3Fth%3D1%26psc%3D1%26tag%3Dsdcdeals03-20", "Amazon Link")</f>
        <v>Amazon Link</v>
      </c>
      <c r="G1145" s="11" t="s">
        <v>36</v>
      </c>
      <c r="H1145" s="14" t="s">
        <v>7561</v>
      </c>
      <c r="I1145" s="11" t="str">
        <f>HYPERLINK("https://redirect.sdcdeals.com/redirect?code=763034&amp;mavely=https://mavely.app.link/e/bhESV2wGrGb&amp;destination=https%3A%2F%2Fwww.kohls.com%2Fsearch.jsp%3Fsubmit-search%3Dweb-regular%26search%3D54587537", "Retail Link")</f>
        <v>Retail Link</v>
      </c>
      <c r="J1145" s="14" t="s">
        <v>7562</v>
      </c>
      <c r="K1145" s="13" t="s">
        <v>7563</v>
      </c>
      <c r="L1145" s="15">
        <v>5.7200000000000006</v>
      </c>
      <c r="M1145" s="15"/>
      <c r="N1145" s="15"/>
      <c r="O1145" s="15">
        <f>V1145-M1145</f>
        <v>0</v>
      </c>
      <c r="P1145" s="16">
        <f>N1145/L1145</f>
        <v>0</v>
      </c>
      <c r="Q1145" s="14">
        <v>9683578</v>
      </c>
      <c r="R1145" s="14"/>
      <c r="S1145" s="17">
        <v>2.4691744</v>
      </c>
      <c r="T1145" s="15"/>
      <c r="U1145" s="15"/>
      <c r="V1145" s="15"/>
      <c r="W1145" s="14" t="s">
        <v>342</v>
      </c>
      <c r="X1145" s="14"/>
      <c r="Y1145" s="10">
        <f>AC1145-AB1145</f>
        <v>73077</v>
      </c>
      <c r="Z1145" s="18">
        <v>0</v>
      </c>
      <c r="AA1145" s="18">
        <v>0</v>
      </c>
      <c r="AB1145" s="18">
        <v>0</v>
      </c>
      <c r="AC1145" s="18">
        <v>73077</v>
      </c>
      <c r="AE1145" s="1" t="s">
        <v>6025</v>
      </c>
      <c r="AG1145" s="4">
        <v>6.48</v>
      </c>
    </row>
    <row r="1146" spans="1:33" ht="30" hidden="1" x14ac:dyDescent="0.25">
      <c r="A1146" s="10" t="s">
        <v>7564</v>
      </c>
      <c r="B1146" s="11" t="s">
        <v>33</v>
      </c>
      <c r="C1146" s="12" t="s">
        <v>7565</v>
      </c>
      <c r="D1146" s="27"/>
      <c r="E1146" s="14" t="s">
        <v>35</v>
      </c>
      <c r="F1146" s="11" t="str">
        <f>HYPERLINK("https://redirect.sdcdeals.com/redirect?destination=https%3A%2F%2Fwww.amazon.com%2Fdp%2FB06ZZ689KJ%3Fth%3D1%26psc%3D1%26tag%3Dsdcdeals03-20", "Amazon Link")</f>
        <v>Amazon Link</v>
      </c>
      <c r="G1146" s="11" t="s">
        <v>36</v>
      </c>
      <c r="H1146" s="14" t="s">
        <v>7566</v>
      </c>
      <c r="I1146" s="11" t="str">
        <f>HYPERLINK("https://redirect.sdcdeals.com/redirect?code=763034&amp;mavely=https://mavely.app.link/e/bhESV2wGrGb&amp;destination=https%3A%2F%2Fwww.kohls.com%2Fsearch.jsp%3Fsubmit-search%3Dweb-regular%26search%3D72568298", "Retail Link")</f>
        <v>Retail Link</v>
      </c>
      <c r="J1146" s="14" t="s">
        <v>7567</v>
      </c>
      <c r="K1146" s="13" t="s">
        <v>7568</v>
      </c>
      <c r="L1146" s="15">
        <v>108</v>
      </c>
      <c r="M1146" s="15"/>
      <c r="N1146" s="15"/>
      <c r="O1146" s="15">
        <f>V1146-M1146</f>
        <v>0</v>
      </c>
      <c r="P1146" s="16">
        <f>N1146/L1146</f>
        <v>0</v>
      </c>
      <c r="Q1146" s="14"/>
      <c r="R1146" s="14"/>
      <c r="S1146" s="17">
        <v>9.0389419999999998E-2</v>
      </c>
      <c r="T1146" s="15"/>
      <c r="U1146" s="15"/>
      <c r="V1146" s="15"/>
      <c r="W1146" s="14" t="s">
        <v>941</v>
      </c>
      <c r="X1146" s="14"/>
      <c r="Y1146" s="10">
        <f>AC1146-AB1146</f>
        <v>1</v>
      </c>
      <c r="Z1146" s="18">
        <v>0</v>
      </c>
      <c r="AA1146" s="18">
        <v>0</v>
      </c>
      <c r="AB1146" s="18"/>
      <c r="AC1146" s="18">
        <v>1</v>
      </c>
      <c r="AD1146" s="1" t="s">
        <v>7569</v>
      </c>
      <c r="AE1146" s="1" t="s">
        <v>7570</v>
      </c>
      <c r="AG1146" s="4">
        <v>3.68</v>
      </c>
    </row>
    <row r="1147" spans="1:33" ht="45" hidden="1" x14ac:dyDescent="0.25">
      <c r="A1147" s="10" t="s">
        <v>7571</v>
      </c>
      <c r="B1147" s="11" t="s">
        <v>33</v>
      </c>
      <c r="C1147" s="12" t="s">
        <v>7572</v>
      </c>
      <c r="D1147" s="27"/>
      <c r="E1147" s="14" t="s">
        <v>35</v>
      </c>
      <c r="F1147" s="11" t="str">
        <f>HYPERLINK("https://redirect.sdcdeals.com/redirect?destination=https%3A%2F%2Fwww.amazon.com%2Fdp%2FB0CZ56R328%3Fth%3D1%26psc%3D1%26tag%3Dsdcdeals03-20", "Amazon Link")</f>
        <v>Amazon Link</v>
      </c>
      <c r="G1147" s="11" t="s">
        <v>36</v>
      </c>
      <c r="H1147" s="14" t="s">
        <v>7573</v>
      </c>
      <c r="I1147" s="11" t="str">
        <f>HYPERLINK("https://redirect.sdcdeals.com/redirect?code=763034&amp;mavely=https://mavely.app.link/e/bhESV2wGrGb&amp;destination=https%3A%2F%2Fwww.kohls.com%2Fsearch.jsp%3Fsubmit-search%3Dweb-regular%26search%3D81937618", "Retail Link")</f>
        <v>Retail Link</v>
      </c>
      <c r="J1147" s="14" t="s">
        <v>7574</v>
      </c>
      <c r="K1147" s="13" t="s">
        <v>7575</v>
      </c>
      <c r="L1147" s="15">
        <v>5.2</v>
      </c>
      <c r="M1147" s="15">
        <v>24</v>
      </c>
      <c r="N1147" s="15"/>
      <c r="O1147" s="15">
        <f>V1147-M1147</f>
        <v>0</v>
      </c>
      <c r="P1147" s="16">
        <f>N1147/L1147</f>
        <v>0</v>
      </c>
      <c r="Q1147" s="14"/>
      <c r="R1147" s="14"/>
      <c r="S1147" s="17"/>
      <c r="T1147" s="15">
        <v>24</v>
      </c>
      <c r="U1147" s="15">
        <v>24</v>
      </c>
      <c r="V1147" s="15">
        <v>24</v>
      </c>
      <c r="W1147" s="14" t="s">
        <v>2149</v>
      </c>
      <c r="X1147" s="14">
        <v>3</v>
      </c>
      <c r="Y1147" s="10">
        <f>AC1147-AB1147</f>
        <v>0</v>
      </c>
      <c r="Z1147" s="18">
        <v>-1</v>
      </c>
      <c r="AA1147" s="18">
        <v>-1</v>
      </c>
      <c r="AB1147" s="18"/>
      <c r="AC1147" s="18"/>
    </row>
    <row r="1148" spans="1:33" ht="45" x14ac:dyDescent="0.25">
      <c r="A1148" s="10" t="s">
        <v>7595</v>
      </c>
      <c r="B1148" s="11" t="s">
        <v>33</v>
      </c>
      <c r="C1148" s="12" t="s">
        <v>7596</v>
      </c>
      <c r="D1148" s="27"/>
      <c r="E1148" s="14" t="s">
        <v>35</v>
      </c>
      <c r="F1148" s="11" t="str">
        <f>HYPERLINK("https://redirect.sdcdeals.com/redirect?destination=https%3A%2F%2Fwww.amazon.com%2Fdp%2FB0B1K9S5R6%3Fth%3D1%26psc%3D1%26tag%3Dsdcdeals03-20", "Amazon Link")</f>
        <v>Amazon Link</v>
      </c>
      <c r="G1148" s="11" t="s">
        <v>36</v>
      </c>
      <c r="H1148" s="14" t="s">
        <v>7597</v>
      </c>
      <c r="I1148" s="11" t="str">
        <f>HYPERLINK("https://redirect.sdcdeals.com/redirect?code=763034&amp;mavely=https://mavely.app.link/e/bhESV2wGrGb&amp;destination=https%3A%2F%2Fwww.kohls.com%2Fsearch.jsp%3Fsubmit-search%3Dweb-regular%26search%3D74403502", "Retail Link")</f>
        <v>Retail Link</v>
      </c>
      <c r="J1148" s="14" t="s">
        <v>7579</v>
      </c>
      <c r="K1148" s="13" t="s">
        <v>7598</v>
      </c>
      <c r="L1148" s="15">
        <v>16.68</v>
      </c>
      <c r="M1148" s="15"/>
      <c r="N1148" s="15"/>
      <c r="O1148" s="15">
        <f>V1148-M1148</f>
        <v>0</v>
      </c>
      <c r="P1148" s="16">
        <f>N1148/L1148</f>
        <v>0</v>
      </c>
      <c r="Q1148" s="14">
        <v>11973</v>
      </c>
      <c r="R1148" s="14"/>
      <c r="S1148" s="17">
        <v>1.25001954</v>
      </c>
      <c r="T1148" s="15"/>
      <c r="U1148" s="15"/>
      <c r="V1148" s="15"/>
      <c r="W1148" s="14" t="s">
        <v>60</v>
      </c>
      <c r="X1148" s="14"/>
      <c r="Y1148" s="10">
        <f>AC1148-AB1148</f>
        <v>3985</v>
      </c>
      <c r="Z1148" s="18">
        <v>1</v>
      </c>
      <c r="AA1148" s="18">
        <v>2</v>
      </c>
      <c r="AB1148" s="18">
        <v>0</v>
      </c>
      <c r="AC1148" s="18">
        <v>3985</v>
      </c>
      <c r="AD1148" s="1" t="s">
        <v>7581</v>
      </c>
      <c r="AE1148" s="1" t="s">
        <v>7582</v>
      </c>
      <c r="AG1148" s="4">
        <v>6.14</v>
      </c>
    </row>
    <row r="1149" spans="1:33" ht="30" x14ac:dyDescent="0.25">
      <c r="A1149" s="10" t="s">
        <v>7626</v>
      </c>
      <c r="B1149" s="11" t="s">
        <v>33</v>
      </c>
      <c r="C1149" s="12" t="s">
        <v>7627</v>
      </c>
      <c r="D1149" s="27"/>
      <c r="E1149" s="14" t="s">
        <v>35</v>
      </c>
      <c r="F1149" s="11" t="str">
        <f>HYPERLINK("https://redirect.sdcdeals.com/redirect?destination=https%3A%2F%2Fwww.amazon.com%2Fdp%2FB0CZ4HZRK2%3Fth%3D1%26psc%3D1%26tag%3Dsdcdeals03-20", "Amazon Link")</f>
        <v>Amazon Link</v>
      </c>
      <c r="G1149" s="11" t="s">
        <v>36</v>
      </c>
      <c r="H1149" s="14" t="s">
        <v>7628</v>
      </c>
      <c r="I1149" s="11" t="str">
        <f>HYPERLINK("https://redirect.sdcdeals.com/redirect?code=763034&amp;mavely=https://mavely.app.link/e/bhESV2wGrGb&amp;destination=https%3A%2F%2Fwww.kohls.com%2Fsearch.jsp%3Fsubmit-search%3Dweb-regular%26search%3D69075458", "Retail Link")</f>
        <v>Retail Link</v>
      </c>
      <c r="J1149" s="14" t="s">
        <v>7629</v>
      </c>
      <c r="K1149" s="13" t="s">
        <v>7630</v>
      </c>
      <c r="L1149" s="15">
        <v>7.2</v>
      </c>
      <c r="M1149" s="15">
        <v>19.989999999999998</v>
      </c>
      <c r="N1149" s="15"/>
      <c r="O1149" s="15">
        <f>V1149-M1149</f>
        <v>0</v>
      </c>
      <c r="P1149" s="16">
        <f>N1149/L1149</f>
        <v>0</v>
      </c>
      <c r="Q1149" s="14">
        <v>2080541</v>
      </c>
      <c r="R1149" s="14"/>
      <c r="S1149" s="17"/>
      <c r="T1149" s="15">
        <v>19.989999999999998</v>
      </c>
      <c r="U1149" s="15">
        <v>19.989999999999998</v>
      </c>
      <c r="V1149" s="15">
        <v>19.989999999999998</v>
      </c>
      <c r="W1149" s="14" t="s">
        <v>626</v>
      </c>
      <c r="X1149" s="14">
        <v>1</v>
      </c>
      <c r="Y1149" s="10">
        <f>AC1149-AB1149</f>
        <v>7</v>
      </c>
      <c r="Z1149" s="18">
        <v>1</v>
      </c>
      <c r="AA1149" s="18">
        <v>1</v>
      </c>
      <c r="AB1149" s="18">
        <v>0</v>
      </c>
      <c r="AC1149" s="18">
        <v>7</v>
      </c>
      <c r="AE1149" s="1" t="s">
        <v>76</v>
      </c>
    </row>
    <row r="1150" spans="1:33" ht="60" x14ac:dyDescent="0.25">
      <c r="A1150" s="10" t="s">
        <v>7631</v>
      </c>
      <c r="B1150" s="11" t="s">
        <v>33</v>
      </c>
      <c r="C1150" s="12" t="s">
        <v>7632</v>
      </c>
      <c r="D1150" s="27"/>
      <c r="E1150" s="14" t="s">
        <v>35</v>
      </c>
      <c r="F1150" s="11" t="str">
        <f>HYPERLINK("https://redirect.sdcdeals.com/redirect?destination=https%3A%2F%2Fwww.amazon.com%2Fdp%2FB09SB3RH1D%3Fth%3D1%26psc%3D1%26tag%3Dsdcdeals03-20", "Amazon Link")</f>
        <v>Amazon Link</v>
      </c>
      <c r="G1150" s="11" t="s">
        <v>36</v>
      </c>
      <c r="H1150" s="14" t="s">
        <v>7633</v>
      </c>
      <c r="I1150" s="11" t="str">
        <f>HYPERLINK("https://redirect.sdcdeals.com/redirect?code=763034&amp;mavely=https://mavely.app.link/e/bhESV2wGrGb&amp;destination=https%3A%2F%2Fwww.kohls.com%2Fsearch.jsp%3Fsubmit-search%3Dweb-regular%26search%3D82048864", "Retail Link")</f>
        <v>Retail Link</v>
      </c>
      <c r="J1150" s="14" t="s">
        <v>7634</v>
      </c>
      <c r="K1150" s="13" t="s">
        <v>7635</v>
      </c>
      <c r="L1150" s="15">
        <v>5.9920000000000009</v>
      </c>
      <c r="M1150" s="15"/>
      <c r="N1150" s="15"/>
      <c r="O1150" s="15">
        <f>V1150-M1150</f>
        <v>0</v>
      </c>
      <c r="P1150" s="16">
        <f>N1150/L1150</f>
        <v>0</v>
      </c>
      <c r="Q1150" s="14">
        <v>38432</v>
      </c>
      <c r="R1150" s="14"/>
      <c r="S1150" s="17">
        <v>0.20062041999999999</v>
      </c>
      <c r="T1150" s="15"/>
      <c r="U1150" s="15"/>
      <c r="V1150" s="15"/>
      <c r="W1150" s="14" t="s">
        <v>46</v>
      </c>
      <c r="X1150" s="14"/>
      <c r="Y1150" s="10">
        <f>AC1150-AB1150</f>
        <v>0</v>
      </c>
      <c r="Z1150" s="18">
        <v>1</v>
      </c>
      <c r="AA1150" s="18">
        <v>1</v>
      </c>
      <c r="AB1150" s="18"/>
      <c r="AC1150" s="18"/>
      <c r="AD1150" s="1" t="s">
        <v>7636</v>
      </c>
      <c r="AE1150" s="1" t="s">
        <v>1556</v>
      </c>
      <c r="AG1150" s="4">
        <v>4.08</v>
      </c>
    </row>
    <row r="1151" spans="1:33" ht="60" x14ac:dyDescent="0.25">
      <c r="A1151" s="10" t="s">
        <v>7637</v>
      </c>
      <c r="B1151" s="11" t="s">
        <v>33</v>
      </c>
      <c r="C1151" s="12" t="s">
        <v>7638</v>
      </c>
      <c r="D1151" s="27"/>
      <c r="E1151" s="14" t="s">
        <v>35</v>
      </c>
      <c r="F1151" s="11" t="str">
        <f>HYPERLINK("https://redirect.sdcdeals.com/redirect?destination=https%3A%2F%2Fwww.amazon.com%2Fdp%2FB09SBLFX7J%3Fth%3D1%26psc%3D1%26tag%3Dsdcdeals03-20", "Amazon Link")</f>
        <v>Amazon Link</v>
      </c>
      <c r="G1151" s="11" t="s">
        <v>36</v>
      </c>
      <c r="H1151" s="14" t="s">
        <v>7639</v>
      </c>
      <c r="I1151" s="11" t="str">
        <f>HYPERLINK("https://redirect.sdcdeals.com/redirect?code=763034&amp;mavely=https://mavely.app.link/e/bhESV2wGrGb&amp;destination=https%3A%2F%2Fwww.kohls.com%2Fsearch.jsp%3Fsubmit-search%3Dweb-regular%26search%3D65495306", "Retail Link")</f>
        <v>Retail Link</v>
      </c>
      <c r="J1151" s="14" t="s">
        <v>7634</v>
      </c>
      <c r="K1151" s="13" t="s">
        <v>7640</v>
      </c>
      <c r="L1151" s="15">
        <v>5.9920000000000009</v>
      </c>
      <c r="M1151" s="15"/>
      <c r="N1151" s="15"/>
      <c r="O1151" s="15">
        <f>V1151-M1151</f>
        <v>0</v>
      </c>
      <c r="P1151" s="16">
        <f>N1151/L1151</f>
        <v>0</v>
      </c>
      <c r="Q1151" s="14">
        <v>32745</v>
      </c>
      <c r="R1151" s="14"/>
      <c r="S1151" s="17">
        <v>0.20943890000000001</v>
      </c>
      <c r="T1151" s="15"/>
      <c r="U1151" s="15"/>
      <c r="V1151" s="15"/>
      <c r="W1151" s="14" t="s">
        <v>3023</v>
      </c>
      <c r="X1151" s="14"/>
      <c r="Y1151" s="10">
        <f>AC1151-AB1151</f>
        <v>1</v>
      </c>
      <c r="Z1151" s="18">
        <v>2</v>
      </c>
      <c r="AA1151" s="18">
        <v>2</v>
      </c>
      <c r="AB1151" s="18"/>
      <c r="AC1151" s="18">
        <v>1</v>
      </c>
      <c r="AD1151" s="1" t="s">
        <v>7641</v>
      </c>
      <c r="AE1151" s="1" t="s">
        <v>1562</v>
      </c>
      <c r="AG1151" s="4">
        <v>4.55</v>
      </c>
    </row>
    <row r="1152" spans="1:33" ht="75" x14ac:dyDescent="0.25">
      <c r="A1152" s="10" t="s">
        <v>7642</v>
      </c>
      <c r="B1152" s="11" t="s">
        <v>33</v>
      </c>
      <c r="C1152" s="12" t="s">
        <v>7643</v>
      </c>
      <c r="D1152" s="27"/>
      <c r="E1152" s="14" t="s">
        <v>35</v>
      </c>
      <c r="F1152" s="11" t="str">
        <f>HYPERLINK("https://redirect.sdcdeals.com/redirect?destination=https%3A%2F%2Fwww.amazon.com%2Fdp%2FB09S9YHC13%3Fth%3D1%26psc%3D1%26tag%3Dsdcdeals03-20", "Amazon Link")</f>
        <v>Amazon Link</v>
      </c>
      <c r="G1152" s="11" t="s">
        <v>36</v>
      </c>
      <c r="H1152" s="14" t="s">
        <v>7644</v>
      </c>
      <c r="I1152" s="11" t="str">
        <f>HYPERLINK("https://redirect.sdcdeals.com/redirect?code=763034&amp;mavely=https://mavely.app.link/e/bhESV2wGrGb&amp;destination=https%3A%2F%2Fwww.kohls.com%2Fsearch.jsp%3Fsubmit-search%3Dweb-regular%26search%3D74881501", "Retail Link")</f>
        <v>Retail Link</v>
      </c>
      <c r="J1152" s="14" t="s">
        <v>7634</v>
      </c>
      <c r="K1152" s="13" t="s">
        <v>7645</v>
      </c>
      <c r="L1152" s="15">
        <v>5.9920000000000009</v>
      </c>
      <c r="M1152" s="15"/>
      <c r="N1152" s="15"/>
      <c r="O1152" s="15">
        <f>V1152-M1152</f>
        <v>0</v>
      </c>
      <c r="P1152" s="16">
        <f>N1152/L1152</f>
        <v>0</v>
      </c>
      <c r="Q1152" s="14">
        <v>38432</v>
      </c>
      <c r="R1152" s="14"/>
      <c r="S1152" s="17">
        <v>0.31085141999999999</v>
      </c>
      <c r="T1152" s="15"/>
      <c r="U1152" s="15"/>
      <c r="V1152" s="15"/>
      <c r="W1152" s="14" t="s">
        <v>2149</v>
      </c>
      <c r="X1152" s="14"/>
      <c r="Y1152" s="10">
        <f>AC1152-AB1152</f>
        <v>0</v>
      </c>
      <c r="Z1152" s="18">
        <v>0</v>
      </c>
      <c r="AA1152" s="18">
        <v>0</v>
      </c>
      <c r="AB1152" s="18"/>
      <c r="AC1152" s="18"/>
      <c r="AD1152" s="1" t="s">
        <v>7646</v>
      </c>
      <c r="AE1152" s="1" t="s">
        <v>1556</v>
      </c>
      <c r="AG1152" s="4">
        <v>4.99</v>
      </c>
    </row>
    <row r="1153" spans="1:33" ht="75" x14ac:dyDescent="0.25">
      <c r="A1153" s="10" t="s">
        <v>7647</v>
      </c>
      <c r="B1153" s="11" t="s">
        <v>33</v>
      </c>
      <c r="C1153" s="12" t="s">
        <v>7648</v>
      </c>
      <c r="D1153" s="27"/>
      <c r="E1153" s="14" t="s">
        <v>35</v>
      </c>
      <c r="F1153" s="11" t="str">
        <f>HYPERLINK("https://redirect.sdcdeals.com/redirect?destination=https%3A%2F%2Fwww.amazon.com%2Fdp%2FB09S9YJ6X5%3Fth%3D1%26psc%3D1%26tag%3Dsdcdeals03-20", "Amazon Link")</f>
        <v>Amazon Link</v>
      </c>
      <c r="G1153" s="11" t="s">
        <v>36</v>
      </c>
      <c r="H1153" s="14" t="s">
        <v>7649</v>
      </c>
      <c r="I1153" s="11" t="str">
        <f>HYPERLINK("https://redirect.sdcdeals.com/redirect?code=763034&amp;mavely=https://mavely.app.link/e/bhESV2wGrGb&amp;destination=https%3A%2F%2Fwww.kohls.com%2Fsearch.jsp%3Fsubmit-search%3Dweb-regular%26search%3D80107248", "Retail Link")</f>
        <v>Retail Link</v>
      </c>
      <c r="J1153" s="14" t="s">
        <v>7634</v>
      </c>
      <c r="K1153" s="13" t="s">
        <v>7650</v>
      </c>
      <c r="L1153" s="15">
        <v>5.9920000000000009</v>
      </c>
      <c r="M1153" s="15"/>
      <c r="N1153" s="15"/>
      <c r="O1153" s="15">
        <f>V1153-M1153</f>
        <v>0</v>
      </c>
      <c r="P1153" s="16">
        <f>N1153/L1153</f>
        <v>0</v>
      </c>
      <c r="Q1153" s="14">
        <v>38432</v>
      </c>
      <c r="R1153" s="14"/>
      <c r="S1153" s="17">
        <v>0.31085141999999999</v>
      </c>
      <c r="T1153" s="15"/>
      <c r="U1153" s="15"/>
      <c r="V1153" s="15"/>
      <c r="W1153" s="14" t="s">
        <v>2371</v>
      </c>
      <c r="X1153" s="14"/>
      <c r="Y1153" s="10">
        <f>AC1153-AB1153</f>
        <v>0</v>
      </c>
      <c r="Z1153" s="18">
        <v>1</v>
      </c>
      <c r="AA1153" s="18">
        <v>1</v>
      </c>
      <c r="AB1153" s="18"/>
      <c r="AC1153" s="18"/>
      <c r="AD1153" s="1" t="s">
        <v>7651</v>
      </c>
      <c r="AE1153" s="1" t="s">
        <v>1562</v>
      </c>
      <c r="AG1153" s="4">
        <v>5.52</v>
      </c>
    </row>
    <row r="1154" spans="1:33" ht="60" x14ac:dyDescent="0.25">
      <c r="A1154" s="10" t="s">
        <v>7652</v>
      </c>
      <c r="B1154" s="11" t="s">
        <v>33</v>
      </c>
      <c r="C1154" s="12" t="s">
        <v>7653</v>
      </c>
      <c r="D1154" s="27"/>
      <c r="E1154" s="14" t="s">
        <v>35</v>
      </c>
      <c r="F1154" s="11" t="str">
        <f>HYPERLINK("https://redirect.sdcdeals.com/redirect?destination=https%3A%2F%2Fwww.amazon.com%2Fdp%2FB09SB6M2WX%3Fth%3D1%26psc%3D1%26tag%3Dsdcdeals03-20", "Amazon Link")</f>
        <v>Amazon Link</v>
      </c>
      <c r="G1154" s="11" t="s">
        <v>36</v>
      </c>
      <c r="H1154" s="14" t="s">
        <v>7654</v>
      </c>
      <c r="I1154" s="11" t="str">
        <f>HYPERLINK("https://redirect.sdcdeals.com/redirect?code=763034&amp;mavely=https://mavely.app.link/e/bhESV2wGrGb&amp;destination=https%3A%2F%2Fwww.kohls.com%2Fsearch.jsp%3Fsubmit-search%3Dweb-regular%26search%3D83360132", "Retail Link")</f>
        <v>Retail Link</v>
      </c>
      <c r="J1154" s="14" t="s">
        <v>7634</v>
      </c>
      <c r="K1154" s="13" t="s">
        <v>7655</v>
      </c>
      <c r="L1154" s="15">
        <v>5.9920000000000009</v>
      </c>
      <c r="M1154" s="15"/>
      <c r="N1154" s="15"/>
      <c r="O1154" s="15">
        <f>V1154-M1154</f>
        <v>0</v>
      </c>
      <c r="P1154" s="16">
        <f>N1154/L1154</f>
        <v>0</v>
      </c>
      <c r="Q1154" s="14">
        <v>36797</v>
      </c>
      <c r="R1154" s="14"/>
      <c r="S1154" s="17">
        <v>0.52910880000000005</v>
      </c>
      <c r="T1154" s="15"/>
      <c r="U1154" s="15"/>
      <c r="V1154" s="15"/>
      <c r="W1154" s="14" t="s">
        <v>3258</v>
      </c>
      <c r="X1154" s="14"/>
      <c r="Y1154" s="10">
        <f>AC1154-AB1154</f>
        <v>1</v>
      </c>
      <c r="Z1154" s="18">
        <v>5</v>
      </c>
      <c r="AA1154" s="18">
        <v>5</v>
      </c>
      <c r="AB1154" s="18">
        <v>1</v>
      </c>
      <c r="AC1154" s="18">
        <v>2</v>
      </c>
      <c r="AD1154" s="1" t="s">
        <v>7656</v>
      </c>
      <c r="AE1154" s="1" t="s">
        <v>1562</v>
      </c>
      <c r="AG1154" s="4">
        <v>4.99</v>
      </c>
    </row>
    <row r="1155" spans="1:33" ht="60" x14ac:dyDescent="0.25">
      <c r="A1155" s="10" t="s">
        <v>7657</v>
      </c>
      <c r="B1155" s="11" t="s">
        <v>33</v>
      </c>
      <c r="C1155" s="12" t="s">
        <v>7658</v>
      </c>
      <c r="D1155" s="27"/>
      <c r="E1155" s="14" t="s">
        <v>35</v>
      </c>
      <c r="F1155" s="11" t="str">
        <f>HYPERLINK("https://redirect.sdcdeals.com/redirect?destination=https%3A%2F%2Fwww.amazon.com%2Fdp%2FB09S9LKB4R%3Fth%3D1%26psc%3D1%26tag%3Dsdcdeals03-20", "Amazon Link")</f>
        <v>Amazon Link</v>
      </c>
      <c r="G1155" s="11" t="s">
        <v>36</v>
      </c>
      <c r="H1155" s="14" t="s">
        <v>7659</v>
      </c>
      <c r="I1155" s="11" t="str">
        <f>HYPERLINK("https://redirect.sdcdeals.com/redirect?code=763034&amp;mavely=https://mavely.app.link/e/bhESV2wGrGb&amp;destination=https%3A%2F%2Fwww.kohls.com%2Fsearch.jsp%3Fsubmit-search%3Dweb-regular%26search%3D83046390", "Retail Link")</f>
        <v>Retail Link</v>
      </c>
      <c r="J1155" s="14" t="s">
        <v>7634</v>
      </c>
      <c r="K1155" s="13" t="s">
        <v>7660</v>
      </c>
      <c r="L1155" s="15">
        <v>5.9920000000000009</v>
      </c>
      <c r="M1155" s="15"/>
      <c r="N1155" s="15"/>
      <c r="O1155" s="15">
        <f>V1155-M1155</f>
        <v>0</v>
      </c>
      <c r="P1155" s="16">
        <f>N1155/L1155</f>
        <v>0</v>
      </c>
      <c r="Q1155" s="14">
        <v>38432</v>
      </c>
      <c r="R1155" s="14"/>
      <c r="S1155" s="17"/>
      <c r="T1155" s="15"/>
      <c r="U1155" s="15"/>
      <c r="V1155" s="15"/>
      <c r="W1155" s="14" t="s">
        <v>4924</v>
      </c>
      <c r="X1155" s="14"/>
      <c r="Y1155" s="10">
        <f>AC1155-AB1155</f>
        <v>0</v>
      </c>
      <c r="Z1155" s="18">
        <v>2</v>
      </c>
      <c r="AA1155" s="18">
        <v>2</v>
      </c>
      <c r="AB1155" s="18"/>
      <c r="AC1155" s="18"/>
      <c r="AD1155" s="1" t="s">
        <v>7661</v>
      </c>
      <c r="AE1155" s="1" t="s">
        <v>1556</v>
      </c>
    </row>
    <row r="1156" spans="1:33" ht="30" hidden="1" x14ac:dyDescent="0.25">
      <c r="A1156" s="10" t="s">
        <v>6207</v>
      </c>
      <c r="B1156" s="11" t="s">
        <v>33</v>
      </c>
      <c r="C1156" s="12" t="s">
        <v>6208</v>
      </c>
      <c r="D1156" s="27"/>
      <c r="E1156" s="14" t="s">
        <v>35</v>
      </c>
      <c r="F1156" s="11" t="str">
        <f>HYPERLINK("https://redirect.sdcdeals.com/redirect?destination=https%3A%2F%2Fwww.amazon.com%2Fdp%2FB0CL5KPXGM%3Fth%3D1%26psc%3D1%26tag%3Dsdcdeals03-20", "Amazon Link")</f>
        <v>Amazon Link</v>
      </c>
      <c r="G1156" s="11" t="s">
        <v>36</v>
      </c>
      <c r="H1156" s="14" t="s">
        <v>6209</v>
      </c>
      <c r="I1156" s="11" t="str">
        <f>HYPERLINK("https://redirect.sdcdeals.com/redirect?code=763034&amp;mavely=https://mavely.app.link/e/bhESV2wGrGb&amp;destination=https%3A%2F%2Fwww.kohls.com%2Fsearch.jsp%3Fsubmit-search%3Dweb-regular%26search%3D50022582", "Retail Link")</f>
        <v>Retail Link</v>
      </c>
      <c r="J1156" s="14" t="s">
        <v>6187</v>
      </c>
      <c r="K1156" s="13" t="s">
        <v>6210</v>
      </c>
      <c r="L1156" s="15">
        <v>6.8000000000000007</v>
      </c>
      <c r="M1156" s="15">
        <v>13.4</v>
      </c>
      <c r="N1156" s="15">
        <v>-2.0000000000000458E-2</v>
      </c>
      <c r="O1156" s="15">
        <f>V1156-M1156</f>
        <v>6.4099999999999984</v>
      </c>
      <c r="P1156" s="16">
        <f>N1156/L1156</f>
        <v>-2.9411764705883025E-3</v>
      </c>
      <c r="Q1156" s="14"/>
      <c r="R1156" s="14"/>
      <c r="S1156" s="17">
        <v>0.22928048000000001</v>
      </c>
      <c r="T1156" s="15">
        <v>13.4</v>
      </c>
      <c r="U1156" s="15">
        <v>13.21</v>
      </c>
      <c r="V1156" s="15">
        <v>19.809999999999999</v>
      </c>
      <c r="W1156" s="14" t="s">
        <v>3850</v>
      </c>
      <c r="X1156" s="14">
        <v>18</v>
      </c>
      <c r="Y1156" s="10">
        <f>AC1156-AB1156</f>
        <v>0</v>
      </c>
      <c r="Z1156" s="18">
        <v>0</v>
      </c>
      <c r="AA1156" s="18">
        <v>3</v>
      </c>
      <c r="AB1156" s="18">
        <v>0</v>
      </c>
      <c r="AC1156" s="18"/>
      <c r="AD1156" s="1" t="s">
        <v>4680</v>
      </c>
      <c r="AE1156" s="1" t="s">
        <v>6189</v>
      </c>
      <c r="AF1156" s="4">
        <v>0.67</v>
      </c>
      <c r="AG1156" s="4">
        <v>4.6100000000000003</v>
      </c>
    </row>
    <row r="1157" spans="1:33" ht="30" x14ac:dyDescent="0.25">
      <c r="A1157" s="10" t="s">
        <v>6050</v>
      </c>
      <c r="B1157" s="11" t="s">
        <v>33</v>
      </c>
      <c r="C1157" s="12" t="s">
        <v>6051</v>
      </c>
      <c r="D1157" s="27"/>
      <c r="E1157" s="14" t="s">
        <v>35</v>
      </c>
      <c r="F1157" s="11" t="str">
        <f>HYPERLINK("https://redirect.sdcdeals.com/redirect?destination=https%3A%2F%2Fwww.amazon.com%2Fdp%2FB0BN6SBCZR%3Fth%3D1%26psc%3D1%26tag%3Dsdcdeals03-20", "Amazon Link")</f>
        <v>Amazon Link</v>
      </c>
      <c r="G1157" s="11" t="s">
        <v>36</v>
      </c>
      <c r="H1157" s="14" t="s">
        <v>6052</v>
      </c>
      <c r="I1157" s="11" t="str">
        <f>HYPERLINK("https://redirect.sdcdeals.com/redirect?code=763034&amp;mavely=https://mavely.app.link/e/bhESV2wGrGb&amp;destination=https%3A%2F%2Fwww.kohls.com%2Fsearch.jsp%3Fsubmit-search%3Dweb-regular%26search%3D81955424", "Retail Link")</f>
        <v>Retail Link</v>
      </c>
      <c r="J1157" s="14" t="s">
        <v>6040</v>
      </c>
      <c r="K1157" s="13" t="s">
        <v>6053</v>
      </c>
      <c r="L1157" s="15">
        <v>9.2000000000000011</v>
      </c>
      <c r="M1157" s="15">
        <v>17.989999999999998</v>
      </c>
      <c r="N1157" s="15">
        <v>-4.850000000000243E-2</v>
      </c>
      <c r="O1157" s="15">
        <f>V1157-M1157</f>
        <v>3.3200000000000003</v>
      </c>
      <c r="P1157" s="16">
        <f>N1157/L1157</f>
        <v>-5.2717391304350466E-3</v>
      </c>
      <c r="Q1157" s="14">
        <v>192652</v>
      </c>
      <c r="R1157" s="14"/>
      <c r="S1157" s="17">
        <v>0.40785470000000001</v>
      </c>
      <c r="T1157" s="15">
        <v>17.989999999999998</v>
      </c>
      <c r="U1157" s="15">
        <v>22.7</v>
      </c>
      <c r="V1157" s="15">
        <v>21.31</v>
      </c>
      <c r="W1157" s="14" t="s">
        <v>781</v>
      </c>
      <c r="X1157" s="14">
        <v>1</v>
      </c>
      <c r="Y1157" s="10">
        <f>AC1157-AB1157</f>
        <v>39</v>
      </c>
      <c r="Z1157" s="18">
        <v>15</v>
      </c>
      <c r="AA1157" s="18">
        <v>44</v>
      </c>
      <c r="AB1157" s="18">
        <v>0</v>
      </c>
      <c r="AC1157" s="18">
        <v>39</v>
      </c>
      <c r="AD1157" s="1" t="s">
        <v>6054</v>
      </c>
      <c r="AE1157" s="1" t="s">
        <v>6055</v>
      </c>
      <c r="AF1157" s="4">
        <v>1.8</v>
      </c>
      <c r="AG1157" s="4">
        <v>6.14</v>
      </c>
    </row>
    <row r="1158" spans="1:33" ht="30" x14ac:dyDescent="0.25">
      <c r="A1158" s="10" t="s">
        <v>4299</v>
      </c>
      <c r="B1158" s="11" t="s">
        <v>33</v>
      </c>
      <c r="C1158" s="12" t="s">
        <v>4300</v>
      </c>
      <c r="D1158" s="27"/>
      <c r="E1158" s="14" t="s">
        <v>35</v>
      </c>
      <c r="F1158" s="11" t="str">
        <f>HYPERLINK("https://redirect.sdcdeals.com/redirect?destination=https%3A%2F%2Fwww.amazon.com%2Fdp%2FB0BKR113NM%3Fth%3D1%26psc%3D1%26tag%3Dsdcdeals03-20", "Amazon Link")</f>
        <v>Amazon Link</v>
      </c>
      <c r="G1158" s="11" t="s">
        <v>36</v>
      </c>
      <c r="H1158" s="14" t="s">
        <v>4301</v>
      </c>
      <c r="I1158" s="11" t="str">
        <f>HYPERLINK("https://redirect.sdcdeals.com/redirect?code=763034&amp;mavely=https://mavely.app.link/e/bhESV2wGrGb&amp;destination=https%3A%2F%2Fwww.kohls.com%2Fsearch.jsp%3Fsubmit-search%3Dweb-regular%26search%3D76194410", "Retail Link")</f>
        <v>Retail Link</v>
      </c>
      <c r="J1158" s="14" t="s">
        <v>4231</v>
      </c>
      <c r="K1158" s="13" t="s">
        <v>4302</v>
      </c>
      <c r="L1158" s="15">
        <v>52.8</v>
      </c>
      <c r="M1158" s="15">
        <v>81.040000000000006</v>
      </c>
      <c r="N1158" s="15">
        <v>-0.36599999999999971</v>
      </c>
      <c r="O1158" s="15">
        <f>V1158-M1158</f>
        <v>12</v>
      </c>
      <c r="P1158" s="16">
        <f>N1158/L1158</f>
        <v>-6.931818181818177E-3</v>
      </c>
      <c r="Q1158" s="14">
        <v>778573</v>
      </c>
      <c r="R1158" s="14"/>
      <c r="S1158" s="17">
        <v>3.2407914</v>
      </c>
      <c r="T1158" s="15">
        <v>81.040000000000006</v>
      </c>
      <c r="U1158" s="15">
        <v>82.27</v>
      </c>
      <c r="V1158" s="15">
        <v>93.04</v>
      </c>
      <c r="W1158" s="14" t="s">
        <v>311</v>
      </c>
      <c r="X1158" s="14">
        <v>4</v>
      </c>
      <c r="Y1158" s="10">
        <f>AC1158-AB1158</f>
        <v>2</v>
      </c>
      <c r="Z1158" s="18">
        <v>5</v>
      </c>
      <c r="AA1158" s="18">
        <v>24</v>
      </c>
      <c r="AB1158" s="18">
        <v>1</v>
      </c>
      <c r="AC1158" s="18">
        <v>3</v>
      </c>
      <c r="AD1158" s="1" t="s">
        <v>4233</v>
      </c>
      <c r="AE1158" s="1" t="s">
        <v>4239</v>
      </c>
      <c r="AF1158" s="4">
        <v>13.78</v>
      </c>
      <c r="AG1158" s="4">
        <v>16.45</v>
      </c>
    </row>
    <row r="1159" spans="1:33" ht="45" x14ac:dyDescent="0.25">
      <c r="A1159" s="10" t="s">
        <v>4318</v>
      </c>
      <c r="B1159" s="11" t="s">
        <v>33</v>
      </c>
      <c r="C1159" s="12" t="s">
        <v>4319</v>
      </c>
      <c r="D1159" s="27"/>
      <c r="E1159" s="14" t="s">
        <v>35</v>
      </c>
      <c r="F1159" s="11" t="str">
        <f>HYPERLINK("https://redirect.sdcdeals.com/redirect?destination=https%3A%2F%2Fwww.amazon.com%2Fdp%2FB0C8BKYL78%3Fth%3D1%26psc%3D1%26tag%3Dsdcdeals03-20", "Amazon Link")</f>
        <v>Amazon Link</v>
      </c>
      <c r="G1159" s="11" t="s">
        <v>36</v>
      </c>
      <c r="H1159" s="14" t="s">
        <v>4320</v>
      </c>
      <c r="I1159" s="11" t="str">
        <f>HYPERLINK("https://redirect.sdcdeals.com/redirect?code=763034&amp;mavely=https://mavely.app.link/e/bhESV2wGrGb&amp;destination=https%3A%2F%2Fwww.kohls.com%2Fsearch.jsp%3Fsubmit-search%3Dweb-regular%26search%3D28150534", "Retail Link")</f>
        <v>Retail Link</v>
      </c>
      <c r="J1159" s="14" t="s">
        <v>4310</v>
      </c>
      <c r="K1159" s="13" t="s">
        <v>4321</v>
      </c>
      <c r="L1159" s="15">
        <v>6.9840000000000009</v>
      </c>
      <c r="M1159" s="15">
        <v>14.99</v>
      </c>
      <c r="N1159" s="15">
        <v>-6.2500000000000888E-2</v>
      </c>
      <c r="O1159" s="15">
        <f>V1159-M1159</f>
        <v>4.4599999999999991</v>
      </c>
      <c r="P1159" s="16">
        <f>N1159/L1159</f>
        <v>-8.9490263459336885E-3</v>
      </c>
      <c r="Q1159" s="14">
        <v>299819</v>
      </c>
      <c r="R1159" s="14"/>
      <c r="S1159" s="17">
        <v>0.34171610000000002</v>
      </c>
      <c r="T1159" s="15">
        <v>14.99</v>
      </c>
      <c r="U1159" s="15">
        <v>17.14</v>
      </c>
      <c r="V1159" s="15">
        <v>19.45</v>
      </c>
      <c r="W1159" s="14" t="s">
        <v>4322</v>
      </c>
      <c r="X1159" s="14">
        <v>1</v>
      </c>
      <c r="Y1159" s="10">
        <f>AC1159-AB1159</f>
        <v>300</v>
      </c>
      <c r="Z1159" s="18">
        <v>3</v>
      </c>
      <c r="AA1159" s="18">
        <v>16</v>
      </c>
      <c r="AB1159" s="18">
        <v>4</v>
      </c>
      <c r="AC1159" s="18">
        <v>304</v>
      </c>
      <c r="AD1159" s="1" t="s">
        <v>4312</v>
      </c>
      <c r="AE1159" s="1" t="s">
        <v>4313</v>
      </c>
      <c r="AF1159" s="4">
        <v>1.5</v>
      </c>
      <c r="AG1159" s="4">
        <v>5.82</v>
      </c>
    </row>
    <row r="1160" spans="1:33" ht="30" x14ac:dyDescent="0.25">
      <c r="A1160" s="10" t="s">
        <v>5146</v>
      </c>
      <c r="B1160" s="11" t="s">
        <v>33</v>
      </c>
      <c r="C1160" s="12" t="s">
        <v>5147</v>
      </c>
      <c r="D1160" s="27"/>
      <c r="E1160" s="14" t="s">
        <v>35</v>
      </c>
      <c r="F1160" s="11" t="str">
        <f>HYPERLINK("https://redirect.sdcdeals.com/redirect?destination=https%3A%2F%2Fwww.amazon.com%2Fdp%2FB0BN51P82W%3Fth%3D1%26psc%3D1%26tag%3Dsdcdeals03-20", "Amazon Link")</f>
        <v>Amazon Link</v>
      </c>
      <c r="G1160" s="11" t="s">
        <v>36</v>
      </c>
      <c r="H1160" s="14" t="s">
        <v>5148</v>
      </c>
      <c r="I1160" s="11" t="str">
        <f>HYPERLINK("https://redirect.sdcdeals.com/redirect?code=763034&amp;mavely=https://mavely.app.link/e/bhESV2wGrGb&amp;destination=https%3A%2F%2Fwww.kohls.com%2Fsearch.jsp%3Fsubmit-search%3Dweb-regular%26search%3D20254364", "Retail Link")</f>
        <v>Retail Link</v>
      </c>
      <c r="J1160" s="14" t="s">
        <v>5123</v>
      </c>
      <c r="K1160" s="13" t="s">
        <v>5124</v>
      </c>
      <c r="L1160" s="15">
        <v>15.288</v>
      </c>
      <c r="M1160" s="15">
        <v>25.69</v>
      </c>
      <c r="N1160" s="15">
        <v>-0.26149999999999812</v>
      </c>
      <c r="O1160" s="15">
        <f>V1160-M1160</f>
        <v>10.779999999999998</v>
      </c>
      <c r="P1160" s="16">
        <f>N1160/L1160</f>
        <v>-1.7104918890633054E-2</v>
      </c>
      <c r="Q1160" s="14">
        <v>466301</v>
      </c>
      <c r="R1160" s="14"/>
      <c r="S1160" s="17">
        <v>0.96782818000000004</v>
      </c>
      <c r="T1160" s="15">
        <v>25.69</v>
      </c>
      <c r="U1160" s="15">
        <v>27.41</v>
      </c>
      <c r="V1160" s="15">
        <v>36.47</v>
      </c>
      <c r="W1160" s="14" t="s">
        <v>4270</v>
      </c>
      <c r="X1160" s="14">
        <v>1</v>
      </c>
      <c r="Y1160" s="10">
        <f>AC1160-AB1160</f>
        <v>152</v>
      </c>
      <c r="Z1160" s="18">
        <v>12</v>
      </c>
      <c r="AA1160" s="18">
        <v>47</v>
      </c>
      <c r="AB1160" s="18">
        <v>1</v>
      </c>
      <c r="AC1160" s="18">
        <v>153</v>
      </c>
      <c r="AD1160" s="1" t="s">
        <v>5125</v>
      </c>
      <c r="AE1160" s="1" t="s">
        <v>5126</v>
      </c>
      <c r="AF1160" s="4">
        <v>4.37</v>
      </c>
      <c r="AG1160" s="4">
        <v>6.81</v>
      </c>
    </row>
    <row r="1161" spans="1:33" ht="30" x14ac:dyDescent="0.25">
      <c r="A1161" s="10" t="s">
        <v>5152</v>
      </c>
      <c r="B1161" s="11" t="s">
        <v>33</v>
      </c>
      <c r="C1161" s="12" t="s">
        <v>5153</v>
      </c>
      <c r="D1161" s="27"/>
      <c r="E1161" s="14" t="s">
        <v>35</v>
      </c>
      <c r="F1161" s="11" t="str">
        <f>HYPERLINK("https://redirect.sdcdeals.com/redirect?destination=https%3A%2F%2Fwww.amazon.com%2Fdp%2FB0BN6T5NH9%3Fth%3D1%26psc%3D1%26tag%3Dsdcdeals03-20", "Amazon Link")</f>
        <v>Amazon Link</v>
      </c>
      <c r="G1161" s="11" t="s">
        <v>36</v>
      </c>
      <c r="H1161" s="14" t="s">
        <v>5154</v>
      </c>
      <c r="I1161" s="11" t="str">
        <f>HYPERLINK("https://redirect.sdcdeals.com/redirect?code=763034&amp;mavely=https://mavely.app.link/e/bhESV2wGrGb&amp;destination=https%3A%2F%2Fwww.kohls.com%2Fsearch.jsp%3Fsubmit-search%3Dweb-regular%26search%3D20254365", "Retail Link")</f>
        <v>Retail Link</v>
      </c>
      <c r="J1161" s="14" t="s">
        <v>5123</v>
      </c>
      <c r="K1161" s="13" t="s">
        <v>5124</v>
      </c>
      <c r="L1161" s="15">
        <v>15.288</v>
      </c>
      <c r="M1161" s="15">
        <v>25.69</v>
      </c>
      <c r="N1161" s="15">
        <v>-0.26149999999999812</v>
      </c>
      <c r="O1161" s="15">
        <f>V1161-M1161</f>
        <v>10.760000000000002</v>
      </c>
      <c r="P1161" s="16">
        <f>N1161/L1161</f>
        <v>-1.7104918890633054E-2</v>
      </c>
      <c r="Q1161" s="14">
        <v>466301</v>
      </c>
      <c r="R1161" s="14"/>
      <c r="S1161" s="17">
        <v>1.0802638</v>
      </c>
      <c r="T1161" s="15">
        <v>25.69</v>
      </c>
      <c r="U1161" s="15">
        <v>27.16</v>
      </c>
      <c r="V1161" s="15">
        <v>36.450000000000003</v>
      </c>
      <c r="W1161" s="14" t="s">
        <v>88</v>
      </c>
      <c r="X1161" s="14">
        <v>1</v>
      </c>
      <c r="Y1161" s="10">
        <f>AC1161-AB1161</f>
        <v>154</v>
      </c>
      <c r="Z1161" s="18">
        <v>7</v>
      </c>
      <c r="AA1161" s="18">
        <v>39</v>
      </c>
      <c r="AB1161" s="18">
        <v>0</v>
      </c>
      <c r="AC1161" s="18">
        <v>154</v>
      </c>
      <c r="AD1161" s="1" t="s">
        <v>5125</v>
      </c>
      <c r="AE1161" s="1" t="s">
        <v>5126</v>
      </c>
      <c r="AF1161" s="4">
        <v>4.37</v>
      </c>
      <c r="AG1161" s="4">
        <v>6.81</v>
      </c>
    </row>
    <row r="1162" spans="1:33" ht="45" x14ac:dyDescent="0.25">
      <c r="A1162" s="10" t="s">
        <v>3975</v>
      </c>
      <c r="B1162" s="11" t="s">
        <v>33</v>
      </c>
      <c r="C1162" s="12" t="s">
        <v>3976</v>
      </c>
      <c r="D1162" s="27"/>
      <c r="E1162" s="14" t="s">
        <v>35</v>
      </c>
      <c r="F1162" s="11" t="str">
        <f>HYPERLINK("https://redirect.sdcdeals.com/redirect?destination=https%3A%2F%2Fwww.amazon.com%2Fdp%2FB09B69889T%3Fth%3D1%26psc%3D1%26tag%3Dsdcdeals03-20", "Amazon Link")</f>
        <v>Amazon Link</v>
      </c>
      <c r="G1162" s="11" t="s">
        <v>36</v>
      </c>
      <c r="H1162" s="14" t="s">
        <v>3977</v>
      </c>
      <c r="I1162" s="11" t="str">
        <f>HYPERLINK("https://redirect.sdcdeals.com/redirect?code=763034&amp;mavely=https://mavely.app.link/e/bhESV2wGrGb&amp;destination=https%3A%2F%2Fwww.kohls.com%2Fsearch.jsp%3Fsubmit-search%3Dweb-regular%26search%3D78202046", "Retail Link")</f>
        <v>Retail Link</v>
      </c>
      <c r="J1162" s="14" t="s">
        <v>3942</v>
      </c>
      <c r="K1162" s="13" t="s">
        <v>3978</v>
      </c>
      <c r="L1162" s="15">
        <v>12.48</v>
      </c>
      <c r="M1162" s="15">
        <v>27.23</v>
      </c>
      <c r="N1162" s="15">
        <v>-0.26450000000000168</v>
      </c>
      <c r="O1162" s="15">
        <f>V1162-M1162</f>
        <v>8.5100000000000016</v>
      </c>
      <c r="P1162" s="16">
        <f>N1162/L1162</f>
        <v>-2.1193910256410389E-2</v>
      </c>
      <c r="Q1162" s="14">
        <v>109613</v>
      </c>
      <c r="R1162" s="14"/>
      <c r="S1162" s="17">
        <v>1.6799204400000001</v>
      </c>
      <c r="T1162" s="15">
        <v>27.23</v>
      </c>
      <c r="U1162" s="15">
        <v>31.1</v>
      </c>
      <c r="V1162" s="15">
        <v>35.74</v>
      </c>
      <c r="W1162" s="14" t="s">
        <v>3979</v>
      </c>
      <c r="X1162" s="14">
        <v>2</v>
      </c>
      <c r="Y1162" s="10">
        <f>AC1162-AB1162</f>
        <v>819</v>
      </c>
      <c r="Z1162" s="18">
        <v>22</v>
      </c>
      <c r="AA1162" s="18">
        <v>83</v>
      </c>
      <c r="AB1162" s="18">
        <v>4</v>
      </c>
      <c r="AC1162" s="18">
        <v>823</v>
      </c>
      <c r="AD1162" s="1" t="s">
        <v>2991</v>
      </c>
      <c r="AE1162" s="1" t="s">
        <v>2992</v>
      </c>
      <c r="AF1162" s="4">
        <v>4.63</v>
      </c>
      <c r="AG1162" s="4">
        <v>10.93</v>
      </c>
    </row>
    <row r="1163" spans="1:33" ht="30" x14ac:dyDescent="0.25">
      <c r="A1163" s="10" t="s">
        <v>1053</v>
      </c>
      <c r="B1163" s="11" t="s">
        <v>33</v>
      </c>
      <c r="C1163" s="12" t="s">
        <v>1054</v>
      </c>
      <c r="D1163" s="27"/>
      <c r="E1163" s="14" t="s">
        <v>35</v>
      </c>
      <c r="F1163" s="11" t="str">
        <f>HYPERLINK("https://redirect.sdcdeals.com/redirect?destination=https%3A%2F%2Fwww.amazon.com%2Fdp%2FB0C3WDS6L4%3Fth%3D1%26psc%3D1%26tag%3Dsdcdeals03-20", "Amazon Link")</f>
        <v>Amazon Link</v>
      </c>
      <c r="G1163" s="11" t="s">
        <v>36</v>
      </c>
      <c r="H1163" s="14" t="s">
        <v>1055</v>
      </c>
      <c r="I1163" s="11" t="str">
        <f>HYPERLINK("https://redirect.sdcdeals.com/redirect?code=763034&amp;mavely=https://mavely.app.link/e/bhESV2wGrGb&amp;destination=https%3A%2F%2Fwww.kohls.com%2Fsearch.jsp%3Fsubmit-search%3Dweb-regular%26search%3D80298257", "Retail Link")</f>
        <v>Retail Link</v>
      </c>
      <c r="J1163" s="14" t="s">
        <v>1042</v>
      </c>
      <c r="K1163" s="13" t="s">
        <v>1056</v>
      </c>
      <c r="L1163" s="15">
        <v>12</v>
      </c>
      <c r="M1163" s="15">
        <v>20.65</v>
      </c>
      <c r="N1163" s="15">
        <v>-0.34750000000000192</v>
      </c>
      <c r="O1163" s="15">
        <f>V1163-M1163</f>
        <v>3.3300000000000018</v>
      </c>
      <c r="P1163" s="16">
        <f>N1163/L1163</f>
        <v>-2.8958333333333492E-2</v>
      </c>
      <c r="Q1163" s="14">
        <v>1401141</v>
      </c>
      <c r="R1163" s="14"/>
      <c r="S1163" s="17">
        <v>0.71429688000000002</v>
      </c>
      <c r="T1163" s="15">
        <v>20.65</v>
      </c>
      <c r="U1163" s="15">
        <v>21.47</v>
      </c>
      <c r="V1163" s="15">
        <v>23.98</v>
      </c>
      <c r="W1163" s="14" t="s">
        <v>311</v>
      </c>
      <c r="X1163" s="14">
        <v>1</v>
      </c>
      <c r="Y1163" s="10">
        <f>AC1163-AB1163</f>
        <v>0</v>
      </c>
      <c r="Z1163" s="18">
        <v>5</v>
      </c>
      <c r="AA1163" s="18">
        <v>22</v>
      </c>
      <c r="AB1163" s="18"/>
      <c r="AC1163" s="18"/>
      <c r="AD1163" s="1" t="s">
        <v>1044</v>
      </c>
      <c r="AE1163" s="1" t="s">
        <v>935</v>
      </c>
      <c r="AF1163" s="4">
        <v>3.51</v>
      </c>
      <c r="AG1163" s="4">
        <v>5.9</v>
      </c>
    </row>
    <row r="1164" spans="1:33" ht="30" x14ac:dyDescent="0.25">
      <c r="A1164" s="10" t="s">
        <v>7463</v>
      </c>
      <c r="B1164" s="11" t="s">
        <v>33</v>
      </c>
      <c r="C1164" s="12" t="s">
        <v>7464</v>
      </c>
      <c r="D1164" s="27"/>
      <c r="E1164" s="14" t="s">
        <v>35</v>
      </c>
      <c r="F1164" s="11" t="str">
        <f>HYPERLINK("https://redirect.sdcdeals.com/redirect?destination=https%3A%2F%2Fwww.amazon.com%2Fdp%2FB0BKR1V4DP%3Fth%3D1%26psc%3D1%26tag%3Dsdcdeals03-20", "Amazon Link")</f>
        <v>Amazon Link</v>
      </c>
      <c r="G1164" s="11" t="s">
        <v>36</v>
      </c>
      <c r="H1164" s="14" t="s">
        <v>7465</v>
      </c>
      <c r="I1164" s="11" t="str">
        <f>HYPERLINK("https://redirect.sdcdeals.com/redirect?code=763034&amp;mavely=https://mavely.app.link/e/bhESV2wGrGb&amp;destination=https%3A%2F%2Fwww.kohls.com%2Fsearch.jsp%3Fsubmit-search%3Dweb-regular%26search%3D55628813", "Retail Link")</f>
        <v>Retail Link</v>
      </c>
      <c r="J1164" s="14" t="s">
        <v>7447</v>
      </c>
      <c r="K1164" s="13" t="s">
        <v>7466</v>
      </c>
      <c r="L1164" s="15">
        <v>24</v>
      </c>
      <c r="M1164" s="15">
        <v>34.33</v>
      </c>
      <c r="N1164" s="15">
        <v>-0.95950000000000202</v>
      </c>
      <c r="O1164" s="15">
        <f>V1164-M1164</f>
        <v>15.120000000000005</v>
      </c>
      <c r="P1164" s="16">
        <f>N1164/L1164</f>
        <v>-3.9979166666666753E-2</v>
      </c>
      <c r="Q1164" s="14">
        <v>826894</v>
      </c>
      <c r="R1164" s="14"/>
      <c r="S1164" s="17">
        <v>1.06042222</v>
      </c>
      <c r="T1164" s="15"/>
      <c r="U1164" s="15">
        <v>34.33</v>
      </c>
      <c r="V1164" s="15">
        <v>49.45</v>
      </c>
      <c r="W1164" s="14" t="s">
        <v>1822</v>
      </c>
      <c r="X1164" s="14">
        <v>1</v>
      </c>
      <c r="Y1164" s="10">
        <f>AC1164-AB1164</f>
        <v>-1</v>
      </c>
      <c r="Z1164" s="18">
        <v>6</v>
      </c>
      <c r="AA1164" s="18">
        <v>25</v>
      </c>
      <c r="AB1164" s="18">
        <v>1</v>
      </c>
      <c r="AC1164" s="18"/>
      <c r="AD1164" s="1" t="s">
        <v>7449</v>
      </c>
      <c r="AE1164" s="1" t="s">
        <v>3505</v>
      </c>
      <c r="AG1164" s="4">
        <v>6.14</v>
      </c>
    </row>
    <row r="1165" spans="1:33" ht="30" x14ac:dyDescent="0.25">
      <c r="A1165" s="10" t="s">
        <v>4066</v>
      </c>
      <c r="B1165" s="11" t="s">
        <v>33</v>
      </c>
      <c r="C1165" s="12" t="s">
        <v>4067</v>
      </c>
      <c r="D1165" s="27"/>
      <c r="E1165" s="14" t="s">
        <v>35</v>
      </c>
      <c r="F1165" s="11" t="str">
        <f>HYPERLINK("https://redirect.sdcdeals.com/redirect?destination=https%3A%2F%2Fwww.amazon.com%2Fdp%2FB07T5FW1YG%3Fth%3D1%26psc%3D1%26tag%3Dsdcdeals03-20", "Amazon Link")</f>
        <v>Amazon Link</v>
      </c>
      <c r="G1165" s="11" t="s">
        <v>36</v>
      </c>
      <c r="H1165" s="14" t="s">
        <v>4068</v>
      </c>
      <c r="I1165" s="11" t="str">
        <f>HYPERLINK("https://redirect.sdcdeals.com/redirect?code=763034&amp;mavely=https://mavely.app.link/e/bhESV2wGrGb&amp;destination=https%3A%2F%2Fwww.kohls.com%2Fsearch.jsp%3Fsubmit-search%3Dweb-regular%26search%3D53919688", "Retail Link")</f>
        <v>Retail Link</v>
      </c>
      <c r="J1165" s="14" t="s">
        <v>4024</v>
      </c>
      <c r="K1165" s="13" t="s">
        <v>4069</v>
      </c>
      <c r="L1165" s="15">
        <v>17.696000000000002</v>
      </c>
      <c r="M1165" s="15">
        <v>33.64</v>
      </c>
      <c r="N1165" s="15">
        <v>-0.79199999999999804</v>
      </c>
      <c r="O1165" s="15">
        <f>V1165-M1165</f>
        <v>7.9099999999999966</v>
      </c>
      <c r="P1165" s="16">
        <f>N1165/L1165</f>
        <v>-4.4755877034357933E-2</v>
      </c>
      <c r="Q1165" s="14">
        <v>34777</v>
      </c>
      <c r="R1165" s="14"/>
      <c r="S1165" s="17">
        <v>0.82893711999999997</v>
      </c>
      <c r="T1165" s="15"/>
      <c r="U1165" s="15">
        <v>33.64</v>
      </c>
      <c r="V1165" s="15">
        <v>41.55</v>
      </c>
      <c r="W1165" s="14" t="s">
        <v>269</v>
      </c>
      <c r="X1165" s="14">
        <v>2</v>
      </c>
      <c r="Y1165" s="10">
        <f>AC1165-AB1165</f>
        <v>1482</v>
      </c>
      <c r="Z1165" s="18">
        <v>28</v>
      </c>
      <c r="AA1165" s="18">
        <v>88</v>
      </c>
      <c r="AB1165" s="18">
        <v>3</v>
      </c>
      <c r="AC1165" s="18">
        <v>1485</v>
      </c>
      <c r="AD1165" s="1" t="s">
        <v>4026</v>
      </c>
      <c r="AE1165" s="1" t="s">
        <v>4027</v>
      </c>
      <c r="AG1165" s="4">
        <v>11.69</v>
      </c>
    </row>
    <row r="1166" spans="1:33" ht="30" x14ac:dyDescent="0.25">
      <c r="A1166" s="10" t="s">
        <v>6450</v>
      </c>
      <c r="B1166" s="11" t="s">
        <v>33</v>
      </c>
      <c r="C1166" s="12" t="s">
        <v>6451</v>
      </c>
      <c r="D1166" s="27"/>
      <c r="E1166" s="14" t="s">
        <v>35</v>
      </c>
      <c r="F1166" s="11" t="str">
        <f>HYPERLINK("https://redirect.sdcdeals.com/redirect?destination=https%3A%2F%2Fwww.amazon.com%2Fdp%2FB0BPDWHW18%3Fth%3D1%26psc%3D1%26tag%3Dsdcdeals03-20", "Amazon Link")</f>
        <v>Amazon Link</v>
      </c>
      <c r="G1166" s="11" t="s">
        <v>36</v>
      </c>
      <c r="H1166" s="14" t="s">
        <v>6452</v>
      </c>
      <c r="I1166" s="11" t="str">
        <f>HYPERLINK("https://redirect.sdcdeals.com/redirect?code=763034&amp;mavely=https://mavely.app.link/e/bhESV2wGrGb&amp;destination=https%3A%2F%2Fwww.kohls.com%2Fsearch.jsp%3Fsubmit-search%3Dweb-regular%26search%3D74405932", "Retail Link")</f>
        <v>Retail Link</v>
      </c>
      <c r="J1166" s="14" t="s">
        <v>6447</v>
      </c>
      <c r="K1166" s="13" t="s">
        <v>6453</v>
      </c>
      <c r="L1166" s="15">
        <v>4.84</v>
      </c>
      <c r="M1166" s="15">
        <v>10.79</v>
      </c>
      <c r="N1166" s="15">
        <v>-0.2185000000000015</v>
      </c>
      <c r="O1166" s="15">
        <f>V1166-M1166</f>
        <v>1.4000000000000004</v>
      </c>
      <c r="P1166" s="16">
        <f>N1166/L1166</f>
        <v>-4.5144628099173863E-2</v>
      </c>
      <c r="Q1166" s="14">
        <v>85748</v>
      </c>
      <c r="R1166" s="14"/>
      <c r="S1166" s="17">
        <v>0.26014515999999999</v>
      </c>
      <c r="T1166" s="15">
        <v>10.79</v>
      </c>
      <c r="U1166" s="15">
        <v>14.01</v>
      </c>
      <c r="V1166" s="15">
        <v>12.19</v>
      </c>
      <c r="W1166" s="14" t="s">
        <v>959</v>
      </c>
      <c r="X1166" s="14">
        <v>3</v>
      </c>
      <c r="Y1166" s="10">
        <f>AC1166-AB1166</f>
        <v>27</v>
      </c>
      <c r="Z1166" s="18">
        <v>29</v>
      </c>
      <c r="AA1166" s="18">
        <v>80</v>
      </c>
      <c r="AB1166" s="18">
        <v>0</v>
      </c>
      <c r="AC1166" s="18">
        <v>27</v>
      </c>
      <c r="AD1166" s="1" t="s">
        <v>6449</v>
      </c>
      <c r="AE1166" s="1" t="s">
        <v>5497</v>
      </c>
      <c r="AG1166" s="4">
        <v>4.55</v>
      </c>
    </row>
    <row r="1167" spans="1:33" ht="30" hidden="1" x14ac:dyDescent="0.25">
      <c r="A1167" s="10" t="s">
        <v>5079</v>
      </c>
      <c r="B1167" s="11" t="s">
        <v>33</v>
      </c>
      <c r="C1167" s="12" t="s">
        <v>5080</v>
      </c>
      <c r="D1167" s="27"/>
      <c r="E1167" s="14" t="s">
        <v>35</v>
      </c>
      <c r="F1167" s="11" t="str">
        <f>HYPERLINK("https://redirect.sdcdeals.com/redirect?destination=https%3A%2F%2Fwww.amazon.com%2Fdp%2FB0CL5L688V%3Fth%3D1%26psc%3D1%26tag%3Dsdcdeals03-20", "Amazon Link")</f>
        <v>Amazon Link</v>
      </c>
      <c r="G1167" s="11" t="s">
        <v>36</v>
      </c>
      <c r="H1167" s="14" t="s">
        <v>5081</v>
      </c>
      <c r="I1167" s="11" t="str">
        <f>HYPERLINK("https://redirect.sdcdeals.com/redirect?code=763034&amp;mavely=https://mavely.app.link/e/bhESV2wGrGb&amp;destination=https%3A%2F%2Fwww.kohls.com%2Fsearch.jsp%3Fsubmit-search%3Dweb-regular%26search%3D55860569", "Retail Link")</f>
        <v>Retail Link</v>
      </c>
      <c r="J1167" s="14" t="s">
        <v>5064</v>
      </c>
      <c r="K1167" s="13" t="s">
        <v>5082</v>
      </c>
      <c r="L1167" s="15">
        <v>6.8000000000000007</v>
      </c>
      <c r="M1167" s="15">
        <v>14.4</v>
      </c>
      <c r="N1167" s="15">
        <v>-0.38000000000000078</v>
      </c>
      <c r="O1167" s="15">
        <f>V1167-M1167</f>
        <v>7.2900000000000009</v>
      </c>
      <c r="P1167" s="16">
        <f>N1167/L1167</f>
        <v>-5.5882352941176577E-2</v>
      </c>
      <c r="Q1167" s="14"/>
      <c r="R1167" s="14"/>
      <c r="S1167" s="17">
        <v>0.48942564</v>
      </c>
      <c r="T1167" s="15">
        <v>14.4</v>
      </c>
      <c r="U1167" s="15">
        <v>19.07</v>
      </c>
      <c r="V1167" s="15">
        <v>21.69</v>
      </c>
      <c r="W1167" s="14" t="s">
        <v>2198</v>
      </c>
      <c r="X1167" s="14">
        <v>16</v>
      </c>
      <c r="Y1167" s="10">
        <f>AC1167-AB1167</f>
        <v>0</v>
      </c>
      <c r="Z1167" s="18">
        <v>0</v>
      </c>
      <c r="AA1167" s="18">
        <v>67</v>
      </c>
      <c r="AB1167" s="18">
        <v>0</v>
      </c>
      <c r="AC1167" s="18"/>
      <c r="AD1167" s="1" t="s">
        <v>1452</v>
      </c>
      <c r="AE1167" s="1" t="s">
        <v>1243</v>
      </c>
      <c r="AF1167" s="4">
        <v>1.44</v>
      </c>
      <c r="AG1167" s="4">
        <v>5.82</v>
      </c>
    </row>
    <row r="1168" spans="1:33" ht="30" x14ac:dyDescent="0.25">
      <c r="A1168" s="10" t="s">
        <v>6788</v>
      </c>
      <c r="B1168" s="11" t="s">
        <v>33</v>
      </c>
      <c r="C1168" s="12" t="s">
        <v>6789</v>
      </c>
      <c r="D1168" s="27"/>
      <c r="E1168" s="14" t="s">
        <v>35</v>
      </c>
      <c r="F1168" s="11" t="str">
        <f>HYPERLINK("https://redirect.sdcdeals.com/redirect?destination=https%3A%2F%2Fwww.amazon.com%2Fdp%2FB0CNS747VJ%3Fth%3D1%26psc%3D1%26tag%3Dsdcdeals03-20", "Amazon Link")</f>
        <v>Amazon Link</v>
      </c>
      <c r="G1168" s="11" t="s">
        <v>36</v>
      </c>
      <c r="H1168" s="14" t="s">
        <v>6790</v>
      </c>
      <c r="I1168" s="11" t="str">
        <f>HYPERLINK("https://redirect.sdcdeals.com/redirect?code=763034&amp;mavely=https://mavely.app.link/e/bhESV2wGrGb&amp;destination=https%3A%2F%2Fwww.kohls.com%2Fsearch.jsp%3Fsubmit-search%3Dweb-regular%26search%3D55681960", "Retail Link")</f>
        <v>Retail Link</v>
      </c>
      <c r="J1168" s="14" t="s">
        <v>6785</v>
      </c>
      <c r="K1168" s="13" t="s">
        <v>6791</v>
      </c>
      <c r="L1168" s="15">
        <v>6</v>
      </c>
      <c r="M1168" s="15">
        <v>13.49</v>
      </c>
      <c r="N1168" s="15">
        <v>-0.35350000000000042</v>
      </c>
      <c r="O1168" s="15">
        <f>V1168-M1168</f>
        <v>4.42</v>
      </c>
      <c r="P1168" s="16">
        <f>N1168/L1168</f>
        <v>-5.8916666666666735E-2</v>
      </c>
      <c r="Q1168" s="14">
        <v>168880</v>
      </c>
      <c r="R1168" s="14"/>
      <c r="S1168" s="17">
        <v>0.70106915999999997</v>
      </c>
      <c r="T1168" s="15">
        <v>13.49</v>
      </c>
      <c r="U1168" s="15">
        <v>14.45</v>
      </c>
      <c r="V1168" s="15">
        <v>17.91</v>
      </c>
      <c r="W1168" s="14" t="s">
        <v>664</v>
      </c>
      <c r="X1168" s="14">
        <v>9</v>
      </c>
      <c r="Y1168" s="10">
        <f>AC1168-AB1168</f>
        <v>2059</v>
      </c>
      <c r="Z1168" s="18">
        <v>34</v>
      </c>
      <c r="AA1168" s="18">
        <v>100</v>
      </c>
      <c r="AB1168" s="18">
        <v>0</v>
      </c>
      <c r="AC1168" s="18">
        <v>2059</v>
      </c>
      <c r="AE1168" s="1" t="s">
        <v>6787</v>
      </c>
      <c r="AF1168" s="4">
        <v>0.67</v>
      </c>
      <c r="AG1168" s="4">
        <v>5.82</v>
      </c>
    </row>
    <row r="1169" spans="1:33" ht="30" hidden="1" x14ac:dyDescent="0.25">
      <c r="A1169" s="10" t="s">
        <v>2763</v>
      </c>
      <c r="B1169" s="11" t="s">
        <v>33</v>
      </c>
      <c r="C1169" s="12" t="s">
        <v>2764</v>
      </c>
      <c r="D1169" s="27"/>
      <c r="E1169" s="14" t="s">
        <v>35</v>
      </c>
      <c r="F1169" s="11" t="str">
        <f>HYPERLINK("https://redirect.sdcdeals.com/redirect?destination=https%3A%2F%2Fwww.amazon.com%2Fdp%2FB0CCC1FLK6%3Fth%3D1%26psc%3D1%26tag%3Dsdcdeals03-20", "Amazon Link")</f>
        <v>Amazon Link</v>
      </c>
      <c r="G1169" s="11" t="s">
        <v>36</v>
      </c>
      <c r="H1169" s="14" t="s">
        <v>2765</v>
      </c>
      <c r="I1169" s="11" t="str">
        <f>HYPERLINK("https://redirect.sdcdeals.com/redirect?code=763034&amp;mavely=https://mavely.app.link/e/bhESV2wGrGb&amp;destination=https%3A%2F%2Fwww.kohls.com%2Fsearch.jsp%3Fsubmit-search%3Dweb-regular%26search%3D53952530", "Retail Link")</f>
        <v>Retail Link</v>
      </c>
      <c r="J1169" s="14" t="s">
        <v>2705</v>
      </c>
      <c r="K1169" s="13" t="s">
        <v>2742</v>
      </c>
      <c r="L1169" s="15">
        <v>13.2</v>
      </c>
      <c r="M1169" s="15">
        <v>22.61</v>
      </c>
      <c r="N1169" s="15">
        <v>-0.81150000000000055</v>
      </c>
      <c r="O1169" s="15">
        <f>V1169-M1169</f>
        <v>-3.41</v>
      </c>
      <c r="P1169" s="16">
        <f>N1169/L1169</f>
        <v>-6.1477272727272769E-2</v>
      </c>
      <c r="Q1169" s="14"/>
      <c r="R1169" s="14"/>
      <c r="S1169" s="17">
        <v>0.82673249999999998</v>
      </c>
      <c r="T1169" s="15">
        <v>22.61</v>
      </c>
      <c r="U1169" s="15">
        <v>19.309999999999999</v>
      </c>
      <c r="V1169" s="15">
        <v>19.2</v>
      </c>
      <c r="W1169" s="14" t="s">
        <v>245</v>
      </c>
      <c r="X1169" s="14">
        <v>2</v>
      </c>
      <c r="Y1169" s="10">
        <f>AC1169-AB1169</f>
        <v>2</v>
      </c>
      <c r="Z1169" s="18">
        <v>-1</v>
      </c>
      <c r="AA1169" s="18">
        <v>-1</v>
      </c>
      <c r="AB1169" s="18"/>
      <c r="AC1169" s="18">
        <v>2</v>
      </c>
      <c r="AD1169" s="1" t="s">
        <v>2724</v>
      </c>
      <c r="AE1169" s="1" t="s">
        <v>2725</v>
      </c>
      <c r="AF1169" s="4">
        <v>1.1399999999999999</v>
      </c>
      <c r="AG1169" s="4">
        <v>6.83</v>
      </c>
    </row>
    <row r="1170" spans="1:33" ht="30" hidden="1" x14ac:dyDescent="0.25">
      <c r="A1170" s="10" t="s">
        <v>3385</v>
      </c>
      <c r="B1170" s="11" t="s">
        <v>33</v>
      </c>
      <c r="C1170" s="12" t="s">
        <v>3386</v>
      </c>
      <c r="D1170" s="27"/>
      <c r="E1170" s="14" t="s">
        <v>35</v>
      </c>
      <c r="F1170" s="11" t="str">
        <f>HYPERLINK("https://redirect.sdcdeals.com/redirect?destination=https%3A%2F%2Fwww.amazon.com%2Fdp%2FB0CL5CMQVG%3Fth%3D1%26psc%3D1%26tag%3Dsdcdeals03-20", "Amazon Link")</f>
        <v>Amazon Link</v>
      </c>
      <c r="G1170" s="11" t="s">
        <v>36</v>
      </c>
      <c r="H1170" s="14" t="s">
        <v>3387</v>
      </c>
      <c r="I1170" s="11" t="str">
        <f>HYPERLINK("https://redirect.sdcdeals.com/redirect?code=763034&amp;mavely=https://mavely.app.link/e/bhESV2wGrGb&amp;destination=https%3A%2F%2Fwww.kohls.com%2Fsearch.jsp%3Fsubmit-search%3Dweb-regular%26search%3D54727584", "Retail Link")</f>
        <v>Retail Link</v>
      </c>
      <c r="J1170" s="14" t="s">
        <v>3376</v>
      </c>
      <c r="K1170" s="13" t="s">
        <v>3388</v>
      </c>
      <c r="L1170" s="15">
        <v>6.4</v>
      </c>
      <c r="M1170" s="15">
        <v>12.49</v>
      </c>
      <c r="N1170" s="15">
        <v>-0.39350000000000041</v>
      </c>
      <c r="O1170" s="15">
        <f>V1170-M1170</f>
        <v>6.7999999999999989</v>
      </c>
      <c r="P1170" s="16">
        <f>N1170/L1170</f>
        <v>-6.1484375000000063E-2</v>
      </c>
      <c r="Q1170" s="14"/>
      <c r="R1170" s="14"/>
      <c r="S1170" s="17">
        <v>0.33069300000000001</v>
      </c>
      <c r="T1170" s="15">
        <v>12.49</v>
      </c>
      <c r="U1170" s="15">
        <v>13.86</v>
      </c>
      <c r="V1170" s="15">
        <v>19.29</v>
      </c>
      <c r="W1170" s="14" t="s">
        <v>3389</v>
      </c>
      <c r="X1170" s="14">
        <v>19</v>
      </c>
      <c r="Y1170" s="10">
        <f>AC1170-AB1170</f>
        <v>0</v>
      </c>
      <c r="Z1170" s="18">
        <v>0</v>
      </c>
      <c r="AA1170" s="18">
        <v>76</v>
      </c>
      <c r="AB1170" s="18">
        <v>0</v>
      </c>
      <c r="AC1170" s="18"/>
      <c r="AE1170" s="1" t="s">
        <v>3380</v>
      </c>
      <c r="AF1170" s="4">
        <v>0.63</v>
      </c>
      <c r="AG1170" s="4">
        <v>4.6100000000000003</v>
      </c>
    </row>
    <row r="1171" spans="1:33" ht="30" x14ac:dyDescent="0.25">
      <c r="A1171" s="10" t="s">
        <v>610</v>
      </c>
      <c r="B1171" s="11" t="s">
        <v>33</v>
      </c>
      <c r="C1171" s="12" t="s">
        <v>611</v>
      </c>
      <c r="D1171" s="27"/>
      <c r="E1171" s="14" t="s">
        <v>35</v>
      </c>
      <c r="F1171" s="11" t="str">
        <f>HYPERLINK("https://redirect.sdcdeals.com/redirect?destination=https%3A%2F%2Fwww.amazon.com%2Fdp%2FB0C5YD3Y3S%3Fth%3D1%26psc%3D1%26tag%3Dsdcdeals03-20", "Amazon Link")</f>
        <v>Amazon Link</v>
      </c>
      <c r="G1171" s="11" t="s">
        <v>36</v>
      </c>
      <c r="H1171" s="14" t="s">
        <v>612</v>
      </c>
      <c r="I1171" s="11" t="str">
        <f>HYPERLINK("https://redirect.sdcdeals.com/redirect?code=763034&amp;mavely=https://mavely.app.link/e/bhESV2wGrGb&amp;destination=https%3A%2F%2Fwww.kohls.com%2Fsearch.jsp%3Fsubmit-search%3Dweb-regular%26search%3D19188570", "Retail Link")</f>
        <v>Retail Link</v>
      </c>
      <c r="J1171" s="14" t="s">
        <v>606</v>
      </c>
      <c r="K1171" s="13" t="s">
        <v>607</v>
      </c>
      <c r="L1171" s="15">
        <v>39.6</v>
      </c>
      <c r="M1171" s="15">
        <v>63.07</v>
      </c>
      <c r="N1171" s="15">
        <v>-2.4405000000000072</v>
      </c>
      <c r="O1171" s="15">
        <f>V1171-M1171</f>
        <v>37.619999999999997</v>
      </c>
      <c r="P1171" s="16">
        <f>N1171/L1171</f>
        <v>-6.1628787878788061E-2</v>
      </c>
      <c r="Q1171" s="14">
        <v>2131921</v>
      </c>
      <c r="R1171" s="14"/>
      <c r="S1171" s="17">
        <v>2.5992469800000002</v>
      </c>
      <c r="T1171" s="15">
        <v>63.07</v>
      </c>
      <c r="U1171" s="15">
        <v>79.430000000000007</v>
      </c>
      <c r="V1171" s="15">
        <v>100.69</v>
      </c>
      <c r="W1171" s="14" t="s">
        <v>613</v>
      </c>
      <c r="X1171" s="14">
        <v>3</v>
      </c>
      <c r="Y1171" s="10">
        <f>AC1171-AB1171</f>
        <v>0</v>
      </c>
      <c r="Z1171" s="18">
        <v>2</v>
      </c>
      <c r="AA1171" s="18">
        <v>6</v>
      </c>
      <c r="AB1171" s="18"/>
      <c r="AC1171" s="18"/>
      <c r="AD1171" s="1" t="s">
        <v>614</v>
      </c>
      <c r="AE1171" s="1" t="s">
        <v>609</v>
      </c>
      <c r="AF1171" s="4">
        <v>10.72</v>
      </c>
      <c r="AG1171" s="4">
        <v>16.45</v>
      </c>
    </row>
    <row r="1172" spans="1:33" ht="30" x14ac:dyDescent="0.25">
      <c r="A1172" s="10" t="s">
        <v>5919</v>
      </c>
      <c r="B1172" s="11" t="s">
        <v>33</v>
      </c>
      <c r="C1172" s="12" t="s">
        <v>5920</v>
      </c>
      <c r="D1172" s="27"/>
      <c r="E1172" s="14" t="s">
        <v>35</v>
      </c>
      <c r="F1172" s="11" t="str">
        <f>HYPERLINK("https://redirect.sdcdeals.com/redirect?destination=https%3A%2F%2Fwww.amazon.com%2Fdp%2FB0BKQQKQ7R%3Fth%3D1%26psc%3D1%26tag%3Dsdcdeals03-20", "Amazon Link")</f>
        <v>Amazon Link</v>
      </c>
      <c r="G1172" s="11" t="s">
        <v>36</v>
      </c>
      <c r="H1172" s="14" t="s">
        <v>5921</v>
      </c>
      <c r="I1172" s="11" t="str">
        <f>HYPERLINK("https://redirect.sdcdeals.com/redirect?code=763034&amp;mavely=https://mavely.app.link/e/bhESV2wGrGb&amp;destination=https%3A%2F%2Fwww.kohls.com%2Fsearch.jsp%3Fsubmit-search%3Dweb-regular%26search%3D65860070", "Retail Link")</f>
        <v>Retail Link</v>
      </c>
      <c r="J1172" s="14" t="s">
        <v>5910</v>
      </c>
      <c r="K1172" s="13" t="s">
        <v>5922</v>
      </c>
      <c r="L1172" s="15">
        <v>67.600000000000009</v>
      </c>
      <c r="M1172" s="15">
        <v>84.5</v>
      </c>
      <c r="N1172" s="15">
        <v>-4.2950000000000017</v>
      </c>
      <c r="O1172" s="15">
        <f>V1172-M1172</f>
        <v>35.239999999999995</v>
      </c>
      <c r="P1172" s="16">
        <f>N1172/L1172</f>
        <v>-6.3535502958579904E-2</v>
      </c>
      <c r="Q1172" s="14">
        <v>402022</v>
      </c>
      <c r="R1172" s="14"/>
      <c r="S1172" s="17">
        <v>2.1208444399999999</v>
      </c>
      <c r="T1172" s="15">
        <v>84.5</v>
      </c>
      <c r="U1172" s="15">
        <v>109.48</v>
      </c>
      <c r="V1172" s="15">
        <v>119.74</v>
      </c>
      <c r="W1172" s="14" t="s">
        <v>301</v>
      </c>
      <c r="X1172" s="14">
        <v>5</v>
      </c>
      <c r="Y1172" s="10">
        <f>AC1172-AB1172</f>
        <v>18</v>
      </c>
      <c r="Z1172" s="18">
        <v>37</v>
      </c>
      <c r="AA1172" s="18">
        <v>125</v>
      </c>
      <c r="AB1172" s="18">
        <v>0</v>
      </c>
      <c r="AC1172" s="18">
        <v>18</v>
      </c>
      <c r="AD1172" s="1" t="s">
        <v>5912</v>
      </c>
      <c r="AE1172" s="1" t="s">
        <v>76</v>
      </c>
      <c r="AF1172" s="4">
        <v>14.37</v>
      </c>
      <c r="AG1172" s="4">
        <v>8.52</v>
      </c>
    </row>
    <row r="1173" spans="1:33" ht="30" x14ac:dyDescent="0.25">
      <c r="A1173" s="10" t="s">
        <v>1606</v>
      </c>
      <c r="B1173" s="11" t="s">
        <v>33</v>
      </c>
      <c r="C1173" s="12" t="s">
        <v>1607</v>
      </c>
      <c r="D1173" s="27"/>
      <c r="E1173" s="14" t="s">
        <v>35</v>
      </c>
      <c r="F1173" s="11" t="str">
        <f>HYPERLINK("https://redirect.sdcdeals.com/redirect?destination=https%3A%2F%2Fwww.amazon.com%2Fdp%2FB0BKQSZMYT%3Fth%3D1%26psc%3D1%26tag%3Dsdcdeals03-20", "Amazon Link")</f>
        <v>Amazon Link</v>
      </c>
      <c r="G1173" s="11" t="s">
        <v>36</v>
      </c>
      <c r="H1173" s="14" t="s">
        <v>1608</v>
      </c>
      <c r="I1173" s="11" t="str">
        <f>HYPERLINK("https://redirect.sdcdeals.com/redirect?code=763034&amp;mavely=https://mavely.app.link/e/bhESV2wGrGb&amp;destination=https%3A%2F%2Fwww.kohls.com%2Fsearch.jsp%3Fsubmit-search%3Dweb-regular%26search%3D74360622", "Retail Link")</f>
        <v>Retail Link</v>
      </c>
      <c r="J1173" s="14" t="s">
        <v>1602</v>
      </c>
      <c r="K1173" s="13" t="s">
        <v>1609</v>
      </c>
      <c r="L1173" s="15">
        <v>19.8</v>
      </c>
      <c r="M1173" s="15">
        <v>29.7</v>
      </c>
      <c r="N1173" s="15">
        <v>-1.365000000000002</v>
      </c>
      <c r="O1173" s="15">
        <f>V1173-M1173</f>
        <v>9.129999999999999</v>
      </c>
      <c r="P1173" s="16">
        <f>N1173/L1173</f>
        <v>-6.8939393939394036E-2</v>
      </c>
      <c r="Q1173" s="14">
        <v>321581</v>
      </c>
      <c r="R1173" s="14"/>
      <c r="S1173" s="17">
        <v>1.0361714</v>
      </c>
      <c r="T1173" s="15">
        <v>29.7</v>
      </c>
      <c r="U1173" s="15">
        <v>36.86</v>
      </c>
      <c r="V1173" s="15">
        <v>38.83</v>
      </c>
      <c r="W1173" s="14" t="s">
        <v>53</v>
      </c>
      <c r="X1173" s="14">
        <v>5</v>
      </c>
      <c r="Y1173" s="10">
        <f>AC1173-AB1173</f>
        <v>18</v>
      </c>
      <c r="Z1173" s="18">
        <v>11</v>
      </c>
      <c r="AA1173" s="18">
        <v>36</v>
      </c>
      <c r="AB1173" s="18">
        <v>0</v>
      </c>
      <c r="AC1173" s="18">
        <v>18</v>
      </c>
      <c r="AD1173" s="1" t="s">
        <v>1604</v>
      </c>
      <c r="AE1173" s="1" t="s">
        <v>1610</v>
      </c>
      <c r="AF1173" s="4">
        <v>5.05</v>
      </c>
      <c r="AG1173" s="4">
        <v>6.81</v>
      </c>
    </row>
    <row r="1174" spans="1:33" ht="45" x14ac:dyDescent="0.25">
      <c r="A1174" s="10" t="s">
        <v>6485</v>
      </c>
      <c r="B1174" s="11" t="s">
        <v>33</v>
      </c>
      <c r="C1174" s="12" t="s">
        <v>6486</v>
      </c>
      <c r="D1174" s="27"/>
      <c r="E1174" s="14" t="s">
        <v>35</v>
      </c>
      <c r="F1174" s="11" t="str">
        <f>HYPERLINK("https://redirect.sdcdeals.com/redirect?destination=https%3A%2F%2Fwww.amazon.com%2Fdp%2FB0BHXF2NTV%3Fth%3D1%26psc%3D1%26tag%3Dsdcdeals03-20", "Amazon Link")</f>
        <v>Amazon Link</v>
      </c>
      <c r="G1174" s="11" t="s">
        <v>36</v>
      </c>
      <c r="H1174" s="14" t="s">
        <v>6487</v>
      </c>
      <c r="I1174" s="11" t="str">
        <f>HYPERLINK("https://redirect.sdcdeals.com/redirect?code=763034&amp;mavely=https://mavely.app.link/e/bhESV2wGrGb&amp;destination=https%3A%2F%2Fwww.kohls.com%2Fsearch.jsp%3Fsubmit-search%3Dweb-regular%26search%3D75436216", "Retail Link")</f>
        <v>Retail Link</v>
      </c>
      <c r="J1174" s="14" t="s">
        <v>6488</v>
      </c>
      <c r="K1174" s="13" t="s">
        <v>6489</v>
      </c>
      <c r="L1174" s="15">
        <v>11.76</v>
      </c>
      <c r="M1174" s="15">
        <v>18.37</v>
      </c>
      <c r="N1174" s="15">
        <v>-0.81550000000000011</v>
      </c>
      <c r="O1174" s="15">
        <f>V1174-M1174</f>
        <v>-3.870000000000001</v>
      </c>
      <c r="P1174" s="16">
        <f>N1174/L1174</f>
        <v>-6.9345238095238113E-2</v>
      </c>
      <c r="Q1174" s="14">
        <v>2112772</v>
      </c>
      <c r="R1174" s="14"/>
      <c r="S1174" s="17">
        <v>0.25132668000000002</v>
      </c>
      <c r="T1174" s="15">
        <v>18.37</v>
      </c>
      <c r="U1174" s="15">
        <v>28.27</v>
      </c>
      <c r="V1174" s="15">
        <v>14.5</v>
      </c>
      <c r="W1174" s="14" t="s">
        <v>53</v>
      </c>
      <c r="X1174" s="14">
        <v>1</v>
      </c>
      <c r="Y1174" s="10">
        <f>AC1174-AB1174</f>
        <v>0</v>
      </c>
      <c r="Z1174" s="18">
        <v>0</v>
      </c>
      <c r="AA1174" s="18">
        <v>0</v>
      </c>
      <c r="AB1174" s="18"/>
      <c r="AC1174" s="18"/>
      <c r="AD1174" s="1" t="s">
        <v>6490</v>
      </c>
      <c r="AE1174" s="1" t="s">
        <v>546</v>
      </c>
      <c r="AF1174" s="4">
        <v>3.12</v>
      </c>
      <c r="AG1174" s="4">
        <v>4.67</v>
      </c>
    </row>
    <row r="1175" spans="1:33" x14ac:dyDescent="0.25">
      <c r="A1175" s="10" t="s">
        <v>6742</v>
      </c>
      <c r="B1175" s="11" t="s">
        <v>33</v>
      </c>
      <c r="C1175" s="12" t="s">
        <v>6743</v>
      </c>
      <c r="D1175" s="27"/>
      <c r="E1175" s="14" t="s">
        <v>35</v>
      </c>
      <c r="F1175" s="11" t="str">
        <f>HYPERLINK("https://redirect.sdcdeals.com/redirect?destination=https%3A%2F%2Fwww.amazon.com%2Fdp%2FB0C9M5XPYJ%3Fth%3D1%26psc%3D1%26tag%3Dsdcdeals03-20", "Amazon Link")</f>
        <v>Amazon Link</v>
      </c>
      <c r="G1175" s="11" t="s">
        <v>36</v>
      </c>
      <c r="H1175" s="14" t="s">
        <v>6744</v>
      </c>
      <c r="I1175" s="11" t="str">
        <f>HYPERLINK("https://redirect.sdcdeals.com/redirect?code=763034&amp;mavely=https://mavely.app.link/e/bhESV2wGrGb&amp;destination=https%3A%2F%2Fwww.kohls.com%2Fsearch.jsp%3Fsubmit-search%3Dweb-regular%26search%3D62355267", "Retail Link")</f>
        <v>Retail Link</v>
      </c>
      <c r="J1175" s="14" t="s">
        <v>6745</v>
      </c>
      <c r="K1175" s="13" t="s">
        <v>6746</v>
      </c>
      <c r="L1175" s="15">
        <v>13.72</v>
      </c>
      <c r="M1175" s="15">
        <v>22.13</v>
      </c>
      <c r="N1175" s="15">
        <v>-1.0495000000000041</v>
      </c>
      <c r="O1175" s="15">
        <f>V1175-M1175</f>
        <v>11.860000000000003</v>
      </c>
      <c r="P1175" s="16">
        <f>N1175/L1175</f>
        <v>-7.6494169096210207E-2</v>
      </c>
      <c r="Q1175" s="14">
        <v>3283714</v>
      </c>
      <c r="R1175" s="14"/>
      <c r="S1175" s="17">
        <v>0.72972921999999996</v>
      </c>
      <c r="T1175" s="15">
        <v>22.13</v>
      </c>
      <c r="U1175" s="15">
        <v>32.07</v>
      </c>
      <c r="V1175" s="15">
        <v>33.99</v>
      </c>
      <c r="W1175" s="14" t="s">
        <v>342</v>
      </c>
      <c r="X1175" s="14">
        <v>2</v>
      </c>
      <c r="Y1175" s="10">
        <f>AC1175-AB1175</f>
        <v>0</v>
      </c>
      <c r="Z1175" s="18">
        <v>0</v>
      </c>
      <c r="AA1175" s="18">
        <v>3</v>
      </c>
      <c r="AB1175" s="18"/>
      <c r="AC1175" s="18"/>
      <c r="AE1175" s="1" t="s">
        <v>6747</v>
      </c>
      <c r="AF1175" s="4">
        <v>3.76</v>
      </c>
      <c r="AG1175" s="4">
        <v>6.14</v>
      </c>
    </row>
    <row r="1176" spans="1:33" x14ac:dyDescent="0.25">
      <c r="A1176" s="10" t="s">
        <v>3362</v>
      </c>
      <c r="B1176" s="11" t="s">
        <v>33</v>
      </c>
      <c r="C1176" s="12" t="s">
        <v>3363</v>
      </c>
      <c r="D1176" s="27"/>
      <c r="E1176" s="14" t="s">
        <v>35</v>
      </c>
      <c r="F1176" s="11" t="str">
        <f>HYPERLINK("https://redirect.sdcdeals.com/redirect?destination=https%3A%2F%2Fwww.amazon.com%2Fdp%2FB0BKR21JCX%3Fth%3D1%26psc%3D1%26tag%3Dsdcdeals03-20", "Amazon Link")</f>
        <v>Amazon Link</v>
      </c>
      <c r="G1176" s="11" t="s">
        <v>36</v>
      </c>
      <c r="H1176" s="14" t="s">
        <v>3364</v>
      </c>
      <c r="I1176" s="11" t="str">
        <f>HYPERLINK("https://redirect.sdcdeals.com/redirect?code=763034&amp;mavely=https://mavely.app.link/e/bhESV2wGrGb&amp;destination=https%3A%2F%2Fwww.kohls.com%2Fsearch.jsp%3Fsubmit-search%3Dweb-regular%26search%3D75541578", "Retail Link")</f>
        <v>Retail Link</v>
      </c>
      <c r="J1176" s="14" t="s">
        <v>3318</v>
      </c>
      <c r="K1176" s="13" t="s">
        <v>3365</v>
      </c>
      <c r="L1176" s="15">
        <v>39.6</v>
      </c>
      <c r="M1176" s="15">
        <v>60</v>
      </c>
      <c r="N1176" s="15">
        <v>-3.149999999999999</v>
      </c>
      <c r="O1176" s="15">
        <f>V1176-M1176</f>
        <v>31.25</v>
      </c>
      <c r="P1176" s="16">
        <f>N1176/L1176</f>
        <v>-7.9545454545454516E-2</v>
      </c>
      <c r="Q1176" s="14">
        <v>546738</v>
      </c>
      <c r="R1176" s="14"/>
      <c r="S1176" s="17">
        <v>2.6697948199999999</v>
      </c>
      <c r="T1176" s="15">
        <v>60</v>
      </c>
      <c r="U1176" s="15">
        <v>83.55</v>
      </c>
      <c r="V1176" s="15">
        <v>91.25</v>
      </c>
      <c r="W1176" s="14" t="s">
        <v>742</v>
      </c>
      <c r="X1176" s="14">
        <v>5</v>
      </c>
      <c r="Y1176" s="10">
        <f>AC1176-AB1176</f>
        <v>15</v>
      </c>
      <c r="Z1176" s="18">
        <v>11</v>
      </c>
      <c r="AA1176" s="18">
        <v>50</v>
      </c>
      <c r="AB1176" s="18">
        <v>0</v>
      </c>
      <c r="AC1176" s="18">
        <v>15</v>
      </c>
      <c r="AD1176" s="1" t="s">
        <v>3320</v>
      </c>
      <c r="AE1176" s="1" t="s">
        <v>76</v>
      </c>
      <c r="AF1176" s="4">
        <v>10.199999999999999</v>
      </c>
      <c r="AG1176" s="4">
        <v>14.55</v>
      </c>
    </row>
    <row r="1177" spans="1:33" ht="30" x14ac:dyDescent="0.25">
      <c r="A1177" s="10" t="s">
        <v>4675</v>
      </c>
      <c r="B1177" s="11" t="s">
        <v>33</v>
      </c>
      <c r="C1177" s="12" t="s">
        <v>4676</v>
      </c>
      <c r="D1177" s="27"/>
      <c r="E1177" s="14" t="s">
        <v>35</v>
      </c>
      <c r="F1177" s="11" t="str">
        <f>HYPERLINK("https://redirect.sdcdeals.com/redirect?destination=https%3A%2F%2Fwww.amazon.com%2Fdp%2FB0CH1RYMJN%3Fth%3D1%26psc%3D1%26tag%3Dsdcdeals03-20", "Amazon Link")</f>
        <v>Amazon Link</v>
      </c>
      <c r="G1177" s="11" t="s">
        <v>36</v>
      </c>
      <c r="H1177" s="14" t="s">
        <v>4677</v>
      </c>
      <c r="I1177" s="11" t="str">
        <f>HYPERLINK("https://redirect.sdcdeals.com/redirect?code=763034&amp;mavely=https://mavely.app.link/e/bhESV2wGrGb&amp;destination=https%3A%2F%2Fwww.kohls.com%2Fsearch.jsp%3Fsubmit-search%3Dweb-regular%26search%3D30108388", "Retail Link")</f>
        <v>Retail Link</v>
      </c>
      <c r="J1177" s="14" t="s">
        <v>4663</v>
      </c>
      <c r="K1177" s="13" t="s">
        <v>4678</v>
      </c>
      <c r="L1177" s="15">
        <v>6.8000000000000007</v>
      </c>
      <c r="M1177" s="15">
        <v>12.74</v>
      </c>
      <c r="N1177" s="15">
        <v>-0.58100000000000041</v>
      </c>
      <c r="O1177" s="15">
        <f>V1177-M1177</f>
        <v>3.2999999999999989</v>
      </c>
      <c r="P1177" s="16">
        <f>N1177/L1177</f>
        <v>-8.5441176470588284E-2</v>
      </c>
      <c r="Q1177" s="14">
        <v>53837</v>
      </c>
      <c r="R1177" s="14"/>
      <c r="S1177" s="17">
        <v>0.33069300000000001</v>
      </c>
      <c r="T1177" s="15">
        <v>12.74</v>
      </c>
      <c r="U1177" s="15">
        <v>12.12</v>
      </c>
      <c r="V1177" s="15">
        <v>16.04</v>
      </c>
      <c r="W1177" s="14" t="s">
        <v>4679</v>
      </c>
      <c r="X1177" s="14">
        <v>14</v>
      </c>
      <c r="Y1177" s="10">
        <f>AC1177-AB1177</f>
        <v>562</v>
      </c>
      <c r="Z1177" s="18">
        <v>34</v>
      </c>
      <c r="AA1177" s="18">
        <v>103</v>
      </c>
      <c r="AB1177" s="18">
        <v>0</v>
      </c>
      <c r="AC1177" s="18">
        <v>562</v>
      </c>
      <c r="AD1177" s="1" t="s">
        <v>4680</v>
      </c>
      <c r="AE1177" s="1" t="s">
        <v>4666</v>
      </c>
      <c r="AF1177" s="4">
        <v>0.64</v>
      </c>
      <c r="AG1177" s="4">
        <v>4.6100000000000003</v>
      </c>
    </row>
    <row r="1178" spans="1:33" ht="30" x14ac:dyDescent="0.25">
      <c r="A1178" s="10" t="s">
        <v>2424</v>
      </c>
      <c r="B1178" s="11" t="s">
        <v>33</v>
      </c>
      <c r="C1178" s="12" t="s">
        <v>2425</v>
      </c>
      <c r="D1178" s="27"/>
      <c r="E1178" s="14" t="s">
        <v>35</v>
      </c>
      <c r="F1178" s="11" t="str">
        <f>HYPERLINK("https://redirect.sdcdeals.com/redirect?destination=https%3A%2F%2Fwww.amazon.com%2Fdp%2FB08FTJG8CM%3Fth%3D1%26psc%3D1%26tag%3Dsdcdeals03-20", "Amazon Link")</f>
        <v>Amazon Link</v>
      </c>
      <c r="G1178" s="11" t="s">
        <v>36</v>
      </c>
      <c r="H1178" s="14" t="s">
        <v>2426</v>
      </c>
      <c r="I1178" s="11" t="str">
        <f>HYPERLINK("https://redirect.sdcdeals.com/redirect?code=763034&amp;mavely=https://mavely.app.link/e/bhESV2wGrGb&amp;destination=https%3A%2F%2Fwww.kohls.com%2Fsearch.jsp%3Fsubmit-search%3Dweb-regular%26search%3D71884962", "Retail Link")</f>
        <v>Retail Link</v>
      </c>
      <c r="J1178" s="14" t="s">
        <v>2427</v>
      </c>
      <c r="K1178" s="13" t="s">
        <v>2428</v>
      </c>
      <c r="L1178" s="15">
        <v>33.6</v>
      </c>
      <c r="M1178" s="15">
        <v>42</v>
      </c>
      <c r="N1178" s="15">
        <v>-3.0200000000000071</v>
      </c>
      <c r="O1178" s="15">
        <f>V1178-M1178</f>
        <v>-5.7100000000000009</v>
      </c>
      <c r="P1178" s="16">
        <f>N1178/L1178</f>
        <v>-8.9880952380952589E-2</v>
      </c>
      <c r="Q1178" s="14">
        <v>197779</v>
      </c>
      <c r="R1178" s="14"/>
      <c r="S1178" s="17">
        <v>0.92814501999999999</v>
      </c>
      <c r="T1178" s="15">
        <v>34.049999999999997</v>
      </c>
      <c r="U1178" s="15">
        <v>42</v>
      </c>
      <c r="V1178" s="15">
        <v>36.29</v>
      </c>
      <c r="W1178" s="14" t="s">
        <v>88</v>
      </c>
      <c r="X1178" s="14">
        <v>1</v>
      </c>
      <c r="Y1178" s="10">
        <f>AC1178-AB1178</f>
        <v>611</v>
      </c>
      <c r="Z1178" s="18">
        <v>13</v>
      </c>
      <c r="AA1178" s="18">
        <v>48</v>
      </c>
      <c r="AB1178" s="18">
        <v>2</v>
      </c>
      <c r="AC1178" s="18">
        <v>613</v>
      </c>
      <c r="AD1178" s="1" t="s">
        <v>2429</v>
      </c>
      <c r="AE1178" s="1" t="s">
        <v>2430</v>
      </c>
      <c r="AF1178" s="4">
        <v>7.14</v>
      </c>
      <c r="AG1178" s="4">
        <v>5.12</v>
      </c>
    </row>
    <row r="1179" spans="1:33" ht="30" x14ac:dyDescent="0.25">
      <c r="A1179" s="10" t="s">
        <v>2462</v>
      </c>
      <c r="B1179" s="11" t="s">
        <v>33</v>
      </c>
      <c r="C1179" s="12" t="s">
        <v>2467</v>
      </c>
      <c r="D1179" s="27"/>
      <c r="E1179" s="14" t="s">
        <v>35</v>
      </c>
      <c r="F1179" s="11" t="str">
        <f>HYPERLINK("https://redirect.sdcdeals.com/redirect?destination=https%3A%2F%2Fwww.amazon.com%2Fdp%2FB08FTKQDDG%3Fth%3D1%26psc%3D1%26tag%3Dsdcdeals03-20", "Amazon Link")</f>
        <v>Amazon Link</v>
      </c>
      <c r="G1179" s="11" t="s">
        <v>36</v>
      </c>
      <c r="H1179" s="14" t="s">
        <v>2464</v>
      </c>
      <c r="I1179" s="11" t="str">
        <f>HYPERLINK("https://redirect.sdcdeals.com/redirect?code=763034&amp;mavely=https://mavely.app.link/e/bhESV2wGrGb&amp;destination=https%3A%2F%2Fwww.kohls.com%2Fsearch.jsp%3Fsubmit-search%3Dweb-regular%26search%3D67089099", "Retail Link")</f>
        <v>Retail Link</v>
      </c>
      <c r="J1179" s="14" t="s">
        <v>2427</v>
      </c>
      <c r="K1179" s="13" t="s">
        <v>2468</v>
      </c>
      <c r="L1179" s="15">
        <v>33.6</v>
      </c>
      <c r="M1179" s="15">
        <v>42</v>
      </c>
      <c r="N1179" s="15">
        <v>-3.0200000000000071</v>
      </c>
      <c r="O1179" s="15">
        <f>V1179-M1179</f>
        <v>-14.96</v>
      </c>
      <c r="P1179" s="16">
        <f>N1179/L1179</f>
        <v>-8.9880952380952589E-2</v>
      </c>
      <c r="Q1179" s="14">
        <v>240525</v>
      </c>
      <c r="R1179" s="14"/>
      <c r="S1179" s="17">
        <v>0.83996022000000004</v>
      </c>
      <c r="T1179" s="15">
        <v>42</v>
      </c>
      <c r="U1179" s="15">
        <v>31.5</v>
      </c>
      <c r="V1179" s="15">
        <v>27.04</v>
      </c>
      <c r="W1179" s="14" t="s">
        <v>2466</v>
      </c>
      <c r="X1179" s="14">
        <v>5</v>
      </c>
      <c r="Y1179" s="10">
        <f>AC1179-AB1179</f>
        <v>1302</v>
      </c>
      <c r="Z1179" s="18">
        <v>49</v>
      </c>
      <c r="AA1179" s="18">
        <v>111</v>
      </c>
      <c r="AB1179" s="18">
        <v>178</v>
      </c>
      <c r="AC1179" s="18">
        <v>1480</v>
      </c>
      <c r="AD1179" s="1" t="s">
        <v>2435</v>
      </c>
      <c r="AE1179" s="1" t="s">
        <v>2439</v>
      </c>
      <c r="AG1179" s="4">
        <v>5.12</v>
      </c>
    </row>
    <row r="1180" spans="1:33" ht="30" x14ac:dyDescent="0.25">
      <c r="A1180" s="10" t="s">
        <v>7317</v>
      </c>
      <c r="B1180" s="11" t="s">
        <v>33</v>
      </c>
      <c r="C1180" s="12" t="s">
        <v>7318</v>
      </c>
      <c r="D1180" s="27"/>
      <c r="E1180" s="14" t="s">
        <v>35</v>
      </c>
      <c r="F1180" s="11" t="str">
        <f>HYPERLINK("https://redirect.sdcdeals.com/redirect?destination=https%3A%2F%2Fwww.amazon.com%2Fdp%2FB0BNWHSHDQ%3Fth%3D1%26psc%3D1%26tag%3Dsdcdeals03-20", "Amazon Link")</f>
        <v>Amazon Link</v>
      </c>
      <c r="G1180" s="11" t="s">
        <v>36</v>
      </c>
      <c r="H1180" s="14" t="s">
        <v>7319</v>
      </c>
      <c r="I1180" s="11" t="str">
        <f>HYPERLINK("https://redirect.sdcdeals.com/redirect?code=763034&amp;mavely=https://mavely.app.link/e/bhESV2wGrGb&amp;destination=https%3A%2F%2Fwww.kohls.com%2Fsearch.jsp%3Fsubmit-search%3Dweb-regular%26search%3D37212099", "Retail Link")</f>
        <v>Retail Link</v>
      </c>
      <c r="J1180" s="14" t="s">
        <v>7320</v>
      </c>
      <c r="K1180" s="13" t="s">
        <v>7321</v>
      </c>
      <c r="L1180" s="15">
        <v>22.4</v>
      </c>
      <c r="M1180" s="15">
        <v>28</v>
      </c>
      <c r="N1180" s="15">
        <v>-2.019999999999996</v>
      </c>
      <c r="O1180" s="15">
        <f>V1180-M1180</f>
        <v>11.240000000000002</v>
      </c>
      <c r="P1180" s="16">
        <f>N1180/L1180</f>
        <v>-9.0178571428571261E-2</v>
      </c>
      <c r="Q1180" s="14">
        <v>2596124</v>
      </c>
      <c r="R1180" s="14"/>
      <c r="S1180" s="17">
        <v>0.39903622</v>
      </c>
      <c r="T1180" s="15">
        <v>28</v>
      </c>
      <c r="U1180" s="15">
        <v>40.11</v>
      </c>
      <c r="V1180" s="15">
        <v>39.24</v>
      </c>
      <c r="W1180" s="14" t="s">
        <v>88</v>
      </c>
      <c r="X1180" s="14">
        <v>4</v>
      </c>
      <c r="Y1180" s="10">
        <f>AC1180-AB1180</f>
        <v>0</v>
      </c>
      <c r="Z1180" s="18">
        <v>2</v>
      </c>
      <c r="AA1180" s="18">
        <v>11</v>
      </c>
      <c r="AB1180" s="18"/>
      <c r="AC1180" s="18"/>
      <c r="AD1180" s="1" t="s">
        <v>855</v>
      </c>
      <c r="AE1180" s="1" t="s">
        <v>278</v>
      </c>
      <c r="AF1180" s="4">
        <v>4.76</v>
      </c>
      <c r="AG1180" s="4">
        <v>3.42</v>
      </c>
    </row>
    <row r="1181" spans="1:33" ht="30" hidden="1" x14ac:dyDescent="0.25">
      <c r="A1181" s="10" t="s">
        <v>2794</v>
      </c>
      <c r="B1181" s="11" t="s">
        <v>33</v>
      </c>
      <c r="C1181" s="12" t="s">
        <v>2795</v>
      </c>
      <c r="D1181" s="27"/>
      <c r="E1181" s="14" t="s">
        <v>35</v>
      </c>
      <c r="F1181" s="11" t="str">
        <f>HYPERLINK("https://redirect.sdcdeals.com/redirect?destination=https%3A%2F%2Fwww.amazon.com%2Fdp%2FB0CCBHCC9B%3Fth%3D1%26psc%3D1%26tag%3Dsdcdeals03-20", "Amazon Link")</f>
        <v>Amazon Link</v>
      </c>
      <c r="G1181" s="11" t="s">
        <v>36</v>
      </c>
      <c r="H1181" s="14" t="s">
        <v>2796</v>
      </c>
      <c r="I1181" s="11" t="str">
        <f>HYPERLINK("https://redirect.sdcdeals.com/redirect?code=763034&amp;mavely=https://mavely.app.link/e/bhESV2wGrGb&amp;destination=https%3A%2F%2Fwww.kohls.com%2Fsearch.jsp%3Fsubmit-search%3Dweb-regular%26search%3D64250556", "Retail Link")</f>
        <v>Retail Link</v>
      </c>
      <c r="J1181" s="14" t="s">
        <v>2705</v>
      </c>
      <c r="K1181" s="13" t="s">
        <v>2758</v>
      </c>
      <c r="L1181" s="15">
        <v>13.2</v>
      </c>
      <c r="M1181" s="15">
        <v>22</v>
      </c>
      <c r="N1181" s="15">
        <v>-1.33</v>
      </c>
      <c r="O1181" s="15">
        <f>V1181-M1181</f>
        <v>3.7699999999999996</v>
      </c>
      <c r="P1181" s="16">
        <f>N1181/L1181</f>
        <v>-0.10075757575757577</v>
      </c>
      <c r="Q1181" s="14"/>
      <c r="R1181" s="14"/>
      <c r="S1181" s="17">
        <v>0.88184799999999997</v>
      </c>
      <c r="T1181" s="15">
        <v>22</v>
      </c>
      <c r="U1181" s="15">
        <v>21.84</v>
      </c>
      <c r="V1181" s="15">
        <v>25.77</v>
      </c>
      <c r="W1181" s="14" t="s">
        <v>2797</v>
      </c>
      <c r="X1181" s="14">
        <v>2</v>
      </c>
      <c r="Y1181" s="10">
        <f>AC1181-AB1181</f>
        <v>0</v>
      </c>
      <c r="Z1181" s="18">
        <v>-1</v>
      </c>
      <c r="AA1181" s="18">
        <v>-1</v>
      </c>
      <c r="AB1181" s="18"/>
      <c r="AC1181" s="18"/>
      <c r="AD1181" s="1" t="s">
        <v>2748</v>
      </c>
      <c r="AE1181" s="1" t="s">
        <v>2713</v>
      </c>
      <c r="AF1181" s="4">
        <v>3.74</v>
      </c>
      <c r="AG1181" s="4">
        <v>6.83</v>
      </c>
    </row>
    <row r="1182" spans="1:33" ht="30" x14ac:dyDescent="0.25">
      <c r="A1182" s="10" t="s">
        <v>1302</v>
      </c>
      <c r="B1182" s="11" t="s">
        <v>33</v>
      </c>
      <c r="C1182" s="12" t="s">
        <v>1303</v>
      </c>
      <c r="D1182" s="27"/>
      <c r="E1182" s="14" t="s">
        <v>35</v>
      </c>
      <c r="F1182" s="11" t="str">
        <f>HYPERLINK("https://redirect.sdcdeals.com/redirect?destination=https%3A%2F%2Fwww.amazon.com%2Fdp%2FB09N6ST3MV%3Fth%3D1%26psc%3D1%26tag%3Dsdcdeals03-20", "Amazon Link")</f>
        <v>Amazon Link</v>
      </c>
      <c r="G1182" s="11" t="s">
        <v>36</v>
      </c>
      <c r="H1182" s="14" t="s">
        <v>1304</v>
      </c>
      <c r="I1182" s="11" t="str">
        <f>HYPERLINK("https://redirect.sdcdeals.com/redirect?code=763034&amp;mavely=https://mavely.app.link/e/bhESV2wGrGb&amp;destination=https%3A%2F%2Fwww.kohls.com%2Fsearch.jsp%3Fsubmit-search%3Dweb-regular%26search%3D60161515", "Retail Link")</f>
        <v>Retail Link</v>
      </c>
      <c r="J1182" s="14" t="s">
        <v>1290</v>
      </c>
      <c r="K1182" s="13" t="s">
        <v>1305</v>
      </c>
      <c r="L1182" s="15">
        <v>39.991999999999997</v>
      </c>
      <c r="M1182" s="15">
        <v>49.99</v>
      </c>
      <c r="N1182" s="15">
        <v>-4.3104999999999984</v>
      </c>
      <c r="O1182" s="15">
        <f>V1182-M1182</f>
        <v>-2.5800000000000054</v>
      </c>
      <c r="P1182" s="16">
        <f>N1182/L1182</f>
        <v>-0.10778405681136224</v>
      </c>
      <c r="Q1182" s="14">
        <v>5499</v>
      </c>
      <c r="R1182" s="14"/>
      <c r="S1182" s="17">
        <v>1.4991416</v>
      </c>
      <c r="T1182" s="15"/>
      <c r="U1182" s="15">
        <v>49.99</v>
      </c>
      <c r="V1182" s="15">
        <v>47.41</v>
      </c>
      <c r="W1182" s="14" t="s">
        <v>100</v>
      </c>
      <c r="X1182" s="14">
        <v>1</v>
      </c>
      <c r="Y1182" s="10">
        <f>AC1182-AB1182</f>
        <v>23769</v>
      </c>
      <c r="Z1182" s="18">
        <v>16</v>
      </c>
      <c r="AA1182" s="18">
        <v>50</v>
      </c>
      <c r="AB1182" s="18">
        <v>0</v>
      </c>
      <c r="AC1182" s="18">
        <v>23769</v>
      </c>
      <c r="AD1182" s="1" t="s">
        <v>1292</v>
      </c>
      <c r="AE1182" s="1" t="s">
        <v>1293</v>
      </c>
      <c r="AG1182" s="4">
        <v>6.81</v>
      </c>
    </row>
    <row r="1183" spans="1:33" x14ac:dyDescent="0.25">
      <c r="A1183" s="10" t="s">
        <v>7038</v>
      </c>
      <c r="B1183" s="11" t="s">
        <v>33</v>
      </c>
      <c r="C1183" s="12" t="s">
        <v>7039</v>
      </c>
      <c r="D1183" s="27"/>
      <c r="E1183" s="14" t="s">
        <v>35</v>
      </c>
      <c r="F1183" s="11" t="str">
        <f>HYPERLINK("https://redirect.sdcdeals.com/redirect?destination=https%3A%2F%2Fwww.amazon.com%2Fdp%2FB0CJJNW8FJ%3Fth%3D1%26psc%3D1%26tag%3Dsdcdeals03-20", "Amazon Link")</f>
        <v>Amazon Link</v>
      </c>
      <c r="G1183" s="11" t="s">
        <v>36</v>
      </c>
      <c r="H1183" s="14" t="s">
        <v>7040</v>
      </c>
      <c r="I1183" s="11" t="str">
        <f>HYPERLINK("https://redirect.sdcdeals.com/redirect?code=763034&amp;mavely=https://mavely.app.link/e/bhESV2wGrGb&amp;destination=https%3A%2F%2Fwww.kohls.com%2Fsearch.jsp%3Fsubmit-search%3Dweb-regular%26search%3D82000866", "Retail Link")</f>
        <v>Retail Link</v>
      </c>
      <c r="J1183" s="14" t="s">
        <v>7041</v>
      </c>
      <c r="K1183" s="13" t="s">
        <v>7042</v>
      </c>
      <c r="L1183" s="15">
        <v>14</v>
      </c>
      <c r="M1183" s="15">
        <v>22.46</v>
      </c>
      <c r="N1183" s="15">
        <v>-1.508999999999999</v>
      </c>
      <c r="O1183" s="15">
        <f>V1183-M1183</f>
        <v>9.1999999999999993</v>
      </c>
      <c r="P1183" s="16">
        <f>N1183/L1183</f>
        <v>-0.10778571428571422</v>
      </c>
      <c r="Q1183" s="14">
        <v>483707</v>
      </c>
      <c r="R1183" s="14"/>
      <c r="S1183" s="17">
        <v>0.70988764000000004</v>
      </c>
      <c r="T1183" s="15">
        <v>22.46</v>
      </c>
      <c r="U1183" s="15">
        <v>32.26</v>
      </c>
      <c r="V1183" s="15">
        <v>31.66</v>
      </c>
      <c r="W1183" s="14" t="s">
        <v>164</v>
      </c>
      <c r="X1183" s="14">
        <v>5</v>
      </c>
      <c r="Y1183" s="10">
        <f>AC1183-AB1183</f>
        <v>3</v>
      </c>
      <c r="Z1183" s="18">
        <v>6</v>
      </c>
      <c r="AA1183" s="18">
        <v>21</v>
      </c>
      <c r="AB1183" s="18">
        <v>0</v>
      </c>
      <c r="AC1183" s="18">
        <v>3</v>
      </c>
      <c r="AD1183" s="1" t="s">
        <v>7043</v>
      </c>
      <c r="AE1183" s="1" t="s">
        <v>7044</v>
      </c>
      <c r="AF1183" s="4">
        <v>3.82</v>
      </c>
      <c r="AG1183" s="4">
        <v>6.6</v>
      </c>
    </row>
    <row r="1184" spans="1:33" ht="30" x14ac:dyDescent="0.25">
      <c r="A1184" s="10" t="s">
        <v>2448</v>
      </c>
      <c r="B1184" s="11" t="s">
        <v>33</v>
      </c>
      <c r="C1184" s="12" t="s">
        <v>2453</v>
      </c>
      <c r="D1184" s="27"/>
      <c r="E1184" s="14" t="s">
        <v>35</v>
      </c>
      <c r="F1184" s="11" t="str">
        <f>HYPERLINK("https://redirect.sdcdeals.com/redirect?destination=https%3A%2F%2Fwww.amazon.com%2Fdp%2FB08FTJX799%3Fth%3D1%26psc%3D1%26tag%3Dsdcdeals03-20", "Amazon Link")</f>
        <v>Amazon Link</v>
      </c>
      <c r="G1184" s="11" t="s">
        <v>36</v>
      </c>
      <c r="H1184" s="14" t="s">
        <v>2450</v>
      </c>
      <c r="I1184" s="11" t="str">
        <f>HYPERLINK("https://redirect.sdcdeals.com/redirect?code=763034&amp;mavely=https://mavely.app.link/e/bhESV2wGrGb&amp;destination=https%3A%2F%2Fwww.kohls.com%2Fsearch.jsp%3Fsubmit-search%3Dweb-regular%26search%3D67089092", "Retail Link")</f>
        <v>Retail Link</v>
      </c>
      <c r="J1184" s="14" t="s">
        <v>2427</v>
      </c>
      <c r="K1184" s="13" t="s">
        <v>2454</v>
      </c>
      <c r="L1184" s="15">
        <v>33.6</v>
      </c>
      <c r="M1184" s="15">
        <v>42</v>
      </c>
      <c r="N1184" s="15">
        <v>-3.8000000000000038</v>
      </c>
      <c r="O1184" s="15">
        <f>V1184-M1184</f>
        <v>-10.34</v>
      </c>
      <c r="P1184" s="16">
        <f>N1184/L1184</f>
        <v>-0.11309523809523821</v>
      </c>
      <c r="Q1184" s="14">
        <v>197779</v>
      </c>
      <c r="R1184" s="14"/>
      <c r="S1184" s="17">
        <v>0.76941238000000001</v>
      </c>
      <c r="T1184" s="15">
        <v>42</v>
      </c>
      <c r="U1184" s="15">
        <v>40</v>
      </c>
      <c r="V1184" s="15">
        <v>31.66</v>
      </c>
      <c r="W1184" s="14" t="s">
        <v>2452</v>
      </c>
      <c r="X1184" s="14">
        <v>4</v>
      </c>
      <c r="Y1184" s="10">
        <f>AC1184-AB1184</f>
        <v>407</v>
      </c>
      <c r="Z1184" s="18">
        <v>38</v>
      </c>
      <c r="AA1184" s="18">
        <v>99</v>
      </c>
      <c r="AB1184" s="18">
        <v>206</v>
      </c>
      <c r="AC1184" s="18">
        <v>613</v>
      </c>
      <c r="AD1184" s="1" t="s">
        <v>2435</v>
      </c>
      <c r="AE1184" s="1" t="s">
        <v>2439</v>
      </c>
      <c r="AG1184" s="4">
        <v>5.9</v>
      </c>
    </row>
    <row r="1185" spans="1:33" ht="30" x14ac:dyDescent="0.25">
      <c r="A1185" s="10" t="s">
        <v>4058</v>
      </c>
      <c r="B1185" s="11" t="s">
        <v>33</v>
      </c>
      <c r="C1185" s="12" t="s">
        <v>4059</v>
      </c>
      <c r="D1185" s="27"/>
      <c r="E1185" s="14" t="s">
        <v>35</v>
      </c>
      <c r="F1185" s="11" t="str">
        <f>HYPERLINK("https://redirect.sdcdeals.com/redirect?destination=https%3A%2F%2Fwww.amazon.com%2Fdp%2FB07T4DQ5M3%3Fth%3D1%26psc%3D1%26tag%3Dsdcdeals03-20", "Amazon Link")</f>
        <v>Amazon Link</v>
      </c>
      <c r="G1185" s="11" t="s">
        <v>36</v>
      </c>
      <c r="H1185" s="14" t="s">
        <v>4060</v>
      </c>
      <c r="I1185" s="11" t="str">
        <f>HYPERLINK("https://redirect.sdcdeals.com/redirect?code=763034&amp;mavely=https://mavely.app.link/e/bhESV2wGrGb&amp;destination=https%3A%2F%2Fwww.kohls.com%2Fsearch.jsp%3Fsubmit-search%3Dweb-regular%26search%3D46615805", "Retail Link")</f>
        <v>Retail Link</v>
      </c>
      <c r="J1185" s="14" t="s">
        <v>4024</v>
      </c>
      <c r="K1185" s="13" t="s">
        <v>4061</v>
      </c>
      <c r="L1185" s="15">
        <v>17.696000000000002</v>
      </c>
      <c r="M1185" s="15">
        <v>25.49</v>
      </c>
      <c r="N1185" s="15">
        <v>-2.079500000000003</v>
      </c>
      <c r="O1185" s="15">
        <f>V1185-M1185</f>
        <v>10.84</v>
      </c>
      <c r="P1185" s="16">
        <f>N1185/L1185</f>
        <v>-0.11751243218806526</v>
      </c>
      <c r="Q1185" s="14">
        <v>31695</v>
      </c>
      <c r="R1185" s="14"/>
      <c r="S1185" s="17">
        <v>0.85098331999999999</v>
      </c>
      <c r="T1185" s="15">
        <v>25.49</v>
      </c>
      <c r="U1185" s="15">
        <v>33.54</v>
      </c>
      <c r="V1185" s="15">
        <v>36.33</v>
      </c>
      <c r="W1185" s="14" t="s">
        <v>164</v>
      </c>
      <c r="X1185" s="14">
        <v>1</v>
      </c>
      <c r="Y1185" s="10">
        <f>AC1185-AB1185</f>
        <v>1462</v>
      </c>
      <c r="Z1185" s="18">
        <v>25</v>
      </c>
      <c r="AA1185" s="18">
        <v>48</v>
      </c>
      <c r="AB1185" s="18">
        <v>25</v>
      </c>
      <c r="AC1185" s="18">
        <v>1487</v>
      </c>
      <c r="AD1185" s="1" t="s">
        <v>4044</v>
      </c>
      <c r="AE1185" s="1" t="s">
        <v>4045</v>
      </c>
      <c r="AF1185" s="4">
        <v>4.33</v>
      </c>
      <c r="AG1185" s="4">
        <v>6.05</v>
      </c>
    </row>
    <row r="1186" spans="1:33" ht="45" x14ac:dyDescent="0.25">
      <c r="A1186" s="10" t="s">
        <v>3304</v>
      </c>
      <c r="B1186" s="11" t="s">
        <v>33</v>
      </c>
      <c r="C1186" s="12" t="s">
        <v>3305</v>
      </c>
      <c r="D1186" s="27"/>
      <c r="E1186" s="14" t="s">
        <v>35</v>
      </c>
      <c r="F1186" s="11" t="str">
        <f>HYPERLINK("https://redirect.sdcdeals.com/redirect?destination=https%3A%2F%2Fwww.amazon.com%2Fdp%2FB0874V9TV3%3Fth%3D1%26psc%3D1%26tag%3Dsdcdeals03-20", "Amazon Link")</f>
        <v>Amazon Link</v>
      </c>
      <c r="G1186" s="11" t="s">
        <v>36</v>
      </c>
      <c r="H1186" s="14" t="s">
        <v>3306</v>
      </c>
      <c r="I1186" s="11" t="str">
        <f>HYPERLINK("https://redirect.sdcdeals.com/redirect?code=763034&amp;mavely=https://mavely.app.link/e/bhESV2wGrGb&amp;destination=https%3A%2F%2Fwww.kohls.com%2Fsearch.jsp%3Fsubmit-search%3Dweb-regular%26search%3D18895564", "Retail Link")</f>
        <v>Retail Link</v>
      </c>
      <c r="J1186" s="14" t="s">
        <v>3307</v>
      </c>
      <c r="K1186" s="13" t="s">
        <v>3308</v>
      </c>
      <c r="L1186" s="15">
        <v>12.6</v>
      </c>
      <c r="M1186" s="15">
        <v>18.989999999999998</v>
      </c>
      <c r="N1186" s="15">
        <v>-1.5085000000000031</v>
      </c>
      <c r="O1186" s="15">
        <f>V1186-M1186</f>
        <v>5.110000000000003</v>
      </c>
      <c r="P1186" s="16">
        <f>N1186/L1186</f>
        <v>-0.11972222222222247</v>
      </c>
      <c r="Q1186" s="14">
        <v>1551</v>
      </c>
      <c r="R1186" s="14">
        <v>200</v>
      </c>
      <c r="S1186" s="17">
        <v>0.37037616000000001</v>
      </c>
      <c r="T1186" s="15">
        <v>18.989999999999998</v>
      </c>
      <c r="U1186" s="15">
        <v>20.94</v>
      </c>
      <c r="V1186" s="15">
        <v>24.1</v>
      </c>
      <c r="W1186" s="14" t="s">
        <v>240</v>
      </c>
      <c r="X1186" s="14">
        <v>12</v>
      </c>
      <c r="Y1186" s="10">
        <f>AC1186-AB1186</f>
        <v>0</v>
      </c>
      <c r="Z1186" s="18">
        <v>64</v>
      </c>
      <c r="AA1186" s="18">
        <v>158</v>
      </c>
      <c r="AB1186" s="18">
        <v>55</v>
      </c>
      <c r="AC1186" s="18">
        <v>55</v>
      </c>
      <c r="AD1186" s="1" t="s">
        <v>3309</v>
      </c>
      <c r="AE1186" s="1" t="s">
        <v>2017</v>
      </c>
      <c r="AF1186" s="4">
        <v>1.9</v>
      </c>
      <c r="AG1186" s="4">
        <v>5.05</v>
      </c>
    </row>
    <row r="1187" spans="1:33" ht="30" x14ac:dyDescent="0.25">
      <c r="A1187" s="10" t="s">
        <v>1314</v>
      </c>
      <c r="B1187" s="11" t="s">
        <v>33</v>
      </c>
      <c r="C1187" s="12" t="s">
        <v>1315</v>
      </c>
      <c r="D1187" s="27"/>
      <c r="E1187" s="14" t="s">
        <v>35</v>
      </c>
      <c r="F1187" s="11" t="str">
        <f>HYPERLINK("https://redirect.sdcdeals.com/redirect?destination=https%3A%2F%2Fwww.amazon.com%2Fdp%2FB09N683JSG%3Fth%3D1%26psc%3D1%26tag%3Dsdcdeals03-20", "Amazon Link")</f>
        <v>Amazon Link</v>
      </c>
      <c r="G1187" s="11" t="s">
        <v>36</v>
      </c>
      <c r="H1187" s="14" t="s">
        <v>1316</v>
      </c>
      <c r="I1187" s="11" t="str">
        <f>HYPERLINK("https://redirect.sdcdeals.com/redirect?code=763034&amp;mavely=https://mavely.app.link/e/bhESV2wGrGb&amp;destination=https%3A%2F%2Fwww.kohls.com%2Fsearch.jsp%3Fsubmit-search%3Dweb-regular%26search%3D60161524", "Retail Link")</f>
        <v>Retail Link</v>
      </c>
      <c r="J1187" s="14" t="s">
        <v>1290</v>
      </c>
      <c r="K1187" s="13" t="s">
        <v>1317</v>
      </c>
      <c r="L1187" s="15">
        <v>39.991999999999997</v>
      </c>
      <c r="M1187" s="15">
        <v>49.53</v>
      </c>
      <c r="N1187" s="15">
        <v>-4.9714999999999989</v>
      </c>
      <c r="O1187" s="15">
        <f>V1187-M1187</f>
        <v>9.9999999999980105E-3</v>
      </c>
      <c r="P1187" s="16">
        <f>N1187/L1187</f>
        <v>-0.12431236247249448</v>
      </c>
      <c r="Q1187" s="14">
        <v>5499</v>
      </c>
      <c r="R1187" s="14"/>
      <c r="S1187" s="17">
        <v>1.64905576</v>
      </c>
      <c r="T1187" s="15"/>
      <c r="U1187" s="15">
        <v>49.53</v>
      </c>
      <c r="V1187" s="15">
        <v>49.54</v>
      </c>
      <c r="W1187" s="14" t="s">
        <v>106</v>
      </c>
      <c r="X1187" s="14">
        <v>1</v>
      </c>
      <c r="Y1187" s="10">
        <f>AC1187-AB1187</f>
        <v>23944</v>
      </c>
      <c r="Z1187" s="18">
        <v>16</v>
      </c>
      <c r="AA1187" s="18">
        <v>65</v>
      </c>
      <c r="AB1187" s="18">
        <v>2</v>
      </c>
      <c r="AC1187" s="18">
        <v>23946</v>
      </c>
      <c r="AD1187" s="1" t="s">
        <v>1292</v>
      </c>
      <c r="AE1187" s="1" t="s">
        <v>1293</v>
      </c>
      <c r="AG1187" s="4">
        <v>7.08</v>
      </c>
    </row>
    <row r="1188" spans="1:33" ht="30" x14ac:dyDescent="0.25">
      <c r="A1188" s="10" t="s">
        <v>5016</v>
      </c>
      <c r="B1188" s="11" t="s">
        <v>33</v>
      </c>
      <c r="C1188" s="12" t="s">
        <v>5017</v>
      </c>
      <c r="D1188" s="27"/>
      <c r="E1188" s="14" t="s">
        <v>35</v>
      </c>
      <c r="F1188" s="11" t="str">
        <f>HYPERLINK("https://redirect.sdcdeals.com/redirect?destination=https%3A%2F%2Fwww.amazon.com%2Fdp%2FB0BNSJVJMB%3Fth%3D1%26psc%3D1%26tag%3Dsdcdeals03-20", "Amazon Link")</f>
        <v>Amazon Link</v>
      </c>
      <c r="G1188" s="11" t="s">
        <v>36</v>
      </c>
      <c r="H1188" s="14" t="s">
        <v>5018</v>
      </c>
      <c r="I1188" s="11" t="str">
        <f>HYPERLINK("https://redirect.sdcdeals.com/redirect?code=763034&amp;mavely=https://mavely.app.link/e/bhESV2wGrGb&amp;destination=https%3A%2F%2Fwww.kohls.com%2Fsearch.jsp%3Fsubmit-search%3Dweb-regular%26search%3D73620863", "Retail Link")</f>
        <v>Retail Link</v>
      </c>
      <c r="J1188" s="14" t="s">
        <v>5013</v>
      </c>
      <c r="K1188" s="13" t="s">
        <v>5019</v>
      </c>
      <c r="L1188" s="15">
        <v>15.4</v>
      </c>
      <c r="M1188" s="15">
        <v>22.77</v>
      </c>
      <c r="N1188" s="15">
        <v>-1.9455000000000029</v>
      </c>
      <c r="O1188" s="15">
        <f>V1188-M1188</f>
        <v>0.87999999999999901</v>
      </c>
      <c r="P1188" s="16">
        <f>N1188/L1188</f>
        <v>-0.12633116883116902</v>
      </c>
      <c r="Q1188" s="14">
        <v>393774</v>
      </c>
      <c r="R1188" s="14"/>
      <c r="S1188" s="17">
        <v>0.33069300000000001</v>
      </c>
      <c r="T1188" s="15">
        <v>22.77</v>
      </c>
      <c r="U1188" s="15">
        <v>27.56</v>
      </c>
      <c r="V1188" s="15">
        <v>23.65</v>
      </c>
      <c r="W1188" s="14" t="s">
        <v>436</v>
      </c>
      <c r="X1188" s="14">
        <v>3</v>
      </c>
      <c r="Y1188" s="10">
        <f>AC1188-AB1188</f>
        <v>6</v>
      </c>
      <c r="Z1188" s="18">
        <v>9</v>
      </c>
      <c r="AA1188" s="18">
        <v>29</v>
      </c>
      <c r="AB1188" s="18">
        <v>0</v>
      </c>
      <c r="AC1188" s="18">
        <v>6</v>
      </c>
      <c r="AD1188" s="1" t="s">
        <v>5020</v>
      </c>
      <c r="AE1188" s="1" t="s">
        <v>856</v>
      </c>
      <c r="AF1188" s="4">
        <v>3.87</v>
      </c>
      <c r="AG1188" s="4">
        <v>5.9</v>
      </c>
    </row>
    <row r="1189" spans="1:33" ht="30" x14ac:dyDescent="0.25">
      <c r="A1189" s="10" t="s">
        <v>5029</v>
      </c>
      <c r="B1189" s="11" t="s">
        <v>33</v>
      </c>
      <c r="C1189" s="12" t="s">
        <v>5030</v>
      </c>
      <c r="D1189" s="27"/>
      <c r="E1189" s="14" t="s">
        <v>35</v>
      </c>
      <c r="F1189" s="11" t="str">
        <f>HYPERLINK("https://redirect.sdcdeals.com/redirect?destination=https%3A%2F%2Fwww.amazon.com%2Fdp%2FB0BNSP34TM%3Fth%3D1%26psc%3D1%26tag%3Dsdcdeals03-20", "Amazon Link")</f>
        <v>Amazon Link</v>
      </c>
      <c r="G1189" s="11" t="s">
        <v>36</v>
      </c>
      <c r="H1189" s="14" t="s">
        <v>5031</v>
      </c>
      <c r="I1189" s="11" t="str">
        <f>HYPERLINK("https://redirect.sdcdeals.com/redirect?code=763034&amp;mavely=https://mavely.app.link/e/bhESV2wGrGb&amp;destination=https%3A%2F%2Fwww.kohls.com%2Fsearch.jsp%3Fsubmit-search%3Dweb-regular%26search%3D73620864", "Retail Link")</f>
        <v>Retail Link</v>
      </c>
      <c r="J1189" s="14" t="s">
        <v>5013</v>
      </c>
      <c r="K1189" s="13" t="s">
        <v>5032</v>
      </c>
      <c r="L1189" s="15">
        <v>15.4</v>
      </c>
      <c r="M1189" s="15">
        <v>22.77</v>
      </c>
      <c r="N1189" s="15">
        <v>-1.9455000000000029</v>
      </c>
      <c r="O1189" s="15">
        <f>V1189-M1189</f>
        <v>7.120000000000001</v>
      </c>
      <c r="P1189" s="16">
        <f>N1189/L1189</f>
        <v>-0.12633116883116902</v>
      </c>
      <c r="Q1189" s="14">
        <v>393774</v>
      </c>
      <c r="R1189" s="14"/>
      <c r="S1189" s="17">
        <v>0.35053457999999998</v>
      </c>
      <c r="T1189" s="15">
        <v>22.77</v>
      </c>
      <c r="U1189" s="15">
        <v>32.729999999999997</v>
      </c>
      <c r="V1189" s="15">
        <v>29.89</v>
      </c>
      <c r="W1189" s="14" t="s">
        <v>385</v>
      </c>
      <c r="X1189" s="14">
        <v>3</v>
      </c>
      <c r="Y1189" s="10">
        <f>AC1189-AB1189</f>
        <v>6</v>
      </c>
      <c r="Z1189" s="18">
        <v>12</v>
      </c>
      <c r="AA1189" s="18">
        <v>34</v>
      </c>
      <c r="AB1189" s="18">
        <v>0</v>
      </c>
      <c r="AC1189" s="18">
        <v>6</v>
      </c>
      <c r="AD1189" s="1" t="s">
        <v>5020</v>
      </c>
      <c r="AE1189" s="1" t="s">
        <v>856</v>
      </c>
      <c r="AF1189" s="4">
        <v>3.87</v>
      </c>
      <c r="AG1189" s="4">
        <v>5.9</v>
      </c>
    </row>
    <row r="1190" spans="1:33" ht="30" x14ac:dyDescent="0.25">
      <c r="A1190" s="10" t="s">
        <v>5037</v>
      </c>
      <c r="B1190" s="11" t="s">
        <v>33</v>
      </c>
      <c r="C1190" s="12" t="s">
        <v>5038</v>
      </c>
      <c r="D1190" s="27"/>
      <c r="E1190" s="14" t="s">
        <v>35</v>
      </c>
      <c r="F1190" s="11" t="str">
        <f>HYPERLINK("https://redirect.sdcdeals.com/redirect?destination=https%3A%2F%2Fwww.amazon.com%2Fdp%2FB0BNT3BLZK%3Fth%3D1%26psc%3D1%26tag%3Dsdcdeals03-20", "Amazon Link")</f>
        <v>Amazon Link</v>
      </c>
      <c r="G1190" s="11" t="s">
        <v>36</v>
      </c>
      <c r="H1190" s="14" t="s">
        <v>5039</v>
      </c>
      <c r="I1190" s="11" t="str">
        <f>HYPERLINK("https://redirect.sdcdeals.com/redirect?code=763034&amp;mavely=https://mavely.app.link/e/bhESV2wGrGb&amp;destination=https%3A%2F%2Fwww.kohls.com%2Fsearch.jsp%3Fsubmit-search%3Dweb-regular%26search%3D73620865", "Retail Link")</f>
        <v>Retail Link</v>
      </c>
      <c r="J1190" s="14" t="s">
        <v>5013</v>
      </c>
      <c r="K1190" s="13" t="s">
        <v>5040</v>
      </c>
      <c r="L1190" s="15">
        <v>15.4</v>
      </c>
      <c r="M1190" s="15">
        <v>22.77</v>
      </c>
      <c r="N1190" s="15">
        <v>-1.9455000000000029</v>
      </c>
      <c r="O1190" s="15">
        <f>V1190-M1190</f>
        <v>5.3099999999999987</v>
      </c>
      <c r="P1190" s="16">
        <f>N1190/L1190</f>
        <v>-0.12633116883116902</v>
      </c>
      <c r="Q1190" s="14">
        <v>393774</v>
      </c>
      <c r="R1190" s="14"/>
      <c r="S1190" s="17">
        <v>0.37037616000000001</v>
      </c>
      <c r="T1190" s="15">
        <v>22.77</v>
      </c>
      <c r="U1190" s="15">
        <v>30.43</v>
      </c>
      <c r="V1190" s="15">
        <v>28.08</v>
      </c>
      <c r="W1190" s="14" t="s">
        <v>698</v>
      </c>
      <c r="X1190" s="14">
        <v>4</v>
      </c>
      <c r="Y1190" s="10">
        <f>AC1190-AB1190</f>
        <v>6</v>
      </c>
      <c r="Z1190" s="18">
        <v>12</v>
      </c>
      <c r="AA1190" s="18">
        <v>36</v>
      </c>
      <c r="AB1190" s="18">
        <v>0</v>
      </c>
      <c r="AC1190" s="18">
        <v>6</v>
      </c>
      <c r="AD1190" s="1" t="s">
        <v>5020</v>
      </c>
      <c r="AE1190" s="1" t="s">
        <v>856</v>
      </c>
      <c r="AF1190" s="4">
        <v>3.87</v>
      </c>
      <c r="AG1190" s="4">
        <v>5.9</v>
      </c>
    </row>
    <row r="1191" spans="1:33" ht="30" x14ac:dyDescent="0.25">
      <c r="A1191" s="10" t="s">
        <v>857</v>
      </c>
      <c r="B1191" s="11" t="s">
        <v>33</v>
      </c>
      <c r="C1191" s="12" t="s">
        <v>858</v>
      </c>
      <c r="D1191" s="27"/>
      <c r="E1191" s="14" t="s">
        <v>35</v>
      </c>
      <c r="F1191" s="11" t="str">
        <f>HYPERLINK("https://redirect.sdcdeals.com/redirect?destination=https%3A%2F%2Fwww.amazon.com%2Fdp%2FB0BNWGF3NS%3Fth%3D1%26psc%3D1%26tag%3Dsdcdeals03-20", "Amazon Link")</f>
        <v>Amazon Link</v>
      </c>
      <c r="G1191" s="11" t="s">
        <v>36</v>
      </c>
      <c r="H1191" s="14" t="s">
        <v>859</v>
      </c>
      <c r="I1191" s="11" t="str">
        <f>HYPERLINK("https://redirect.sdcdeals.com/redirect?code=763034&amp;mavely=https://mavely.app.link/e/bhESV2wGrGb&amp;destination=https%3A%2F%2Fwww.kohls.com%2Fsearch.jsp%3Fsubmit-search%3Dweb-regular%26search%3D20535292", "Retail Link")</f>
        <v>Retail Link</v>
      </c>
      <c r="J1191" s="14" t="s">
        <v>853</v>
      </c>
      <c r="K1191" s="13" t="s">
        <v>860</v>
      </c>
      <c r="L1191" s="15">
        <v>22.4</v>
      </c>
      <c r="M1191" s="15">
        <v>28</v>
      </c>
      <c r="N1191" s="15">
        <v>-3.0499999999999972</v>
      </c>
      <c r="O1191" s="15">
        <f>V1191-M1191</f>
        <v>11.840000000000003</v>
      </c>
      <c r="P1191" s="16">
        <f>N1191/L1191</f>
        <v>-0.13616071428571416</v>
      </c>
      <c r="Q1191" s="14">
        <v>2605453</v>
      </c>
      <c r="R1191" s="14"/>
      <c r="S1191" s="17">
        <v>0.46958406000000003</v>
      </c>
      <c r="T1191" s="15">
        <v>28</v>
      </c>
      <c r="U1191" s="15">
        <v>35.28</v>
      </c>
      <c r="V1191" s="15">
        <v>39.840000000000003</v>
      </c>
      <c r="W1191" s="14" t="s">
        <v>671</v>
      </c>
      <c r="X1191" s="14">
        <v>3</v>
      </c>
      <c r="Y1191" s="10">
        <f>AC1191-AB1191</f>
        <v>0</v>
      </c>
      <c r="Z1191" s="18">
        <v>2</v>
      </c>
      <c r="AA1191" s="18">
        <v>11</v>
      </c>
      <c r="AB1191" s="18"/>
      <c r="AC1191" s="18"/>
      <c r="AD1191" s="1" t="s">
        <v>855</v>
      </c>
      <c r="AE1191" s="1" t="s">
        <v>856</v>
      </c>
      <c r="AF1191" s="4">
        <v>4.76</v>
      </c>
      <c r="AG1191" s="4">
        <v>4.45</v>
      </c>
    </row>
    <row r="1192" spans="1:33" x14ac:dyDescent="0.25">
      <c r="A1192" s="10" t="s">
        <v>5597</v>
      </c>
      <c r="B1192" s="11" t="s">
        <v>33</v>
      </c>
      <c r="C1192" s="12" t="s">
        <v>5598</v>
      </c>
      <c r="D1192" s="27"/>
      <c r="E1192" s="14" t="s">
        <v>35</v>
      </c>
      <c r="F1192" s="11" t="str">
        <f>HYPERLINK("https://redirect.sdcdeals.com/redirect?destination=https%3A%2F%2Fwww.amazon.com%2Fdp%2FB0BRR4MG6R%3Fth%3D1%26psc%3D1%26tag%3Dsdcdeals03-20", "Amazon Link")</f>
        <v>Amazon Link</v>
      </c>
      <c r="G1192" s="11" t="s">
        <v>36</v>
      </c>
      <c r="H1192" s="14" t="s">
        <v>5599</v>
      </c>
      <c r="I1192" s="11" t="str">
        <f>HYPERLINK("https://redirect.sdcdeals.com/redirect?code=763034&amp;mavely=https://mavely.app.link/e/bhESV2wGrGb&amp;destination=https%3A%2F%2Fwww.kohls.com%2Fsearch.jsp%3Fsubmit-search%3Dweb-regular%26search%3D77042356", "Retail Link")</f>
        <v>Retail Link</v>
      </c>
      <c r="J1192" s="14" t="s">
        <v>5600</v>
      </c>
      <c r="K1192" s="13" t="s">
        <v>5601</v>
      </c>
      <c r="L1192" s="15">
        <v>79.992000000000004</v>
      </c>
      <c r="M1192" s="15">
        <v>89.99</v>
      </c>
      <c r="N1192" s="15">
        <v>-11.46050000000001</v>
      </c>
      <c r="O1192" s="15">
        <f>V1192-M1192</f>
        <v>-4.4499999999999886</v>
      </c>
      <c r="P1192" s="16">
        <f>N1192/L1192</f>
        <v>-0.14327057705770591</v>
      </c>
      <c r="Q1192" s="14">
        <v>882830</v>
      </c>
      <c r="R1192" s="14"/>
      <c r="S1192" s="17">
        <v>2.2487124000000001</v>
      </c>
      <c r="T1192" s="15">
        <v>89.99</v>
      </c>
      <c r="U1192" s="15">
        <v>89.99</v>
      </c>
      <c r="V1192" s="15">
        <v>85.54</v>
      </c>
      <c r="W1192" s="14" t="s">
        <v>1567</v>
      </c>
      <c r="X1192" s="14">
        <v>2</v>
      </c>
      <c r="Y1192" s="10">
        <f>AC1192-AB1192</f>
        <v>71</v>
      </c>
      <c r="Z1192" s="18">
        <v>3</v>
      </c>
      <c r="AA1192" s="18">
        <v>12</v>
      </c>
      <c r="AB1192" s="18">
        <v>1</v>
      </c>
      <c r="AC1192" s="18">
        <v>72</v>
      </c>
      <c r="AD1192" s="1" t="s">
        <v>5602</v>
      </c>
      <c r="AE1192" s="1" t="s">
        <v>438</v>
      </c>
      <c r="AF1192" s="4">
        <v>13.5</v>
      </c>
      <c r="AG1192" s="4">
        <v>7.96</v>
      </c>
    </row>
    <row r="1193" spans="1:33" ht="30" hidden="1" x14ac:dyDescent="0.25">
      <c r="A1193" s="10" t="s">
        <v>5097</v>
      </c>
      <c r="B1193" s="11" t="s">
        <v>33</v>
      </c>
      <c r="C1193" s="12" t="s">
        <v>5098</v>
      </c>
      <c r="D1193" s="27"/>
      <c r="E1193" s="14" t="s">
        <v>35</v>
      </c>
      <c r="F1193" s="11" t="str">
        <f>HYPERLINK("https://redirect.sdcdeals.com/redirect?destination=https%3A%2F%2Fwww.amazon.com%2Fdp%2FB0CL5JJ3S4%3Fth%3D1%26psc%3D1%26tag%3Dsdcdeals03-20", "Amazon Link")</f>
        <v>Amazon Link</v>
      </c>
      <c r="G1193" s="11" t="s">
        <v>36</v>
      </c>
      <c r="H1193" s="14" t="s">
        <v>5099</v>
      </c>
      <c r="I1193" s="11" t="str">
        <f>HYPERLINK("https://redirect.sdcdeals.com/redirect?code=763034&amp;mavely=https://mavely.app.link/e/bhESV2wGrGb&amp;destination=https%3A%2F%2Fwww.kohls.com%2Fsearch.jsp%3Fsubmit-search%3Dweb-regular%26search%3D18796706", "Retail Link")</f>
        <v>Retail Link</v>
      </c>
      <c r="J1193" s="14" t="s">
        <v>5090</v>
      </c>
      <c r="K1193" s="13" t="s">
        <v>5100</v>
      </c>
      <c r="L1193" s="15">
        <v>7.6000000000000014</v>
      </c>
      <c r="M1193" s="15">
        <v>14.49</v>
      </c>
      <c r="N1193" s="15">
        <v>-1.1035000000000019</v>
      </c>
      <c r="O1193" s="15">
        <f>V1193-M1193</f>
        <v>12.99</v>
      </c>
      <c r="P1193" s="16">
        <f>N1193/L1193</f>
        <v>-0.14519736842105285</v>
      </c>
      <c r="Q1193" s="14"/>
      <c r="R1193" s="14"/>
      <c r="S1193" s="17">
        <v>0.37037616000000001</v>
      </c>
      <c r="T1193" s="15">
        <v>14.49</v>
      </c>
      <c r="U1193" s="15">
        <v>18.77</v>
      </c>
      <c r="V1193" s="15">
        <v>27.48</v>
      </c>
      <c r="W1193" s="14" t="s">
        <v>4127</v>
      </c>
      <c r="X1193" s="14">
        <v>10</v>
      </c>
      <c r="Y1193" s="10">
        <f>AC1193-AB1193</f>
        <v>0</v>
      </c>
      <c r="Z1193" s="18">
        <v>0</v>
      </c>
      <c r="AA1193" s="18">
        <v>19</v>
      </c>
      <c r="AB1193" s="18">
        <v>0</v>
      </c>
      <c r="AC1193" s="18"/>
      <c r="AE1193" s="1" t="s">
        <v>5092</v>
      </c>
      <c r="AF1193" s="4">
        <v>1.45</v>
      </c>
      <c r="AG1193" s="4">
        <v>5.82</v>
      </c>
    </row>
    <row r="1194" spans="1:33" x14ac:dyDescent="0.25">
      <c r="A1194" s="10" t="s">
        <v>5603</v>
      </c>
      <c r="B1194" s="11" t="s">
        <v>33</v>
      </c>
      <c r="C1194" s="12" t="s">
        <v>5604</v>
      </c>
      <c r="D1194" s="27"/>
      <c r="E1194" s="14" t="s">
        <v>35</v>
      </c>
      <c r="F1194" s="11" t="str">
        <f>HYPERLINK("https://redirect.sdcdeals.com/redirect?destination=https%3A%2F%2Fwww.amazon.com%2Fdp%2FB0BRR34QCR%3Fth%3D1%26psc%3D1%26tag%3Dsdcdeals03-20", "Amazon Link")</f>
        <v>Amazon Link</v>
      </c>
      <c r="G1194" s="11" t="s">
        <v>36</v>
      </c>
      <c r="H1194" s="14" t="s">
        <v>5605</v>
      </c>
      <c r="I1194" s="11" t="str">
        <f>HYPERLINK("https://redirect.sdcdeals.com/redirect?code=763034&amp;mavely=https://mavely.app.link/e/bhESV2wGrGb&amp;destination=https%3A%2F%2Fwww.kohls.com%2Fsearch.jsp%3Fsubmit-search%3Dweb-regular%26search%3D79102219", "Retail Link")</f>
        <v>Retail Link</v>
      </c>
      <c r="J1194" s="14" t="s">
        <v>5600</v>
      </c>
      <c r="K1194" s="13" t="s">
        <v>5606</v>
      </c>
      <c r="L1194" s="15">
        <v>79.992000000000004</v>
      </c>
      <c r="M1194" s="15">
        <v>89.99</v>
      </c>
      <c r="N1194" s="15">
        <v>-11.620500000000019</v>
      </c>
      <c r="O1194" s="15">
        <f>V1194-M1194</f>
        <v>-2.7399999999999949</v>
      </c>
      <c r="P1194" s="16">
        <f>N1194/L1194</f>
        <v>-0.145270777077708</v>
      </c>
      <c r="Q1194" s="14">
        <v>882830</v>
      </c>
      <c r="R1194" s="14"/>
      <c r="S1194" s="17">
        <v>2.2707586000000002</v>
      </c>
      <c r="T1194" s="15">
        <v>89.99</v>
      </c>
      <c r="U1194" s="15">
        <v>89.99</v>
      </c>
      <c r="V1194" s="15">
        <v>87.25</v>
      </c>
      <c r="W1194" s="14" t="s">
        <v>5145</v>
      </c>
      <c r="X1194" s="14">
        <v>2</v>
      </c>
      <c r="Y1194" s="10">
        <f>AC1194-AB1194</f>
        <v>101</v>
      </c>
      <c r="Z1194" s="18">
        <v>9</v>
      </c>
      <c r="AA1194" s="18">
        <v>18</v>
      </c>
      <c r="AB1194" s="18">
        <v>0</v>
      </c>
      <c r="AC1194" s="18">
        <v>101</v>
      </c>
      <c r="AD1194" s="1" t="s">
        <v>5602</v>
      </c>
      <c r="AE1194" s="1" t="s">
        <v>76</v>
      </c>
      <c r="AF1194" s="4">
        <v>13.5</v>
      </c>
      <c r="AG1194" s="4">
        <v>8.1199999999999992</v>
      </c>
    </row>
    <row r="1195" spans="1:33" ht="30" x14ac:dyDescent="0.25">
      <c r="A1195" s="10" t="s">
        <v>7334</v>
      </c>
      <c r="B1195" s="11" t="s">
        <v>33</v>
      </c>
      <c r="C1195" s="12" t="s">
        <v>7335</v>
      </c>
      <c r="D1195" s="27"/>
      <c r="E1195" s="14" t="s">
        <v>35</v>
      </c>
      <c r="F1195" s="11" t="str">
        <f>HYPERLINK("https://redirect.sdcdeals.com/redirect?destination=https%3A%2F%2Fwww.amazon.com%2Fdp%2FB0BNWGVB7C%3Fth%3D1%26psc%3D1%26tag%3Dsdcdeals03-20", "Amazon Link")</f>
        <v>Amazon Link</v>
      </c>
      <c r="G1195" s="11" t="s">
        <v>36</v>
      </c>
      <c r="H1195" s="14" t="s">
        <v>7336</v>
      </c>
      <c r="I1195" s="11" t="str">
        <f>HYPERLINK("https://redirect.sdcdeals.com/redirect?code=763034&amp;mavely=https://mavely.app.link/e/bhESV2wGrGb&amp;destination=https%3A%2F%2Fwww.kohls.com%2Fsearch.jsp%3Fsubmit-search%3Dweb-regular%26search%3D37212103", "Retail Link")</f>
        <v>Retail Link</v>
      </c>
      <c r="J1195" s="14" t="s">
        <v>7320</v>
      </c>
      <c r="K1195" s="13" t="s">
        <v>7337</v>
      </c>
      <c r="L1195" s="15">
        <v>22.4</v>
      </c>
      <c r="M1195" s="15">
        <v>28</v>
      </c>
      <c r="N1195" s="15">
        <v>-3.269999999999996</v>
      </c>
      <c r="O1195" s="15">
        <f>V1195-M1195</f>
        <v>14.5</v>
      </c>
      <c r="P1195" s="16">
        <f>N1195/L1195</f>
        <v>-0.1459821428571427</v>
      </c>
      <c r="Q1195" s="14">
        <v>2570747</v>
      </c>
      <c r="R1195" s="14"/>
      <c r="S1195" s="17">
        <v>0.59965663999999996</v>
      </c>
      <c r="T1195" s="15">
        <v>28</v>
      </c>
      <c r="U1195" s="15">
        <v>47.23</v>
      </c>
      <c r="V1195" s="15">
        <v>42.5</v>
      </c>
      <c r="W1195" s="14" t="s">
        <v>1097</v>
      </c>
      <c r="X1195" s="14">
        <v>5</v>
      </c>
      <c r="Y1195" s="10">
        <f>AC1195-AB1195</f>
        <v>0</v>
      </c>
      <c r="Z1195" s="18">
        <v>2</v>
      </c>
      <c r="AA1195" s="18">
        <v>11</v>
      </c>
      <c r="AB1195" s="18"/>
      <c r="AC1195" s="18"/>
      <c r="AD1195" s="1" t="s">
        <v>855</v>
      </c>
      <c r="AE1195" s="1" t="s">
        <v>278</v>
      </c>
      <c r="AF1195" s="4">
        <v>4.76</v>
      </c>
      <c r="AG1195" s="4">
        <v>4.67</v>
      </c>
    </row>
    <row r="1196" spans="1:33" ht="30" x14ac:dyDescent="0.25">
      <c r="A1196" s="10" t="s">
        <v>721</v>
      </c>
      <c r="B1196" s="11" t="s">
        <v>33</v>
      </c>
      <c r="C1196" s="12" t="s">
        <v>722</v>
      </c>
      <c r="D1196" s="27"/>
      <c r="E1196" s="14" t="s">
        <v>35</v>
      </c>
      <c r="F1196" s="11" t="str">
        <f>HYPERLINK("https://redirect.sdcdeals.com/redirect?destination=https%3A%2F%2Fwww.amazon.com%2Fdp%2FB0BFTWWDR6%3Fth%3D1%26psc%3D1%26tag%3Dsdcdeals03-20", "Amazon Link")</f>
        <v>Amazon Link</v>
      </c>
      <c r="G1196" s="11" t="s">
        <v>36</v>
      </c>
      <c r="H1196" s="14" t="s">
        <v>723</v>
      </c>
      <c r="I1196" s="11" t="str">
        <f>HYPERLINK("https://redirect.sdcdeals.com/redirect?code=763034&amp;mavely=https://mavely.app.link/e/bhESV2wGrGb&amp;destination=https%3A%2F%2Fwww.kohls.com%2Fsearch.jsp%3Fsubmit-search%3Dweb-regular%26search%3D20255785", "Retail Link")</f>
        <v>Retail Link</v>
      </c>
      <c r="J1196" s="14" t="s">
        <v>696</v>
      </c>
      <c r="K1196" s="13" t="s">
        <v>724</v>
      </c>
      <c r="L1196" s="15">
        <v>44.095999999999997</v>
      </c>
      <c r="M1196" s="15">
        <v>62.1</v>
      </c>
      <c r="N1196" s="15">
        <v>-6.6210000000000022</v>
      </c>
      <c r="O1196" s="15">
        <f>V1196-M1196</f>
        <v>26.559999999999995</v>
      </c>
      <c r="P1196" s="16">
        <f>N1196/L1196</f>
        <v>-0.15014967343976784</v>
      </c>
      <c r="Q1196" s="14">
        <v>3328345</v>
      </c>
      <c r="R1196" s="14"/>
      <c r="S1196" s="17">
        <v>1.38009212</v>
      </c>
      <c r="T1196" s="15"/>
      <c r="U1196" s="15">
        <v>62.1</v>
      </c>
      <c r="V1196" s="15">
        <v>88.66</v>
      </c>
      <c r="W1196" s="14" t="s">
        <v>725</v>
      </c>
      <c r="X1196" s="14">
        <v>1</v>
      </c>
      <c r="Y1196" s="10">
        <f>AC1196-AB1196</f>
        <v>1</v>
      </c>
      <c r="Z1196" s="18">
        <v>1</v>
      </c>
      <c r="AA1196" s="18">
        <v>2</v>
      </c>
      <c r="AB1196" s="18">
        <v>0</v>
      </c>
      <c r="AC1196" s="18">
        <v>1</v>
      </c>
      <c r="AD1196" s="1" t="s">
        <v>699</v>
      </c>
      <c r="AE1196" s="1" t="s">
        <v>700</v>
      </c>
      <c r="AG1196" s="4">
        <v>15.31</v>
      </c>
    </row>
    <row r="1197" spans="1:33" ht="30" x14ac:dyDescent="0.25">
      <c r="A1197" s="10" t="s">
        <v>2978</v>
      </c>
      <c r="B1197" s="11" t="s">
        <v>33</v>
      </c>
      <c r="C1197" s="12" t="s">
        <v>2979</v>
      </c>
      <c r="D1197" s="27"/>
      <c r="E1197" s="14" t="s">
        <v>35</v>
      </c>
      <c r="F1197" s="11" t="str">
        <f>HYPERLINK("https://redirect.sdcdeals.com/redirect?destination=https%3A%2F%2Fwww.amazon.com%2Fdp%2FB0BKR19W7P%3Fth%3D1%26psc%3D1%26tag%3Dsdcdeals03-20", "Amazon Link")</f>
        <v>Amazon Link</v>
      </c>
      <c r="G1197" s="11" t="s">
        <v>36</v>
      </c>
      <c r="H1197" s="14" t="s">
        <v>2980</v>
      </c>
      <c r="I1197" s="11" t="str">
        <f>HYPERLINK("https://redirect.sdcdeals.com/redirect?code=763034&amp;mavely=https://mavely.app.link/e/bhESV2wGrGb&amp;destination=https%3A%2F%2Fwww.kohls.com%2Fsearch.jsp%3Fsubmit-search%3Dweb-regular%26search%3D29976313", "Retail Link")</f>
        <v>Retail Link</v>
      </c>
      <c r="J1197" s="14" t="s">
        <v>2908</v>
      </c>
      <c r="K1197" s="13" t="s">
        <v>2981</v>
      </c>
      <c r="L1197" s="15">
        <v>57.2</v>
      </c>
      <c r="M1197" s="15">
        <v>71.52</v>
      </c>
      <c r="N1197" s="15">
        <v>-8.6780000000000115</v>
      </c>
      <c r="O1197" s="15">
        <f>V1197-M1197</f>
        <v>54.930000000000007</v>
      </c>
      <c r="P1197" s="16">
        <f>N1197/L1197</f>
        <v>-0.1517132867132869</v>
      </c>
      <c r="Q1197" s="14">
        <v>824673</v>
      </c>
      <c r="R1197" s="14"/>
      <c r="S1197" s="17">
        <v>2.9872600999999999</v>
      </c>
      <c r="T1197" s="15">
        <v>71.52</v>
      </c>
      <c r="U1197" s="15">
        <v>102.31</v>
      </c>
      <c r="V1197" s="15">
        <v>126.45</v>
      </c>
      <c r="W1197" s="14" t="s">
        <v>436</v>
      </c>
      <c r="X1197" s="14">
        <v>3</v>
      </c>
      <c r="Y1197" s="10">
        <f>AC1197-AB1197</f>
        <v>8</v>
      </c>
      <c r="Z1197" s="18">
        <v>8</v>
      </c>
      <c r="AA1197" s="18">
        <v>24</v>
      </c>
      <c r="AB1197" s="18">
        <v>0</v>
      </c>
      <c r="AC1197" s="18">
        <v>8</v>
      </c>
      <c r="AD1197" s="1" t="s">
        <v>2911</v>
      </c>
      <c r="AE1197" s="1" t="s">
        <v>2924</v>
      </c>
      <c r="AF1197" s="4">
        <v>12.16</v>
      </c>
      <c r="AG1197" s="4">
        <v>12.27</v>
      </c>
    </row>
    <row r="1198" spans="1:33" ht="30" x14ac:dyDescent="0.25">
      <c r="A1198" s="10" t="s">
        <v>4050</v>
      </c>
      <c r="B1198" s="11" t="s">
        <v>33</v>
      </c>
      <c r="C1198" s="12" t="s">
        <v>4051</v>
      </c>
      <c r="D1198" s="27"/>
      <c r="E1198" s="14" t="s">
        <v>35</v>
      </c>
      <c r="F1198" s="11" t="str">
        <f>HYPERLINK("https://redirect.sdcdeals.com/redirect?destination=https%3A%2F%2Fwww.amazon.com%2Fdp%2FB07T5G69ZS%3Fth%3D1%26psc%3D1%26tag%3Dsdcdeals03-20", "Amazon Link")</f>
        <v>Amazon Link</v>
      </c>
      <c r="G1198" s="11" t="s">
        <v>36</v>
      </c>
      <c r="H1198" s="14" t="s">
        <v>4052</v>
      </c>
      <c r="I1198" s="11" t="str">
        <f>HYPERLINK("https://redirect.sdcdeals.com/redirect?code=763034&amp;mavely=https://mavely.app.link/e/bhESV2wGrGb&amp;destination=https%3A%2F%2Fwww.kohls.com%2Fsearch.jsp%3Fsubmit-search%3Dweb-regular%26search%3D46615803", "Retail Link")</f>
        <v>Retail Link</v>
      </c>
      <c r="J1198" s="14" t="s">
        <v>4024</v>
      </c>
      <c r="K1198" s="13" t="s">
        <v>4053</v>
      </c>
      <c r="L1198" s="15">
        <v>17.696000000000002</v>
      </c>
      <c r="M1198" s="15">
        <v>25.49</v>
      </c>
      <c r="N1198" s="15">
        <v>-2.6995000000000018</v>
      </c>
      <c r="O1198" s="15">
        <f>V1198-M1198</f>
        <v>4.7600000000000016</v>
      </c>
      <c r="P1198" s="16">
        <f>N1198/L1198</f>
        <v>-0.15254859855334549</v>
      </c>
      <c r="Q1198" s="14">
        <v>31695</v>
      </c>
      <c r="R1198" s="14"/>
      <c r="S1198" s="17">
        <v>0.66138600000000003</v>
      </c>
      <c r="T1198" s="15">
        <v>25.49</v>
      </c>
      <c r="U1198" s="15">
        <v>30.52</v>
      </c>
      <c r="V1198" s="15">
        <v>30.25</v>
      </c>
      <c r="W1198" s="14" t="s">
        <v>255</v>
      </c>
      <c r="X1198" s="14">
        <v>1</v>
      </c>
      <c r="Y1198" s="10">
        <f>AC1198-AB1198</f>
        <v>1459</v>
      </c>
      <c r="Z1198" s="18">
        <v>25</v>
      </c>
      <c r="AA1198" s="18">
        <v>74</v>
      </c>
      <c r="AB1198" s="18">
        <v>27</v>
      </c>
      <c r="AC1198" s="18">
        <v>1486</v>
      </c>
      <c r="AD1198" s="1" t="s">
        <v>4044</v>
      </c>
      <c r="AE1198" s="1" t="s">
        <v>4045</v>
      </c>
      <c r="AF1198" s="4">
        <v>4.33</v>
      </c>
      <c r="AG1198" s="4">
        <v>6.67</v>
      </c>
    </row>
    <row r="1199" spans="1:33" ht="30" x14ac:dyDescent="0.25">
      <c r="A1199" s="10" t="s">
        <v>7143</v>
      </c>
      <c r="B1199" s="11" t="s">
        <v>33</v>
      </c>
      <c r="C1199" s="12" t="s">
        <v>7144</v>
      </c>
      <c r="D1199" s="27"/>
      <c r="E1199" s="14" t="s">
        <v>35</v>
      </c>
      <c r="F1199" s="11" t="str">
        <f>HYPERLINK("https://redirect.sdcdeals.com/redirect?destination=https%3A%2F%2Fwww.amazon.com%2Fdp%2FB09R2GRZWV%3Fth%3D1%26psc%3D1%26tag%3Dsdcdeals03-20", "Amazon Link")</f>
        <v>Amazon Link</v>
      </c>
      <c r="G1199" s="11" t="s">
        <v>36</v>
      </c>
      <c r="H1199" s="14" t="s">
        <v>7145</v>
      </c>
      <c r="I1199" s="11" t="str">
        <f>HYPERLINK("https://redirect.sdcdeals.com/redirect?code=763034&amp;mavely=https://mavely.app.link/e/bhESV2wGrGb&amp;destination=https%3A%2F%2Fwww.kohls.com%2Fsearch.jsp%3Fsubmit-search%3Dweb-regular%26search%3D75270172", "Retail Link")</f>
        <v>Retail Link</v>
      </c>
      <c r="J1199" s="14" t="s">
        <v>7146</v>
      </c>
      <c r="K1199" s="13" t="s">
        <v>7147</v>
      </c>
      <c r="L1199" s="15">
        <v>2.88</v>
      </c>
      <c r="M1199" s="15">
        <v>7.2</v>
      </c>
      <c r="N1199" s="15">
        <v>-0.43999999999999989</v>
      </c>
      <c r="O1199" s="15">
        <f>V1199-M1199</f>
        <v>7.1000000000000005</v>
      </c>
      <c r="P1199" s="16">
        <f>N1199/L1199</f>
        <v>-0.15277777777777773</v>
      </c>
      <c r="Q1199" s="14">
        <v>1972270</v>
      </c>
      <c r="R1199" s="14"/>
      <c r="S1199" s="17">
        <v>0.1543234</v>
      </c>
      <c r="T1199" s="15">
        <v>7.2</v>
      </c>
      <c r="U1199" s="15">
        <v>12.89</v>
      </c>
      <c r="V1199" s="15">
        <v>14.3</v>
      </c>
      <c r="W1199" s="14" t="s">
        <v>67</v>
      </c>
      <c r="X1199" s="14">
        <v>3</v>
      </c>
      <c r="Y1199" s="10">
        <f>AC1199-AB1199</f>
        <v>1</v>
      </c>
      <c r="Z1199" s="18">
        <v>2</v>
      </c>
      <c r="AA1199" s="18">
        <v>4</v>
      </c>
      <c r="AB1199" s="18">
        <v>0</v>
      </c>
      <c r="AC1199" s="18">
        <v>1</v>
      </c>
      <c r="AD1199" s="1" t="s">
        <v>7148</v>
      </c>
      <c r="AE1199" s="1" t="s">
        <v>7149</v>
      </c>
      <c r="AF1199" s="4">
        <v>0.36</v>
      </c>
      <c r="AG1199" s="4">
        <v>3.68</v>
      </c>
    </row>
    <row r="1200" spans="1:33" ht="30" hidden="1" x14ac:dyDescent="0.25">
      <c r="A1200" s="10" t="s">
        <v>5075</v>
      </c>
      <c r="B1200" s="11" t="s">
        <v>33</v>
      </c>
      <c r="C1200" s="12" t="s">
        <v>5076</v>
      </c>
      <c r="D1200" s="27"/>
      <c r="E1200" s="14" t="s">
        <v>35</v>
      </c>
      <c r="F1200" s="11" t="str">
        <f>HYPERLINK("https://redirect.sdcdeals.com/redirect?destination=https%3A%2F%2Fwww.amazon.com%2Fdp%2FB0CL5JFG91%3Fth%3D1%26psc%3D1%26tag%3Dsdcdeals03-20", "Amazon Link")</f>
        <v>Amazon Link</v>
      </c>
      <c r="G1200" s="11" t="s">
        <v>36</v>
      </c>
      <c r="H1200" s="14" t="s">
        <v>5077</v>
      </c>
      <c r="I1200" s="11" t="str">
        <f>HYPERLINK("https://redirect.sdcdeals.com/redirect?code=763034&amp;mavely=https://mavely.app.link/e/bhESV2wGrGb&amp;destination=https%3A%2F%2Fwww.kohls.com%2Fsearch.jsp%3Fsubmit-search%3Dweb-regular%26search%3D55860568", "Retail Link")</f>
        <v>Retail Link</v>
      </c>
      <c r="J1200" s="14" t="s">
        <v>5064</v>
      </c>
      <c r="K1200" s="13" t="s">
        <v>5078</v>
      </c>
      <c r="L1200" s="15">
        <v>6.8000000000000007</v>
      </c>
      <c r="M1200" s="15">
        <v>13.61</v>
      </c>
      <c r="N1200" s="15">
        <v>-1.051500000000003</v>
      </c>
      <c r="O1200" s="15">
        <f>V1200-M1200</f>
        <v>8.9600000000000009</v>
      </c>
      <c r="P1200" s="16">
        <f>N1200/L1200</f>
        <v>-0.15463235294117689</v>
      </c>
      <c r="Q1200" s="14"/>
      <c r="R1200" s="14"/>
      <c r="S1200" s="17">
        <v>0.48942564</v>
      </c>
      <c r="T1200" s="15">
        <v>13.61</v>
      </c>
      <c r="U1200" s="15">
        <v>17.11</v>
      </c>
      <c r="V1200" s="15">
        <v>22.57</v>
      </c>
      <c r="W1200" s="14" t="s">
        <v>40</v>
      </c>
      <c r="X1200" s="14">
        <v>13</v>
      </c>
      <c r="Y1200" s="10">
        <f>AC1200-AB1200</f>
        <v>0</v>
      </c>
      <c r="Z1200" s="18">
        <v>0</v>
      </c>
      <c r="AA1200" s="18">
        <v>72</v>
      </c>
      <c r="AB1200" s="18">
        <v>0</v>
      </c>
      <c r="AC1200" s="18"/>
      <c r="AD1200" s="1" t="s">
        <v>1452</v>
      </c>
      <c r="AE1200" s="1" t="s">
        <v>1243</v>
      </c>
      <c r="AF1200" s="4">
        <v>2.31</v>
      </c>
      <c r="AG1200" s="4">
        <v>5.82</v>
      </c>
    </row>
    <row r="1201" spans="1:33" ht="30" x14ac:dyDescent="0.25">
      <c r="A1201" s="10" t="s">
        <v>871</v>
      </c>
      <c r="B1201" s="11" t="s">
        <v>33</v>
      </c>
      <c r="C1201" s="12" t="s">
        <v>872</v>
      </c>
      <c r="D1201" s="27"/>
      <c r="E1201" s="14" t="s">
        <v>35</v>
      </c>
      <c r="F1201" s="11" t="str">
        <f>HYPERLINK("https://redirect.sdcdeals.com/redirect?destination=https%3A%2F%2Fwww.amazon.com%2Fdp%2FB0BNWH1JW9%3Fth%3D1%26psc%3D1%26tag%3Dsdcdeals03-20", "Amazon Link")</f>
        <v>Amazon Link</v>
      </c>
      <c r="G1201" s="11" t="s">
        <v>36</v>
      </c>
      <c r="H1201" s="14" t="s">
        <v>873</v>
      </c>
      <c r="I1201" s="11" t="str">
        <f>HYPERLINK("https://redirect.sdcdeals.com/redirect?code=763034&amp;mavely=https://mavely.app.link/e/bhESV2wGrGb&amp;destination=https%3A%2F%2Fwww.kohls.com%2Fsearch.jsp%3Fsubmit-search%3Dweb-regular%26search%3D20535295", "Retail Link")</f>
        <v>Retail Link</v>
      </c>
      <c r="J1201" s="14" t="s">
        <v>853</v>
      </c>
      <c r="K1201" s="13" t="s">
        <v>874</v>
      </c>
      <c r="L1201" s="15">
        <v>22.4</v>
      </c>
      <c r="M1201" s="15">
        <v>28</v>
      </c>
      <c r="N1201" s="15">
        <v>-3.7199999999999989</v>
      </c>
      <c r="O1201" s="15">
        <f>V1201-M1201</f>
        <v>15.100000000000001</v>
      </c>
      <c r="P1201" s="16">
        <f>N1201/L1201</f>
        <v>-0.16607142857142854</v>
      </c>
      <c r="Q1201" s="14">
        <v>2605453</v>
      </c>
      <c r="R1201" s="14"/>
      <c r="S1201" s="17">
        <v>0.54895037999999996</v>
      </c>
      <c r="T1201" s="15">
        <v>28</v>
      </c>
      <c r="U1201" s="15">
        <v>41.56</v>
      </c>
      <c r="V1201" s="15">
        <v>43.1</v>
      </c>
      <c r="W1201" s="14" t="s">
        <v>875</v>
      </c>
      <c r="X1201" s="14">
        <v>4</v>
      </c>
      <c r="Y1201" s="10">
        <f>AC1201-AB1201</f>
        <v>0</v>
      </c>
      <c r="Z1201" s="18">
        <v>2</v>
      </c>
      <c r="AA1201" s="18">
        <v>11</v>
      </c>
      <c r="AB1201" s="18"/>
      <c r="AC1201" s="18"/>
      <c r="AD1201" s="1" t="s">
        <v>855</v>
      </c>
      <c r="AE1201" s="1" t="s">
        <v>856</v>
      </c>
      <c r="AF1201" s="4">
        <v>4.76</v>
      </c>
      <c r="AG1201" s="4">
        <v>5.12</v>
      </c>
    </row>
    <row r="1202" spans="1:33" ht="30" x14ac:dyDescent="0.25">
      <c r="A1202" s="10" t="s">
        <v>7322</v>
      </c>
      <c r="B1202" s="11" t="s">
        <v>33</v>
      </c>
      <c r="C1202" s="12" t="s">
        <v>7323</v>
      </c>
      <c r="D1202" s="27"/>
      <c r="E1202" s="14" t="s">
        <v>35</v>
      </c>
      <c r="F1202" s="11" t="str">
        <f>HYPERLINK("https://redirect.sdcdeals.com/redirect?destination=https%3A%2F%2Fwww.amazon.com%2Fdp%2FB0BNWH31QS%3Fth%3D1%26psc%3D1%26tag%3Dsdcdeals03-20", "Amazon Link")</f>
        <v>Amazon Link</v>
      </c>
      <c r="G1202" s="11" t="s">
        <v>36</v>
      </c>
      <c r="H1202" s="14" t="s">
        <v>7324</v>
      </c>
      <c r="I1202" s="11" t="str">
        <f>HYPERLINK("https://redirect.sdcdeals.com/redirect?code=763034&amp;mavely=https://mavely.app.link/e/bhESV2wGrGb&amp;destination=https%3A%2F%2Fwww.kohls.com%2Fsearch.jsp%3Fsubmit-search%3Dweb-regular%26search%3D37212100", "Retail Link")</f>
        <v>Retail Link</v>
      </c>
      <c r="J1202" s="14" t="s">
        <v>7320</v>
      </c>
      <c r="K1202" s="13" t="s">
        <v>7325</v>
      </c>
      <c r="L1202" s="15">
        <v>22.4</v>
      </c>
      <c r="M1202" s="15">
        <v>28</v>
      </c>
      <c r="N1202" s="15">
        <v>-3.7199999999999989</v>
      </c>
      <c r="O1202" s="15">
        <f>V1202-M1202</f>
        <v>4.990000000000002</v>
      </c>
      <c r="P1202" s="16">
        <f>N1202/L1202</f>
        <v>-0.16607142857142854</v>
      </c>
      <c r="Q1202" s="14">
        <v>2582815</v>
      </c>
      <c r="R1202" s="14"/>
      <c r="S1202" s="17">
        <v>0.44974248</v>
      </c>
      <c r="T1202" s="15">
        <v>28</v>
      </c>
      <c r="U1202" s="15">
        <v>31.4</v>
      </c>
      <c r="V1202" s="15">
        <v>32.99</v>
      </c>
      <c r="W1202" s="14" t="s">
        <v>385</v>
      </c>
      <c r="X1202" s="14">
        <v>4</v>
      </c>
      <c r="Y1202" s="10">
        <f>AC1202-AB1202</f>
        <v>0</v>
      </c>
      <c r="Z1202" s="18">
        <v>2</v>
      </c>
      <c r="AA1202" s="18">
        <v>10</v>
      </c>
      <c r="AB1202" s="18"/>
      <c r="AC1202" s="18"/>
      <c r="AD1202" s="1" t="s">
        <v>855</v>
      </c>
      <c r="AE1202" s="1" t="s">
        <v>278</v>
      </c>
      <c r="AF1202" s="4">
        <v>4.76</v>
      </c>
      <c r="AG1202" s="4">
        <v>5.12</v>
      </c>
    </row>
    <row r="1203" spans="1:33" ht="30" x14ac:dyDescent="0.25">
      <c r="A1203" s="10" t="s">
        <v>1324</v>
      </c>
      <c r="B1203" s="11" t="s">
        <v>33</v>
      </c>
      <c r="C1203" s="12" t="s">
        <v>1325</v>
      </c>
      <c r="D1203" s="27"/>
      <c r="E1203" s="14" t="s">
        <v>35</v>
      </c>
      <c r="F1203" s="11" t="str">
        <f>HYPERLINK("https://redirect.sdcdeals.com/redirect?destination=https%3A%2F%2Fwww.amazon.com%2Fdp%2FB0BKR4L427%3Fth%3D1%26psc%3D1%26tag%3Dsdcdeals03-20", "Amazon Link")</f>
        <v>Amazon Link</v>
      </c>
      <c r="G1203" s="11" t="s">
        <v>36</v>
      </c>
      <c r="H1203" s="14" t="s">
        <v>1326</v>
      </c>
      <c r="I1203" s="11" t="str">
        <f>HYPERLINK("https://redirect.sdcdeals.com/redirect?code=763034&amp;mavely=https://mavely.app.link/e/bhESV2wGrGb&amp;destination=https%3A%2F%2Fwww.kohls.com%2Fsearch.jsp%3Fsubmit-search%3Dweb-regular%26search%3D54784941", "Retail Link")</f>
        <v>Retail Link</v>
      </c>
      <c r="J1203" s="14" t="s">
        <v>1327</v>
      </c>
      <c r="K1203" s="13" t="s">
        <v>1328</v>
      </c>
      <c r="L1203" s="15">
        <v>21.6</v>
      </c>
      <c r="M1203" s="15">
        <v>27.99</v>
      </c>
      <c r="N1203" s="15">
        <v>-3.7085000000000008</v>
      </c>
      <c r="O1203" s="15">
        <f>V1203-M1203</f>
        <v>7.100000000000005</v>
      </c>
      <c r="P1203" s="16">
        <f>N1203/L1203</f>
        <v>-0.17168981481481485</v>
      </c>
      <c r="Q1203" s="14">
        <v>1357110</v>
      </c>
      <c r="R1203" s="14"/>
      <c r="S1203" s="17">
        <v>0.66138600000000003</v>
      </c>
      <c r="T1203" s="15">
        <v>27.99</v>
      </c>
      <c r="U1203" s="15">
        <v>28.56</v>
      </c>
      <c r="V1203" s="15">
        <v>35.090000000000003</v>
      </c>
      <c r="W1203" s="14" t="s">
        <v>60</v>
      </c>
      <c r="X1203" s="14">
        <v>4</v>
      </c>
      <c r="Y1203" s="10">
        <f>AC1203-AB1203</f>
        <v>0</v>
      </c>
      <c r="Z1203" s="18">
        <v>9</v>
      </c>
      <c r="AA1203" s="18">
        <v>40</v>
      </c>
      <c r="AB1203" s="18">
        <v>0</v>
      </c>
      <c r="AC1203" s="18"/>
      <c r="AD1203" s="1" t="s">
        <v>1329</v>
      </c>
      <c r="AE1203" s="1" t="s">
        <v>1330</v>
      </c>
      <c r="AF1203" s="4">
        <v>4.76</v>
      </c>
      <c r="AG1203" s="4">
        <v>5.9</v>
      </c>
    </row>
    <row r="1204" spans="1:33" ht="30" x14ac:dyDescent="0.25">
      <c r="A1204" s="10" t="s">
        <v>2905</v>
      </c>
      <c r="B1204" s="11" t="s">
        <v>33</v>
      </c>
      <c r="C1204" s="12" t="s">
        <v>2906</v>
      </c>
      <c r="D1204" s="27"/>
      <c r="E1204" s="14" t="s">
        <v>35</v>
      </c>
      <c r="F1204" s="11" t="str">
        <f>HYPERLINK("https://redirect.sdcdeals.com/redirect?destination=https%3A%2F%2Fwww.amazon.com%2Fdp%2FB09KMFX9QQ%3Fth%3D1%26psc%3D1%26tag%3Dsdcdeals03-20", "Amazon Link")</f>
        <v>Amazon Link</v>
      </c>
      <c r="G1204" s="11" t="s">
        <v>36</v>
      </c>
      <c r="H1204" s="14" t="s">
        <v>2907</v>
      </c>
      <c r="I1204" s="11" t="str">
        <f>HYPERLINK("https://redirect.sdcdeals.com/redirect?code=763034&amp;mavely=https://mavely.app.link/e/bhESV2wGrGb&amp;destination=https%3A%2F%2Fwww.kohls.com%2Fsearch.jsp%3Fsubmit-search%3Dweb-regular%26search%3D61935451", "Retail Link")</f>
        <v>Retail Link</v>
      </c>
      <c r="J1204" s="14" t="s">
        <v>2908</v>
      </c>
      <c r="K1204" s="13" t="s">
        <v>2909</v>
      </c>
      <c r="L1204" s="15">
        <v>57.2</v>
      </c>
      <c r="M1204" s="15">
        <v>71.5</v>
      </c>
      <c r="N1204" s="15">
        <v>-9.835000000000008</v>
      </c>
      <c r="O1204" s="15">
        <f>V1204-M1204</f>
        <v>55.25</v>
      </c>
      <c r="P1204" s="16">
        <f>N1204/L1204</f>
        <v>-0.17194055944055958</v>
      </c>
      <c r="Q1204" s="14">
        <v>792759</v>
      </c>
      <c r="R1204" s="14"/>
      <c r="S1204" s="17">
        <v>2.6896363999999999</v>
      </c>
      <c r="T1204" s="15">
        <v>71.5</v>
      </c>
      <c r="U1204" s="15">
        <v>126.53</v>
      </c>
      <c r="V1204" s="15">
        <v>126.75</v>
      </c>
      <c r="W1204" s="14" t="s">
        <v>2910</v>
      </c>
      <c r="X1204" s="14">
        <v>3</v>
      </c>
      <c r="Y1204" s="10">
        <f>AC1204-AB1204</f>
        <v>8</v>
      </c>
      <c r="Z1204" s="18">
        <v>12</v>
      </c>
      <c r="AA1204" s="18">
        <v>33</v>
      </c>
      <c r="AB1204" s="18">
        <v>1</v>
      </c>
      <c r="AC1204" s="18">
        <v>9</v>
      </c>
      <c r="AD1204" s="1" t="s">
        <v>2911</v>
      </c>
      <c r="AE1204" s="1" t="s">
        <v>76</v>
      </c>
      <c r="AF1204" s="4">
        <v>12.16</v>
      </c>
      <c r="AG1204" s="4">
        <v>13.41</v>
      </c>
    </row>
    <row r="1205" spans="1:33" ht="30" x14ac:dyDescent="0.25">
      <c r="A1205" s="10" t="s">
        <v>317</v>
      </c>
      <c r="B1205" s="11" t="s">
        <v>33</v>
      </c>
      <c r="C1205" s="12" t="s">
        <v>318</v>
      </c>
      <c r="D1205" s="27"/>
      <c r="E1205" s="14" t="s">
        <v>35</v>
      </c>
      <c r="F1205" s="11" t="str">
        <f>HYPERLINK("https://redirect.sdcdeals.com/redirect?destination=https%3A%2F%2Fwww.amazon.com%2Fdp%2FB0BM1HT5F7%3Fth%3D1%26psc%3D1%26tag%3Dsdcdeals03-20", "Amazon Link")</f>
        <v>Amazon Link</v>
      </c>
      <c r="G1205" s="11" t="s">
        <v>36</v>
      </c>
      <c r="H1205" s="14" t="s">
        <v>319</v>
      </c>
      <c r="I1205" s="11" t="str">
        <f>HYPERLINK("https://redirect.sdcdeals.com/redirect?code=763034&amp;mavely=https://mavely.app.link/e/bhESV2wGrGb&amp;destination=https%3A%2F%2Fwww.kohls.com%2Fsearch.jsp%3Fsubmit-search%3Dweb-regular%26search%3D45976760", "Retail Link")</f>
        <v>Retail Link</v>
      </c>
      <c r="J1205" s="14" t="s">
        <v>294</v>
      </c>
      <c r="K1205" s="13" t="s">
        <v>320</v>
      </c>
      <c r="L1205" s="15">
        <v>9.5920000000000005</v>
      </c>
      <c r="M1205" s="15">
        <v>21.99</v>
      </c>
      <c r="N1205" s="15">
        <v>-1.650500000000003</v>
      </c>
      <c r="O1205" s="15">
        <f>V1205-M1205</f>
        <v>4.240000000000002</v>
      </c>
      <c r="P1205" s="16">
        <f>N1205/L1205</f>
        <v>-0.17207047539616377</v>
      </c>
      <c r="Q1205" s="14">
        <v>88694</v>
      </c>
      <c r="R1205" s="14"/>
      <c r="S1205" s="17">
        <v>0.24030357999999999</v>
      </c>
      <c r="T1205" s="15">
        <v>15</v>
      </c>
      <c r="U1205" s="15">
        <v>22.47</v>
      </c>
      <c r="V1205" s="15">
        <v>26.23</v>
      </c>
      <c r="W1205" s="14" t="s">
        <v>321</v>
      </c>
      <c r="X1205" s="14">
        <v>2</v>
      </c>
      <c r="Y1205" s="10">
        <f>AC1205-AB1205</f>
        <v>74</v>
      </c>
      <c r="Z1205" s="18">
        <v>16</v>
      </c>
      <c r="AA1205" s="18">
        <v>46</v>
      </c>
      <c r="AB1205" s="18">
        <v>3</v>
      </c>
      <c r="AC1205" s="18">
        <v>77</v>
      </c>
      <c r="AE1205" s="1" t="s">
        <v>145</v>
      </c>
      <c r="AF1205" s="4">
        <v>3.3</v>
      </c>
      <c r="AG1205" s="4">
        <v>10.75</v>
      </c>
    </row>
    <row r="1206" spans="1:33" ht="30" x14ac:dyDescent="0.25">
      <c r="A1206" s="10" t="s">
        <v>4743</v>
      </c>
      <c r="B1206" s="11" t="s">
        <v>33</v>
      </c>
      <c r="C1206" s="12" t="s">
        <v>4744</v>
      </c>
      <c r="D1206" s="27"/>
      <c r="E1206" s="14" t="s">
        <v>35</v>
      </c>
      <c r="F1206" s="11" t="str">
        <f>HYPERLINK("https://redirect.sdcdeals.com/redirect?destination=https%3A%2F%2Fwww.amazon.com%2Fdp%2FB0CFQ4M6W4%3Fth%3D1%26psc%3D1%26tag%3Dsdcdeals03-20", "Amazon Link")</f>
        <v>Amazon Link</v>
      </c>
      <c r="G1206" s="11" t="s">
        <v>36</v>
      </c>
      <c r="H1206" s="14" t="s">
        <v>4745</v>
      </c>
      <c r="I1206" s="11" t="str">
        <f>HYPERLINK("https://redirect.sdcdeals.com/redirect?code=763034&amp;mavely=https://mavely.app.link/e/bhESV2wGrGb&amp;destination=https%3A%2F%2Fwww.kohls.com%2Fsearch.jsp%3Fsubmit-search%3Dweb-regular%26search%3D28257905", "Retail Link")</f>
        <v>Retail Link</v>
      </c>
      <c r="J1206" s="14" t="s">
        <v>4698</v>
      </c>
      <c r="K1206" s="13" t="s">
        <v>4746</v>
      </c>
      <c r="L1206" s="15">
        <v>54.776000000000003</v>
      </c>
      <c r="M1206" s="15">
        <v>68.47</v>
      </c>
      <c r="N1206" s="15">
        <v>-9.9864999999999995</v>
      </c>
      <c r="O1206" s="15">
        <f>V1206-M1206</f>
        <v>41.989999999999995</v>
      </c>
      <c r="P1206" s="16">
        <f>N1206/L1206</f>
        <v>-0.18231524755367312</v>
      </c>
      <c r="Q1206" s="14">
        <v>4146257</v>
      </c>
      <c r="R1206" s="14"/>
      <c r="S1206" s="17">
        <v>2.3920127</v>
      </c>
      <c r="T1206" s="15">
        <v>68.47</v>
      </c>
      <c r="U1206" s="15">
        <v>113.61</v>
      </c>
      <c r="V1206" s="15">
        <v>110.46</v>
      </c>
      <c r="W1206" s="14" t="s">
        <v>330</v>
      </c>
      <c r="X1206" s="14">
        <v>2</v>
      </c>
      <c r="Y1206" s="10">
        <f>AC1206-AB1206</f>
        <v>1</v>
      </c>
      <c r="Z1206" s="18">
        <v>1</v>
      </c>
      <c r="AA1206" s="18">
        <v>6</v>
      </c>
      <c r="AB1206" s="18">
        <v>0</v>
      </c>
      <c r="AC1206" s="18">
        <v>1</v>
      </c>
      <c r="AD1206" s="1" t="s">
        <v>4747</v>
      </c>
      <c r="AE1206" s="1" t="s">
        <v>4701</v>
      </c>
      <c r="AF1206" s="4">
        <v>11.64</v>
      </c>
      <c r="AG1206" s="4">
        <v>13.41</v>
      </c>
    </row>
    <row r="1207" spans="1:33" ht="30" x14ac:dyDescent="0.25">
      <c r="A1207" s="10" t="s">
        <v>2974</v>
      </c>
      <c r="B1207" s="11" t="s">
        <v>33</v>
      </c>
      <c r="C1207" s="12" t="s">
        <v>2975</v>
      </c>
      <c r="D1207" s="27"/>
      <c r="E1207" s="14" t="s">
        <v>35</v>
      </c>
      <c r="F1207" s="11" t="str">
        <f>HYPERLINK("https://redirect.sdcdeals.com/redirect?destination=https%3A%2F%2Fwww.amazon.com%2Fdp%2FB09KMGW1B8%3Fth%3D1%26psc%3D1%26tag%3Dsdcdeals03-20", "Amazon Link")</f>
        <v>Amazon Link</v>
      </c>
      <c r="G1207" s="11" t="s">
        <v>36</v>
      </c>
      <c r="H1207" s="14" t="s">
        <v>2976</v>
      </c>
      <c r="I1207" s="11" t="str">
        <f>HYPERLINK("https://redirect.sdcdeals.com/redirect?code=763034&amp;mavely=https://mavely.app.link/e/bhESV2wGrGb&amp;destination=https%3A%2F%2Fwww.kohls.com%2Fsearch.jsp%3Fsubmit-search%3Dweb-regular%26search%3D61935483", "Retail Link")</f>
        <v>Retail Link</v>
      </c>
      <c r="J1207" s="14" t="s">
        <v>2908</v>
      </c>
      <c r="K1207" s="13" t="s">
        <v>2977</v>
      </c>
      <c r="L1207" s="15">
        <v>57.2</v>
      </c>
      <c r="M1207" s="15">
        <v>70.92</v>
      </c>
      <c r="N1207" s="15">
        <v>-10.708000000000011</v>
      </c>
      <c r="O1207" s="15">
        <f>V1207-M1207</f>
        <v>32.86</v>
      </c>
      <c r="P1207" s="16">
        <f>N1207/L1207</f>
        <v>-0.18720279720279739</v>
      </c>
      <c r="Q1207" s="14">
        <v>824673</v>
      </c>
      <c r="R1207" s="14"/>
      <c r="S1207" s="17">
        <v>3.4193656200000002</v>
      </c>
      <c r="T1207" s="15">
        <v>70.92</v>
      </c>
      <c r="U1207" s="15">
        <v>90.21</v>
      </c>
      <c r="V1207" s="15">
        <v>103.78</v>
      </c>
      <c r="W1207" s="14" t="s">
        <v>53</v>
      </c>
      <c r="X1207" s="14">
        <v>3</v>
      </c>
      <c r="Y1207" s="10">
        <f>AC1207-AB1207</f>
        <v>8</v>
      </c>
      <c r="Z1207" s="18">
        <v>8</v>
      </c>
      <c r="AA1207" s="18">
        <v>23</v>
      </c>
      <c r="AB1207" s="18">
        <v>1</v>
      </c>
      <c r="AC1207" s="18">
        <v>9</v>
      </c>
      <c r="AD1207" s="1" t="s">
        <v>2911</v>
      </c>
      <c r="AE1207" s="1" t="s">
        <v>1211</v>
      </c>
      <c r="AF1207" s="4">
        <v>12.06</v>
      </c>
      <c r="AG1207" s="4">
        <v>13.79</v>
      </c>
    </row>
    <row r="1208" spans="1:33" ht="30" x14ac:dyDescent="0.25">
      <c r="A1208" s="10" t="s">
        <v>4713</v>
      </c>
      <c r="B1208" s="11" t="s">
        <v>33</v>
      </c>
      <c r="C1208" s="12" t="s">
        <v>4714</v>
      </c>
      <c r="D1208" s="27"/>
      <c r="E1208" s="14" t="s">
        <v>35</v>
      </c>
      <c r="F1208" s="11" t="str">
        <f>HYPERLINK("https://redirect.sdcdeals.com/redirect?destination=https%3A%2F%2Fwww.amazon.com%2Fdp%2FB0CFQ4MSFL%3Fth%3D1%26psc%3D1%26tag%3Dsdcdeals03-20", "Amazon Link")</f>
        <v>Amazon Link</v>
      </c>
      <c r="G1208" s="11" t="s">
        <v>36</v>
      </c>
      <c r="H1208" s="14" t="s">
        <v>4715</v>
      </c>
      <c r="I1208" s="11" t="str">
        <f>HYPERLINK("https://redirect.sdcdeals.com/redirect?code=763034&amp;mavely=https://mavely.app.link/e/bhESV2wGrGb&amp;destination=https%3A%2F%2Fwww.kohls.com%2Fsearch.jsp%3Fsubmit-search%3Dweb-regular%26search%3D28257903", "Retail Link")</f>
        <v>Retail Link</v>
      </c>
      <c r="J1208" s="14" t="s">
        <v>4698</v>
      </c>
      <c r="K1208" s="13" t="s">
        <v>4716</v>
      </c>
      <c r="L1208" s="15">
        <v>54.776000000000003</v>
      </c>
      <c r="M1208" s="15">
        <v>68.47</v>
      </c>
      <c r="N1208" s="15">
        <v>-10.746499999999999</v>
      </c>
      <c r="O1208" s="15">
        <f>V1208-M1208</f>
        <v>46.33</v>
      </c>
      <c r="P1208" s="16">
        <f>N1208/L1208</f>
        <v>-0.19618993719877317</v>
      </c>
      <c r="Q1208" s="14">
        <v>4156463</v>
      </c>
      <c r="R1208" s="14"/>
      <c r="S1208" s="17">
        <v>2.2928047999999999</v>
      </c>
      <c r="T1208" s="15">
        <v>68.47</v>
      </c>
      <c r="U1208" s="15">
        <v>120.72</v>
      </c>
      <c r="V1208" s="15">
        <v>114.8</v>
      </c>
      <c r="W1208" s="14" t="s">
        <v>359</v>
      </c>
      <c r="X1208" s="14">
        <v>2</v>
      </c>
      <c r="Y1208" s="10">
        <f>AC1208-AB1208</f>
        <v>0</v>
      </c>
      <c r="Z1208" s="18">
        <v>1</v>
      </c>
      <c r="AA1208" s="18">
        <v>6</v>
      </c>
      <c r="AB1208" s="18"/>
      <c r="AC1208" s="18"/>
      <c r="AD1208" s="1" t="s">
        <v>4717</v>
      </c>
      <c r="AE1208" s="1" t="s">
        <v>4701</v>
      </c>
      <c r="AF1208" s="4">
        <v>11.64</v>
      </c>
      <c r="AG1208" s="4">
        <v>14.17</v>
      </c>
    </row>
    <row r="1209" spans="1:33" ht="30" x14ac:dyDescent="0.25">
      <c r="A1209" s="10" t="s">
        <v>4718</v>
      </c>
      <c r="B1209" s="11" t="s">
        <v>33</v>
      </c>
      <c r="C1209" s="12" t="s">
        <v>4719</v>
      </c>
      <c r="D1209" s="27"/>
      <c r="E1209" s="14" t="s">
        <v>35</v>
      </c>
      <c r="F1209" s="11" t="str">
        <f>HYPERLINK("https://redirect.sdcdeals.com/redirect?destination=https%3A%2F%2Fwww.amazon.com%2Fdp%2FB0CFQ46WTP%3Fth%3D1%26psc%3D1%26tag%3Dsdcdeals03-20", "Amazon Link")</f>
        <v>Amazon Link</v>
      </c>
      <c r="G1209" s="11" t="s">
        <v>36</v>
      </c>
      <c r="H1209" s="14" t="s">
        <v>4720</v>
      </c>
      <c r="I1209" s="11" t="str">
        <f>HYPERLINK("https://redirect.sdcdeals.com/redirect?code=763034&amp;mavely=https://mavely.app.link/e/bhESV2wGrGb&amp;destination=https%3A%2F%2Fwww.kohls.com%2Fsearch.jsp%3Fsubmit-search%3Dweb-regular%26search%3D28257896", "Retail Link")</f>
        <v>Retail Link</v>
      </c>
      <c r="J1209" s="14" t="s">
        <v>4698</v>
      </c>
      <c r="K1209" s="13" t="s">
        <v>4721</v>
      </c>
      <c r="L1209" s="15">
        <v>54.776000000000003</v>
      </c>
      <c r="M1209" s="15">
        <v>68.47</v>
      </c>
      <c r="N1209" s="15">
        <v>-10.746499999999999</v>
      </c>
      <c r="O1209" s="15">
        <f>V1209-M1209</f>
        <v>43.210000000000008</v>
      </c>
      <c r="P1209" s="16">
        <f>N1209/L1209</f>
        <v>-0.19618993719877317</v>
      </c>
      <c r="Q1209" s="14">
        <v>4164238</v>
      </c>
      <c r="R1209" s="14"/>
      <c r="S1209" s="17">
        <v>2.2928047999999999</v>
      </c>
      <c r="T1209" s="15">
        <v>68.47</v>
      </c>
      <c r="U1209" s="15">
        <v>116.99</v>
      </c>
      <c r="V1209" s="15">
        <v>111.68</v>
      </c>
      <c r="W1209" s="14" t="s">
        <v>2253</v>
      </c>
      <c r="X1209" s="14">
        <v>2</v>
      </c>
      <c r="Y1209" s="10">
        <f>AC1209-AB1209</f>
        <v>1</v>
      </c>
      <c r="Z1209" s="18">
        <v>1</v>
      </c>
      <c r="AA1209" s="18">
        <v>6</v>
      </c>
      <c r="AB1209" s="18">
        <v>0</v>
      </c>
      <c r="AC1209" s="18">
        <v>1</v>
      </c>
      <c r="AD1209" s="1" t="s">
        <v>4722</v>
      </c>
      <c r="AE1209" s="1" t="s">
        <v>4712</v>
      </c>
      <c r="AF1209" s="4">
        <v>11.64</v>
      </c>
      <c r="AG1209" s="4">
        <v>14.17</v>
      </c>
    </row>
    <row r="1210" spans="1:33" ht="30" x14ac:dyDescent="0.25">
      <c r="A1210" s="10" t="s">
        <v>4723</v>
      </c>
      <c r="B1210" s="11" t="s">
        <v>33</v>
      </c>
      <c r="C1210" s="12" t="s">
        <v>4724</v>
      </c>
      <c r="D1210" s="27"/>
      <c r="E1210" s="14" t="s">
        <v>35</v>
      </c>
      <c r="F1210" s="11" t="str">
        <f>HYPERLINK("https://redirect.sdcdeals.com/redirect?destination=https%3A%2F%2Fwww.amazon.com%2Fdp%2FB0CFQ28GF7%3Fth%3D1%26psc%3D1%26tag%3Dsdcdeals03-20", "Amazon Link")</f>
        <v>Amazon Link</v>
      </c>
      <c r="G1210" s="11" t="s">
        <v>36</v>
      </c>
      <c r="H1210" s="14" t="s">
        <v>4725</v>
      </c>
      <c r="I1210" s="11" t="str">
        <f>HYPERLINK("https://redirect.sdcdeals.com/redirect?code=763034&amp;mavely=https://mavely.app.link/e/bhESV2wGrGb&amp;destination=https%3A%2F%2Fwww.kohls.com%2Fsearch.jsp%3Fsubmit-search%3Dweb-regular%26search%3D28257891", "Retail Link")</f>
        <v>Retail Link</v>
      </c>
      <c r="J1210" s="14" t="s">
        <v>4698</v>
      </c>
      <c r="K1210" s="13" t="s">
        <v>4726</v>
      </c>
      <c r="L1210" s="15">
        <v>54.776000000000003</v>
      </c>
      <c r="M1210" s="15">
        <v>68.47</v>
      </c>
      <c r="N1210" s="15">
        <v>-10.746499999999999</v>
      </c>
      <c r="O1210" s="15">
        <f>V1210-M1210</f>
        <v>52.010000000000005</v>
      </c>
      <c r="P1210" s="16">
        <f>N1210/L1210</f>
        <v>-0.19618993719877317</v>
      </c>
      <c r="Q1210" s="14">
        <v>4164238</v>
      </c>
      <c r="R1210" s="14"/>
      <c r="S1210" s="17">
        <v>2.2928047999999999</v>
      </c>
      <c r="T1210" s="15">
        <v>68.47</v>
      </c>
      <c r="U1210" s="15">
        <v>123.56</v>
      </c>
      <c r="V1210" s="15">
        <v>120.48</v>
      </c>
      <c r="W1210" s="14" t="s">
        <v>516</v>
      </c>
      <c r="X1210" s="14">
        <v>2</v>
      </c>
      <c r="Y1210" s="10">
        <f>AC1210-AB1210</f>
        <v>1</v>
      </c>
      <c r="Z1210" s="18">
        <v>1</v>
      </c>
      <c r="AA1210" s="18">
        <v>5</v>
      </c>
      <c r="AB1210" s="18">
        <v>0</v>
      </c>
      <c r="AC1210" s="18">
        <v>1</v>
      </c>
      <c r="AD1210" s="1" t="s">
        <v>4727</v>
      </c>
      <c r="AE1210" s="1" t="s">
        <v>76</v>
      </c>
      <c r="AF1210" s="4">
        <v>11.64</v>
      </c>
      <c r="AG1210" s="4">
        <v>14.17</v>
      </c>
    </row>
    <row r="1211" spans="1:33" ht="30" x14ac:dyDescent="0.25">
      <c r="A1211" s="10" t="s">
        <v>4728</v>
      </c>
      <c r="B1211" s="11" t="s">
        <v>33</v>
      </c>
      <c r="C1211" s="12" t="s">
        <v>4729</v>
      </c>
      <c r="D1211" s="27"/>
      <c r="E1211" s="14" t="s">
        <v>35</v>
      </c>
      <c r="F1211" s="11" t="str">
        <f>HYPERLINK("https://redirect.sdcdeals.com/redirect?destination=https%3A%2F%2Fwww.amazon.com%2Fdp%2FB0CFQ2PS66%3Fth%3D1%26psc%3D1%26tag%3Dsdcdeals03-20", "Amazon Link")</f>
        <v>Amazon Link</v>
      </c>
      <c r="G1211" s="11" t="s">
        <v>36</v>
      </c>
      <c r="H1211" s="14" t="s">
        <v>4730</v>
      </c>
      <c r="I1211" s="11" t="str">
        <f>HYPERLINK("https://redirect.sdcdeals.com/redirect?code=763034&amp;mavely=https://mavely.app.link/e/bhESV2wGrGb&amp;destination=https%3A%2F%2Fwww.kohls.com%2Fsearch.jsp%3Fsubmit-search%3Dweb-regular%26search%3D28257897", "Retail Link")</f>
        <v>Retail Link</v>
      </c>
      <c r="J1211" s="14" t="s">
        <v>4698</v>
      </c>
      <c r="K1211" s="13" t="s">
        <v>4731</v>
      </c>
      <c r="L1211" s="15">
        <v>54.776000000000003</v>
      </c>
      <c r="M1211" s="15">
        <v>68.47</v>
      </c>
      <c r="N1211" s="15">
        <v>-10.746499999999999</v>
      </c>
      <c r="O1211" s="15">
        <f>V1211-M1211</f>
        <v>45.17</v>
      </c>
      <c r="P1211" s="16">
        <f>N1211/L1211</f>
        <v>-0.19618993719877317</v>
      </c>
      <c r="Q1211" s="14">
        <v>4164238</v>
      </c>
      <c r="R1211" s="14"/>
      <c r="S1211" s="17">
        <v>2.2928047999999999</v>
      </c>
      <c r="T1211" s="15">
        <v>68.47</v>
      </c>
      <c r="U1211" s="15">
        <v>117.33</v>
      </c>
      <c r="V1211" s="15">
        <v>113.64</v>
      </c>
      <c r="W1211" s="14" t="s">
        <v>106</v>
      </c>
      <c r="X1211" s="14">
        <v>2</v>
      </c>
      <c r="Y1211" s="10">
        <f>AC1211-AB1211</f>
        <v>1</v>
      </c>
      <c r="Z1211" s="18">
        <v>1</v>
      </c>
      <c r="AA1211" s="18">
        <v>7</v>
      </c>
      <c r="AB1211" s="18">
        <v>0</v>
      </c>
      <c r="AC1211" s="18">
        <v>1</v>
      </c>
      <c r="AD1211" s="1" t="s">
        <v>4732</v>
      </c>
      <c r="AE1211" s="1" t="s">
        <v>4712</v>
      </c>
      <c r="AF1211" s="4">
        <v>11.64</v>
      </c>
      <c r="AG1211" s="4">
        <v>14.17</v>
      </c>
    </row>
    <row r="1212" spans="1:33" ht="30" x14ac:dyDescent="0.25">
      <c r="A1212" s="10" t="s">
        <v>4733</v>
      </c>
      <c r="B1212" s="11" t="s">
        <v>33</v>
      </c>
      <c r="C1212" s="12" t="s">
        <v>4734</v>
      </c>
      <c r="D1212" s="27"/>
      <c r="E1212" s="14" t="s">
        <v>35</v>
      </c>
      <c r="F1212" s="11" t="str">
        <f>HYPERLINK("https://redirect.sdcdeals.com/redirect?destination=https%3A%2F%2Fwww.amazon.com%2Fdp%2FB0CFQ2Q24B%3Fth%3D1%26psc%3D1%26tag%3Dsdcdeals03-20", "Amazon Link")</f>
        <v>Amazon Link</v>
      </c>
      <c r="G1212" s="11" t="s">
        <v>36</v>
      </c>
      <c r="H1212" s="14" t="s">
        <v>4735</v>
      </c>
      <c r="I1212" s="11" t="str">
        <f>HYPERLINK("https://redirect.sdcdeals.com/redirect?code=763034&amp;mavely=https://mavely.app.link/e/bhESV2wGrGb&amp;destination=https%3A%2F%2Fwww.kohls.com%2Fsearch.jsp%3Fsubmit-search%3Dweb-regular%26search%3D28257892", "Retail Link")</f>
        <v>Retail Link</v>
      </c>
      <c r="J1212" s="14" t="s">
        <v>4698</v>
      </c>
      <c r="K1212" s="13" t="s">
        <v>4736</v>
      </c>
      <c r="L1212" s="15">
        <v>54.776000000000003</v>
      </c>
      <c r="M1212" s="15">
        <v>68.47</v>
      </c>
      <c r="N1212" s="15">
        <v>-10.746499999999999</v>
      </c>
      <c r="O1212" s="15">
        <f>V1212-M1212</f>
        <v>45.59</v>
      </c>
      <c r="P1212" s="16">
        <f>N1212/L1212</f>
        <v>-0.19618993719877317</v>
      </c>
      <c r="Q1212" s="14">
        <v>4156463</v>
      </c>
      <c r="R1212" s="14"/>
      <c r="S1212" s="17">
        <v>2.2928047999999999</v>
      </c>
      <c r="T1212" s="15">
        <v>68.47</v>
      </c>
      <c r="U1212" s="15">
        <v>120.07</v>
      </c>
      <c r="V1212" s="15">
        <v>114.06</v>
      </c>
      <c r="W1212" s="14" t="s">
        <v>582</v>
      </c>
      <c r="X1212" s="14">
        <v>2</v>
      </c>
      <c r="Y1212" s="10">
        <f>AC1212-AB1212</f>
        <v>0</v>
      </c>
      <c r="Z1212" s="18">
        <v>1</v>
      </c>
      <c r="AA1212" s="18">
        <v>7</v>
      </c>
      <c r="AB1212" s="18">
        <v>1</v>
      </c>
      <c r="AC1212" s="18">
        <v>1</v>
      </c>
      <c r="AD1212" s="1" t="s">
        <v>4737</v>
      </c>
      <c r="AE1212" s="1" t="s">
        <v>76</v>
      </c>
      <c r="AF1212" s="4">
        <v>11.64</v>
      </c>
      <c r="AG1212" s="4">
        <v>14.17</v>
      </c>
    </row>
    <row r="1213" spans="1:33" ht="30" x14ac:dyDescent="0.25">
      <c r="A1213" s="10" t="s">
        <v>4738</v>
      </c>
      <c r="B1213" s="11" t="s">
        <v>33</v>
      </c>
      <c r="C1213" s="12" t="s">
        <v>4739</v>
      </c>
      <c r="D1213" s="27"/>
      <c r="E1213" s="14" t="s">
        <v>35</v>
      </c>
      <c r="F1213" s="11" t="str">
        <f>HYPERLINK("https://redirect.sdcdeals.com/redirect?destination=https%3A%2F%2Fwww.amazon.com%2Fdp%2FB0CFQ57VH6%3Fth%3D1%26psc%3D1%26tag%3Dsdcdeals03-20", "Amazon Link")</f>
        <v>Amazon Link</v>
      </c>
      <c r="G1213" s="11" t="s">
        <v>36</v>
      </c>
      <c r="H1213" s="14" t="s">
        <v>4740</v>
      </c>
      <c r="I1213" s="11" t="str">
        <f>HYPERLINK("https://redirect.sdcdeals.com/redirect?code=763034&amp;mavely=https://mavely.app.link/e/bhESV2wGrGb&amp;destination=https%3A%2F%2Fwww.kohls.com%2Fsearch.jsp%3Fsubmit-search%3Dweb-regular%26search%3D28257898", "Retail Link")</f>
        <v>Retail Link</v>
      </c>
      <c r="J1213" s="14" t="s">
        <v>4698</v>
      </c>
      <c r="K1213" s="13" t="s">
        <v>4741</v>
      </c>
      <c r="L1213" s="15">
        <v>54.776000000000003</v>
      </c>
      <c r="M1213" s="15">
        <v>68.47</v>
      </c>
      <c r="N1213" s="15">
        <v>-10.746499999999999</v>
      </c>
      <c r="O1213" s="15">
        <f>V1213-M1213</f>
        <v>52.81</v>
      </c>
      <c r="P1213" s="16">
        <f>N1213/L1213</f>
        <v>-0.19618993719877317</v>
      </c>
      <c r="Q1213" s="14">
        <v>4156463</v>
      </c>
      <c r="R1213" s="14"/>
      <c r="S1213" s="17">
        <v>2.2928047999999999</v>
      </c>
      <c r="T1213" s="15">
        <v>68.47</v>
      </c>
      <c r="U1213" s="15">
        <v>119.54</v>
      </c>
      <c r="V1213" s="15">
        <v>121.28</v>
      </c>
      <c r="W1213" s="14" t="s">
        <v>290</v>
      </c>
      <c r="X1213" s="14">
        <v>2</v>
      </c>
      <c r="Y1213" s="10">
        <f>AC1213-AB1213</f>
        <v>1</v>
      </c>
      <c r="Z1213" s="18">
        <v>1</v>
      </c>
      <c r="AA1213" s="18">
        <v>6</v>
      </c>
      <c r="AB1213" s="18">
        <v>0</v>
      </c>
      <c r="AC1213" s="18">
        <v>1</v>
      </c>
      <c r="AD1213" s="1" t="s">
        <v>4742</v>
      </c>
      <c r="AE1213" s="1" t="s">
        <v>4712</v>
      </c>
      <c r="AF1213" s="4">
        <v>11.64</v>
      </c>
      <c r="AG1213" s="4">
        <v>14.17</v>
      </c>
    </row>
    <row r="1214" spans="1:33" ht="30" x14ac:dyDescent="0.25">
      <c r="A1214" s="10" t="s">
        <v>4748</v>
      </c>
      <c r="B1214" s="11" t="s">
        <v>33</v>
      </c>
      <c r="C1214" s="12" t="s">
        <v>4749</v>
      </c>
      <c r="D1214" s="27"/>
      <c r="E1214" s="14" t="s">
        <v>35</v>
      </c>
      <c r="F1214" s="11" t="str">
        <f>HYPERLINK("https://redirect.sdcdeals.com/redirect?destination=https%3A%2F%2Fwww.amazon.com%2Fdp%2FB0CFQ46R7W%3Fth%3D1%26psc%3D1%26tag%3Dsdcdeals03-20", "Amazon Link")</f>
        <v>Amazon Link</v>
      </c>
      <c r="G1214" s="11" t="s">
        <v>36</v>
      </c>
      <c r="H1214" s="14" t="s">
        <v>4750</v>
      </c>
      <c r="I1214" s="11" t="str">
        <f>HYPERLINK("https://redirect.sdcdeals.com/redirect?code=763034&amp;mavely=https://mavely.app.link/e/bhESV2wGrGb&amp;destination=https%3A%2F%2Fwww.kohls.com%2Fsearch.jsp%3Fsubmit-search%3Dweb-regular%26search%3D28257899", "Retail Link")</f>
        <v>Retail Link</v>
      </c>
      <c r="J1214" s="14" t="s">
        <v>4698</v>
      </c>
      <c r="K1214" s="13" t="s">
        <v>4751</v>
      </c>
      <c r="L1214" s="15">
        <v>54.776000000000003</v>
      </c>
      <c r="M1214" s="15">
        <v>68.47</v>
      </c>
      <c r="N1214" s="15">
        <v>-10.746499999999999</v>
      </c>
      <c r="O1214" s="15">
        <f>V1214-M1214</f>
        <v>46.84</v>
      </c>
      <c r="P1214" s="16">
        <f>N1214/L1214</f>
        <v>-0.19618993719877317</v>
      </c>
      <c r="Q1214" s="14">
        <v>4164238</v>
      </c>
      <c r="R1214" s="14"/>
      <c r="S1214" s="17">
        <v>2.2928047999999999</v>
      </c>
      <c r="T1214" s="15">
        <v>68.47</v>
      </c>
      <c r="U1214" s="15">
        <v>120.52</v>
      </c>
      <c r="V1214" s="15">
        <v>115.31</v>
      </c>
      <c r="W1214" s="14" t="s">
        <v>199</v>
      </c>
      <c r="X1214" s="14">
        <v>1</v>
      </c>
      <c r="Y1214" s="10">
        <f>AC1214-AB1214</f>
        <v>0</v>
      </c>
      <c r="Z1214" s="18">
        <v>1</v>
      </c>
      <c r="AA1214" s="18">
        <v>6</v>
      </c>
      <c r="AB1214" s="18"/>
      <c r="AC1214" s="18"/>
      <c r="AD1214" s="1" t="s">
        <v>4752</v>
      </c>
      <c r="AE1214" s="1" t="s">
        <v>4712</v>
      </c>
      <c r="AF1214" s="4">
        <v>11.64</v>
      </c>
      <c r="AG1214" s="4">
        <v>14.17</v>
      </c>
    </row>
    <row r="1215" spans="1:33" ht="30" x14ac:dyDescent="0.25">
      <c r="A1215" s="10" t="s">
        <v>4753</v>
      </c>
      <c r="B1215" s="11" t="s">
        <v>33</v>
      </c>
      <c r="C1215" s="12" t="s">
        <v>4754</v>
      </c>
      <c r="D1215" s="27"/>
      <c r="E1215" s="14" t="s">
        <v>35</v>
      </c>
      <c r="F1215" s="11" t="str">
        <f>HYPERLINK("https://redirect.sdcdeals.com/redirect?destination=https%3A%2F%2Fwww.amazon.com%2Fdp%2FB0CFQ4V5HQ%3Fth%3D1%26psc%3D1%26tag%3Dsdcdeals03-20", "Amazon Link")</f>
        <v>Amazon Link</v>
      </c>
      <c r="G1215" s="11" t="s">
        <v>36</v>
      </c>
      <c r="H1215" s="14" t="s">
        <v>4755</v>
      </c>
      <c r="I1215" s="11" t="str">
        <f>HYPERLINK("https://redirect.sdcdeals.com/redirect?code=763034&amp;mavely=https://mavely.app.link/e/bhESV2wGrGb&amp;destination=https%3A%2F%2Fwww.kohls.com%2Fsearch.jsp%3Fsubmit-search%3Dweb-regular%26search%3D28257906", "Retail Link")</f>
        <v>Retail Link</v>
      </c>
      <c r="J1215" s="14" t="s">
        <v>4698</v>
      </c>
      <c r="K1215" s="13" t="s">
        <v>4756</v>
      </c>
      <c r="L1215" s="15">
        <v>54.776000000000003</v>
      </c>
      <c r="M1215" s="15">
        <v>68.47</v>
      </c>
      <c r="N1215" s="15">
        <v>-10.746499999999999</v>
      </c>
      <c r="O1215" s="15">
        <f>V1215-M1215</f>
        <v>45.620000000000005</v>
      </c>
      <c r="P1215" s="16">
        <f>N1215/L1215</f>
        <v>-0.19618993719877317</v>
      </c>
      <c r="Q1215" s="14">
        <v>4164238</v>
      </c>
      <c r="R1215" s="14"/>
      <c r="S1215" s="17">
        <v>2.2928047999999999</v>
      </c>
      <c r="T1215" s="15">
        <v>68.47</v>
      </c>
      <c r="U1215" s="15">
        <v>118.13</v>
      </c>
      <c r="V1215" s="15">
        <v>114.09</v>
      </c>
      <c r="W1215" s="14" t="s">
        <v>959</v>
      </c>
      <c r="X1215" s="14">
        <v>1</v>
      </c>
      <c r="Y1215" s="10">
        <f>AC1215-AB1215</f>
        <v>1</v>
      </c>
      <c r="Z1215" s="18">
        <v>1</v>
      </c>
      <c r="AA1215" s="18">
        <v>6</v>
      </c>
      <c r="AB1215" s="18">
        <v>0</v>
      </c>
      <c r="AC1215" s="18">
        <v>1</v>
      </c>
      <c r="AD1215" s="1" t="s">
        <v>4757</v>
      </c>
      <c r="AE1215" s="1" t="s">
        <v>4701</v>
      </c>
      <c r="AF1215" s="4">
        <v>11.64</v>
      </c>
      <c r="AG1215" s="4">
        <v>14.17</v>
      </c>
    </row>
    <row r="1216" spans="1:33" ht="30" x14ac:dyDescent="0.25">
      <c r="A1216" s="10" t="s">
        <v>2455</v>
      </c>
      <c r="B1216" s="11" t="s">
        <v>33</v>
      </c>
      <c r="C1216" s="12" t="s">
        <v>2456</v>
      </c>
      <c r="D1216" s="27"/>
      <c r="E1216" s="14" t="s">
        <v>35</v>
      </c>
      <c r="F1216" s="11" t="str">
        <f>HYPERLINK("https://redirect.sdcdeals.com/redirect?destination=https%3A%2F%2Fwww.amazon.com%2Fdp%2FB08FTKFH5G%3Fth%3D1%26psc%3D1%26tag%3Dsdcdeals03-20", "Amazon Link")</f>
        <v>Amazon Link</v>
      </c>
      <c r="G1216" s="11" t="s">
        <v>36</v>
      </c>
      <c r="H1216" s="14" t="s">
        <v>2457</v>
      </c>
      <c r="I1216" s="11" t="str">
        <f>HYPERLINK("https://redirect.sdcdeals.com/redirect?code=763034&amp;mavely=https://mavely.app.link/e/bhESV2wGrGb&amp;destination=https%3A%2F%2Fwww.kohls.com%2Fsearch.jsp%3Fsubmit-search%3Dweb-regular%26search%3D71884970", "Retail Link")</f>
        <v>Retail Link</v>
      </c>
      <c r="J1216" s="14" t="s">
        <v>2427</v>
      </c>
      <c r="K1216" s="13" t="s">
        <v>2458</v>
      </c>
      <c r="L1216" s="15">
        <v>33.6</v>
      </c>
      <c r="M1216" s="15">
        <v>38.99</v>
      </c>
      <c r="N1216" s="15">
        <v>-6.5985000000000014</v>
      </c>
      <c r="O1216" s="15">
        <f>V1216-M1216</f>
        <v>-8.6700000000000017</v>
      </c>
      <c r="P1216" s="16">
        <f>N1216/L1216</f>
        <v>-0.19638392857142861</v>
      </c>
      <c r="Q1216" s="14">
        <v>240525</v>
      </c>
      <c r="R1216" s="14"/>
      <c r="S1216" s="17">
        <v>0.88184799999999997</v>
      </c>
      <c r="T1216" s="15">
        <v>38.99</v>
      </c>
      <c r="U1216" s="15">
        <v>31.77</v>
      </c>
      <c r="V1216" s="15">
        <v>30.32</v>
      </c>
      <c r="W1216" s="14" t="s">
        <v>2459</v>
      </c>
      <c r="X1216" s="14">
        <v>4</v>
      </c>
      <c r="Y1216" s="10">
        <f>AC1216-AB1216</f>
        <v>909</v>
      </c>
      <c r="Z1216" s="18">
        <v>41</v>
      </c>
      <c r="AA1216" s="18">
        <v>107</v>
      </c>
      <c r="AB1216" s="18">
        <v>571</v>
      </c>
      <c r="AC1216" s="18">
        <v>1480</v>
      </c>
      <c r="AD1216" s="1" t="s">
        <v>2429</v>
      </c>
      <c r="AE1216" s="1" t="s">
        <v>2445</v>
      </c>
      <c r="AG1216" s="4">
        <v>6.14</v>
      </c>
    </row>
    <row r="1217" spans="1:33" x14ac:dyDescent="0.25">
      <c r="A1217" s="10" t="s">
        <v>5612</v>
      </c>
      <c r="B1217" s="11" t="s">
        <v>33</v>
      </c>
      <c r="C1217" s="12" t="s">
        <v>5613</v>
      </c>
      <c r="D1217" s="27"/>
      <c r="E1217" s="14" t="s">
        <v>35</v>
      </c>
      <c r="F1217" s="11" t="str">
        <f>HYPERLINK("https://redirect.sdcdeals.com/redirect?destination=https%3A%2F%2Fwww.amazon.com%2Fdp%2FB0BRR4PTJX%3Fth%3D1%26psc%3D1%26tag%3Dsdcdeals03-20", "Amazon Link")</f>
        <v>Amazon Link</v>
      </c>
      <c r="G1217" s="11" t="s">
        <v>36</v>
      </c>
      <c r="H1217" s="14" t="s">
        <v>5614</v>
      </c>
      <c r="I1217" s="11" t="str">
        <f>HYPERLINK("https://redirect.sdcdeals.com/redirect?code=763034&amp;mavely=https://mavely.app.link/e/bhESV2wGrGb&amp;destination=https%3A%2F%2Fwww.kohls.com%2Fsearch.jsp%3Fsubmit-search%3Dweb-regular%26search%3D77042357", "Retail Link")</f>
        <v>Retail Link</v>
      </c>
      <c r="J1217" s="14" t="s">
        <v>5600</v>
      </c>
      <c r="K1217" s="13" t="s">
        <v>5615</v>
      </c>
      <c r="L1217" s="15">
        <v>79.992000000000004</v>
      </c>
      <c r="M1217" s="15">
        <v>84.98</v>
      </c>
      <c r="N1217" s="15">
        <v>-15.879</v>
      </c>
      <c r="O1217" s="15">
        <f>V1217-M1217</f>
        <v>0.64000000000000057</v>
      </c>
      <c r="P1217" s="16">
        <f>N1217/L1217</f>
        <v>-0.1985073507350735</v>
      </c>
      <c r="Q1217" s="14">
        <v>887964</v>
      </c>
      <c r="R1217" s="14"/>
      <c r="S1217" s="17">
        <v>2.3368972000000001</v>
      </c>
      <c r="T1217" s="15">
        <v>64.989999999999995</v>
      </c>
      <c r="U1217" s="15">
        <v>87.95</v>
      </c>
      <c r="V1217" s="15">
        <v>85.62</v>
      </c>
      <c r="W1217" s="14" t="s">
        <v>5616</v>
      </c>
      <c r="X1217" s="14">
        <v>5</v>
      </c>
      <c r="Y1217" s="10">
        <f>AC1217-AB1217</f>
        <v>68</v>
      </c>
      <c r="Z1217" s="18">
        <v>10</v>
      </c>
      <c r="AA1217" s="18">
        <v>28</v>
      </c>
      <c r="AB1217" s="18">
        <v>4</v>
      </c>
      <c r="AC1217" s="18">
        <v>72</v>
      </c>
      <c r="AD1217" s="1" t="s">
        <v>5602</v>
      </c>
      <c r="AE1217" s="1" t="s">
        <v>438</v>
      </c>
      <c r="AF1217" s="4">
        <v>12.75</v>
      </c>
      <c r="AG1217" s="4">
        <v>8.1199999999999992</v>
      </c>
    </row>
    <row r="1218" spans="1:33" ht="30" x14ac:dyDescent="0.25">
      <c r="A1218" s="10" t="s">
        <v>866</v>
      </c>
      <c r="B1218" s="11" t="s">
        <v>33</v>
      </c>
      <c r="C1218" s="12" t="s">
        <v>867</v>
      </c>
      <c r="D1218" s="27"/>
      <c r="E1218" s="14" t="s">
        <v>35</v>
      </c>
      <c r="F1218" s="11" t="str">
        <f>HYPERLINK("https://redirect.sdcdeals.com/redirect?destination=https%3A%2F%2Fwww.amazon.com%2Fdp%2FB0BNWGBDB5%3Fth%3D1%26psc%3D1%26tag%3Dsdcdeals03-20", "Amazon Link")</f>
        <v>Amazon Link</v>
      </c>
      <c r="G1218" s="11" t="s">
        <v>36</v>
      </c>
      <c r="H1218" s="14" t="s">
        <v>868</v>
      </c>
      <c r="I1218" s="11" t="str">
        <f>HYPERLINK("https://redirect.sdcdeals.com/redirect?code=763034&amp;mavely=https://mavely.app.link/e/bhESV2wGrGb&amp;destination=https%3A%2F%2Fwww.kohls.com%2Fsearch.jsp%3Fsubmit-search%3Dweb-regular%26search%3D20535294", "Retail Link")</f>
        <v>Retail Link</v>
      </c>
      <c r="J1218" s="14" t="s">
        <v>853</v>
      </c>
      <c r="K1218" s="13" t="s">
        <v>869</v>
      </c>
      <c r="L1218" s="15">
        <v>22.4</v>
      </c>
      <c r="M1218" s="15">
        <v>28</v>
      </c>
      <c r="N1218" s="15">
        <v>-4.5</v>
      </c>
      <c r="O1218" s="15">
        <f>V1218-M1218</f>
        <v>14.920000000000002</v>
      </c>
      <c r="P1218" s="16">
        <f>N1218/L1218</f>
        <v>-0.20089285714285715</v>
      </c>
      <c r="Q1218" s="14">
        <v>2605453</v>
      </c>
      <c r="R1218" s="14"/>
      <c r="S1218" s="17">
        <v>0.50706260000000003</v>
      </c>
      <c r="T1218" s="15">
        <v>28</v>
      </c>
      <c r="U1218" s="15">
        <v>37.07</v>
      </c>
      <c r="V1218" s="15">
        <v>42.92</v>
      </c>
      <c r="W1218" s="14" t="s">
        <v>870</v>
      </c>
      <c r="X1218" s="14">
        <v>3</v>
      </c>
      <c r="Y1218" s="10">
        <f>AC1218-AB1218</f>
        <v>0</v>
      </c>
      <c r="Z1218" s="18">
        <v>2</v>
      </c>
      <c r="AA1218" s="18">
        <v>7</v>
      </c>
      <c r="AB1218" s="18">
        <v>0</v>
      </c>
      <c r="AC1218" s="18"/>
      <c r="AD1218" s="1" t="s">
        <v>855</v>
      </c>
      <c r="AE1218" s="1" t="s">
        <v>856</v>
      </c>
      <c r="AF1218" s="4">
        <v>4.76</v>
      </c>
      <c r="AG1218" s="4">
        <v>5.9</v>
      </c>
    </row>
    <row r="1219" spans="1:33" x14ac:dyDescent="0.25">
      <c r="A1219" s="10" t="s">
        <v>5662</v>
      </c>
      <c r="B1219" s="11" t="s">
        <v>33</v>
      </c>
      <c r="C1219" s="12" t="s">
        <v>5663</v>
      </c>
      <c r="D1219" s="27"/>
      <c r="E1219" s="14" t="s">
        <v>35</v>
      </c>
      <c r="F1219" s="11" t="str">
        <f>HYPERLINK("https://redirect.sdcdeals.com/redirect?destination=https%3A%2F%2Fwww.amazon.com%2Fdp%2FB0BRR3X5GF%3Fth%3D1%26psc%3D1%26tag%3Dsdcdeals03-20", "Amazon Link")</f>
        <v>Amazon Link</v>
      </c>
      <c r="G1219" s="11" t="s">
        <v>36</v>
      </c>
      <c r="H1219" s="14" t="s">
        <v>5664</v>
      </c>
      <c r="I1219" s="11" t="str">
        <f>HYPERLINK("https://redirect.sdcdeals.com/redirect?code=763034&amp;mavely=https://mavely.app.link/e/bhESV2wGrGb&amp;destination=https%3A%2F%2Fwww.kohls.com%2Fsearch.jsp%3Fsubmit-search%3Dweb-regular%26search%3D79102226", "Retail Link")</f>
        <v>Retail Link</v>
      </c>
      <c r="J1219" s="14" t="s">
        <v>5600</v>
      </c>
      <c r="K1219" s="13" t="s">
        <v>5665</v>
      </c>
      <c r="L1219" s="15">
        <v>79.992000000000004</v>
      </c>
      <c r="M1219" s="15">
        <v>89.99</v>
      </c>
      <c r="N1219" s="15">
        <v>-16.150500000000019</v>
      </c>
      <c r="O1219" s="15">
        <f>V1219-M1219</f>
        <v>-3.4699999999999989</v>
      </c>
      <c r="P1219" s="16">
        <f>N1219/L1219</f>
        <v>-0.20190144014401462</v>
      </c>
      <c r="Q1219" s="14">
        <v>882830</v>
      </c>
      <c r="R1219" s="14"/>
      <c r="S1219" s="17">
        <v>3.1504019799999998</v>
      </c>
      <c r="T1219" s="15">
        <v>89.99</v>
      </c>
      <c r="U1219" s="15">
        <v>89.99</v>
      </c>
      <c r="V1219" s="15">
        <v>86.52</v>
      </c>
      <c r="W1219" s="14" t="s">
        <v>2850</v>
      </c>
      <c r="X1219" s="14">
        <v>2</v>
      </c>
      <c r="Y1219" s="10">
        <f>AC1219-AB1219</f>
        <v>93</v>
      </c>
      <c r="Z1219" s="18">
        <v>3</v>
      </c>
      <c r="AA1219" s="18">
        <v>13</v>
      </c>
      <c r="AB1219" s="18">
        <v>2</v>
      </c>
      <c r="AC1219" s="18">
        <v>95</v>
      </c>
      <c r="AD1219" s="1" t="s">
        <v>5602</v>
      </c>
      <c r="AE1219" s="1" t="s">
        <v>76</v>
      </c>
      <c r="AF1219" s="4">
        <v>13.5</v>
      </c>
      <c r="AG1219" s="4">
        <v>12.65</v>
      </c>
    </row>
    <row r="1220" spans="1:33" ht="30" hidden="1" x14ac:dyDescent="0.25">
      <c r="A1220" s="10" t="s">
        <v>5093</v>
      </c>
      <c r="B1220" s="11" t="s">
        <v>33</v>
      </c>
      <c r="C1220" s="12" t="s">
        <v>5094</v>
      </c>
      <c r="D1220" s="27"/>
      <c r="E1220" s="14" t="s">
        <v>35</v>
      </c>
      <c r="F1220" s="11" t="str">
        <f>HYPERLINK("https://redirect.sdcdeals.com/redirect?destination=https%3A%2F%2Fwww.amazon.com%2Fdp%2FB0CL5KBKVS%3Fth%3D1%26psc%3D1%26tag%3Dsdcdeals03-20", "Amazon Link")</f>
        <v>Amazon Link</v>
      </c>
      <c r="G1220" s="11" t="s">
        <v>36</v>
      </c>
      <c r="H1220" s="14" t="s">
        <v>5095</v>
      </c>
      <c r="I1220" s="11" t="str">
        <f>HYPERLINK("https://redirect.sdcdeals.com/redirect?code=763034&amp;mavely=https://mavely.app.link/e/bhESV2wGrGb&amp;destination=https%3A%2F%2Fwww.kohls.com%2Fsearch.jsp%3Fsubmit-search%3Dweb-regular%26search%3D18796707", "Retail Link")</f>
        <v>Retail Link</v>
      </c>
      <c r="J1220" s="14" t="s">
        <v>5090</v>
      </c>
      <c r="K1220" s="13" t="s">
        <v>5096</v>
      </c>
      <c r="L1220" s="15">
        <v>7.6000000000000014</v>
      </c>
      <c r="M1220" s="15">
        <v>13.98</v>
      </c>
      <c r="N1220" s="15">
        <v>-1.537000000000001</v>
      </c>
      <c r="O1220" s="15">
        <f>V1220-M1220</f>
        <v>10.79</v>
      </c>
      <c r="P1220" s="16">
        <f>N1220/L1220</f>
        <v>-0.20223684210526324</v>
      </c>
      <c r="Q1220" s="14"/>
      <c r="R1220" s="14"/>
      <c r="S1220" s="17">
        <v>0.39903622</v>
      </c>
      <c r="T1220" s="15">
        <v>13.98</v>
      </c>
      <c r="U1220" s="15">
        <v>18.309999999999999</v>
      </c>
      <c r="V1220" s="15">
        <v>24.77</v>
      </c>
      <c r="W1220" s="14" t="s">
        <v>2376</v>
      </c>
      <c r="X1220" s="14">
        <v>7</v>
      </c>
      <c r="Y1220" s="10">
        <f>AC1220-AB1220</f>
        <v>237</v>
      </c>
      <c r="Z1220" s="18">
        <v>0</v>
      </c>
      <c r="AA1220" s="18">
        <v>21</v>
      </c>
      <c r="AB1220" s="18">
        <v>0</v>
      </c>
      <c r="AC1220" s="18">
        <v>237</v>
      </c>
      <c r="AE1220" s="1" t="s">
        <v>5092</v>
      </c>
      <c r="AF1220" s="4">
        <v>1.4</v>
      </c>
      <c r="AG1220" s="4">
        <v>5.82</v>
      </c>
    </row>
    <row r="1221" spans="1:33" ht="30" x14ac:dyDescent="0.25">
      <c r="A1221" s="10" t="s">
        <v>4040</v>
      </c>
      <c r="B1221" s="11" t="s">
        <v>33</v>
      </c>
      <c r="C1221" s="12" t="s">
        <v>4041</v>
      </c>
      <c r="D1221" s="27"/>
      <c r="E1221" s="14" t="s">
        <v>35</v>
      </c>
      <c r="F1221" s="11" t="str">
        <f>HYPERLINK("https://redirect.sdcdeals.com/redirect?destination=https%3A%2F%2Fwww.amazon.com%2Fdp%2FB07SZ3RSB2%3Fth%3D1%26psc%3D1%26tag%3Dsdcdeals03-20", "Amazon Link")</f>
        <v>Amazon Link</v>
      </c>
      <c r="G1221" s="11" t="s">
        <v>36</v>
      </c>
      <c r="H1221" s="14" t="s">
        <v>4042</v>
      </c>
      <c r="I1221" s="11" t="str">
        <f>HYPERLINK("https://redirect.sdcdeals.com/redirect?code=763034&amp;mavely=https://mavely.app.link/e/bhESV2wGrGb&amp;destination=https%3A%2F%2Fwww.kohls.com%2Fsearch.jsp%3Fsubmit-search%3Dweb-regular%26search%3D46615802", "Retail Link")</f>
        <v>Retail Link</v>
      </c>
      <c r="J1221" s="14" t="s">
        <v>4024</v>
      </c>
      <c r="K1221" s="13" t="s">
        <v>4043</v>
      </c>
      <c r="L1221" s="15">
        <v>17.696000000000002</v>
      </c>
      <c r="M1221" s="15">
        <v>25.49</v>
      </c>
      <c r="N1221" s="15">
        <v>-3.589500000000001</v>
      </c>
      <c r="O1221" s="15">
        <f>V1221-M1221</f>
        <v>4.7200000000000024</v>
      </c>
      <c r="P1221" s="16">
        <f>N1221/L1221</f>
        <v>-0.20284245027124778</v>
      </c>
      <c r="Q1221" s="14">
        <v>31695</v>
      </c>
      <c r="R1221" s="14"/>
      <c r="S1221" s="17">
        <v>0.74957079999999998</v>
      </c>
      <c r="T1221" s="15">
        <v>25.49</v>
      </c>
      <c r="U1221" s="15">
        <v>30.81</v>
      </c>
      <c r="V1221" s="15">
        <v>30.21</v>
      </c>
      <c r="W1221" s="14" t="s">
        <v>964</v>
      </c>
      <c r="X1221" s="14">
        <v>1</v>
      </c>
      <c r="Y1221" s="10">
        <f>AC1221-AB1221</f>
        <v>1438</v>
      </c>
      <c r="Z1221" s="18">
        <v>16</v>
      </c>
      <c r="AA1221" s="18">
        <v>59</v>
      </c>
      <c r="AB1221" s="18">
        <v>48</v>
      </c>
      <c r="AC1221" s="18">
        <v>1486</v>
      </c>
      <c r="AD1221" s="1" t="s">
        <v>4044</v>
      </c>
      <c r="AE1221" s="1" t="s">
        <v>4045</v>
      </c>
      <c r="AF1221" s="4">
        <v>4.33</v>
      </c>
      <c r="AG1221" s="4">
        <v>7.56</v>
      </c>
    </row>
    <row r="1222" spans="1:33" ht="30" x14ac:dyDescent="0.25">
      <c r="A1222" s="10" t="s">
        <v>6062</v>
      </c>
      <c r="B1222" s="11" t="s">
        <v>33</v>
      </c>
      <c r="C1222" s="12" t="s">
        <v>6063</v>
      </c>
      <c r="D1222" s="27"/>
      <c r="E1222" s="14" t="s">
        <v>35</v>
      </c>
      <c r="F1222" s="11" t="str">
        <f>HYPERLINK("https://redirect.sdcdeals.com/redirect?destination=https%3A%2F%2Fwww.amazon.com%2Fdp%2FB0BFT5F5BN%3Fth%3D1%26psc%3D1%26tag%3Dsdcdeals03-20", "Amazon Link")</f>
        <v>Amazon Link</v>
      </c>
      <c r="G1222" s="11" t="s">
        <v>36</v>
      </c>
      <c r="H1222" s="14" t="s">
        <v>6064</v>
      </c>
      <c r="I1222" s="11" t="str">
        <f>HYPERLINK("https://redirect.sdcdeals.com/redirect?code=763034&amp;mavely=https://mavely.app.link/e/bhESV2wGrGb&amp;destination=https%3A%2F%2Fwww.kohls.com%2Fsearch.jsp%3Fsubmit-search%3Dweb-regular%26search%3D80018210", "Retail Link")</f>
        <v>Retail Link</v>
      </c>
      <c r="J1222" s="14" t="s">
        <v>6065</v>
      </c>
      <c r="K1222" s="13" t="s">
        <v>6066</v>
      </c>
      <c r="L1222" s="15">
        <v>54</v>
      </c>
      <c r="M1222" s="15">
        <v>66.349999999999994</v>
      </c>
      <c r="N1222" s="15">
        <v>-11.012499999999999</v>
      </c>
      <c r="O1222" s="15">
        <f>V1222-M1222</f>
        <v>49.31</v>
      </c>
      <c r="P1222" s="16">
        <f>N1222/L1222</f>
        <v>-0.20393518518518516</v>
      </c>
      <c r="Q1222" s="14">
        <v>7659444</v>
      </c>
      <c r="R1222" s="14"/>
      <c r="S1222" s="17">
        <v>2.40083118</v>
      </c>
      <c r="T1222" s="15">
        <v>66.349999999999994</v>
      </c>
      <c r="U1222" s="15">
        <v>100.51</v>
      </c>
      <c r="V1222" s="15">
        <v>115.66</v>
      </c>
      <c r="W1222" s="14" t="s">
        <v>5145</v>
      </c>
      <c r="X1222" s="14">
        <v>1</v>
      </c>
      <c r="Y1222" s="10">
        <f>AC1222-AB1222</f>
        <v>0</v>
      </c>
      <c r="Z1222" s="18">
        <v>0</v>
      </c>
      <c r="AA1222" s="18">
        <v>0</v>
      </c>
      <c r="AB1222" s="18">
        <v>0</v>
      </c>
      <c r="AC1222" s="18"/>
      <c r="AD1222" s="1" t="s">
        <v>6067</v>
      </c>
      <c r="AE1222" s="1" t="s">
        <v>138</v>
      </c>
      <c r="AF1222" s="4">
        <v>11.28</v>
      </c>
      <c r="AG1222" s="4">
        <v>13.41</v>
      </c>
    </row>
    <row r="1223" spans="1:33" ht="30" x14ac:dyDescent="0.25">
      <c r="A1223" s="10" t="s">
        <v>2226</v>
      </c>
      <c r="B1223" s="11" t="s">
        <v>33</v>
      </c>
      <c r="C1223" s="12" t="s">
        <v>2227</v>
      </c>
      <c r="D1223" s="27"/>
      <c r="E1223" s="14" t="s">
        <v>35</v>
      </c>
      <c r="F1223" s="11" t="str">
        <f>HYPERLINK("https://redirect.sdcdeals.com/redirect?destination=https%3A%2F%2Fwww.amazon.com%2Fdp%2FB0BKQVDRSK%3Fth%3D1%26psc%3D1%26tag%3Dsdcdeals03-20", "Amazon Link")</f>
        <v>Amazon Link</v>
      </c>
      <c r="G1223" s="11" t="s">
        <v>36</v>
      </c>
      <c r="H1223" s="14" t="s">
        <v>2228</v>
      </c>
      <c r="I1223" s="11" t="str">
        <f>HYPERLINK("https://redirect.sdcdeals.com/redirect?code=763034&amp;mavely=https://mavely.app.link/e/bhESV2wGrGb&amp;destination=https%3A%2F%2Fwww.kohls.com%2Fsearch.jsp%3Fsubmit-search%3Dweb-regular%26search%3D62949697", "Retail Link")</f>
        <v>Retail Link</v>
      </c>
      <c r="J1223" s="14" t="s">
        <v>2210</v>
      </c>
      <c r="K1223" s="13" t="s">
        <v>2229</v>
      </c>
      <c r="L1223" s="15">
        <v>52.8</v>
      </c>
      <c r="M1223" s="15">
        <v>66</v>
      </c>
      <c r="N1223" s="15">
        <v>-10.87</v>
      </c>
      <c r="O1223" s="15">
        <f>V1223-M1223</f>
        <v>56.25</v>
      </c>
      <c r="P1223" s="16">
        <f>N1223/L1223</f>
        <v>-0.20587121212121212</v>
      </c>
      <c r="Q1223" s="14">
        <v>1362042</v>
      </c>
      <c r="R1223" s="14"/>
      <c r="S1223" s="17">
        <v>2.4294912399999999</v>
      </c>
      <c r="T1223" s="15">
        <v>66</v>
      </c>
      <c r="U1223" s="15">
        <v>82.16</v>
      </c>
      <c r="V1223" s="15">
        <v>122.25</v>
      </c>
      <c r="W1223" s="14" t="s">
        <v>144</v>
      </c>
      <c r="X1223" s="14">
        <v>2</v>
      </c>
      <c r="Y1223" s="10">
        <f>AC1223-AB1223</f>
        <v>4</v>
      </c>
      <c r="Z1223" s="18">
        <v>4</v>
      </c>
      <c r="AA1223" s="18">
        <v>20</v>
      </c>
      <c r="AB1223" s="18">
        <v>0</v>
      </c>
      <c r="AC1223" s="18">
        <v>4</v>
      </c>
      <c r="AD1223" s="1" t="s">
        <v>2212</v>
      </c>
      <c r="AE1223" s="1" t="s">
        <v>2213</v>
      </c>
      <c r="AF1223" s="4">
        <v>11.22</v>
      </c>
      <c r="AG1223" s="4">
        <v>14.17</v>
      </c>
    </row>
    <row r="1224" spans="1:33" x14ac:dyDescent="0.25">
      <c r="A1224" s="10" t="s">
        <v>2258</v>
      </c>
      <c r="B1224" s="11" t="s">
        <v>33</v>
      </c>
      <c r="C1224" s="12" t="s">
        <v>2259</v>
      </c>
      <c r="D1224" s="27"/>
      <c r="E1224" s="14" t="s">
        <v>35</v>
      </c>
      <c r="F1224" s="11" t="str">
        <f>HYPERLINK("https://redirect.sdcdeals.com/redirect?destination=https%3A%2F%2Fwww.amazon.com%2Fdp%2FB0BKQYJFCG%3Fth%3D1%26psc%3D1%26tag%3Dsdcdeals03-20", "Amazon Link")</f>
        <v>Amazon Link</v>
      </c>
      <c r="G1224" s="11" t="s">
        <v>36</v>
      </c>
      <c r="H1224" s="14" t="s">
        <v>2260</v>
      </c>
      <c r="I1224" s="11" t="str">
        <f>HYPERLINK("https://redirect.sdcdeals.com/redirect?code=763034&amp;mavely=https://mavely.app.link/e/bhESV2wGrGb&amp;destination=https%3A%2F%2Fwww.kohls.com%2Fsearch.jsp%3Fsubmit-search%3Dweb-regular%26search%3D62949717", "Retail Link")</f>
        <v>Retail Link</v>
      </c>
      <c r="J1224" s="14" t="s">
        <v>2210</v>
      </c>
      <c r="K1224" s="13" t="s">
        <v>2261</v>
      </c>
      <c r="L1224" s="15">
        <v>52.8</v>
      </c>
      <c r="M1224" s="15">
        <v>66</v>
      </c>
      <c r="N1224" s="15">
        <v>-10.87</v>
      </c>
      <c r="O1224" s="15">
        <f>V1224-M1224</f>
        <v>34.950000000000003</v>
      </c>
      <c r="P1224" s="16">
        <f>N1224/L1224</f>
        <v>-0.20587121212121212</v>
      </c>
      <c r="Q1224" s="14">
        <v>1340694</v>
      </c>
      <c r="R1224" s="14"/>
      <c r="S1224" s="17">
        <v>2.6499532399999999</v>
      </c>
      <c r="T1224" s="15">
        <v>66</v>
      </c>
      <c r="U1224" s="15">
        <v>88.06</v>
      </c>
      <c r="V1224" s="15">
        <v>100.95</v>
      </c>
      <c r="W1224" s="14" t="s">
        <v>2262</v>
      </c>
      <c r="X1224" s="14">
        <v>4</v>
      </c>
      <c r="Y1224" s="10">
        <f>AC1224-AB1224</f>
        <v>8</v>
      </c>
      <c r="Z1224" s="18">
        <v>5</v>
      </c>
      <c r="AA1224" s="18">
        <v>28</v>
      </c>
      <c r="AB1224" s="18">
        <v>0</v>
      </c>
      <c r="AC1224" s="18">
        <v>8</v>
      </c>
      <c r="AD1224" s="1" t="s">
        <v>2212</v>
      </c>
      <c r="AE1224" s="1" t="s">
        <v>1211</v>
      </c>
      <c r="AF1224" s="4">
        <v>11.22</v>
      </c>
      <c r="AG1224" s="4">
        <v>14.17</v>
      </c>
    </row>
    <row r="1225" spans="1:33" hidden="1" x14ac:dyDescent="0.25">
      <c r="A1225" s="10" t="s">
        <v>3072</v>
      </c>
      <c r="B1225" s="11" t="s">
        <v>33</v>
      </c>
      <c r="C1225" s="12" t="s">
        <v>3073</v>
      </c>
      <c r="D1225" s="27"/>
      <c r="E1225" s="14" t="s">
        <v>35</v>
      </c>
      <c r="F1225" s="11" t="str">
        <f>HYPERLINK("https://redirect.sdcdeals.com/redirect?destination=https%3A%2F%2Fwww.amazon.com%2Fdp%2FB0CF6CGD5W%3Fth%3D1%26psc%3D1%26tag%3Dsdcdeals03-20", "Amazon Link")</f>
        <v>Amazon Link</v>
      </c>
      <c r="G1225" s="11" t="s">
        <v>36</v>
      </c>
      <c r="H1225" s="14" t="s">
        <v>3074</v>
      </c>
      <c r="I1225" s="11" t="str">
        <f>HYPERLINK("https://redirect.sdcdeals.com/redirect?code=763034&amp;mavely=https://mavely.app.link/e/bhESV2wGrGb&amp;destination=https%3A%2F%2Fwww.kohls.com%2Fsearch.jsp%3Fsubmit-search%3Dweb-regular%26search%3D49607310", "Retail Link")</f>
        <v>Retail Link</v>
      </c>
      <c r="J1225" s="14" t="s">
        <v>3047</v>
      </c>
      <c r="K1225" s="13" t="s">
        <v>3075</v>
      </c>
      <c r="L1225" s="15">
        <v>8</v>
      </c>
      <c r="M1225" s="15">
        <v>16</v>
      </c>
      <c r="N1225" s="15">
        <v>-1.67</v>
      </c>
      <c r="O1225" s="15">
        <f>V1225-M1225</f>
        <v>1.1600000000000001</v>
      </c>
      <c r="P1225" s="16">
        <f>N1225/L1225</f>
        <v>-0.20874999999999999</v>
      </c>
      <c r="Q1225" s="14"/>
      <c r="R1225" s="14"/>
      <c r="S1225" s="17">
        <v>0.54895037999999996</v>
      </c>
      <c r="T1225" s="15">
        <v>16</v>
      </c>
      <c r="U1225" s="15">
        <v>16</v>
      </c>
      <c r="V1225" s="15">
        <v>17.16</v>
      </c>
      <c r="W1225" s="14" t="s">
        <v>3076</v>
      </c>
      <c r="X1225" s="14">
        <v>9</v>
      </c>
      <c r="Y1225" s="10">
        <f>AC1225-AB1225</f>
        <v>237</v>
      </c>
      <c r="Z1225" s="18">
        <v>-1</v>
      </c>
      <c r="AA1225" s="18">
        <v>-1</v>
      </c>
      <c r="AB1225" s="18">
        <v>1</v>
      </c>
      <c r="AC1225" s="18">
        <v>238</v>
      </c>
      <c r="AD1225" s="1" t="s">
        <v>3049</v>
      </c>
      <c r="AE1225" s="1" t="s">
        <v>3077</v>
      </c>
      <c r="AG1225" s="4">
        <v>7.27</v>
      </c>
    </row>
    <row r="1226" spans="1:33" ht="30" x14ac:dyDescent="0.25">
      <c r="A1226" s="10" t="s">
        <v>7326</v>
      </c>
      <c r="B1226" s="11" t="s">
        <v>33</v>
      </c>
      <c r="C1226" s="12" t="s">
        <v>7327</v>
      </c>
      <c r="D1226" s="27"/>
      <c r="E1226" s="14" t="s">
        <v>35</v>
      </c>
      <c r="F1226" s="11" t="str">
        <f>HYPERLINK("https://redirect.sdcdeals.com/redirect?destination=https%3A%2F%2Fwww.amazon.com%2Fdp%2FB0BNWHFXFJ%3Fth%3D1%26psc%3D1%26tag%3Dsdcdeals03-20", "Amazon Link")</f>
        <v>Amazon Link</v>
      </c>
      <c r="G1226" s="11" t="s">
        <v>36</v>
      </c>
      <c r="H1226" s="14" t="s">
        <v>7328</v>
      </c>
      <c r="I1226" s="11" t="str">
        <f>HYPERLINK("https://redirect.sdcdeals.com/redirect?code=763034&amp;mavely=https://mavely.app.link/e/bhESV2wGrGb&amp;destination=https%3A%2F%2Fwww.kohls.com%2Fsearch.jsp%3Fsubmit-search%3Dweb-regular%26search%3D37212101", "Retail Link")</f>
        <v>Retail Link</v>
      </c>
      <c r="J1226" s="14" t="s">
        <v>7320</v>
      </c>
      <c r="K1226" s="13" t="s">
        <v>7329</v>
      </c>
      <c r="L1226" s="15">
        <v>22.4</v>
      </c>
      <c r="M1226" s="15">
        <v>28</v>
      </c>
      <c r="N1226" s="15">
        <v>-4.7399999999999984</v>
      </c>
      <c r="O1226" s="15">
        <f>V1226-M1226</f>
        <v>19.299999999999997</v>
      </c>
      <c r="P1226" s="16">
        <f>N1226/L1226</f>
        <v>-0.2116071428571428</v>
      </c>
      <c r="Q1226" s="14">
        <v>2605453</v>
      </c>
      <c r="R1226" s="14"/>
      <c r="S1226" s="17">
        <v>0.50706260000000003</v>
      </c>
      <c r="T1226" s="15">
        <v>28</v>
      </c>
      <c r="U1226" s="15">
        <v>45.84</v>
      </c>
      <c r="V1226" s="15">
        <v>47.3</v>
      </c>
      <c r="W1226" s="14" t="s">
        <v>234</v>
      </c>
      <c r="X1226" s="14">
        <v>5</v>
      </c>
      <c r="Y1226" s="10">
        <f>AC1226-AB1226</f>
        <v>0</v>
      </c>
      <c r="Z1226" s="18">
        <v>2</v>
      </c>
      <c r="AA1226" s="18">
        <v>10</v>
      </c>
      <c r="AB1226" s="18"/>
      <c r="AC1226" s="18"/>
      <c r="AD1226" s="1" t="s">
        <v>855</v>
      </c>
      <c r="AE1226" s="1" t="s">
        <v>278</v>
      </c>
      <c r="AF1226" s="4">
        <v>4.76</v>
      </c>
      <c r="AG1226" s="4">
        <v>6.14</v>
      </c>
    </row>
    <row r="1227" spans="1:33" ht="30" x14ac:dyDescent="0.25">
      <c r="A1227" s="10" t="s">
        <v>4228</v>
      </c>
      <c r="B1227" s="11" t="s">
        <v>33</v>
      </c>
      <c r="C1227" s="12" t="s">
        <v>4229</v>
      </c>
      <c r="D1227" s="27"/>
      <c r="E1227" s="14" t="s">
        <v>35</v>
      </c>
      <c r="F1227" s="11" t="str">
        <f>HYPERLINK("https://redirect.sdcdeals.com/redirect?destination=https%3A%2F%2Fwww.amazon.com%2Fdp%2FB0BKQWPV7Y%3Fth%3D1%26psc%3D1%26tag%3Dsdcdeals03-20", "Amazon Link")</f>
        <v>Amazon Link</v>
      </c>
      <c r="G1227" s="11" t="s">
        <v>36</v>
      </c>
      <c r="H1227" s="14" t="s">
        <v>4230</v>
      </c>
      <c r="I1227" s="11" t="str">
        <f>HYPERLINK("https://redirect.sdcdeals.com/redirect?code=763034&amp;mavely=https://mavely.app.link/e/bhESV2wGrGb&amp;destination=https%3A%2F%2Fwww.kohls.com%2Fsearch.jsp%3Fsubmit-search%3Dweb-regular%26search%3D76194421", "Retail Link")</f>
        <v>Retail Link</v>
      </c>
      <c r="J1227" s="14" t="s">
        <v>4231</v>
      </c>
      <c r="K1227" s="13" t="s">
        <v>4232</v>
      </c>
      <c r="L1227" s="15">
        <v>52.8</v>
      </c>
      <c r="M1227" s="15">
        <v>66</v>
      </c>
      <c r="N1227" s="15">
        <v>-11.25</v>
      </c>
      <c r="O1227" s="15">
        <f>V1227-M1227</f>
        <v>49.099999999999994</v>
      </c>
      <c r="P1227" s="16">
        <f>N1227/L1227</f>
        <v>-0.21306818181818182</v>
      </c>
      <c r="Q1227" s="14">
        <v>931412</v>
      </c>
      <c r="R1227" s="14"/>
      <c r="S1227" s="17">
        <v>2.6499532399999999</v>
      </c>
      <c r="T1227" s="15">
        <v>66</v>
      </c>
      <c r="U1227" s="15">
        <v>100.3</v>
      </c>
      <c r="V1227" s="15">
        <v>115.1</v>
      </c>
      <c r="W1227" s="14" t="s">
        <v>53</v>
      </c>
      <c r="X1227" s="14">
        <v>4</v>
      </c>
      <c r="Y1227" s="10">
        <f>AC1227-AB1227</f>
        <v>4</v>
      </c>
      <c r="Z1227" s="18">
        <v>6</v>
      </c>
      <c r="AA1227" s="18">
        <v>30</v>
      </c>
      <c r="AB1227" s="18">
        <v>0</v>
      </c>
      <c r="AC1227" s="18">
        <v>4</v>
      </c>
      <c r="AD1227" s="1" t="s">
        <v>4233</v>
      </c>
      <c r="AE1227" s="1" t="s">
        <v>4234</v>
      </c>
      <c r="AF1227" s="4">
        <v>11.22</v>
      </c>
      <c r="AG1227" s="4">
        <v>14.55</v>
      </c>
    </row>
    <row r="1228" spans="1:33" ht="30" x14ac:dyDescent="0.25">
      <c r="A1228" s="10" t="s">
        <v>4262</v>
      </c>
      <c r="B1228" s="11" t="s">
        <v>33</v>
      </c>
      <c r="C1228" s="12" t="s">
        <v>4263</v>
      </c>
      <c r="D1228" s="27"/>
      <c r="E1228" s="14" t="s">
        <v>35</v>
      </c>
      <c r="F1228" s="11" t="str">
        <f>HYPERLINK("https://redirect.sdcdeals.com/redirect?destination=https%3A%2F%2Fwww.amazon.com%2Fdp%2FB0BKQSQH9Q%3Fth%3D1%26psc%3D1%26tag%3Dsdcdeals03-20", "Amazon Link")</f>
        <v>Amazon Link</v>
      </c>
      <c r="G1228" s="11" t="s">
        <v>36</v>
      </c>
      <c r="H1228" s="14" t="s">
        <v>4264</v>
      </c>
      <c r="I1228" s="11" t="str">
        <f>HYPERLINK("https://redirect.sdcdeals.com/redirect?code=763034&amp;mavely=https://mavely.app.link/e/bhESV2wGrGb&amp;destination=https%3A%2F%2Fwww.kohls.com%2Fsearch.jsp%3Fsubmit-search%3Dweb-regular%26search%3D76194429", "Retail Link")</f>
        <v>Retail Link</v>
      </c>
      <c r="J1228" s="14" t="s">
        <v>4231</v>
      </c>
      <c r="K1228" s="13" t="s">
        <v>4265</v>
      </c>
      <c r="L1228" s="15">
        <v>52.8</v>
      </c>
      <c r="M1228" s="15">
        <v>66</v>
      </c>
      <c r="N1228" s="15">
        <v>-11.25</v>
      </c>
      <c r="O1228" s="15">
        <f>V1228-M1228</f>
        <v>41.099999999999994</v>
      </c>
      <c r="P1228" s="16">
        <f>N1228/L1228</f>
        <v>-0.21306818181818182</v>
      </c>
      <c r="Q1228" s="14">
        <v>931412</v>
      </c>
      <c r="R1228" s="14"/>
      <c r="S1228" s="17">
        <v>2.9497815599999999</v>
      </c>
      <c r="T1228" s="15">
        <v>66</v>
      </c>
      <c r="U1228" s="15">
        <v>93.1</v>
      </c>
      <c r="V1228" s="15">
        <v>107.1</v>
      </c>
      <c r="W1228" s="14" t="s">
        <v>1822</v>
      </c>
      <c r="X1228" s="14">
        <v>8</v>
      </c>
      <c r="Y1228" s="10">
        <f>AC1228-AB1228</f>
        <v>4</v>
      </c>
      <c r="Z1228" s="18">
        <v>6</v>
      </c>
      <c r="AA1228" s="18">
        <v>25</v>
      </c>
      <c r="AB1228" s="18">
        <v>0</v>
      </c>
      <c r="AC1228" s="18">
        <v>4</v>
      </c>
      <c r="AD1228" s="1" t="s">
        <v>4233</v>
      </c>
      <c r="AE1228" s="1" t="s">
        <v>4234</v>
      </c>
      <c r="AF1228" s="4">
        <v>11.22</v>
      </c>
      <c r="AG1228" s="4">
        <v>14.55</v>
      </c>
    </row>
    <row r="1229" spans="1:33" ht="30" x14ac:dyDescent="0.25">
      <c r="A1229" s="10" t="s">
        <v>4275</v>
      </c>
      <c r="B1229" s="11" t="s">
        <v>33</v>
      </c>
      <c r="C1229" s="12" t="s">
        <v>4276</v>
      </c>
      <c r="D1229" s="27"/>
      <c r="E1229" s="14" t="s">
        <v>35</v>
      </c>
      <c r="F1229" s="11" t="str">
        <f>HYPERLINK("https://redirect.sdcdeals.com/redirect?destination=https%3A%2F%2Fwww.amazon.com%2Fdp%2FB0BKR1S6ZK%3Fth%3D1%26psc%3D1%26tag%3Dsdcdeals03-20", "Amazon Link")</f>
        <v>Amazon Link</v>
      </c>
      <c r="G1229" s="11" t="s">
        <v>36</v>
      </c>
      <c r="H1229" s="14" t="s">
        <v>4277</v>
      </c>
      <c r="I1229" s="11" t="str">
        <f>HYPERLINK("https://redirect.sdcdeals.com/redirect?code=763034&amp;mavely=https://mavely.app.link/e/bhESV2wGrGb&amp;destination=https%3A%2F%2Fwww.kohls.com%2Fsearch.jsp%3Fsubmit-search%3Dweb-regular%26search%3D76194430", "Retail Link")</f>
        <v>Retail Link</v>
      </c>
      <c r="J1229" s="14" t="s">
        <v>4231</v>
      </c>
      <c r="K1229" s="13" t="s">
        <v>4278</v>
      </c>
      <c r="L1229" s="15">
        <v>52.8</v>
      </c>
      <c r="M1229" s="15">
        <v>66</v>
      </c>
      <c r="N1229" s="15">
        <v>-11.25</v>
      </c>
      <c r="O1229" s="15">
        <f>V1229-M1229</f>
        <v>41</v>
      </c>
      <c r="P1229" s="16">
        <f>N1229/L1229</f>
        <v>-0.21306818181818182</v>
      </c>
      <c r="Q1229" s="14">
        <v>931412</v>
      </c>
      <c r="R1229" s="14"/>
      <c r="S1229" s="17">
        <v>2.4294912399999999</v>
      </c>
      <c r="T1229" s="15">
        <v>66</v>
      </c>
      <c r="U1229" s="15">
        <v>96.01</v>
      </c>
      <c r="V1229" s="15">
        <v>107</v>
      </c>
      <c r="W1229" s="14" t="s">
        <v>306</v>
      </c>
      <c r="X1229" s="14">
        <v>7</v>
      </c>
      <c r="Y1229" s="10">
        <f>AC1229-AB1229</f>
        <v>3</v>
      </c>
      <c r="Z1229" s="18">
        <v>6</v>
      </c>
      <c r="AA1229" s="18">
        <v>24</v>
      </c>
      <c r="AB1229" s="18">
        <v>0</v>
      </c>
      <c r="AC1229" s="18">
        <v>3</v>
      </c>
      <c r="AD1229" s="1" t="s">
        <v>4233</v>
      </c>
      <c r="AE1229" s="1" t="s">
        <v>4234</v>
      </c>
      <c r="AF1229" s="4">
        <v>11.22</v>
      </c>
      <c r="AG1229" s="4">
        <v>14.55</v>
      </c>
    </row>
    <row r="1230" spans="1:33" ht="30" x14ac:dyDescent="0.25">
      <c r="A1230" s="10" t="s">
        <v>4295</v>
      </c>
      <c r="B1230" s="11" t="s">
        <v>33</v>
      </c>
      <c r="C1230" s="12" t="s">
        <v>4296</v>
      </c>
      <c r="D1230" s="27"/>
      <c r="E1230" s="14" t="s">
        <v>35</v>
      </c>
      <c r="F1230" s="11" t="str">
        <f>HYPERLINK("https://redirect.sdcdeals.com/redirect?destination=https%3A%2F%2Fwww.amazon.com%2Fdp%2FB0BKQYLLSG%3Fth%3D1%26psc%3D1%26tag%3Dsdcdeals03-20", "Amazon Link")</f>
        <v>Amazon Link</v>
      </c>
      <c r="G1230" s="11" t="s">
        <v>36</v>
      </c>
      <c r="H1230" s="14" t="s">
        <v>4297</v>
      </c>
      <c r="I1230" s="11" t="str">
        <f>HYPERLINK("https://redirect.sdcdeals.com/redirect?code=763034&amp;mavely=https://mavely.app.link/e/bhESV2wGrGb&amp;destination=https%3A%2F%2Fwww.kohls.com%2Fsearch.jsp%3Fsubmit-search%3Dweb-regular%26search%3D76194399", "Retail Link")</f>
        <v>Retail Link</v>
      </c>
      <c r="J1230" s="14" t="s">
        <v>4231</v>
      </c>
      <c r="K1230" s="13" t="s">
        <v>4298</v>
      </c>
      <c r="L1230" s="15">
        <v>52.8</v>
      </c>
      <c r="M1230" s="15">
        <v>66</v>
      </c>
      <c r="N1230" s="15">
        <v>-11.25</v>
      </c>
      <c r="O1230" s="15">
        <f>V1230-M1230</f>
        <v>43.56</v>
      </c>
      <c r="P1230" s="16">
        <f>N1230/L1230</f>
        <v>-0.21306818181818182</v>
      </c>
      <c r="Q1230" s="14">
        <v>931412</v>
      </c>
      <c r="R1230" s="14"/>
      <c r="S1230" s="17">
        <v>2.4691744</v>
      </c>
      <c r="T1230" s="15">
        <v>66</v>
      </c>
      <c r="U1230" s="15">
        <v>81.040000000000006</v>
      </c>
      <c r="V1230" s="15">
        <v>109.56</v>
      </c>
      <c r="W1230" s="14" t="s">
        <v>1134</v>
      </c>
      <c r="X1230" s="14">
        <v>6</v>
      </c>
      <c r="Y1230" s="10">
        <f>AC1230-AB1230</f>
        <v>3</v>
      </c>
      <c r="Z1230" s="18">
        <v>7</v>
      </c>
      <c r="AA1230" s="18">
        <v>25</v>
      </c>
      <c r="AB1230" s="18">
        <v>0</v>
      </c>
      <c r="AC1230" s="18">
        <v>3</v>
      </c>
      <c r="AD1230" s="1" t="s">
        <v>4233</v>
      </c>
      <c r="AE1230" s="1" t="s">
        <v>4257</v>
      </c>
      <c r="AF1230" s="4">
        <v>11.22</v>
      </c>
      <c r="AG1230" s="4">
        <v>14.55</v>
      </c>
    </row>
    <row r="1231" spans="1:33" ht="30" x14ac:dyDescent="0.25">
      <c r="A1231" s="10" t="s">
        <v>4303</v>
      </c>
      <c r="B1231" s="11" t="s">
        <v>33</v>
      </c>
      <c r="C1231" s="12" t="s">
        <v>4304</v>
      </c>
      <c r="D1231" s="27"/>
      <c r="E1231" s="14" t="s">
        <v>35</v>
      </c>
      <c r="F1231" s="11" t="str">
        <f>HYPERLINK("https://redirect.sdcdeals.com/redirect?destination=https%3A%2F%2Fwww.amazon.com%2Fdp%2FB0BKR2FKSH%3Fth%3D1%26psc%3D1%26tag%3Dsdcdeals03-20", "Amazon Link")</f>
        <v>Amazon Link</v>
      </c>
      <c r="G1231" s="11" t="s">
        <v>36</v>
      </c>
      <c r="H1231" s="14" t="s">
        <v>4305</v>
      </c>
      <c r="I1231" s="11" t="str">
        <f>HYPERLINK("https://redirect.sdcdeals.com/redirect?code=763034&amp;mavely=https://mavely.app.link/e/bhESV2wGrGb&amp;destination=https%3A%2F%2Fwww.kohls.com%2Fsearch.jsp%3Fsubmit-search%3Dweb-regular%26search%3D76194431", "Retail Link")</f>
        <v>Retail Link</v>
      </c>
      <c r="J1231" s="14" t="s">
        <v>4231</v>
      </c>
      <c r="K1231" s="13" t="s">
        <v>4306</v>
      </c>
      <c r="L1231" s="15">
        <v>52.8</v>
      </c>
      <c r="M1231" s="15">
        <v>66</v>
      </c>
      <c r="N1231" s="15">
        <v>-11.25</v>
      </c>
      <c r="O1231" s="15">
        <f>V1231-M1231</f>
        <v>58.370000000000005</v>
      </c>
      <c r="P1231" s="16">
        <f>N1231/L1231</f>
        <v>-0.21306818181818182</v>
      </c>
      <c r="Q1231" s="14">
        <v>931412</v>
      </c>
      <c r="R1231" s="14"/>
      <c r="S1231" s="17">
        <v>2.4691744</v>
      </c>
      <c r="T1231" s="15">
        <v>66</v>
      </c>
      <c r="U1231" s="15">
        <v>117.77</v>
      </c>
      <c r="V1231" s="15">
        <v>124.37</v>
      </c>
      <c r="W1231" s="14" t="s">
        <v>613</v>
      </c>
      <c r="X1231" s="14">
        <v>2</v>
      </c>
      <c r="Y1231" s="10">
        <f>AC1231-AB1231</f>
        <v>3</v>
      </c>
      <c r="Z1231" s="18">
        <v>5</v>
      </c>
      <c r="AA1231" s="18">
        <v>28</v>
      </c>
      <c r="AB1231" s="18">
        <v>0</v>
      </c>
      <c r="AC1231" s="18">
        <v>3</v>
      </c>
      <c r="AD1231" s="1" t="s">
        <v>4233</v>
      </c>
      <c r="AE1231" s="1" t="s">
        <v>4234</v>
      </c>
      <c r="AF1231" s="4">
        <v>11.22</v>
      </c>
      <c r="AG1231" s="4">
        <v>14.55</v>
      </c>
    </row>
    <row r="1232" spans="1:33" ht="30" x14ac:dyDescent="0.25">
      <c r="A1232" s="10" t="s">
        <v>4596</v>
      </c>
      <c r="B1232" s="11" t="s">
        <v>33</v>
      </c>
      <c r="C1232" s="12" t="s">
        <v>4597</v>
      </c>
      <c r="D1232" s="27"/>
      <c r="E1232" s="14" t="s">
        <v>35</v>
      </c>
      <c r="F1232" s="11" t="str">
        <f>HYPERLINK("https://redirect.sdcdeals.com/redirect?destination=https%3A%2F%2Fwww.amazon.com%2Fdp%2FB0BNSWLLCB%3Fth%3D1%26psc%3D1%26tag%3Dsdcdeals03-20", "Amazon Link")</f>
        <v>Amazon Link</v>
      </c>
      <c r="G1232" s="11" t="s">
        <v>36</v>
      </c>
      <c r="H1232" s="14" t="s">
        <v>4598</v>
      </c>
      <c r="I1232" s="11" t="str">
        <f>HYPERLINK("https://redirect.sdcdeals.com/redirect?code=763034&amp;mavely=https://mavely.app.link/e/bhESV2wGrGb&amp;destination=https%3A%2F%2Fwww.kohls.com%2Fsearch.jsp%3Fsubmit-search%3Dweb-regular%26search%3D29762476", "Retail Link")</f>
        <v>Retail Link</v>
      </c>
      <c r="J1232" s="14" t="s">
        <v>4593</v>
      </c>
      <c r="K1232" s="13" t="s">
        <v>4599</v>
      </c>
      <c r="L1232" s="15">
        <v>21</v>
      </c>
      <c r="M1232" s="15">
        <v>26.25</v>
      </c>
      <c r="N1232" s="15">
        <v>-4.5874999999999986</v>
      </c>
      <c r="O1232" s="15">
        <f>V1232-M1232</f>
        <v>0.75</v>
      </c>
      <c r="P1232" s="16">
        <f>N1232/L1232</f>
        <v>-0.2184523809523809</v>
      </c>
      <c r="Q1232" s="14">
        <v>715422</v>
      </c>
      <c r="R1232" s="14"/>
      <c r="S1232" s="17">
        <v>0.35053457999999998</v>
      </c>
      <c r="T1232" s="15">
        <v>26.25</v>
      </c>
      <c r="U1232" s="15">
        <v>29.54</v>
      </c>
      <c r="V1232" s="15">
        <v>27</v>
      </c>
      <c r="W1232" s="14" t="s">
        <v>199</v>
      </c>
      <c r="X1232" s="14">
        <v>2</v>
      </c>
      <c r="Y1232" s="10">
        <f>AC1232-AB1232</f>
        <v>2</v>
      </c>
      <c r="Z1232" s="18">
        <v>7</v>
      </c>
      <c r="AA1232" s="18">
        <v>22</v>
      </c>
      <c r="AB1232" s="18">
        <v>1</v>
      </c>
      <c r="AC1232" s="18">
        <v>3</v>
      </c>
      <c r="AD1232" s="1" t="s">
        <v>4595</v>
      </c>
      <c r="AE1232" s="1" t="s">
        <v>4600</v>
      </c>
      <c r="AF1232" s="4">
        <v>4.46</v>
      </c>
      <c r="AG1232" s="4">
        <v>5.9</v>
      </c>
    </row>
    <row r="1233" spans="1:33" ht="30" x14ac:dyDescent="0.25">
      <c r="A1233" s="10" t="s">
        <v>4601</v>
      </c>
      <c r="B1233" s="11" t="s">
        <v>33</v>
      </c>
      <c r="C1233" s="12" t="s">
        <v>4602</v>
      </c>
      <c r="D1233" s="27"/>
      <c r="E1233" s="14" t="s">
        <v>35</v>
      </c>
      <c r="F1233" s="11" t="str">
        <f>HYPERLINK("https://redirect.sdcdeals.com/redirect?destination=https%3A%2F%2Fwww.amazon.com%2Fdp%2FB0BNR5ZQPW%3Fth%3D1%26psc%3D1%26tag%3Dsdcdeals03-20", "Amazon Link")</f>
        <v>Amazon Link</v>
      </c>
      <c r="G1233" s="11" t="s">
        <v>36</v>
      </c>
      <c r="H1233" s="14" t="s">
        <v>4603</v>
      </c>
      <c r="I1233" s="11" t="str">
        <f>HYPERLINK("https://redirect.sdcdeals.com/redirect?code=763034&amp;mavely=https://mavely.app.link/e/bhESV2wGrGb&amp;destination=https%3A%2F%2Fwww.kohls.com%2Fsearch.jsp%3Fsubmit-search%3Dweb-regular%26search%3D81910726", "Retail Link")</f>
        <v>Retail Link</v>
      </c>
      <c r="J1233" s="14" t="s">
        <v>4593</v>
      </c>
      <c r="K1233" s="13" t="s">
        <v>4604</v>
      </c>
      <c r="L1233" s="15">
        <v>21</v>
      </c>
      <c r="M1233" s="15">
        <v>26.25</v>
      </c>
      <c r="N1233" s="15">
        <v>-4.5874999999999986</v>
      </c>
      <c r="O1233" s="15">
        <f>V1233-M1233</f>
        <v>7.7199999999999989</v>
      </c>
      <c r="P1233" s="16">
        <f>N1233/L1233</f>
        <v>-0.2184523809523809</v>
      </c>
      <c r="Q1233" s="14">
        <v>715422</v>
      </c>
      <c r="R1233" s="14"/>
      <c r="S1233" s="17">
        <v>0.35053457999999998</v>
      </c>
      <c r="T1233" s="15">
        <v>26.25</v>
      </c>
      <c r="U1233" s="15">
        <v>35.53</v>
      </c>
      <c r="V1233" s="15">
        <v>33.97</v>
      </c>
      <c r="W1233" s="14" t="s">
        <v>436</v>
      </c>
      <c r="X1233" s="14">
        <v>3</v>
      </c>
      <c r="Y1233" s="10">
        <f>AC1233-AB1233</f>
        <v>3</v>
      </c>
      <c r="Z1233" s="18">
        <v>11</v>
      </c>
      <c r="AA1233" s="18">
        <v>33</v>
      </c>
      <c r="AB1233" s="18">
        <v>0</v>
      </c>
      <c r="AC1233" s="18">
        <v>3</v>
      </c>
      <c r="AD1233" s="1" t="s">
        <v>4595</v>
      </c>
      <c r="AE1233" s="1" t="s">
        <v>856</v>
      </c>
      <c r="AF1233" s="4">
        <v>4.46</v>
      </c>
      <c r="AG1233" s="4">
        <v>5.9</v>
      </c>
    </row>
    <row r="1234" spans="1:33" ht="30" x14ac:dyDescent="0.25">
      <c r="A1234" s="10" t="s">
        <v>4605</v>
      </c>
      <c r="B1234" s="11" t="s">
        <v>33</v>
      </c>
      <c r="C1234" s="12" t="s">
        <v>4606</v>
      </c>
      <c r="D1234" s="27"/>
      <c r="E1234" s="14" t="s">
        <v>35</v>
      </c>
      <c r="F1234" s="11" t="str">
        <f>HYPERLINK("https://redirect.sdcdeals.com/redirect?destination=https%3A%2F%2Fwww.amazon.com%2Fdp%2FB0BNR5BV8B%3Fth%3D1%26psc%3D1%26tag%3Dsdcdeals03-20", "Amazon Link")</f>
        <v>Amazon Link</v>
      </c>
      <c r="G1234" s="11" t="s">
        <v>36</v>
      </c>
      <c r="H1234" s="14" t="s">
        <v>4607</v>
      </c>
      <c r="I1234" s="11" t="str">
        <f>HYPERLINK("https://redirect.sdcdeals.com/redirect?code=763034&amp;mavely=https://mavely.app.link/e/bhESV2wGrGb&amp;destination=https%3A%2F%2Fwww.kohls.com%2Fsearch.jsp%3Fsubmit-search%3Dweb-regular%26search%3D37212128", "Retail Link")</f>
        <v>Retail Link</v>
      </c>
      <c r="J1234" s="14" t="s">
        <v>4593</v>
      </c>
      <c r="K1234" s="13" t="s">
        <v>4608</v>
      </c>
      <c r="L1234" s="15">
        <v>21</v>
      </c>
      <c r="M1234" s="15">
        <v>26.25</v>
      </c>
      <c r="N1234" s="15">
        <v>-4.5874999999999986</v>
      </c>
      <c r="O1234" s="15">
        <f>V1234-M1234</f>
        <v>15.579999999999998</v>
      </c>
      <c r="P1234" s="16">
        <f>N1234/L1234</f>
        <v>-0.2184523809523809</v>
      </c>
      <c r="Q1234" s="14">
        <v>715422</v>
      </c>
      <c r="R1234" s="14"/>
      <c r="S1234" s="17">
        <v>0.39683160000000001</v>
      </c>
      <c r="T1234" s="15">
        <v>26.25</v>
      </c>
      <c r="U1234" s="15">
        <v>45.32</v>
      </c>
      <c r="V1234" s="15">
        <v>41.83</v>
      </c>
      <c r="W1234" s="14" t="s">
        <v>964</v>
      </c>
      <c r="X1234" s="14">
        <v>5</v>
      </c>
      <c r="Y1234" s="10">
        <f>AC1234-AB1234</f>
        <v>3</v>
      </c>
      <c r="Z1234" s="18">
        <v>10</v>
      </c>
      <c r="AA1234" s="18">
        <v>27</v>
      </c>
      <c r="AB1234" s="18">
        <v>0</v>
      </c>
      <c r="AC1234" s="18">
        <v>3</v>
      </c>
      <c r="AD1234" s="1" t="s">
        <v>4595</v>
      </c>
      <c r="AE1234" s="1" t="s">
        <v>76</v>
      </c>
      <c r="AF1234" s="4">
        <v>4.47</v>
      </c>
      <c r="AG1234" s="4">
        <v>5.9</v>
      </c>
    </row>
    <row r="1235" spans="1:33" ht="30" x14ac:dyDescent="0.25">
      <c r="A1235" s="10" t="s">
        <v>4609</v>
      </c>
      <c r="B1235" s="11" t="s">
        <v>33</v>
      </c>
      <c r="C1235" s="12" t="s">
        <v>4610</v>
      </c>
      <c r="D1235" s="27"/>
      <c r="E1235" s="14" t="s">
        <v>35</v>
      </c>
      <c r="F1235" s="11" t="str">
        <f>HYPERLINK("https://redirect.sdcdeals.com/redirect?destination=https%3A%2F%2Fwww.amazon.com%2Fdp%2FB0BNSPTT1J%3Fth%3D1%26psc%3D1%26tag%3Dsdcdeals03-20", "Amazon Link")</f>
        <v>Amazon Link</v>
      </c>
      <c r="G1235" s="11" t="s">
        <v>36</v>
      </c>
      <c r="H1235" s="14" t="s">
        <v>4611</v>
      </c>
      <c r="I1235" s="11" t="str">
        <f>HYPERLINK("https://redirect.sdcdeals.com/redirect?code=763034&amp;mavely=https://mavely.app.link/e/bhESV2wGrGb&amp;destination=https%3A%2F%2Fwww.kohls.com%2Fsearch.jsp%3Fsubmit-search%3Dweb-regular%26search%3D29762486", "Retail Link")</f>
        <v>Retail Link</v>
      </c>
      <c r="J1235" s="14" t="s">
        <v>4593</v>
      </c>
      <c r="K1235" s="13" t="s">
        <v>4612</v>
      </c>
      <c r="L1235" s="15">
        <v>21</v>
      </c>
      <c r="M1235" s="15">
        <v>26.25</v>
      </c>
      <c r="N1235" s="15">
        <v>-4.5874999999999986</v>
      </c>
      <c r="O1235" s="15">
        <f>V1235-M1235</f>
        <v>11.450000000000003</v>
      </c>
      <c r="P1235" s="16">
        <f>N1235/L1235</f>
        <v>-0.2184523809523809</v>
      </c>
      <c r="Q1235" s="14">
        <v>715422</v>
      </c>
      <c r="R1235" s="14"/>
      <c r="S1235" s="17">
        <v>0.3858085</v>
      </c>
      <c r="T1235" s="15">
        <v>26.25</v>
      </c>
      <c r="U1235" s="15">
        <v>45.6</v>
      </c>
      <c r="V1235" s="15">
        <v>37.700000000000003</v>
      </c>
      <c r="W1235" s="14" t="s">
        <v>131</v>
      </c>
      <c r="X1235" s="14">
        <v>2</v>
      </c>
      <c r="Y1235" s="10">
        <f>AC1235-AB1235</f>
        <v>2</v>
      </c>
      <c r="Z1235" s="18">
        <v>9</v>
      </c>
      <c r="AA1235" s="18">
        <v>22</v>
      </c>
      <c r="AB1235" s="18">
        <v>1</v>
      </c>
      <c r="AC1235" s="18">
        <v>3</v>
      </c>
      <c r="AD1235" s="1" t="s">
        <v>4595</v>
      </c>
      <c r="AE1235" s="1" t="s">
        <v>4600</v>
      </c>
      <c r="AF1235" s="4">
        <v>4.47</v>
      </c>
      <c r="AG1235" s="4">
        <v>5.9</v>
      </c>
    </row>
    <row r="1236" spans="1:33" ht="30" x14ac:dyDescent="0.25">
      <c r="A1236" s="10" t="s">
        <v>4613</v>
      </c>
      <c r="B1236" s="11" t="s">
        <v>33</v>
      </c>
      <c r="C1236" s="12" t="s">
        <v>4614</v>
      </c>
      <c r="D1236" s="27"/>
      <c r="E1236" s="14" t="s">
        <v>35</v>
      </c>
      <c r="F1236" s="11" t="str">
        <f>HYPERLINK("https://redirect.sdcdeals.com/redirect?destination=https%3A%2F%2Fwww.amazon.com%2Fdp%2FB0BNSTR3W2%3Fth%3D1%26psc%3D1%26tag%3Dsdcdeals03-20", "Amazon Link")</f>
        <v>Amazon Link</v>
      </c>
      <c r="G1236" s="11" t="s">
        <v>36</v>
      </c>
      <c r="H1236" s="14" t="s">
        <v>4615</v>
      </c>
      <c r="I1236" s="11" t="str">
        <f>HYPERLINK("https://redirect.sdcdeals.com/redirect?code=763034&amp;mavely=https://mavely.app.link/e/bhESV2wGrGb&amp;destination=https%3A%2F%2Fwww.kohls.com%2Fsearch.jsp%3Fsubmit-search%3Dweb-regular%26search%3D81910727", "Retail Link")</f>
        <v>Retail Link</v>
      </c>
      <c r="J1236" s="14" t="s">
        <v>4593</v>
      </c>
      <c r="K1236" s="13" t="s">
        <v>4616</v>
      </c>
      <c r="L1236" s="15">
        <v>21</v>
      </c>
      <c r="M1236" s="15">
        <v>26.25</v>
      </c>
      <c r="N1236" s="15">
        <v>-4.5874999999999986</v>
      </c>
      <c r="O1236" s="15">
        <f>V1236-M1236</f>
        <v>21.25</v>
      </c>
      <c r="P1236" s="16">
        <f>N1236/L1236</f>
        <v>-0.2184523809523809</v>
      </c>
      <c r="Q1236" s="14">
        <v>715422</v>
      </c>
      <c r="R1236" s="14"/>
      <c r="S1236" s="17">
        <v>0.37037616000000001</v>
      </c>
      <c r="T1236" s="15">
        <v>26.25</v>
      </c>
      <c r="U1236" s="15">
        <v>47.39</v>
      </c>
      <c r="V1236" s="15">
        <v>47.5</v>
      </c>
      <c r="W1236" s="14" t="s">
        <v>359</v>
      </c>
      <c r="X1236" s="14">
        <v>4</v>
      </c>
      <c r="Y1236" s="10">
        <f>AC1236-AB1236</f>
        <v>3</v>
      </c>
      <c r="Z1236" s="18">
        <v>10</v>
      </c>
      <c r="AA1236" s="18">
        <v>28</v>
      </c>
      <c r="AB1236" s="18">
        <v>0</v>
      </c>
      <c r="AC1236" s="18">
        <v>3</v>
      </c>
      <c r="AD1236" s="1" t="s">
        <v>4595</v>
      </c>
      <c r="AE1236" s="1" t="s">
        <v>856</v>
      </c>
      <c r="AF1236" s="4">
        <v>4.46</v>
      </c>
      <c r="AG1236" s="4">
        <v>5.9</v>
      </c>
    </row>
    <row r="1237" spans="1:33" ht="30" x14ac:dyDescent="0.25">
      <c r="A1237" s="10" t="s">
        <v>4617</v>
      </c>
      <c r="B1237" s="11" t="s">
        <v>33</v>
      </c>
      <c r="C1237" s="12" t="s">
        <v>4618</v>
      </c>
      <c r="D1237" s="27"/>
      <c r="E1237" s="14" t="s">
        <v>35</v>
      </c>
      <c r="F1237" s="11" t="str">
        <f>HYPERLINK("https://redirect.sdcdeals.com/redirect?destination=https%3A%2F%2Fwww.amazon.com%2Fdp%2FB0BNSVW8KF%3Fth%3D1%26psc%3D1%26tag%3Dsdcdeals03-20", "Amazon Link")</f>
        <v>Amazon Link</v>
      </c>
      <c r="G1237" s="11" t="s">
        <v>36</v>
      </c>
      <c r="H1237" s="14" t="s">
        <v>4619</v>
      </c>
      <c r="I1237" s="11" t="str">
        <f>HYPERLINK("https://redirect.sdcdeals.com/redirect?code=763034&amp;mavely=https://mavely.app.link/e/bhESV2wGrGb&amp;destination=https%3A%2F%2Fwww.kohls.com%2Fsearch.jsp%3Fsubmit-search%3Dweb-regular%26search%3D37212129", "Retail Link")</f>
        <v>Retail Link</v>
      </c>
      <c r="J1237" s="14" t="s">
        <v>4593</v>
      </c>
      <c r="K1237" s="13" t="s">
        <v>4620</v>
      </c>
      <c r="L1237" s="15">
        <v>21</v>
      </c>
      <c r="M1237" s="15">
        <v>26.25</v>
      </c>
      <c r="N1237" s="15">
        <v>-4.5874999999999986</v>
      </c>
      <c r="O1237" s="15">
        <f>V1237-M1237</f>
        <v>21.35</v>
      </c>
      <c r="P1237" s="16">
        <f>N1237/L1237</f>
        <v>-0.2184523809523809</v>
      </c>
      <c r="Q1237" s="14">
        <v>715422</v>
      </c>
      <c r="R1237" s="14"/>
      <c r="S1237" s="17">
        <v>0.42108242000000001</v>
      </c>
      <c r="T1237" s="15">
        <v>26.25</v>
      </c>
      <c r="U1237" s="15">
        <v>47.96</v>
      </c>
      <c r="V1237" s="15">
        <v>47.6</v>
      </c>
      <c r="W1237" s="14" t="s">
        <v>1852</v>
      </c>
      <c r="X1237" s="14">
        <v>5</v>
      </c>
      <c r="Y1237" s="10">
        <f>AC1237-AB1237</f>
        <v>3</v>
      </c>
      <c r="Z1237" s="18">
        <v>11</v>
      </c>
      <c r="AA1237" s="18">
        <v>19</v>
      </c>
      <c r="AB1237" s="18">
        <v>0</v>
      </c>
      <c r="AC1237" s="18">
        <v>3</v>
      </c>
      <c r="AD1237" s="1" t="s">
        <v>4595</v>
      </c>
      <c r="AE1237" s="1" t="s">
        <v>76</v>
      </c>
      <c r="AF1237" s="4">
        <v>4.47</v>
      </c>
      <c r="AG1237" s="4">
        <v>5.9</v>
      </c>
    </row>
    <row r="1238" spans="1:33" ht="30" x14ac:dyDescent="0.25">
      <c r="A1238" s="10" t="s">
        <v>4621</v>
      </c>
      <c r="B1238" s="11" t="s">
        <v>33</v>
      </c>
      <c r="C1238" s="12" t="s">
        <v>4622</v>
      </c>
      <c r="D1238" s="27"/>
      <c r="E1238" s="14" t="s">
        <v>35</v>
      </c>
      <c r="F1238" s="11" t="str">
        <f>HYPERLINK("https://redirect.sdcdeals.com/redirect?destination=https%3A%2F%2Fwww.amazon.com%2Fdp%2FB0BNR36NJT%3Fth%3D1%26psc%3D1%26tag%3Dsdcdeals03-20", "Amazon Link")</f>
        <v>Amazon Link</v>
      </c>
      <c r="G1238" s="11" t="s">
        <v>36</v>
      </c>
      <c r="H1238" s="14" t="s">
        <v>4623</v>
      </c>
      <c r="I1238" s="11" t="str">
        <f>HYPERLINK("https://redirect.sdcdeals.com/redirect?code=763034&amp;mavely=https://mavely.app.link/e/bhESV2wGrGb&amp;destination=https%3A%2F%2Fwww.kohls.com%2Fsearch.jsp%3Fsubmit-search%3Dweb-regular%26search%3D29762496", "Retail Link")</f>
        <v>Retail Link</v>
      </c>
      <c r="J1238" s="14" t="s">
        <v>4593</v>
      </c>
      <c r="K1238" s="13" t="s">
        <v>4624</v>
      </c>
      <c r="L1238" s="15">
        <v>21</v>
      </c>
      <c r="M1238" s="15">
        <v>26.25</v>
      </c>
      <c r="N1238" s="15">
        <v>-4.5874999999999986</v>
      </c>
      <c r="O1238" s="15">
        <f>V1238-M1238</f>
        <v>15.780000000000001</v>
      </c>
      <c r="P1238" s="16">
        <f>N1238/L1238</f>
        <v>-0.2184523809523809</v>
      </c>
      <c r="Q1238" s="14">
        <v>715422</v>
      </c>
      <c r="R1238" s="14"/>
      <c r="S1238" s="17">
        <v>0.42108242000000001</v>
      </c>
      <c r="T1238" s="15">
        <v>26.25</v>
      </c>
      <c r="U1238" s="15">
        <v>45.21</v>
      </c>
      <c r="V1238" s="15">
        <v>42.03</v>
      </c>
      <c r="W1238" s="14" t="s">
        <v>964</v>
      </c>
      <c r="X1238" s="14">
        <v>3</v>
      </c>
      <c r="Y1238" s="10">
        <f>AC1238-AB1238</f>
        <v>3</v>
      </c>
      <c r="Z1238" s="18">
        <v>10</v>
      </c>
      <c r="AA1238" s="18">
        <v>29</v>
      </c>
      <c r="AB1238" s="18">
        <v>0</v>
      </c>
      <c r="AC1238" s="18">
        <v>3</v>
      </c>
      <c r="AD1238" s="1" t="s">
        <v>4595</v>
      </c>
      <c r="AE1238" s="1" t="s">
        <v>4600</v>
      </c>
      <c r="AF1238" s="4">
        <v>4.47</v>
      </c>
      <c r="AG1238" s="4">
        <v>5.9</v>
      </c>
    </row>
    <row r="1239" spans="1:33" ht="30" x14ac:dyDescent="0.25">
      <c r="A1239" s="10" t="s">
        <v>4625</v>
      </c>
      <c r="B1239" s="11" t="s">
        <v>33</v>
      </c>
      <c r="C1239" s="12" t="s">
        <v>4626</v>
      </c>
      <c r="D1239" s="27"/>
      <c r="E1239" s="14" t="s">
        <v>35</v>
      </c>
      <c r="F1239" s="11" t="str">
        <f>HYPERLINK("https://redirect.sdcdeals.com/redirect?destination=https%3A%2F%2Fwww.amazon.com%2Fdp%2FB0BNR78XW4%3Fth%3D1%26psc%3D1%26tag%3Dsdcdeals03-20", "Amazon Link")</f>
        <v>Amazon Link</v>
      </c>
      <c r="G1239" s="11" t="s">
        <v>36</v>
      </c>
      <c r="H1239" s="14" t="s">
        <v>4627</v>
      </c>
      <c r="I1239" s="11" t="str">
        <f>HYPERLINK("https://redirect.sdcdeals.com/redirect?code=763034&amp;mavely=https://mavely.app.link/e/bhESV2wGrGb&amp;destination=https%3A%2F%2Fwww.kohls.com%2Fsearch.jsp%3Fsubmit-search%3Dweb-regular%26search%3D81910734", "Retail Link")</f>
        <v>Retail Link</v>
      </c>
      <c r="J1239" s="14" t="s">
        <v>4593</v>
      </c>
      <c r="K1239" s="13" t="s">
        <v>4628</v>
      </c>
      <c r="L1239" s="15">
        <v>21</v>
      </c>
      <c r="M1239" s="15">
        <v>26.25</v>
      </c>
      <c r="N1239" s="15">
        <v>-4.5874999999999986</v>
      </c>
      <c r="O1239" s="15">
        <f>V1239-M1239</f>
        <v>16.829999999999998</v>
      </c>
      <c r="P1239" s="16">
        <f>N1239/L1239</f>
        <v>-0.2184523809523809</v>
      </c>
      <c r="Q1239" s="14">
        <v>715422</v>
      </c>
      <c r="R1239" s="14"/>
      <c r="S1239" s="17">
        <v>0.37919464000000003</v>
      </c>
      <c r="T1239" s="15">
        <v>26.25</v>
      </c>
      <c r="U1239" s="15">
        <v>43.26</v>
      </c>
      <c r="V1239" s="15">
        <v>43.08</v>
      </c>
      <c r="W1239" s="14" t="s">
        <v>698</v>
      </c>
      <c r="X1239" s="14">
        <v>4</v>
      </c>
      <c r="Y1239" s="10">
        <f>AC1239-AB1239</f>
        <v>3</v>
      </c>
      <c r="Z1239" s="18">
        <v>10</v>
      </c>
      <c r="AA1239" s="18">
        <v>27</v>
      </c>
      <c r="AB1239" s="18">
        <v>0</v>
      </c>
      <c r="AC1239" s="18">
        <v>3</v>
      </c>
      <c r="AD1239" s="1" t="s">
        <v>4595</v>
      </c>
      <c r="AE1239" s="1" t="s">
        <v>856</v>
      </c>
      <c r="AF1239" s="4">
        <v>4.46</v>
      </c>
      <c r="AG1239" s="4">
        <v>5.9</v>
      </c>
    </row>
    <row r="1240" spans="1:33" ht="30" x14ac:dyDescent="0.25">
      <c r="A1240" s="10" t="s">
        <v>4629</v>
      </c>
      <c r="B1240" s="11" t="s">
        <v>33</v>
      </c>
      <c r="C1240" s="12" t="s">
        <v>4630</v>
      </c>
      <c r="D1240" s="27"/>
      <c r="E1240" s="14" t="s">
        <v>35</v>
      </c>
      <c r="F1240" s="11" t="str">
        <f>HYPERLINK("https://redirect.sdcdeals.com/redirect?destination=https%3A%2F%2Fwww.amazon.com%2Fdp%2FB0BNR57RKJ%3Fth%3D1%26psc%3D1%26tag%3Dsdcdeals03-20", "Amazon Link")</f>
        <v>Amazon Link</v>
      </c>
      <c r="G1240" s="11" t="s">
        <v>36</v>
      </c>
      <c r="H1240" s="14" t="s">
        <v>4631</v>
      </c>
      <c r="I1240" s="11" t="str">
        <f>HYPERLINK("https://redirect.sdcdeals.com/redirect?code=763034&amp;mavely=https://mavely.app.link/e/bhESV2wGrGb&amp;destination=https%3A%2F%2Fwww.kohls.com%2Fsearch.jsp%3Fsubmit-search%3Dweb-regular%26search%3D29762506", "Retail Link")</f>
        <v>Retail Link</v>
      </c>
      <c r="J1240" s="14" t="s">
        <v>4593</v>
      </c>
      <c r="K1240" s="13" t="s">
        <v>4632</v>
      </c>
      <c r="L1240" s="15">
        <v>21</v>
      </c>
      <c r="M1240" s="15">
        <v>26.25</v>
      </c>
      <c r="N1240" s="15">
        <v>-4.5874999999999986</v>
      </c>
      <c r="O1240" s="15">
        <f>V1240-M1240</f>
        <v>17.630000000000003</v>
      </c>
      <c r="P1240" s="16">
        <f>N1240/L1240</f>
        <v>-0.2184523809523809</v>
      </c>
      <c r="Q1240" s="14">
        <v>715422</v>
      </c>
      <c r="R1240" s="14"/>
      <c r="S1240" s="17">
        <v>0.42108242000000001</v>
      </c>
      <c r="T1240" s="15">
        <v>26.25</v>
      </c>
      <c r="U1240" s="15">
        <v>43.23</v>
      </c>
      <c r="V1240" s="15">
        <v>43.88</v>
      </c>
      <c r="W1240" s="14" t="s">
        <v>359</v>
      </c>
      <c r="X1240" s="14">
        <v>3</v>
      </c>
      <c r="Y1240" s="10">
        <f>AC1240-AB1240</f>
        <v>3</v>
      </c>
      <c r="Z1240" s="18">
        <v>9</v>
      </c>
      <c r="AA1240" s="18">
        <v>26</v>
      </c>
      <c r="AB1240" s="18">
        <v>0</v>
      </c>
      <c r="AC1240" s="18">
        <v>3</v>
      </c>
      <c r="AD1240" s="1" t="s">
        <v>4595</v>
      </c>
      <c r="AE1240" s="1" t="s">
        <v>4600</v>
      </c>
      <c r="AF1240" s="4">
        <v>4.47</v>
      </c>
      <c r="AG1240" s="4">
        <v>5.9</v>
      </c>
    </row>
    <row r="1241" spans="1:33" ht="30" x14ac:dyDescent="0.25">
      <c r="A1241" s="10" t="s">
        <v>4637</v>
      </c>
      <c r="B1241" s="11" t="s">
        <v>33</v>
      </c>
      <c r="C1241" s="12" t="s">
        <v>4638</v>
      </c>
      <c r="D1241" s="27"/>
      <c r="E1241" s="14" t="s">
        <v>35</v>
      </c>
      <c r="F1241" s="11" t="str">
        <f>HYPERLINK("https://redirect.sdcdeals.com/redirect?destination=https%3A%2F%2Fwww.amazon.com%2Fdp%2FB0BNR46VLJ%3Fth%3D1%26psc%3D1%26tag%3Dsdcdeals03-20", "Amazon Link")</f>
        <v>Amazon Link</v>
      </c>
      <c r="G1241" s="11" t="s">
        <v>36</v>
      </c>
      <c r="H1241" s="14" t="s">
        <v>4639</v>
      </c>
      <c r="I1241" s="11" t="str">
        <f>HYPERLINK("https://redirect.sdcdeals.com/redirect?code=763034&amp;mavely=https://mavely.app.link/e/bhESV2wGrGb&amp;destination=https%3A%2F%2Fwww.kohls.com%2Fsearch.jsp%3Fsubmit-search%3Dweb-regular%26search%3D81910735", "Retail Link")</f>
        <v>Retail Link</v>
      </c>
      <c r="J1241" s="14" t="s">
        <v>4593</v>
      </c>
      <c r="K1241" s="13" t="s">
        <v>4640</v>
      </c>
      <c r="L1241" s="15">
        <v>21</v>
      </c>
      <c r="M1241" s="15">
        <v>26.25</v>
      </c>
      <c r="N1241" s="15">
        <v>-4.5874999999999986</v>
      </c>
      <c r="O1241" s="15">
        <f>V1241-M1241</f>
        <v>19.100000000000001</v>
      </c>
      <c r="P1241" s="16">
        <f>N1241/L1241</f>
        <v>-0.2184523809523809</v>
      </c>
      <c r="Q1241" s="14">
        <v>715422</v>
      </c>
      <c r="R1241" s="14"/>
      <c r="S1241" s="17">
        <v>0.42990089999999997</v>
      </c>
      <c r="T1241" s="15">
        <v>26.25</v>
      </c>
      <c r="U1241" s="15">
        <v>46.93</v>
      </c>
      <c r="V1241" s="15">
        <v>45.35</v>
      </c>
      <c r="W1241" s="14" t="s">
        <v>2879</v>
      </c>
      <c r="X1241" s="14">
        <v>4</v>
      </c>
      <c r="Y1241" s="10">
        <f>AC1241-AB1241</f>
        <v>3</v>
      </c>
      <c r="Z1241" s="18">
        <v>11</v>
      </c>
      <c r="AA1241" s="18">
        <v>28</v>
      </c>
      <c r="AB1241" s="18">
        <v>0</v>
      </c>
      <c r="AC1241" s="18">
        <v>3</v>
      </c>
      <c r="AD1241" s="1" t="s">
        <v>4595</v>
      </c>
      <c r="AE1241" s="1" t="s">
        <v>856</v>
      </c>
      <c r="AF1241" s="4">
        <v>4.46</v>
      </c>
      <c r="AG1241" s="4">
        <v>5.9</v>
      </c>
    </row>
    <row r="1242" spans="1:33" ht="30" x14ac:dyDescent="0.25">
      <c r="A1242" s="10" t="s">
        <v>4649</v>
      </c>
      <c r="B1242" s="11" t="s">
        <v>33</v>
      </c>
      <c r="C1242" s="12" t="s">
        <v>4650</v>
      </c>
      <c r="D1242" s="27"/>
      <c r="E1242" s="14" t="s">
        <v>35</v>
      </c>
      <c r="F1242" s="11" t="str">
        <f>HYPERLINK("https://redirect.sdcdeals.com/redirect?destination=https%3A%2F%2Fwww.amazon.com%2Fdp%2FB0BNSVV94C%3Fth%3D1%26psc%3D1%26tag%3Dsdcdeals03-20", "Amazon Link")</f>
        <v>Amazon Link</v>
      </c>
      <c r="G1242" s="11" t="s">
        <v>36</v>
      </c>
      <c r="H1242" s="14" t="s">
        <v>4651</v>
      </c>
      <c r="I1242" s="11" t="str">
        <f>HYPERLINK("https://redirect.sdcdeals.com/redirect?code=763034&amp;mavely=https://mavely.app.link/e/bhESV2wGrGb&amp;destination=https%3A%2F%2Fwww.kohls.com%2Fsearch.jsp%3Fsubmit-search%3Dweb-regular%26search%3D81910736", "Retail Link")</f>
        <v>Retail Link</v>
      </c>
      <c r="J1242" s="14" t="s">
        <v>4593</v>
      </c>
      <c r="K1242" s="13" t="s">
        <v>4652</v>
      </c>
      <c r="L1242" s="15">
        <v>21</v>
      </c>
      <c r="M1242" s="15">
        <v>26.25</v>
      </c>
      <c r="N1242" s="15">
        <v>-4.5874999999999986</v>
      </c>
      <c r="O1242" s="15">
        <f>V1242-M1242</f>
        <v>11.049999999999997</v>
      </c>
      <c r="P1242" s="16">
        <f>N1242/L1242</f>
        <v>-0.2184523809523809</v>
      </c>
      <c r="Q1242" s="14">
        <v>715422</v>
      </c>
      <c r="R1242" s="14"/>
      <c r="S1242" s="17">
        <v>0.44974248</v>
      </c>
      <c r="T1242" s="15">
        <v>26.25</v>
      </c>
      <c r="U1242" s="15">
        <v>37.11</v>
      </c>
      <c r="V1242" s="15">
        <v>37.299999999999997</v>
      </c>
      <c r="W1242" s="14" t="s">
        <v>964</v>
      </c>
      <c r="X1242" s="14">
        <v>4</v>
      </c>
      <c r="Y1242" s="10">
        <f>AC1242-AB1242</f>
        <v>3</v>
      </c>
      <c r="Z1242" s="18">
        <v>10</v>
      </c>
      <c r="AA1242" s="18">
        <v>33</v>
      </c>
      <c r="AB1242" s="18">
        <v>0</v>
      </c>
      <c r="AC1242" s="18">
        <v>3</v>
      </c>
      <c r="AD1242" s="1" t="s">
        <v>4595</v>
      </c>
      <c r="AE1242" s="1" t="s">
        <v>856</v>
      </c>
      <c r="AF1242" s="4">
        <v>4.46</v>
      </c>
      <c r="AG1242" s="4">
        <v>5.9</v>
      </c>
    </row>
    <row r="1243" spans="1:33" x14ac:dyDescent="0.25">
      <c r="A1243" s="10" t="s">
        <v>2283</v>
      </c>
      <c r="B1243" s="11" t="s">
        <v>33</v>
      </c>
      <c r="C1243" s="12" t="s">
        <v>2284</v>
      </c>
      <c r="D1243" s="27"/>
      <c r="E1243" s="14" t="s">
        <v>35</v>
      </c>
      <c r="F1243" s="11" t="str">
        <f>HYPERLINK("https://redirect.sdcdeals.com/redirect?destination=https%3A%2F%2Fwww.amazon.com%2Fdp%2FB0BKR1D2GG%3Fth%3D1%26psc%3D1%26tag%3Dsdcdeals03-20", "Amazon Link")</f>
        <v>Amazon Link</v>
      </c>
      <c r="G1243" s="11" t="s">
        <v>36</v>
      </c>
      <c r="H1243" s="14" t="s">
        <v>2285</v>
      </c>
      <c r="I1243" s="11" t="str">
        <f>HYPERLINK("https://redirect.sdcdeals.com/redirect?code=763034&amp;mavely=https://mavely.app.link/e/bhESV2wGrGb&amp;destination=https%3A%2F%2Fwww.kohls.com%2Fsearch.jsp%3Fsubmit-search%3Dweb-regular%26search%3D62949718", "Retail Link")</f>
        <v>Retail Link</v>
      </c>
      <c r="J1243" s="14" t="s">
        <v>2210</v>
      </c>
      <c r="K1243" s="13" t="s">
        <v>2286</v>
      </c>
      <c r="L1243" s="15">
        <v>52.8</v>
      </c>
      <c r="M1243" s="15">
        <v>66</v>
      </c>
      <c r="N1243" s="15">
        <v>-11.63</v>
      </c>
      <c r="O1243" s="15">
        <f>V1243-M1243</f>
        <v>27.189999999999998</v>
      </c>
      <c r="P1243" s="16">
        <f>N1243/L1243</f>
        <v>-0.22026515151515155</v>
      </c>
      <c r="Q1243" s="14">
        <v>1312989</v>
      </c>
      <c r="R1243" s="14"/>
      <c r="S1243" s="17">
        <v>2.2707586000000002</v>
      </c>
      <c r="T1243" s="15">
        <v>66</v>
      </c>
      <c r="U1243" s="15">
        <v>84.66</v>
      </c>
      <c r="V1243" s="15">
        <v>93.19</v>
      </c>
      <c r="W1243" s="14" t="s">
        <v>865</v>
      </c>
      <c r="X1243" s="14">
        <v>2</v>
      </c>
      <c r="Y1243" s="10">
        <f>AC1243-AB1243</f>
        <v>4</v>
      </c>
      <c r="Z1243" s="18">
        <v>5</v>
      </c>
      <c r="AA1243" s="18">
        <v>20</v>
      </c>
      <c r="AB1243" s="18">
        <v>0</v>
      </c>
      <c r="AC1243" s="18">
        <v>4</v>
      </c>
      <c r="AD1243" s="1" t="s">
        <v>2212</v>
      </c>
      <c r="AE1243" s="1" t="s">
        <v>1211</v>
      </c>
      <c r="AF1243" s="4">
        <v>11.22</v>
      </c>
      <c r="AG1243" s="4">
        <v>14.93</v>
      </c>
    </row>
    <row r="1244" spans="1:33" ht="30" x14ac:dyDescent="0.25">
      <c r="A1244" s="10" t="s">
        <v>4271</v>
      </c>
      <c r="B1244" s="11" t="s">
        <v>33</v>
      </c>
      <c r="C1244" s="12" t="s">
        <v>4272</v>
      </c>
      <c r="D1244" s="27"/>
      <c r="E1244" s="14" t="s">
        <v>35</v>
      </c>
      <c r="F1244" s="11" t="str">
        <f>HYPERLINK("https://redirect.sdcdeals.com/redirect?destination=https%3A%2F%2Fwww.amazon.com%2Fdp%2FB0BKQY4RRL%3Fth%3D1%26psc%3D1%26tag%3Dsdcdeals03-20", "Amazon Link")</f>
        <v>Amazon Link</v>
      </c>
      <c r="G1244" s="11" t="s">
        <v>36</v>
      </c>
      <c r="H1244" s="14" t="s">
        <v>4273</v>
      </c>
      <c r="I1244" s="11" t="str">
        <f>HYPERLINK("https://redirect.sdcdeals.com/redirect?code=763034&amp;mavely=https://mavely.app.link/e/bhESV2wGrGb&amp;destination=https%3A%2F%2Fwww.kohls.com%2Fsearch.jsp%3Fsubmit-search%3Dweb-regular%26search%3D76194391", "Retail Link")</f>
        <v>Retail Link</v>
      </c>
      <c r="J1244" s="14" t="s">
        <v>4231</v>
      </c>
      <c r="K1244" s="13" t="s">
        <v>4274</v>
      </c>
      <c r="L1244" s="15">
        <v>52.8</v>
      </c>
      <c r="M1244" s="15">
        <v>66</v>
      </c>
      <c r="N1244" s="15">
        <v>-11.63</v>
      </c>
      <c r="O1244" s="15">
        <f>V1244-M1244</f>
        <v>29.83</v>
      </c>
      <c r="P1244" s="16">
        <f>N1244/L1244</f>
        <v>-0.22026515151515155</v>
      </c>
      <c r="Q1244" s="14">
        <v>864930</v>
      </c>
      <c r="R1244" s="14"/>
      <c r="S1244" s="17">
        <v>2.8902568199999998</v>
      </c>
      <c r="T1244" s="15">
        <v>66</v>
      </c>
      <c r="U1244" s="15">
        <v>83.57</v>
      </c>
      <c r="V1244" s="15">
        <v>95.83</v>
      </c>
      <c r="W1244" s="14" t="s">
        <v>321</v>
      </c>
      <c r="X1244" s="14">
        <v>7</v>
      </c>
      <c r="Y1244" s="10">
        <f>AC1244-AB1244</f>
        <v>3</v>
      </c>
      <c r="Z1244" s="18">
        <v>6</v>
      </c>
      <c r="AA1244" s="18">
        <v>23</v>
      </c>
      <c r="AB1244" s="18">
        <v>0</v>
      </c>
      <c r="AC1244" s="18">
        <v>3</v>
      </c>
      <c r="AD1244" s="1" t="s">
        <v>4233</v>
      </c>
      <c r="AE1244" s="1" t="s">
        <v>4257</v>
      </c>
      <c r="AF1244" s="4">
        <v>11.22</v>
      </c>
      <c r="AG1244" s="4">
        <v>14.93</v>
      </c>
    </row>
    <row r="1245" spans="1:33" ht="30" x14ac:dyDescent="0.25">
      <c r="A1245" s="10" t="s">
        <v>4253</v>
      </c>
      <c r="B1245" s="11" t="s">
        <v>33</v>
      </c>
      <c r="C1245" s="12" t="s">
        <v>4254</v>
      </c>
      <c r="D1245" s="27"/>
      <c r="E1245" s="14" t="s">
        <v>35</v>
      </c>
      <c r="F1245" s="11" t="str">
        <f>HYPERLINK("https://redirect.sdcdeals.com/redirect?destination=https%3A%2F%2Fwww.amazon.com%2Fdp%2FB0BKQT7N1W%3Fth%3D1%26psc%3D1%26tag%3Dsdcdeals03-20", "Amazon Link")</f>
        <v>Amazon Link</v>
      </c>
      <c r="G1245" s="11" t="s">
        <v>36</v>
      </c>
      <c r="H1245" s="14" t="s">
        <v>4255</v>
      </c>
      <c r="I1245" s="11" t="str">
        <f>HYPERLINK("https://redirect.sdcdeals.com/redirect?code=763034&amp;mavely=https://mavely.app.link/e/bhESV2wGrGb&amp;destination=https%3A%2F%2Fwww.kohls.com%2Fsearch.jsp%3Fsubmit-search%3Dweb-regular%26search%3D76194390", "Retail Link")</f>
        <v>Retail Link</v>
      </c>
      <c r="J1245" s="14" t="s">
        <v>4231</v>
      </c>
      <c r="K1245" s="13" t="s">
        <v>4256</v>
      </c>
      <c r="L1245" s="15">
        <v>52.8</v>
      </c>
      <c r="M1245" s="15">
        <v>66</v>
      </c>
      <c r="N1245" s="15">
        <v>-12.01</v>
      </c>
      <c r="O1245" s="15">
        <f>V1245-M1245</f>
        <v>37.659999999999997</v>
      </c>
      <c r="P1245" s="16">
        <f>N1245/L1245</f>
        <v>-0.22746212121212123</v>
      </c>
      <c r="Q1245" s="14">
        <v>931412</v>
      </c>
      <c r="R1245" s="14"/>
      <c r="S1245" s="17">
        <v>2.6896363999999999</v>
      </c>
      <c r="T1245" s="15">
        <v>66</v>
      </c>
      <c r="U1245" s="15">
        <v>84.88</v>
      </c>
      <c r="V1245" s="15">
        <v>103.66</v>
      </c>
      <c r="W1245" s="14" t="s">
        <v>959</v>
      </c>
      <c r="X1245" s="14">
        <v>6</v>
      </c>
      <c r="Y1245" s="10">
        <f>AC1245-AB1245</f>
        <v>3</v>
      </c>
      <c r="Z1245" s="18">
        <v>5</v>
      </c>
      <c r="AA1245" s="18">
        <v>24</v>
      </c>
      <c r="AB1245" s="18">
        <v>1</v>
      </c>
      <c r="AC1245" s="18">
        <v>4</v>
      </c>
      <c r="AD1245" s="1" t="s">
        <v>4233</v>
      </c>
      <c r="AE1245" s="1" t="s">
        <v>4257</v>
      </c>
      <c r="AF1245" s="4">
        <v>11.22</v>
      </c>
      <c r="AG1245" s="4">
        <v>15.31</v>
      </c>
    </row>
    <row r="1246" spans="1:33" ht="30" x14ac:dyDescent="0.25">
      <c r="A1246" s="10" t="s">
        <v>6491</v>
      </c>
      <c r="B1246" s="11" t="s">
        <v>33</v>
      </c>
      <c r="C1246" s="12" t="s">
        <v>6492</v>
      </c>
      <c r="D1246" s="27"/>
      <c r="E1246" s="14" t="s">
        <v>35</v>
      </c>
      <c r="F1246" s="11" t="str">
        <f>HYPERLINK("https://redirect.sdcdeals.com/redirect?destination=https%3A%2F%2Fwww.amazon.com%2Fdp%2FB0BHXDWMNN%3Fth%3D1%26psc%3D1%26tag%3Dsdcdeals03-20", "Amazon Link")</f>
        <v>Amazon Link</v>
      </c>
      <c r="G1246" s="11" t="s">
        <v>36</v>
      </c>
      <c r="H1246" s="14" t="s">
        <v>6493</v>
      </c>
      <c r="I1246" s="11" t="str">
        <f>HYPERLINK("https://redirect.sdcdeals.com/redirect?code=763034&amp;mavely=https://mavely.app.link/e/bhESV2wGrGb&amp;destination=https%3A%2F%2Fwww.kohls.com%2Fsearch.jsp%3Fsubmit-search%3Dweb-regular%26search%3D75436233", "Retail Link")</f>
        <v>Retail Link</v>
      </c>
      <c r="J1246" s="14" t="s">
        <v>6488</v>
      </c>
      <c r="K1246" s="13" t="s">
        <v>6494</v>
      </c>
      <c r="L1246" s="15">
        <v>11.76</v>
      </c>
      <c r="M1246" s="15">
        <v>14.7</v>
      </c>
      <c r="N1246" s="15">
        <v>-2.6850000000000001</v>
      </c>
      <c r="O1246" s="15">
        <f>V1246-M1246</f>
        <v>4.3000000000000007</v>
      </c>
      <c r="P1246" s="16">
        <f>N1246/L1246</f>
        <v>-0.22831632653061226</v>
      </c>
      <c r="Q1246" s="14">
        <v>2040160</v>
      </c>
      <c r="R1246" s="14"/>
      <c r="S1246" s="17">
        <v>0.3086468</v>
      </c>
      <c r="T1246" s="15">
        <v>14.7</v>
      </c>
      <c r="U1246" s="15">
        <v>21.12</v>
      </c>
      <c r="V1246" s="15">
        <v>19</v>
      </c>
      <c r="W1246" s="14" t="s">
        <v>100</v>
      </c>
      <c r="X1246" s="14">
        <v>1</v>
      </c>
      <c r="Y1246" s="10">
        <f>AC1246-AB1246</f>
        <v>0</v>
      </c>
      <c r="Z1246" s="18">
        <v>2</v>
      </c>
      <c r="AA1246" s="18">
        <v>4</v>
      </c>
      <c r="AB1246" s="18"/>
      <c r="AC1246" s="18"/>
      <c r="AD1246" s="1" t="s">
        <v>6490</v>
      </c>
      <c r="AE1246" s="1" t="s">
        <v>4045</v>
      </c>
      <c r="AF1246" s="4">
        <v>0.74</v>
      </c>
      <c r="AG1246" s="4">
        <v>3.42</v>
      </c>
    </row>
    <row r="1247" spans="1:33" ht="30" x14ac:dyDescent="0.25">
      <c r="A1247" s="10" t="s">
        <v>4590</v>
      </c>
      <c r="B1247" s="11" t="s">
        <v>33</v>
      </c>
      <c r="C1247" s="12" t="s">
        <v>4591</v>
      </c>
      <c r="D1247" s="27"/>
      <c r="E1247" s="14" t="s">
        <v>35</v>
      </c>
      <c r="F1247" s="11" t="str">
        <f>HYPERLINK("https://redirect.sdcdeals.com/redirect?destination=https%3A%2F%2Fwww.amazon.com%2Fdp%2FB0BNR55ZRW%3Fth%3D1%26psc%3D1%26tag%3Dsdcdeals03-20", "Amazon Link")</f>
        <v>Amazon Link</v>
      </c>
      <c r="G1247" s="11" t="s">
        <v>36</v>
      </c>
      <c r="H1247" s="14" t="s">
        <v>4592</v>
      </c>
      <c r="I1247" s="11" t="str">
        <f>HYPERLINK("https://redirect.sdcdeals.com/redirect?code=763034&amp;mavely=https://mavely.app.link/e/bhESV2wGrGb&amp;destination=https%3A%2F%2Fwww.kohls.com%2Fsearch.jsp%3Fsubmit-search%3Dweb-regular%26search%3D37212123", "Retail Link")</f>
        <v>Retail Link</v>
      </c>
      <c r="J1247" s="14" t="s">
        <v>4593</v>
      </c>
      <c r="K1247" s="13" t="s">
        <v>4594</v>
      </c>
      <c r="L1247" s="15">
        <v>21</v>
      </c>
      <c r="M1247" s="15">
        <v>26.25</v>
      </c>
      <c r="N1247" s="15">
        <v>-4.8275000000000006</v>
      </c>
      <c r="O1247" s="15">
        <f>V1247-M1247</f>
        <v>6.6300000000000026</v>
      </c>
      <c r="P1247" s="16">
        <f>N1247/L1247</f>
        <v>-0.22988095238095241</v>
      </c>
      <c r="Q1247" s="14">
        <v>715422</v>
      </c>
      <c r="R1247" s="14"/>
      <c r="S1247" s="17">
        <v>0.37037616000000001</v>
      </c>
      <c r="T1247" s="15">
        <v>26.25</v>
      </c>
      <c r="U1247" s="15">
        <v>38.56</v>
      </c>
      <c r="V1247" s="15">
        <v>32.880000000000003</v>
      </c>
      <c r="W1247" s="14" t="s">
        <v>282</v>
      </c>
      <c r="X1247" s="14">
        <v>3</v>
      </c>
      <c r="Y1247" s="10">
        <f>AC1247-AB1247</f>
        <v>3</v>
      </c>
      <c r="Z1247" s="18">
        <v>11</v>
      </c>
      <c r="AA1247" s="18">
        <v>31</v>
      </c>
      <c r="AB1247" s="18">
        <v>0</v>
      </c>
      <c r="AC1247" s="18">
        <v>3</v>
      </c>
      <c r="AD1247" s="1" t="s">
        <v>4595</v>
      </c>
      <c r="AE1247" s="1" t="s">
        <v>76</v>
      </c>
      <c r="AF1247" s="4">
        <v>4.47</v>
      </c>
      <c r="AG1247" s="4">
        <v>6.14</v>
      </c>
    </row>
    <row r="1248" spans="1:33" ht="30" x14ac:dyDescent="0.25">
      <c r="A1248" s="10" t="s">
        <v>4641</v>
      </c>
      <c r="B1248" s="11" t="s">
        <v>33</v>
      </c>
      <c r="C1248" s="12" t="s">
        <v>4642</v>
      </c>
      <c r="D1248" s="27"/>
      <c r="E1248" s="14" t="s">
        <v>35</v>
      </c>
      <c r="F1248" s="11" t="str">
        <f>HYPERLINK("https://redirect.sdcdeals.com/redirect?destination=https%3A%2F%2Fwww.amazon.com%2Fdp%2FB0BNSTQQ74%3Fth%3D1%26psc%3D1%26tag%3Dsdcdeals03-20", "Amazon Link")</f>
        <v>Amazon Link</v>
      </c>
      <c r="G1248" s="11" t="s">
        <v>36</v>
      </c>
      <c r="H1248" s="14" t="s">
        <v>4643</v>
      </c>
      <c r="I1248" s="11" t="str">
        <f>HYPERLINK("https://redirect.sdcdeals.com/redirect?code=763034&amp;mavely=https://mavely.app.link/e/bhESV2wGrGb&amp;destination=https%3A%2F%2Fwww.kohls.com%2Fsearch.jsp%3Fsubmit-search%3Dweb-regular%26search%3D29762516", "Retail Link")</f>
        <v>Retail Link</v>
      </c>
      <c r="J1248" s="14" t="s">
        <v>4593</v>
      </c>
      <c r="K1248" s="13" t="s">
        <v>4644</v>
      </c>
      <c r="L1248" s="15">
        <v>21</v>
      </c>
      <c r="M1248" s="15">
        <v>26.25</v>
      </c>
      <c r="N1248" s="15">
        <v>-4.8275000000000006</v>
      </c>
      <c r="O1248" s="15">
        <f>V1248-M1248</f>
        <v>20.93</v>
      </c>
      <c r="P1248" s="16">
        <f>N1248/L1248</f>
        <v>-0.22988095238095241</v>
      </c>
      <c r="Q1248" s="14">
        <v>715422</v>
      </c>
      <c r="R1248" s="14"/>
      <c r="S1248" s="17">
        <v>0.46076558000000001</v>
      </c>
      <c r="T1248" s="15">
        <v>26.25</v>
      </c>
      <c r="U1248" s="15">
        <v>47.31</v>
      </c>
      <c r="V1248" s="15">
        <v>47.18</v>
      </c>
      <c r="W1248" s="14" t="s">
        <v>245</v>
      </c>
      <c r="X1248" s="14">
        <v>3</v>
      </c>
      <c r="Y1248" s="10">
        <f>AC1248-AB1248</f>
        <v>2</v>
      </c>
      <c r="Z1248" s="18">
        <v>12</v>
      </c>
      <c r="AA1248" s="18">
        <v>33</v>
      </c>
      <c r="AB1248" s="18">
        <v>1</v>
      </c>
      <c r="AC1248" s="18">
        <v>3</v>
      </c>
      <c r="AD1248" s="1" t="s">
        <v>4595</v>
      </c>
      <c r="AE1248" s="1" t="s">
        <v>4600</v>
      </c>
      <c r="AF1248" s="4">
        <v>4.46</v>
      </c>
      <c r="AG1248" s="4">
        <v>6.14</v>
      </c>
    </row>
    <row r="1249" spans="1:33" ht="30" x14ac:dyDescent="0.25">
      <c r="A1249" s="10" t="s">
        <v>4645</v>
      </c>
      <c r="B1249" s="11" t="s">
        <v>33</v>
      </c>
      <c r="C1249" s="12" t="s">
        <v>4646</v>
      </c>
      <c r="D1249" s="27"/>
      <c r="E1249" s="14" t="s">
        <v>35</v>
      </c>
      <c r="F1249" s="11" t="str">
        <f>HYPERLINK("https://redirect.sdcdeals.com/redirect?destination=https%3A%2F%2Fwww.amazon.com%2Fdp%2FB0BNSWMDQX%3Fth%3D1%26psc%3D1%26tag%3Dsdcdeals03-20", "Amazon Link")</f>
        <v>Amazon Link</v>
      </c>
      <c r="G1249" s="11" t="s">
        <v>36</v>
      </c>
      <c r="H1249" s="14" t="s">
        <v>4647</v>
      </c>
      <c r="I1249" s="11" t="str">
        <f>HYPERLINK("https://redirect.sdcdeals.com/redirect?code=763034&amp;mavely=https://mavely.app.link/e/bhESV2wGrGb&amp;destination=https%3A%2F%2Fwww.kohls.com%2Fsearch.jsp%3Fsubmit-search%3Dweb-regular%26search%3D37212131", "Retail Link")</f>
        <v>Retail Link</v>
      </c>
      <c r="J1249" s="14" t="s">
        <v>4593</v>
      </c>
      <c r="K1249" s="13" t="s">
        <v>4648</v>
      </c>
      <c r="L1249" s="15">
        <v>21</v>
      </c>
      <c r="M1249" s="15">
        <v>26.25</v>
      </c>
      <c r="N1249" s="15">
        <v>-4.8275000000000006</v>
      </c>
      <c r="O1249" s="15">
        <f>V1249-M1249</f>
        <v>18.350000000000001</v>
      </c>
      <c r="P1249" s="16">
        <f>N1249/L1249</f>
        <v>-0.22988095238095241</v>
      </c>
      <c r="Q1249" s="14">
        <v>715422</v>
      </c>
      <c r="R1249" s="14"/>
      <c r="S1249" s="17">
        <v>0.48942564</v>
      </c>
      <c r="T1249" s="15">
        <v>26.25</v>
      </c>
      <c r="U1249" s="15">
        <v>38.93</v>
      </c>
      <c r="V1249" s="15">
        <v>44.6</v>
      </c>
      <c r="W1249" s="14" t="s">
        <v>352</v>
      </c>
      <c r="X1249" s="14">
        <v>3</v>
      </c>
      <c r="Y1249" s="10">
        <f>AC1249-AB1249</f>
        <v>3</v>
      </c>
      <c r="Z1249" s="18">
        <v>9</v>
      </c>
      <c r="AA1249" s="18">
        <v>33</v>
      </c>
      <c r="AB1249" s="18">
        <v>0</v>
      </c>
      <c r="AC1249" s="18">
        <v>3</v>
      </c>
      <c r="AD1249" s="1" t="s">
        <v>4595</v>
      </c>
      <c r="AE1249" s="1" t="s">
        <v>76</v>
      </c>
      <c r="AF1249" s="4">
        <v>4.47</v>
      </c>
      <c r="AG1249" s="4">
        <v>6.14</v>
      </c>
    </row>
    <row r="1250" spans="1:33" ht="30" x14ac:dyDescent="0.25">
      <c r="A1250" s="10" t="s">
        <v>7471</v>
      </c>
      <c r="B1250" s="11" t="s">
        <v>33</v>
      </c>
      <c r="C1250" s="12" t="s">
        <v>7472</v>
      </c>
      <c r="D1250" s="27"/>
      <c r="E1250" s="14" t="s">
        <v>35</v>
      </c>
      <c r="F1250" s="11" t="str">
        <f>HYPERLINK("https://redirect.sdcdeals.com/redirect?destination=https%3A%2F%2Fwww.amazon.com%2Fdp%2FB0BKQYW737%3Fth%3D1%26psc%3D1%26tag%3Dsdcdeals03-20", "Amazon Link")</f>
        <v>Amazon Link</v>
      </c>
      <c r="G1250" s="11" t="s">
        <v>36</v>
      </c>
      <c r="H1250" s="14" t="s">
        <v>7473</v>
      </c>
      <c r="I1250" s="11" t="str">
        <f>HYPERLINK("https://redirect.sdcdeals.com/redirect?code=763034&amp;mavely=https://mavely.app.link/e/bhESV2wGrGb&amp;destination=https%3A%2F%2Fwww.kohls.com%2Fsearch.jsp%3Fsubmit-search%3Dweb-regular%26search%3D55628817", "Retail Link")</f>
        <v>Retail Link</v>
      </c>
      <c r="J1250" s="14" t="s">
        <v>7447</v>
      </c>
      <c r="K1250" s="13" t="s">
        <v>7474</v>
      </c>
      <c r="L1250" s="15">
        <v>24</v>
      </c>
      <c r="M1250" s="15">
        <v>31.5</v>
      </c>
      <c r="N1250" s="15">
        <v>-5.5850000000000009</v>
      </c>
      <c r="O1250" s="15">
        <f>V1250-M1250</f>
        <v>10.770000000000003</v>
      </c>
      <c r="P1250" s="16">
        <f>N1250/L1250</f>
        <v>-0.23270833333333338</v>
      </c>
      <c r="Q1250" s="14">
        <v>826894</v>
      </c>
      <c r="R1250" s="14"/>
      <c r="S1250" s="17">
        <v>1.10010538</v>
      </c>
      <c r="T1250" s="15">
        <v>31.5</v>
      </c>
      <c r="U1250" s="15">
        <v>32.17</v>
      </c>
      <c r="V1250" s="15">
        <v>42.27</v>
      </c>
      <c r="W1250" s="14" t="s">
        <v>870</v>
      </c>
      <c r="X1250" s="14">
        <v>2</v>
      </c>
      <c r="Y1250" s="10">
        <f>AC1250-AB1250</f>
        <v>0</v>
      </c>
      <c r="Z1250" s="18">
        <v>13</v>
      </c>
      <c r="AA1250" s="18">
        <v>34</v>
      </c>
      <c r="AB1250" s="18">
        <v>0</v>
      </c>
      <c r="AC1250" s="18"/>
      <c r="AD1250" s="1" t="s">
        <v>7449</v>
      </c>
      <c r="AE1250" s="1" t="s">
        <v>3530</v>
      </c>
      <c r="AF1250" s="4">
        <v>5.36</v>
      </c>
      <c r="AG1250" s="4">
        <v>8.36</v>
      </c>
    </row>
    <row r="1251" spans="1:33" x14ac:dyDescent="0.25">
      <c r="A1251" s="10" t="s">
        <v>502</v>
      </c>
      <c r="B1251" s="11" t="s">
        <v>33</v>
      </c>
      <c r="C1251" s="12" t="s">
        <v>503</v>
      </c>
      <c r="D1251" s="27"/>
      <c r="E1251" s="14" t="s">
        <v>35</v>
      </c>
      <c r="F1251" s="11" t="str">
        <f>HYPERLINK("https://redirect.sdcdeals.com/redirect?destination=https%3A%2F%2Fwww.amazon.com%2Fdp%2FB0BNR5ZT2W%3Fth%3D1%26psc%3D1%26tag%3Dsdcdeals03-20", "Amazon Link")</f>
        <v>Amazon Link</v>
      </c>
      <c r="G1251" s="11" t="s">
        <v>36</v>
      </c>
      <c r="H1251" s="14" t="s">
        <v>504</v>
      </c>
      <c r="I1251" s="11" t="str">
        <f>HYPERLINK("https://redirect.sdcdeals.com/redirect?code=763034&amp;mavely=https://mavely.app.link/e/bhESV2wGrGb&amp;destination=https%3A%2F%2Fwww.kohls.com%2Fsearch.jsp%3Fsubmit-search%3Dweb-regular%26search%3D76784479", "Retail Link")</f>
        <v>Retail Link</v>
      </c>
      <c r="J1251" s="14" t="s">
        <v>505</v>
      </c>
      <c r="K1251" s="13" t="s">
        <v>506</v>
      </c>
      <c r="L1251" s="15">
        <v>19.600000000000001</v>
      </c>
      <c r="M1251" s="15">
        <v>24.5</v>
      </c>
      <c r="N1251" s="15">
        <v>-4.6750000000000016</v>
      </c>
      <c r="O1251" s="15">
        <f>V1251-M1251</f>
        <v>8.7700000000000031</v>
      </c>
      <c r="P1251" s="16">
        <f>N1251/L1251</f>
        <v>-0.23852040816326536</v>
      </c>
      <c r="Q1251" s="14">
        <v>1353697</v>
      </c>
      <c r="R1251" s="14"/>
      <c r="S1251" s="17">
        <v>0.26014515999999999</v>
      </c>
      <c r="T1251" s="15">
        <v>24.5</v>
      </c>
      <c r="U1251" s="15">
        <v>39.130000000000003</v>
      </c>
      <c r="V1251" s="15">
        <v>33.270000000000003</v>
      </c>
      <c r="W1251" s="14" t="s">
        <v>255</v>
      </c>
      <c r="X1251" s="14">
        <v>5</v>
      </c>
      <c r="Y1251" s="10">
        <f>AC1251-AB1251</f>
        <v>5</v>
      </c>
      <c r="Z1251" s="18">
        <v>9</v>
      </c>
      <c r="AA1251" s="18">
        <v>28</v>
      </c>
      <c r="AB1251" s="18">
        <v>0</v>
      </c>
      <c r="AC1251" s="18">
        <v>5</v>
      </c>
      <c r="AD1251" s="1" t="s">
        <v>507</v>
      </c>
      <c r="AE1251" s="1" t="s">
        <v>278</v>
      </c>
      <c r="AF1251" s="4">
        <v>4.17</v>
      </c>
      <c r="AG1251" s="4">
        <v>5.9</v>
      </c>
    </row>
    <row r="1252" spans="1:33" ht="30" x14ac:dyDescent="0.25">
      <c r="A1252" s="10" t="s">
        <v>6665</v>
      </c>
      <c r="B1252" s="11" t="s">
        <v>33</v>
      </c>
      <c r="C1252" s="12" t="s">
        <v>6666</v>
      </c>
      <c r="D1252" s="27"/>
      <c r="E1252" s="14" t="s">
        <v>35</v>
      </c>
      <c r="F1252" s="11" t="str">
        <f>HYPERLINK("https://redirect.sdcdeals.com/redirect?destination=https%3A%2F%2Fwww.amazon.com%2Fdp%2FB0BNSWN3SJ%3Fth%3D1%26psc%3D1%26tag%3Dsdcdeals03-20", "Amazon Link")</f>
        <v>Amazon Link</v>
      </c>
      <c r="G1252" s="11" t="s">
        <v>36</v>
      </c>
      <c r="H1252" s="14" t="s">
        <v>6667</v>
      </c>
      <c r="I1252" s="11" t="str">
        <f>HYPERLINK("https://redirect.sdcdeals.com/redirect?code=763034&amp;mavely=https://mavely.app.link/e/bhESV2wGrGb&amp;destination=https%3A%2F%2Fwww.kohls.com%2Fsearch.jsp%3Fsubmit-search%3Dweb-regular%26search%3D54880248", "Retail Link")</f>
        <v>Retail Link</v>
      </c>
      <c r="J1252" s="14" t="s">
        <v>6668</v>
      </c>
      <c r="K1252" s="13" t="s">
        <v>6669</v>
      </c>
      <c r="L1252" s="15">
        <v>19.600000000000001</v>
      </c>
      <c r="M1252" s="15">
        <v>24.5</v>
      </c>
      <c r="N1252" s="15">
        <v>-4.6750000000000016</v>
      </c>
      <c r="O1252" s="15">
        <f>V1252-M1252</f>
        <v>8.2700000000000031</v>
      </c>
      <c r="P1252" s="16">
        <f>N1252/L1252</f>
        <v>-0.23852040816326536</v>
      </c>
      <c r="Q1252" s="14">
        <v>303411</v>
      </c>
      <c r="R1252" s="14"/>
      <c r="S1252" s="17">
        <v>0.31085141999999999</v>
      </c>
      <c r="T1252" s="15">
        <v>24.5</v>
      </c>
      <c r="U1252" s="15">
        <v>32.590000000000003</v>
      </c>
      <c r="V1252" s="15">
        <v>32.770000000000003</v>
      </c>
      <c r="W1252" s="14" t="s">
        <v>342</v>
      </c>
      <c r="X1252" s="14">
        <v>1</v>
      </c>
      <c r="Y1252" s="10">
        <f>AC1252-AB1252</f>
        <v>4</v>
      </c>
      <c r="Z1252" s="18">
        <v>3</v>
      </c>
      <c r="AA1252" s="18">
        <v>21</v>
      </c>
      <c r="AB1252" s="18">
        <v>0</v>
      </c>
      <c r="AC1252" s="18">
        <v>4</v>
      </c>
      <c r="AD1252" s="1" t="s">
        <v>6670</v>
      </c>
      <c r="AE1252" s="1" t="s">
        <v>856</v>
      </c>
      <c r="AF1252" s="4">
        <v>4.17</v>
      </c>
      <c r="AG1252" s="4">
        <v>5.9</v>
      </c>
    </row>
    <row r="1253" spans="1:33" x14ac:dyDescent="0.25">
      <c r="A1253" s="10" t="s">
        <v>6671</v>
      </c>
      <c r="B1253" s="11" t="s">
        <v>33</v>
      </c>
      <c r="C1253" s="12" t="s">
        <v>6672</v>
      </c>
      <c r="D1253" s="27"/>
      <c r="E1253" s="14" t="s">
        <v>35</v>
      </c>
      <c r="F1253" s="11" t="str">
        <f>HYPERLINK("https://redirect.sdcdeals.com/redirect?destination=https%3A%2F%2Fwww.amazon.com%2Fdp%2FB0BNS9ZRZB%3Fth%3D1%26psc%3D1%26tag%3Dsdcdeals03-20", "Amazon Link")</f>
        <v>Amazon Link</v>
      </c>
      <c r="G1253" s="11" t="s">
        <v>36</v>
      </c>
      <c r="H1253" s="14" t="s">
        <v>6673</v>
      </c>
      <c r="I1253" s="11" t="str">
        <f>HYPERLINK("https://redirect.sdcdeals.com/redirect?code=763034&amp;mavely=https://mavely.app.link/e/bhESV2wGrGb&amp;destination=https%3A%2F%2Fwww.kohls.com%2Fsearch.jsp%3Fsubmit-search%3Dweb-regular%26search%3D63562505", "Retail Link")</f>
        <v>Retail Link</v>
      </c>
      <c r="J1253" s="14" t="s">
        <v>6668</v>
      </c>
      <c r="K1253" s="13" t="s">
        <v>6674</v>
      </c>
      <c r="L1253" s="15">
        <v>19.600000000000001</v>
      </c>
      <c r="M1253" s="15">
        <v>24.5</v>
      </c>
      <c r="N1253" s="15">
        <v>-4.6750000000000016</v>
      </c>
      <c r="O1253" s="15">
        <f>V1253-M1253</f>
        <v>4.379999999999999</v>
      </c>
      <c r="P1253" s="16">
        <f>N1253/L1253</f>
        <v>-0.23852040816326536</v>
      </c>
      <c r="Q1253" s="14">
        <v>303411</v>
      </c>
      <c r="R1253" s="14"/>
      <c r="S1253" s="17">
        <v>0.29100984000000002</v>
      </c>
      <c r="T1253" s="15">
        <v>24.5</v>
      </c>
      <c r="U1253" s="15">
        <v>36.17</v>
      </c>
      <c r="V1253" s="15">
        <v>28.88</v>
      </c>
      <c r="W1253" s="14" t="s">
        <v>290</v>
      </c>
      <c r="X1253" s="14">
        <v>2</v>
      </c>
      <c r="Y1253" s="10">
        <f>AC1253-AB1253</f>
        <v>3</v>
      </c>
      <c r="Z1253" s="18">
        <v>3</v>
      </c>
      <c r="AA1253" s="18">
        <v>11</v>
      </c>
      <c r="AB1253" s="18">
        <v>1</v>
      </c>
      <c r="AC1253" s="18">
        <v>4</v>
      </c>
      <c r="AD1253" s="1" t="s">
        <v>6670</v>
      </c>
      <c r="AE1253" s="1" t="s">
        <v>76</v>
      </c>
      <c r="AF1253" s="4">
        <v>4.17</v>
      </c>
      <c r="AG1253" s="4">
        <v>5.9</v>
      </c>
    </row>
    <row r="1254" spans="1:33" x14ac:dyDescent="0.25">
      <c r="A1254" s="10" t="s">
        <v>6687</v>
      </c>
      <c r="B1254" s="11" t="s">
        <v>33</v>
      </c>
      <c r="C1254" s="12" t="s">
        <v>6688</v>
      </c>
      <c r="D1254" s="27"/>
      <c r="E1254" s="14" t="s">
        <v>35</v>
      </c>
      <c r="F1254" s="11" t="str">
        <f>HYPERLINK("https://redirect.sdcdeals.com/redirect?destination=https%3A%2F%2Fwww.amazon.com%2Fdp%2FB0BNSN9WH6%3Fth%3D1%26psc%3D1%26tag%3Dsdcdeals03-20", "Amazon Link")</f>
        <v>Amazon Link</v>
      </c>
      <c r="G1254" s="11" t="s">
        <v>36</v>
      </c>
      <c r="H1254" s="14" t="s">
        <v>6689</v>
      </c>
      <c r="I1254" s="11" t="str">
        <f>HYPERLINK("https://redirect.sdcdeals.com/redirect?code=763034&amp;mavely=https://mavely.app.link/e/bhESV2wGrGb&amp;destination=https%3A%2F%2Fwww.kohls.com%2Fsearch.jsp%3Fsubmit-search%3Dweb-regular%26search%3D63562507", "Retail Link")</f>
        <v>Retail Link</v>
      </c>
      <c r="J1254" s="14" t="s">
        <v>6668</v>
      </c>
      <c r="K1254" s="13" t="s">
        <v>6690</v>
      </c>
      <c r="L1254" s="15">
        <v>19.600000000000001</v>
      </c>
      <c r="M1254" s="15">
        <v>24.5</v>
      </c>
      <c r="N1254" s="15">
        <v>-4.6750000000000016</v>
      </c>
      <c r="O1254" s="15">
        <f>V1254-M1254</f>
        <v>8.36</v>
      </c>
      <c r="P1254" s="16">
        <f>N1254/L1254</f>
        <v>-0.23852040816326536</v>
      </c>
      <c r="Q1254" s="14">
        <v>303411</v>
      </c>
      <c r="R1254" s="14"/>
      <c r="S1254" s="17">
        <v>0.33069300000000001</v>
      </c>
      <c r="T1254" s="15">
        <v>24.5</v>
      </c>
      <c r="U1254" s="15">
        <v>38.369999999999997</v>
      </c>
      <c r="V1254" s="15">
        <v>32.86</v>
      </c>
      <c r="W1254" s="14" t="s">
        <v>3378</v>
      </c>
      <c r="X1254" s="14">
        <v>5</v>
      </c>
      <c r="Y1254" s="10">
        <f>AC1254-AB1254</f>
        <v>4</v>
      </c>
      <c r="Z1254" s="18">
        <v>4</v>
      </c>
      <c r="AA1254" s="18">
        <v>13</v>
      </c>
      <c r="AB1254" s="18">
        <v>0</v>
      </c>
      <c r="AC1254" s="18">
        <v>4</v>
      </c>
      <c r="AD1254" s="1" t="s">
        <v>6670</v>
      </c>
      <c r="AE1254" s="1" t="s">
        <v>76</v>
      </c>
      <c r="AF1254" s="4">
        <v>4.17</v>
      </c>
      <c r="AG1254" s="4">
        <v>5.9</v>
      </c>
    </row>
    <row r="1255" spans="1:33" ht="30" x14ac:dyDescent="0.25">
      <c r="A1255" s="10" t="s">
        <v>6699</v>
      </c>
      <c r="B1255" s="11" t="s">
        <v>33</v>
      </c>
      <c r="C1255" s="12" t="s">
        <v>6700</v>
      </c>
      <c r="D1255" s="27"/>
      <c r="E1255" s="14" t="s">
        <v>35</v>
      </c>
      <c r="F1255" s="11" t="str">
        <f>HYPERLINK("https://redirect.sdcdeals.com/redirect?destination=https%3A%2F%2Fwww.amazon.com%2Fdp%2FB0BNSXGQ3S%3Fth%3D1%26psc%3D1%26tag%3Dsdcdeals03-20", "Amazon Link")</f>
        <v>Amazon Link</v>
      </c>
      <c r="G1255" s="11" t="s">
        <v>36</v>
      </c>
      <c r="H1255" s="14" t="s">
        <v>6701</v>
      </c>
      <c r="I1255" s="11" t="str">
        <f>HYPERLINK("https://redirect.sdcdeals.com/redirect?code=763034&amp;mavely=https://mavely.app.link/e/bhESV2wGrGb&amp;destination=https%3A%2F%2Fwww.kohls.com%2Fsearch.jsp%3Fsubmit-search%3Dweb-regular%26search%3D54880252", "Retail Link")</f>
        <v>Retail Link</v>
      </c>
      <c r="J1255" s="14" t="s">
        <v>6668</v>
      </c>
      <c r="K1255" s="13" t="s">
        <v>6702</v>
      </c>
      <c r="L1255" s="15">
        <v>19.600000000000001</v>
      </c>
      <c r="M1255" s="15">
        <v>24.5</v>
      </c>
      <c r="N1255" s="15">
        <v>-4.6750000000000016</v>
      </c>
      <c r="O1255" s="15">
        <f>V1255-M1255</f>
        <v>21.450000000000003</v>
      </c>
      <c r="P1255" s="16">
        <f>N1255/L1255</f>
        <v>-0.23852040816326536</v>
      </c>
      <c r="Q1255" s="14">
        <v>303411</v>
      </c>
      <c r="R1255" s="14"/>
      <c r="S1255" s="17">
        <v>0.37037616000000001</v>
      </c>
      <c r="T1255" s="15">
        <v>24.5</v>
      </c>
      <c r="U1255" s="15">
        <v>45.34</v>
      </c>
      <c r="V1255" s="15">
        <v>45.95</v>
      </c>
      <c r="W1255" s="14" t="s">
        <v>964</v>
      </c>
      <c r="X1255" s="14">
        <v>1</v>
      </c>
      <c r="Y1255" s="10">
        <f>AC1255-AB1255</f>
        <v>1</v>
      </c>
      <c r="Z1255" s="18">
        <v>3</v>
      </c>
      <c r="AA1255" s="18">
        <v>18</v>
      </c>
      <c r="AB1255" s="18">
        <v>0</v>
      </c>
      <c r="AC1255" s="18">
        <v>1</v>
      </c>
      <c r="AD1255" s="1" t="s">
        <v>6670</v>
      </c>
      <c r="AE1255" s="1" t="s">
        <v>856</v>
      </c>
      <c r="AF1255" s="4">
        <v>4.17</v>
      </c>
      <c r="AG1255" s="4">
        <v>5.9</v>
      </c>
    </row>
    <row r="1256" spans="1:33" x14ac:dyDescent="0.25">
      <c r="A1256" s="10" t="s">
        <v>6703</v>
      </c>
      <c r="B1256" s="11" t="s">
        <v>33</v>
      </c>
      <c r="C1256" s="12" t="s">
        <v>6704</v>
      </c>
      <c r="D1256" s="27"/>
      <c r="E1256" s="14" t="s">
        <v>35</v>
      </c>
      <c r="F1256" s="11" t="str">
        <f>HYPERLINK("https://redirect.sdcdeals.com/redirect?destination=https%3A%2F%2Fwww.amazon.com%2Fdp%2FB0BNR559L4%3Fth%3D1%26psc%3D1%26tag%3Dsdcdeals03-20", "Amazon Link")</f>
        <v>Amazon Link</v>
      </c>
      <c r="G1256" s="11" t="s">
        <v>36</v>
      </c>
      <c r="H1256" s="14" t="s">
        <v>6705</v>
      </c>
      <c r="I1256" s="11" t="str">
        <f>HYPERLINK("https://redirect.sdcdeals.com/redirect?code=763034&amp;mavely=https://mavely.app.link/e/bhESV2wGrGb&amp;destination=https%3A%2F%2Fwww.kohls.com%2Fsearch.jsp%3Fsubmit-search%3Dweb-regular%26search%3D63562509", "Retail Link")</f>
        <v>Retail Link</v>
      </c>
      <c r="J1256" s="14" t="s">
        <v>6668</v>
      </c>
      <c r="K1256" s="13" t="s">
        <v>6706</v>
      </c>
      <c r="L1256" s="15">
        <v>19.600000000000001</v>
      </c>
      <c r="M1256" s="15">
        <v>24.5</v>
      </c>
      <c r="N1256" s="15">
        <v>-4.6750000000000016</v>
      </c>
      <c r="O1256" s="15">
        <f>V1256-M1256</f>
        <v>13.380000000000003</v>
      </c>
      <c r="P1256" s="16">
        <f>N1256/L1256</f>
        <v>-0.23852040816326536</v>
      </c>
      <c r="Q1256" s="14">
        <v>1902779</v>
      </c>
      <c r="R1256" s="14"/>
      <c r="S1256" s="17">
        <v>0.37037616000000001</v>
      </c>
      <c r="T1256" s="15">
        <v>24.5</v>
      </c>
      <c r="U1256" s="15">
        <v>46.25</v>
      </c>
      <c r="V1256" s="15">
        <v>37.880000000000003</v>
      </c>
      <c r="W1256" s="14" t="s">
        <v>385</v>
      </c>
      <c r="X1256" s="14">
        <v>3</v>
      </c>
      <c r="Y1256" s="10">
        <f>AC1256-AB1256</f>
        <v>4</v>
      </c>
      <c r="Z1256" s="18">
        <v>3</v>
      </c>
      <c r="AA1256" s="18">
        <v>10</v>
      </c>
      <c r="AB1256" s="18">
        <v>0</v>
      </c>
      <c r="AC1256" s="18">
        <v>4</v>
      </c>
      <c r="AD1256" s="1" t="s">
        <v>6670</v>
      </c>
      <c r="AE1256" s="1" t="s">
        <v>76</v>
      </c>
      <c r="AF1256" s="4">
        <v>4.17</v>
      </c>
      <c r="AG1256" s="4">
        <v>5.9</v>
      </c>
    </row>
    <row r="1257" spans="1:33" x14ac:dyDescent="0.25">
      <c r="A1257" s="10" t="s">
        <v>5642</v>
      </c>
      <c r="B1257" s="11" t="s">
        <v>33</v>
      </c>
      <c r="C1257" s="12" t="s">
        <v>5643</v>
      </c>
      <c r="D1257" s="27"/>
      <c r="E1257" s="14" t="s">
        <v>35</v>
      </c>
      <c r="F1257" s="11" t="str">
        <f>HYPERLINK("https://redirect.sdcdeals.com/redirect?destination=https%3A%2F%2Fwww.amazon.com%2Fdp%2FB0BRR338BT%3Fth%3D1%26psc%3D1%26tag%3Dsdcdeals03-20", "Amazon Link")</f>
        <v>Amazon Link</v>
      </c>
      <c r="G1257" s="11" t="s">
        <v>36</v>
      </c>
      <c r="H1257" s="14" t="s">
        <v>5644</v>
      </c>
      <c r="I1257" s="11" t="str">
        <f>HYPERLINK("https://redirect.sdcdeals.com/redirect?code=763034&amp;mavely=https://mavely.app.link/e/bhESV2wGrGb&amp;destination=https%3A%2F%2Fwww.kohls.com%2Fsearch.jsp%3Fsubmit-search%3Dweb-regular%26search%3D79102224", "Retail Link")</f>
        <v>Retail Link</v>
      </c>
      <c r="J1257" s="14" t="s">
        <v>5600</v>
      </c>
      <c r="K1257" s="13" t="s">
        <v>5645</v>
      </c>
      <c r="L1257" s="15">
        <v>79.992000000000004</v>
      </c>
      <c r="M1257" s="15">
        <v>84.99</v>
      </c>
      <c r="N1257" s="15">
        <v>-20.020500000000009</v>
      </c>
      <c r="O1257" s="15">
        <f>V1257-M1257</f>
        <v>4.0000000000006253E-2</v>
      </c>
      <c r="P1257" s="16">
        <f>N1257/L1257</f>
        <v>-0.25028127812781287</v>
      </c>
      <c r="Q1257" s="14">
        <v>875187</v>
      </c>
      <c r="R1257" s="14"/>
      <c r="S1257" s="17">
        <v>2.70947798</v>
      </c>
      <c r="T1257" s="15">
        <v>64.989999999999995</v>
      </c>
      <c r="U1257" s="15">
        <v>87.02</v>
      </c>
      <c r="V1257" s="15">
        <v>85.03</v>
      </c>
      <c r="W1257" s="14" t="s">
        <v>5646</v>
      </c>
      <c r="X1257" s="14">
        <v>4</v>
      </c>
      <c r="Y1257" s="10">
        <f>AC1257-AB1257</f>
        <v>61</v>
      </c>
      <c r="Z1257" s="18">
        <v>11</v>
      </c>
      <c r="AA1257" s="18">
        <v>41</v>
      </c>
      <c r="AB1257" s="18">
        <v>11</v>
      </c>
      <c r="AC1257" s="18">
        <v>72</v>
      </c>
      <c r="AD1257" s="1" t="s">
        <v>5602</v>
      </c>
      <c r="AE1257" s="1" t="s">
        <v>76</v>
      </c>
      <c r="AF1257" s="4">
        <v>12.75</v>
      </c>
      <c r="AG1257" s="4">
        <v>12.27</v>
      </c>
    </row>
    <row r="1258" spans="1:33" ht="30" x14ac:dyDescent="0.25">
      <c r="A1258" s="10" t="s">
        <v>6683</v>
      </c>
      <c r="B1258" s="11" t="s">
        <v>33</v>
      </c>
      <c r="C1258" s="12" t="s">
        <v>6684</v>
      </c>
      <c r="D1258" s="27"/>
      <c r="E1258" s="14" t="s">
        <v>35</v>
      </c>
      <c r="F1258" s="11" t="str">
        <f>HYPERLINK("https://redirect.sdcdeals.com/redirect?destination=https%3A%2F%2Fwww.amazon.com%2Fdp%2FB0BNSS2BMG%3Fth%3D1%26psc%3D1%26tag%3Dsdcdeals03-20", "Amazon Link")</f>
        <v>Amazon Link</v>
      </c>
      <c r="G1258" s="11" t="s">
        <v>36</v>
      </c>
      <c r="H1258" s="14" t="s">
        <v>6685</v>
      </c>
      <c r="I1258" s="11" t="str">
        <f>HYPERLINK("https://redirect.sdcdeals.com/redirect?code=763034&amp;mavely=https://mavely.app.link/e/bhESV2wGrGb&amp;destination=https%3A%2F%2Fwww.kohls.com%2Fsearch.jsp%3Fsubmit-search%3Dweb-regular%26search%3D54880250", "Retail Link")</f>
        <v>Retail Link</v>
      </c>
      <c r="J1258" s="14" t="s">
        <v>6668</v>
      </c>
      <c r="K1258" s="13" t="s">
        <v>6686</v>
      </c>
      <c r="L1258" s="15">
        <v>19.600000000000001</v>
      </c>
      <c r="M1258" s="15">
        <v>24.5</v>
      </c>
      <c r="N1258" s="15">
        <v>-4.9150000000000027</v>
      </c>
      <c r="O1258" s="15">
        <f>V1258-M1258</f>
        <v>6.3900000000000006</v>
      </c>
      <c r="P1258" s="16">
        <f>N1258/L1258</f>
        <v>-0.25076530612244907</v>
      </c>
      <c r="Q1258" s="14">
        <v>303411</v>
      </c>
      <c r="R1258" s="14"/>
      <c r="S1258" s="17">
        <v>0.33069300000000001</v>
      </c>
      <c r="T1258" s="15">
        <v>24.5</v>
      </c>
      <c r="U1258" s="15">
        <v>37.14</v>
      </c>
      <c r="V1258" s="15">
        <v>30.89</v>
      </c>
      <c r="W1258" s="14" t="s">
        <v>671</v>
      </c>
      <c r="X1258" s="14">
        <v>2</v>
      </c>
      <c r="Y1258" s="10">
        <f>AC1258-AB1258</f>
        <v>4</v>
      </c>
      <c r="Z1258" s="18">
        <v>3</v>
      </c>
      <c r="AA1258" s="18">
        <v>18</v>
      </c>
      <c r="AB1258" s="18">
        <v>1</v>
      </c>
      <c r="AC1258" s="18">
        <v>5</v>
      </c>
      <c r="AD1258" s="1" t="s">
        <v>6670</v>
      </c>
      <c r="AE1258" s="1" t="s">
        <v>856</v>
      </c>
      <c r="AF1258" s="4">
        <v>4.17</v>
      </c>
      <c r="AG1258" s="4">
        <v>6.14</v>
      </c>
    </row>
    <row r="1259" spans="1:33" ht="30" hidden="1" x14ac:dyDescent="0.25">
      <c r="A1259" s="10" t="s">
        <v>7532</v>
      </c>
      <c r="B1259" s="11" t="s">
        <v>33</v>
      </c>
      <c r="C1259" s="12" t="s">
        <v>7533</v>
      </c>
      <c r="D1259" s="27"/>
      <c r="E1259" s="14" t="s">
        <v>35</v>
      </c>
      <c r="F1259" s="11" t="str">
        <f>HYPERLINK("https://redirect.sdcdeals.com/redirect?destination=https%3A%2F%2Fwww.amazon.com%2Fdp%2FB0BTBSL2YS%3Fth%3D1%26psc%3D1%26tag%3Dsdcdeals03-20", "Amazon Link")</f>
        <v>Amazon Link</v>
      </c>
      <c r="G1259" s="11" t="s">
        <v>36</v>
      </c>
      <c r="H1259" s="14" t="s">
        <v>7534</v>
      </c>
      <c r="I1259" s="11" t="str">
        <f>HYPERLINK("https://redirect.sdcdeals.com/redirect?code=763034&amp;mavely=https://mavely.app.link/e/bhESV2wGrGb&amp;destination=https%3A%2F%2Fwww.kohls.com%2Fsearch.jsp%3Fsubmit-search%3Dweb-regular%26search%3D29295408", "Retail Link")</f>
        <v>Retail Link</v>
      </c>
      <c r="J1259" s="14" t="s">
        <v>7510</v>
      </c>
      <c r="K1259" s="13" t="s">
        <v>7535</v>
      </c>
      <c r="L1259" s="15">
        <v>11.984</v>
      </c>
      <c r="M1259" s="15">
        <v>17.440000000000001</v>
      </c>
      <c r="N1259" s="15">
        <v>-3.06</v>
      </c>
      <c r="O1259" s="15">
        <f>V1259-M1259</f>
        <v>17.7</v>
      </c>
      <c r="P1259" s="16">
        <f>N1259/L1259</f>
        <v>-0.25534045393858479</v>
      </c>
      <c r="Q1259" s="14"/>
      <c r="R1259" s="14"/>
      <c r="S1259" s="17">
        <v>0.35053457999999998</v>
      </c>
      <c r="T1259" s="15">
        <v>17.440000000000001</v>
      </c>
      <c r="U1259" s="15">
        <v>29.15</v>
      </c>
      <c r="V1259" s="15">
        <v>35.14</v>
      </c>
      <c r="W1259" s="14" t="s">
        <v>164</v>
      </c>
      <c r="X1259" s="14">
        <v>1</v>
      </c>
      <c r="Y1259" s="10">
        <f>AC1259-AB1259</f>
        <v>0</v>
      </c>
      <c r="Z1259" s="18">
        <v>0</v>
      </c>
      <c r="AA1259" s="18">
        <v>0</v>
      </c>
      <c r="AB1259" s="18"/>
      <c r="AC1259" s="18"/>
      <c r="AD1259" s="1" t="s">
        <v>7536</v>
      </c>
      <c r="AE1259" s="1" t="s">
        <v>7537</v>
      </c>
      <c r="AF1259" s="4">
        <v>1.74</v>
      </c>
      <c r="AG1259" s="4">
        <v>5.9</v>
      </c>
    </row>
    <row r="1260" spans="1:33" ht="45" x14ac:dyDescent="0.25">
      <c r="A1260" s="10" t="s">
        <v>1632</v>
      </c>
      <c r="B1260" s="11" t="s">
        <v>33</v>
      </c>
      <c r="C1260" s="12" t="s">
        <v>1633</v>
      </c>
      <c r="D1260" s="27"/>
      <c r="E1260" s="14" t="s">
        <v>35</v>
      </c>
      <c r="F1260" s="11" t="str">
        <f>HYPERLINK("https://redirect.sdcdeals.com/redirect?destination=https%3A%2F%2Fwww.amazon.com%2Fdp%2FB0BFVBNWFN%3Fth%3D1%26psc%3D1%26tag%3Dsdcdeals03-20", "Amazon Link")</f>
        <v>Amazon Link</v>
      </c>
      <c r="G1260" s="11" t="s">
        <v>36</v>
      </c>
      <c r="H1260" s="14" t="s">
        <v>1634</v>
      </c>
      <c r="I1260" s="11" t="str">
        <f>HYPERLINK("https://redirect.sdcdeals.com/redirect?code=763034&amp;mavely=https://mavely.app.link/e/bhESV2wGrGb&amp;destination=https%3A%2F%2Fwww.kohls.com%2Fsearch.jsp%3Fsubmit-search%3Dweb-regular%26search%3D71786087", "Retail Link")</f>
        <v>Retail Link</v>
      </c>
      <c r="J1260" s="14" t="s">
        <v>1614</v>
      </c>
      <c r="K1260" s="13" t="s">
        <v>1635</v>
      </c>
      <c r="L1260" s="15">
        <v>44.095999999999997</v>
      </c>
      <c r="M1260" s="15">
        <v>55.12</v>
      </c>
      <c r="N1260" s="15">
        <v>-11.414</v>
      </c>
      <c r="O1260" s="15">
        <f>V1260-M1260</f>
        <v>42.49</v>
      </c>
      <c r="P1260" s="16">
        <f>N1260/L1260</f>
        <v>-0.25884433962264153</v>
      </c>
      <c r="Q1260" s="14">
        <v>2176531</v>
      </c>
      <c r="R1260" s="14"/>
      <c r="S1260" s="17">
        <v>1.64905576</v>
      </c>
      <c r="T1260" s="15">
        <v>55.12</v>
      </c>
      <c r="U1260" s="15">
        <v>99.84</v>
      </c>
      <c r="V1260" s="15">
        <v>97.61</v>
      </c>
      <c r="W1260" s="14" t="s">
        <v>306</v>
      </c>
      <c r="X1260" s="14">
        <v>1</v>
      </c>
      <c r="Y1260" s="10">
        <f>AC1260-AB1260</f>
        <v>1</v>
      </c>
      <c r="Z1260" s="18">
        <v>3</v>
      </c>
      <c r="AA1260" s="18">
        <v>4</v>
      </c>
      <c r="AB1260" s="18">
        <v>1</v>
      </c>
      <c r="AC1260" s="18">
        <v>2</v>
      </c>
      <c r="AD1260" s="1" t="s">
        <v>1616</v>
      </c>
      <c r="AE1260" s="1" t="s">
        <v>1622</v>
      </c>
      <c r="AF1260" s="4">
        <v>9.3699999999999992</v>
      </c>
      <c r="AG1260" s="4">
        <v>14.17</v>
      </c>
    </row>
    <row r="1261" spans="1:33" ht="30" x14ac:dyDescent="0.25">
      <c r="A1261" s="10" t="s">
        <v>5647</v>
      </c>
      <c r="B1261" s="11" t="s">
        <v>33</v>
      </c>
      <c r="C1261" s="12" t="s">
        <v>5648</v>
      </c>
      <c r="D1261" s="27"/>
      <c r="E1261" s="14" t="s">
        <v>35</v>
      </c>
      <c r="F1261" s="11" t="str">
        <f>HYPERLINK("https://redirect.sdcdeals.com/redirect?destination=https%3A%2F%2Fwww.amazon.com%2Fdp%2FB0BRR4NRZD%3Fth%3D1%26psc%3D1%26tag%3Dsdcdeals03-20", "Amazon Link")</f>
        <v>Amazon Link</v>
      </c>
      <c r="G1261" s="11" t="s">
        <v>36</v>
      </c>
      <c r="H1261" s="14" t="s">
        <v>5649</v>
      </c>
      <c r="I1261" s="11" t="str">
        <f>HYPERLINK("https://redirect.sdcdeals.com/redirect?code=763034&amp;mavely=https://mavely.app.link/e/bhESV2wGrGb&amp;destination=https%3A%2F%2Fwww.kohls.com%2Fsearch.jsp%3Fsubmit-search%3Dweb-regular%26search%3D77042362", "Retail Link")</f>
        <v>Retail Link</v>
      </c>
      <c r="J1261" s="14" t="s">
        <v>5600</v>
      </c>
      <c r="K1261" s="13" t="s">
        <v>5650</v>
      </c>
      <c r="L1261" s="15">
        <v>79.992000000000004</v>
      </c>
      <c r="M1261" s="15">
        <v>84.49</v>
      </c>
      <c r="N1261" s="15">
        <v>-20.825500000000009</v>
      </c>
      <c r="O1261" s="15">
        <f>V1261-M1261</f>
        <v>1.6400000000000006</v>
      </c>
      <c r="P1261" s="16">
        <f>N1261/L1261</f>
        <v>-0.26034478447844794</v>
      </c>
      <c r="Q1261" s="14">
        <v>882830</v>
      </c>
      <c r="R1261" s="14"/>
      <c r="S1261" s="17">
        <v>2.8197089800000001</v>
      </c>
      <c r="T1261" s="15">
        <v>64.989999999999995</v>
      </c>
      <c r="U1261" s="15">
        <v>87.52</v>
      </c>
      <c r="V1261" s="15">
        <v>86.13</v>
      </c>
      <c r="W1261" s="14" t="s">
        <v>5651</v>
      </c>
      <c r="X1261" s="14">
        <v>6</v>
      </c>
      <c r="Y1261" s="10">
        <f>AC1261-AB1261</f>
        <v>63</v>
      </c>
      <c r="Z1261" s="18">
        <v>10</v>
      </c>
      <c r="AA1261" s="18">
        <v>32</v>
      </c>
      <c r="AB1261" s="18">
        <v>9</v>
      </c>
      <c r="AC1261" s="18">
        <v>72</v>
      </c>
      <c r="AD1261" s="1" t="s">
        <v>5602</v>
      </c>
      <c r="AE1261" s="1" t="s">
        <v>438</v>
      </c>
      <c r="AF1261" s="4">
        <v>12.67</v>
      </c>
      <c r="AG1261" s="4">
        <v>12.65</v>
      </c>
    </row>
    <row r="1262" spans="1:33" ht="30" x14ac:dyDescent="0.25">
      <c r="A1262" s="10" t="s">
        <v>5657</v>
      </c>
      <c r="B1262" s="11" t="s">
        <v>33</v>
      </c>
      <c r="C1262" s="12" t="s">
        <v>5658</v>
      </c>
      <c r="D1262" s="27"/>
      <c r="E1262" s="14" t="s">
        <v>35</v>
      </c>
      <c r="F1262" s="11" t="str">
        <f>HYPERLINK("https://redirect.sdcdeals.com/redirect?destination=https%3A%2F%2Fwww.amazon.com%2Fdp%2FB0BRR3H442%3Fth%3D1%26psc%3D1%26tag%3Dsdcdeals03-20", "Amazon Link")</f>
        <v>Amazon Link</v>
      </c>
      <c r="G1262" s="11" t="s">
        <v>36</v>
      </c>
      <c r="H1262" s="14" t="s">
        <v>5659</v>
      </c>
      <c r="I1262" s="11" t="str">
        <f>HYPERLINK("https://redirect.sdcdeals.com/redirect?code=763034&amp;mavely=https://mavely.app.link/e/bhESV2wGrGb&amp;destination=https%3A%2F%2Fwww.kohls.com%2Fsearch.jsp%3Fsubmit-search%3Dweb-regular%26search%3D77042364", "Retail Link")</f>
        <v>Retail Link</v>
      </c>
      <c r="J1262" s="14" t="s">
        <v>5600</v>
      </c>
      <c r="K1262" s="13" t="s">
        <v>5660</v>
      </c>
      <c r="L1262" s="15">
        <v>79.992000000000004</v>
      </c>
      <c r="M1262" s="15">
        <v>84.49</v>
      </c>
      <c r="N1262" s="15">
        <v>-20.825500000000009</v>
      </c>
      <c r="O1262" s="15">
        <f>V1262-M1262</f>
        <v>-0.21999999999999886</v>
      </c>
      <c r="P1262" s="16">
        <f>N1262/L1262</f>
        <v>-0.26034478447844794</v>
      </c>
      <c r="Q1262" s="14">
        <v>882830</v>
      </c>
      <c r="R1262" s="14"/>
      <c r="S1262" s="17">
        <v>2.98064624</v>
      </c>
      <c r="T1262" s="15">
        <v>64.989999999999995</v>
      </c>
      <c r="U1262" s="15">
        <v>87.04</v>
      </c>
      <c r="V1262" s="15">
        <v>84.27</v>
      </c>
      <c r="W1262" s="14" t="s">
        <v>5661</v>
      </c>
      <c r="X1262" s="14">
        <v>3</v>
      </c>
      <c r="Y1262" s="10">
        <f>AC1262-AB1262</f>
        <v>104</v>
      </c>
      <c r="Z1262" s="18">
        <v>9</v>
      </c>
      <c r="AA1262" s="18">
        <v>29</v>
      </c>
      <c r="AB1262" s="18">
        <v>2</v>
      </c>
      <c r="AC1262" s="18">
        <v>106</v>
      </c>
      <c r="AD1262" s="1" t="s">
        <v>5602</v>
      </c>
      <c r="AE1262" s="1" t="s">
        <v>438</v>
      </c>
      <c r="AF1262" s="4">
        <v>12.67</v>
      </c>
      <c r="AG1262" s="4">
        <v>12.65</v>
      </c>
    </row>
    <row r="1263" spans="1:33" x14ac:dyDescent="0.25">
      <c r="A1263" s="10" t="s">
        <v>2604</v>
      </c>
      <c r="B1263" s="11" t="s">
        <v>33</v>
      </c>
      <c r="C1263" s="12" t="s">
        <v>2605</v>
      </c>
      <c r="D1263" s="27"/>
      <c r="E1263" s="14" t="s">
        <v>35</v>
      </c>
      <c r="F1263" s="11" t="str">
        <f>HYPERLINK("https://redirect.sdcdeals.com/redirect?destination=https%3A%2F%2Fwww.amazon.com%2Fdp%2FB0BNR3PN5Q%3Fth%3D1%26psc%3D1%26tag%3Dsdcdeals03-20", "Amazon Link")</f>
        <v>Amazon Link</v>
      </c>
      <c r="G1263" s="11" t="s">
        <v>36</v>
      </c>
      <c r="H1263" s="14" t="s">
        <v>2606</v>
      </c>
      <c r="I1263" s="11" t="str">
        <f>HYPERLINK("https://redirect.sdcdeals.com/redirect?code=763034&amp;mavely=https://mavely.app.link/e/bhESV2wGrGb&amp;destination=https%3A%2F%2Fwww.kohls.com%2Fsearch.jsp%3Fsubmit-search%3Dweb-regular%26search%3D55628704", "Retail Link")</f>
        <v>Retail Link</v>
      </c>
      <c r="J1263" s="14" t="s">
        <v>2600</v>
      </c>
      <c r="K1263" s="13" t="s">
        <v>2607</v>
      </c>
      <c r="L1263" s="15">
        <v>18.2</v>
      </c>
      <c r="M1263" s="15">
        <v>22.75</v>
      </c>
      <c r="N1263" s="15">
        <v>-4.7625000000000011</v>
      </c>
      <c r="O1263" s="15">
        <f>V1263-M1263</f>
        <v>12.100000000000001</v>
      </c>
      <c r="P1263" s="16">
        <f>N1263/L1263</f>
        <v>-0.26167582417582425</v>
      </c>
      <c r="Q1263" s="14">
        <v>81238</v>
      </c>
      <c r="R1263" s="14"/>
      <c r="S1263" s="17">
        <v>0.34171610000000002</v>
      </c>
      <c r="T1263" s="15">
        <v>22.75</v>
      </c>
      <c r="U1263" s="15">
        <v>38.69</v>
      </c>
      <c r="V1263" s="15">
        <v>34.85</v>
      </c>
      <c r="W1263" s="14" t="s">
        <v>106</v>
      </c>
      <c r="X1263" s="14">
        <v>5</v>
      </c>
      <c r="Y1263" s="10">
        <f>AC1263-AB1263</f>
        <v>6</v>
      </c>
      <c r="Z1263" s="18">
        <v>23</v>
      </c>
      <c r="AA1263" s="18">
        <v>72</v>
      </c>
      <c r="AB1263" s="18">
        <v>0</v>
      </c>
      <c r="AC1263" s="18">
        <v>6</v>
      </c>
      <c r="AD1263" s="1" t="s">
        <v>2602</v>
      </c>
      <c r="AE1263" s="1" t="s">
        <v>935</v>
      </c>
      <c r="AF1263" s="4">
        <v>3.87</v>
      </c>
      <c r="AG1263" s="4">
        <v>5.9</v>
      </c>
    </row>
    <row r="1264" spans="1:33" ht="30" x14ac:dyDescent="0.25">
      <c r="A1264" s="10" t="s">
        <v>2608</v>
      </c>
      <c r="B1264" s="11" t="s">
        <v>33</v>
      </c>
      <c r="C1264" s="12" t="s">
        <v>2609</v>
      </c>
      <c r="D1264" s="27"/>
      <c r="E1264" s="14" t="s">
        <v>35</v>
      </c>
      <c r="F1264" s="11" t="str">
        <f>HYPERLINK("https://redirect.sdcdeals.com/redirect?destination=https%3A%2F%2Fwww.amazon.com%2Fdp%2FB0BNQZ129C%3Fth%3D1%26psc%3D1%26tag%3Dsdcdeals03-20", "Amazon Link")</f>
        <v>Amazon Link</v>
      </c>
      <c r="G1264" s="11" t="s">
        <v>36</v>
      </c>
      <c r="H1264" s="14" t="s">
        <v>2610</v>
      </c>
      <c r="I1264" s="11" t="str">
        <f>HYPERLINK("https://redirect.sdcdeals.com/redirect?code=763034&amp;mavely=https://mavely.app.link/e/bhESV2wGrGb&amp;destination=https%3A%2F%2Fwww.kohls.com%2Fsearch.jsp%3Fsubmit-search%3Dweb-regular%26search%3D55628705", "Retail Link")</f>
        <v>Retail Link</v>
      </c>
      <c r="J1264" s="14" t="s">
        <v>2600</v>
      </c>
      <c r="K1264" s="13" t="s">
        <v>2611</v>
      </c>
      <c r="L1264" s="15">
        <v>18.2</v>
      </c>
      <c r="M1264" s="15">
        <v>22.75</v>
      </c>
      <c r="N1264" s="15">
        <v>-4.7625000000000011</v>
      </c>
      <c r="O1264" s="15">
        <f>V1264-M1264</f>
        <v>15.060000000000002</v>
      </c>
      <c r="P1264" s="16">
        <f>N1264/L1264</f>
        <v>-0.26167582417582425</v>
      </c>
      <c r="Q1264" s="14">
        <v>76198</v>
      </c>
      <c r="R1264" s="14"/>
      <c r="S1264" s="17">
        <v>0.44092399999999998</v>
      </c>
      <c r="T1264" s="15">
        <v>22.75</v>
      </c>
      <c r="U1264" s="15">
        <v>41.35</v>
      </c>
      <c r="V1264" s="15">
        <v>37.81</v>
      </c>
      <c r="W1264" s="14" t="s">
        <v>1143</v>
      </c>
      <c r="X1264" s="14">
        <v>6</v>
      </c>
      <c r="Y1264" s="10">
        <f>AC1264-AB1264</f>
        <v>5</v>
      </c>
      <c r="Z1264" s="18">
        <v>25</v>
      </c>
      <c r="AA1264" s="18">
        <v>75</v>
      </c>
      <c r="AB1264" s="18">
        <v>1</v>
      </c>
      <c r="AC1264" s="18">
        <v>6</v>
      </c>
      <c r="AD1264" s="1" t="s">
        <v>2602</v>
      </c>
      <c r="AE1264" s="1" t="s">
        <v>935</v>
      </c>
      <c r="AF1264" s="4">
        <v>3.87</v>
      </c>
      <c r="AG1264" s="4">
        <v>5.9</v>
      </c>
    </row>
    <row r="1265" spans="1:33" ht="30" x14ac:dyDescent="0.25">
      <c r="A1265" s="10" t="s">
        <v>2629</v>
      </c>
      <c r="B1265" s="11" t="s">
        <v>33</v>
      </c>
      <c r="C1265" s="12" t="s">
        <v>2630</v>
      </c>
      <c r="D1265" s="27"/>
      <c r="E1265" s="14" t="s">
        <v>35</v>
      </c>
      <c r="F1265" s="11" t="str">
        <f>HYPERLINK("https://redirect.sdcdeals.com/redirect?destination=https%3A%2F%2Fwww.amazon.com%2Fdp%2FB0BNQZ2Y1F%3Fth%3D1%26psc%3D1%26tag%3Dsdcdeals03-20", "Amazon Link")</f>
        <v>Amazon Link</v>
      </c>
      <c r="G1265" s="11" t="s">
        <v>36</v>
      </c>
      <c r="H1265" s="14" t="s">
        <v>2631</v>
      </c>
      <c r="I1265" s="11" t="str">
        <f>HYPERLINK("https://redirect.sdcdeals.com/redirect?code=763034&amp;mavely=https://mavely.app.link/e/bhESV2wGrGb&amp;destination=https%3A%2F%2Fwww.kohls.com%2Fsearch.jsp%3Fsubmit-search%3Dweb-regular%26search%3D37226320", "Retail Link")</f>
        <v>Retail Link</v>
      </c>
      <c r="J1265" s="14" t="s">
        <v>2600</v>
      </c>
      <c r="K1265" s="13" t="s">
        <v>2632</v>
      </c>
      <c r="L1265" s="15">
        <v>18.2</v>
      </c>
      <c r="M1265" s="15">
        <v>22.75</v>
      </c>
      <c r="N1265" s="15">
        <v>-4.7625000000000011</v>
      </c>
      <c r="O1265" s="15">
        <f>V1265-M1265</f>
        <v>15.43</v>
      </c>
      <c r="P1265" s="16">
        <f>N1265/L1265</f>
        <v>-0.26167582417582425</v>
      </c>
      <c r="Q1265" s="14">
        <v>76198</v>
      </c>
      <c r="R1265" s="14"/>
      <c r="S1265" s="17">
        <v>0.47399330000000001</v>
      </c>
      <c r="T1265" s="15">
        <v>22.75</v>
      </c>
      <c r="U1265" s="15">
        <v>38.61</v>
      </c>
      <c r="V1265" s="15">
        <v>38.18</v>
      </c>
      <c r="W1265" s="14" t="s">
        <v>330</v>
      </c>
      <c r="X1265" s="14">
        <v>6</v>
      </c>
      <c r="Y1265" s="10">
        <f>AC1265-AB1265</f>
        <v>6</v>
      </c>
      <c r="Z1265" s="18">
        <v>22</v>
      </c>
      <c r="AA1265" s="18">
        <v>64</v>
      </c>
      <c r="AB1265" s="18">
        <v>0</v>
      </c>
      <c r="AC1265" s="18">
        <v>6</v>
      </c>
      <c r="AD1265" s="1" t="s">
        <v>2602</v>
      </c>
      <c r="AE1265" s="1" t="s">
        <v>1406</v>
      </c>
      <c r="AF1265" s="4">
        <v>3.87</v>
      </c>
      <c r="AG1265" s="4">
        <v>5.9</v>
      </c>
    </row>
    <row r="1266" spans="1:33" x14ac:dyDescent="0.25">
      <c r="A1266" s="10" t="s">
        <v>5506</v>
      </c>
      <c r="B1266" s="11" t="s">
        <v>33</v>
      </c>
      <c r="C1266" s="12" t="s">
        <v>5507</v>
      </c>
      <c r="D1266" s="27"/>
      <c r="E1266" s="14" t="s">
        <v>35</v>
      </c>
      <c r="F1266" s="11" t="str">
        <f>HYPERLINK("https://redirect.sdcdeals.com/redirect?destination=https%3A%2F%2Fwww.amazon.com%2Fdp%2FB095W1HQQJ%3Fth%3D1%26psc%3D1%26tag%3Dsdcdeals03-20", "Amazon Link")</f>
        <v>Amazon Link</v>
      </c>
      <c r="G1266" s="11" t="s">
        <v>36</v>
      </c>
      <c r="H1266" s="14" t="s">
        <v>5508</v>
      </c>
      <c r="I1266" s="11" t="str">
        <f>HYPERLINK("https://redirect.sdcdeals.com/redirect?code=763034&amp;mavely=https://mavely.app.link/e/bhESV2wGrGb&amp;destination=https%3A%2F%2Fwww.kohls.com%2Fsearch.jsp%3Fsubmit-search%3Dweb-regular%26search%3D54585228", "Retail Link")</f>
        <v>Retail Link</v>
      </c>
      <c r="J1266" s="14" t="s">
        <v>5509</v>
      </c>
      <c r="K1266" s="13" t="s">
        <v>5510</v>
      </c>
      <c r="L1266" s="15">
        <v>18.2</v>
      </c>
      <c r="M1266" s="15">
        <v>22.75</v>
      </c>
      <c r="N1266" s="15">
        <v>-4.7625000000000011</v>
      </c>
      <c r="O1266" s="15">
        <f>V1266-M1266</f>
        <v>17.689999999999998</v>
      </c>
      <c r="P1266" s="16">
        <f>N1266/L1266</f>
        <v>-0.26167582417582425</v>
      </c>
      <c r="Q1266" s="14">
        <v>161844</v>
      </c>
      <c r="R1266" s="14"/>
      <c r="S1266" s="17">
        <v>0.5401319</v>
      </c>
      <c r="T1266" s="15">
        <v>22.75</v>
      </c>
      <c r="U1266" s="15">
        <v>42.03</v>
      </c>
      <c r="V1266" s="15">
        <v>40.44</v>
      </c>
      <c r="W1266" s="14" t="s">
        <v>269</v>
      </c>
      <c r="X1266" s="14">
        <v>5</v>
      </c>
      <c r="Y1266" s="10">
        <f>AC1266-AB1266</f>
        <v>138</v>
      </c>
      <c r="Z1266" s="18">
        <v>28</v>
      </c>
      <c r="AA1266" s="18">
        <v>73</v>
      </c>
      <c r="AB1266" s="18">
        <v>3</v>
      </c>
      <c r="AC1266" s="18">
        <v>141</v>
      </c>
      <c r="AD1266" s="1" t="s">
        <v>5511</v>
      </c>
      <c r="AE1266" s="1" t="s">
        <v>76</v>
      </c>
      <c r="AF1266" s="4">
        <v>3.87</v>
      </c>
      <c r="AG1266" s="4">
        <v>5.9</v>
      </c>
    </row>
    <row r="1267" spans="1:33" ht="30" x14ac:dyDescent="0.25">
      <c r="A1267" s="10" t="s">
        <v>7191</v>
      </c>
      <c r="B1267" s="11" t="s">
        <v>33</v>
      </c>
      <c r="C1267" s="12" t="s">
        <v>7192</v>
      </c>
      <c r="D1267" s="27"/>
      <c r="E1267" s="14" t="s">
        <v>35</v>
      </c>
      <c r="F1267" s="11" t="str">
        <f>HYPERLINK("https://redirect.sdcdeals.com/redirect?destination=https%3A%2F%2Fwww.amazon.com%2Fdp%2FB0CCWLX8GB%3Fth%3D1%26psc%3D1%26tag%3Dsdcdeals03-20", "Amazon Link")</f>
        <v>Amazon Link</v>
      </c>
      <c r="G1267" s="11" t="s">
        <v>36</v>
      </c>
      <c r="H1267" s="14" t="s">
        <v>7193</v>
      </c>
      <c r="I1267" s="11" t="str">
        <f>HYPERLINK("https://redirect.sdcdeals.com/redirect?code=763034&amp;mavely=https://mavely.app.link/e/bhESV2wGrGb&amp;destination=https%3A%2F%2Fwww.kohls.com%2Fsearch.jsp%3Fsubmit-search%3Dweb-regular%26search%3D62385624", "Retail Link")</f>
        <v>Retail Link</v>
      </c>
      <c r="J1267" s="14" t="s">
        <v>7187</v>
      </c>
      <c r="K1267" s="13" t="s">
        <v>7194</v>
      </c>
      <c r="L1267" s="15">
        <v>25.992000000000001</v>
      </c>
      <c r="M1267" s="15">
        <v>32.49</v>
      </c>
      <c r="N1267" s="15">
        <v>-6.8154999999999966</v>
      </c>
      <c r="O1267" s="15">
        <f>V1267-M1267</f>
        <v>40.18</v>
      </c>
      <c r="P1267" s="16">
        <f>N1267/L1267</f>
        <v>-0.26221529701446583</v>
      </c>
      <c r="Q1267" s="14">
        <v>765174</v>
      </c>
      <c r="R1267" s="14"/>
      <c r="S1267" s="17">
        <v>3.9198143600000002</v>
      </c>
      <c r="T1267" s="15">
        <v>32.49</v>
      </c>
      <c r="U1267" s="15">
        <v>58.07</v>
      </c>
      <c r="V1267" s="15">
        <v>72.67</v>
      </c>
      <c r="W1267" s="14" t="s">
        <v>106</v>
      </c>
      <c r="X1267" s="14">
        <v>4</v>
      </c>
      <c r="Y1267" s="10">
        <f>AC1267-AB1267</f>
        <v>4</v>
      </c>
      <c r="Z1267" s="18">
        <v>15</v>
      </c>
      <c r="AA1267" s="18">
        <v>36</v>
      </c>
      <c r="AB1267" s="18">
        <v>0</v>
      </c>
      <c r="AC1267" s="18">
        <v>4</v>
      </c>
      <c r="AD1267" s="1" t="s">
        <v>7189</v>
      </c>
      <c r="AE1267" s="1" t="s">
        <v>7190</v>
      </c>
      <c r="AF1267" s="4">
        <v>4.87</v>
      </c>
      <c r="AG1267" s="4">
        <v>8.44</v>
      </c>
    </row>
    <row r="1268" spans="1:33" ht="30" x14ac:dyDescent="0.25">
      <c r="A1268" s="10" t="s">
        <v>4283</v>
      </c>
      <c r="B1268" s="11" t="s">
        <v>33</v>
      </c>
      <c r="C1268" s="12" t="s">
        <v>4284</v>
      </c>
      <c r="D1268" s="27"/>
      <c r="E1268" s="14" t="s">
        <v>35</v>
      </c>
      <c r="F1268" s="11" t="str">
        <f>HYPERLINK("https://redirect.sdcdeals.com/redirect?destination=https%3A%2F%2Fwww.amazon.com%2Fdp%2FB0BKR1S6ZQ%3Fth%3D1%26psc%3D1%26tag%3Dsdcdeals03-20", "Amazon Link")</f>
        <v>Amazon Link</v>
      </c>
      <c r="G1268" s="11" t="s">
        <v>36</v>
      </c>
      <c r="H1268" s="14" t="s">
        <v>4285</v>
      </c>
      <c r="I1268" s="11" t="str">
        <f>HYPERLINK("https://redirect.sdcdeals.com/redirect?code=763034&amp;mavely=https://mavely.app.link/e/bhESV2wGrGb&amp;destination=https%3A%2F%2Fwww.kohls.com%2Fsearch.jsp%3Fsubmit-search%3Dweb-regular%26search%3D76194392", "Retail Link")</f>
        <v>Retail Link</v>
      </c>
      <c r="J1268" s="14" t="s">
        <v>4231</v>
      </c>
      <c r="K1268" s="13" t="s">
        <v>4286</v>
      </c>
      <c r="L1268" s="15">
        <v>52.8</v>
      </c>
      <c r="M1268" s="15">
        <v>66</v>
      </c>
      <c r="N1268" s="15">
        <v>-13.91</v>
      </c>
      <c r="O1268" s="15">
        <f>V1268-M1268</f>
        <v>27.950000000000003</v>
      </c>
      <c r="P1268" s="16">
        <f>N1268/L1268</f>
        <v>-0.26344696969696973</v>
      </c>
      <c r="Q1268" s="14">
        <v>931412</v>
      </c>
      <c r="R1268" s="14"/>
      <c r="S1268" s="17">
        <v>3.0908772400000002</v>
      </c>
      <c r="T1268" s="15">
        <v>66</v>
      </c>
      <c r="U1268" s="15">
        <v>84.83</v>
      </c>
      <c r="V1268" s="15">
        <v>93.95</v>
      </c>
      <c r="W1268" s="14" t="s">
        <v>1579</v>
      </c>
      <c r="X1268" s="14">
        <v>9</v>
      </c>
      <c r="Y1268" s="10">
        <f>AC1268-AB1268</f>
        <v>3</v>
      </c>
      <c r="Z1268" s="18">
        <v>6</v>
      </c>
      <c r="AA1268" s="18">
        <v>27</v>
      </c>
      <c r="AB1268" s="18">
        <v>0</v>
      </c>
      <c r="AC1268" s="18">
        <v>3</v>
      </c>
      <c r="AD1268" s="1" t="s">
        <v>4233</v>
      </c>
      <c r="AE1268" s="1" t="s">
        <v>4257</v>
      </c>
      <c r="AF1268" s="4">
        <v>11.22</v>
      </c>
      <c r="AG1268" s="4">
        <v>17.21</v>
      </c>
    </row>
    <row r="1269" spans="1:33" ht="30" x14ac:dyDescent="0.25">
      <c r="A1269" s="10" t="s">
        <v>7184</v>
      </c>
      <c r="B1269" s="11" t="s">
        <v>33</v>
      </c>
      <c r="C1269" s="12" t="s">
        <v>7185</v>
      </c>
      <c r="D1269" s="27"/>
      <c r="E1269" s="14" t="s">
        <v>35</v>
      </c>
      <c r="F1269" s="11" t="str">
        <f>HYPERLINK("https://redirect.sdcdeals.com/redirect?destination=https%3A%2F%2Fwww.amazon.com%2Fdp%2FB0CCWLXCFC%3Fth%3D1%26psc%3D1%26tag%3Dsdcdeals03-20", "Amazon Link")</f>
        <v>Amazon Link</v>
      </c>
      <c r="G1269" s="11" t="s">
        <v>36</v>
      </c>
      <c r="H1269" s="14" t="s">
        <v>7186</v>
      </c>
      <c r="I1269" s="11" t="str">
        <f>HYPERLINK("https://redirect.sdcdeals.com/redirect?code=763034&amp;mavely=https://mavely.app.link/e/bhESV2wGrGb&amp;destination=https%3A%2F%2Fwww.kohls.com%2Fsearch.jsp%3Fsubmit-search%3Dweb-regular%26search%3D62385619", "Retail Link")</f>
        <v>Retail Link</v>
      </c>
      <c r="J1269" s="14" t="s">
        <v>7187</v>
      </c>
      <c r="K1269" s="13" t="s">
        <v>7188</v>
      </c>
      <c r="L1269" s="15">
        <v>25.992000000000001</v>
      </c>
      <c r="M1269" s="15">
        <v>32.49</v>
      </c>
      <c r="N1269" s="15">
        <v>-6.8954999999999984</v>
      </c>
      <c r="O1269" s="15">
        <f>V1269-M1269</f>
        <v>48.71</v>
      </c>
      <c r="P1269" s="16">
        <f>N1269/L1269</f>
        <v>-0.26529316712834711</v>
      </c>
      <c r="Q1269" s="14">
        <v>765174</v>
      </c>
      <c r="R1269" s="14"/>
      <c r="S1269" s="17">
        <v>3.8602896200000001</v>
      </c>
      <c r="T1269" s="15">
        <v>32.49</v>
      </c>
      <c r="U1269" s="15">
        <v>74.959999999999994</v>
      </c>
      <c r="V1269" s="15">
        <v>81.2</v>
      </c>
      <c r="W1269" s="14" t="s">
        <v>100</v>
      </c>
      <c r="X1269" s="14">
        <v>5</v>
      </c>
      <c r="Y1269" s="10">
        <f>AC1269-AB1269</f>
        <v>6</v>
      </c>
      <c r="Z1269" s="18">
        <v>15</v>
      </c>
      <c r="AA1269" s="18">
        <v>35</v>
      </c>
      <c r="AB1269" s="18">
        <v>0</v>
      </c>
      <c r="AC1269" s="18">
        <v>6</v>
      </c>
      <c r="AD1269" s="1" t="s">
        <v>7189</v>
      </c>
      <c r="AE1269" s="1" t="s">
        <v>7190</v>
      </c>
      <c r="AF1269" s="4">
        <v>4.87</v>
      </c>
      <c r="AG1269" s="4">
        <v>8.52</v>
      </c>
    </row>
    <row r="1270" spans="1:33" ht="30" x14ac:dyDescent="0.25">
      <c r="A1270" s="10" t="s">
        <v>7195</v>
      </c>
      <c r="B1270" s="11" t="s">
        <v>33</v>
      </c>
      <c r="C1270" s="12" t="s">
        <v>7196</v>
      </c>
      <c r="D1270" s="27"/>
      <c r="E1270" s="14" t="s">
        <v>35</v>
      </c>
      <c r="F1270" s="11" t="str">
        <f>HYPERLINK("https://redirect.sdcdeals.com/redirect?destination=https%3A%2F%2Fwww.amazon.com%2Fdp%2FB0CCWXYGV6%3Fth%3D1%26psc%3D1%26tag%3Dsdcdeals03-20", "Amazon Link")</f>
        <v>Amazon Link</v>
      </c>
      <c r="G1270" s="11" t="s">
        <v>36</v>
      </c>
      <c r="H1270" s="14" t="s">
        <v>7197</v>
      </c>
      <c r="I1270" s="11" t="str">
        <f>HYPERLINK("https://redirect.sdcdeals.com/redirect?code=763034&amp;mavely=https://mavely.app.link/e/bhESV2wGrGb&amp;destination=https%3A%2F%2Fwww.kohls.com%2Fsearch.jsp%3Fsubmit-search%3Dweb-regular%26search%3D62385625", "Retail Link")</f>
        <v>Retail Link</v>
      </c>
      <c r="J1270" s="14" t="s">
        <v>7187</v>
      </c>
      <c r="K1270" s="13" t="s">
        <v>7198</v>
      </c>
      <c r="L1270" s="15">
        <v>25.992000000000001</v>
      </c>
      <c r="M1270" s="15">
        <v>32.49</v>
      </c>
      <c r="N1270" s="15">
        <v>-6.8954999999999984</v>
      </c>
      <c r="O1270" s="15">
        <f>V1270-M1270</f>
        <v>44.609999999999992</v>
      </c>
      <c r="P1270" s="16">
        <f>N1270/L1270</f>
        <v>-0.26529316712834711</v>
      </c>
      <c r="Q1270" s="14">
        <v>765174</v>
      </c>
      <c r="R1270" s="14"/>
      <c r="S1270" s="17">
        <v>3.9506790399999998</v>
      </c>
      <c r="T1270" s="15">
        <v>32.49</v>
      </c>
      <c r="U1270" s="15">
        <v>64.209999999999994</v>
      </c>
      <c r="V1270" s="15">
        <v>77.099999999999994</v>
      </c>
      <c r="W1270" s="14" t="s">
        <v>385</v>
      </c>
      <c r="X1270" s="14">
        <v>4</v>
      </c>
      <c r="Y1270" s="10">
        <f>AC1270-AB1270</f>
        <v>5</v>
      </c>
      <c r="Z1270" s="18">
        <v>20</v>
      </c>
      <c r="AA1270" s="18">
        <v>45</v>
      </c>
      <c r="AB1270" s="18">
        <v>0</v>
      </c>
      <c r="AC1270" s="18">
        <v>5</v>
      </c>
      <c r="AD1270" s="1" t="s">
        <v>7189</v>
      </c>
      <c r="AE1270" s="1" t="s">
        <v>7190</v>
      </c>
      <c r="AF1270" s="4">
        <v>4.88</v>
      </c>
      <c r="AG1270" s="4">
        <v>8.52</v>
      </c>
    </row>
    <row r="1271" spans="1:33" ht="30" x14ac:dyDescent="0.25">
      <c r="A1271" s="10" t="s">
        <v>5333</v>
      </c>
      <c r="B1271" s="11" t="s">
        <v>33</v>
      </c>
      <c r="C1271" s="12" t="s">
        <v>5334</v>
      </c>
      <c r="D1271" s="27"/>
      <c r="E1271" s="14" t="s">
        <v>35</v>
      </c>
      <c r="F1271" s="11" t="str">
        <f>HYPERLINK("https://redirect.sdcdeals.com/redirect?destination=https%3A%2F%2Fwww.amazon.com%2Fdp%2FB09KMK1KG5%3Fth%3D1%26psc%3D1%26tag%3Dsdcdeals03-20", "Amazon Link")</f>
        <v>Amazon Link</v>
      </c>
      <c r="G1271" s="11" t="s">
        <v>36</v>
      </c>
      <c r="H1271" s="14" t="s">
        <v>5335</v>
      </c>
      <c r="I1271" s="11" t="str">
        <f>HYPERLINK("https://redirect.sdcdeals.com/redirect?code=763034&amp;mavely=https://mavely.app.link/e/bhESV2wGrGb&amp;destination=https%3A%2F%2Fwww.kohls.com%2Fsearch.jsp%3Fsubmit-search%3Dweb-regular%26search%3D58124996", "Retail Link")</f>
        <v>Retail Link</v>
      </c>
      <c r="J1271" s="14" t="s">
        <v>5336</v>
      </c>
      <c r="K1271" s="13" t="s">
        <v>5337</v>
      </c>
      <c r="L1271" s="15">
        <v>24</v>
      </c>
      <c r="M1271" s="15">
        <v>30</v>
      </c>
      <c r="N1271" s="15">
        <v>-6.379999999999999</v>
      </c>
      <c r="O1271" s="15">
        <f>V1271-M1271</f>
        <v>21.15</v>
      </c>
      <c r="P1271" s="16">
        <f>N1271/L1271</f>
        <v>-0.26583333333333331</v>
      </c>
      <c r="Q1271" s="14">
        <v>149455</v>
      </c>
      <c r="R1271" s="14"/>
      <c r="S1271" s="17">
        <v>0.82452787999999999</v>
      </c>
      <c r="T1271" s="15">
        <v>30</v>
      </c>
      <c r="U1271" s="15">
        <v>45.49</v>
      </c>
      <c r="V1271" s="15">
        <v>51.15</v>
      </c>
      <c r="W1271" s="14" t="s">
        <v>113</v>
      </c>
      <c r="X1271" s="14">
        <v>8</v>
      </c>
      <c r="Y1271" s="10">
        <f>AC1271-AB1271</f>
        <v>288</v>
      </c>
      <c r="Z1271" s="18">
        <v>26</v>
      </c>
      <c r="AA1271" s="18">
        <v>76</v>
      </c>
      <c r="AB1271" s="18">
        <v>2</v>
      </c>
      <c r="AC1271" s="18">
        <v>290</v>
      </c>
      <c r="AD1271" s="1" t="s">
        <v>5338</v>
      </c>
      <c r="AE1271" s="1" t="s">
        <v>5339</v>
      </c>
      <c r="AF1271" s="4">
        <v>5.0999999999999996</v>
      </c>
      <c r="AG1271" s="4">
        <v>7.88</v>
      </c>
    </row>
    <row r="1272" spans="1:33" x14ac:dyDescent="0.25">
      <c r="A1272" s="10" t="s">
        <v>2860</v>
      </c>
      <c r="B1272" s="11" t="s">
        <v>33</v>
      </c>
      <c r="C1272" s="12" t="s">
        <v>2861</v>
      </c>
      <c r="D1272" s="27"/>
      <c r="E1272" s="14" t="s">
        <v>35</v>
      </c>
      <c r="F1272" s="11" t="str">
        <f>HYPERLINK("https://redirect.sdcdeals.com/redirect?destination=https%3A%2F%2Fwww.amazon.com%2Fdp%2FB09KMWYJ26%3Fth%3D1%26psc%3D1%26tag%3Dsdcdeals03-20", "Amazon Link")</f>
        <v>Amazon Link</v>
      </c>
      <c r="G1272" s="11" t="s">
        <v>36</v>
      </c>
      <c r="H1272" s="14" t="s">
        <v>2862</v>
      </c>
      <c r="I1272" s="11" t="str">
        <f>HYPERLINK("https://redirect.sdcdeals.com/redirect?code=763034&amp;mavely=https://mavely.app.link/e/bhESV2wGrGb&amp;destination=https%3A%2F%2Fwww.kohls.com%2Fsearch.jsp%3Fsubmit-search%3Dweb-regular%26search%3D76932886", "Retail Link")</f>
        <v>Retail Link</v>
      </c>
      <c r="J1272" s="14" t="s">
        <v>2863</v>
      </c>
      <c r="K1272" s="13" t="s">
        <v>2864</v>
      </c>
      <c r="L1272" s="15">
        <v>39.6</v>
      </c>
      <c r="M1272" s="15">
        <v>49.5</v>
      </c>
      <c r="N1272" s="15">
        <v>-10.55500000000001</v>
      </c>
      <c r="O1272" s="15">
        <f>V1272-M1272</f>
        <v>24.180000000000007</v>
      </c>
      <c r="P1272" s="16">
        <f>N1272/L1272</f>
        <v>-0.2665404040404043</v>
      </c>
      <c r="Q1272" s="14">
        <v>748350</v>
      </c>
      <c r="R1272" s="14"/>
      <c r="S1272" s="17">
        <v>2.6124746999999999</v>
      </c>
      <c r="T1272" s="15">
        <v>48.8</v>
      </c>
      <c r="U1272" s="15">
        <v>57.8</v>
      </c>
      <c r="V1272" s="15">
        <v>73.680000000000007</v>
      </c>
      <c r="W1272" s="14" t="s">
        <v>1014</v>
      </c>
      <c r="X1272" s="14">
        <v>4</v>
      </c>
      <c r="Y1272" s="10">
        <f>AC1272-AB1272</f>
        <v>63</v>
      </c>
      <c r="Z1272" s="18">
        <v>10</v>
      </c>
      <c r="AA1272" s="18">
        <v>54</v>
      </c>
      <c r="AB1272" s="18">
        <v>0</v>
      </c>
      <c r="AC1272" s="18">
        <v>63</v>
      </c>
      <c r="AD1272" s="1" t="s">
        <v>2865</v>
      </c>
      <c r="AE1272" s="1" t="s">
        <v>2866</v>
      </c>
      <c r="AF1272" s="4">
        <v>8.42</v>
      </c>
      <c r="AG1272" s="4">
        <v>13.03</v>
      </c>
    </row>
    <row r="1273" spans="1:33" ht="30" x14ac:dyDescent="0.25">
      <c r="A1273" s="10" t="s">
        <v>5397</v>
      </c>
      <c r="B1273" s="11" t="s">
        <v>33</v>
      </c>
      <c r="C1273" s="12" t="s">
        <v>5398</v>
      </c>
      <c r="D1273" s="27"/>
      <c r="E1273" s="14" t="s">
        <v>35</v>
      </c>
      <c r="F1273" s="11" t="str">
        <f>HYPERLINK("https://redirect.sdcdeals.com/redirect?destination=https%3A%2F%2Fwww.amazon.com%2Fdp%2FB0BKQWY6CY%3Fth%3D1%26psc%3D1%26tag%3Dsdcdeals03-20", "Amazon Link")</f>
        <v>Amazon Link</v>
      </c>
      <c r="G1273" s="11" t="s">
        <v>36</v>
      </c>
      <c r="H1273" s="14" t="s">
        <v>5399</v>
      </c>
      <c r="I1273" s="11" t="str">
        <f>HYPERLINK("https://redirect.sdcdeals.com/redirect?code=763034&amp;mavely=https://mavely.app.link/e/bhESV2wGrGb&amp;destination=https%3A%2F%2Fwww.kohls.com%2Fsearch.jsp%3Fsubmit-search%3Dweb-regular%26search%3D76863040", "Retail Link")</f>
        <v>Retail Link</v>
      </c>
      <c r="J1273" s="14" t="s">
        <v>5394</v>
      </c>
      <c r="K1273" s="13" t="s">
        <v>5400</v>
      </c>
      <c r="L1273" s="15">
        <v>20</v>
      </c>
      <c r="M1273" s="15">
        <v>25</v>
      </c>
      <c r="N1273" s="15">
        <v>-5.35</v>
      </c>
      <c r="O1273" s="15">
        <f>V1273-M1273</f>
        <v>29.799999999999997</v>
      </c>
      <c r="P1273" s="16">
        <f>N1273/L1273</f>
        <v>-0.26749999999999996</v>
      </c>
      <c r="Q1273" s="14">
        <v>404843</v>
      </c>
      <c r="R1273" s="14"/>
      <c r="S1273" s="17">
        <v>1.0802638</v>
      </c>
      <c r="T1273" s="15">
        <v>25</v>
      </c>
      <c r="U1273" s="15">
        <v>47.66</v>
      </c>
      <c r="V1273" s="15">
        <v>54.8</v>
      </c>
      <c r="W1273" s="14" t="s">
        <v>1097</v>
      </c>
      <c r="X1273" s="14">
        <v>2</v>
      </c>
      <c r="Y1273" s="10">
        <f>AC1273-AB1273</f>
        <v>0</v>
      </c>
      <c r="Z1273" s="18">
        <v>9</v>
      </c>
      <c r="AA1273" s="18">
        <v>23</v>
      </c>
      <c r="AB1273" s="18">
        <v>0</v>
      </c>
      <c r="AC1273" s="18"/>
      <c r="AD1273" s="1" t="s">
        <v>5396</v>
      </c>
      <c r="AE1273" s="1" t="s">
        <v>5401</v>
      </c>
      <c r="AF1273" s="4">
        <v>4.25</v>
      </c>
      <c r="AG1273" s="4">
        <v>6.6</v>
      </c>
    </row>
    <row r="1274" spans="1:33" ht="30" x14ac:dyDescent="0.25">
      <c r="A1274" s="10" t="s">
        <v>5402</v>
      </c>
      <c r="B1274" s="11" t="s">
        <v>33</v>
      </c>
      <c r="C1274" s="12" t="s">
        <v>5403</v>
      </c>
      <c r="D1274" s="27"/>
      <c r="E1274" s="14" t="s">
        <v>35</v>
      </c>
      <c r="F1274" s="11" t="str">
        <f>HYPERLINK("https://redirect.sdcdeals.com/redirect?destination=https%3A%2F%2Fwww.amazon.com%2Fdp%2FB0BKQVX67M%3Fth%3D1%26psc%3D1%26tag%3Dsdcdeals03-20", "Amazon Link")</f>
        <v>Amazon Link</v>
      </c>
      <c r="G1274" s="11" t="s">
        <v>36</v>
      </c>
      <c r="H1274" s="14" t="s">
        <v>5404</v>
      </c>
      <c r="I1274" s="11" t="str">
        <f>HYPERLINK("https://redirect.sdcdeals.com/redirect?code=763034&amp;mavely=https://mavely.app.link/e/bhESV2wGrGb&amp;destination=https%3A%2F%2Fwww.kohls.com%2Fsearch.jsp%3Fsubmit-search%3Dweb-regular%26search%3D76863041", "Retail Link")</f>
        <v>Retail Link</v>
      </c>
      <c r="J1274" s="14" t="s">
        <v>5394</v>
      </c>
      <c r="K1274" s="13" t="s">
        <v>5405</v>
      </c>
      <c r="L1274" s="15">
        <v>20</v>
      </c>
      <c r="M1274" s="15">
        <v>25</v>
      </c>
      <c r="N1274" s="15">
        <v>-5.35</v>
      </c>
      <c r="O1274" s="15">
        <f>V1274-M1274</f>
        <v>34.159999999999997</v>
      </c>
      <c r="P1274" s="16">
        <f>N1274/L1274</f>
        <v>-0.26749999999999996</v>
      </c>
      <c r="Q1274" s="14">
        <v>457858</v>
      </c>
      <c r="R1274" s="14"/>
      <c r="S1274" s="17">
        <v>1.0802638</v>
      </c>
      <c r="T1274" s="15">
        <v>25</v>
      </c>
      <c r="U1274" s="15">
        <v>54.87</v>
      </c>
      <c r="V1274" s="15">
        <v>59.16</v>
      </c>
      <c r="W1274" s="14" t="s">
        <v>366</v>
      </c>
      <c r="X1274" s="14">
        <v>3</v>
      </c>
      <c r="Y1274" s="10">
        <f>AC1274-AB1274</f>
        <v>0</v>
      </c>
      <c r="Z1274" s="18">
        <v>10</v>
      </c>
      <c r="AA1274" s="18">
        <v>29</v>
      </c>
      <c r="AB1274" s="18">
        <v>0</v>
      </c>
      <c r="AC1274" s="18"/>
      <c r="AD1274" s="1" t="s">
        <v>5396</v>
      </c>
      <c r="AE1274" s="1" t="s">
        <v>5401</v>
      </c>
      <c r="AF1274" s="4">
        <v>4.25</v>
      </c>
      <c r="AG1274" s="4">
        <v>6.6</v>
      </c>
    </row>
    <row r="1275" spans="1:33" ht="30" x14ac:dyDescent="0.25">
      <c r="A1275" s="10" t="s">
        <v>7203</v>
      </c>
      <c r="B1275" s="11" t="s">
        <v>33</v>
      </c>
      <c r="C1275" s="12" t="s">
        <v>7204</v>
      </c>
      <c r="D1275" s="27"/>
      <c r="E1275" s="14" t="s">
        <v>35</v>
      </c>
      <c r="F1275" s="11" t="str">
        <f>HYPERLINK("https://redirect.sdcdeals.com/redirect?destination=https%3A%2F%2Fwww.amazon.com%2Fdp%2FB0CCWRZXWL%3Fth%3D1%26psc%3D1%26tag%3Dsdcdeals03-20", "Amazon Link")</f>
        <v>Amazon Link</v>
      </c>
      <c r="G1275" s="11" t="s">
        <v>36</v>
      </c>
      <c r="H1275" s="14" t="s">
        <v>7205</v>
      </c>
      <c r="I1275" s="11" t="str">
        <f>HYPERLINK("https://redirect.sdcdeals.com/redirect?code=763034&amp;mavely=https://mavely.app.link/e/bhESV2wGrGb&amp;destination=https%3A%2F%2Fwww.kohls.com%2Fsearch.jsp%3Fsubmit-search%3Dweb-regular%26search%3D62385627", "Retail Link")</f>
        <v>Retail Link</v>
      </c>
      <c r="J1275" s="14" t="s">
        <v>7187</v>
      </c>
      <c r="K1275" s="13" t="s">
        <v>7206</v>
      </c>
      <c r="L1275" s="15">
        <v>25.992000000000001</v>
      </c>
      <c r="M1275" s="15">
        <v>32.49</v>
      </c>
      <c r="N1275" s="15">
        <v>-6.9755000000000003</v>
      </c>
      <c r="O1275" s="15">
        <f>V1275-M1275</f>
        <v>47.550000000000004</v>
      </c>
      <c r="P1275" s="16">
        <f>N1275/L1275</f>
        <v>-0.26837103724222838</v>
      </c>
      <c r="Q1275" s="14">
        <v>765174</v>
      </c>
      <c r="R1275" s="14"/>
      <c r="S1275" s="17">
        <v>3.9903621999999999</v>
      </c>
      <c r="T1275" s="15">
        <v>32.49</v>
      </c>
      <c r="U1275" s="15">
        <v>71.5</v>
      </c>
      <c r="V1275" s="15">
        <v>80.040000000000006</v>
      </c>
      <c r="W1275" s="14" t="s">
        <v>301</v>
      </c>
      <c r="X1275" s="14">
        <v>5</v>
      </c>
      <c r="Y1275" s="10">
        <f>AC1275-AB1275</f>
        <v>6</v>
      </c>
      <c r="Z1275" s="18">
        <v>15</v>
      </c>
      <c r="AA1275" s="18">
        <v>43</v>
      </c>
      <c r="AB1275" s="18">
        <v>0</v>
      </c>
      <c r="AC1275" s="18">
        <v>6</v>
      </c>
      <c r="AD1275" s="1" t="s">
        <v>7189</v>
      </c>
      <c r="AE1275" s="1" t="s">
        <v>7190</v>
      </c>
      <c r="AF1275" s="4">
        <v>4.87</v>
      </c>
      <c r="AG1275" s="4">
        <v>8.6</v>
      </c>
    </row>
    <row r="1276" spans="1:33" ht="30" x14ac:dyDescent="0.25">
      <c r="A1276" s="10" t="s">
        <v>7207</v>
      </c>
      <c r="B1276" s="11" t="s">
        <v>33</v>
      </c>
      <c r="C1276" s="12" t="s">
        <v>7208</v>
      </c>
      <c r="D1276" s="27"/>
      <c r="E1276" s="14" t="s">
        <v>35</v>
      </c>
      <c r="F1276" s="11" t="str">
        <f>HYPERLINK("https://redirect.sdcdeals.com/redirect?destination=https%3A%2F%2Fwww.amazon.com%2Fdp%2FB0CCWXYPBV%3Fth%3D1%26psc%3D1%26tag%3Dsdcdeals03-20", "Amazon Link")</f>
        <v>Amazon Link</v>
      </c>
      <c r="G1276" s="11" t="s">
        <v>36</v>
      </c>
      <c r="H1276" s="14" t="s">
        <v>7209</v>
      </c>
      <c r="I1276" s="11" t="str">
        <f>HYPERLINK("https://redirect.sdcdeals.com/redirect?code=763034&amp;mavely=https://mavely.app.link/e/bhESV2wGrGb&amp;destination=https%3A%2F%2Fwww.kohls.com%2Fsearch.jsp%3Fsubmit-search%3Dweb-regular%26search%3D62385628", "Retail Link")</f>
        <v>Retail Link</v>
      </c>
      <c r="J1276" s="14" t="s">
        <v>7187</v>
      </c>
      <c r="K1276" s="13" t="s">
        <v>7210</v>
      </c>
      <c r="L1276" s="15">
        <v>25.992000000000001</v>
      </c>
      <c r="M1276" s="15">
        <v>32.49</v>
      </c>
      <c r="N1276" s="15">
        <v>-6.9755000000000003</v>
      </c>
      <c r="O1276" s="15">
        <f>V1276-M1276</f>
        <v>45.499999999999993</v>
      </c>
      <c r="P1276" s="16">
        <f>N1276/L1276</f>
        <v>-0.26837103724222838</v>
      </c>
      <c r="Q1276" s="14">
        <v>765174</v>
      </c>
      <c r="R1276" s="14"/>
      <c r="S1276" s="17">
        <v>4.3210552</v>
      </c>
      <c r="T1276" s="15">
        <v>32.49</v>
      </c>
      <c r="U1276" s="15">
        <v>67.05</v>
      </c>
      <c r="V1276" s="15">
        <v>77.989999999999995</v>
      </c>
      <c r="W1276" s="14" t="s">
        <v>53</v>
      </c>
      <c r="X1276" s="14">
        <v>5</v>
      </c>
      <c r="Y1276" s="10">
        <f>AC1276-AB1276</f>
        <v>4</v>
      </c>
      <c r="Z1276" s="18">
        <v>14</v>
      </c>
      <c r="AA1276" s="18">
        <v>35</v>
      </c>
      <c r="AB1276" s="18">
        <v>1</v>
      </c>
      <c r="AC1276" s="18">
        <v>5</v>
      </c>
      <c r="AD1276" s="1" t="s">
        <v>7189</v>
      </c>
      <c r="AE1276" s="1" t="s">
        <v>7190</v>
      </c>
      <c r="AF1276" s="4">
        <v>4.87</v>
      </c>
      <c r="AG1276" s="4">
        <v>8.6</v>
      </c>
    </row>
    <row r="1277" spans="1:33" ht="30" x14ac:dyDescent="0.25">
      <c r="A1277" s="10" t="s">
        <v>6532</v>
      </c>
      <c r="B1277" s="11" t="s">
        <v>33</v>
      </c>
      <c r="C1277" s="12" t="s">
        <v>6533</v>
      </c>
      <c r="D1277" s="27"/>
      <c r="E1277" s="14" t="s">
        <v>35</v>
      </c>
      <c r="F1277" s="11" t="str">
        <f>HYPERLINK("https://redirect.sdcdeals.com/redirect?destination=https%3A%2F%2Fwww.amazon.com%2Fdp%2FB0BGVY89RC%3Fth%3D1%26psc%3D1%26tag%3Dsdcdeals03-20", "Amazon Link")</f>
        <v>Amazon Link</v>
      </c>
      <c r="G1277" s="11" t="s">
        <v>36</v>
      </c>
      <c r="H1277" s="14" t="s">
        <v>6534</v>
      </c>
      <c r="I1277" s="11" t="str">
        <f>HYPERLINK("https://redirect.sdcdeals.com/redirect?code=763034&amp;mavely=https://mavely.app.link/e/bhESV2wGrGb&amp;destination=https%3A%2F%2Fwww.kohls.com%2Fsearch.jsp%3Fsubmit-search%3Dweb-regular%26search%3D73028212", "Retail Link")</f>
        <v>Retail Link</v>
      </c>
      <c r="J1277" s="14" t="s">
        <v>6518</v>
      </c>
      <c r="K1277" s="13" t="s">
        <v>6535</v>
      </c>
      <c r="L1277" s="15">
        <v>21.6</v>
      </c>
      <c r="M1277" s="15">
        <v>27</v>
      </c>
      <c r="N1277" s="15">
        <v>-5.8300000000000018</v>
      </c>
      <c r="O1277" s="15">
        <f>V1277-M1277</f>
        <v>20.729999999999997</v>
      </c>
      <c r="P1277" s="16">
        <f>N1277/L1277</f>
        <v>-0.26990740740740748</v>
      </c>
      <c r="Q1277" s="14">
        <v>102323</v>
      </c>
      <c r="R1277" s="14"/>
      <c r="S1277" s="17">
        <v>0.97003280000000003</v>
      </c>
      <c r="T1277" s="15">
        <v>27</v>
      </c>
      <c r="U1277" s="15">
        <v>48.21</v>
      </c>
      <c r="V1277" s="15">
        <v>47.73</v>
      </c>
      <c r="W1277" s="14" t="s">
        <v>849</v>
      </c>
      <c r="X1277" s="14">
        <v>9</v>
      </c>
      <c r="Y1277" s="10">
        <f>AC1277-AB1277</f>
        <v>60</v>
      </c>
      <c r="Z1277" s="18">
        <v>41</v>
      </c>
      <c r="AA1277" s="18">
        <v>115</v>
      </c>
      <c r="AB1277" s="18">
        <v>1</v>
      </c>
      <c r="AC1277" s="18">
        <v>61</v>
      </c>
      <c r="AD1277" s="1" t="s">
        <v>6520</v>
      </c>
      <c r="AE1277" s="1" t="s">
        <v>6536</v>
      </c>
      <c r="AF1277" s="4">
        <v>4.59</v>
      </c>
      <c r="AG1277" s="4">
        <v>7.18</v>
      </c>
    </row>
    <row r="1278" spans="1:33" ht="30" x14ac:dyDescent="0.25">
      <c r="A1278" s="10" t="s">
        <v>6522</v>
      </c>
      <c r="B1278" s="11" t="s">
        <v>33</v>
      </c>
      <c r="C1278" s="12" t="s">
        <v>6523</v>
      </c>
      <c r="D1278" s="27"/>
      <c r="E1278" s="14" t="s">
        <v>35</v>
      </c>
      <c r="F1278" s="11" t="str">
        <f>HYPERLINK("https://redirect.sdcdeals.com/redirect?destination=https%3A%2F%2Fwww.amazon.com%2Fdp%2FB0BGVRMFTG%3Fth%3D1%26psc%3D1%26tag%3Dsdcdeals03-20", "Amazon Link")</f>
        <v>Amazon Link</v>
      </c>
      <c r="G1278" s="11" t="s">
        <v>36</v>
      </c>
      <c r="H1278" s="14" t="s">
        <v>6524</v>
      </c>
      <c r="I1278" s="11" t="str">
        <f>HYPERLINK("https://redirect.sdcdeals.com/redirect?code=763034&amp;mavely=https://mavely.app.link/e/bhESV2wGrGb&amp;destination=https%3A%2F%2Fwww.kohls.com%2Fsearch.jsp%3Fsubmit-search%3Dweb-regular%26search%3D73028279", "Retail Link")</f>
        <v>Retail Link</v>
      </c>
      <c r="J1278" s="14" t="s">
        <v>6518</v>
      </c>
      <c r="K1278" s="13" t="s">
        <v>6525</v>
      </c>
      <c r="L1278" s="15">
        <v>21.6</v>
      </c>
      <c r="M1278" s="15">
        <v>27</v>
      </c>
      <c r="N1278" s="15">
        <v>-5.8900000000000023</v>
      </c>
      <c r="O1278" s="15">
        <f>V1278-M1278</f>
        <v>23.759999999999998</v>
      </c>
      <c r="P1278" s="16">
        <f>N1278/L1278</f>
        <v>-0.27268518518518525</v>
      </c>
      <c r="Q1278" s="14">
        <v>113321</v>
      </c>
      <c r="R1278" s="14"/>
      <c r="S1278" s="17">
        <v>0.95900969999999996</v>
      </c>
      <c r="T1278" s="15">
        <v>27</v>
      </c>
      <c r="U1278" s="15">
        <v>47.98</v>
      </c>
      <c r="V1278" s="15">
        <v>50.76</v>
      </c>
      <c r="W1278" s="14" t="s">
        <v>95</v>
      </c>
      <c r="X1278" s="14">
        <v>6</v>
      </c>
      <c r="Y1278" s="10">
        <f>AC1278-AB1278</f>
        <v>60</v>
      </c>
      <c r="Z1278" s="18">
        <v>34</v>
      </c>
      <c r="AA1278" s="18">
        <v>96</v>
      </c>
      <c r="AB1278" s="18">
        <v>1</v>
      </c>
      <c r="AC1278" s="18">
        <v>61</v>
      </c>
      <c r="AD1278" s="1" t="s">
        <v>6520</v>
      </c>
      <c r="AE1278" s="1" t="s">
        <v>6526</v>
      </c>
      <c r="AF1278" s="4">
        <v>4.59</v>
      </c>
      <c r="AG1278" s="4">
        <v>7.24</v>
      </c>
    </row>
    <row r="1279" spans="1:33" ht="30" x14ac:dyDescent="0.25">
      <c r="A1279" s="10" t="s">
        <v>6679</v>
      </c>
      <c r="B1279" s="11" t="s">
        <v>33</v>
      </c>
      <c r="C1279" s="12" t="s">
        <v>6680</v>
      </c>
      <c r="D1279" s="27"/>
      <c r="E1279" s="14" t="s">
        <v>35</v>
      </c>
      <c r="F1279" s="11" t="str">
        <f>HYPERLINK("https://redirect.sdcdeals.com/redirect?destination=https%3A%2F%2Fwww.amazon.com%2Fdp%2FB0BNSP3S6P%3Fth%3D1%26psc%3D1%26tag%3Dsdcdeals03-20", "Amazon Link")</f>
        <v>Amazon Link</v>
      </c>
      <c r="G1279" s="11" t="s">
        <v>36</v>
      </c>
      <c r="H1279" s="14" t="s">
        <v>6681</v>
      </c>
      <c r="I1279" s="11" t="str">
        <f>HYPERLINK("https://redirect.sdcdeals.com/redirect?code=763034&amp;mavely=https://mavely.app.link/e/bhESV2wGrGb&amp;destination=https%3A%2F%2Fwww.kohls.com%2Fsearch.jsp%3Fsubmit-search%3Dweb-regular%26search%3D54880249", "Retail Link")</f>
        <v>Retail Link</v>
      </c>
      <c r="J1279" s="14" t="s">
        <v>6668</v>
      </c>
      <c r="K1279" s="13" t="s">
        <v>6682</v>
      </c>
      <c r="L1279" s="15">
        <v>19.600000000000001</v>
      </c>
      <c r="M1279" s="15">
        <v>24.5</v>
      </c>
      <c r="N1279" s="15">
        <v>-5.3750000000000018</v>
      </c>
      <c r="O1279" s="15">
        <f>V1279-M1279</f>
        <v>6.2600000000000016</v>
      </c>
      <c r="P1279" s="16">
        <f>N1279/L1279</f>
        <v>-0.27423469387755112</v>
      </c>
      <c r="Q1279" s="14">
        <v>303411</v>
      </c>
      <c r="R1279" s="14"/>
      <c r="S1279" s="17">
        <v>0.3086468</v>
      </c>
      <c r="T1279" s="15">
        <v>24.5</v>
      </c>
      <c r="U1279" s="15">
        <v>36.51</v>
      </c>
      <c r="V1279" s="15">
        <v>30.76</v>
      </c>
      <c r="W1279" s="14" t="s">
        <v>366</v>
      </c>
      <c r="X1279" s="14">
        <v>1</v>
      </c>
      <c r="Y1279" s="10">
        <f>AC1279-AB1279</f>
        <v>3</v>
      </c>
      <c r="Z1279" s="18">
        <v>3</v>
      </c>
      <c r="AA1279" s="18">
        <v>25</v>
      </c>
      <c r="AB1279" s="18">
        <v>1</v>
      </c>
      <c r="AC1279" s="18">
        <v>4</v>
      </c>
      <c r="AD1279" s="1" t="s">
        <v>6670</v>
      </c>
      <c r="AE1279" s="1" t="s">
        <v>856</v>
      </c>
      <c r="AF1279" s="4">
        <v>4.17</v>
      </c>
      <c r="AG1279" s="4">
        <v>6.6</v>
      </c>
    </row>
    <row r="1280" spans="1:33" ht="30" x14ac:dyDescent="0.25">
      <c r="A1280" s="10" t="s">
        <v>2597</v>
      </c>
      <c r="B1280" s="11" t="s">
        <v>33</v>
      </c>
      <c r="C1280" s="12" t="s">
        <v>2598</v>
      </c>
      <c r="D1280" s="27"/>
      <c r="E1280" s="14" t="s">
        <v>35</v>
      </c>
      <c r="F1280" s="11" t="str">
        <f>HYPERLINK("https://redirect.sdcdeals.com/redirect?destination=https%3A%2F%2Fwww.amazon.com%2Fdp%2FB0BNR1NFHX%3Fth%3D1%26psc%3D1%26tag%3Dsdcdeals03-20", "Amazon Link")</f>
        <v>Amazon Link</v>
      </c>
      <c r="G1280" s="11" t="s">
        <v>36</v>
      </c>
      <c r="H1280" s="14" t="s">
        <v>2599</v>
      </c>
      <c r="I1280" s="11" t="str">
        <f>HYPERLINK("https://redirect.sdcdeals.com/redirect?code=763034&amp;mavely=https://mavely.app.link/e/bhESV2wGrGb&amp;destination=https%3A%2F%2Fwww.kohls.com%2Fsearch.jsp%3Fsubmit-search%3Dweb-regular%26search%3D49642717", "Retail Link")</f>
        <v>Retail Link</v>
      </c>
      <c r="J1280" s="14" t="s">
        <v>2600</v>
      </c>
      <c r="K1280" s="13" t="s">
        <v>2601</v>
      </c>
      <c r="L1280" s="15">
        <v>18.2</v>
      </c>
      <c r="M1280" s="15">
        <v>22.75</v>
      </c>
      <c r="N1280" s="15">
        <v>-5.0025000000000013</v>
      </c>
      <c r="O1280" s="15">
        <f>V1280-M1280</f>
        <v>5.82</v>
      </c>
      <c r="P1280" s="16">
        <f>N1280/L1280</f>
        <v>-0.27486263736263744</v>
      </c>
      <c r="Q1280" s="14">
        <v>81238</v>
      </c>
      <c r="R1280" s="14"/>
      <c r="S1280" s="17">
        <v>0.40785470000000001</v>
      </c>
      <c r="T1280" s="15">
        <v>22.75</v>
      </c>
      <c r="U1280" s="15">
        <v>33.619999999999997</v>
      </c>
      <c r="V1280" s="15">
        <v>28.57</v>
      </c>
      <c r="W1280" s="14" t="s">
        <v>106</v>
      </c>
      <c r="X1280" s="14">
        <v>5</v>
      </c>
      <c r="Y1280" s="10">
        <f>AC1280-AB1280</f>
        <v>6</v>
      </c>
      <c r="Z1280" s="18">
        <v>25</v>
      </c>
      <c r="AA1280" s="18">
        <v>77</v>
      </c>
      <c r="AB1280" s="18">
        <v>0</v>
      </c>
      <c r="AC1280" s="18">
        <v>6</v>
      </c>
      <c r="AD1280" s="1" t="s">
        <v>2602</v>
      </c>
      <c r="AE1280" s="1" t="s">
        <v>2603</v>
      </c>
      <c r="AF1280" s="4">
        <v>3.87</v>
      </c>
      <c r="AG1280" s="4">
        <v>6.14</v>
      </c>
    </row>
    <row r="1281" spans="1:33" ht="30" x14ac:dyDescent="0.25">
      <c r="A1281" s="10" t="s">
        <v>2612</v>
      </c>
      <c r="B1281" s="11" t="s">
        <v>33</v>
      </c>
      <c r="C1281" s="12" t="s">
        <v>2613</v>
      </c>
      <c r="D1281" s="27"/>
      <c r="E1281" s="14" t="s">
        <v>35</v>
      </c>
      <c r="F1281" s="11" t="str">
        <f>HYPERLINK("https://redirect.sdcdeals.com/redirect?destination=https%3A%2F%2Fwww.amazon.com%2Fdp%2FB0BNQYCS6D%3Fth%3D1%26psc%3D1%26tag%3Dsdcdeals03-20", "Amazon Link")</f>
        <v>Amazon Link</v>
      </c>
      <c r="G1281" s="11" t="s">
        <v>36</v>
      </c>
      <c r="H1281" s="14" t="s">
        <v>2614</v>
      </c>
      <c r="I1281" s="11" t="str">
        <f>HYPERLINK("https://redirect.sdcdeals.com/redirect?code=763034&amp;mavely=https://mavely.app.link/e/bhESV2wGrGb&amp;destination=https%3A%2F%2Fwww.kohls.com%2Fsearch.jsp%3Fsubmit-search%3Dweb-regular%26search%3D49642718", "Retail Link")</f>
        <v>Retail Link</v>
      </c>
      <c r="J1281" s="14" t="s">
        <v>2600</v>
      </c>
      <c r="K1281" s="13" t="s">
        <v>2615</v>
      </c>
      <c r="L1281" s="15">
        <v>18.2</v>
      </c>
      <c r="M1281" s="15">
        <v>22.75</v>
      </c>
      <c r="N1281" s="15">
        <v>-5.0025000000000013</v>
      </c>
      <c r="O1281" s="15">
        <f>V1281-M1281</f>
        <v>12.450000000000003</v>
      </c>
      <c r="P1281" s="16">
        <f>N1281/L1281</f>
        <v>-0.27486263736263744</v>
      </c>
      <c r="Q1281" s="14">
        <v>81238</v>
      </c>
      <c r="R1281" s="14"/>
      <c r="S1281" s="17">
        <v>0.40785470000000001</v>
      </c>
      <c r="T1281" s="15">
        <v>22.75</v>
      </c>
      <c r="U1281" s="15">
        <v>38.090000000000003</v>
      </c>
      <c r="V1281" s="15">
        <v>35.200000000000003</v>
      </c>
      <c r="W1281" s="14" t="s">
        <v>113</v>
      </c>
      <c r="X1281" s="14">
        <v>7</v>
      </c>
      <c r="Y1281" s="10">
        <f>AC1281-AB1281</f>
        <v>5</v>
      </c>
      <c r="Z1281" s="18">
        <v>23</v>
      </c>
      <c r="AA1281" s="18">
        <v>62</v>
      </c>
      <c r="AB1281" s="18">
        <v>1</v>
      </c>
      <c r="AC1281" s="18">
        <v>6</v>
      </c>
      <c r="AD1281" s="1" t="s">
        <v>2602</v>
      </c>
      <c r="AE1281" s="1" t="s">
        <v>2603</v>
      </c>
      <c r="AF1281" s="4">
        <v>3.87</v>
      </c>
      <c r="AG1281" s="4">
        <v>6.14</v>
      </c>
    </row>
    <row r="1282" spans="1:33" ht="30" x14ac:dyDescent="0.25">
      <c r="A1282" s="10" t="s">
        <v>2625</v>
      </c>
      <c r="B1282" s="11" t="s">
        <v>33</v>
      </c>
      <c r="C1282" s="12" t="s">
        <v>2626</v>
      </c>
      <c r="D1282" s="27"/>
      <c r="E1282" s="14" t="s">
        <v>35</v>
      </c>
      <c r="F1282" s="11" t="str">
        <f>HYPERLINK("https://redirect.sdcdeals.com/redirect?destination=https%3A%2F%2Fwww.amazon.com%2Fdp%2FB0BNS3FPGL%3Fth%3D1%26psc%3D1%26tag%3Dsdcdeals03-20", "Amazon Link")</f>
        <v>Amazon Link</v>
      </c>
      <c r="G1282" s="11" t="s">
        <v>36</v>
      </c>
      <c r="H1282" s="14" t="s">
        <v>2627</v>
      </c>
      <c r="I1282" s="11" t="str">
        <f>HYPERLINK("https://redirect.sdcdeals.com/redirect?code=763034&amp;mavely=https://mavely.app.link/e/bhESV2wGrGb&amp;destination=https%3A%2F%2Fwww.kohls.com%2Fsearch.jsp%3Fsubmit-search%3Dweb-regular%26search%3D37226319", "Retail Link")</f>
        <v>Retail Link</v>
      </c>
      <c r="J1282" s="14" t="s">
        <v>2600</v>
      </c>
      <c r="K1282" s="13" t="s">
        <v>2628</v>
      </c>
      <c r="L1282" s="15">
        <v>18.2</v>
      </c>
      <c r="M1282" s="15">
        <v>22.75</v>
      </c>
      <c r="N1282" s="15">
        <v>-5.0025000000000013</v>
      </c>
      <c r="O1282" s="15">
        <f>V1282-M1282</f>
        <v>11.649999999999999</v>
      </c>
      <c r="P1282" s="16">
        <f>N1282/L1282</f>
        <v>-0.27486263736263744</v>
      </c>
      <c r="Q1282" s="14">
        <v>112154</v>
      </c>
      <c r="R1282" s="14"/>
      <c r="S1282" s="17">
        <v>0.45194709999999999</v>
      </c>
      <c r="T1282" s="15">
        <v>22.75</v>
      </c>
      <c r="U1282" s="15">
        <v>40.32</v>
      </c>
      <c r="V1282" s="15">
        <v>34.4</v>
      </c>
      <c r="W1282" s="14" t="s">
        <v>60</v>
      </c>
      <c r="X1282" s="14">
        <v>7</v>
      </c>
      <c r="Y1282" s="10">
        <f>AC1282-AB1282</f>
        <v>5</v>
      </c>
      <c r="Z1282" s="18">
        <v>24</v>
      </c>
      <c r="AA1282" s="18">
        <v>67</v>
      </c>
      <c r="AB1282" s="18">
        <v>1</v>
      </c>
      <c r="AC1282" s="18">
        <v>6</v>
      </c>
      <c r="AD1282" s="1" t="s">
        <v>2602</v>
      </c>
      <c r="AE1282" s="1" t="s">
        <v>1406</v>
      </c>
      <c r="AF1282" s="4">
        <v>3.87</v>
      </c>
      <c r="AG1282" s="4">
        <v>6.14</v>
      </c>
    </row>
    <row r="1283" spans="1:33" ht="30" x14ac:dyDescent="0.25">
      <c r="A1283" s="10" t="s">
        <v>2637</v>
      </c>
      <c r="B1283" s="11" t="s">
        <v>33</v>
      </c>
      <c r="C1283" s="12" t="s">
        <v>2638</v>
      </c>
      <c r="D1283" s="27"/>
      <c r="E1283" s="14" t="s">
        <v>35</v>
      </c>
      <c r="F1283" s="11" t="str">
        <f>HYPERLINK("https://redirect.sdcdeals.com/redirect?destination=https%3A%2F%2Fwww.amazon.com%2Fdp%2FB0BNRY6C32%3Fth%3D1%26psc%3D1%26tag%3Dsdcdeals03-20", "Amazon Link")</f>
        <v>Amazon Link</v>
      </c>
      <c r="G1283" s="11" t="s">
        <v>36</v>
      </c>
      <c r="H1283" s="14" t="s">
        <v>2639</v>
      </c>
      <c r="I1283" s="11" t="str">
        <f>HYPERLINK("https://redirect.sdcdeals.com/redirect?code=763034&amp;mavely=https://mavely.app.link/e/bhESV2wGrGb&amp;destination=https%3A%2F%2Fwww.kohls.com%2Fsearch.jsp%3Fsubmit-search%3Dweb-regular%26search%3D49642720", "Retail Link")</f>
        <v>Retail Link</v>
      </c>
      <c r="J1283" s="14" t="s">
        <v>2600</v>
      </c>
      <c r="K1283" s="13" t="s">
        <v>2640</v>
      </c>
      <c r="L1283" s="15">
        <v>18.2</v>
      </c>
      <c r="M1283" s="15">
        <v>22.75</v>
      </c>
      <c r="N1283" s="15">
        <v>-5.0025000000000013</v>
      </c>
      <c r="O1283" s="15">
        <f>V1283-M1283</f>
        <v>13.18</v>
      </c>
      <c r="P1283" s="16">
        <f>N1283/L1283</f>
        <v>-0.27486263736263744</v>
      </c>
      <c r="Q1283" s="14">
        <v>76198</v>
      </c>
      <c r="R1283" s="14"/>
      <c r="S1283" s="17">
        <v>0.50706260000000003</v>
      </c>
      <c r="T1283" s="15">
        <v>22.75</v>
      </c>
      <c r="U1283" s="15">
        <v>41.35</v>
      </c>
      <c r="V1283" s="15">
        <v>35.93</v>
      </c>
      <c r="W1283" s="14" t="s">
        <v>113</v>
      </c>
      <c r="X1283" s="14">
        <v>5</v>
      </c>
      <c r="Y1283" s="10">
        <f>AC1283-AB1283</f>
        <v>4</v>
      </c>
      <c r="Z1283" s="18">
        <v>23</v>
      </c>
      <c r="AA1283" s="18">
        <v>64</v>
      </c>
      <c r="AB1283" s="18">
        <v>2</v>
      </c>
      <c r="AC1283" s="18">
        <v>6</v>
      </c>
      <c r="AD1283" s="1" t="s">
        <v>2602</v>
      </c>
      <c r="AE1283" s="1" t="s">
        <v>2603</v>
      </c>
      <c r="AF1283" s="4">
        <v>3.87</v>
      </c>
      <c r="AG1283" s="4">
        <v>6.14</v>
      </c>
    </row>
    <row r="1284" spans="1:33" ht="45" x14ac:dyDescent="0.25">
      <c r="A1284" s="10" t="s">
        <v>274</v>
      </c>
      <c r="B1284" s="11" t="s">
        <v>33</v>
      </c>
      <c r="C1284" s="12" t="s">
        <v>275</v>
      </c>
      <c r="D1284" s="27"/>
      <c r="E1284" s="14" t="s">
        <v>35</v>
      </c>
      <c r="F1284" s="11" t="str">
        <f>HYPERLINK("https://redirect.sdcdeals.com/redirect?destination=https%3A%2F%2Fwww.amazon.com%2Fdp%2FB093G776YF%3Fth%3D1%26psc%3D1%26tag%3Dsdcdeals03-20", "Amazon Link")</f>
        <v>Amazon Link</v>
      </c>
      <c r="G1284" s="11" t="s">
        <v>36</v>
      </c>
      <c r="H1284" s="14" t="s">
        <v>276</v>
      </c>
      <c r="I1284" s="11" t="str">
        <f>HYPERLINK("https://redirect.sdcdeals.com/redirect?code=763034&amp;mavely=https://mavely.app.link/e/bhESV2wGrGb&amp;destination=https%3A%2F%2Fwww.kohls.com%2Fsearch.jsp%3Fsubmit-search%3Dweb-regular%26search%3D50798205", "Retail Link")</f>
        <v>Retail Link</v>
      </c>
      <c r="J1284" s="14" t="s">
        <v>263</v>
      </c>
      <c r="K1284" s="13" t="s">
        <v>264</v>
      </c>
      <c r="L1284" s="15">
        <v>8.4</v>
      </c>
      <c r="M1284" s="15">
        <v>13.18</v>
      </c>
      <c r="N1284" s="15">
        <v>-2.3170000000000011</v>
      </c>
      <c r="O1284" s="15">
        <f>V1284-M1284</f>
        <v>0.3100000000000005</v>
      </c>
      <c r="P1284" s="16">
        <f>N1284/L1284</f>
        <v>-0.27583333333333343</v>
      </c>
      <c r="Q1284" s="14">
        <v>101269</v>
      </c>
      <c r="R1284" s="14"/>
      <c r="S1284" s="17">
        <v>0.14991415999999999</v>
      </c>
      <c r="T1284" s="15">
        <v>13.18</v>
      </c>
      <c r="U1284" s="15">
        <v>15.25</v>
      </c>
      <c r="V1284" s="15">
        <v>13.49</v>
      </c>
      <c r="W1284" s="14" t="s">
        <v>277</v>
      </c>
      <c r="X1284" s="14">
        <v>2</v>
      </c>
      <c r="Y1284" s="10">
        <f>AC1284-AB1284</f>
        <v>453</v>
      </c>
      <c r="Z1284" s="18">
        <v>21</v>
      </c>
      <c r="AA1284" s="18">
        <v>77</v>
      </c>
      <c r="AB1284" s="18">
        <v>0</v>
      </c>
      <c r="AC1284" s="18">
        <v>453</v>
      </c>
      <c r="AD1284" s="1" t="s">
        <v>265</v>
      </c>
      <c r="AE1284" s="1" t="s">
        <v>278</v>
      </c>
      <c r="AF1284" s="4">
        <v>0.66</v>
      </c>
      <c r="AG1284" s="4">
        <v>5.12</v>
      </c>
    </row>
    <row r="1285" spans="1:33" x14ac:dyDescent="0.25">
      <c r="A1285" s="10" t="s">
        <v>2867</v>
      </c>
      <c r="B1285" s="11" t="s">
        <v>33</v>
      </c>
      <c r="C1285" s="12" t="s">
        <v>2868</v>
      </c>
      <c r="D1285" s="27"/>
      <c r="E1285" s="14" t="s">
        <v>35</v>
      </c>
      <c r="F1285" s="11" t="str">
        <f>HYPERLINK("https://redirect.sdcdeals.com/redirect?destination=https%3A%2F%2Fwww.amazon.com%2Fdp%2FB09KMCSSPT%3Fth%3D1%26psc%3D1%26tag%3Dsdcdeals03-20", "Amazon Link")</f>
        <v>Amazon Link</v>
      </c>
      <c r="G1285" s="11" t="s">
        <v>36</v>
      </c>
      <c r="H1285" s="14" t="s">
        <v>2869</v>
      </c>
      <c r="I1285" s="11" t="str">
        <f>HYPERLINK("https://redirect.sdcdeals.com/redirect?code=763034&amp;mavely=https://mavely.app.link/e/bhESV2wGrGb&amp;destination=https%3A%2F%2Fwww.kohls.com%2Fsearch.jsp%3Fsubmit-search%3Dweb-regular%26search%3D76932874", "Retail Link")</f>
        <v>Retail Link</v>
      </c>
      <c r="J1285" s="14" t="s">
        <v>2863</v>
      </c>
      <c r="K1285" s="13" t="s">
        <v>2870</v>
      </c>
      <c r="L1285" s="15">
        <v>39.6</v>
      </c>
      <c r="M1285" s="15">
        <v>49.5</v>
      </c>
      <c r="N1285" s="15">
        <v>-10.935000000000009</v>
      </c>
      <c r="O1285" s="15">
        <f>V1285-M1285</f>
        <v>30.379999999999995</v>
      </c>
      <c r="P1285" s="16">
        <f>N1285/L1285</f>
        <v>-0.27613636363636385</v>
      </c>
      <c r="Q1285" s="14">
        <v>725085</v>
      </c>
      <c r="R1285" s="14"/>
      <c r="S1285" s="17">
        <v>2.7601842400000001</v>
      </c>
      <c r="T1285" s="15">
        <v>49.5</v>
      </c>
      <c r="U1285" s="15">
        <v>69.52</v>
      </c>
      <c r="V1285" s="15">
        <v>79.88</v>
      </c>
      <c r="W1285" s="14" t="s">
        <v>516</v>
      </c>
      <c r="X1285" s="14">
        <v>3</v>
      </c>
      <c r="Y1285" s="10">
        <f>AC1285-AB1285</f>
        <v>60</v>
      </c>
      <c r="Z1285" s="18">
        <v>11</v>
      </c>
      <c r="AA1285" s="18">
        <v>77</v>
      </c>
      <c r="AB1285" s="18">
        <v>3</v>
      </c>
      <c r="AC1285" s="18">
        <v>63</v>
      </c>
      <c r="AD1285" s="1" t="s">
        <v>2865</v>
      </c>
      <c r="AE1285" s="1" t="s">
        <v>1211</v>
      </c>
      <c r="AF1285" s="4">
        <v>8.42</v>
      </c>
      <c r="AG1285" s="4">
        <v>13.41</v>
      </c>
    </row>
    <row r="1286" spans="1:33" ht="30" x14ac:dyDescent="0.25">
      <c r="A1286" s="10" t="s">
        <v>2901</v>
      </c>
      <c r="B1286" s="11" t="s">
        <v>33</v>
      </c>
      <c r="C1286" s="12" t="s">
        <v>2902</v>
      </c>
      <c r="D1286" s="27"/>
      <c r="E1286" s="14" t="s">
        <v>35</v>
      </c>
      <c r="F1286" s="11" t="str">
        <f>HYPERLINK("https://redirect.sdcdeals.com/redirect?destination=https%3A%2F%2Fwww.amazon.com%2Fdp%2FB09KMFK3SY%3Fth%3D1%26psc%3D1%26tag%3Dsdcdeals03-20", "Amazon Link")</f>
        <v>Amazon Link</v>
      </c>
      <c r="G1286" s="11" t="s">
        <v>36</v>
      </c>
      <c r="H1286" s="14" t="s">
        <v>2903</v>
      </c>
      <c r="I1286" s="11" t="str">
        <f>HYPERLINK("https://redirect.sdcdeals.com/redirect?code=763034&amp;mavely=https://mavely.app.link/e/bhESV2wGrGb&amp;destination=https%3A%2F%2Fwww.kohls.com%2Fsearch.jsp%3Fsubmit-search%3Dweb-regular%26search%3D76932891", "Retail Link")</f>
        <v>Retail Link</v>
      </c>
      <c r="J1286" s="14" t="s">
        <v>2863</v>
      </c>
      <c r="K1286" s="13" t="s">
        <v>2904</v>
      </c>
      <c r="L1286" s="15">
        <v>39.6</v>
      </c>
      <c r="M1286" s="15">
        <v>49.5</v>
      </c>
      <c r="N1286" s="15">
        <v>-10.935000000000009</v>
      </c>
      <c r="O1286" s="15">
        <f>V1286-M1286</f>
        <v>46.569999999999993</v>
      </c>
      <c r="P1286" s="16">
        <f>N1286/L1286</f>
        <v>-0.27613636363636385</v>
      </c>
      <c r="Q1286" s="14">
        <v>748350</v>
      </c>
      <c r="R1286" s="14"/>
      <c r="S1286" s="17">
        <v>3.3289762000000001</v>
      </c>
      <c r="T1286" s="15">
        <v>49.5</v>
      </c>
      <c r="U1286" s="15">
        <v>96.45</v>
      </c>
      <c r="V1286" s="15">
        <v>96.07</v>
      </c>
      <c r="W1286" s="14" t="s">
        <v>113</v>
      </c>
      <c r="X1286" s="14">
        <v>3</v>
      </c>
      <c r="Y1286" s="10">
        <f>AC1286-AB1286</f>
        <v>60</v>
      </c>
      <c r="Z1286" s="18">
        <v>9</v>
      </c>
      <c r="AA1286" s="18">
        <v>44</v>
      </c>
      <c r="AB1286" s="18">
        <v>2</v>
      </c>
      <c r="AC1286" s="18">
        <v>62</v>
      </c>
      <c r="AD1286" s="1" t="s">
        <v>2865</v>
      </c>
      <c r="AE1286" s="1" t="s">
        <v>2866</v>
      </c>
      <c r="AF1286" s="4">
        <v>8.42</v>
      </c>
      <c r="AG1286" s="4">
        <v>13.41</v>
      </c>
    </row>
    <row r="1287" spans="1:33" ht="30" x14ac:dyDescent="0.25">
      <c r="A1287" s="10" t="s">
        <v>179</v>
      </c>
      <c r="B1287" s="11" t="s">
        <v>33</v>
      </c>
      <c r="C1287" s="12" t="s">
        <v>180</v>
      </c>
      <c r="D1287" s="27"/>
      <c r="E1287" s="14" t="s">
        <v>35</v>
      </c>
      <c r="F1287" s="11" t="str">
        <f>HYPERLINK("https://redirect.sdcdeals.com/redirect?destination=https%3A%2F%2Fwww.amazon.com%2Fdp%2FB09N68DPF2%3Fth%3D1%26psc%3D1%26tag%3Dsdcdeals03-20", "Amazon Link")</f>
        <v>Amazon Link</v>
      </c>
      <c r="G1287" s="11" t="s">
        <v>36</v>
      </c>
      <c r="H1287" s="14" t="s">
        <v>181</v>
      </c>
      <c r="I1287" s="11" t="str">
        <f>HYPERLINK("https://redirect.sdcdeals.com/redirect?code=763034&amp;mavely=https://mavely.app.link/e/bhESV2wGrGb&amp;destination=https%3A%2F%2Fwww.kohls.com%2Fsearch.jsp%3Fsubmit-search%3Dweb-regular%26search%3D46688122", "Retail Link")</f>
        <v>Retail Link</v>
      </c>
      <c r="J1287" s="14" t="s">
        <v>175</v>
      </c>
      <c r="K1287" s="13" t="s">
        <v>182</v>
      </c>
      <c r="L1287" s="15">
        <v>18.064</v>
      </c>
      <c r="M1287" s="15">
        <v>22.58</v>
      </c>
      <c r="N1287" s="15">
        <v>-5.0110000000000028</v>
      </c>
      <c r="O1287" s="15">
        <f>V1287-M1287</f>
        <v>21.68</v>
      </c>
      <c r="P1287" s="16">
        <f>N1287/L1287</f>
        <v>-0.2774025686448186</v>
      </c>
      <c r="Q1287" s="14">
        <v>11310</v>
      </c>
      <c r="R1287" s="14"/>
      <c r="S1287" s="17">
        <v>1.2566333999999999</v>
      </c>
      <c r="T1287" s="15">
        <v>22.58</v>
      </c>
      <c r="U1287" s="15">
        <v>41.36</v>
      </c>
      <c r="V1287" s="15">
        <v>44.26</v>
      </c>
      <c r="W1287" s="14" t="s">
        <v>131</v>
      </c>
      <c r="X1287" s="14">
        <v>1</v>
      </c>
      <c r="Y1287" s="10">
        <f>AC1287-AB1287</f>
        <v>9829</v>
      </c>
      <c r="Z1287" s="18">
        <v>35</v>
      </c>
      <c r="AA1287" s="18">
        <v>131</v>
      </c>
      <c r="AB1287" s="18">
        <v>0</v>
      </c>
      <c r="AC1287" s="18">
        <v>9829</v>
      </c>
      <c r="AD1287" s="1" t="s">
        <v>177</v>
      </c>
      <c r="AE1287" s="1" t="s">
        <v>178</v>
      </c>
      <c r="AF1287" s="4">
        <v>3.84</v>
      </c>
      <c r="AG1287" s="4">
        <v>6.14</v>
      </c>
    </row>
    <row r="1288" spans="1:33" ht="30" x14ac:dyDescent="0.25">
      <c r="A1288" s="10" t="s">
        <v>212</v>
      </c>
      <c r="B1288" s="11" t="s">
        <v>33</v>
      </c>
      <c r="C1288" s="12" t="s">
        <v>213</v>
      </c>
      <c r="D1288" s="27"/>
      <c r="E1288" s="14" t="s">
        <v>35</v>
      </c>
      <c r="F1288" s="11" t="str">
        <f>HYPERLINK("https://redirect.sdcdeals.com/redirect?destination=https%3A%2F%2Fwww.amazon.com%2Fdp%2FB09N6CSNBW%3Fth%3D1%26psc%3D1%26tag%3Dsdcdeals03-20", "Amazon Link")</f>
        <v>Amazon Link</v>
      </c>
      <c r="G1288" s="11" t="s">
        <v>36</v>
      </c>
      <c r="H1288" s="14" t="s">
        <v>214</v>
      </c>
      <c r="I1288" s="11" t="str">
        <f>HYPERLINK("https://redirect.sdcdeals.com/redirect?code=763034&amp;mavely=https://mavely.app.link/e/bhESV2wGrGb&amp;destination=https%3A%2F%2Fwww.kohls.com%2Fsearch.jsp%3Fsubmit-search%3Dweb-regular%26search%3D46688146", "Retail Link")</f>
        <v>Retail Link</v>
      </c>
      <c r="J1288" s="14" t="s">
        <v>175</v>
      </c>
      <c r="K1288" s="13" t="s">
        <v>215</v>
      </c>
      <c r="L1288" s="15">
        <v>18.064</v>
      </c>
      <c r="M1288" s="15">
        <v>22.58</v>
      </c>
      <c r="N1288" s="15">
        <v>-5.0110000000000028</v>
      </c>
      <c r="O1288" s="15">
        <f>V1288-M1288</f>
        <v>19.21</v>
      </c>
      <c r="P1288" s="16">
        <f>N1288/L1288</f>
        <v>-0.2774025686448186</v>
      </c>
      <c r="Q1288" s="14">
        <v>11444</v>
      </c>
      <c r="R1288" s="14"/>
      <c r="S1288" s="17">
        <v>0.64154442</v>
      </c>
      <c r="T1288" s="15">
        <v>22.58</v>
      </c>
      <c r="U1288" s="15">
        <v>40.909999999999997</v>
      </c>
      <c r="V1288" s="15">
        <v>41.79</v>
      </c>
      <c r="W1288" s="14" t="s">
        <v>131</v>
      </c>
      <c r="X1288" s="14">
        <v>1</v>
      </c>
      <c r="Y1288" s="10">
        <f>AC1288-AB1288</f>
        <v>9829</v>
      </c>
      <c r="Z1288" s="18">
        <v>33</v>
      </c>
      <c r="AA1288" s="18">
        <v>121</v>
      </c>
      <c r="AB1288" s="18">
        <v>0</v>
      </c>
      <c r="AC1288" s="18">
        <v>9829</v>
      </c>
      <c r="AD1288" s="1" t="s">
        <v>177</v>
      </c>
      <c r="AE1288" s="1" t="s">
        <v>178</v>
      </c>
      <c r="AF1288" s="4">
        <v>3.84</v>
      </c>
      <c r="AG1288" s="4">
        <v>6.14</v>
      </c>
    </row>
    <row r="1289" spans="1:33" ht="30" x14ac:dyDescent="0.25">
      <c r="A1289" s="10" t="s">
        <v>220</v>
      </c>
      <c r="B1289" s="11" t="s">
        <v>33</v>
      </c>
      <c r="C1289" s="12" t="s">
        <v>221</v>
      </c>
      <c r="D1289" s="27"/>
      <c r="E1289" s="14" t="s">
        <v>35</v>
      </c>
      <c r="F1289" s="11" t="str">
        <f>HYPERLINK("https://redirect.sdcdeals.com/redirect?destination=https%3A%2F%2Fwww.amazon.com%2Fdp%2FB09N6HHDM9%3Fth%3D1%26psc%3D1%26tag%3Dsdcdeals03-20", "Amazon Link")</f>
        <v>Amazon Link</v>
      </c>
      <c r="G1289" s="11" t="s">
        <v>36</v>
      </c>
      <c r="H1289" s="14" t="s">
        <v>222</v>
      </c>
      <c r="I1289" s="11" t="str">
        <f>HYPERLINK("https://redirect.sdcdeals.com/redirect?code=763034&amp;mavely=https://mavely.app.link/e/bhESV2wGrGb&amp;destination=https%3A%2F%2Fwww.kohls.com%2Fsearch.jsp%3Fsubmit-search%3Dweb-regular%26search%3D46688150", "Retail Link")</f>
        <v>Retail Link</v>
      </c>
      <c r="J1289" s="14" t="s">
        <v>175</v>
      </c>
      <c r="K1289" s="13" t="s">
        <v>223</v>
      </c>
      <c r="L1289" s="15">
        <v>18.064</v>
      </c>
      <c r="M1289" s="15">
        <v>22.58</v>
      </c>
      <c r="N1289" s="15">
        <v>-5.0110000000000028</v>
      </c>
      <c r="O1289" s="15">
        <f>V1289-M1289</f>
        <v>20.200000000000003</v>
      </c>
      <c r="P1289" s="16">
        <f>N1289/L1289</f>
        <v>-0.2774025686448186</v>
      </c>
      <c r="Q1289" s="14">
        <v>11310</v>
      </c>
      <c r="R1289" s="14"/>
      <c r="S1289" s="17">
        <v>0.60627050000000005</v>
      </c>
      <c r="T1289" s="15">
        <v>22.58</v>
      </c>
      <c r="U1289" s="15">
        <v>41.22</v>
      </c>
      <c r="V1289" s="15">
        <v>42.78</v>
      </c>
      <c r="W1289" s="14" t="s">
        <v>131</v>
      </c>
      <c r="X1289" s="14">
        <v>1</v>
      </c>
      <c r="Y1289" s="10">
        <f>AC1289-AB1289</f>
        <v>9825</v>
      </c>
      <c r="Z1289" s="18">
        <v>32</v>
      </c>
      <c r="AA1289" s="18">
        <v>114</v>
      </c>
      <c r="AB1289" s="18">
        <v>0</v>
      </c>
      <c r="AC1289" s="18">
        <v>9825</v>
      </c>
      <c r="AD1289" s="1" t="s">
        <v>177</v>
      </c>
      <c r="AE1289" s="1" t="s">
        <v>178</v>
      </c>
      <c r="AF1289" s="4">
        <v>3.84</v>
      </c>
      <c r="AG1289" s="4">
        <v>6.14</v>
      </c>
    </row>
    <row r="1290" spans="1:33" ht="30" x14ac:dyDescent="0.25">
      <c r="A1290" s="10" t="s">
        <v>5410</v>
      </c>
      <c r="B1290" s="11" t="s">
        <v>33</v>
      </c>
      <c r="C1290" s="12" t="s">
        <v>5411</v>
      </c>
      <c r="D1290" s="27"/>
      <c r="E1290" s="14" t="s">
        <v>35</v>
      </c>
      <c r="F1290" s="11" t="str">
        <f>HYPERLINK("https://redirect.sdcdeals.com/redirect?destination=https%3A%2F%2Fwww.amazon.com%2Fdp%2FB0BKQZMD2W%3Fth%3D1%26psc%3D1%26tag%3Dsdcdeals03-20", "Amazon Link")</f>
        <v>Amazon Link</v>
      </c>
      <c r="G1290" s="11" t="s">
        <v>36</v>
      </c>
      <c r="H1290" s="14" t="s">
        <v>5412</v>
      </c>
      <c r="I1290" s="11" t="str">
        <f>HYPERLINK("https://redirect.sdcdeals.com/redirect?code=763034&amp;mavely=https://mavely.app.link/e/bhESV2wGrGb&amp;destination=https%3A%2F%2Fwww.kohls.com%2Fsearch.jsp%3Fsubmit-search%3Dweb-regular%26search%3D76863042", "Retail Link")</f>
        <v>Retail Link</v>
      </c>
      <c r="J1290" s="14" t="s">
        <v>5394</v>
      </c>
      <c r="K1290" s="13" t="s">
        <v>5413</v>
      </c>
      <c r="L1290" s="15">
        <v>20</v>
      </c>
      <c r="M1290" s="15">
        <v>25</v>
      </c>
      <c r="N1290" s="15">
        <v>-5.5599999999999987</v>
      </c>
      <c r="O1290" s="15">
        <f>V1290-M1290</f>
        <v>32.58</v>
      </c>
      <c r="P1290" s="16">
        <f>N1290/L1290</f>
        <v>-0.27799999999999991</v>
      </c>
      <c r="Q1290" s="14">
        <v>457858</v>
      </c>
      <c r="R1290" s="14"/>
      <c r="S1290" s="17">
        <v>0.94798660000000001</v>
      </c>
      <c r="T1290" s="15">
        <v>25</v>
      </c>
      <c r="U1290" s="15">
        <v>51.24</v>
      </c>
      <c r="V1290" s="15">
        <v>57.58</v>
      </c>
      <c r="W1290" s="14" t="s">
        <v>366</v>
      </c>
      <c r="X1290" s="14">
        <v>1</v>
      </c>
      <c r="Y1290" s="10">
        <f>AC1290-AB1290</f>
        <v>0</v>
      </c>
      <c r="Z1290" s="18">
        <v>9</v>
      </c>
      <c r="AA1290" s="18">
        <v>22</v>
      </c>
      <c r="AB1290" s="18">
        <v>0</v>
      </c>
      <c r="AC1290" s="18"/>
      <c r="AD1290" s="1" t="s">
        <v>5396</v>
      </c>
      <c r="AE1290" s="1" t="s">
        <v>5401</v>
      </c>
      <c r="AF1290" s="4">
        <v>4.25</v>
      </c>
      <c r="AG1290" s="4">
        <v>6.81</v>
      </c>
    </row>
    <row r="1291" spans="1:33" x14ac:dyDescent="0.25">
      <c r="A1291" s="10" t="s">
        <v>4000</v>
      </c>
      <c r="B1291" s="11" t="s">
        <v>33</v>
      </c>
      <c r="C1291" s="12" t="s">
        <v>4001</v>
      </c>
      <c r="D1291" s="27"/>
      <c r="E1291" s="14" t="s">
        <v>35</v>
      </c>
      <c r="F1291" s="11" t="str">
        <f>HYPERLINK("https://redirect.sdcdeals.com/redirect?destination=https%3A%2F%2Fwww.amazon.com%2Fdp%2FB0CH4V75GY%3Fth%3D1%26psc%3D1%26tag%3Dsdcdeals03-20", "Amazon Link")</f>
        <v>Amazon Link</v>
      </c>
      <c r="G1291" s="11" t="s">
        <v>36</v>
      </c>
      <c r="H1291" s="14" t="s">
        <v>4002</v>
      </c>
      <c r="I1291" s="11" t="str">
        <f>HYPERLINK("https://redirect.sdcdeals.com/redirect?code=763034&amp;mavely=https://mavely.app.link/e/bhESV2wGrGb&amp;destination=https%3A%2F%2Fwww.kohls.com%2Fsearch.jsp%3Fsubmit-search%3Dweb-regular%26search%3D65581008", "Retail Link")</f>
        <v>Retail Link</v>
      </c>
      <c r="J1291" s="14" t="s">
        <v>4003</v>
      </c>
      <c r="K1291" s="13" t="s">
        <v>4004</v>
      </c>
      <c r="L1291" s="15">
        <v>10.8</v>
      </c>
      <c r="M1291" s="15">
        <v>18</v>
      </c>
      <c r="N1291" s="15">
        <v>-3.0600000000000009</v>
      </c>
      <c r="O1291" s="15">
        <f>V1291-M1291</f>
        <v>9.1000000000000014</v>
      </c>
      <c r="P1291" s="16">
        <f>N1291/L1291</f>
        <v>-0.28333333333333338</v>
      </c>
      <c r="Q1291" s="14">
        <v>489305</v>
      </c>
      <c r="R1291" s="14"/>
      <c r="S1291" s="17">
        <v>0.63933980000000001</v>
      </c>
      <c r="T1291" s="15">
        <v>18</v>
      </c>
      <c r="U1291" s="15">
        <v>21.8</v>
      </c>
      <c r="V1291" s="15">
        <v>27.1</v>
      </c>
      <c r="W1291" s="14" t="s">
        <v>131</v>
      </c>
      <c r="X1291" s="14">
        <v>4</v>
      </c>
      <c r="Y1291" s="10">
        <f>AC1291-AB1291</f>
        <v>1</v>
      </c>
      <c r="Z1291" s="18">
        <v>10</v>
      </c>
      <c r="AA1291" s="18">
        <v>30</v>
      </c>
      <c r="AB1291" s="18">
        <v>0</v>
      </c>
      <c r="AC1291" s="18">
        <v>1</v>
      </c>
      <c r="AD1291" s="1" t="s">
        <v>4005</v>
      </c>
      <c r="AE1291" s="1" t="s">
        <v>76</v>
      </c>
      <c r="AF1291" s="4">
        <v>1.8</v>
      </c>
      <c r="AG1291" s="4">
        <v>7.56</v>
      </c>
    </row>
    <row r="1292" spans="1:33" ht="30" x14ac:dyDescent="0.25">
      <c r="A1292" s="10" t="s">
        <v>5344</v>
      </c>
      <c r="B1292" s="11" t="s">
        <v>33</v>
      </c>
      <c r="C1292" s="12" t="s">
        <v>5345</v>
      </c>
      <c r="D1292" s="27"/>
      <c r="E1292" s="14" t="s">
        <v>35</v>
      </c>
      <c r="F1292" s="11" t="str">
        <f>HYPERLINK("https://redirect.sdcdeals.com/redirect?destination=https%3A%2F%2Fwww.amazon.com%2Fdp%2FB09KMJY87W%3Fth%3D1%26psc%3D1%26tag%3Dsdcdeals03-20", "Amazon Link")</f>
        <v>Amazon Link</v>
      </c>
      <c r="G1292" s="11" t="s">
        <v>36</v>
      </c>
      <c r="H1292" s="14" t="s">
        <v>5346</v>
      </c>
      <c r="I1292" s="11" t="str">
        <f>HYPERLINK("https://redirect.sdcdeals.com/redirect?code=763034&amp;mavely=https://mavely.app.link/e/bhESV2wGrGb&amp;destination=https%3A%2F%2Fwww.kohls.com%2Fsearch.jsp%3Fsubmit-search%3Dweb-regular%26search%3D58124998", "Retail Link")</f>
        <v>Retail Link</v>
      </c>
      <c r="J1292" s="14" t="s">
        <v>5336</v>
      </c>
      <c r="K1292" s="13" t="s">
        <v>5347</v>
      </c>
      <c r="L1292" s="15">
        <v>24</v>
      </c>
      <c r="M1292" s="15">
        <v>30</v>
      </c>
      <c r="N1292" s="15">
        <v>-6.8599999999999994</v>
      </c>
      <c r="O1292" s="15">
        <f>V1292-M1292</f>
        <v>29.270000000000003</v>
      </c>
      <c r="P1292" s="16">
        <f>N1292/L1292</f>
        <v>-0.28583333333333333</v>
      </c>
      <c r="Q1292" s="14">
        <v>149455</v>
      </c>
      <c r="R1292" s="14"/>
      <c r="S1292" s="17">
        <v>0.90389419999999998</v>
      </c>
      <c r="T1292" s="15">
        <v>30</v>
      </c>
      <c r="U1292" s="15">
        <v>49.97</v>
      </c>
      <c r="V1292" s="15">
        <v>59.27</v>
      </c>
      <c r="W1292" s="14" t="s">
        <v>835</v>
      </c>
      <c r="X1292" s="14">
        <v>3</v>
      </c>
      <c r="Y1292" s="10">
        <f>AC1292-AB1292</f>
        <v>288</v>
      </c>
      <c r="Z1292" s="18">
        <v>30</v>
      </c>
      <c r="AA1292" s="18">
        <v>68</v>
      </c>
      <c r="AB1292" s="18">
        <v>2</v>
      </c>
      <c r="AC1292" s="18">
        <v>290</v>
      </c>
      <c r="AD1292" s="1" t="s">
        <v>5338</v>
      </c>
      <c r="AE1292" s="1" t="s">
        <v>5339</v>
      </c>
      <c r="AF1292" s="4">
        <v>5.0999999999999996</v>
      </c>
      <c r="AG1292" s="4">
        <v>8.36</v>
      </c>
    </row>
    <row r="1293" spans="1:33" ht="30" hidden="1" x14ac:dyDescent="0.25">
      <c r="A1293" s="10" t="s">
        <v>5197</v>
      </c>
      <c r="B1293" s="11" t="s">
        <v>33</v>
      </c>
      <c r="C1293" s="12" t="s">
        <v>5198</v>
      </c>
      <c r="D1293" s="27"/>
      <c r="E1293" s="14" t="s">
        <v>35</v>
      </c>
      <c r="F1293" s="11" t="str">
        <f>HYPERLINK("https://redirect.sdcdeals.com/redirect?destination=https%3A%2F%2Fwww.amazon.com%2Fdp%2FB0CL5KHLHX%3Fth%3D1%26psc%3D1%26tag%3Dsdcdeals03-20", "Amazon Link")</f>
        <v>Amazon Link</v>
      </c>
      <c r="G1293" s="11" t="s">
        <v>36</v>
      </c>
      <c r="H1293" s="14" t="s">
        <v>5199</v>
      </c>
      <c r="I1293" s="11" t="str">
        <f>HYPERLINK("https://redirect.sdcdeals.com/redirect?code=763034&amp;mavely=https://mavely.app.link/e/bhESV2wGrGb&amp;destination=https%3A%2F%2Fwww.kohls.com%2Fsearch.jsp%3Fsubmit-search%3Dweb-regular%26search%3D18796728", "Retail Link")</f>
        <v>Retail Link</v>
      </c>
      <c r="J1293" s="14" t="s">
        <v>5168</v>
      </c>
      <c r="K1293" s="13" t="s">
        <v>5200</v>
      </c>
      <c r="L1293" s="15">
        <v>6.8000000000000007</v>
      </c>
      <c r="M1293" s="15">
        <v>12.49</v>
      </c>
      <c r="N1293" s="15">
        <v>-2.0035000000000012</v>
      </c>
      <c r="O1293" s="15">
        <f>V1293-M1293</f>
        <v>7.1399999999999988</v>
      </c>
      <c r="P1293" s="16">
        <f>N1293/L1293</f>
        <v>-0.29463235294117662</v>
      </c>
      <c r="Q1293" s="14"/>
      <c r="R1293" s="14"/>
      <c r="S1293" s="17">
        <v>0.48942564</v>
      </c>
      <c r="T1293" s="15">
        <v>12.49</v>
      </c>
      <c r="U1293" s="15">
        <v>15.54</v>
      </c>
      <c r="V1293" s="15">
        <v>19.63</v>
      </c>
      <c r="W1293" s="14" t="s">
        <v>5201</v>
      </c>
      <c r="X1293" s="14">
        <v>11</v>
      </c>
      <c r="Y1293" s="10">
        <f>AC1293-AB1293</f>
        <v>730</v>
      </c>
      <c r="Z1293" s="18">
        <v>0</v>
      </c>
      <c r="AA1293" s="18">
        <v>60</v>
      </c>
      <c r="AB1293" s="18">
        <v>0</v>
      </c>
      <c r="AC1293" s="18">
        <v>730</v>
      </c>
      <c r="AD1293" s="1" t="s">
        <v>1452</v>
      </c>
      <c r="AE1293" s="1" t="s">
        <v>5202</v>
      </c>
      <c r="AF1293" s="4">
        <v>0.63</v>
      </c>
      <c r="AG1293" s="4">
        <v>5.82</v>
      </c>
    </row>
    <row r="1294" spans="1:33" ht="30" x14ac:dyDescent="0.25">
      <c r="A1294" s="10" t="s">
        <v>3100</v>
      </c>
      <c r="B1294" s="11" t="s">
        <v>33</v>
      </c>
      <c r="C1294" s="12" t="s">
        <v>3101</v>
      </c>
      <c r="D1294" s="27"/>
      <c r="E1294" s="14" t="s">
        <v>35</v>
      </c>
      <c r="F1294" s="11" t="str">
        <f>HYPERLINK("https://redirect.sdcdeals.com/redirect?destination=https%3A%2F%2Fwww.amazon.com%2Fdp%2FB0B5FM8CZF%3Fth%3D1%26psc%3D1%26tag%3Dsdcdeals03-20", "Amazon Link")</f>
        <v>Amazon Link</v>
      </c>
      <c r="G1294" s="11" t="s">
        <v>36</v>
      </c>
      <c r="H1294" s="14" t="s">
        <v>3102</v>
      </c>
      <c r="I1294" s="11" t="str">
        <f>HYPERLINK("https://redirect.sdcdeals.com/redirect?code=763034&amp;mavely=https://mavely.app.link/e/bhESV2wGrGb&amp;destination=https%3A%2F%2Fwww.kohls.com%2Fsearch.jsp%3Fsubmit-search%3Dweb-regular%26search%3D78064372", "Retail Link")</f>
        <v>Retail Link</v>
      </c>
      <c r="J1294" s="14" t="s">
        <v>3090</v>
      </c>
      <c r="K1294" s="13" t="s">
        <v>3103</v>
      </c>
      <c r="L1294" s="15">
        <v>40</v>
      </c>
      <c r="M1294" s="15">
        <v>50</v>
      </c>
      <c r="N1294" s="15">
        <v>-12.05</v>
      </c>
      <c r="O1294" s="15">
        <f>V1294-M1294</f>
        <v>48.519999999999996</v>
      </c>
      <c r="P1294" s="16">
        <f>N1294/L1294</f>
        <v>-0.30125000000000002</v>
      </c>
      <c r="Q1294" s="14">
        <v>397142</v>
      </c>
      <c r="R1294" s="14"/>
      <c r="S1294" s="17">
        <v>2.8219135999999998</v>
      </c>
      <c r="T1294" s="15">
        <v>50</v>
      </c>
      <c r="U1294" s="15">
        <v>91.77</v>
      </c>
      <c r="V1294" s="15">
        <v>98.52</v>
      </c>
      <c r="W1294" s="14" t="s">
        <v>588</v>
      </c>
      <c r="X1294" s="14">
        <v>1</v>
      </c>
      <c r="Y1294" s="10">
        <f>AC1294-AB1294</f>
        <v>1934</v>
      </c>
      <c r="Z1294" s="18">
        <v>23</v>
      </c>
      <c r="AA1294" s="18">
        <v>80</v>
      </c>
      <c r="AB1294" s="18">
        <v>1</v>
      </c>
      <c r="AC1294" s="18">
        <v>1935</v>
      </c>
      <c r="AD1294" s="1" t="s">
        <v>3104</v>
      </c>
      <c r="AE1294" s="1" t="s">
        <v>3105</v>
      </c>
      <c r="AF1294" s="4">
        <v>8.5</v>
      </c>
      <c r="AG1294" s="4">
        <v>14.55</v>
      </c>
    </row>
    <row r="1295" spans="1:33" ht="30" x14ac:dyDescent="0.25">
      <c r="A1295" s="10" t="s">
        <v>1331</v>
      </c>
      <c r="B1295" s="11" t="s">
        <v>33</v>
      </c>
      <c r="C1295" s="12" t="s">
        <v>1332</v>
      </c>
      <c r="D1295" s="27"/>
      <c r="E1295" s="14" t="s">
        <v>35</v>
      </c>
      <c r="F1295" s="11" t="str">
        <f>HYPERLINK("https://redirect.sdcdeals.com/redirect?destination=https%3A%2F%2Fwww.amazon.com%2Fdp%2FB0BKR65Q2C%3Fth%3D1%26psc%3D1%26tag%3Dsdcdeals03-20", "Amazon Link")</f>
        <v>Amazon Link</v>
      </c>
      <c r="G1295" s="11" t="s">
        <v>36</v>
      </c>
      <c r="H1295" s="14" t="s">
        <v>1333</v>
      </c>
      <c r="I1295" s="11" t="str">
        <f>HYPERLINK("https://redirect.sdcdeals.com/redirect?code=763034&amp;mavely=https://mavely.app.link/e/bhESV2wGrGb&amp;destination=https%3A%2F%2Fwww.kohls.com%2Fsearch.jsp%3Fsubmit-search%3Dweb-regular%26search%3D54784931", "Retail Link")</f>
        <v>Retail Link</v>
      </c>
      <c r="J1295" s="14" t="s">
        <v>1327</v>
      </c>
      <c r="K1295" s="13" t="s">
        <v>1334</v>
      </c>
      <c r="L1295" s="15">
        <v>21.6</v>
      </c>
      <c r="M1295" s="15">
        <v>24.95</v>
      </c>
      <c r="N1295" s="15">
        <v>-6.5325000000000024</v>
      </c>
      <c r="O1295" s="15">
        <f>V1295-M1295</f>
        <v>9.9300000000000033</v>
      </c>
      <c r="P1295" s="16">
        <f>N1295/L1295</f>
        <v>-0.30243055555555565</v>
      </c>
      <c r="Q1295" s="14">
        <v>1340095</v>
      </c>
      <c r="R1295" s="14"/>
      <c r="S1295" s="17">
        <v>0.66138600000000003</v>
      </c>
      <c r="T1295" s="15">
        <v>24.95</v>
      </c>
      <c r="U1295" s="15">
        <v>24.27</v>
      </c>
      <c r="V1295" s="15">
        <v>34.880000000000003</v>
      </c>
      <c r="W1295" s="14" t="s">
        <v>60</v>
      </c>
      <c r="X1295" s="14">
        <v>5</v>
      </c>
      <c r="Y1295" s="10">
        <f>AC1295-AB1295</f>
        <v>0</v>
      </c>
      <c r="Z1295" s="18">
        <v>8</v>
      </c>
      <c r="AA1295" s="18">
        <v>38</v>
      </c>
      <c r="AB1295" s="18">
        <v>0</v>
      </c>
      <c r="AC1295" s="18"/>
      <c r="AD1295" s="1" t="s">
        <v>1329</v>
      </c>
      <c r="AE1295" s="1" t="s">
        <v>1335</v>
      </c>
      <c r="AF1295" s="4">
        <v>4.24</v>
      </c>
      <c r="AG1295" s="4">
        <v>6.14</v>
      </c>
    </row>
    <row r="1296" spans="1:33" ht="30" x14ac:dyDescent="0.25">
      <c r="A1296" s="10" t="s">
        <v>204</v>
      </c>
      <c r="B1296" s="11" t="s">
        <v>33</v>
      </c>
      <c r="C1296" s="12" t="s">
        <v>205</v>
      </c>
      <c r="D1296" s="27"/>
      <c r="E1296" s="14" t="s">
        <v>35</v>
      </c>
      <c r="F1296" s="11" t="str">
        <f>HYPERLINK("https://redirect.sdcdeals.com/redirect?destination=https%3A%2F%2Fwww.amazon.com%2Fdp%2FB09N6F229G%3Fth%3D1%26psc%3D1%26tag%3Dsdcdeals03-20", "Amazon Link")</f>
        <v>Amazon Link</v>
      </c>
      <c r="G1296" s="11" t="s">
        <v>36</v>
      </c>
      <c r="H1296" s="14" t="s">
        <v>206</v>
      </c>
      <c r="I1296" s="11" t="str">
        <f>HYPERLINK("https://redirect.sdcdeals.com/redirect?code=763034&amp;mavely=https://mavely.app.link/e/bhESV2wGrGb&amp;destination=https%3A%2F%2Fwww.kohls.com%2Fsearch.jsp%3Fsubmit-search%3Dweb-regular%26search%3D46688143", "Retail Link")</f>
        <v>Retail Link</v>
      </c>
      <c r="J1296" s="14" t="s">
        <v>175</v>
      </c>
      <c r="K1296" s="13" t="s">
        <v>207</v>
      </c>
      <c r="L1296" s="15">
        <v>18.064</v>
      </c>
      <c r="M1296" s="15">
        <v>22.58</v>
      </c>
      <c r="N1296" s="15">
        <v>-5.4710000000000019</v>
      </c>
      <c r="O1296" s="15">
        <f>V1296-M1296</f>
        <v>18.89</v>
      </c>
      <c r="P1296" s="16">
        <f>N1296/L1296</f>
        <v>-0.3028675819309124</v>
      </c>
      <c r="Q1296" s="14">
        <v>11310</v>
      </c>
      <c r="R1296" s="14"/>
      <c r="S1296" s="17">
        <v>1.59614488</v>
      </c>
      <c r="T1296" s="15">
        <v>22.58</v>
      </c>
      <c r="U1296" s="15">
        <v>40.32</v>
      </c>
      <c r="V1296" s="15">
        <v>41.47</v>
      </c>
      <c r="W1296" s="14" t="s">
        <v>88</v>
      </c>
      <c r="X1296" s="14">
        <v>1</v>
      </c>
      <c r="Y1296" s="10">
        <f>AC1296-AB1296</f>
        <v>9829</v>
      </c>
      <c r="Z1296" s="18">
        <v>24</v>
      </c>
      <c r="AA1296" s="18">
        <v>99</v>
      </c>
      <c r="AB1296" s="18">
        <v>0</v>
      </c>
      <c r="AC1296" s="18">
        <v>9829</v>
      </c>
      <c r="AD1296" s="1" t="s">
        <v>177</v>
      </c>
      <c r="AE1296" s="1" t="s">
        <v>178</v>
      </c>
      <c r="AF1296" s="4">
        <v>3.84</v>
      </c>
      <c r="AG1296" s="4">
        <v>6.6</v>
      </c>
    </row>
    <row r="1297" spans="1:33" x14ac:dyDescent="0.25">
      <c r="A1297" s="10" t="s">
        <v>3321</v>
      </c>
      <c r="B1297" s="11" t="s">
        <v>33</v>
      </c>
      <c r="C1297" s="12" t="s">
        <v>3322</v>
      </c>
      <c r="D1297" s="27"/>
      <c r="E1297" s="14" t="s">
        <v>35</v>
      </c>
      <c r="F1297" s="11" t="str">
        <f>HYPERLINK("https://redirect.sdcdeals.com/redirect?destination=https%3A%2F%2Fwww.amazon.com%2Fdp%2FB0BKRGVWD4%3Fth%3D1%26psc%3D1%26tag%3Dsdcdeals03-20", "Amazon Link")</f>
        <v>Amazon Link</v>
      </c>
      <c r="G1297" s="11" t="s">
        <v>36</v>
      </c>
      <c r="H1297" s="14" t="s">
        <v>3323</v>
      </c>
      <c r="I1297" s="11" t="str">
        <f>HYPERLINK("https://redirect.sdcdeals.com/redirect?code=763034&amp;mavely=https://mavely.app.link/e/bhESV2wGrGb&amp;destination=https%3A%2F%2Fwww.kohls.com%2Fsearch.jsp%3Fsubmit-search%3Dweb-regular%26search%3D75541533", "Retail Link")</f>
        <v>Retail Link</v>
      </c>
      <c r="J1297" s="14" t="s">
        <v>3318</v>
      </c>
      <c r="K1297" s="13" t="s">
        <v>3324</v>
      </c>
      <c r="L1297" s="15">
        <v>39.6</v>
      </c>
      <c r="M1297" s="15">
        <v>49.5</v>
      </c>
      <c r="N1297" s="15">
        <v>-12.07500000000001</v>
      </c>
      <c r="O1297" s="15">
        <f>V1297-M1297</f>
        <v>35.56</v>
      </c>
      <c r="P1297" s="16">
        <f>N1297/L1297</f>
        <v>-0.30492424242424265</v>
      </c>
      <c r="Q1297" s="14">
        <v>546738</v>
      </c>
      <c r="R1297" s="14"/>
      <c r="S1297" s="17">
        <v>2.0701381799999998</v>
      </c>
      <c r="T1297" s="15">
        <v>49.5</v>
      </c>
      <c r="U1297" s="15">
        <v>77.05</v>
      </c>
      <c r="V1297" s="15">
        <v>85.06</v>
      </c>
      <c r="W1297" s="14" t="s">
        <v>835</v>
      </c>
      <c r="X1297" s="14">
        <v>4</v>
      </c>
      <c r="Y1297" s="10">
        <f>AC1297-AB1297</f>
        <v>15</v>
      </c>
      <c r="Z1297" s="18">
        <v>15</v>
      </c>
      <c r="AA1297" s="18">
        <v>57</v>
      </c>
      <c r="AB1297" s="18">
        <v>0</v>
      </c>
      <c r="AC1297" s="18">
        <v>15</v>
      </c>
      <c r="AD1297" s="1" t="s">
        <v>3320</v>
      </c>
      <c r="AE1297" s="1" t="s">
        <v>2213</v>
      </c>
      <c r="AF1297" s="4">
        <v>8.42</v>
      </c>
      <c r="AG1297" s="4">
        <v>14.55</v>
      </c>
    </row>
    <row r="1298" spans="1:33" ht="30" x14ac:dyDescent="0.25">
      <c r="A1298" s="10" t="s">
        <v>475</v>
      </c>
      <c r="B1298" s="11" t="s">
        <v>33</v>
      </c>
      <c r="C1298" s="12" t="s">
        <v>476</v>
      </c>
      <c r="D1298" s="27"/>
      <c r="E1298" s="14" t="s">
        <v>35</v>
      </c>
      <c r="F1298" s="11" t="str">
        <f>HYPERLINK("https://redirect.sdcdeals.com/redirect?destination=https%3A%2F%2Fwww.amazon.com%2Fdp%2FB0CPP8R82M%3Fth%3D1%26psc%3D1%26tag%3Dsdcdeals03-20", "Amazon Link")</f>
        <v>Amazon Link</v>
      </c>
      <c r="G1298" s="11" t="s">
        <v>36</v>
      </c>
      <c r="H1298" s="14" t="s">
        <v>477</v>
      </c>
      <c r="I1298" s="11" t="str">
        <f>HYPERLINK("https://redirect.sdcdeals.com/redirect?code=763034&amp;mavely=https://mavely.app.link/e/bhESV2wGrGb&amp;destination=https%3A%2F%2Fwww.kohls.com%2Fsearch.jsp%3Fsubmit-search%3Dweb-regular%26search%3D72579437", "Retail Link")</f>
        <v>Retail Link</v>
      </c>
      <c r="J1298" s="14" t="s">
        <v>478</v>
      </c>
      <c r="K1298" s="13" t="s">
        <v>479</v>
      </c>
      <c r="L1298" s="15">
        <v>16</v>
      </c>
      <c r="M1298" s="15">
        <v>20</v>
      </c>
      <c r="N1298" s="15">
        <v>-4.9000000000000004</v>
      </c>
      <c r="O1298" s="15">
        <f>V1298-M1298</f>
        <v>19.770000000000003</v>
      </c>
      <c r="P1298" s="16">
        <f>N1298/L1298</f>
        <v>-0.30625000000000002</v>
      </c>
      <c r="Q1298" s="14">
        <v>449567</v>
      </c>
      <c r="R1298" s="14"/>
      <c r="S1298" s="17">
        <v>0.63933980000000001</v>
      </c>
      <c r="T1298" s="15">
        <v>20</v>
      </c>
      <c r="U1298" s="15">
        <v>39.76</v>
      </c>
      <c r="V1298" s="15">
        <v>39.770000000000003</v>
      </c>
      <c r="W1298" s="14" t="s">
        <v>282</v>
      </c>
      <c r="X1298" s="14">
        <v>1</v>
      </c>
      <c r="Y1298" s="10">
        <f>AC1298-AB1298</f>
        <v>0</v>
      </c>
      <c r="Z1298" s="18">
        <v>6</v>
      </c>
      <c r="AA1298" s="18">
        <v>8</v>
      </c>
      <c r="AB1298" s="18"/>
      <c r="AC1298" s="18"/>
      <c r="AD1298" s="1" t="s">
        <v>480</v>
      </c>
      <c r="AE1298" s="1" t="s">
        <v>481</v>
      </c>
      <c r="AF1298" s="4">
        <v>2</v>
      </c>
      <c r="AG1298" s="4">
        <v>5.9</v>
      </c>
    </row>
    <row r="1299" spans="1:33" x14ac:dyDescent="0.25">
      <c r="A1299" s="10" t="s">
        <v>5632</v>
      </c>
      <c r="B1299" s="11" t="s">
        <v>33</v>
      </c>
      <c r="C1299" s="12" t="s">
        <v>5633</v>
      </c>
      <c r="D1299" s="27"/>
      <c r="E1299" s="14" t="s">
        <v>35</v>
      </c>
      <c r="F1299" s="11" t="str">
        <f>HYPERLINK("https://redirect.sdcdeals.com/redirect?destination=https%3A%2F%2Fwww.amazon.com%2Fdp%2FB0BRR3FQBY%3Fth%3D1%26psc%3D1%26tag%3Dsdcdeals03-20", "Amazon Link")</f>
        <v>Amazon Link</v>
      </c>
      <c r="G1299" s="11" t="s">
        <v>36</v>
      </c>
      <c r="H1299" s="14" t="s">
        <v>5634</v>
      </c>
      <c r="I1299" s="11" t="str">
        <f>HYPERLINK("https://redirect.sdcdeals.com/redirect?code=763034&amp;mavely=https://mavely.app.link/e/bhESV2wGrGb&amp;destination=https%3A%2F%2Fwww.kohls.com%2Fsearch.jsp%3Fsubmit-search%3Dweb-regular%26search%3D79102222", "Retail Link")</f>
        <v>Retail Link</v>
      </c>
      <c r="J1299" s="14" t="s">
        <v>5600</v>
      </c>
      <c r="K1299" s="13" t="s">
        <v>5635</v>
      </c>
      <c r="L1299" s="15">
        <v>79.992000000000004</v>
      </c>
      <c r="M1299" s="15">
        <v>79.709999999999994</v>
      </c>
      <c r="N1299" s="15">
        <v>-24.508500000000009</v>
      </c>
      <c r="O1299" s="15">
        <f>V1299-M1299</f>
        <v>5.1200000000000045</v>
      </c>
      <c r="P1299" s="16">
        <f>N1299/L1299</f>
        <v>-0.30638688868886899</v>
      </c>
      <c r="Q1299" s="14">
        <v>875187</v>
      </c>
      <c r="R1299" s="14"/>
      <c r="S1299" s="17">
        <v>2.5397222400000001</v>
      </c>
      <c r="T1299" s="15">
        <v>64.989999999999995</v>
      </c>
      <c r="U1299" s="15">
        <v>86.81</v>
      </c>
      <c r="V1299" s="15">
        <v>84.83</v>
      </c>
      <c r="W1299" s="14" t="s">
        <v>5636</v>
      </c>
      <c r="X1299" s="14">
        <v>3</v>
      </c>
      <c r="Y1299" s="10">
        <f>AC1299-AB1299</f>
        <v>57</v>
      </c>
      <c r="Z1299" s="18">
        <v>12</v>
      </c>
      <c r="AA1299" s="18">
        <v>43</v>
      </c>
      <c r="AB1299" s="18">
        <v>15</v>
      </c>
      <c r="AC1299" s="18">
        <v>72</v>
      </c>
      <c r="AD1299" s="1" t="s">
        <v>5602</v>
      </c>
      <c r="AE1299" s="1" t="s">
        <v>76</v>
      </c>
      <c r="AF1299" s="4">
        <v>11.96</v>
      </c>
      <c r="AG1299" s="4">
        <v>12.27</v>
      </c>
    </row>
    <row r="1300" spans="1:33" ht="30" x14ac:dyDescent="0.25">
      <c r="A1300" s="10" t="s">
        <v>6691</v>
      </c>
      <c r="B1300" s="11" t="s">
        <v>33</v>
      </c>
      <c r="C1300" s="12" t="s">
        <v>6692</v>
      </c>
      <c r="D1300" s="27"/>
      <c r="E1300" s="14" t="s">
        <v>35</v>
      </c>
      <c r="F1300" s="11" t="str">
        <f>HYPERLINK("https://redirect.sdcdeals.com/redirect?destination=https%3A%2F%2Fwww.amazon.com%2Fdp%2FB0BNSYTS5J%3Fth%3D1%26psc%3D1%26tag%3Dsdcdeals03-20", "Amazon Link")</f>
        <v>Amazon Link</v>
      </c>
      <c r="G1300" s="11" t="s">
        <v>36</v>
      </c>
      <c r="H1300" s="14" t="s">
        <v>6693</v>
      </c>
      <c r="I1300" s="11" t="str">
        <f>HYPERLINK("https://redirect.sdcdeals.com/redirect?code=763034&amp;mavely=https://mavely.app.link/e/bhESV2wGrGb&amp;destination=https%3A%2F%2Fwww.kohls.com%2Fsearch.jsp%3Fsubmit-search%3Dweb-regular%26search%3D54880251", "Retail Link")</f>
        <v>Retail Link</v>
      </c>
      <c r="J1300" s="14" t="s">
        <v>6668</v>
      </c>
      <c r="K1300" s="13" t="s">
        <v>6694</v>
      </c>
      <c r="L1300" s="15">
        <v>19.600000000000001</v>
      </c>
      <c r="M1300" s="15">
        <v>24.5</v>
      </c>
      <c r="N1300" s="15">
        <v>-6.0150000000000023</v>
      </c>
      <c r="O1300" s="15">
        <f>V1300-M1300</f>
        <v>9.9799999999999969</v>
      </c>
      <c r="P1300" s="16">
        <f>N1300/L1300</f>
        <v>-0.30688775510204092</v>
      </c>
      <c r="Q1300" s="14">
        <v>303411</v>
      </c>
      <c r="R1300" s="14"/>
      <c r="S1300" s="17">
        <v>0.35053457999999998</v>
      </c>
      <c r="T1300" s="15">
        <v>24.5</v>
      </c>
      <c r="U1300" s="15">
        <v>42.65</v>
      </c>
      <c r="V1300" s="15">
        <v>34.479999999999997</v>
      </c>
      <c r="W1300" s="14" t="s">
        <v>301</v>
      </c>
      <c r="X1300" s="14">
        <v>1</v>
      </c>
      <c r="Y1300" s="10">
        <f>AC1300-AB1300</f>
        <v>1</v>
      </c>
      <c r="Z1300" s="18">
        <v>3</v>
      </c>
      <c r="AA1300" s="18">
        <v>17</v>
      </c>
      <c r="AB1300" s="18">
        <v>0</v>
      </c>
      <c r="AC1300" s="18">
        <v>1</v>
      </c>
      <c r="AD1300" s="1" t="s">
        <v>6670</v>
      </c>
      <c r="AE1300" s="1" t="s">
        <v>856</v>
      </c>
      <c r="AF1300" s="4">
        <v>4.17</v>
      </c>
      <c r="AG1300" s="4">
        <v>7.24</v>
      </c>
    </row>
    <row r="1301" spans="1:33" ht="30" x14ac:dyDescent="0.25">
      <c r="A1301" s="10" t="s">
        <v>970</v>
      </c>
      <c r="B1301" s="11" t="s">
        <v>33</v>
      </c>
      <c r="C1301" s="12" t="s">
        <v>971</v>
      </c>
      <c r="D1301" s="27"/>
      <c r="E1301" s="14" t="s">
        <v>35</v>
      </c>
      <c r="F1301" s="11" t="str">
        <f>HYPERLINK("https://redirect.sdcdeals.com/redirect?destination=https%3A%2F%2Fwww.amazon.com%2Fdp%2FB0BFV12G84%3Fth%3D1%26psc%3D1%26tag%3Dsdcdeals03-20", "Amazon Link")</f>
        <v>Amazon Link</v>
      </c>
      <c r="G1301" s="11" t="s">
        <v>36</v>
      </c>
      <c r="H1301" s="14" t="s">
        <v>972</v>
      </c>
      <c r="I1301" s="11" t="str">
        <f>HYPERLINK("https://redirect.sdcdeals.com/redirect?code=763034&amp;mavely=https://mavely.app.link/e/bhESV2wGrGb&amp;destination=https%3A%2F%2Fwww.kohls.com%2Fsearch.jsp%3Fsubmit-search%3Dweb-regular%26search%3D83188588", "Retail Link")</f>
        <v>Retail Link</v>
      </c>
      <c r="J1301" s="14" t="s">
        <v>973</v>
      </c>
      <c r="K1301" s="13" t="s">
        <v>974</v>
      </c>
      <c r="L1301" s="15">
        <v>49.496000000000002</v>
      </c>
      <c r="M1301" s="15">
        <v>59.95</v>
      </c>
      <c r="N1301" s="15">
        <v>-15.368499999999999</v>
      </c>
      <c r="O1301" s="15">
        <f>V1301-M1301</f>
        <v>33.429999999999993</v>
      </c>
      <c r="P1301" s="16">
        <f>N1301/L1301</f>
        <v>-0.31049983837077738</v>
      </c>
      <c r="Q1301" s="14">
        <v>2079619</v>
      </c>
      <c r="R1301" s="14"/>
      <c r="S1301" s="17">
        <v>1.9797487600000001</v>
      </c>
      <c r="T1301" s="15">
        <v>59.95</v>
      </c>
      <c r="U1301" s="15">
        <v>73.22</v>
      </c>
      <c r="V1301" s="15">
        <v>93.38</v>
      </c>
      <c r="W1301" s="14" t="s">
        <v>975</v>
      </c>
      <c r="X1301" s="14">
        <v>1</v>
      </c>
      <c r="Y1301" s="10">
        <f>AC1301-AB1301</f>
        <v>1</v>
      </c>
      <c r="Z1301" s="18">
        <v>1</v>
      </c>
      <c r="AA1301" s="18">
        <v>1</v>
      </c>
      <c r="AB1301" s="18">
        <v>0</v>
      </c>
      <c r="AC1301" s="18">
        <v>1</v>
      </c>
      <c r="AD1301" s="1" t="s">
        <v>976</v>
      </c>
      <c r="AE1301" s="1" t="s">
        <v>700</v>
      </c>
      <c r="AF1301" s="4">
        <v>10.19</v>
      </c>
      <c r="AG1301" s="4">
        <v>16.829999999999998</v>
      </c>
    </row>
    <row r="1302" spans="1:33" ht="30" x14ac:dyDescent="0.25">
      <c r="A1302" s="10" t="s">
        <v>743</v>
      </c>
      <c r="B1302" s="11" t="s">
        <v>33</v>
      </c>
      <c r="C1302" s="12" t="s">
        <v>744</v>
      </c>
      <c r="D1302" s="27"/>
      <c r="E1302" s="14" t="s">
        <v>35</v>
      </c>
      <c r="F1302" s="11" t="str">
        <f>HYPERLINK("https://redirect.sdcdeals.com/redirect?destination=https%3A%2F%2Fwww.amazon.com%2Fdp%2FB0BFV9YH2N%3Fth%3D1%26psc%3D1%26tag%3Dsdcdeals03-20", "Amazon Link")</f>
        <v>Amazon Link</v>
      </c>
      <c r="G1302" s="11" t="s">
        <v>36</v>
      </c>
      <c r="H1302" s="14" t="s">
        <v>745</v>
      </c>
      <c r="I1302" s="11" t="str">
        <f>HYPERLINK("https://redirect.sdcdeals.com/redirect?code=763034&amp;mavely=https://mavely.app.link/e/bhESV2wGrGb&amp;destination=https%3A%2F%2Fwww.kohls.com%2Fsearch.jsp%3Fsubmit-search%3Dweb-regular%26search%3D20255787", "Retail Link")</f>
        <v>Retail Link</v>
      </c>
      <c r="J1302" s="14" t="s">
        <v>696</v>
      </c>
      <c r="K1302" s="13" t="s">
        <v>746</v>
      </c>
      <c r="L1302" s="15">
        <v>44.095999999999997</v>
      </c>
      <c r="M1302" s="15">
        <v>55.12</v>
      </c>
      <c r="N1302" s="15">
        <v>-13.694000000000001</v>
      </c>
      <c r="O1302" s="15">
        <f>V1302-M1302</f>
        <v>48.470000000000006</v>
      </c>
      <c r="P1302" s="16">
        <f>N1302/L1302</f>
        <v>-0.31054970972423807</v>
      </c>
      <c r="Q1302" s="14">
        <v>5987300</v>
      </c>
      <c r="R1302" s="14"/>
      <c r="S1302" s="17">
        <v>1.48150464</v>
      </c>
      <c r="T1302" s="15">
        <v>55.12</v>
      </c>
      <c r="U1302" s="15">
        <v>102.09</v>
      </c>
      <c r="V1302" s="15">
        <v>103.59</v>
      </c>
      <c r="W1302" s="14" t="s">
        <v>88</v>
      </c>
      <c r="X1302" s="14">
        <v>1</v>
      </c>
      <c r="Y1302" s="10">
        <f>AC1302-AB1302</f>
        <v>1</v>
      </c>
      <c r="Z1302" s="18">
        <v>0</v>
      </c>
      <c r="AA1302" s="18">
        <v>0</v>
      </c>
      <c r="AB1302" s="18">
        <v>0</v>
      </c>
      <c r="AC1302" s="18">
        <v>1</v>
      </c>
      <c r="AD1302" s="1" t="s">
        <v>699</v>
      </c>
      <c r="AE1302" s="1" t="s">
        <v>700</v>
      </c>
      <c r="AF1302" s="4">
        <v>9.3699999999999992</v>
      </c>
      <c r="AG1302" s="4">
        <v>16.45</v>
      </c>
    </row>
    <row r="1303" spans="1:33" x14ac:dyDescent="0.25">
      <c r="A1303" s="10" t="s">
        <v>5637</v>
      </c>
      <c r="B1303" s="11" t="s">
        <v>33</v>
      </c>
      <c r="C1303" s="12" t="s">
        <v>5638</v>
      </c>
      <c r="D1303" s="27"/>
      <c r="E1303" s="14" t="s">
        <v>35</v>
      </c>
      <c r="F1303" s="11" t="str">
        <f>HYPERLINK("https://redirect.sdcdeals.com/redirect?destination=https%3A%2F%2Fwww.amazon.com%2Fdp%2FB0BRR2CMW3%3Fth%3D1%26psc%3D1%26tag%3Dsdcdeals03-20", "Amazon Link")</f>
        <v>Amazon Link</v>
      </c>
      <c r="G1303" s="11" t="s">
        <v>36</v>
      </c>
      <c r="H1303" s="14" t="s">
        <v>5639</v>
      </c>
      <c r="I1303" s="11" t="str">
        <f>HYPERLINK("https://redirect.sdcdeals.com/redirect?code=763034&amp;mavely=https://mavely.app.link/e/bhESV2wGrGb&amp;destination=https%3A%2F%2Fwww.kohls.com%2Fsearch.jsp%3Fsubmit-search%3Dweb-regular%26search%3D77042361", "Retail Link")</f>
        <v>Retail Link</v>
      </c>
      <c r="J1303" s="14" t="s">
        <v>5600</v>
      </c>
      <c r="K1303" s="13" t="s">
        <v>5640</v>
      </c>
      <c r="L1303" s="15">
        <v>79.992000000000004</v>
      </c>
      <c r="M1303" s="15">
        <v>78.819999999999993</v>
      </c>
      <c r="N1303" s="15">
        <v>-25.265000000000011</v>
      </c>
      <c r="O1303" s="15">
        <f>V1303-M1303</f>
        <v>5.5100000000000051</v>
      </c>
      <c r="P1303" s="16">
        <f>N1303/L1303</f>
        <v>-0.31584408440844097</v>
      </c>
      <c r="Q1303" s="14">
        <v>882830</v>
      </c>
      <c r="R1303" s="14"/>
      <c r="S1303" s="17">
        <v>2.72931956</v>
      </c>
      <c r="T1303" s="15">
        <v>64.989999999999995</v>
      </c>
      <c r="U1303" s="15">
        <v>83.48</v>
      </c>
      <c r="V1303" s="15">
        <v>84.33</v>
      </c>
      <c r="W1303" s="14" t="s">
        <v>5641</v>
      </c>
      <c r="X1303" s="14">
        <v>5</v>
      </c>
      <c r="Y1303" s="10">
        <f>AC1303-AB1303</f>
        <v>66</v>
      </c>
      <c r="Z1303" s="18">
        <v>11</v>
      </c>
      <c r="AA1303" s="18">
        <v>42</v>
      </c>
      <c r="AB1303" s="18">
        <v>6</v>
      </c>
      <c r="AC1303" s="18">
        <v>72</v>
      </c>
      <c r="AD1303" s="1" t="s">
        <v>5602</v>
      </c>
      <c r="AE1303" s="1" t="s">
        <v>438</v>
      </c>
      <c r="AF1303" s="4">
        <v>11.82</v>
      </c>
      <c r="AG1303" s="4">
        <v>12.27</v>
      </c>
    </row>
    <row r="1304" spans="1:33" ht="30" x14ac:dyDescent="0.25">
      <c r="A1304" s="10" t="s">
        <v>4860</v>
      </c>
      <c r="B1304" s="11" t="s">
        <v>33</v>
      </c>
      <c r="C1304" s="12" t="s">
        <v>4861</v>
      </c>
      <c r="D1304" s="27"/>
      <c r="E1304" s="14" t="s">
        <v>35</v>
      </c>
      <c r="F1304" s="11" t="str">
        <f>HYPERLINK("https://redirect.sdcdeals.com/redirect?destination=https%3A%2F%2Fwww.amazon.com%2Fdp%2FB078MP8F6P%3Fth%3D1%26psc%3D1%26tag%3Dsdcdeals03-20", "Amazon Link")</f>
        <v>Amazon Link</v>
      </c>
      <c r="G1304" s="11" t="s">
        <v>36</v>
      </c>
      <c r="H1304" s="14" t="s">
        <v>4862</v>
      </c>
      <c r="I1304" s="11" t="str">
        <f>HYPERLINK("https://redirect.sdcdeals.com/redirect?code=763034&amp;mavely=https://mavely.app.link/e/bhESV2wGrGb&amp;destination=https%3A%2F%2Fwww.kohls.com%2Fsearch.jsp%3Fsubmit-search%3Dweb-regular%26search%3D20872334", "Retail Link")</f>
        <v>Retail Link</v>
      </c>
      <c r="J1304" s="14" t="s">
        <v>4843</v>
      </c>
      <c r="K1304" s="13" t="s">
        <v>4863</v>
      </c>
      <c r="L1304" s="15">
        <v>15.896000000000001</v>
      </c>
      <c r="M1304" s="15">
        <v>19.87</v>
      </c>
      <c r="N1304" s="15">
        <v>-5.0564999999999998</v>
      </c>
      <c r="O1304" s="15">
        <f>V1304-M1304</f>
        <v>35.47</v>
      </c>
      <c r="P1304" s="16">
        <f>N1304/L1304</f>
        <v>-0.3180988928032209</v>
      </c>
      <c r="Q1304" s="14">
        <v>1362</v>
      </c>
      <c r="R1304" s="14"/>
      <c r="S1304" s="17">
        <v>1.67771582</v>
      </c>
      <c r="T1304" s="15">
        <v>19.87</v>
      </c>
      <c r="U1304" s="15">
        <v>52.65</v>
      </c>
      <c r="V1304" s="15">
        <v>55.34</v>
      </c>
      <c r="W1304" s="14" t="s">
        <v>100</v>
      </c>
      <c r="X1304" s="14">
        <v>2</v>
      </c>
      <c r="Y1304" s="10">
        <f>AC1304-AB1304</f>
        <v>977</v>
      </c>
      <c r="Z1304" s="18">
        <v>50</v>
      </c>
      <c r="AA1304" s="18">
        <v>99</v>
      </c>
      <c r="AB1304" s="18">
        <v>4</v>
      </c>
      <c r="AC1304" s="18">
        <v>981</v>
      </c>
      <c r="AD1304" s="1" t="s">
        <v>4845</v>
      </c>
      <c r="AE1304" s="1" t="s">
        <v>1092</v>
      </c>
      <c r="AF1304" s="4">
        <v>1.99</v>
      </c>
      <c r="AG1304" s="4">
        <v>6.05</v>
      </c>
    </row>
    <row r="1305" spans="1:33" ht="45" x14ac:dyDescent="0.25">
      <c r="A1305" s="10" t="s">
        <v>1617</v>
      </c>
      <c r="B1305" s="11" t="s">
        <v>33</v>
      </c>
      <c r="C1305" s="12" t="s">
        <v>1618</v>
      </c>
      <c r="D1305" s="27"/>
      <c r="E1305" s="14" t="s">
        <v>35</v>
      </c>
      <c r="F1305" s="11" t="str">
        <f>HYPERLINK("https://redirect.sdcdeals.com/redirect?destination=https%3A%2F%2Fwww.amazon.com%2Fdp%2FB0BFVBPFZ2%3Fth%3D1%26psc%3D1%26tag%3Dsdcdeals03-20", "Amazon Link")</f>
        <v>Amazon Link</v>
      </c>
      <c r="G1305" s="11" t="s">
        <v>36</v>
      </c>
      <c r="H1305" s="14" t="s">
        <v>1619</v>
      </c>
      <c r="I1305" s="11" t="str">
        <f>HYPERLINK("https://redirect.sdcdeals.com/redirect?code=763034&amp;mavely=https://mavely.app.link/e/bhESV2wGrGb&amp;destination=https%3A%2F%2Fwww.kohls.com%2Fsearch.jsp%3Fsubmit-search%3Dweb-regular%26search%3D71786086", "Retail Link")</f>
        <v>Retail Link</v>
      </c>
      <c r="J1305" s="14" t="s">
        <v>1614</v>
      </c>
      <c r="K1305" s="13" t="s">
        <v>1620</v>
      </c>
      <c r="L1305" s="15">
        <v>44.095999999999997</v>
      </c>
      <c r="M1305" s="15">
        <v>55.12</v>
      </c>
      <c r="N1305" s="15">
        <v>-14.074</v>
      </c>
      <c r="O1305" s="15">
        <f>V1305-M1305</f>
        <v>34.71</v>
      </c>
      <c r="P1305" s="16">
        <f>N1305/L1305</f>
        <v>-0.31916727140783746</v>
      </c>
      <c r="Q1305" s="14">
        <v>2197019</v>
      </c>
      <c r="R1305" s="14"/>
      <c r="S1305" s="17">
        <v>1.64905576</v>
      </c>
      <c r="T1305" s="15">
        <v>55.12</v>
      </c>
      <c r="U1305" s="15">
        <v>85.8</v>
      </c>
      <c r="V1305" s="15">
        <v>89.83</v>
      </c>
      <c r="W1305" s="14" t="s">
        <v>1621</v>
      </c>
      <c r="X1305" s="14">
        <v>1</v>
      </c>
      <c r="Y1305" s="10">
        <f>AC1305-AB1305</f>
        <v>2</v>
      </c>
      <c r="Z1305" s="18">
        <v>3</v>
      </c>
      <c r="AA1305" s="18">
        <v>4</v>
      </c>
      <c r="AB1305" s="18">
        <v>0</v>
      </c>
      <c r="AC1305" s="18">
        <v>2</v>
      </c>
      <c r="AD1305" s="1" t="s">
        <v>1616</v>
      </c>
      <c r="AE1305" s="1" t="s">
        <v>1622</v>
      </c>
      <c r="AF1305" s="4">
        <v>9.3699999999999992</v>
      </c>
      <c r="AG1305" s="4">
        <v>16.829999999999998</v>
      </c>
    </row>
    <row r="1306" spans="1:33" ht="45" x14ac:dyDescent="0.25">
      <c r="A1306" s="10" t="s">
        <v>1657</v>
      </c>
      <c r="B1306" s="11" t="s">
        <v>33</v>
      </c>
      <c r="C1306" s="12" t="s">
        <v>1658</v>
      </c>
      <c r="D1306" s="27"/>
      <c r="E1306" s="14" t="s">
        <v>35</v>
      </c>
      <c r="F1306" s="11" t="str">
        <f>HYPERLINK("https://redirect.sdcdeals.com/redirect?destination=https%3A%2F%2Fwww.amazon.com%2Fdp%2FB0BFTTFT9R%3Fth%3D1%26psc%3D1%26tag%3Dsdcdeals03-20", "Amazon Link")</f>
        <v>Amazon Link</v>
      </c>
      <c r="G1306" s="11" t="s">
        <v>36</v>
      </c>
      <c r="H1306" s="14" t="s">
        <v>1659</v>
      </c>
      <c r="I1306" s="11" t="str">
        <f>HYPERLINK("https://redirect.sdcdeals.com/redirect?code=763034&amp;mavely=https://mavely.app.link/e/bhESV2wGrGb&amp;destination=https%3A%2F%2Fwww.kohls.com%2Fsearch.jsp%3Fsubmit-search%3Dweb-regular%26search%3D71786094", "Retail Link")</f>
        <v>Retail Link</v>
      </c>
      <c r="J1306" s="14" t="s">
        <v>1614</v>
      </c>
      <c r="K1306" s="13" t="s">
        <v>1660</v>
      </c>
      <c r="L1306" s="15">
        <v>44.095999999999997</v>
      </c>
      <c r="M1306" s="15">
        <v>55.12</v>
      </c>
      <c r="N1306" s="15">
        <v>-14.074</v>
      </c>
      <c r="O1306" s="15">
        <f>V1306-M1306</f>
        <v>43.65</v>
      </c>
      <c r="P1306" s="16">
        <f>N1306/L1306</f>
        <v>-0.31916727140783746</v>
      </c>
      <c r="Q1306" s="14">
        <v>2197019</v>
      </c>
      <c r="R1306" s="14"/>
      <c r="S1306" s="17">
        <v>1.64905576</v>
      </c>
      <c r="T1306" s="15">
        <v>55.12</v>
      </c>
      <c r="U1306" s="15">
        <v>94.54</v>
      </c>
      <c r="V1306" s="15">
        <v>98.77</v>
      </c>
      <c r="W1306" s="14" t="s">
        <v>1134</v>
      </c>
      <c r="X1306" s="14">
        <v>1</v>
      </c>
      <c r="Y1306" s="10">
        <f>AC1306-AB1306</f>
        <v>2</v>
      </c>
      <c r="Z1306" s="18">
        <v>3</v>
      </c>
      <c r="AA1306" s="18">
        <v>5</v>
      </c>
      <c r="AB1306" s="18">
        <v>0</v>
      </c>
      <c r="AC1306" s="18">
        <v>2</v>
      </c>
      <c r="AD1306" s="1" t="s">
        <v>1616</v>
      </c>
      <c r="AE1306" s="1" t="s">
        <v>1622</v>
      </c>
      <c r="AF1306" s="4">
        <v>9.3699999999999992</v>
      </c>
      <c r="AG1306" s="4">
        <v>16.829999999999998</v>
      </c>
    </row>
    <row r="1307" spans="1:33" ht="30" x14ac:dyDescent="0.25">
      <c r="A1307" s="10" t="s">
        <v>3677</v>
      </c>
      <c r="B1307" s="11" t="s">
        <v>33</v>
      </c>
      <c r="C1307" s="12" t="s">
        <v>3678</v>
      </c>
      <c r="D1307" s="27"/>
      <c r="E1307" s="14" t="s">
        <v>35</v>
      </c>
      <c r="F1307" s="11" t="str">
        <f>HYPERLINK("https://redirect.sdcdeals.com/redirect?destination=https%3A%2F%2Fwww.amazon.com%2Fdp%2FB0C8FXLV6S%3Fth%3D1%26psc%3D1%26tag%3Dsdcdeals03-20", "Amazon Link")</f>
        <v>Amazon Link</v>
      </c>
      <c r="G1307" s="11" t="s">
        <v>36</v>
      </c>
      <c r="H1307" s="14" t="s">
        <v>3679</v>
      </c>
      <c r="I1307" s="11" t="str">
        <f>HYPERLINK("https://redirect.sdcdeals.com/redirect?code=763034&amp;mavely=https://mavely.app.link/e/bhESV2wGrGb&amp;destination=https%3A%2F%2Fwww.kohls.com%2Fsearch.jsp%3Fsubmit-search%3Dweb-regular%26search%3D74734535", "Retail Link")</f>
        <v>Retail Link</v>
      </c>
      <c r="J1307" s="14" t="s">
        <v>3669</v>
      </c>
      <c r="K1307" s="13" t="s">
        <v>3680</v>
      </c>
      <c r="L1307" s="15">
        <v>45</v>
      </c>
      <c r="M1307" s="15">
        <v>56.25</v>
      </c>
      <c r="N1307" s="15">
        <v>-14.397500000000001</v>
      </c>
      <c r="O1307" s="15">
        <f>V1307-M1307</f>
        <v>54.629999999999995</v>
      </c>
      <c r="P1307" s="16">
        <f>N1307/L1307</f>
        <v>-0.31994444444444448</v>
      </c>
      <c r="Q1307" s="14">
        <v>3883540</v>
      </c>
      <c r="R1307" s="14"/>
      <c r="S1307" s="17">
        <v>1.9797487600000001</v>
      </c>
      <c r="T1307" s="15">
        <v>56.25</v>
      </c>
      <c r="U1307" s="15">
        <v>110.88</v>
      </c>
      <c r="V1307" s="15">
        <v>110.88</v>
      </c>
      <c r="W1307" s="14" t="s">
        <v>240</v>
      </c>
      <c r="X1307" s="14">
        <v>2</v>
      </c>
      <c r="Y1307" s="10">
        <f>AC1307-AB1307</f>
        <v>1</v>
      </c>
      <c r="Z1307" s="18">
        <v>1</v>
      </c>
      <c r="AA1307" s="18">
        <v>4</v>
      </c>
      <c r="AB1307" s="18">
        <v>0</v>
      </c>
      <c r="AC1307" s="18">
        <v>1</v>
      </c>
      <c r="AD1307" s="1" t="s">
        <v>3681</v>
      </c>
      <c r="AE1307" s="1" t="s">
        <v>76</v>
      </c>
      <c r="AF1307" s="4">
        <v>9.56</v>
      </c>
      <c r="AG1307" s="4">
        <v>17.21</v>
      </c>
    </row>
    <row r="1308" spans="1:33" ht="30" x14ac:dyDescent="0.25">
      <c r="A1308" s="10" t="s">
        <v>3690</v>
      </c>
      <c r="B1308" s="11" t="s">
        <v>33</v>
      </c>
      <c r="C1308" s="12" t="s">
        <v>3691</v>
      </c>
      <c r="D1308" s="27"/>
      <c r="E1308" s="14" t="s">
        <v>35</v>
      </c>
      <c r="F1308" s="11" t="str">
        <f>HYPERLINK("https://redirect.sdcdeals.com/redirect?destination=https%3A%2F%2Fwww.amazon.com%2Fdp%2FB0C8FX5RLV%3Fth%3D1%26psc%3D1%26tag%3Dsdcdeals03-20", "Amazon Link")</f>
        <v>Amazon Link</v>
      </c>
      <c r="G1308" s="11" t="s">
        <v>36</v>
      </c>
      <c r="H1308" s="14" t="s">
        <v>3692</v>
      </c>
      <c r="I1308" s="11" t="str">
        <f>HYPERLINK("https://redirect.sdcdeals.com/redirect?code=763034&amp;mavely=https://mavely.app.link/e/bhESV2wGrGb&amp;destination=https%3A%2F%2Fwww.kohls.com%2Fsearch.jsp%3Fsubmit-search%3Dweb-regular%26search%3D74734536", "Retail Link")</f>
        <v>Retail Link</v>
      </c>
      <c r="J1308" s="14" t="s">
        <v>3669</v>
      </c>
      <c r="K1308" s="13" t="s">
        <v>3680</v>
      </c>
      <c r="L1308" s="15">
        <v>45</v>
      </c>
      <c r="M1308" s="15">
        <v>56.25</v>
      </c>
      <c r="N1308" s="15">
        <v>-14.397500000000001</v>
      </c>
      <c r="O1308" s="15">
        <f>V1308-M1308</f>
        <v>30.069999999999993</v>
      </c>
      <c r="P1308" s="16">
        <f>N1308/L1308</f>
        <v>-0.31994444444444448</v>
      </c>
      <c r="Q1308" s="14">
        <v>3883540</v>
      </c>
      <c r="R1308" s="14"/>
      <c r="S1308" s="17">
        <v>2.0304550200000002</v>
      </c>
      <c r="T1308" s="15">
        <v>56.25</v>
      </c>
      <c r="U1308" s="15">
        <v>84.37</v>
      </c>
      <c r="V1308" s="15">
        <v>86.32</v>
      </c>
      <c r="W1308" s="14" t="s">
        <v>2253</v>
      </c>
      <c r="X1308" s="14">
        <v>2</v>
      </c>
      <c r="Y1308" s="10">
        <f>AC1308-AB1308</f>
        <v>1</v>
      </c>
      <c r="Z1308" s="18">
        <v>1</v>
      </c>
      <c r="AA1308" s="18">
        <v>4</v>
      </c>
      <c r="AB1308" s="18">
        <v>0</v>
      </c>
      <c r="AC1308" s="18">
        <v>1</v>
      </c>
      <c r="AD1308" s="1" t="s">
        <v>3693</v>
      </c>
      <c r="AE1308" s="1" t="s">
        <v>76</v>
      </c>
      <c r="AF1308" s="4">
        <v>9.56</v>
      </c>
      <c r="AG1308" s="4">
        <v>17.21</v>
      </c>
    </row>
    <row r="1309" spans="1:33" ht="45" x14ac:dyDescent="0.25">
      <c r="A1309" s="10" t="s">
        <v>3875</v>
      </c>
      <c r="B1309" s="11" t="s">
        <v>33</v>
      </c>
      <c r="C1309" s="12" t="s">
        <v>3876</v>
      </c>
      <c r="D1309" s="27"/>
      <c r="E1309" s="14" t="s">
        <v>35</v>
      </c>
      <c r="F1309" s="11" t="str">
        <f>HYPERLINK("https://redirect.sdcdeals.com/redirect?destination=https%3A%2F%2Fwww.amazon.com%2Fdp%2FB0C46SNKMQ%3Fth%3D1%26psc%3D1%26tag%3Dsdcdeals03-20", "Amazon Link")</f>
        <v>Amazon Link</v>
      </c>
      <c r="G1309" s="11" t="s">
        <v>36</v>
      </c>
      <c r="H1309" s="14" t="s">
        <v>3877</v>
      </c>
      <c r="I1309" s="11" t="str">
        <f>HYPERLINK("https://redirect.sdcdeals.com/redirect?code=763034&amp;mavely=https://mavely.app.link/e/bhESV2wGrGb&amp;destination=https%3A%2F%2Fwww.kohls.com%2Fsearch.jsp%3Fsubmit-search%3Dweb-regular%26search%3D86687255", "Retail Link")</f>
        <v>Retail Link</v>
      </c>
      <c r="J1309" s="14" t="s">
        <v>3870</v>
      </c>
      <c r="K1309" s="13" t="s">
        <v>3878</v>
      </c>
      <c r="L1309" s="15">
        <v>8.32</v>
      </c>
      <c r="M1309" s="15">
        <v>10.4</v>
      </c>
      <c r="N1309" s="15">
        <v>-2.69</v>
      </c>
      <c r="O1309" s="15">
        <f>V1309-M1309</f>
        <v>9.5200000000000014</v>
      </c>
      <c r="P1309" s="16">
        <f>N1309/L1309</f>
        <v>-0.32331730769230765</v>
      </c>
      <c r="Q1309" s="14">
        <v>30800</v>
      </c>
      <c r="R1309" s="14"/>
      <c r="S1309" s="17">
        <v>0.25353130000000001</v>
      </c>
      <c r="T1309" s="15">
        <v>10.4</v>
      </c>
      <c r="U1309" s="15">
        <v>19.23</v>
      </c>
      <c r="V1309" s="15">
        <v>19.920000000000002</v>
      </c>
      <c r="W1309" s="14" t="s">
        <v>3879</v>
      </c>
      <c r="X1309" s="14">
        <v>7</v>
      </c>
      <c r="Y1309" s="10">
        <f>AC1309-AB1309</f>
        <v>15</v>
      </c>
      <c r="Z1309" s="18">
        <v>18</v>
      </c>
      <c r="AA1309" s="18">
        <v>64</v>
      </c>
      <c r="AB1309" s="18">
        <v>2</v>
      </c>
      <c r="AC1309" s="18">
        <v>17</v>
      </c>
      <c r="AD1309" s="1" t="s">
        <v>3880</v>
      </c>
      <c r="AE1309" s="1" t="s">
        <v>3881</v>
      </c>
      <c r="AF1309" s="4">
        <v>0.52</v>
      </c>
      <c r="AG1309" s="4">
        <v>3.21</v>
      </c>
    </row>
    <row r="1310" spans="1:33" x14ac:dyDescent="0.25">
      <c r="A1310" s="10" t="s">
        <v>5627</v>
      </c>
      <c r="B1310" s="11" t="s">
        <v>33</v>
      </c>
      <c r="C1310" s="12" t="s">
        <v>5628</v>
      </c>
      <c r="D1310" s="27"/>
      <c r="E1310" s="14" t="s">
        <v>35</v>
      </c>
      <c r="F1310" s="11" t="str">
        <f>HYPERLINK("https://redirect.sdcdeals.com/redirect?destination=https%3A%2F%2Fwww.amazon.com%2Fdp%2FB0BRR4JZR6%3Fth%3D1%26psc%3D1%26tag%3Dsdcdeals03-20", "Amazon Link")</f>
        <v>Amazon Link</v>
      </c>
      <c r="G1310" s="11" t="s">
        <v>36</v>
      </c>
      <c r="H1310" s="14" t="s">
        <v>5629</v>
      </c>
      <c r="I1310" s="11" t="str">
        <f>HYPERLINK("https://redirect.sdcdeals.com/redirect?code=763034&amp;mavely=https://mavely.app.link/e/bhESV2wGrGb&amp;destination=https%3A%2F%2Fwww.kohls.com%2Fsearch.jsp%3Fsubmit-search%3Dweb-regular%26search%3D77042360", "Retail Link")</f>
        <v>Retail Link</v>
      </c>
      <c r="J1310" s="14" t="s">
        <v>5600</v>
      </c>
      <c r="K1310" s="13" t="s">
        <v>5630</v>
      </c>
      <c r="L1310" s="15">
        <v>79.992000000000004</v>
      </c>
      <c r="M1310" s="15">
        <v>78.03</v>
      </c>
      <c r="N1310" s="15">
        <v>-25.936499999999999</v>
      </c>
      <c r="O1310" s="15">
        <f>V1310-M1310</f>
        <v>6.6899999999999977</v>
      </c>
      <c r="P1310" s="16">
        <f>N1310/L1310</f>
        <v>-0.3242386738673867</v>
      </c>
      <c r="Q1310" s="14">
        <v>875187</v>
      </c>
      <c r="R1310" s="14"/>
      <c r="S1310" s="17">
        <v>2.5595638200000002</v>
      </c>
      <c r="T1310" s="15">
        <v>64.989999999999995</v>
      </c>
      <c r="U1310" s="15">
        <v>86.19</v>
      </c>
      <c r="V1310" s="15">
        <v>84.72</v>
      </c>
      <c r="W1310" s="14" t="s">
        <v>5631</v>
      </c>
      <c r="X1310" s="14">
        <v>4</v>
      </c>
      <c r="Y1310" s="10">
        <f>AC1310-AB1310</f>
        <v>66</v>
      </c>
      <c r="Z1310" s="18">
        <v>13</v>
      </c>
      <c r="AA1310" s="18">
        <v>55</v>
      </c>
      <c r="AB1310" s="18">
        <v>6</v>
      </c>
      <c r="AC1310" s="18">
        <v>72</v>
      </c>
      <c r="AD1310" s="1" t="s">
        <v>5602</v>
      </c>
      <c r="AE1310" s="1" t="s">
        <v>438</v>
      </c>
      <c r="AF1310" s="4">
        <v>11.7</v>
      </c>
      <c r="AG1310" s="4">
        <v>12.27</v>
      </c>
    </row>
    <row r="1311" spans="1:33" ht="30" hidden="1" x14ac:dyDescent="0.25">
      <c r="A1311" s="10" t="s">
        <v>6203</v>
      </c>
      <c r="B1311" s="11" t="s">
        <v>33</v>
      </c>
      <c r="C1311" s="12" t="s">
        <v>6204</v>
      </c>
      <c r="D1311" s="27"/>
      <c r="E1311" s="14" t="s">
        <v>35</v>
      </c>
      <c r="F1311" s="11" t="str">
        <f>HYPERLINK("https://redirect.sdcdeals.com/redirect?destination=https%3A%2F%2Fwww.amazon.com%2Fdp%2FB0CL5LPKYZ%3Fth%3D1%26psc%3D1%26tag%3Dsdcdeals03-20", "Amazon Link")</f>
        <v>Amazon Link</v>
      </c>
      <c r="G1311" s="11" t="s">
        <v>36</v>
      </c>
      <c r="H1311" s="14" t="s">
        <v>6205</v>
      </c>
      <c r="I1311" s="11" t="str">
        <f>HYPERLINK("https://redirect.sdcdeals.com/redirect?code=763034&amp;mavely=https://mavely.app.link/e/bhESV2wGrGb&amp;destination=https%3A%2F%2Fwww.kohls.com%2Fsearch.jsp%3Fsubmit-search%3Dweb-regular%26search%3D50022581", "Retail Link")</f>
        <v>Retail Link</v>
      </c>
      <c r="J1311" s="14" t="s">
        <v>6187</v>
      </c>
      <c r="K1311" s="13" t="s">
        <v>6206</v>
      </c>
      <c r="L1311" s="15">
        <v>6.8000000000000007</v>
      </c>
      <c r="M1311" s="15">
        <v>9.92</v>
      </c>
      <c r="N1311" s="15">
        <v>-2.2080000000000002</v>
      </c>
      <c r="O1311" s="15">
        <f>V1311-M1311</f>
        <v>8.4799999999999986</v>
      </c>
      <c r="P1311" s="16">
        <f>N1311/L1311</f>
        <v>-0.32470588235294118</v>
      </c>
      <c r="Q1311" s="14"/>
      <c r="R1311" s="14"/>
      <c r="S1311" s="17">
        <v>0.22928048000000001</v>
      </c>
      <c r="T1311" s="15">
        <v>9.92</v>
      </c>
      <c r="U1311" s="15">
        <v>11.92</v>
      </c>
      <c r="V1311" s="15">
        <v>18.399999999999999</v>
      </c>
      <c r="W1311" s="14" t="s">
        <v>1893</v>
      </c>
      <c r="X1311" s="14">
        <v>21</v>
      </c>
      <c r="Y1311" s="10">
        <f>AC1311-AB1311</f>
        <v>0</v>
      </c>
      <c r="Z1311" s="18">
        <v>0</v>
      </c>
      <c r="AA1311" s="18">
        <v>3</v>
      </c>
      <c r="AB1311" s="18">
        <v>0</v>
      </c>
      <c r="AC1311" s="18"/>
      <c r="AD1311" s="1" t="s">
        <v>4680</v>
      </c>
      <c r="AE1311" s="1" t="s">
        <v>6189</v>
      </c>
      <c r="AF1311" s="4">
        <v>0.5</v>
      </c>
      <c r="AG1311" s="4">
        <v>3.84</v>
      </c>
    </row>
    <row r="1312" spans="1:33" ht="30" x14ac:dyDescent="0.25">
      <c r="A1312" s="10" t="s">
        <v>7129</v>
      </c>
      <c r="B1312" s="11" t="s">
        <v>33</v>
      </c>
      <c r="C1312" s="12" t="s">
        <v>7130</v>
      </c>
      <c r="D1312" s="27"/>
      <c r="E1312" s="14" t="s">
        <v>35</v>
      </c>
      <c r="F1312" s="11" t="str">
        <f>HYPERLINK("https://redirect.sdcdeals.com/redirect?destination=https%3A%2F%2Fwww.amazon.com%2Fdp%2FB0BKQY4FTH%3Fth%3D1%26psc%3D1%26tag%3Dsdcdeals03-20", "Amazon Link")</f>
        <v>Amazon Link</v>
      </c>
      <c r="G1312" s="11" t="s">
        <v>36</v>
      </c>
      <c r="H1312" s="14" t="s">
        <v>7131</v>
      </c>
      <c r="I1312" s="11" t="str">
        <f>HYPERLINK("https://redirect.sdcdeals.com/redirect?code=763034&amp;mavely=https://mavely.app.link/e/bhESV2wGrGb&amp;destination=https%3A%2F%2Fwww.kohls.com%2Fsearch.jsp%3Fsubmit-search%3Dweb-regular%26search%3D46955674", "Retail Link")</f>
        <v>Retail Link</v>
      </c>
      <c r="J1312" s="14" t="s">
        <v>7117</v>
      </c>
      <c r="K1312" s="13" t="s">
        <v>7132</v>
      </c>
      <c r="L1312" s="15">
        <v>19.8</v>
      </c>
      <c r="M1312" s="15">
        <v>24.75</v>
      </c>
      <c r="N1312" s="15">
        <v>-6.4825000000000017</v>
      </c>
      <c r="O1312" s="15">
        <f>V1312-M1312</f>
        <v>13.21</v>
      </c>
      <c r="P1312" s="16">
        <f>N1312/L1312</f>
        <v>-0.32739898989898997</v>
      </c>
      <c r="Q1312" s="14">
        <v>2043990</v>
      </c>
      <c r="R1312" s="14"/>
      <c r="S1312" s="17">
        <v>1.10010538</v>
      </c>
      <c r="T1312" s="15">
        <v>24.75</v>
      </c>
      <c r="U1312" s="15">
        <v>29.66</v>
      </c>
      <c r="V1312" s="15">
        <v>37.96</v>
      </c>
      <c r="W1312" s="14" t="s">
        <v>88</v>
      </c>
      <c r="X1312" s="14">
        <v>2</v>
      </c>
      <c r="Y1312" s="10">
        <f>AC1312-AB1312</f>
        <v>1</v>
      </c>
      <c r="Z1312" s="18">
        <v>5</v>
      </c>
      <c r="AA1312" s="18">
        <v>17</v>
      </c>
      <c r="AB1312" s="18">
        <v>0</v>
      </c>
      <c r="AC1312" s="18">
        <v>1</v>
      </c>
      <c r="AD1312" s="1" t="s">
        <v>7119</v>
      </c>
      <c r="AE1312" s="1" t="s">
        <v>3219</v>
      </c>
      <c r="AF1312" s="4">
        <v>4.21</v>
      </c>
      <c r="AG1312" s="4">
        <v>7.72</v>
      </c>
    </row>
    <row r="1313" spans="1:33" ht="30" x14ac:dyDescent="0.25">
      <c r="A1313" s="10" t="s">
        <v>6936</v>
      </c>
      <c r="B1313" s="11" t="s">
        <v>33</v>
      </c>
      <c r="C1313" s="12" t="s">
        <v>6937</v>
      </c>
      <c r="D1313" s="27"/>
      <c r="E1313" s="14" t="s">
        <v>35</v>
      </c>
      <c r="F1313" s="11" t="str">
        <f>HYPERLINK("https://redirect.sdcdeals.com/redirect?destination=https%3A%2F%2Fwww.amazon.com%2Fdp%2FB09X6HKJK8%3Fth%3D1%26psc%3D1%26tag%3Dsdcdeals03-20", "Amazon Link")</f>
        <v>Amazon Link</v>
      </c>
      <c r="G1313" s="11" t="s">
        <v>36</v>
      </c>
      <c r="H1313" s="14" t="s">
        <v>6938</v>
      </c>
      <c r="I1313" s="11" t="str">
        <f>HYPERLINK("https://redirect.sdcdeals.com/redirect?code=763034&amp;mavely=https://mavely.app.link/e/bhESV2wGrGb&amp;destination=https%3A%2F%2Fwww.kohls.com%2Fsearch.jsp%3Fsubmit-search%3Dweb-regular%26search%3D33236216", "Retail Link")</f>
        <v>Retail Link</v>
      </c>
      <c r="J1313" s="14" t="s">
        <v>6932</v>
      </c>
      <c r="K1313" s="13" t="s">
        <v>6939</v>
      </c>
      <c r="L1313" s="15">
        <v>15.6</v>
      </c>
      <c r="M1313" s="15">
        <v>19.5</v>
      </c>
      <c r="N1313" s="15">
        <v>-5.1650000000000009</v>
      </c>
      <c r="O1313" s="15">
        <f>V1313-M1313</f>
        <v>23.11</v>
      </c>
      <c r="P1313" s="16">
        <f>N1313/L1313</f>
        <v>-0.33108974358974363</v>
      </c>
      <c r="Q1313" s="14">
        <v>743804</v>
      </c>
      <c r="R1313" s="14"/>
      <c r="S1313" s="17">
        <v>0.84216484000000003</v>
      </c>
      <c r="T1313" s="15">
        <v>19.5</v>
      </c>
      <c r="U1313" s="15">
        <v>38.4</v>
      </c>
      <c r="V1313" s="15">
        <v>42.61</v>
      </c>
      <c r="W1313" s="14" t="s">
        <v>582</v>
      </c>
      <c r="X1313" s="14">
        <v>5</v>
      </c>
      <c r="Y1313" s="10">
        <f>AC1313-AB1313</f>
        <v>0</v>
      </c>
      <c r="Z1313" s="18">
        <v>5</v>
      </c>
      <c r="AA1313" s="18">
        <v>8</v>
      </c>
      <c r="AB1313" s="18">
        <v>0</v>
      </c>
      <c r="AC1313" s="18"/>
      <c r="AD1313" s="1" t="s">
        <v>6934</v>
      </c>
      <c r="AE1313" s="1" t="s">
        <v>1859</v>
      </c>
      <c r="AF1313" s="4">
        <v>1.95</v>
      </c>
      <c r="AG1313" s="4">
        <v>6.14</v>
      </c>
    </row>
    <row r="1314" spans="1:33" ht="30" x14ac:dyDescent="0.25">
      <c r="A1314" s="10" t="s">
        <v>6499</v>
      </c>
      <c r="B1314" s="11" t="s">
        <v>33</v>
      </c>
      <c r="C1314" s="12" t="s">
        <v>6500</v>
      </c>
      <c r="D1314" s="27"/>
      <c r="E1314" s="14" t="s">
        <v>35</v>
      </c>
      <c r="F1314" s="11" t="str">
        <f>HYPERLINK("https://redirect.sdcdeals.com/redirect?destination=https%3A%2F%2Fwww.amazon.com%2Fdp%2FB0BHXGZTBS%3Fth%3D1%26psc%3D1%26tag%3Dsdcdeals03-20", "Amazon Link")</f>
        <v>Amazon Link</v>
      </c>
      <c r="G1314" s="11" t="s">
        <v>36</v>
      </c>
      <c r="H1314" s="14" t="s">
        <v>6501</v>
      </c>
      <c r="I1314" s="11" t="str">
        <f>HYPERLINK("https://redirect.sdcdeals.com/redirect?code=763034&amp;mavely=https://mavely.app.link/e/bhESV2wGrGb&amp;destination=https%3A%2F%2Fwww.kohls.com%2Fsearch.jsp%3Fsubmit-search%3Dweb-regular%26search%3D75436234", "Retail Link")</f>
        <v>Retail Link</v>
      </c>
      <c r="J1314" s="14" t="s">
        <v>6488</v>
      </c>
      <c r="K1314" s="13" t="s">
        <v>6502</v>
      </c>
      <c r="L1314" s="15">
        <v>11.76</v>
      </c>
      <c r="M1314" s="15">
        <v>14.7</v>
      </c>
      <c r="N1314" s="15">
        <v>-3.9350000000000001</v>
      </c>
      <c r="O1314" s="15">
        <f>V1314-M1314</f>
        <v>-0.38999999999999879</v>
      </c>
      <c r="P1314" s="16">
        <f>N1314/L1314</f>
        <v>-0.33460884353741499</v>
      </c>
      <c r="Q1314" s="14">
        <v>2112772</v>
      </c>
      <c r="R1314" s="14"/>
      <c r="S1314" s="17">
        <v>0.3086468</v>
      </c>
      <c r="T1314" s="15">
        <v>14.7</v>
      </c>
      <c r="U1314" s="15">
        <v>14.7</v>
      </c>
      <c r="V1314" s="15">
        <v>14.31</v>
      </c>
      <c r="W1314" s="14" t="s">
        <v>576</v>
      </c>
      <c r="X1314" s="14">
        <v>1</v>
      </c>
      <c r="Y1314" s="10">
        <f>AC1314-AB1314</f>
        <v>0</v>
      </c>
      <c r="Z1314" s="18">
        <v>0</v>
      </c>
      <c r="AA1314" s="18">
        <v>0</v>
      </c>
      <c r="AB1314" s="18"/>
      <c r="AC1314" s="18"/>
      <c r="AD1314" s="1" t="s">
        <v>6490</v>
      </c>
      <c r="AE1314" s="1" t="s">
        <v>4045</v>
      </c>
      <c r="AF1314" s="4">
        <v>2.5</v>
      </c>
      <c r="AG1314" s="4">
        <v>4.67</v>
      </c>
    </row>
    <row r="1315" spans="1:33" ht="30" x14ac:dyDescent="0.25">
      <c r="A1315" s="10" t="s">
        <v>3686</v>
      </c>
      <c r="B1315" s="11" t="s">
        <v>33</v>
      </c>
      <c r="C1315" s="12" t="s">
        <v>3687</v>
      </c>
      <c r="D1315" s="27"/>
      <c r="E1315" s="14" t="s">
        <v>35</v>
      </c>
      <c r="F1315" s="11" t="str">
        <f>HYPERLINK("https://redirect.sdcdeals.com/redirect?destination=https%3A%2F%2Fwww.amazon.com%2Fdp%2FB0C8FWS5NR%3Fth%3D1%26psc%3D1%26tag%3Dsdcdeals03-20", "Amazon Link")</f>
        <v>Amazon Link</v>
      </c>
      <c r="G1315" s="11" t="s">
        <v>36</v>
      </c>
      <c r="H1315" s="14" t="s">
        <v>3688</v>
      </c>
      <c r="I1315" s="11" t="str">
        <f>HYPERLINK("https://redirect.sdcdeals.com/redirect?code=763034&amp;mavely=https://mavely.app.link/e/bhESV2wGrGb&amp;destination=https%3A%2F%2Fwww.kohls.com%2Fsearch.jsp%3Fsubmit-search%3Dweb-regular%26search%3D74734541", "Retail Link")</f>
        <v>Retail Link</v>
      </c>
      <c r="J1315" s="14" t="s">
        <v>3669</v>
      </c>
      <c r="K1315" s="13" t="s">
        <v>3670</v>
      </c>
      <c r="L1315" s="15">
        <v>45</v>
      </c>
      <c r="M1315" s="15">
        <v>56.25</v>
      </c>
      <c r="N1315" s="15">
        <v>-15.157500000000001</v>
      </c>
      <c r="O1315" s="15">
        <f>V1315-M1315</f>
        <v>34.33</v>
      </c>
      <c r="P1315" s="16">
        <f>N1315/L1315</f>
        <v>-0.33683333333333337</v>
      </c>
      <c r="Q1315" s="14">
        <v>3883540</v>
      </c>
      <c r="R1315" s="14"/>
      <c r="S1315" s="17">
        <v>1.9797487600000001</v>
      </c>
      <c r="T1315" s="15">
        <v>56.25</v>
      </c>
      <c r="U1315" s="15">
        <v>93.07</v>
      </c>
      <c r="V1315" s="15">
        <v>90.58</v>
      </c>
      <c r="W1315" s="14" t="s">
        <v>903</v>
      </c>
      <c r="X1315" s="14">
        <v>2</v>
      </c>
      <c r="Y1315" s="10">
        <f>AC1315-AB1315</f>
        <v>1</v>
      </c>
      <c r="Z1315" s="18">
        <v>1</v>
      </c>
      <c r="AA1315" s="18">
        <v>4</v>
      </c>
      <c r="AB1315" s="18">
        <v>0</v>
      </c>
      <c r="AC1315" s="18">
        <v>1</v>
      </c>
      <c r="AD1315" s="1" t="s">
        <v>3689</v>
      </c>
      <c r="AE1315" s="1" t="s">
        <v>1490</v>
      </c>
      <c r="AF1315" s="4">
        <v>9.56</v>
      </c>
      <c r="AG1315" s="4">
        <v>17.97</v>
      </c>
    </row>
    <row r="1316" spans="1:33" ht="30" x14ac:dyDescent="0.25">
      <c r="A1316" s="10" t="s">
        <v>6315</v>
      </c>
      <c r="B1316" s="11" t="s">
        <v>33</v>
      </c>
      <c r="C1316" s="12" t="s">
        <v>6316</v>
      </c>
      <c r="D1316" s="27"/>
      <c r="E1316" s="14" t="s">
        <v>35</v>
      </c>
      <c r="F1316" s="11" t="str">
        <f>HYPERLINK("https://redirect.sdcdeals.com/redirect?destination=https%3A%2F%2Fwww.amazon.com%2Fdp%2FB0BN5FXH3N%3Fth%3D1%26psc%3D1%26tag%3Dsdcdeals03-20", "Amazon Link")</f>
        <v>Amazon Link</v>
      </c>
      <c r="G1316" s="11" t="s">
        <v>36</v>
      </c>
      <c r="H1316" s="14" t="s">
        <v>6317</v>
      </c>
      <c r="I1316" s="11" t="str">
        <f>HYPERLINK("https://redirect.sdcdeals.com/redirect?code=763034&amp;mavely=https://mavely.app.link/e/bhESV2wGrGb&amp;destination=https%3A%2F%2Fwww.kohls.com%2Fsearch.jsp%3Fsubmit-search%3Dweb-regular%26search%3D28274977", "Retail Link")</f>
        <v>Retail Link</v>
      </c>
      <c r="J1316" s="14" t="s">
        <v>6311</v>
      </c>
      <c r="K1316" s="13" t="s">
        <v>6318</v>
      </c>
      <c r="L1316" s="15">
        <v>15.288</v>
      </c>
      <c r="M1316" s="15">
        <v>19.11</v>
      </c>
      <c r="N1316" s="15">
        <v>-5.1845000000000034</v>
      </c>
      <c r="O1316" s="15">
        <f>V1316-M1316</f>
        <v>17.22</v>
      </c>
      <c r="P1316" s="16">
        <f>N1316/L1316</f>
        <v>-0.33912218733647326</v>
      </c>
      <c r="Q1316" s="14">
        <v>25627</v>
      </c>
      <c r="R1316" s="14"/>
      <c r="S1316" s="17">
        <v>0.9259404</v>
      </c>
      <c r="T1316" s="15">
        <v>19.11</v>
      </c>
      <c r="U1316" s="15">
        <v>33.159999999999997</v>
      </c>
      <c r="V1316" s="15">
        <v>36.33</v>
      </c>
      <c r="W1316" s="14" t="s">
        <v>576</v>
      </c>
      <c r="X1316" s="14">
        <v>1</v>
      </c>
      <c r="Y1316" s="10">
        <f>AC1316-AB1316</f>
        <v>1554</v>
      </c>
      <c r="Z1316" s="18">
        <v>34</v>
      </c>
      <c r="AA1316" s="18">
        <v>84</v>
      </c>
      <c r="AB1316" s="18">
        <v>1</v>
      </c>
      <c r="AC1316" s="18">
        <v>1555</v>
      </c>
      <c r="AD1316" s="1" t="s">
        <v>6319</v>
      </c>
      <c r="AE1316" s="1" t="s">
        <v>6320</v>
      </c>
      <c r="AF1316" s="4">
        <v>1.91</v>
      </c>
      <c r="AG1316" s="4">
        <v>6.14</v>
      </c>
    </row>
    <row r="1317" spans="1:33" ht="30" x14ac:dyDescent="0.25">
      <c r="A1317" s="10" t="s">
        <v>3518</v>
      </c>
      <c r="B1317" s="11" t="s">
        <v>33</v>
      </c>
      <c r="C1317" s="12" t="s">
        <v>3519</v>
      </c>
      <c r="D1317" s="27"/>
      <c r="E1317" s="14" t="s">
        <v>35</v>
      </c>
      <c r="F1317" s="11" t="str">
        <f>HYPERLINK("https://redirect.sdcdeals.com/redirect?destination=https%3A%2F%2Fwww.amazon.com%2Fdp%2FB0BKQYPS29%3Fth%3D1%26psc%3D1%26tag%3Dsdcdeals03-20", "Amazon Link")</f>
        <v>Amazon Link</v>
      </c>
      <c r="G1317" s="11" t="s">
        <v>36</v>
      </c>
      <c r="H1317" s="14" t="s">
        <v>3520</v>
      </c>
      <c r="I1317" s="11" t="str">
        <f>HYPERLINK("https://redirect.sdcdeals.com/redirect?code=763034&amp;mavely=https://mavely.app.link/e/bhESV2wGrGb&amp;destination=https%3A%2F%2Fwww.kohls.com%2Fsearch.jsp%3Fsubmit-search%3Dweb-regular%26search%3D58450445", "Retail Link")</f>
        <v>Retail Link</v>
      </c>
      <c r="J1317" s="14" t="s">
        <v>3497</v>
      </c>
      <c r="K1317" s="13" t="s">
        <v>3521</v>
      </c>
      <c r="L1317" s="15">
        <v>24</v>
      </c>
      <c r="M1317" s="15">
        <v>33.520000000000003</v>
      </c>
      <c r="N1317" s="15">
        <v>-8.1579999999999995</v>
      </c>
      <c r="O1317" s="15">
        <f>V1317-M1317</f>
        <v>8.8999999999999986</v>
      </c>
      <c r="P1317" s="16">
        <f>N1317/L1317</f>
        <v>-0.33991666666666664</v>
      </c>
      <c r="Q1317" s="14">
        <v>826894</v>
      </c>
      <c r="R1317" s="14"/>
      <c r="S1317" s="17">
        <v>0.97003280000000003</v>
      </c>
      <c r="T1317" s="15"/>
      <c r="U1317" s="15">
        <v>33.520000000000003</v>
      </c>
      <c r="V1317" s="15">
        <v>42.42</v>
      </c>
      <c r="W1317" s="14" t="s">
        <v>321</v>
      </c>
      <c r="X1317" s="14">
        <v>1</v>
      </c>
      <c r="Y1317" s="10">
        <f>AC1317-AB1317</f>
        <v>6</v>
      </c>
      <c r="Z1317" s="18">
        <v>6</v>
      </c>
      <c r="AA1317" s="18">
        <v>24</v>
      </c>
      <c r="AB1317" s="18">
        <v>1</v>
      </c>
      <c r="AC1317" s="18">
        <v>7</v>
      </c>
      <c r="AD1317" s="1" t="s">
        <v>3499</v>
      </c>
      <c r="AE1317" s="1" t="s">
        <v>3505</v>
      </c>
      <c r="AG1317" s="4">
        <v>12.65</v>
      </c>
    </row>
    <row r="1318" spans="1:33" ht="30" x14ac:dyDescent="0.25">
      <c r="A1318" s="10" t="s">
        <v>5550</v>
      </c>
      <c r="B1318" s="11" t="s">
        <v>33</v>
      </c>
      <c r="C1318" s="12" t="s">
        <v>5551</v>
      </c>
      <c r="D1318" s="27"/>
      <c r="E1318" s="14" t="s">
        <v>35</v>
      </c>
      <c r="F1318" s="11" t="str">
        <f>HYPERLINK("https://redirect.sdcdeals.com/redirect?destination=https%3A%2F%2Fwww.amazon.com%2Fdp%2FB0C46QMRW1%3Fth%3D1%26psc%3D1%26tag%3Dsdcdeals03-20", "Amazon Link")</f>
        <v>Amazon Link</v>
      </c>
      <c r="G1318" s="11" t="s">
        <v>36</v>
      </c>
      <c r="H1318" s="14" t="s">
        <v>5552</v>
      </c>
      <c r="I1318" s="11" t="str">
        <f>HYPERLINK("https://redirect.sdcdeals.com/redirect?code=763034&amp;mavely=https://mavely.app.link/e/bhESV2wGrGb&amp;destination=https%3A%2F%2Fwww.kohls.com%2Fsearch.jsp%3Fsubmit-search%3Dweb-regular%26search%3D55967791", "Retail Link")</f>
        <v>Retail Link</v>
      </c>
      <c r="J1318" s="14" t="s">
        <v>5553</v>
      </c>
      <c r="K1318" s="13" t="s">
        <v>5554</v>
      </c>
      <c r="L1318" s="15">
        <v>8.32</v>
      </c>
      <c r="M1318" s="15">
        <v>10.4</v>
      </c>
      <c r="N1318" s="15">
        <v>-2.83</v>
      </c>
      <c r="O1318" s="15">
        <f>V1318-M1318</f>
        <v>8.6100000000000012</v>
      </c>
      <c r="P1318" s="16">
        <f>N1318/L1318</f>
        <v>-0.34014423076923078</v>
      </c>
      <c r="Q1318" s="14">
        <v>91674</v>
      </c>
      <c r="R1318" s="14"/>
      <c r="S1318" s="17">
        <v>0.26455440000000002</v>
      </c>
      <c r="T1318" s="15">
        <v>10.4</v>
      </c>
      <c r="U1318" s="15">
        <v>19.149999999999999</v>
      </c>
      <c r="V1318" s="15">
        <v>19.010000000000002</v>
      </c>
      <c r="W1318" s="14" t="s">
        <v>1134</v>
      </c>
      <c r="X1318" s="14">
        <v>3</v>
      </c>
      <c r="Y1318" s="10">
        <f>AC1318-AB1318</f>
        <v>2</v>
      </c>
      <c r="Z1318" s="18">
        <v>14</v>
      </c>
      <c r="AA1318" s="18">
        <v>30</v>
      </c>
      <c r="AB1318" s="18">
        <v>0</v>
      </c>
      <c r="AC1318" s="18">
        <v>2</v>
      </c>
      <c r="AD1318" s="1" t="s">
        <v>5555</v>
      </c>
      <c r="AE1318" s="1" t="s">
        <v>5556</v>
      </c>
      <c r="AF1318" s="4">
        <v>0.52</v>
      </c>
      <c r="AG1318" s="4">
        <v>3.35</v>
      </c>
    </row>
    <row r="1319" spans="1:33" ht="45" x14ac:dyDescent="0.25">
      <c r="A1319" s="10" t="s">
        <v>556</v>
      </c>
      <c r="B1319" s="11" t="s">
        <v>33</v>
      </c>
      <c r="C1319" s="12" t="s">
        <v>557</v>
      </c>
      <c r="D1319" s="27"/>
      <c r="E1319" s="14" t="s">
        <v>35</v>
      </c>
      <c r="F1319" s="11" t="str">
        <f>HYPERLINK("https://redirect.sdcdeals.com/redirect?destination=https%3A%2F%2Fwww.amazon.com%2Fdp%2FB0BC29ZTTR%3Fth%3D1%26psc%3D1%26tag%3Dsdcdeals03-20", "Amazon Link")</f>
        <v>Amazon Link</v>
      </c>
      <c r="G1319" s="11" t="s">
        <v>36</v>
      </c>
      <c r="H1319" s="14" t="s">
        <v>558</v>
      </c>
      <c r="I1319" s="11" t="str">
        <f>HYPERLINK("https://redirect.sdcdeals.com/redirect?code=763034&amp;mavely=https://mavely.app.link/e/bhESV2wGrGb&amp;destination=https%3A%2F%2Fwww.kohls.com%2Fsearch.jsp%3Fsubmit-search%3Dweb-regular%26search%3D65747732", "Retail Link")</f>
        <v>Retail Link</v>
      </c>
      <c r="J1319" s="14" t="s">
        <v>543</v>
      </c>
      <c r="K1319" s="13" t="s">
        <v>559</v>
      </c>
      <c r="L1319" s="15">
        <v>12.32</v>
      </c>
      <c r="M1319" s="15">
        <v>15.4</v>
      </c>
      <c r="N1319" s="15">
        <v>-4.3500000000000014</v>
      </c>
      <c r="O1319" s="15">
        <f>V1319-M1319</f>
        <v>11.74</v>
      </c>
      <c r="P1319" s="16">
        <f>N1319/L1319</f>
        <v>-0.35308441558441567</v>
      </c>
      <c r="Q1319" s="14">
        <v>5858949</v>
      </c>
      <c r="R1319" s="14"/>
      <c r="S1319" s="17">
        <v>0.28660059999999998</v>
      </c>
      <c r="T1319" s="15">
        <v>15.4</v>
      </c>
      <c r="U1319" s="15">
        <v>24.95</v>
      </c>
      <c r="V1319" s="15">
        <v>27.14</v>
      </c>
      <c r="W1319" s="14" t="s">
        <v>100</v>
      </c>
      <c r="X1319" s="14">
        <v>1</v>
      </c>
      <c r="Y1319" s="10">
        <f>AC1319-AB1319</f>
        <v>0</v>
      </c>
      <c r="Z1319" s="18">
        <v>1</v>
      </c>
      <c r="AA1319" s="18">
        <v>1</v>
      </c>
      <c r="AB1319" s="18"/>
      <c r="AC1319" s="18"/>
      <c r="AD1319" s="1" t="s">
        <v>545</v>
      </c>
      <c r="AE1319" s="1" t="s">
        <v>546</v>
      </c>
      <c r="AF1319" s="4">
        <v>1.54</v>
      </c>
      <c r="AG1319" s="4">
        <v>5.12</v>
      </c>
    </row>
    <row r="1320" spans="1:33" ht="30" x14ac:dyDescent="0.25">
      <c r="A1320" s="10" t="s">
        <v>6274</v>
      </c>
      <c r="B1320" s="11" t="s">
        <v>33</v>
      </c>
      <c r="C1320" s="12" t="s">
        <v>6275</v>
      </c>
      <c r="D1320" s="27"/>
      <c r="E1320" s="14" t="s">
        <v>35</v>
      </c>
      <c r="F1320" s="11" t="str">
        <f>HYPERLINK("https://redirect.sdcdeals.com/redirect?destination=https%3A%2F%2Fwww.amazon.com%2Fdp%2FB0BKQZ3SFP%3Fth%3D1%26psc%3D1%26tag%3Dsdcdeals03-20", "Amazon Link")</f>
        <v>Amazon Link</v>
      </c>
      <c r="G1320" s="11" t="s">
        <v>36</v>
      </c>
      <c r="H1320" s="14" t="s">
        <v>6276</v>
      </c>
      <c r="I1320" s="11" t="str">
        <f>HYPERLINK("https://redirect.sdcdeals.com/redirect?code=763034&amp;mavely=https://mavely.app.link/e/bhESV2wGrGb&amp;destination=https%3A%2F%2Fwww.kohls.com%2Fsearch.jsp%3Fsubmit-search%3Dweb-regular%26search%3D80724840", "Retail Link")</f>
        <v>Retail Link</v>
      </c>
      <c r="J1320" s="14" t="s">
        <v>6277</v>
      </c>
      <c r="K1320" s="13" t="s">
        <v>6278</v>
      </c>
      <c r="L1320" s="15">
        <v>31.2</v>
      </c>
      <c r="M1320" s="15">
        <v>39</v>
      </c>
      <c r="N1320" s="15">
        <v>-11.08</v>
      </c>
      <c r="O1320" s="15">
        <f>V1320-M1320</f>
        <v>32.5</v>
      </c>
      <c r="P1320" s="16">
        <f>N1320/L1320</f>
        <v>-0.35512820512820514</v>
      </c>
      <c r="Q1320" s="14">
        <v>426565</v>
      </c>
      <c r="R1320" s="14"/>
      <c r="S1320" s="17">
        <v>1.34040896</v>
      </c>
      <c r="T1320" s="15">
        <v>39</v>
      </c>
      <c r="U1320" s="15">
        <v>67.03</v>
      </c>
      <c r="V1320" s="15">
        <v>71.5</v>
      </c>
      <c r="W1320" s="14" t="s">
        <v>959</v>
      </c>
      <c r="X1320" s="14">
        <v>5</v>
      </c>
      <c r="Y1320" s="10">
        <f>AC1320-AB1320</f>
        <v>30</v>
      </c>
      <c r="Z1320" s="18">
        <v>19</v>
      </c>
      <c r="AA1320" s="18">
        <v>68</v>
      </c>
      <c r="AB1320" s="18">
        <v>1</v>
      </c>
      <c r="AC1320" s="18">
        <v>31</v>
      </c>
      <c r="AD1320" s="1" t="s">
        <v>6279</v>
      </c>
      <c r="AE1320" s="1" t="s">
        <v>2924</v>
      </c>
      <c r="AF1320" s="4">
        <v>6.63</v>
      </c>
      <c r="AG1320" s="4">
        <v>13.03</v>
      </c>
    </row>
    <row r="1321" spans="1:33" ht="45" x14ac:dyDescent="0.25">
      <c r="A1321" s="10" t="s">
        <v>283</v>
      </c>
      <c r="B1321" s="11" t="s">
        <v>33</v>
      </c>
      <c r="C1321" s="12" t="s">
        <v>284</v>
      </c>
      <c r="D1321" s="27"/>
      <c r="E1321" s="14" t="s">
        <v>35</v>
      </c>
      <c r="F1321" s="11" t="str">
        <f>HYPERLINK("https://redirect.sdcdeals.com/redirect?destination=https%3A%2F%2Fwww.amazon.com%2Fdp%2FB093RDTNHZ%3Fth%3D1%26psc%3D1%26tag%3Dsdcdeals03-20", "Amazon Link")</f>
        <v>Amazon Link</v>
      </c>
      <c r="G1321" s="11" t="s">
        <v>36</v>
      </c>
      <c r="H1321" s="14" t="s">
        <v>285</v>
      </c>
      <c r="I1321" s="11" t="str">
        <f>HYPERLINK("https://redirect.sdcdeals.com/redirect?code=763034&amp;mavely=https://mavely.app.link/e/bhESV2wGrGb&amp;destination=https%3A%2F%2Fwww.kohls.com%2Fsearch.jsp%3Fsubmit-search%3Dweb-regular%26search%3D61414273", "Retail Link")</f>
        <v>Retail Link</v>
      </c>
      <c r="J1321" s="14" t="s">
        <v>263</v>
      </c>
      <c r="K1321" s="13" t="s">
        <v>264</v>
      </c>
      <c r="L1321" s="15">
        <v>8.4</v>
      </c>
      <c r="M1321" s="15">
        <v>14.12</v>
      </c>
      <c r="N1321" s="15">
        <v>-2.9980000000000011</v>
      </c>
      <c r="O1321" s="15">
        <f>V1321-M1321</f>
        <v>7.4399999999999995</v>
      </c>
      <c r="P1321" s="16">
        <f>N1321/L1321</f>
        <v>-0.356904761904762</v>
      </c>
      <c r="Q1321" s="14">
        <v>101269</v>
      </c>
      <c r="R1321" s="14"/>
      <c r="S1321" s="17">
        <v>0.61949821999999999</v>
      </c>
      <c r="T1321" s="15">
        <v>10</v>
      </c>
      <c r="U1321" s="15">
        <v>19.489999999999998</v>
      </c>
      <c r="V1321" s="15">
        <v>21.56</v>
      </c>
      <c r="W1321" s="14" t="s">
        <v>286</v>
      </c>
      <c r="X1321" s="14">
        <v>4</v>
      </c>
      <c r="Y1321" s="10">
        <f>AC1321-AB1321</f>
        <v>450</v>
      </c>
      <c r="Z1321" s="18">
        <v>32</v>
      </c>
      <c r="AA1321" s="18">
        <v>70</v>
      </c>
      <c r="AB1321" s="18">
        <v>1</v>
      </c>
      <c r="AC1321" s="18">
        <v>451</v>
      </c>
      <c r="AD1321" s="1" t="s">
        <v>265</v>
      </c>
      <c r="AE1321" s="1" t="s">
        <v>273</v>
      </c>
      <c r="AF1321" s="4">
        <v>0.71</v>
      </c>
      <c r="AG1321" s="4">
        <v>6.6</v>
      </c>
    </row>
    <row r="1322" spans="1:33" ht="30" x14ac:dyDescent="0.25">
      <c r="A1322" s="10" t="s">
        <v>6944</v>
      </c>
      <c r="B1322" s="11" t="s">
        <v>33</v>
      </c>
      <c r="C1322" s="12" t="s">
        <v>6945</v>
      </c>
      <c r="D1322" s="27"/>
      <c r="E1322" s="14" t="s">
        <v>35</v>
      </c>
      <c r="F1322" s="11" t="str">
        <f>HYPERLINK("https://redirect.sdcdeals.com/redirect?destination=https%3A%2F%2Fwww.amazon.com%2Fdp%2FB09X6HPN9B%3Fth%3D1%26psc%3D1%26tag%3Dsdcdeals03-20", "Amazon Link")</f>
        <v>Amazon Link</v>
      </c>
      <c r="G1322" s="11" t="s">
        <v>36</v>
      </c>
      <c r="H1322" s="14" t="s">
        <v>6946</v>
      </c>
      <c r="I1322" s="11" t="str">
        <f>HYPERLINK("https://redirect.sdcdeals.com/redirect?code=763034&amp;mavely=https://mavely.app.link/e/bhESV2wGrGb&amp;destination=https%3A%2F%2Fwww.kohls.com%2Fsearch.jsp%3Fsubmit-search%3Dweb-regular%26search%3D33236217", "Retail Link")</f>
        <v>Retail Link</v>
      </c>
      <c r="J1322" s="14" t="s">
        <v>6932</v>
      </c>
      <c r="K1322" s="13" t="s">
        <v>6947</v>
      </c>
      <c r="L1322" s="15">
        <v>15.6</v>
      </c>
      <c r="M1322" s="15">
        <v>19.5</v>
      </c>
      <c r="N1322" s="15">
        <v>-5.625</v>
      </c>
      <c r="O1322" s="15">
        <f>V1322-M1322</f>
        <v>22.939999999999998</v>
      </c>
      <c r="P1322" s="16">
        <f>N1322/L1322</f>
        <v>-0.36057692307692307</v>
      </c>
      <c r="Q1322" s="14">
        <v>826304</v>
      </c>
      <c r="R1322" s="14"/>
      <c r="S1322" s="17">
        <v>0.70547840000000006</v>
      </c>
      <c r="T1322" s="15">
        <v>19.5</v>
      </c>
      <c r="U1322" s="15">
        <v>38.869999999999997</v>
      </c>
      <c r="V1322" s="15">
        <v>42.44</v>
      </c>
      <c r="W1322" s="14" t="s">
        <v>2022</v>
      </c>
      <c r="X1322" s="14">
        <v>4</v>
      </c>
      <c r="Y1322" s="10">
        <f>AC1322-AB1322</f>
        <v>0</v>
      </c>
      <c r="Z1322" s="18">
        <v>5</v>
      </c>
      <c r="AA1322" s="18">
        <v>8</v>
      </c>
      <c r="AB1322" s="18">
        <v>0</v>
      </c>
      <c r="AC1322" s="18"/>
      <c r="AD1322" s="1" t="s">
        <v>6934</v>
      </c>
      <c r="AE1322" s="1" t="s">
        <v>1859</v>
      </c>
      <c r="AF1322" s="4">
        <v>1.95</v>
      </c>
      <c r="AG1322" s="4">
        <v>6.6</v>
      </c>
    </row>
    <row r="1323" spans="1:33" ht="30" x14ac:dyDescent="0.25">
      <c r="A1323" s="10" t="s">
        <v>6948</v>
      </c>
      <c r="B1323" s="11" t="s">
        <v>33</v>
      </c>
      <c r="C1323" s="12" t="s">
        <v>6949</v>
      </c>
      <c r="D1323" s="27"/>
      <c r="E1323" s="14" t="s">
        <v>35</v>
      </c>
      <c r="F1323" s="11" t="str">
        <f>HYPERLINK("https://redirect.sdcdeals.com/redirect?destination=https%3A%2F%2Fwww.amazon.com%2Fdp%2FB09X6GT2Z4%3Fth%3D1%26psc%3D1%26tag%3Dsdcdeals03-20", "Amazon Link")</f>
        <v>Amazon Link</v>
      </c>
      <c r="G1323" s="11" t="s">
        <v>36</v>
      </c>
      <c r="H1323" s="14" t="s">
        <v>6950</v>
      </c>
      <c r="I1323" s="11" t="str">
        <f>HYPERLINK("https://redirect.sdcdeals.com/redirect?code=763034&amp;mavely=https://mavely.app.link/e/bhESV2wGrGb&amp;destination=https%3A%2F%2Fwww.kohls.com%2Fsearch.jsp%3Fsubmit-search%3Dweb-regular%26search%3D33236218", "Retail Link")</f>
        <v>Retail Link</v>
      </c>
      <c r="J1323" s="14" t="s">
        <v>6932</v>
      </c>
      <c r="K1323" s="13" t="s">
        <v>6951</v>
      </c>
      <c r="L1323" s="15">
        <v>15.6</v>
      </c>
      <c r="M1323" s="15">
        <v>19.5</v>
      </c>
      <c r="N1323" s="15">
        <v>-5.625</v>
      </c>
      <c r="O1323" s="15">
        <f>V1323-M1323</f>
        <v>23.810000000000002</v>
      </c>
      <c r="P1323" s="16">
        <f>N1323/L1323</f>
        <v>-0.36057692307692307</v>
      </c>
      <c r="Q1323" s="14">
        <v>546812</v>
      </c>
      <c r="R1323" s="14"/>
      <c r="S1323" s="17">
        <v>0.83775560000000004</v>
      </c>
      <c r="T1323" s="15">
        <v>19.5</v>
      </c>
      <c r="U1323" s="15">
        <v>41.19</v>
      </c>
      <c r="V1323" s="15">
        <v>43.31</v>
      </c>
      <c r="W1323" s="14" t="s">
        <v>286</v>
      </c>
      <c r="X1323" s="14">
        <v>4</v>
      </c>
      <c r="Y1323" s="10">
        <f>AC1323-AB1323</f>
        <v>0</v>
      </c>
      <c r="Z1323" s="18">
        <v>5</v>
      </c>
      <c r="AA1323" s="18">
        <v>9</v>
      </c>
      <c r="AB1323" s="18">
        <v>1</v>
      </c>
      <c r="AC1323" s="18">
        <v>1</v>
      </c>
      <c r="AD1323" s="1" t="s">
        <v>6934</v>
      </c>
      <c r="AE1323" s="1" t="s">
        <v>1859</v>
      </c>
      <c r="AF1323" s="4">
        <v>1.95</v>
      </c>
      <c r="AG1323" s="4">
        <v>6.6</v>
      </c>
    </row>
    <row r="1324" spans="1:33" ht="30" hidden="1" x14ac:dyDescent="0.25">
      <c r="A1324" s="10" t="s">
        <v>5106</v>
      </c>
      <c r="B1324" s="11" t="s">
        <v>33</v>
      </c>
      <c r="C1324" s="12" t="s">
        <v>5107</v>
      </c>
      <c r="D1324" s="27"/>
      <c r="E1324" s="14" t="s">
        <v>35</v>
      </c>
      <c r="F1324" s="11" t="str">
        <f>HYPERLINK("https://redirect.sdcdeals.com/redirect?destination=https%3A%2F%2Fwww.amazon.com%2Fdp%2FB0CL65HT2D%3Fth%3D1%26psc%3D1%26tag%3Dsdcdeals03-20", "Amazon Link")</f>
        <v>Amazon Link</v>
      </c>
      <c r="G1324" s="11" t="s">
        <v>36</v>
      </c>
      <c r="H1324" s="14" t="s">
        <v>5108</v>
      </c>
      <c r="I1324" s="11" t="str">
        <f>HYPERLINK("https://redirect.sdcdeals.com/redirect?code=763034&amp;mavely=https://mavely.app.link/e/bhESV2wGrGb&amp;destination=https%3A%2F%2Fwww.kohls.com%2Fsearch.jsp%3Fsubmit-search%3Dweb-regular%26search%3D18796709", "Retail Link")</f>
        <v>Retail Link</v>
      </c>
      <c r="J1324" s="14" t="s">
        <v>5090</v>
      </c>
      <c r="K1324" s="13" t="s">
        <v>5109</v>
      </c>
      <c r="L1324" s="15">
        <v>7.6000000000000014</v>
      </c>
      <c r="M1324" s="15">
        <v>14</v>
      </c>
      <c r="N1324" s="15">
        <v>-2.7500000000000009</v>
      </c>
      <c r="O1324" s="15">
        <f>V1324-M1324</f>
        <v>13.75</v>
      </c>
      <c r="P1324" s="16">
        <f>N1324/L1324</f>
        <v>-0.36184210526315796</v>
      </c>
      <c r="Q1324" s="14"/>
      <c r="R1324" s="14"/>
      <c r="S1324" s="17">
        <v>0.48942564</v>
      </c>
      <c r="T1324" s="15">
        <v>14</v>
      </c>
      <c r="U1324" s="15">
        <v>22.7</v>
      </c>
      <c r="V1324" s="15">
        <v>27.75</v>
      </c>
      <c r="W1324" s="14" t="s">
        <v>5110</v>
      </c>
      <c r="X1324" s="14">
        <v>12</v>
      </c>
      <c r="Y1324" s="10">
        <f>AC1324-AB1324</f>
        <v>0</v>
      </c>
      <c r="Z1324" s="18">
        <v>0</v>
      </c>
      <c r="AA1324" s="18">
        <v>0</v>
      </c>
      <c r="AB1324" s="18">
        <v>0</v>
      </c>
      <c r="AC1324" s="18"/>
      <c r="AE1324" s="1" t="s">
        <v>497</v>
      </c>
      <c r="AF1324" s="4">
        <v>2.38</v>
      </c>
      <c r="AG1324" s="4">
        <v>7.05</v>
      </c>
    </row>
    <row r="1325" spans="1:33" ht="30" x14ac:dyDescent="0.25">
      <c r="A1325" s="10" t="s">
        <v>6327</v>
      </c>
      <c r="B1325" s="11" t="s">
        <v>33</v>
      </c>
      <c r="C1325" s="12" t="s">
        <v>6328</v>
      </c>
      <c r="D1325" s="27"/>
      <c r="E1325" s="14" t="s">
        <v>35</v>
      </c>
      <c r="F1325" s="11" t="str">
        <f>HYPERLINK("https://redirect.sdcdeals.com/redirect?destination=https%3A%2F%2Fwww.amazon.com%2Fdp%2FB07VLNPH7B%3Fth%3D1%26psc%3D1%26tag%3Dsdcdeals03-20", "Amazon Link")</f>
        <v>Amazon Link</v>
      </c>
      <c r="G1325" s="11" t="s">
        <v>36</v>
      </c>
      <c r="H1325" s="14" t="s">
        <v>6329</v>
      </c>
      <c r="I1325" s="11" t="str">
        <f>HYPERLINK("https://redirect.sdcdeals.com/redirect?code=763034&amp;mavely=https://mavely.app.link/e/bhESV2wGrGb&amp;destination=https%3A%2F%2Fwww.kohls.com%2Fsearch.jsp%3Fsubmit-search%3Dweb-regular%26search%3D48744312", "Retail Link")</f>
        <v>Retail Link</v>
      </c>
      <c r="J1325" s="14" t="s">
        <v>6330</v>
      </c>
      <c r="K1325" s="13" t="s">
        <v>6331</v>
      </c>
      <c r="L1325" s="15">
        <v>16</v>
      </c>
      <c r="M1325" s="15">
        <v>20</v>
      </c>
      <c r="N1325" s="15">
        <v>-5.8099999999999987</v>
      </c>
      <c r="O1325" s="15">
        <f>V1325-M1325</f>
        <v>23.979999999999997</v>
      </c>
      <c r="P1325" s="16">
        <f>N1325/L1325</f>
        <v>-0.36312499999999992</v>
      </c>
      <c r="Q1325" s="14">
        <v>464475</v>
      </c>
      <c r="R1325" s="14"/>
      <c r="S1325" s="17">
        <v>0.76500314000000003</v>
      </c>
      <c r="T1325" s="15">
        <v>20</v>
      </c>
      <c r="U1325" s="15">
        <v>39.9</v>
      </c>
      <c r="V1325" s="15">
        <v>43.98</v>
      </c>
      <c r="W1325" s="14" t="s">
        <v>100</v>
      </c>
      <c r="X1325" s="14">
        <v>1</v>
      </c>
      <c r="Y1325" s="10">
        <f>AC1325-AB1325</f>
        <v>46</v>
      </c>
      <c r="Z1325" s="18">
        <v>6</v>
      </c>
      <c r="AA1325" s="18">
        <v>15</v>
      </c>
      <c r="AB1325" s="18">
        <v>1</v>
      </c>
      <c r="AC1325" s="18">
        <v>47</v>
      </c>
      <c r="AD1325" s="1" t="s">
        <v>6332</v>
      </c>
      <c r="AE1325" s="1" t="s">
        <v>1440</v>
      </c>
      <c r="AF1325" s="4">
        <v>3.4</v>
      </c>
      <c r="AG1325" s="4">
        <v>6.81</v>
      </c>
    </row>
    <row r="1326" spans="1:33" ht="30" x14ac:dyDescent="0.25">
      <c r="A1326" s="10" t="s">
        <v>6333</v>
      </c>
      <c r="B1326" s="11" t="s">
        <v>33</v>
      </c>
      <c r="C1326" s="12" t="s">
        <v>6334</v>
      </c>
      <c r="D1326" s="27"/>
      <c r="E1326" s="14" t="s">
        <v>35</v>
      </c>
      <c r="F1326" s="11" t="str">
        <f>HYPERLINK("https://redirect.sdcdeals.com/redirect?destination=https%3A%2F%2Fwww.amazon.com%2Fdp%2FB07VMTF529%3Fth%3D1%26psc%3D1%26tag%3Dsdcdeals03-20", "Amazon Link")</f>
        <v>Amazon Link</v>
      </c>
      <c r="G1326" s="11" t="s">
        <v>36</v>
      </c>
      <c r="H1326" s="14" t="s">
        <v>6335</v>
      </c>
      <c r="I1326" s="11" t="str">
        <f>HYPERLINK("https://redirect.sdcdeals.com/redirect?code=763034&amp;mavely=https://mavely.app.link/e/bhESV2wGrGb&amp;destination=https%3A%2F%2Fwww.kohls.com%2Fsearch.jsp%3Fsubmit-search%3Dweb-regular%26search%3D48744318", "Retail Link")</f>
        <v>Retail Link</v>
      </c>
      <c r="J1326" s="14" t="s">
        <v>6330</v>
      </c>
      <c r="K1326" s="13" t="s">
        <v>6336</v>
      </c>
      <c r="L1326" s="15">
        <v>16</v>
      </c>
      <c r="M1326" s="15">
        <v>20</v>
      </c>
      <c r="N1326" s="15">
        <v>-5.8099999999999987</v>
      </c>
      <c r="O1326" s="15">
        <f>V1326-M1326</f>
        <v>19.369999999999997</v>
      </c>
      <c r="P1326" s="16">
        <f>N1326/L1326</f>
        <v>-0.36312499999999992</v>
      </c>
      <c r="Q1326" s="14">
        <v>502556</v>
      </c>
      <c r="R1326" s="14"/>
      <c r="S1326" s="17">
        <v>0.76500314000000003</v>
      </c>
      <c r="T1326" s="15">
        <v>20</v>
      </c>
      <c r="U1326" s="15">
        <v>39.369999999999997</v>
      </c>
      <c r="V1326" s="15">
        <v>39.369999999999997</v>
      </c>
      <c r="W1326" s="14" t="s">
        <v>269</v>
      </c>
      <c r="X1326" s="14">
        <v>1</v>
      </c>
      <c r="Y1326" s="10">
        <f>AC1326-AB1326</f>
        <v>56</v>
      </c>
      <c r="Z1326" s="18">
        <v>3</v>
      </c>
      <c r="AA1326" s="18">
        <v>6</v>
      </c>
      <c r="AB1326" s="18">
        <v>0</v>
      </c>
      <c r="AC1326" s="18">
        <v>56</v>
      </c>
      <c r="AD1326" s="1" t="s">
        <v>6332</v>
      </c>
      <c r="AE1326" s="1" t="s">
        <v>1440</v>
      </c>
      <c r="AF1326" s="4">
        <v>3.4</v>
      </c>
      <c r="AG1326" s="4">
        <v>6.81</v>
      </c>
    </row>
    <row r="1327" spans="1:33" ht="30" x14ac:dyDescent="0.25">
      <c r="A1327" s="10" t="s">
        <v>6341</v>
      </c>
      <c r="B1327" s="11" t="s">
        <v>33</v>
      </c>
      <c r="C1327" s="12" t="s">
        <v>6342</v>
      </c>
      <c r="D1327" s="27"/>
      <c r="E1327" s="14" t="s">
        <v>35</v>
      </c>
      <c r="F1327" s="11" t="str">
        <f>HYPERLINK("https://redirect.sdcdeals.com/redirect?destination=https%3A%2F%2Fwww.amazon.com%2Fdp%2FB07VPWWJ6Y%3Fth%3D1%26psc%3D1%26tag%3Dsdcdeals03-20", "Amazon Link")</f>
        <v>Amazon Link</v>
      </c>
      <c r="G1327" s="11" t="s">
        <v>36</v>
      </c>
      <c r="H1327" s="14" t="s">
        <v>6343</v>
      </c>
      <c r="I1327" s="11" t="str">
        <f>HYPERLINK("https://redirect.sdcdeals.com/redirect?code=763034&amp;mavely=https://mavely.app.link/e/bhESV2wGrGb&amp;destination=https%3A%2F%2Fwww.kohls.com%2Fsearch.jsp%3Fsubmit-search%3Dweb-regular%26search%3D48744320", "Retail Link")</f>
        <v>Retail Link</v>
      </c>
      <c r="J1327" s="14" t="s">
        <v>6330</v>
      </c>
      <c r="K1327" s="13" t="s">
        <v>6344</v>
      </c>
      <c r="L1327" s="15">
        <v>16</v>
      </c>
      <c r="M1327" s="15">
        <v>20</v>
      </c>
      <c r="N1327" s="15">
        <v>-5.8099999999999987</v>
      </c>
      <c r="O1327" s="15">
        <f>V1327-M1327</f>
        <v>18.979999999999997</v>
      </c>
      <c r="P1327" s="16">
        <f>N1327/L1327</f>
        <v>-0.36312499999999992</v>
      </c>
      <c r="Q1327" s="14">
        <v>464475</v>
      </c>
      <c r="R1327" s="14"/>
      <c r="S1327" s="17">
        <v>0.76500314000000003</v>
      </c>
      <c r="T1327" s="15">
        <v>20</v>
      </c>
      <c r="U1327" s="15">
        <v>38.979999999999997</v>
      </c>
      <c r="V1327" s="15">
        <v>38.979999999999997</v>
      </c>
      <c r="W1327" s="14" t="s">
        <v>436</v>
      </c>
      <c r="X1327" s="14">
        <v>1</v>
      </c>
      <c r="Y1327" s="10">
        <f>AC1327-AB1327</f>
        <v>32</v>
      </c>
      <c r="Z1327" s="18">
        <v>6</v>
      </c>
      <c r="AA1327" s="18">
        <v>14</v>
      </c>
      <c r="AB1327" s="18">
        <v>1</v>
      </c>
      <c r="AC1327" s="18">
        <v>33</v>
      </c>
      <c r="AD1327" s="1" t="s">
        <v>6332</v>
      </c>
      <c r="AE1327" s="1" t="s">
        <v>1440</v>
      </c>
      <c r="AF1327" s="4">
        <v>3.4</v>
      </c>
      <c r="AG1327" s="4">
        <v>6.81</v>
      </c>
    </row>
    <row r="1328" spans="1:33" ht="30" x14ac:dyDescent="0.25">
      <c r="A1328" s="10" t="s">
        <v>6345</v>
      </c>
      <c r="B1328" s="11" t="s">
        <v>33</v>
      </c>
      <c r="C1328" s="12" t="s">
        <v>6346</v>
      </c>
      <c r="D1328" s="27"/>
      <c r="E1328" s="14" t="s">
        <v>35</v>
      </c>
      <c r="F1328" s="11" t="str">
        <f>HYPERLINK("https://redirect.sdcdeals.com/redirect?destination=https%3A%2F%2Fwww.amazon.com%2Fdp%2FB07VPWW851%3Fth%3D1%26psc%3D1%26tag%3Dsdcdeals03-20", "Amazon Link")</f>
        <v>Amazon Link</v>
      </c>
      <c r="G1328" s="11" t="s">
        <v>36</v>
      </c>
      <c r="H1328" s="14" t="s">
        <v>6347</v>
      </c>
      <c r="I1328" s="11" t="str">
        <f>HYPERLINK("https://redirect.sdcdeals.com/redirect?code=763034&amp;mavely=https://mavely.app.link/e/bhESV2wGrGb&amp;destination=https%3A%2F%2Fwww.kohls.com%2Fsearch.jsp%3Fsubmit-search%3Dweb-regular%26search%3D48744321", "Retail Link")</f>
        <v>Retail Link</v>
      </c>
      <c r="J1328" s="14" t="s">
        <v>6330</v>
      </c>
      <c r="K1328" s="13" t="s">
        <v>6348</v>
      </c>
      <c r="L1328" s="15">
        <v>16</v>
      </c>
      <c r="M1328" s="15">
        <v>20</v>
      </c>
      <c r="N1328" s="15">
        <v>-5.8099999999999987</v>
      </c>
      <c r="O1328" s="15">
        <f>V1328-M1328</f>
        <v>19.869999999999997</v>
      </c>
      <c r="P1328" s="16">
        <f>N1328/L1328</f>
        <v>-0.36312499999999992</v>
      </c>
      <c r="Q1328" s="14">
        <v>502556</v>
      </c>
      <c r="R1328" s="14"/>
      <c r="S1328" s="17">
        <v>0.76500314000000003</v>
      </c>
      <c r="T1328" s="15">
        <v>20</v>
      </c>
      <c r="U1328" s="15">
        <v>39.869999999999997</v>
      </c>
      <c r="V1328" s="15">
        <v>39.869999999999997</v>
      </c>
      <c r="W1328" s="14" t="s">
        <v>131</v>
      </c>
      <c r="X1328" s="14">
        <v>1</v>
      </c>
      <c r="Y1328" s="10">
        <f>AC1328-AB1328</f>
        <v>46</v>
      </c>
      <c r="Z1328" s="18">
        <v>6</v>
      </c>
      <c r="AA1328" s="18">
        <v>11</v>
      </c>
      <c r="AB1328" s="18">
        <v>1</v>
      </c>
      <c r="AC1328" s="18">
        <v>47</v>
      </c>
      <c r="AD1328" s="1" t="s">
        <v>6332</v>
      </c>
      <c r="AE1328" s="1" t="s">
        <v>1440</v>
      </c>
      <c r="AF1328" s="4">
        <v>3.4</v>
      </c>
      <c r="AG1328" s="4">
        <v>6.81</v>
      </c>
    </row>
    <row r="1329" spans="1:33" ht="30" x14ac:dyDescent="0.25">
      <c r="A1329" s="10" t="s">
        <v>6349</v>
      </c>
      <c r="B1329" s="11" t="s">
        <v>33</v>
      </c>
      <c r="C1329" s="12" t="s">
        <v>6350</v>
      </c>
      <c r="D1329" s="27"/>
      <c r="E1329" s="14" t="s">
        <v>35</v>
      </c>
      <c r="F1329" s="11" t="str">
        <f>HYPERLINK("https://redirect.sdcdeals.com/redirect?destination=https%3A%2F%2Fwww.amazon.com%2Fdp%2FB07VPWXS2D%3Fth%3D1%26psc%3D1%26tag%3Dsdcdeals03-20", "Amazon Link")</f>
        <v>Amazon Link</v>
      </c>
      <c r="G1329" s="11" t="s">
        <v>36</v>
      </c>
      <c r="H1329" s="14" t="s">
        <v>6351</v>
      </c>
      <c r="I1329" s="11" t="str">
        <f>HYPERLINK("https://redirect.sdcdeals.com/redirect?code=763034&amp;mavely=https://mavely.app.link/e/bhESV2wGrGb&amp;destination=https%3A%2F%2Fwww.kohls.com%2Fsearch.jsp%3Fsubmit-search%3Dweb-regular%26search%3D48744322", "Retail Link")</f>
        <v>Retail Link</v>
      </c>
      <c r="J1329" s="14" t="s">
        <v>6330</v>
      </c>
      <c r="K1329" s="13" t="s">
        <v>6352</v>
      </c>
      <c r="L1329" s="15">
        <v>16</v>
      </c>
      <c r="M1329" s="15">
        <v>20</v>
      </c>
      <c r="N1329" s="15">
        <v>-5.8099999999999987</v>
      </c>
      <c r="O1329" s="15">
        <f>V1329-M1329</f>
        <v>16.89</v>
      </c>
      <c r="P1329" s="16">
        <f>N1329/L1329</f>
        <v>-0.36312499999999992</v>
      </c>
      <c r="Q1329" s="14">
        <v>502556</v>
      </c>
      <c r="R1329" s="14"/>
      <c r="S1329" s="17">
        <v>0.76500314000000003</v>
      </c>
      <c r="T1329" s="15">
        <v>20</v>
      </c>
      <c r="U1329" s="15">
        <v>36.89</v>
      </c>
      <c r="V1329" s="15">
        <v>36.89</v>
      </c>
      <c r="W1329" s="14" t="s">
        <v>100</v>
      </c>
      <c r="X1329" s="14">
        <v>1</v>
      </c>
      <c r="Y1329" s="10">
        <f>AC1329-AB1329</f>
        <v>45</v>
      </c>
      <c r="Z1329" s="18">
        <v>6</v>
      </c>
      <c r="AA1329" s="18">
        <v>11</v>
      </c>
      <c r="AB1329" s="18">
        <v>2</v>
      </c>
      <c r="AC1329" s="18">
        <v>47</v>
      </c>
      <c r="AD1329" s="1" t="s">
        <v>6332</v>
      </c>
      <c r="AE1329" s="1" t="s">
        <v>1440</v>
      </c>
      <c r="AF1329" s="4">
        <v>2</v>
      </c>
      <c r="AG1329" s="4">
        <v>6.81</v>
      </c>
    </row>
    <row r="1330" spans="1:33" ht="30" x14ac:dyDescent="0.25">
      <c r="A1330" s="10" t="s">
        <v>1217</v>
      </c>
      <c r="B1330" s="11" t="s">
        <v>33</v>
      </c>
      <c r="C1330" s="12" t="s">
        <v>1218</v>
      </c>
      <c r="D1330" s="27"/>
      <c r="E1330" s="14" t="s">
        <v>35</v>
      </c>
      <c r="F1330" s="11" t="str">
        <f>HYPERLINK("https://redirect.sdcdeals.com/redirect?destination=https%3A%2F%2Fwww.amazon.com%2Fdp%2FB0BNR5F7GZ%3Fth%3D1%26psc%3D1%26tag%3Dsdcdeals03-20", "Amazon Link")</f>
        <v>Amazon Link</v>
      </c>
      <c r="G1330" s="11" t="s">
        <v>36</v>
      </c>
      <c r="H1330" s="14" t="s">
        <v>1219</v>
      </c>
      <c r="I1330" s="11" t="str">
        <f>HYPERLINK("https://redirect.sdcdeals.com/redirect?code=763034&amp;mavely=https://mavely.app.link/e/bhESV2wGrGb&amp;destination=https%3A%2F%2Fwww.kohls.com%2Fsearch.jsp%3Fsubmit-search%3Dweb-regular%26search%3D20535237", "Retail Link")</f>
        <v>Retail Link</v>
      </c>
      <c r="J1330" s="14" t="s">
        <v>1220</v>
      </c>
      <c r="K1330" s="13" t="s">
        <v>1221</v>
      </c>
      <c r="L1330" s="15">
        <v>15.4</v>
      </c>
      <c r="M1330" s="15">
        <v>19.25</v>
      </c>
      <c r="N1330" s="15">
        <v>-5.6374999999999993</v>
      </c>
      <c r="O1330" s="15">
        <f>V1330-M1330</f>
        <v>11.2</v>
      </c>
      <c r="P1330" s="16">
        <f>N1330/L1330</f>
        <v>-0.36607142857142849</v>
      </c>
      <c r="Q1330" s="14">
        <v>95631</v>
      </c>
      <c r="R1330" s="14"/>
      <c r="S1330" s="17">
        <v>0.29100984000000002</v>
      </c>
      <c r="T1330" s="15">
        <v>19.25</v>
      </c>
      <c r="U1330" s="15">
        <v>30.75</v>
      </c>
      <c r="V1330" s="15">
        <v>30.45</v>
      </c>
      <c r="W1330" s="14" t="s">
        <v>164</v>
      </c>
      <c r="X1330" s="14">
        <v>1</v>
      </c>
      <c r="Y1330" s="10">
        <f>AC1330-AB1330</f>
        <v>163</v>
      </c>
      <c r="Z1330" s="18">
        <v>17</v>
      </c>
      <c r="AA1330" s="18">
        <v>52</v>
      </c>
      <c r="AB1330" s="18">
        <v>0</v>
      </c>
      <c r="AC1330" s="18">
        <v>163</v>
      </c>
      <c r="AD1330" s="1" t="s">
        <v>1222</v>
      </c>
      <c r="AE1330" s="1" t="s">
        <v>387</v>
      </c>
      <c r="AF1330" s="4">
        <v>1.93</v>
      </c>
      <c r="AG1330" s="4">
        <v>6.6</v>
      </c>
    </row>
    <row r="1331" spans="1:33" ht="30" x14ac:dyDescent="0.25">
      <c r="A1331" s="10" t="s">
        <v>3144</v>
      </c>
      <c r="B1331" s="11" t="s">
        <v>33</v>
      </c>
      <c r="C1331" s="12" t="s">
        <v>3145</v>
      </c>
      <c r="D1331" s="27"/>
      <c r="E1331" s="14" t="s">
        <v>35</v>
      </c>
      <c r="F1331" s="11" t="str">
        <f>HYPERLINK("https://redirect.sdcdeals.com/redirect?destination=https%3A%2F%2Fwww.amazon.com%2Fdp%2FB0B64G9FNC%3Fth%3D1%26psc%3D1%26tag%3Dsdcdeals03-20", "Amazon Link")</f>
        <v>Amazon Link</v>
      </c>
      <c r="G1331" s="11" t="s">
        <v>36</v>
      </c>
      <c r="H1331" s="14" t="s">
        <v>3146</v>
      </c>
      <c r="I1331" s="11" t="str">
        <f>HYPERLINK("https://redirect.sdcdeals.com/redirect?code=763034&amp;mavely=https://mavely.app.link/e/bhESV2wGrGb&amp;destination=https%3A%2F%2Fwww.kohls.com%2Fsearch.jsp%3Fsubmit-search%3Dweb-regular%26search%3D78064364", "Retail Link")</f>
        <v>Retail Link</v>
      </c>
      <c r="J1331" s="14" t="s">
        <v>3090</v>
      </c>
      <c r="K1331" s="13" t="s">
        <v>3147</v>
      </c>
      <c r="L1331" s="15">
        <v>40</v>
      </c>
      <c r="M1331" s="15">
        <v>50</v>
      </c>
      <c r="N1331" s="15">
        <v>-14.71</v>
      </c>
      <c r="O1331" s="15">
        <f>V1331-M1331</f>
        <v>41.25</v>
      </c>
      <c r="P1331" s="16">
        <f>N1331/L1331</f>
        <v>-0.36775000000000002</v>
      </c>
      <c r="Q1331" s="14">
        <v>397142</v>
      </c>
      <c r="R1331" s="14"/>
      <c r="S1331" s="17">
        <v>3.24960988</v>
      </c>
      <c r="T1331" s="15">
        <v>50</v>
      </c>
      <c r="U1331" s="15">
        <v>90.23</v>
      </c>
      <c r="V1331" s="15">
        <v>91.25</v>
      </c>
      <c r="W1331" s="14" t="s">
        <v>296</v>
      </c>
      <c r="X1331" s="14">
        <v>1</v>
      </c>
      <c r="Y1331" s="10">
        <f>AC1331-AB1331</f>
        <v>1931</v>
      </c>
      <c r="Z1331" s="18">
        <v>19</v>
      </c>
      <c r="AA1331" s="18">
        <v>68</v>
      </c>
      <c r="AB1331" s="18">
        <v>1</v>
      </c>
      <c r="AC1331" s="18">
        <v>1932</v>
      </c>
      <c r="AD1331" s="1" t="s">
        <v>3148</v>
      </c>
      <c r="AE1331" s="1" t="s">
        <v>3093</v>
      </c>
      <c r="AF1331" s="4">
        <v>8.5</v>
      </c>
      <c r="AG1331" s="4">
        <v>17.21</v>
      </c>
    </row>
    <row r="1332" spans="1:33" x14ac:dyDescent="0.25">
      <c r="A1332" s="10" t="s">
        <v>5652</v>
      </c>
      <c r="B1332" s="11" t="s">
        <v>33</v>
      </c>
      <c r="C1332" s="12" t="s">
        <v>5653</v>
      </c>
      <c r="D1332" s="27"/>
      <c r="E1332" s="14" t="s">
        <v>35</v>
      </c>
      <c r="F1332" s="11" t="str">
        <f>HYPERLINK("https://redirect.sdcdeals.com/redirect?destination=https%3A%2F%2Fwww.amazon.com%2Fdp%2FB0BRR44ZB9%3Fth%3D1%26psc%3D1%26tag%3Dsdcdeals03-20", "Amazon Link")</f>
        <v>Amazon Link</v>
      </c>
      <c r="G1332" s="11" t="s">
        <v>36</v>
      </c>
      <c r="H1332" s="14" t="s">
        <v>5654</v>
      </c>
      <c r="I1332" s="11" t="str">
        <f>HYPERLINK("https://redirect.sdcdeals.com/redirect?code=763034&amp;mavely=https://mavely.app.link/e/bhESV2wGrGb&amp;destination=https%3A%2F%2Fwww.kohls.com%2Fsearch.jsp%3Fsubmit-search%3Dweb-regular%26search%3D79102225", "Retail Link")</f>
        <v>Retail Link</v>
      </c>
      <c r="J1332" s="14" t="s">
        <v>5600</v>
      </c>
      <c r="K1332" s="13" t="s">
        <v>5655</v>
      </c>
      <c r="L1332" s="15">
        <v>79.992000000000004</v>
      </c>
      <c r="M1332" s="15">
        <v>74.790000000000006</v>
      </c>
      <c r="N1332" s="15">
        <v>-29.450500000000009</v>
      </c>
      <c r="O1332" s="15">
        <f>V1332-M1332</f>
        <v>9.7599999999999909</v>
      </c>
      <c r="P1332" s="16">
        <f>N1332/L1332</f>
        <v>-0.36816806680668074</v>
      </c>
      <c r="Q1332" s="14">
        <v>882830</v>
      </c>
      <c r="R1332" s="14"/>
      <c r="S1332" s="17">
        <v>2.9497815599999999</v>
      </c>
      <c r="T1332" s="15">
        <v>64.989999999999995</v>
      </c>
      <c r="U1332" s="15">
        <v>85.6</v>
      </c>
      <c r="V1332" s="15">
        <v>84.55</v>
      </c>
      <c r="W1332" s="14" t="s">
        <v>5656</v>
      </c>
      <c r="X1332" s="14">
        <v>5</v>
      </c>
      <c r="Y1332" s="10">
        <f>AC1332-AB1332</f>
        <v>70</v>
      </c>
      <c r="Z1332" s="18">
        <v>10</v>
      </c>
      <c r="AA1332" s="18">
        <v>33</v>
      </c>
      <c r="AB1332" s="18">
        <v>2</v>
      </c>
      <c r="AC1332" s="18">
        <v>72</v>
      </c>
      <c r="AD1332" s="1" t="s">
        <v>5602</v>
      </c>
      <c r="AE1332" s="1" t="s">
        <v>76</v>
      </c>
      <c r="AF1332" s="4">
        <v>11.22</v>
      </c>
      <c r="AG1332" s="4">
        <v>13.03</v>
      </c>
    </row>
    <row r="1333" spans="1:33" ht="30" x14ac:dyDescent="0.25">
      <c r="A1333" s="10" t="s">
        <v>1742</v>
      </c>
      <c r="B1333" s="11" t="s">
        <v>33</v>
      </c>
      <c r="C1333" s="12" t="s">
        <v>1743</v>
      </c>
      <c r="D1333" s="27"/>
      <c r="E1333" s="14" t="s">
        <v>35</v>
      </c>
      <c r="F1333" s="11" t="str">
        <f>HYPERLINK("https://redirect.sdcdeals.com/redirect?destination=https%3A%2F%2Fwww.amazon.com%2Fdp%2FB0BHL67XGC%3Fth%3D1%26psc%3D1%26tag%3Dsdcdeals03-20", "Amazon Link")</f>
        <v>Amazon Link</v>
      </c>
      <c r="G1333" s="11" t="s">
        <v>36</v>
      </c>
      <c r="H1333" s="14" t="s">
        <v>1744</v>
      </c>
      <c r="I1333" s="11" t="str">
        <f>HYPERLINK("https://redirect.sdcdeals.com/redirect?code=763034&amp;mavely=https://mavely.app.link/e/bhESV2wGrGb&amp;destination=https%3A%2F%2Fwww.kohls.com%2Fsearch.jsp%3Fsubmit-search%3Dweb-regular%26search%3D62942361", "Retail Link")</f>
        <v>Retail Link</v>
      </c>
      <c r="J1333" s="14" t="s">
        <v>1732</v>
      </c>
      <c r="K1333" s="13" t="s">
        <v>1745</v>
      </c>
      <c r="L1333" s="15">
        <v>14</v>
      </c>
      <c r="M1333" s="15">
        <v>17.5</v>
      </c>
      <c r="N1333" s="15">
        <v>-5.1750000000000007</v>
      </c>
      <c r="O1333" s="15">
        <f>V1333-M1333</f>
        <v>12.71</v>
      </c>
      <c r="P1333" s="16">
        <f>N1333/L1333</f>
        <v>-0.36964285714285722</v>
      </c>
      <c r="Q1333" s="14">
        <v>37317</v>
      </c>
      <c r="R1333" s="14"/>
      <c r="S1333" s="17">
        <v>1.0008974799999999</v>
      </c>
      <c r="T1333" s="15">
        <v>17.5</v>
      </c>
      <c r="U1333" s="15">
        <v>30.19</v>
      </c>
      <c r="V1333" s="15">
        <v>30.21</v>
      </c>
      <c r="W1333" s="14" t="s">
        <v>1746</v>
      </c>
      <c r="X1333" s="14">
        <v>4</v>
      </c>
      <c r="Y1333" s="10">
        <f>AC1333-AB1333</f>
        <v>62</v>
      </c>
      <c r="Z1333" s="18">
        <v>47</v>
      </c>
      <c r="AA1333" s="18">
        <v>134</v>
      </c>
      <c r="AB1333" s="18">
        <v>10</v>
      </c>
      <c r="AC1333" s="18">
        <v>72</v>
      </c>
      <c r="AD1333" s="1" t="s">
        <v>1735</v>
      </c>
      <c r="AE1333" s="1" t="s">
        <v>1747</v>
      </c>
      <c r="AF1333" s="4">
        <v>2.98</v>
      </c>
      <c r="AG1333" s="4">
        <v>6.05</v>
      </c>
    </row>
    <row r="1334" spans="1:33" ht="30" hidden="1" x14ac:dyDescent="0.25">
      <c r="A1334" s="10" t="s">
        <v>6248</v>
      </c>
      <c r="B1334" s="11" t="s">
        <v>33</v>
      </c>
      <c r="C1334" s="12" t="s">
        <v>6249</v>
      </c>
      <c r="D1334" s="27"/>
      <c r="E1334" s="14" t="s">
        <v>35</v>
      </c>
      <c r="F1334" s="11" t="str">
        <f>HYPERLINK("https://redirect.sdcdeals.com/redirect?destination=https%3A%2F%2Fwww.amazon.com%2Fdp%2FB0CL5JXN5N%3Fth%3D1%26psc%3D1%26tag%3Dsdcdeals03-20", "Amazon Link")</f>
        <v>Amazon Link</v>
      </c>
      <c r="G1334" s="11" t="s">
        <v>36</v>
      </c>
      <c r="H1334" s="14" t="s">
        <v>6250</v>
      </c>
      <c r="I1334" s="11" t="str">
        <f>HYPERLINK("https://redirect.sdcdeals.com/redirect?code=763034&amp;mavely=https://mavely.app.link/e/bhESV2wGrGb&amp;destination=https%3A%2F%2Fwww.kohls.com%2Fsearch.jsp%3Fsubmit-search%3Dweb-regular%26search%3D78299453", "Retail Link")</f>
        <v>Retail Link</v>
      </c>
      <c r="J1334" s="14" t="s">
        <v>6242</v>
      </c>
      <c r="K1334" s="13" t="s">
        <v>6251</v>
      </c>
      <c r="L1334" s="15">
        <v>7.6000000000000014</v>
      </c>
      <c r="M1334" s="15">
        <v>13.64</v>
      </c>
      <c r="N1334" s="15">
        <v>-2.8160000000000021</v>
      </c>
      <c r="O1334" s="15">
        <f>V1334-M1334</f>
        <v>13.75</v>
      </c>
      <c r="P1334" s="16">
        <f>N1334/L1334</f>
        <v>-0.37052631578947387</v>
      </c>
      <c r="Q1334" s="14"/>
      <c r="R1334" s="14"/>
      <c r="S1334" s="17">
        <v>2.7800258200000001</v>
      </c>
      <c r="T1334" s="15">
        <v>13.64</v>
      </c>
      <c r="U1334" s="15">
        <v>22.94</v>
      </c>
      <c r="V1334" s="15">
        <v>27.39</v>
      </c>
      <c r="W1334" s="14" t="s">
        <v>2845</v>
      </c>
      <c r="X1334" s="14">
        <v>14</v>
      </c>
      <c r="Y1334" s="10">
        <f>AC1334-AB1334</f>
        <v>0</v>
      </c>
      <c r="Z1334" s="18">
        <v>0</v>
      </c>
      <c r="AA1334" s="18">
        <v>70</v>
      </c>
      <c r="AB1334" s="18">
        <v>0</v>
      </c>
      <c r="AC1334" s="18"/>
      <c r="AE1334" s="1" t="s">
        <v>6252</v>
      </c>
      <c r="AF1334" s="4">
        <v>2.3199999999999998</v>
      </c>
      <c r="AG1334" s="4">
        <v>6.81</v>
      </c>
    </row>
    <row r="1335" spans="1:33" ht="30" x14ac:dyDescent="0.25">
      <c r="A1335" s="10" t="s">
        <v>636</v>
      </c>
      <c r="B1335" s="11" t="s">
        <v>33</v>
      </c>
      <c r="C1335" s="12" t="s">
        <v>637</v>
      </c>
      <c r="D1335" s="27"/>
      <c r="E1335" s="14" t="s">
        <v>35</v>
      </c>
      <c r="F1335" s="11" t="str">
        <f>HYPERLINK("https://redirect.sdcdeals.com/redirect?destination=https%3A%2F%2Fwww.amazon.com%2Fdp%2FB0C7LJF7KC%3Fth%3D1%26psc%3D1%26tag%3Dsdcdeals03-20", "Amazon Link")</f>
        <v>Amazon Link</v>
      </c>
      <c r="G1335" s="11" t="s">
        <v>36</v>
      </c>
      <c r="H1335" s="14" t="s">
        <v>638</v>
      </c>
      <c r="I1335" s="11" t="str">
        <f>HYPERLINK("https://redirect.sdcdeals.com/redirect?code=763034&amp;mavely=https://mavely.app.link/e/bhESV2wGrGb&amp;destination=https%3A%2F%2Fwww.kohls.com%2Fsearch.jsp%3Fsubmit-search%3Dweb-regular%26search%3D61543757", "Retail Link")</f>
        <v>Retail Link</v>
      </c>
      <c r="J1335" s="14" t="s">
        <v>624</v>
      </c>
      <c r="K1335" s="13" t="s">
        <v>625</v>
      </c>
      <c r="L1335" s="15">
        <v>36</v>
      </c>
      <c r="M1335" s="15">
        <v>45</v>
      </c>
      <c r="N1335" s="15">
        <v>-13.44</v>
      </c>
      <c r="O1335" s="15">
        <f>V1335-M1335</f>
        <v>31.47</v>
      </c>
      <c r="P1335" s="16">
        <f>N1335/L1335</f>
        <v>-0.37333333333333329</v>
      </c>
      <c r="Q1335" s="14">
        <v>842540</v>
      </c>
      <c r="R1335" s="14"/>
      <c r="S1335" s="17">
        <v>2.5397222400000001</v>
      </c>
      <c r="T1335" s="15">
        <v>45</v>
      </c>
      <c r="U1335" s="15">
        <v>68.69</v>
      </c>
      <c r="V1335" s="15">
        <v>76.47</v>
      </c>
      <c r="W1335" s="14" t="s">
        <v>639</v>
      </c>
      <c r="X1335" s="14">
        <v>1</v>
      </c>
      <c r="Y1335" s="10">
        <f>AC1335-AB1335</f>
        <v>25</v>
      </c>
      <c r="Z1335" s="18">
        <v>10</v>
      </c>
      <c r="AA1335" s="18">
        <v>48</v>
      </c>
      <c r="AB1335" s="18">
        <v>0</v>
      </c>
      <c r="AC1335" s="18">
        <v>25</v>
      </c>
      <c r="AD1335" s="1" t="s">
        <v>640</v>
      </c>
      <c r="AE1335" s="1" t="s">
        <v>628</v>
      </c>
      <c r="AF1335" s="4">
        <v>7.65</v>
      </c>
      <c r="AG1335" s="4">
        <v>15.69</v>
      </c>
    </row>
    <row r="1336" spans="1:33" ht="30" x14ac:dyDescent="0.25">
      <c r="A1336" s="10" t="s">
        <v>5934</v>
      </c>
      <c r="B1336" s="11" t="s">
        <v>33</v>
      </c>
      <c r="C1336" s="12" t="s">
        <v>5935</v>
      </c>
      <c r="D1336" s="27"/>
      <c r="E1336" s="14" t="s">
        <v>35</v>
      </c>
      <c r="F1336" s="11" t="str">
        <f>HYPERLINK("https://redirect.sdcdeals.com/redirect?destination=https%3A%2F%2Fwww.amazon.com%2Fdp%2FB0C8HZQZTK%3Fth%3D1%26psc%3D1%26tag%3Dsdcdeals03-20", "Amazon Link")</f>
        <v>Amazon Link</v>
      </c>
      <c r="G1336" s="11" t="s">
        <v>36</v>
      </c>
      <c r="H1336" s="14" t="s">
        <v>5936</v>
      </c>
      <c r="I1336" s="11" t="str">
        <f>HYPERLINK("https://redirect.sdcdeals.com/redirect?code=763034&amp;mavely=https://mavely.app.link/e/bhESV2wGrGb&amp;destination=https%3A%2F%2Fwww.kohls.com%2Fsearch.jsp%3Fsubmit-search%3Dweb-regular%26search%3D66335481", "Retail Link")</f>
        <v>Retail Link</v>
      </c>
      <c r="J1336" s="14" t="s">
        <v>5937</v>
      </c>
      <c r="K1336" s="13" t="s">
        <v>5938</v>
      </c>
      <c r="L1336" s="15">
        <v>16.792000000000002</v>
      </c>
      <c r="M1336" s="15">
        <v>20.99</v>
      </c>
      <c r="N1336" s="15">
        <v>-6.270500000000002</v>
      </c>
      <c r="O1336" s="15">
        <f>V1336-M1336</f>
        <v>22.540000000000003</v>
      </c>
      <c r="P1336" s="16">
        <f>N1336/L1336</f>
        <v>-0.37342186755597911</v>
      </c>
      <c r="Q1336" s="14">
        <v>2100036</v>
      </c>
      <c r="R1336" s="14"/>
      <c r="S1336" s="17">
        <v>1.6997620200000001</v>
      </c>
      <c r="T1336" s="15">
        <v>20.99</v>
      </c>
      <c r="U1336" s="15">
        <v>32.67</v>
      </c>
      <c r="V1336" s="15">
        <v>43.53</v>
      </c>
      <c r="W1336" s="14" t="s">
        <v>385</v>
      </c>
      <c r="X1336" s="14">
        <v>3</v>
      </c>
      <c r="Y1336" s="10">
        <f>AC1336-AB1336</f>
        <v>2</v>
      </c>
      <c r="Z1336" s="18">
        <v>2</v>
      </c>
      <c r="AA1336" s="18">
        <v>23</v>
      </c>
      <c r="AB1336" s="18">
        <v>0</v>
      </c>
      <c r="AC1336" s="18">
        <v>2</v>
      </c>
      <c r="AD1336" s="1" t="s">
        <v>5939</v>
      </c>
      <c r="AE1336" s="1" t="s">
        <v>76</v>
      </c>
      <c r="AF1336" s="4">
        <v>3.15</v>
      </c>
      <c r="AG1336" s="4">
        <v>7.32</v>
      </c>
    </row>
    <row r="1337" spans="1:33" ht="30" x14ac:dyDescent="0.25">
      <c r="A1337" s="10" t="s">
        <v>5940</v>
      </c>
      <c r="B1337" s="11" t="s">
        <v>33</v>
      </c>
      <c r="C1337" s="12" t="s">
        <v>5941</v>
      </c>
      <c r="D1337" s="27"/>
      <c r="E1337" s="14" t="s">
        <v>35</v>
      </c>
      <c r="F1337" s="11" t="str">
        <f>HYPERLINK("https://redirect.sdcdeals.com/redirect?destination=https%3A%2F%2Fwww.amazon.com%2Fdp%2FB0C9ZXZZSG%3Fth%3D1%26psc%3D1%26tag%3Dsdcdeals03-20", "Amazon Link")</f>
        <v>Amazon Link</v>
      </c>
      <c r="G1337" s="11" t="s">
        <v>36</v>
      </c>
      <c r="H1337" s="14" t="s">
        <v>5942</v>
      </c>
      <c r="I1337" s="11" t="str">
        <f>HYPERLINK("https://redirect.sdcdeals.com/redirect?code=763034&amp;mavely=https://mavely.app.link/e/bhESV2wGrGb&amp;destination=https%3A%2F%2Fwww.kohls.com%2Fsearch.jsp%3Fsubmit-search%3Dweb-regular%26search%3D66335482", "Retail Link")</f>
        <v>Retail Link</v>
      </c>
      <c r="J1337" s="14" t="s">
        <v>5937</v>
      </c>
      <c r="K1337" s="13" t="s">
        <v>5943</v>
      </c>
      <c r="L1337" s="15">
        <v>16.792000000000002</v>
      </c>
      <c r="M1337" s="15">
        <v>20.99</v>
      </c>
      <c r="N1337" s="15">
        <v>-6.270500000000002</v>
      </c>
      <c r="O1337" s="15">
        <f>V1337-M1337</f>
        <v>22.81</v>
      </c>
      <c r="P1337" s="16">
        <f>N1337/L1337</f>
        <v>-0.37342186755597911</v>
      </c>
      <c r="Q1337" s="14">
        <v>2100036</v>
      </c>
      <c r="R1337" s="14"/>
      <c r="S1337" s="17">
        <v>1.8099930200000001</v>
      </c>
      <c r="T1337" s="15">
        <v>20.99</v>
      </c>
      <c r="U1337" s="15">
        <v>38.19</v>
      </c>
      <c r="V1337" s="15">
        <v>43.8</v>
      </c>
      <c r="W1337" s="14" t="s">
        <v>250</v>
      </c>
      <c r="X1337" s="14">
        <v>3</v>
      </c>
      <c r="Y1337" s="10">
        <f>AC1337-AB1337</f>
        <v>2</v>
      </c>
      <c r="Z1337" s="18">
        <v>2</v>
      </c>
      <c r="AA1337" s="18">
        <v>18</v>
      </c>
      <c r="AB1337" s="18">
        <v>0</v>
      </c>
      <c r="AC1337" s="18">
        <v>2</v>
      </c>
      <c r="AD1337" s="1" t="s">
        <v>5939</v>
      </c>
      <c r="AE1337" s="1" t="s">
        <v>76</v>
      </c>
      <c r="AF1337" s="4">
        <v>3.15</v>
      </c>
      <c r="AG1337" s="4">
        <v>7.32</v>
      </c>
    </row>
    <row r="1338" spans="1:33" ht="30" x14ac:dyDescent="0.25">
      <c r="A1338" s="10" t="s">
        <v>5944</v>
      </c>
      <c r="B1338" s="11" t="s">
        <v>33</v>
      </c>
      <c r="C1338" s="12" t="s">
        <v>5945</v>
      </c>
      <c r="D1338" s="27"/>
      <c r="E1338" s="14" t="s">
        <v>35</v>
      </c>
      <c r="F1338" s="11" t="str">
        <f>HYPERLINK("https://redirect.sdcdeals.com/redirect?destination=https%3A%2F%2Fwww.amazon.com%2Fdp%2FB0C9ZYD2T4%3Fth%3D1%26psc%3D1%26tag%3Dsdcdeals03-20", "Amazon Link")</f>
        <v>Amazon Link</v>
      </c>
      <c r="G1338" s="11" t="s">
        <v>36</v>
      </c>
      <c r="H1338" s="14" t="s">
        <v>5946</v>
      </c>
      <c r="I1338" s="11" t="str">
        <f>HYPERLINK("https://redirect.sdcdeals.com/redirect?code=763034&amp;mavely=https://mavely.app.link/e/bhESV2wGrGb&amp;destination=https%3A%2F%2Fwww.kohls.com%2Fsearch.jsp%3Fsubmit-search%3Dweb-regular%26search%3D66335490", "Retail Link")</f>
        <v>Retail Link</v>
      </c>
      <c r="J1338" s="14" t="s">
        <v>5937</v>
      </c>
      <c r="K1338" s="13" t="s">
        <v>5947</v>
      </c>
      <c r="L1338" s="15">
        <v>16.792000000000002</v>
      </c>
      <c r="M1338" s="15">
        <v>20.99</v>
      </c>
      <c r="N1338" s="15">
        <v>-6.270500000000002</v>
      </c>
      <c r="O1338" s="15">
        <f>V1338-M1338</f>
        <v>22.000000000000004</v>
      </c>
      <c r="P1338" s="16">
        <f>N1338/L1338</f>
        <v>-0.37342186755597911</v>
      </c>
      <c r="Q1338" s="14">
        <v>2085268</v>
      </c>
      <c r="R1338" s="14"/>
      <c r="S1338" s="17">
        <v>2.0899797599999999</v>
      </c>
      <c r="T1338" s="15">
        <v>20.99</v>
      </c>
      <c r="U1338" s="15">
        <v>37.85</v>
      </c>
      <c r="V1338" s="15">
        <v>42.99</v>
      </c>
      <c r="W1338" s="14" t="s">
        <v>4270</v>
      </c>
      <c r="X1338" s="14">
        <v>5</v>
      </c>
      <c r="Y1338" s="10">
        <f>AC1338-AB1338</f>
        <v>2</v>
      </c>
      <c r="Z1338" s="18">
        <v>2</v>
      </c>
      <c r="AA1338" s="18">
        <v>19</v>
      </c>
      <c r="AB1338" s="18">
        <v>0</v>
      </c>
      <c r="AC1338" s="18">
        <v>2</v>
      </c>
      <c r="AD1338" s="1" t="s">
        <v>5939</v>
      </c>
      <c r="AE1338" s="1" t="s">
        <v>76</v>
      </c>
      <c r="AF1338" s="4">
        <v>3.15</v>
      </c>
      <c r="AG1338" s="4">
        <v>7.32</v>
      </c>
    </row>
    <row r="1339" spans="1:33" ht="30" x14ac:dyDescent="0.25">
      <c r="A1339" s="10" t="s">
        <v>5948</v>
      </c>
      <c r="B1339" s="11" t="s">
        <v>33</v>
      </c>
      <c r="C1339" s="12" t="s">
        <v>5949</v>
      </c>
      <c r="D1339" s="27"/>
      <c r="E1339" s="14" t="s">
        <v>35</v>
      </c>
      <c r="F1339" s="11" t="str">
        <f>HYPERLINK("https://redirect.sdcdeals.com/redirect?destination=https%3A%2F%2Fwww.amazon.com%2Fdp%2FB0C9ZY5S7V%3Fth%3D1%26psc%3D1%26tag%3Dsdcdeals03-20", "Amazon Link")</f>
        <v>Amazon Link</v>
      </c>
      <c r="G1339" s="11" t="s">
        <v>36</v>
      </c>
      <c r="H1339" s="14" t="s">
        <v>5950</v>
      </c>
      <c r="I1339" s="11" t="str">
        <f>HYPERLINK("https://redirect.sdcdeals.com/redirect?code=763034&amp;mavely=https://mavely.app.link/e/bhESV2wGrGb&amp;destination=https%3A%2F%2Fwww.kohls.com%2Fsearch.jsp%3Fsubmit-search%3Dweb-regular%26search%3D66335491", "Retail Link")</f>
        <v>Retail Link</v>
      </c>
      <c r="J1339" s="14" t="s">
        <v>5937</v>
      </c>
      <c r="K1339" s="13" t="s">
        <v>5951</v>
      </c>
      <c r="L1339" s="15">
        <v>16.792000000000002</v>
      </c>
      <c r="M1339" s="15">
        <v>20.99</v>
      </c>
      <c r="N1339" s="15">
        <v>-6.270500000000002</v>
      </c>
      <c r="O1339" s="15">
        <f>V1339-M1339</f>
        <v>22.080000000000002</v>
      </c>
      <c r="P1339" s="16">
        <f>N1339/L1339</f>
        <v>-0.37342186755597911</v>
      </c>
      <c r="Q1339" s="14">
        <v>2099598</v>
      </c>
      <c r="R1339" s="14"/>
      <c r="S1339" s="17">
        <v>2.2310754400000001</v>
      </c>
      <c r="T1339" s="15">
        <v>20.99</v>
      </c>
      <c r="U1339" s="15">
        <v>37.880000000000003</v>
      </c>
      <c r="V1339" s="15">
        <v>43.07</v>
      </c>
      <c r="W1339" s="14" t="s">
        <v>234</v>
      </c>
      <c r="X1339" s="14">
        <v>5</v>
      </c>
      <c r="Y1339" s="10">
        <f>AC1339-AB1339</f>
        <v>2</v>
      </c>
      <c r="Z1339" s="18">
        <v>2</v>
      </c>
      <c r="AA1339" s="18">
        <v>23</v>
      </c>
      <c r="AB1339" s="18">
        <v>0</v>
      </c>
      <c r="AC1339" s="18">
        <v>2</v>
      </c>
      <c r="AD1339" s="1" t="s">
        <v>5939</v>
      </c>
      <c r="AE1339" s="1" t="s">
        <v>76</v>
      </c>
      <c r="AF1339" s="4">
        <v>3.15</v>
      </c>
      <c r="AG1339" s="4">
        <v>7.32</v>
      </c>
    </row>
    <row r="1340" spans="1:33" ht="45" x14ac:dyDescent="0.25">
      <c r="A1340" s="10" t="s">
        <v>279</v>
      </c>
      <c r="B1340" s="11" t="s">
        <v>33</v>
      </c>
      <c r="C1340" s="12" t="s">
        <v>280</v>
      </c>
      <c r="D1340" s="27"/>
      <c r="E1340" s="14" t="s">
        <v>35</v>
      </c>
      <c r="F1340" s="11" t="str">
        <f>HYPERLINK("https://redirect.sdcdeals.com/redirect?destination=https%3A%2F%2Fwww.amazon.com%2Fdp%2FB093G5QD7L%3Fth%3D1%26psc%3D1%26tag%3Dsdcdeals03-20", "Amazon Link")</f>
        <v>Amazon Link</v>
      </c>
      <c r="G1340" s="11" t="s">
        <v>36</v>
      </c>
      <c r="H1340" s="14" t="s">
        <v>281</v>
      </c>
      <c r="I1340" s="11" t="str">
        <f>HYPERLINK("https://redirect.sdcdeals.com/redirect?code=763034&amp;mavely=https://mavely.app.link/e/bhESV2wGrGb&amp;destination=https%3A%2F%2Fwww.kohls.com%2Fsearch.jsp%3Fsubmit-search%3Dweb-regular%26search%3D50798216", "Retail Link")</f>
        <v>Retail Link</v>
      </c>
      <c r="J1340" s="14" t="s">
        <v>263</v>
      </c>
      <c r="K1340" s="13" t="s">
        <v>264</v>
      </c>
      <c r="L1340" s="15">
        <v>8.4</v>
      </c>
      <c r="M1340" s="15">
        <v>10.77</v>
      </c>
      <c r="N1340" s="15">
        <v>-3.145500000000002</v>
      </c>
      <c r="O1340" s="15">
        <f>V1340-M1340</f>
        <v>5.120000000000001</v>
      </c>
      <c r="P1340" s="16">
        <f>N1340/L1340</f>
        <v>-0.37446428571428592</v>
      </c>
      <c r="Q1340" s="14">
        <v>101269</v>
      </c>
      <c r="R1340" s="14"/>
      <c r="S1340" s="17">
        <v>0.17636959999999999</v>
      </c>
      <c r="T1340" s="15">
        <v>10.77</v>
      </c>
      <c r="U1340" s="15">
        <v>12.65</v>
      </c>
      <c r="V1340" s="15">
        <v>15.89</v>
      </c>
      <c r="W1340" s="14" t="s">
        <v>282</v>
      </c>
      <c r="X1340" s="14">
        <v>2</v>
      </c>
      <c r="Y1340" s="10">
        <f>AC1340-AB1340</f>
        <v>449</v>
      </c>
      <c r="Z1340" s="18">
        <v>19</v>
      </c>
      <c r="AA1340" s="18">
        <v>58</v>
      </c>
      <c r="AB1340" s="18">
        <v>3</v>
      </c>
      <c r="AC1340" s="18">
        <v>452</v>
      </c>
      <c r="AD1340" s="1" t="s">
        <v>265</v>
      </c>
      <c r="AE1340" s="1" t="s">
        <v>278</v>
      </c>
      <c r="AF1340" s="4">
        <v>0.54</v>
      </c>
      <c r="AG1340" s="4">
        <v>3.9</v>
      </c>
    </row>
    <row r="1341" spans="1:33" ht="30" x14ac:dyDescent="0.25">
      <c r="A1341" s="10" t="s">
        <v>7409</v>
      </c>
      <c r="B1341" s="11" t="s">
        <v>33</v>
      </c>
      <c r="C1341" s="12" t="s">
        <v>7410</v>
      </c>
      <c r="D1341" s="27"/>
      <c r="E1341" s="14" t="s">
        <v>35</v>
      </c>
      <c r="F1341" s="11" t="str">
        <f>HYPERLINK("https://redirect.sdcdeals.com/redirect?destination=https%3A%2F%2Fwww.amazon.com%2Fdp%2FB00VFLPERC%3Fth%3D1%26psc%3D1%26tag%3Dsdcdeals03-20", "Amazon Link")</f>
        <v>Amazon Link</v>
      </c>
      <c r="G1341" s="11" t="s">
        <v>36</v>
      </c>
      <c r="H1341" s="14" t="s">
        <v>7411</v>
      </c>
      <c r="I1341" s="11" t="str">
        <f>HYPERLINK("https://redirect.sdcdeals.com/redirect?code=763034&amp;mavely=https://mavely.app.link/e/bhESV2wGrGb&amp;destination=https%3A%2F%2Fwww.kohls.com%2Fsearch.jsp%3Fsubmit-search%3Dweb-regular%26search%3D85211751", "Retail Link")</f>
        <v>Retail Link</v>
      </c>
      <c r="J1341" s="14" t="s">
        <v>7412</v>
      </c>
      <c r="K1341" s="13" t="s">
        <v>7413</v>
      </c>
      <c r="L1341" s="15">
        <v>31.495999999999999</v>
      </c>
      <c r="M1341" s="15">
        <v>39.369999999999997</v>
      </c>
      <c r="N1341" s="15">
        <v>-11.8215</v>
      </c>
      <c r="O1341" s="15">
        <f>V1341-M1341</f>
        <v>31.29</v>
      </c>
      <c r="P1341" s="16">
        <f>N1341/L1341</f>
        <v>-0.37533337566675135</v>
      </c>
      <c r="Q1341" s="14">
        <v>183575</v>
      </c>
      <c r="R1341" s="14"/>
      <c r="S1341" s="17">
        <v>3.0600125600000001</v>
      </c>
      <c r="T1341" s="15">
        <v>39.369999999999997</v>
      </c>
      <c r="U1341" s="15">
        <v>72.040000000000006</v>
      </c>
      <c r="V1341" s="15">
        <v>70.66</v>
      </c>
      <c r="W1341" s="14" t="s">
        <v>359</v>
      </c>
      <c r="X1341" s="14">
        <v>2</v>
      </c>
      <c r="Y1341" s="10">
        <f>AC1341-AB1341</f>
        <v>1839</v>
      </c>
      <c r="Z1341" s="18">
        <v>24</v>
      </c>
      <c r="AA1341" s="18">
        <v>54</v>
      </c>
      <c r="AB1341" s="18">
        <v>33</v>
      </c>
      <c r="AC1341" s="18">
        <v>1872</v>
      </c>
      <c r="AD1341" s="1" t="s">
        <v>7414</v>
      </c>
      <c r="AE1341" s="1" t="s">
        <v>76</v>
      </c>
      <c r="AF1341" s="4">
        <v>6.69</v>
      </c>
      <c r="AG1341" s="4">
        <v>13.79</v>
      </c>
    </row>
    <row r="1342" spans="1:33" ht="30" x14ac:dyDescent="0.25">
      <c r="A1342" s="10" t="s">
        <v>2476</v>
      </c>
      <c r="B1342" s="11" t="s">
        <v>33</v>
      </c>
      <c r="C1342" s="12" t="s">
        <v>2481</v>
      </c>
      <c r="D1342" s="27"/>
      <c r="E1342" s="14" t="s">
        <v>35</v>
      </c>
      <c r="F1342" s="11" t="str">
        <f>HYPERLINK("https://redirect.sdcdeals.com/redirect?destination=https%3A%2F%2Fwww.amazon.com%2Fdp%2FB08FTL9ZK7%3Fth%3D1%26psc%3D1%26tag%3Dsdcdeals03-20", "Amazon Link")</f>
        <v>Amazon Link</v>
      </c>
      <c r="G1342" s="11" t="s">
        <v>36</v>
      </c>
      <c r="H1342" s="14" t="s">
        <v>2478</v>
      </c>
      <c r="I1342" s="11" t="str">
        <f>HYPERLINK("https://redirect.sdcdeals.com/redirect?code=763034&amp;mavely=https://mavely.app.link/e/bhESV2wGrGb&amp;destination=https%3A%2F%2Fwww.kohls.com%2Fsearch.jsp%3Fsubmit-search%3Dweb-regular%26search%3D67089100", "Retail Link")</f>
        <v>Retail Link</v>
      </c>
      <c r="J1342" s="14" t="s">
        <v>2427</v>
      </c>
      <c r="K1342" s="13" t="s">
        <v>2482</v>
      </c>
      <c r="L1342" s="15">
        <v>33.6</v>
      </c>
      <c r="M1342" s="15">
        <v>31.5</v>
      </c>
      <c r="N1342" s="15">
        <v>-12.725</v>
      </c>
      <c r="O1342" s="15">
        <f>V1342-M1342</f>
        <v>0.19999999999999929</v>
      </c>
      <c r="P1342" s="16">
        <f>N1342/L1342</f>
        <v>-0.37872023809523808</v>
      </c>
      <c r="Q1342" s="14">
        <v>197779</v>
      </c>
      <c r="R1342" s="14"/>
      <c r="S1342" s="17">
        <v>0.87964337999999997</v>
      </c>
      <c r="T1342" s="15">
        <v>29.68</v>
      </c>
      <c r="U1342" s="15">
        <v>32.450000000000003</v>
      </c>
      <c r="V1342" s="15">
        <v>31.7</v>
      </c>
      <c r="W1342" s="14" t="s">
        <v>2480</v>
      </c>
      <c r="X1342" s="14">
        <v>5</v>
      </c>
      <c r="Y1342" s="10">
        <f>AC1342-AB1342</f>
        <v>449</v>
      </c>
      <c r="Z1342" s="18">
        <v>38</v>
      </c>
      <c r="AA1342" s="18">
        <v>93</v>
      </c>
      <c r="AB1342" s="18">
        <v>164</v>
      </c>
      <c r="AC1342" s="18">
        <v>613</v>
      </c>
      <c r="AD1342" s="1" t="s">
        <v>2435</v>
      </c>
      <c r="AE1342" s="1" t="s">
        <v>2439</v>
      </c>
      <c r="AF1342" s="4">
        <v>5.36</v>
      </c>
      <c r="AG1342" s="4">
        <v>5.9</v>
      </c>
    </row>
    <row r="1343" spans="1:33" ht="30" hidden="1" x14ac:dyDescent="0.25">
      <c r="A1343" s="10" t="s">
        <v>493</v>
      </c>
      <c r="B1343" s="11" t="s">
        <v>33</v>
      </c>
      <c r="C1343" s="12" t="s">
        <v>494</v>
      </c>
      <c r="D1343" s="27"/>
      <c r="E1343" s="14" t="s">
        <v>35</v>
      </c>
      <c r="F1343" s="11" t="str">
        <f>HYPERLINK("https://redirect.sdcdeals.com/redirect?destination=https%3A%2F%2Fwww.amazon.com%2Fdp%2FB0CL5D2SKD%3Fth%3D1%26psc%3D1%26tag%3Dsdcdeals03-20", "Amazon Link")</f>
        <v>Amazon Link</v>
      </c>
      <c r="G1343" s="11" t="s">
        <v>36</v>
      </c>
      <c r="H1343" s="14" t="s">
        <v>495</v>
      </c>
      <c r="I1343" s="11" t="str">
        <f>HYPERLINK("https://redirect.sdcdeals.com/redirect?code=763034&amp;mavely=https://mavely.app.link/e/bhESV2wGrGb&amp;destination=https%3A%2F%2Fwww.kohls.com%2Fsearch.jsp%3Fsubmit-search%3Dweb-regular%26search%3D68737400", "Retail Link")</f>
        <v>Retail Link</v>
      </c>
      <c r="J1343" s="14" t="s">
        <v>490</v>
      </c>
      <c r="K1343" s="13" t="s">
        <v>496</v>
      </c>
      <c r="L1343" s="15">
        <v>6.4</v>
      </c>
      <c r="M1343" s="15">
        <v>9.19</v>
      </c>
      <c r="N1343" s="15">
        <v>-2.428500000000001</v>
      </c>
      <c r="O1343" s="15">
        <f>V1343-M1343</f>
        <v>8.1600000000000019</v>
      </c>
      <c r="P1343" s="16">
        <f>N1343/L1343</f>
        <v>-0.37945312500000011</v>
      </c>
      <c r="Q1343" s="14"/>
      <c r="R1343" s="14"/>
      <c r="S1343" s="17">
        <v>0.22928048000000001</v>
      </c>
      <c r="T1343" s="15">
        <v>9.19</v>
      </c>
      <c r="U1343" s="15">
        <v>11.03</v>
      </c>
      <c r="V1343" s="15">
        <v>17.350000000000001</v>
      </c>
      <c r="W1343" s="14" t="s">
        <v>245</v>
      </c>
      <c r="X1343" s="14">
        <v>4</v>
      </c>
      <c r="Y1343" s="10">
        <f>AC1343-AB1343</f>
        <v>0</v>
      </c>
      <c r="Z1343" s="18">
        <v>0</v>
      </c>
      <c r="AA1343" s="18">
        <v>0</v>
      </c>
      <c r="AB1343" s="18">
        <v>0</v>
      </c>
      <c r="AC1343" s="18"/>
      <c r="AE1343" s="1" t="s">
        <v>497</v>
      </c>
      <c r="AF1343" s="4">
        <v>0.46</v>
      </c>
      <c r="AG1343" s="4">
        <v>3.84</v>
      </c>
    </row>
    <row r="1344" spans="1:33" ht="30" x14ac:dyDescent="0.25">
      <c r="A1344" s="10" t="s">
        <v>6285</v>
      </c>
      <c r="B1344" s="11" t="s">
        <v>33</v>
      </c>
      <c r="C1344" s="12" t="s">
        <v>6286</v>
      </c>
      <c r="D1344" s="27"/>
      <c r="E1344" s="14" t="s">
        <v>35</v>
      </c>
      <c r="F1344" s="11" t="str">
        <f>HYPERLINK("https://redirect.sdcdeals.com/redirect?destination=https%3A%2F%2Fwww.amazon.com%2Fdp%2FB0BKR2N9BV%3Fth%3D1%26psc%3D1%26tag%3Dsdcdeals03-20", "Amazon Link")</f>
        <v>Amazon Link</v>
      </c>
      <c r="G1344" s="11" t="s">
        <v>36</v>
      </c>
      <c r="H1344" s="14" t="s">
        <v>6287</v>
      </c>
      <c r="I1344" s="11" t="str">
        <f>HYPERLINK("https://redirect.sdcdeals.com/redirect?code=763034&amp;mavely=https://mavely.app.link/e/bhESV2wGrGb&amp;destination=https%3A%2F%2Fwww.kohls.com%2Fsearch.jsp%3Fsubmit-search%3Dweb-regular%26search%3D80724841", "Retail Link")</f>
        <v>Retail Link</v>
      </c>
      <c r="J1344" s="14" t="s">
        <v>6277</v>
      </c>
      <c r="K1344" s="13" t="s">
        <v>6288</v>
      </c>
      <c r="L1344" s="15">
        <v>31.2</v>
      </c>
      <c r="M1344" s="15">
        <v>39</v>
      </c>
      <c r="N1344" s="15">
        <v>-11.84</v>
      </c>
      <c r="O1344" s="15">
        <f>V1344-M1344</f>
        <v>34.870000000000005</v>
      </c>
      <c r="P1344" s="16">
        <f>N1344/L1344</f>
        <v>-0.37948717948717947</v>
      </c>
      <c r="Q1344" s="14">
        <v>426565</v>
      </c>
      <c r="R1344" s="14"/>
      <c r="S1344" s="17">
        <v>1.51898318</v>
      </c>
      <c r="T1344" s="15">
        <v>39</v>
      </c>
      <c r="U1344" s="15">
        <v>71.94</v>
      </c>
      <c r="V1344" s="15">
        <v>73.87</v>
      </c>
      <c r="W1344" s="14" t="s">
        <v>588</v>
      </c>
      <c r="X1344" s="14">
        <v>5</v>
      </c>
      <c r="Y1344" s="10">
        <f>AC1344-AB1344</f>
        <v>31</v>
      </c>
      <c r="Z1344" s="18">
        <v>17</v>
      </c>
      <c r="AA1344" s="18">
        <v>70</v>
      </c>
      <c r="AB1344" s="18">
        <v>0</v>
      </c>
      <c r="AC1344" s="18">
        <v>31</v>
      </c>
      <c r="AD1344" s="1" t="s">
        <v>6279</v>
      </c>
      <c r="AE1344" s="1" t="s">
        <v>2924</v>
      </c>
      <c r="AF1344" s="4">
        <v>6.63</v>
      </c>
      <c r="AG1344" s="4">
        <v>13.79</v>
      </c>
    </row>
    <row r="1345" spans="1:33" ht="30" x14ac:dyDescent="0.25">
      <c r="A1345" s="10" t="s">
        <v>2303</v>
      </c>
      <c r="B1345" s="11" t="s">
        <v>33</v>
      </c>
      <c r="C1345" s="12" t="s">
        <v>2304</v>
      </c>
      <c r="D1345" s="27"/>
      <c r="E1345" s="14" t="s">
        <v>35</v>
      </c>
      <c r="F1345" s="11" t="str">
        <f>HYPERLINK("https://redirect.sdcdeals.com/redirect?destination=https%3A%2F%2Fwww.amazon.com%2Fdp%2FB0BGW69NBD%3Fth%3D1%26psc%3D1%26tag%3Dsdcdeals03-20", "Amazon Link")</f>
        <v>Amazon Link</v>
      </c>
      <c r="G1345" s="11" t="s">
        <v>36</v>
      </c>
      <c r="H1345" s="14" t="s">
        <v>2305</v>
      </c>
      <c r="I1345" s="11" t="str">
        <f>HYPERLINK("https://redirect.sdcdeals.com/redirect?code=763034&amp;mavely=https://mavely.app.link/e/bhESV2wGrGb&amp;destination=https%3A%2F%2Fwww.kohls.com%2Fsearch.jsp%3Fsubmit-search%3Dweb-regular%26search%3D76910549", "Retail Link")</f>
        <v>Retail Link</v>
      </c>
      <c r="J1345" s="14" t="s">
        <v>2290</v>
      </c>
      <c r="K1345" s="13" t="s">
        <v>2306</v>
      </c>
      <c r="L1345" s="15">
        <v>15.4</v>
      </c>
      <c r="M1345" s="15">
        <v>19.25</v>
      </c>
      <c r="N1345" s="15">
        <v>-5.8974999999999991</v>
      </c>
      <c r="O1345" s="15">
        <f>V1345-M1345</f>
        <v>15.130000000000003</v>
      </c>
      <c r="P1345" s="16">
        <f>N1345/L1345</f>
        <v>-0.38295454545454538</v>
      </c>
      <c r="Q1345" s="14">
        <v>7343</v>
      </c>
      <c r="R1345" s="14">
        <v>50</v>
      </c>
      <c r="S1345" s="17">
        <v>0.87964337999999997</v>
      </c>
      <c r="T1345" s="15">
        <v>19.25</v>
      </c>
      <c r="U1345" s="15">
        <v>32.61</v>
      </c>
      <c r="V1345" s="15">
        <v>34.380000000000003</v>
      </c>
      <c r="W1345" s="14" t="s">
        <v>2307</v>
      </c>
      <c r="X1345" s="14">
        <v>8</v>
      </c>
      <c r="Y1345" s="10">
        <f>AC1345-AB1345</f>
        <v>0</v>
      </c>
      <c r="Z1345" s="18">
        <v>52</v>
      </c>
      <c r="AA1345" s="18">
        <v>188</v>
      </c>
      <c r="AB1345" s="18">
        <v>23</v>
      </c>
      <c r="AC1345" s="18">
        <v>23</v>
      </c>
      <c r="AD1345" s="1" t="s">
        <v>2293</v>
      </c>
      <c r="AE1345" s="1" t="s">
        <v>1865</v>
      </c>
      <c r="AF1345" s="4">
        <v>1.93</v>
      </c>
      <c r="AG1345" s="4">
        <v>6.86</v>
      </c>
    </row>
    <row r="1346" spans="1:33" ht="30" x14ac:dyDescent="0.25">
      <c r="A1346" s="10" t="s">
        <v>621</v>
      </c>
      <c r="B1346" s="11" t="s">
        <v>33</v>
      </c>
      <c r="C1346" s="12" t="s">
        <v>622</v>
      </c>
      <c r="D1346" s="27"/>
      <c r="E1346" s="14" t="s">
        <v>35</v>
      </c>
      <c r="F1346" s="11" t="str">
        <f>HYPERLINK("https://redirect.sdcdeals.com/redirect?destination=https%3A%2F%2Fwww.amazon.com%2Fdp%2FB0C7LJ3T8J%3Fth%3D1%26psc%3D1%26tag%3Dsdcdeals03-20", "Amazon Link")</f>
        <v>Amazon Link</v>
      </c>
      <c r="G1346" s="11" t="s">
        <v>36</v>
      </c>
      <c r="H1346" s="14" t="s">
        <v>623</v>
      </c>
      <c r="I1346" s="11" t="str">
        <f>HYPERLINK("https://redirect.sdcdeals.com/redirect?code=763034&amp;mavely=https://mavely.app.link/e/bhESV2wGrGb&amp;destination=https%3A%2F%2Fwww.kohls.com%2Fsearch.jsp%3Fsubmit-search%3Dweb-regular%26search%3D61543756", "Retail Link")</f>
        <v>Retail Link</v>
      </c>
      <c r="J1346" s="14" t="s">
        <v>624</v>
      </c>
      <c r="K1346" s="13" t="s">
        <v>625</v>
      </c>
      <c r="L1346" s="15">
        <v>36</v>
      </c>
      <c r="M1346" s="15">
        <v>45</v>
      </c>
      <c r="N1346" s="15">
        <v>-13.82</v>
      </c>
      <c r="O1346" s="15">
        <f>V1346-M1346</f>
        <v>36.56</v>
      </c>
      <c r="P1346" s="16">
        <f>N1346/L1346</f>
        <v>-0.38388888888888889</v>
      </c>
      <c r="Q1346" s="14">
        <v>842540</v>
      </c>
      <c r="R1346" s="14"/>
      <c r="S1346" s="17">
        <v>2.2509170200000002</v>
      </c>
      <c r="T1346" s="15">
        <v>45</v>
      </c>
      <c r="U1346" s="15">
        <v>78.16</v>
      </c>
      <c r="V1346" s="15">
        <v>81.56</v>
      </c>
      <c r="W1346" s="14" t="s">
        <v>626</v>
      </c>
      <c r="X1346" s="14">
        <v>1</v>
      </c>
      <c r="Y1346" s="10">
        <f>AC1346-AB1346</f>
        <v>25</v>
      </c>
      <c r="Z1346" s="18">
        <v>11</v>
      </c>
      <c r="AA1346" s="18">
        <v>46</v>
      </c>
      <c r="AB1346" s="18">
        <v>0</v>
      </c>
      <c r="AC1346" s="18">
        <v>25</v>
      </c>
      <c r="AD1346" s="1" t="s">
        <v>627</v>
      </c>
      <c r="AE1346" s="1" t="s">
        <v>628</v>
      </c>
      <c r="AF1346" s="4">
        <v>7.65</v>
      </c>
      <c r="AG1346" s="4">
        <v>16.07</v>
      </c>
    </row>
    <row r="1347" spans="1:33" ht="30" x14ac:dyDescent="0.25">
      <c r="A1347" s="10" t="s">
        <v>641</v>
      </c>
      <c r="B1347" s="11" t="s">
        <v>33</v>
      </c>
      <c r="C1347" s="12" t="s">
        <v>642</v>
      </c>
      <c r="D1347" s="27"/>
      <c r="E1347" s="14" t="s">
        <v>35</v>
      </c>
      <c r="F1347" s="11" t="str">
        <f>HYPERLINK("https://redirect.sdcdeals.com/redirect?destination=https%3A%2F%2Fwww.amazon.com%2Fdp%2FB0C7LMDXHQ%3Fth%3D1%26psc%3D1%26tag%3Dsdcdeals03-20", "Amazon Link")</f>
        <v>Amazon Link</v>
      </c>
      <c r="G1347" s="11" t="s">
        <v>36</v>
      </c>
      <c r="H1347" s="14" t="s">
        <v>643</v>
      </c>
      <c r="I1347" s="11" t="str">
        <f>HYPERLINK("https://redirect.sdcdeals.com/redirect?code=763034&amp;mavely=https://mavely.app.link/e/bhESV2wGrGb&amp;destination=https%3A%2F%2Fwww.kohls.com%2Fsearch.jsp%3Fsubmit-search%3Dweb-regular%26search%3D61543752", "Retail Link")</f>
        <v>Retail Link</v>
      </c>
      <c r="J1347" s="14" t="s">
        <v>624</v>
      </c>
      <c r="K1347" s="13" t="s">
        <v>632</v>
      </c>
      <c r="L1347" s="15">
        <v>36</v>
      </c>
      <c r="M1347" s="15">
        <v>45</v>
      </c>
      <c r="N1347" s="15">
        <v>-13.82</v>
      </c>
      <c r="O1347" s="15">
        <f>V1347-M1347</f>
        <v>42.44</v>
      </c>
      <c r="P1347" s="16">
        <f>N1347/L1347</f>
        <v>-0.38388888888888889</v>
      </c>
      <c r="Q1347" s="14">
        <v>842540</v>
      </c>
      <c r="R1347" s="14"/>
      <c r="S1347" s="17">
        <v>2.2509170200000002</v>
      </c>
      <c r="T1347" s="15">
        <v>45</v>
      </c>
      <c r="U1347" s="15">
        <v>83.87</v>
      </c>
      <c r="V1347" s="15">
        <v>87.44</v>
      </c>
      <c r="W1347" s="14" t="s">
        <v>644</v>
      </c>
      <c r="X1347" s="14">
        <v>1</v>
      </c>
      <c r="Y1347" s="10">
        <f>AC1347-AB1347</f>
        <v>25</v>
      </c>
      <c r="Z1347" s="18">
        <v>10</v>
      </c>
      <c r="AA1347" s="18">
        <v>48</v>
      </c>
      <c r="AB1347" s="18">
        <v>0</v>
      </c>
      <c r="AC1347" s="18">
        <v>25</v>
      </c>
      <c r="AD1347" s="1" t="s">
        <v>645</v>
      </c>
      <c r="AE1347" s="1" t="s">
        <v>635</v>
      </c>
      <c r="AF1347" s="4">
        <v>7.65</v>
      </c>
      <c r="AG1347" s="4">
        <v>16.07</v>
      </c>
    </row>
    <row r="1348" spans="1:33" ht="30" x14ac:dyDescent="0.25">
      <c r="A1348" s="10" t="s">
        <v>651</v>
      </c>
      <c r="B1348" s="11" t="s">
        <v>33</v>
      </c>
      <c r="C1348" s="12" t="s">
        <v>652</v>
      </c>
      <c r="D1348" s="27"/>
      <c r="E1348" s="14" t="s">
        <v>35</v>
      </c>
      <c r="F1348" s="11" t="str">
        <f>HYPERLINK("https://redirect.sdcdeals.com/redirect?destination=https%3A%2F%2Fwww.amazon.com%2Fdp%2FB0C7LJYLTB%3Fth%3D1%26psc%3D1%26tag%3Dsdcdeals03-20", "Amazon Link")</f>
        <v>Amazon Link</v>
      </c>
      <c r="G1348" s="11" t="s">
        <v>36</v>
      </c>
      <c r="H1348" s="14" t="s">
        <v>653</v>
      </c>
      <c r="I1348" s="11" t="str">
        <f>HYPERLINK("https://redirect.sdcdeals.com/redirect?code=763034&amp;mavely=https://mavely.app.link/e/bhESV2wGrGb&amp;destination=https%3A%2F%2Fwww.kohls.com%2Fsearch.jsp%3Fsubmit-search%3Dweb-regular%26search%3D61543753", "Retail Link")</f>
        <v>Retail Link</v>
      </c>
      <c r="J1348" s="14" t="s">
        <v>624</v>
      </c>
      <c r="K1348" s="13" t="s">
        <v>632</v>
      </c>
      <c r="L1348" s="15">
        <v>36</v>
      </c>
      <c r="M1348" s="15">
        <v>45</v>
      </c>
      <c r="N1348" s="15">
        <v>-13.82</v>
      </c>
      <c r="O1348" s="15">
        <f>V1348-M1348</f>
        <v>46.349999999999994</v>
      </c>
      <c r="P1348" s="16">
        <f>N1348/L1348</f>
        <v>-0.38388888888888889</v>
      </c>
      <c r="Q1348" s="14">
        <v>842540</v>
      </c>
      <c r="R1348" s="14"/>
      <c r="S1348" s="17">
        <v>2.2509170200000002</v>
      </c>
      <c r="T1348" s="15">
        <v>45</v>
      </c>
      <c r="U1348" s="15">
        <v>86.87</v>
      </c>
      <c r="V1348" s="15">
        <v>91.35</v>
      </c>
      <c r="W1348" s="14" t="s">
        <v>654</v>
      </c>
      <c r="X1348" s="14">
        <v>1</v>
      </c>
      <c r="Y1348" s="10">
        <f>AC1348-AB1348</f>
        <v>25</v>
      </c>
      <c r="Z1348" s="18">
        <v>8</v>
      </c>
      <c r="AA1348" s="18">
        <v>32</v>
      </c>
      <c r="AB1348" s="18">
        <v>0</v>
      </c>
      <c r="AC1348" s="18">
        <v>25</v>
      </c>
      <c r="AD1348" s="1" t="s">
        <v>655</v>
      </c>
      <c r="AE1348" s="1" t="s">
        <v>635</v>
      </c>
      <c r="AF1348" s="4">
        <v>7.65</v>
      </c>
      <c r="AG1348" s="4">
        <v>16.07</v>
      </c>
    </row>
    <row r="1349" spans="1:33" ht="30" x14ac:dyDescent="0.25">
      <c r="A1349" s="10" t="s">
        <v>661</v>
      </c>
      <c r="B1349" s="11" t="s">
        <v>33</v>
      </c>
      <c r="C1349" s="12" t="s">
        <v>662</v>
      </c>
      <c r="D1349" s="27"/>
      <c r="E1349" s="14" t="s">
        <v>35</v>
      </c>
      <c r="F1349" s="11" t="str">
        <f>HYPERLINK("https://redirect.sdcdeals.com/redirect?destination=https%3A%2F%2Fwww.amazon.com%2Fdp%2FB0C7LK11G9%3Fth%3D1%26psc%3D1%26tag%3Dsdcdeals03-20", "Amazon Link")</f>
        <v>Amazon Link</v>
      </c>
      <c r="G1349" s="11" t="s">
        <v>36</v>
      </c>
      <c r="H1349" s="14" t="s">
        <v>663</v>
      </c>
      <c r="I1349" s="11" t="str">
        <f>HYPERLINK("https://redirect.sdcdeals.com/redirect?code=763034&amp;mavely=https://mavely.app.link/e/bhESV2wGrGb&amp;destination=https%3A%2F%2Fwww.kohls.com%2Fsearch.jsp%3Fsubmit-search%3Dweb-regular%26search%3D61543754", "Retail Link")</f>
        <v>Retail Link</v>
      </c>
      <c r="J1349" s="14" t="s">
        <v>624</v>
      </c>
      <c r="K1349" s="13" t="s">
        <v>632</v>
      </c>
      <c r="L1349" s="15">
        <v>36</v>
      </c>
      <c r="M1349" s="15">
        <v>45</v>
      </c>
      <c r="N1349" s="15">
        <v>-13.82</v>
      </c>
      <c r="O1349" s="15">
        <f>V1349-M1349</f>
        <v>28.120000000000005</v>
      </c>
      <c r="P1349" s="16">
        <f>N1349/L1349</f>
        <v>-0.38388888888888889</v>
      </c>
      <c r="Q1349" s="14">
        <v>842540</v>
      </c>
      <c r="R1349" s="14"/>
      <c r="S1349" s="17">
        <v>2.2509170200000002</v>
      </c>
      <c r="T1349" s="15">
        <v>45</v>
      </c>
      <c r="U1349" s="15">
        <v>70.37</v>
      </c>
      <c r="V1349" s="15">
        <v>73.12</v>
      </c>
      <c r="W1349" s="14" t="s">
        <v>664</v>
      </c>
      <c r="X1349" s="14">
        <v>1</v>
      </c>
      <c r="Y1349" s="10">
        <f>AC1349-AB1349</f>
        <v>25</v>
      </c>
      <c r="Z1349" s="18">
        <v>11</v>
      </c>
      <c r="AA1349" s="18">
        <v>67</v>
      </c>
      <c r="AB1349" s="18">
        <v>0</v>
      </c>
      <c r="AC1349" s="18">
        <v>25</v>
      </c>
      <c r="AD1349" s="1" t="s">
        <v>665</v>
      </c>
      <c r="AE1349" s="1" t="s">
        <v>635</v>
      </c>
      <c r="AF1349" s="4">
        <v>7.65</v>
      </c>
      <c r="AG1349" s="4">
        <v>16.07</v>
      </c>
    </row>
    <row r="1350" spans="1:33" ht="30" x14ac:dyDescent="0.25">
      <c r="A1350" s="10" t="s">
        <v>2308</v>
      </c>
      <c r="B1350" s="11" t="s">
        <v>33</v>
      </c>
      <c r="C1350" s="12" t="s">
        <v>2309</v>
      </c>
      <c r="D1350" s="27"/>
      <c r="E1350" s="14" t="s">
        <v>35</v>
      </c>
      <c r="F1350" s="11" t="str">
        <f>HYPERLINK("https://redirect.sdcdeals.com/redirect?destination=https%3A%2F%2Fwww.amazon.com%2Fdp%2FB0BGW65CQP%3Fth%3D1%26psc%3D1%26tag%3Dsdcdeals03-20", "Amazon Link")</f>
        <v>Amazon Link</v>
      </c>
      <c r="G1350" s="11" t="s">
        <v>36</v>
      </c>
      <c r="H1350" s="14" t="s">
        <v>2310</v>
      </c>
      <c r="I1350" s="11" t="str">
        <f>HYPERLINK("https://redirect.sdcdeals.com/redirect?code=763034&amp;mavely=https://mavely.app.link/e/bhESV2wGrGb&amp;destination=https%3A%2F%2Fwww.kohls.com%2Fsearch.jsp%3Fsubmit-search%3Dweb-regular%26search%3D76910550", "Retail Link")</f>
        <v>Retail Link</v>
      </c>
      <c r="J1350" s="14" t="s">
        <v>2290</v>
      </c>
      <c r="K1350" s="13" t="s">
        <v>2311</v>
      </c>
      <c r="L1350" s="15">
        <v>15.4</v>
      </c>
      <c r="M1350" s="15">
        <v>19.25</v>
      </c>
      <c r="N1350" s="15">
        <v>-6.0574999999999992</v>
      </c>
      <c r="O1350" s="15">
        <f>V1350-M1350</f>
        <v>17.18</v>
      </c>
      <c r="P1350" s="16">
        <f>N1350/L1350</f>
        <v>-0.39334415584415577</v>
      </c>
      <c r="Q1350" s="14">
        <v>7343</v>
      </c>
      <c r="R1350" s="14">
        <v>100</v>
      </c>
      <c r="S1350" s="17">
        <v>0.90389419999999998</v>
      </c>
      <c r="T1350" s="15">
        <v>19.25</v>
      </c>
      <c r="U1350" s="15">
        <v>32.549999999999997</v>
      </c>
      <c r="V1350" s="15">
        <v>36.43</v>
      </c>
      <c r="W1350" s="14" t="s">
        <v>2312</v>
      </c>
      <c r="X1350" s="14">
        <v>6</v>
      </c>
      <c r="Y1350" s="10">
        <f>AC1350-AB1350</f>
        <v>0</v>
      </c>
      <c r="Z1350" s="18">
        <v>52</v>
      </c>
      <c r="AA1350" s="18">
        <v>172</v>
      </c>
      <c r="AB1350" s="18">
        <v>51</v>
      </c>
      <c r="AC1350" s="18">
        <v>51</v>
      </c>
      <c r="AD1350" s="1" t="s">
        <v>2293</v>
      </c>
      <c r="AE1350" s="1" t="s">
        <v>1865</v>
      </c>
      <c r="AF1350" s="4">
        <v>1.93</v>
      </c>
      <c r="AG1350" s="4">
        <v>7.02</v>
      </c>
    </row>
    <row r="1351" spans="1:33" ht="30" x14ac:dyDescent="0.25">
      <c r="A1351" s="10" t="s">
        <v>5049</v>
      </c>
      <c r="B1351" s="11" t="s">
        <v>33</v>
      </c>
      <c r="C1351" s="12" t="s">
        <v>5050</v>
      </c>
      <c r="D1351" s="27"/>
      <c r="E1351" s="14" t="s">
        <v>35</v>
      </c>
      <c r="F1351" s="11" t="str">
        <f>HYPERLINK("https://redirect.sdcdeals.com/redirect?destination=https%3A%2F%2Fwww.amazon.com%2Fdp%2FB088P2VZ8X%3Fth%3D1%26psc%3D1%26tag%3Dsdcdeals03-20", "Amazon Link")</f>
        <v>Amazon Link</v>
      </c>
      <c r="G1351" s="11" t="s">
        <v>36</v>
      </c>
      <c r="H1351" s="14" t="s">
        <v>5051</v>
      </c>
      <c r="I1351" s="11" t="str">
        <f>HYPERLINK("https://redirect.sdcdeals.com/redirect?code=763034&amp;mavely=https://mavely.app.link/e/bhESV2wGrGb&amp;destination=https%3A%2F%2Fwww.kohls.com%2Fsearch.jsp%3Fsubmit-search%3Dweb-regular%26search%3D75104126", "Retail Link")</f>
        <v>Retail Link</v>
      </c>
      <c r="J1351" s="14" t="s">
        <v>5013</v>
      </c>
      <c r="K1351" s="13" t="s">
        <v>5052</v>
      </c>
      <c r="L1351" s="15">
        <v>16.8</v>
      </c>
      <c r="M1351" s="15">
        <v>20</v>
      </c>
      <c r="N1351" s="15">
        <v>-6.6099999999999994</v>
      </c>
      <c r="O1351" s="15">
        <f>V1351-M1351</f>
        <v>5.73</v>
      </c>
      <c r="P1351" s="16">
        <f>N1351/L1351</f>
        <v>-0.39345238095238089</v>
      </c>
      <c r="Q1351" s="14">
        <v>1275753</v>
      </c>
      <c r="R1351" s="14"/>
      <c r="S1351" s="17">
        <v>0.44092399999999998</v>
      </c>
      <c r="T1351" s="15">
        <v>20</v>
      </c>
      <c r="U1351" s="15">
        <v>30.59</v>
      </c>
      <c r="V1351" s="15">
        <v>25.73</v>
      </c>
      <c r="W1351" s="14" t="s">
        <v>1254</v>
      </c>
      <c r="X1351" s="14">
        <v>6</v>
      </c>
      <c r="Y1351" s="10">
        <f>AC1351-AB1351</f>
        <v>19</v>
      </c>
      <c r="Z1351" s="18">
        <v>4</v>
      </c>
      <c r="AA1351" s="18">
        <v>29</v>
      </c>
      <c r="AB1351" s="18">
        <v>2</v>
      </c>
      <c r="AC1351" s="18">
        <v>21</v>
      </c>
      <c r="AD1351" s="1" t="s">
        <v>5015</v>
      </c>
      <c r="AE1351" s="1" t="s">
        <v>278</v>
      </c>
      <c r="AF1351" s="4">
        <v>2</v>
      </c>
      <c r="AG1351" s="4">
        <v>6.81</v>
      </c>
    </row>
    <row r="1352" spans="1:33" ht="45" x14ac:dyDescent="0.25">
      <c r="A1352" s="10" t="s">
        <v>3310</v>
      </c>
      <c r="B1352" s="11" t="s">
        <v>33</v>
      </c>
      <c r="C1352" s="12" t="s">
        <v>3311</v>
      </c>
      <c r="D1352" s="27"/>
      <c r="E1352" s="14" t="s">
        <v>35</v>
      </c>
      <c r="F1352" s="11" t="str">
        <f>HYPERLINK("https://redirect.sdcdeals.com/redirect?destination=https%3A%2F%2Fwww.amazon.com%2Fdp%2FB0872D817B%3Fth%3D1%26psc%3D1%26tag%3Dsdcdeals03-20", "Amazon Link")</f>
        <v>Amazon Link</v>
      </c>
      <c r="G1352" s="11" t="s">
        <v>36</v>
      </c>
      <c r="H1352" s="14" t="s">
        <v>3312</v>
      </c>
      <c r="I1352" s="11" t="str">
        <f>HYPERLINK("https://redirect.sdcdeals.com/redirect?code=763034&amp;mavely=https://mavely.app.link/e/bhESV2wGrGb&amp;destination=https%3A%2F%2Fwww.kohls.com%2Fsearch.jsp%3Fsubmit-search%3Dweb-regular%26search%3D18885276", "Retail Link")</f>
        <v>Retail Link</v>
      </c>
      <c r="J1352" s="14" t="s">
        <v>3307</v>
      </c>
      <c r="K1352" s="13" t="s">
        <v>3313</v>
      </c>
      <c r="L1352" s="15">
        <v>12.6</v>
      </c>
      <c r="M1352" s="15">
        <v>15.75</v>
      </c>
      <c r="N1352" s="15">
        <v>-5.1125000000000007</v>
      </c>
      <c r="O1352" s="15">
        <f>V1352-M1352</f>
        <v>9.3500000000000014</v>
      </c>
      <c r="P1352" s="16">
        <f>N1352/L1352</f>
        <v>-0.40575396825396831</v>
      </c>
      <c r="Q1352" s="14">
        <v>1551</v>
      </c>
      <c r="R1352" s="14"/>
      <c r="S1352" s="17">
        <v>0.37037616000000001</v>
      </c>
      <c r="T1352" s="15">
        <v>15.75</v>
      </c>
      <c r="U1352" s="15">
        <v>24.48</v>
      </c>
      <c r="V1352" s="15">
        <v>25.1</v>
      </c>
      <c r="W1352" s="14" t="s">
        <v>781</v>
      </c>
      <c r="X1352" s="14">
        <v>9</v>
      </c>
      <c r="Y1352" s="10">
        <f>AC1352-AB1352</f>
        <v>0</v>
      </c>
      <c r="Z1352" s="18">
        <v>59</v>
      </c>
      <c r="AA1352" s="18">
        <v>133</v>
      </c>
      <c r="AB1352" s="18">
        <v>12</v>
      </c>
      <c r="AC1352" s="18">
        <v>12</v>
      </c>
      <c r="AD1352" s="1" t="s">
        <v>3309</v>
      </c>
      <c r="AE1352" s="1" t="s">
        <v>3314</v>
      </c>
      <c r="AF1352" s="4">
        <v>1.58</v>
      </c>
      <c r="AG1352" s="4">
        <v>5.9</v>
      </c>
    </row>
    <row r="1353" spans="1:33" ht="30" x14ac:dyDescent="0.25">
      <c r="A1353" s="10" t="s">
        <v>1414</v>
      </c>
      <c r="B1353" s="11" t="s">
        <v>33</v>
      </c>
      <c r="C1353" s="12" t="s">
        <v>1415</v>
      </c>
      <c r="D1353" s="27"/>
      <c r="E1353" s="14" t="s">
        <v>35</v>
      </c>
      <c r="F1353" s="11" t="str">
        <f>HYPERLINK("https://redirect.sdcdeals.com/redirect?destination=https%3A%2F%2Fwww.amazon.com%2Fdp%2FB0CHY7GR3P%3Fth%3D1%26psc%3D1%26tag%3Dsdcdeals03-20", "Amazon Link")</f>
        <v>Amazon Link</v>
      </c>
      <c r="G1353" s="11" t="s">
        <v>36</v>
      </c>
      <c r="H1353" s="14" t="s">
        <v>1416</v>
      </c>
      <c r="I1353" s="11" t="str">
        <f>HYPERLINK("https://redirect.sdcdeals.com/redirect?code=763034&amp;mavely=https://mavely.app.link/e/bhESV2wGrGb&amp;destination=https%3A%2F%2Fwww.kohls.com%2Fsearch.jsp%3Fsubmit-search%3Dweb-regular%26search%3D49554450", "Retail Link")</f>
        <v>Retail Link</v>
      </c>
      <c r="J1353" s="14" t="s">
        <v>1417</v>
      </c>
      <c r="K1353" s="13" t="s">
        <v>1418</v>
      </c>
      <c r="L1353" s="15">
        <v>15.4</v>
      </c>
      <c r="M1353" s="15">
        <v>25.17</v>
      </c>
      <c r="N1353" s="15">
        <v>-6.2754999999999992</v>
      </c>
      <c r="O1353" s="15">
        <f>V1353-M1353</f>
        <v>2.1599999999999966</v>
      </c>
      <c r="P1353" s="16">
        <f>N1353/L1353</f>
        <v>-0.40749999999999992</v>
      </c>
      <c r="Q1353" s="14">
        <v>3240917</v>
      </c>
      <c r="R1353" s="14"/>
      <c r="S1353" s="17">
        <v>0.85980180000000006</v>
      </c>
      <c r="T1353" s="15">
        <v>25.17</v>
      </c>
      <c r="U1353" s="15">
        <v>25.95</v>
      </c>
      <c r="V1353" s="15">
        <v>27.33</v>
      </c>
      <c r="W1353" s="14" t="s">
        <v>330</v>
      </c>
      <c r="X1353" s="14">
        <v>1</v>
      </c>
      <c r="Y1353" s="10">
        <f>AC1353-AB1353</f>
        <v>0</v>
      </c>
      <c r="Z1353" s="18">
        <v>1</v>
      </c>
      <c r="AA1353" s="18">
        <v>5</v>
      </c>
      <c r="AB1353" s="18"/>
      <c r="AC1353" s="18"/>
      <c r="AD1353" s="1" t="s">
        <v>1419</v>
      </c>
      <c r="AE1353" s="1" t="s">
        <v>1420</v>
      </c>
      <c r="AF1353" s="4">
        <v>4.2699999999999996</v>
      </c>
      <c r="AG1353" s="4">
        <v>12.27</v>
      </c>
    </row>
    <row r="1354" spans="1:33" ht="30" x14ac:dyDescent="0.25">
      <c r="A1354" s="10" t="s">
        <v>674</v>
      </c>
      <c r="B1354" s="11" t="s">
        <v>33</v>
      </c>
      <c r="C1354" s="12" t="s">
        <v>675</v>
      </c>
      <c r="D1354" s="27"/>
      <c r="E1354" s="14" t="s">
        <v>35</v>
      </c>
      <c r="F1354" s="11" t="str">
        <f>HYPERLINK("https://redirect.sdcdeals.com/redirect?destination=https%3A%2F%2Fwww.amazon.com%2Fdp%2FB0BCCQ3QHN%3Fth%3D1%26psc%3D1%26tag%3Dsdcdeals03-20", "Amazon Link")</f>
        <v>Amazon Link</v>
      </c>
      <c r="G1354" s="11" t="s">
        <v>36</v>
      </c>
      <c r="H1354" s="14" t="s">
        <v>676</v>
      </c>
      <c r="I1354" s="11" t="str">
        <f>HYPERLINK("https://redirect.sdcdeals.com/redirect?code=763034&amp;mavely=https://mavely.app.link/e/bhESV2wGrGb&amp;destination=https%3A%2F%2Fwww.kohls.com%2Fsearch.jsp%3Fsubmit-search%3Dweb-regular%26search%3D18431931", "Retail Link")</f>
        <v>Retail Link</v>
      </c>
      <c r="J1354" s="14" t="s">
        <v>677</v>
      </c>
      <c r="K1354" s="13" t="s">
        <v>678</v>
      </c>
      <c r="L1354" s="15">
        <v>12.96</v>
      </c>
      <c r="M1354" s="15">
        <v>17.03</v>
      </c>
      <c r="N1354" s="15">
        <v>-5.2945000000000002</v>
      </c>
      <c r="O1354" s="15">
        <f>V1354-M1354</f>
        <v>0.68999999999999773</v>
      </c>
      <c r="P1354" s="16">
        <f>N1354/L1354</f>
        <v>-0.40852623456790121</v>
      </c>
      <c r="Q1354" s="14">
        <v>1321995</v>
      </c>
      <c r="R1354" s="14"/>
      <c r="S1354" s="17">
        <v>1.1133331</v>
      </c>
      <c r="T1354" s="15">
        <v>17.03</v>
      </c>
      <c r="U1354" s="15">
        <v>18.25</v>
      </c>
      <c r="V1354" s="15">
        <v>17.72</v>
      </c>
      <c r="W1354" s="14" t="s">
        <v>311</v>
      </c>
      <c r="X1354" s="14">
        <v>1</v>
      </c>
      <c r="Y1354" s="10">
        <f>AC1354-AB1354</f>
        <v>2</v>
      </c>
      <c r="Z1354" s="18">
        <v>6</v>
      </c>
      <c r="AA1354" s="18">
        <v>17</v>
      </c>
      <c r="AB1354" s="18">
        <v>0</v>
      </c>
      <c r="AC1354" s="18">
        <v>2</v>
      </c>
      <c r="AD1354" s="1" t="s">
        <v>679</v>
      </c>
      <c r="AE1354" s="1" t="s">
        <v>680</v>
      </c>
      <c r="AF1354" s="4">
        <v>1.7</v>
      </c>
      <c r="AG1354" s="4">
        <v>6.81</v>
      </c>
    </row>
    <row r="1355" spans="1:33" ht="30" x14ac:dyDescent="0.25">
      <c r="A1355" s="10" t="s">
        <v>3501</v>
      </c>
      <c r="B1355" s="11" t="s">
        <v>33</v>
      </c>
      <c r="C1355" s="12" t="s">
        <v>3502</v>
      </c>
      <c r="D1355" s="27"/>
      <c r="E1355" s="14" t="s">
        <v>35</v>
      </c>
      <c r="F1355" s="11" t="str">
        <f>HYPERLINK("https://redirect.sdcdeals.com/redirect?destination=https%3A%2F%2Fwww.amazon.com%2Fdp%2FB0BKQTHMB9%3Fth%3D1%26psc%3D1%26tag%3Dsdcdeals03-20", "Amazon Link")</f>
        <v>Amazon Link</v>
      </c>
      <c r="G1355" s="11" t="s">
        <v>36</v>
      </c>
      <c r="H1355" s="14" t="s">
        <v>3503</v>
      </c>
      <c r="I1355" s="11" t="str">
        <f>HYPERLINK("https://redirect.sdcdeals.com/redirect?code=763034&amp;mavely=https://mavely.app.link/e/bhESV2wGrGb&amp;destination=https%3A%2F%2Fwww.kohls.com%2Fsearch.jsp%3Fsubmit-search%3Dweb-regular%26search%3D58450442", "Retail Link")</f>
        <v>Retail Link</v>
      </c>
      <c r="J1355" s="14" t="s">
        <v>3497</v>
      </c>
      <c r="K1355" s="13" t="s">
        <v>3504</v>
      </c>
      <c r="L1355" s="15">
        <v>24</v>
      </c>
      <c r="M1355" s="15">
        <v>31.5</v>
      </c>
      <c r="N1355" s="15">
        <v>-9.8750000000000018</v>
      </c>
      <c r="O1355" s="15">
        <f>V1355-M1355</f>
        <v>18.950000000000003</v>
      </c>
      <c r="P1355" s="16">
        <f>N1355/L1355</f>
        <v>-0.41145833333333343</v>
      </c>
      <c r="Q1355" s="14">
        <v>826894</v>
      </c>
      <c r="R1355" s="14"/>
      <c r="S1355" s="17">
        <v>0.78925396000000003</v>
      </c>
      <c r="T1355" s="15">
        <v>31.5</v>
      </c>
      <c r="U1355" s="15">
        <v>40.06</v>
      </c>
      <c r="V1355" s="15">
        <v>50.45</v>
      </c>
      <c r="W1355" s="14" t="s">
        <v>113</v>
      </c>
      <c r="X1355" s="14">
        <v>1</v>
      </c>
      <c r="Y1355" s="10">
        <f>AC1355-AB1355</f>
        <v>0</v>
      </c>
      <c r="Z1355" s="18">
        <v>5</v>
      </c>
      <c r="AA1355" s="18">
        <v>25</v>
      </c>
      <c r="AB1355" s="18">
        <v>0</v>
      </c>
      <c r="AC1355" s="18"/>
      <c r="AD1355" s="1" t="s">
        <v>3499</v>
      </c>
      <c r="AE1355" s="1" t="s">
        <v>3505</v>
      </c>
      <c r="AF1355" s="4">
        <v>5.36</v>
      </c>
      <c r="AG1355" s="4">
        <v>12.65</v>
      </c>
    </row>
    <row r="1356" spans="1:33" ht="30" x14ac:dyDescent="0.25">
      <c r="A1356" s="10" t="s">
        <v>3506</v>
      </c>
      <c r="B1356" s="11" t="s">
        <v>33</v>
      </c>
      <c r="C1356" s="12" t="s">
        <v>3507</v>
      </c>
      <c r="D1356" s="27"/>
      <c r="E1356" s="14" t="s">
        <v>35</v>
      </c>
      <c r="F1356" s="11" t="str">
        <f>HYPERLINK("https://redirect.sdcdeals.com/redirect?destination=https%3A%2F%2Fwww.amazon.com%2Fdp%2FB0BKR55JXS%3Fth%3D1%26psc%3D1%26tag%3Dsdcdeals03-20", "Amazon Link")</f>
        <v>Amazon Link</v>
      </c>
      <c r="G1356" s="11" t="s">
        <v>36</v>
      </c>
      <c r="H1356" s="14" t="s">
        <v>3508</v>
      </c>
      <c r="I1356" s="11" t="str">
        <f>HYPERLINK("https://redirect.sdcdeals.com/redirect?code=763034&amp;mavely=https://mavely.app.link/e/bhESV2wGrGb&amp;destination=https%3A%2F%2Fwww.kohls.com%2Fsearch.jsp%3Fsubmit-search%3Dweb-regular%26search%3D58450443", "Retail Link")</f>
        <v>Retail Link</v>
      </c>
      <c r="J1356" s="14" t="s">
        <v>3497</v>
      </c>
      <c r="K1356" s="13" t="s">
        <v>3509</v>
      </c>
      <c r="L1356" s="15">
        <v>24</v>
      </c>
      <c r="M1356" s="15">
        <v>31.5</v>
      </c>
      <c r="N1356" s="15">
        <v>-9.8750000000000018</v>
      </c>
      <c r="O1356" s="15">
        <f>V1356-M1356</f>
        <v>8.8400000000000034</v>
      </c>
      <c r="P1356" s="16">
        <f>N1356/L1356</f>
        <v>-0.41145833333333343</v>
      </c>
      <c r="Q1356" s="14">
        <v>826894</v>
      </c>
      <c r="R1356" s="14"/>
      <c r="S1356" s="17">
        <v>0.87964337999999997</v>
      </c>
      <c r="T1356" s="15">
        <v>31.5</v>
      </c>
      <c r="U1356" s="15">
        <v>33.08</v>
      </c>
      <c r="V1356" s="15">
        <v>40.340000000000003</v>
      </c>
      <c r="W1356" s="14" t="s">
        <v>981</v>
      </c>
      <c r="X1356" s="14">
        <v>1</v>
      </c>
      <c r="Y1356" s="10">
        <f>AC1356-AB1356</f>
        <v>9</v>
      </c>
      <c r="Z1356" s="18">
        <v>8</v>
      </c>
      <c r="AA1356" s="18">
        <v>32</v>
      </c>
      <c r="AB1356" s="18">
        <v>0</v>
      </c>
      <c r="AC1356" s="18">
        <v>9</v>
      </c>
      <c r="AD1356" s="1" t="s">
        <v>3499</v>
      </c>
      <c r="AE1356" s="1" t="s">
        <v>3505</v>
      </c>
      <c r="AF1356" s="4">
        <v>5.36</v>
      </c>
      <c r="AG1356" s="4">
        <v>12.65</v>
      </c>
    </row>
    <row r="1357" spans="1:33" ht="30" x14ac:dyDescent="0.25">
      <c r="A1357" s="10" t="s">
        <v>3510</v>
      </c>
      <c r="B1357" s="11" t="s">
        <v>33</v>
      </c>
      <c r="C1357" s="12" t="s">
        <v>3511</v>
      </c>
      <c r="D1357" s="27"/>
      <c r="E1357" s="14" t="s">
        <v>35</v>
      </c>
      <c r="F1357" s="11" t="str">
        <f>HYPERLINK("https://redirect.sdcdeals.com/redirect?destination=https%3A%2F%2Fwww.amazon.com%2Fdp%2FB0BKQY8B63%3Fth%3D1%26psc%3D1%26tag%3Dsdcdeals03-20", "Amazon Link")</f>
        <v>Amazon Link</v>
      </c>
      <c r="G1357" s="11" t="s">
        <v>36</v>
      </c>
      <c r="H1357" s="14" t="s">
        <v>3512</v>
      </c>
      <c r="I1357" s="11" t="str">
        <f>HYPERLINK("https://redirect.sdcdeals.com/redirect?code=763034&amp;mavely=https://mavely.app.link/e/bhESV2wGrGb&amp;destination=https%3A%2F%2Fwww.kohls.com%2Fsearch.jsp%3Fsubmit-search%3Dweb-regular%26search%3D58450444", "Retail Link")</f>
        <v>Retail Link</v>
      </c>
      <c r="J1357" s="14" t="s">
        <v>3497</v>
      </c>
      <c r="K1357" s="13" t="s">
        <v>3513</v>
      </c>
      <c r="L1357" s="15">
        <v>24</v>
      </c>
      <c r="M1357" s="15">
        <v>31.5</v>
      </c>
      <c r="N1357" s="15">
        <v>-9.8750000000000018</v>
      </c>
      <c r="O1357" s="15">
        <f>V1357-M1357</f>
        <v>9.8400000000000034</v>
      </c>
      <c r="P1357" s="16">
        <f>N1357/L1357</f>
        <v>-0.41145833333333343</v>
      </c>
      <c r="Q1357" s="14">
        <v>826894</v>
      </c>
      <c r="R1357" s="14"/>
      <c r="S1357" s="17">
        <v>0.93034963999999998</v>
      </c>
      <c r="T1357" s="15">
        <v>31.5</v>
      </c>
      <c r="U1357" s="15">
        <v>33.46</v>
      </c>
      <c r="V1357" s="15">
        <v>41.34</v>
      </c>
      <c r="W1357" s="14" t="s">
        <v>40</v>
      </c>
      <c r="X1357" s="14">
        <v>1</v>
      </c>
      <c r="Y1357" s="10">
        <f>AC1357-AB1357</f>
        <v>0</v>
      </c>
      <c r="Z1357" s="18">
        <v>10</v>
      </c>
      <c r="AA1357" s="18">
        <v>24</v>
      </c>
      <c r="AB1357" s="18">
        <v>0</v>
      </c>
      <c r="AC1357" s="18"/>
      <c r="AD1357" s="1" t="s">
        <v>3499</v>
      </c>
      <c r="AE1357" s="1" t="s">
        <v>3505</v>
      </c>
      <c r="AF1357" s="4">
        <v>5.36</v>
      </c>
      <c r="AG1357" s="4">
        <v>12.65</v>
      </c>
    </row>
    <row r="1358" spans="1:33" ht="30" x14ac:dyDescent="0.25">
      <c r="A1358" s="10" t="s">
        <v>3536</v>
      </c>
      <c r="B1358" s="11" t="s">
        <v>33</v>
      </c>
      <c r="C1358" s="12" t="s">
        <v>3537</v>
      </c>
      <c r="D1358" s="27"/>
      <c r="E1358" s="14" t="s">
        <v>35</v>
      </c>
      <c r="F1358" s="11" t="str">
        <f>HYPERLINK("https://redirect.sdcdeals.com/redirect?destination=https%3A%2F%2Fwww.amazon.com%2Fdp%2FB0BKQZMDQY%3Fth%3D1%26psc%3D1%26tag%3Dsdcdeals03-20", "Amazon Link")</f>
        <v>Amazon Link</v>
      </c>
      <c r="G1358" s="11" t="s">
        <v>36</v>
      </c>
      <c r="H1358" s="14" t="s">
        <v>3538</v>
      </c>
      <c r="I1358" s="11" t="str">
        <f>HYPERLINK("https://redirect.sdcdeals.com/redirect?code=763034&amp;mavely=https://mavely.app.link/e/bhESV2wGrGb&amp;destination=https%3A%2F%2Fwww.kohls.com%2Fsearch.jsp%3Fsubmit-search%3Dweb-regular%26search%3D58450461", "Retail Link")</f>
        <v>Retail Link</v>
      </c>
      <c r="J1358" s="14" t="s">
        <v>3497</v>
      </c>
      <c r="K1358" s="13" t="s">
        <v>3539</v>
      </c>
      <c r="L1358" s="15">
        <v>24</v>
      </c>
      <c r="M1358" s="15">
        <v>31.5</v>
      </c>
      <c r="N1358" s="15">
        <v>-9.8750000000000018</v>
      </c>
      <c r="O1358" s="15">
        <f>V1358-M1358</f>
        <v>11.030000000000001</v>
      </c>
      <c r="P1358" s="16">
        <f>N1358/L1358</f>
        <v>-0.41145833333333343</v>
      </c>
      <c r="Q1358" s="14">
        <v>826894</v>
      </c>
      <c r="R1358" s="14"/>
      <c r="S1358" s="17">
        <v>1.0802638</v>
      </c>
      <c r="T1358" s="15">
        <v>31.5</v>
      </c>
      <c r="U1358" s="15">
        <v>32.93</v>
      </c>
      <c r="V1358" s="15">
        <v>42.53</v>
      </c>
      <c r="W1358" s="14" t="s">
        <v>269</v>
      </c>
      <c r="X1358" s="14">
        <v>2</v>
      </c>
      <c r="Y1358" s="10">
        <f>AC1358-AB1358</f>
        <v>7</v>
      </c>
      <c r="Z1358" s="18">
        <v>7</v>
      </c>
      <c r="AA1358" s="18">
        <v>16</v>
      </c>
      <c r="AB1358" s="18">
        <v>0</v>
      </c>
      <c r="AC1358" s="18">
        <v>7</v>
      </c>
      <c r="AD1358" s="1" t="s">
        <v>3499</v>
      </c>
      <c r="AE1358" s="1" t="s">
        <v>3530</v>
      </c>
      <c r="AF1358" s="4">
        <v>5.36</v>
      </c>
      <c r="AG1358" s="4">
        <v>12.65</v>
      </c>
    </row>
    <row r="1359" spans="1:33" ht="30" x14ac:dyDescent="0.25">
      <c r="A1359" s="10" t="s">
        <v>3548</v>
      </c>
      <c r="B1359" s="11" t="s">
        <v>33</v>
      </c>
      <c r="C1359" s="12" t="s">
        <v>3549</v>
      </c>
      <c r="D1359" s="27"/>
      <c r="E1359" s="14" t="s">
        <v>35</v>
      </c>
      <c r="F1359" s="11" t="str">
        <f>HYPERLINK("https://redirect.sdcdeals.com/redirect?destination=https%3A%2F%2Fwww.amazon.com%2Fdp%2FB0BKQYLR2P%3Fth%3D1%26psc%3D1%26tag%3Dsdcdeals03-20", "Amazon Link")</f>
        <v>Amazon Link</v>
      </c>
      <c r="G1359" s="11" t="s">
        <v>36</v>
      </c>
      <c r="H1359" s="14" t="s">
        <v>3550</v>
      </c>
      <c r="I1359" s="11" t="str">
        <f>HYPERLINK("https://redirect.sdcdeals.com/redirect?code=763034&amp;mavely=https://mavely.app.link/e/bhESV2wGrGb&amp;destination=https%3A%2F%2Fwww.kohls.com%2Fsearch.jsp%3Fsubmit-search%3Dweb-regular%26search%3D58450451", "Retail Link")</f>
        <v>Retail Link</v>
      </c>
      <c r="J1359" s="14" t="s">
        <v>3497</v>
      </c>
      <c r="K1359" s="13" t="s">
        <v>3551</v>
      </c>
      <c r="L1359" s="15">
        <v>24</v>
      </c>
      <c r="M1359" s="15">
        <v>31.5</v>
      </c>
      <c r="N1359" s="15">
        <v>-9.8750000000000018</v>
      </c>
      <c r="O1359" s="15">
        <f>V1359-M1359</f>
        <v>9.7999999999999972</v>
      </c>
      <c r="P1359" s="16">
        <f>N1359/L1359</f>
        <v>-0.41145833333333343</v>
      </c>
      <c r="Q1359" s="14">
        <v>826894</v>
      </c>
      <c r="R1359" s="14"/>
      <c r="S1359" s="17">
        <v>1.06042222</v>
      </c>
      <c r="T1359" s="15">
        <v>31.5</v>
      </c>
      <c r="U1359" s="15">
        <v>33.1</v>
      </c>
      <c r="V1359" s="15">
        <v>41.3</v>
      </c>
      <c r="W1359" s="14" t="s">
        <v>311</v>
      </c>
      <c r="X1359" s="14">
        <v>1</v>
      </c>
      <c r="Y1359" s="10">
        <f>AC1359-AB1359</f>
        <v>8</v>
      </c>
      <c r="Z1359" s="18">
        <v>8</v>
      </c>
      <c r="AA1359" s="18">
        <v>30</v>
      </c>
      <c r="AB1359" s="18">
        <v>0</v>
      </c>
      <c r="AC1359" s="18">
        <v>8</v>
      </c>
      <c r="AD1359" s="1" t="s">
        <v>3499</v>
      </c>
      <c r="AE1359" s="1" t="s">
        <v>3505</v>
      </c>
      <c r="AF1359" s="4">
        <v>5.36</v>
      </c>
      <c r="AG1359" s="4">
        <v>12.65</v>
      </c>
    </row>
    <row r="1360" spans="1:33" ht="30" x14ac:dyDescent="0.25">
      <c r="A1360" s="10" t="s">
        <v>7444</v>
      </c>
      <c r="B1360" s="11" t="s">
        <v>33</v>
      </c>
      <c r="C1360" s="12" t="s">
        <v>7445</v>
      </c>
      <c r="D1360" s="27"/>
      <c r="E1360" s="14" t="s">
        <v>35</v>
      </c>
      <c r="F1360" s="11" t="str">
        <f>HYPERLINK("https://redirect.sdcdeals.com/redirect?destination=https%3A%2F%2Fwww.amazon.com%2Fdp%2FB0BKQYSG91%3Fth%3D1%26psc%3D1%26tag%3Dsdcdeals03-20", "Amazon Link")</f>
        <v>Amazon Link</v>
      </c>
      <c r="G1360" s="11" t="s">
        <v>36</v>
      </c>
      <c r="H1360" s="14" t="s">
        <v>7446</v>
      </c>
      <c r="I1360" s="11" t="str">
        <f>HYPERLINK("https://redirect.sdcdeals.com/redirect?code=763034&amp;mavely=https://mavely.app.link/e/bhESV2wGrGb&amp;destination=https%3A%2F%2Fwww.kohls.com%2Fsearch.jsp%3Fsubmit-search%3Dweb-regular%26search%3D55628816", "Retail Link")</f>
        <v>Retail Link</v>
      </c>
      <c r="J1360" s="14" t="s">
        <v>7447</v>
      </c>
      <c r="K1360" s="13" t="s">
        <v>7448</v>
      </c>
      <c r="L1360" s="15">
        <v>24</v>
      </c>
      <c r="M1360" s="15">
        <v>31.5</v>
      </c>
      <c r="N1360" s="15">
        <v>-9.8750000000000018</v>
      </c>
      <c r="O1360" s="15">
        <f>V1360-M1360</f>
        <v>12.280000000000001</v>
      </c>
      <c r="P1360" s="16">
        <f>N1360/L1360</f>
        <v>-0.41145833333333343</v>
      </c>
      <c r="Q1360" s="14">
        <v>826894</v>
      </c>
      <c r="R1360" s="14"/>
      <c r="S1360" s="17">
        <v>0.78264010000000006</v>
      </c>
      <c r="T1360" s="15">
        <v>31.5</v>
      </c>
      <c r="U1360" s="15">
        <v>32.54</v>
      </c>
      <c r="V1360" s="15">
        <v>43.78</v>
      </c>
      <c r="W1360" s="14" t="s">
        <v>311</v>
      </c>
      <c r="X1360" s="14">
        <v>2</v>
      </c>
      <c r="Y1360" s="10">
        <f>AC1360-AB1360</f>
        <v>6</v>
      </c>
      <c r="Z1360" s="18">
        <v>7</v>
      </c>
      <c r="AA1360" s="18">
        <v>31</v>
      </c>
      <c r="AB1360" s="18">
        <v>0</v>
      </c>
      <c r="AC1360" s="18">
        <v>6</v>
      </c>
      <c r="AD1360" s="1" t="s">
        <v>7449</v>
      </c>
      <c r="AE1360" s="1" t="s">
        <v>3530</v>
      </c>
      <c r="AF1360" s="4">
        <v>5.36</v>
      </c>
      <c r="AG1360" s="4">
        <v>12.65</v>
      </c>
    </row>
    <row r="1361" spans="1:33" ht="30" x14ac:dyDescent="0.25">
      <c r="A1361" s="10" t="s">
        <v>1773</v>
      </c>
      <c r="B1361" s="11" t="s">
        <v>33</v>
      </c>
      <c r="C1361" s="12" t="s">
        <v>1774</v>
      </c>
      <c r="D1361" s="27"/>
      <c r="E1361" s="14" t="s">
        <v>35</v>
      </c>
      <c r="F1361" s="11" t="str">
        <f>HYPERLINK("https://redirect.sdcdeals.com/redirect?destination=https%3A%2F%2Fwww.amazon.com%2Fdp%2FB0BHL1FR14%3Fth%3D1%26psc%3D1%26tag%3Dsdcdeals03-20", "Amazon Link")</f>
        <v>Amazon Link</v>
      </c>
      <c r="G1361" s="11" t="s">
        <v>36</v>
      </c>
      <c r="H1361" s="14" t="s">
        <v>1775</v>
      </c>
      <c r="I1361" s="11" t="str">
        <f>HYPERLINK("https://redirect.sdcdeals.com/redirect?code=763034&amp;mavely=https://mavely.app.link/e/bhESV2wGrGb&amp;destination=https%3A%2F%2Fwww.kohls.com%2Fsearch.jsp%3Fsubmit-search%3Dweb-regular%26search%3D62942363", "Retail Link")</f>
        <v>Retail Link</v>
      </c>
      <c r="J1361" s="14" t="s">
        <v>1732</v>
      </c>
      <c r="K1361" s="13" t="s">
        <v>1776</v>
      </c>
      <c r="L1361" s="15">
        <v>14</v>
      </c>
      <c r="M1361" s="15">
        <v>17.5</v>
      </c>
      <c r="N1361" s="15">
        <v>-5.7949999999999999</v>
      </c>
      <c r="O1361" s="15">
        <f>V1361-M1361</f>
        <v>14.21</v>
      </c>
      <c r="P1361" s="16">
        <f>N1361/L1361</f>
        <v>-0.41392857142857142</v>
      </c>
      <c r="Q1361" s="14">
        <v>37317</v>
      </c>
      <c r="R1361" s="14"/>
      <c r="S1361" s="17">
        <v>1.0802638</v>
      </c>
      <c r="T1361" s="15">
        <v>17.5</v>
      </c>
      <c r="U1361" s="15">
        <v>31.42</v>
      </c>
      <c r="V1361" s="15">
        <v>31.71</v>
      </c>
      <c r="W1361" s="14" t="s">
        <v>1777</v>
      </c>
      <c r="X1361" s="14">
        <v>2</v>
      </c>
      <c r="Y1361" s="10">
        <f>AC1361-AB1361</f>
        <v>69</v>
      </c>
      <c r="Z1361" s="18">
        <v>37</v>
      </c>
      <c r="AA1361" s="18">
        <v>87</v>
      </c>
      <c r="AB1361" s="18">
        <v>3</v>
      </c>
      <c r="AC1361" s="18">
        <v>72</v>
      </c>
      <c r="AD1361" s="1" t="s">
        <v>1735</v>
      </c>
      <c r="AE1361" s="1" t="s">
        <v>1747</v>
      </c>
      <c r="AF1361" s="4">
        <v>2.98</v>
      </c>
      <c r="AG1361" s="4">
        <v>6.67</v>
      </c>
    </row>
    <row r="1362" spans="1:33" ht="30" x14ac:dyDescent="0.25">
      <c r="A1362" s="10" t="s">
        <v>3087</v>
      </c>
      <c r="B1362" s="11" t="s">
        <v>33</v>
      </c>
      <c r="C1362" s="12" t="s">
        <v>3088</v>
      </c>
      <c r="D1362" s="27"/>
      <c r="E1362" s="14" t="s">
        <v>35</v>
      </c>
      <c r="F1362" s="11" t="str">
        <f>HYPERLINK("https://redirect.sdcdeals.com/redirect?destination=https%3A%2F%2Fwww.amazon.com%2Fdp%2FB0B64JHB97%3Fth%3D1%26psc%3D1%26tag%3Dsdcdeals03-20", "Amazon Link")</f>
        <v>Amazon Link</v>
      </c>
      <c r="G1362" s="11" t="s">
        <v>36</v>
      </c>
      <c r="H1362" s="14" t="s">
        <v>3089</v>
      </c>
      <c r="I1362" s="11" t="str">
        <f>HYPERLINK("https://redirect.sdcdeals.com/redirect?code=763034&amp;mavely=https://mavely.app.link/e/bhESV2wGrGb&amp;destination=https%3A%2F%2Fwww.kohls.com%2Fsearch.jsp%3Fsubmit-search%3Dweb-regular%26search%3D78064361", "Retail Link")</f>
        <v>Retail Link</v>
      </c>
      <c r="J1362" s="14" t="s">
        <v>3090</v>
      </c>
      <c r="K1362" s="13" t="s">
        <v>3091</v>
      </c>
      <c r="L1362" s="15">
        <v>40</v>
      </c>
      <c r="M1362" s="15">
        <v>50</v>
      </c>
      <c r="N1362" s="15">
        <v>-16.61</v>
      </c>
      <c r="O1362" s="15">
        <f>V1362-M1362</f>
        <v>42.69</v>
      </c>
      <c r="P1362" s="16">
        <f>N1362/L1362</f>
        <v>-0.41525000000000001</v>
      </c>
      <c r="Q1362" s="14">
        <v>397142</v>
      </c>
      <c r="R1362" s="14"/>
      <c r="S1362" s="17">
        <v>2.9211214999999999</v>
      </c>
      <c r="T1362" s="15">
        <v>50</v>
      </c>
      <c r="U1362" s="15">
        <v>91.25</v>
      </c>
      <c r="V1362" s="15">
        <v>92.69</v>
      </c>
      <c r="W1362" s="14" t="s">
        <v>516</v>
      </c>
      <c r="X1362" s="14">
        <v>1</v>
      </c>
      <c r="Y1362" s="10">
        <f>AC1362-AB1362</f>
        <v>1935</v>
      </c>
      <c r="Z1362" s="18">
        <v>18</v>
      </c>
      <c r="AA1362" s="18">
        <v>54</v>
      </c>
      <c r="AB1362" s="18">
        <v>0</v>
      </c>
      <c r="AC1362" s="18">
        <v>1935</v>
      </c>
      <c r="AD1362" s="1" t="s">
        <v>3092</v>
      </c>
      <c r="AE1362" s="1" t="s">
        <v>3093</v>
      </c>
      <c r="AF1362" s="4">
        <v>8.5</v>
      </c>
      <c r="AG1362" s="4">
        <v>19.11</v>
      </c>
    </row>
    <row r="1363" spans="1:33" ht="30" x14ac:dyDescent="0.25">
      <c r="A1363" s="10" t="s">
        <v>547</v>
      </c>
      <c r="B1363" s="11" t="s">
        <v>33</v>
      </c>
      <c r="C1363" s="12" t="s">
        <v>548</v>
      </c>
      <c r="D1363" s="27"/>
      <c r="E1363" s="14" t="s">
        <v>35</v>
      </c>
      <c r="F1363" s="11" t="str">
        <f>HYPERLINK("https://redirect.sdcdeals.com/redirect?destination=https%3A%2F%2Fwww.amazon.com%2Fdp%2FB0BC26HPVM%3Fth%3D1%26psc%3D1%26tag%3Dsdcdeals03-20", "Amazon Link")</f>
        <v>Amazon Link</v>
      </c>
      <c r="G1363" s="11" t="s">
        <v>36</v>
      </c>
      <c r="H1363" s="14" t="s">
        <v>549</v>
      </c>
      <c r="I1363" s="11" t="str">
        <f>HYPERLINK("https://redirect.sdcdeals.com/redirect?code=763034&amp;mavely=https://mavely.app.link/e/bhESV2wGrGb&amp;destination=https%3A%2F%2Fwww.kohls.com%2Fsearch.jsp%3Fsubmit-search%3Dweb-regular%26search%3D65747719", "Retail Link")</f>
        <v>Retail Link</v>
      </c>
      <c r="J1363" s="14" t="s">
        <v>543</v>
      </c>
      <c r="K1363" s="13" t="s">
        <v>550</v>
      </c>
      <c r="L1363" s="15">
        <v>12.32</v>
      </c>
      <c r="M1363" s="15">
        <v>15.4</v>
      </c>
      <c r="N1363" s="15">
        <v>-5.1300000000000008</v>
      </c>
      <c r="O1363" s="15">
        <f>V1363-M1363</f>
        <v>16.53</v>
      </c>
      <c r="P1363" s="16">
        <f>N1363/L1363</f>
        <v>-0.41639610389610393</v>
      </c>
      <c r="Q1363" s="14">
        <v>5858949</v>
      </c>
      <c r="R1363" s="14"/>
      <c r="S1363" s="17">
        <v>0.41005932</v>
      </c>
      <c r="T1363" s="15">
        <v>15.4</v>
      </c>
      <c r="U1363" s="15">
        <v>32.590000000000003</v>
      </c>
      <c r="V1363" s="15">
        <v>31.93</v>
      </c>
      <c r="W1363" s="14" t="s">
        <v>106</v>
      </c>
      <c r="X1363" s="14">
        <v>1</v>
      </c>
      <c r="Y1363" s="10">
        <f>AC1363-AB1363</f>
        <v>0</v>
      </c>
      <c r="Z1363" s="18">
        <v>1</v>
      </c>
      <c r="AA1363" s="18">
        <v>2</v>
      </c>
      <c r="AB1363" s="18"/>
      <c r="AC1363" s="18"/>
      <c r="AD1363" s="1" t="s">
        <v>545</v>
      </c>
      <c r="AE1363" s="1" t="s">
        <v>551</v>
      </c>
      <c r="AF1363" s="4">
        <v>1.54</v>
      </c>
      <c r="AG1363" s="4">
        <v>5.9</v>
      </c>
    </row>
    <row r="1364" spans="1:33" ht="45" x14ac:dyDescent="0.25">
      <c r="A1364" s="10" t="s">
        <v>552</v>
      </c>
      <c r="B1364" s="11" t="s">
        <v>33</v>
      </c>
      <c r="C1364" s="12" t="s">
        <v>553</v>
      </c>
      <c r="D1364" s="27"/>
      <c r="E1364" s="14" t="s">
        <v>35</v>
      </c>
      <c r="F1364" s="11" t="str">
        <f>HYPERLINK("https://redirect.sdcdeals.com/redirect?destination=https%3A%2F%2Fwww.amazon.com%2Fdp%2FB0BC296RLQ%3Fth%3D1%26psc%3D1%26tag%3Dsdcdeals03-20", "Amazon Link")</f>
        <v>Amazon Link</v>
      </c>
      <c r="G1364" s="11" t="s">
        <v>36</v>
      </c>
      <c r="H1364" s="14" t="s">
        <v>554</v>
      </c>
      <c r="I1364" s="11" t="str">
        <f>HYPERLINK("https://redirect.sdcdeals.com/redirect?code=763034&amp;mavely=https://mavely.app.link/e/bhESV2wGrGb&amp;destination=https%3A%2F%2Fwww.kohls.com%2Fsearch.jsp%3Fsubmit-search%3Dweb-regular%26search%3D65747731", "Retail Link")</f>
        <v>Retail Link</v>
      </c>
      <c r="J1364" s="14" t="s">
        <v>543</v>
      </c>
      <c r="K1364" s="13" t="s">
        <v>555</v>
      </c>
      <c r="L1364" s="15">
        <v>12.32</v>
      </c>
      <c r="M1364" s="15">
        <v>15.4</v>
      </c>
      <c r="N1364" s="15">
        <v>-5.1300000000000008</v>
      </c>
      <c r="O1364" s="15">
        <f>V1364-M1364</f>
        <v>19.72</v>
      </c>
      <c r="P1364" s="16">
        <f>N1364/L1364</f>
        <v>-0.41639610389610393</v>
      </c>
      <c r="Q1364" s="14">
        <v>5858949</v>
      </c>
      <c r="R1364" s="14"/>
      <c r="S1364" s="17">
        <v>0.41005932</v>
      </c>
      <c r="T1364" s="15">
        <v>15.4</v>
      </c>
      <c r="U1364" s="15">
        <v>30.5</v>
      </c>
      <c r="V1364" s="15">
        <v>35.119999999999997</v>
      </c>
      <c r="W1364" s="14" t="s">
        <v>100</v>
      </c>
      <c r="X1364" s="14">
        <v>1</v>
      </c>
      <c r="Y1364" s="10">
        <f>AC1364-AB1364</f>
        <v>0</v>
      </c>
      <c r="Z1364" s="18">
        <v>1</v>
      </c>
      <c r="AA1364" s="18">
        <v>1</v>
      </c>
      <c r="AB1364" s="18"/>
      <c r="AC1364" s="18"/>
      <c r="AD1364" s="1" t="s">
        <v>545</v>
      </c>
      <c r="AE1364" s="1" t="s">
        <v>546</v>
      </c>
      <c r="AF1364" s="4">
        <v>2.62</v>
      </c>
      <c r="AG1364" s="4">
        <v>5.9</v>
      </c>
    </row>
    <row r="1365" spans="1:33" ht="30" x14ac:dyDescent="0.25">
      <c r="A1365" s="10" t="s">
        <v>560</v>
      </c>
      <c r="B1365" s="11" t="s">
        <v>33</v>
      </c>
      <c r="C1365" s="12" t="s">
        <v>561</v>
      </c>
      <c r="D1365" s="27"/>
      <c r="E1365" s="14" t="s">
        <v>35</v>
      </c>
      <c r="F1365" s="11" t="str">
        <f>HYPERLINK("https://redirect.sdcdeals.com/redirect?destination=https%3A%2F%2Fwww.amazon.com%2Fdp%2FB0BC29X216%3Fth%3D1%26psc%3D1%26tag%3Dsdcdeals03-20", "Amazon Link")</f>
        <v>Amazon Link</v>
      </c>
      <c r="G1365" s="11" t="s">
        <v>36</v>
      </c>
      <c r="H1365" s="14" t="s">
        <v>562</v>
      </c>
      <c r="I1365" s="11" t="str">
        <f>HYPERLINK("https://redirect.sdcdeals.com/redirect?code=763034&amp;mavely=https://mavely.app.link/e/bhESV2wGrGb&amp;destination=https%3A%2F%2Fwww.kohls.com%2Fsearch.jsp%3Fsubmit-search%3Dweb-regular%26search%3D65747722", "Retail Link")</f>
        <v>Retail Link</v>
      </c>
      <c r="J1365" s="14" t="s">
        <v>543</v>
      </c>
      <c r="K1365" s="13" t="s">
        <v>563</v>
      </c>
      <c r="L1365" s="15">
        <v>12.32</v>
      </c>
      <c r="M1365" s="15">
        <v>15.4</v>
      </c>
      <c r="N1365" s="15">
        <v>-5.1300000000000008</v>
      </c>
      <c r="O1365" s="15">
        <f>V1365-M1365</f>
        <v>14.089999999999998</v>
      </c>
      <c r="P1365" s="16">
        <f>N1365/L1365</f>
        <v>-0.41639610389610393</v>
      </c>
      <c r="Q1365" s="14">
        <v>5858949</v>
      </c>
      <c r="R1365" s="14"/>
      <c r="S1365" s="17">
        <v>0.41005932</v>
      </c>
      <c r="T1365" s="15">
        <v>15.4</v>
      </c>
      <c r="U1365" s="15">
        <v>31.18</v>
      </c>
      <c r="V1365" s="15">
        <v>29.49</v>
      </c>
      <c r="W1365" s="14" t="s">
        <v>269</v>
      </c>
      <c r="X1365" s="14">
        <v>1</v>
      </c>
      <c r="Y1365" s="10">
        <f>AC1365-AB1365</f>
        <v>0</v>
      </c>
      <c r="Z1365" s="18">
        <v>1</v>
      </c>
      <c r="AA1365" s="18">
        <v>1</v>
      </c>
      <c r="AB1365" s="18"/>
      <c r="AC1365" s="18"/>
      <c r="AD1365" s="1" t="s">
        <v>545</v>
      </c>
      <c r="AE1365" s="1" t="s">
        <v>551</v>
      </c>
      <c r="AF1365" s="4">
        <v>2.62</v>
      </c>
      <c r="AG1365" s="4">
        <v>5.9</v>
      </c>
    </row>
    <row r="1366" spans="1:33" ht="45" x14ac:dyDescent="0.25">
      <c r="A1366" s="10" t="s">
        <v>564</v>
      </c>
      <c r="B1366" s="11" t="s">
        <v>33</v>
      </c>
      <c r="C1366" s="12" t="s">
        <v>565</v>
      </c>
      <c r="D1366" s="27"/>
      <c r="E1366" s="14" t="s">
        <v>35</v>
      </c>
      <c r="F1366" s="11" t="str">
        <f>HYPERLINK("https://redirect.sdcdeals.com/redirect?destination=https%3A%2F%2Fwww.amazon.com%2Fdp%2FB0BC284FP2%3Fth%3D1%26psc%3D1%26tag%3Dsdcdeals03-20", "Amazon Link")</f>
        <v>Amazon Link</v>
      </c>
      <c r="G1366" s="11" t="s">
        <v>36</v>
      </c>
      <c r="H1366" s="14" t="s">
        <v>566</v>
      </c>
      <c r="I1366" s="11" t="str">
        <f>HYPERLINK("https://redirect.sdcdeals.com/redirect?code=763034&amp;mavely=https://mavely.app.link/e/bhESV2wGrGb&amp;destination=https%3A%2F%2Fwww.kohls.com%2Fsearch.jsp%3Fsubmit-search%3Dweb-regular%26search%3D65747739", "Retail Link")</f>
        <v>Retail Link</v>
      </c>
      <c r="J1366" s="14" t="s">
        <v>543</v>
      </c>
      <c r="K1366" s="13" t="s">
        <v>567</v>
      </c>
      <c r="L1366" s="15">
        <v>12.32</v>
      </c>
      <c r="M1366" s="15">
        <v>15.4</v>
      </c>
      <c r="N1366" s="15">
        <v>-5.1300000000000008</v>
      </c>
      <c r="O1366" s="15">
        <f>V1366-M1366</f>
        <v>6.5699999999999985</v>
      </c>
      <c r="P1366" s="16">
        <f>N1366/L1366</f>
        <v>-0.41639610389610393</v>
      </c>
      <c r="Q1366" s="14">
        <v>8007018</v>
      </c>
      <c r="R1366" s="14"/>
      <c r="S1366" s="17">
        <v>0.41005932</v>
      </c>
      <c r="T1366" s="15">
        <v>15.4</v>
      </c>
      <c r="U1366" s="15">
        <v>31.87</v>
      </c>
      <c r="V1366" s="15">
        <v>21.97</v>
      </c>
      <c r="W1366" s="14" t="s">
        <v>255</v>
      </c>
      <c r="X1366" s="14">
        <v>1</v>
      </c>
      <c r="Y1366" s="10">
        <f>AC1366-AB1366</f>
        <v>0</v>
      </c>
      <c r="Z1366" s="18">
        <v>0</v>
      </c>
      <c r="AA1366" s="18">
        <v>1</v>
      </c>
      <c r="AB1366" s="18"/>
      <c r="AC1366" s="18"/>
      <c r="AD1366" s="1" t="s">
        <v>545</v>
      </c>
      <c r="AE1366" s="1" t="s">
        <v>546</v>
      </c>
      <c r="AF1366" s="4">
        <v>1.54</v>
      </c>
      <c r="AG1366" s="4">
        <v>5.9</v>
      </c>
    </row>
    <row r="1367" spans="1:33" ht="45" x14ac:dyDescent="0.25">
      <c r="A1367" s="10" t="s">
        <v>568</v>
      </c>
      <c r="B1367" s="11" t="s">
        <v>33</v>
      </c>
      <c r="C1367" s="12" t="s">
        <v>569</v>
      </c>
      <c r="D1367" s="27"/>
      <c r="E1367" s="14" t="s">
        <v>35</v>
      </c>
      <c r="F1367" s="11" t="str">
        <f>HYPERLINK("https://redirect.sdcdeals.com/redirect?destination=https%3A%2F%2Fwww.amazon.com%2Fdp%2FB0BC26WH8C%3Fth%3D1%26psc%3D1%26tag%3Dsdcdeals03-20", "Amazon Link")</f>
        <v>Amazon Link</v>
      </c>
      <c r="G1367" s="11" t="s">
        <v>36</v>
      </c>
      <c r="H1367" s="14" t="s">
        <v>570</v>
      </c>
      <c r="I1367" s="11" t="str">
        <f>HYPERLINK("https://redirect.sdcdeals.com/redirect?code=763034&amp;mavely=https://mavely.app.link/e/bhESV2wGrGb&amp;destination=https%3A%2F%2Fwww.kohls.com%2Fsearch.jsp%3Fsubmit-search%3Dweb-regular%26search%3D65747740", "Retail Link")</f>
        <v>Retail Link</v>
      </c>
      <c r="J1367" s="14" t="s">
        <v>543</v>
      </c>
      <c r="K1367" s="13" t="s">
        <v>571</v>
      </c>
      <c r="L1367" s="15">
        <v>12.32</v>
      </c>
      <c r="M1367" s="15">
        <v>15.4</v>
      </c>
      <c r="N1367" s="15">
        <v>-5.1300000000000008</v>
      </c>
      <c r="O1367" s="15">
        <f>V1367-M1367</f>
        <v>5.7799999999999994</v>
      </c>
      <c r="P1367" s="16">
        <f>N1367/L1367</f>
        <v>-0.41639610389610393</v>
      </c>
      <c r="Q1367" s="14">
        <v>5859484</v>
      </c>
      <c r="R1367" s="14"/>
      <c r="S1367" s="17">
        <v>0.41005932</v>
      </c>
      <c r="T1367" s="15">
        <v>15.4</v>
      </c>
      <c r="U1367" s="15">
        <v>27.73</v>
      </c>
      <c r="V1367" s="15">
        <v>21.18</v>
      </c>
      <c r="W1367" s="14" t="s">
        <v>164</v>
      </c>
      <c r="X1367" s="14">
        <v>1</v>
      </c>
      <c r="Y1367" s="10">
        <f>AC1367-AB1367</f>
        <v>0</v>
      </c>
      <c r="Z1367" s="18">
        <v>1</v>
      </c>
      <c r="AA1367" s="18">
        <v>1</v>
      </c>
      <c r="AB1367" s="18"/>
      <c r="AC1367" s="18"/>
      <c r="AD1367" s="1" t="s">
        <v>545</v>
      </c>
      <c r="AE1367" s="1" t="s">
        <v>546</v>
      </c>
      <c r="AF1367" s="4">
        <v>1.54</v>
      </c>
      <c r="AG1367" s="4">
        <v>5.9</v>
      </c>
    </row>
    <row r="1368" spans="1:33" ht="30" x14ac:dyDescent="0.25">
      <c r="A1368" s="10" t="s">
        <v>5348</v>
      </c>
      <c r="B1368" s="11" t="s">
        <v>33</v>
      </c>
      <c r="C1368" s="12" t="s">
        <v>5349</v>
      </c>
      <c r="D1368" s="27"/>
      <c r="E1368" s="14" t="s">
        <v>35</v>
      </c>
      <c r="F1368" s="11" t="str">
        <f>HYPERLINK("https://redirect.sdcdeals.com/redirect?destination=https%3A%2F%2Fwww.amazon.com%2Fdp%2FB09KMJGQJM%3Fth%3D1%26psc%3D1%26tag%3Dsdcdeals03-20", "Amazon Link")</f>
        <v>Amazon Link</v>
      </c>
      <c r="G1368" s="11" t="s">
        <v>36</v>
      </c>
      <c r="H1368" s="14" t="s">
        <v>5350</v>
      </c>
      <c r="I1368" s="11" t="str">
        <f>HYPERLINK("https://redirect.sdcdeals.com/redirect?code=763034&amp;mavely=https://mavely.app.link/e/bhESV2wGrGb&amp;destination=https%3A%2F%2Fwww.kohls.com%2Fsearch.jsp%3Fsubmit-search%3Dweb-regular%26search%3D58125001", "Retail Link")</f>
        <v>Retail Link</v>
      </c>
      <c r="J1368" s="14" t="s">
        <v>5336</v>
      </c>
      <c r="K1368" s="13" t="s">
        <v>5351</v>
      </c>
      <c r="L1368" s="15">
        <v>24</v>
      </c>
      <c r="M1368" s="15">
        <v>30</v>
      </c>
      <c r="N1368" s="15">
        <v>-10.01</v>
      </c>
      <c r="O1368" s="15">
        <f>V1368-M1368</f>
        <v>28.32</v>
      </c>
      <c r="P1368" s="16">
        <f>N1368/L1368</f>
        <v>-0.41708333333333331</v>
      </c>
      <c r="Q1368" s="14">
        <v>149455</v>
      </c>
      <c r="R1368" s="14"/>
      <c r="S1368" s="17">
        <v>1.0141252000000001</v>
      </c>
      <c r="T1368" s="15">
        <v>30</v>
      </c>
      <c r="U1368" s="15">
        <v>48.77</v>
      </c>
      <c r="V1368" s="15">
        <v>58.32</v>
      </c>
      <c r="W1368" s="14" t="s">
        <v>964</v>
      </c>
      <c r="X1368" s="14">
        <v>4</v>
      </c>
      <c r="Y1368" s="10">
        <f>AC1368-AB1368</f>
        <v>287</v>
      </c>
      <c r="Z1368" s="18">
        <v>28</v>
      </c>
      <c r="AA1368" s="18">
        <v>83</v>
      </c>
      <c r="AB1368" s="18">
        <v>3</v>
      </c>
      <c r="AC1368" s="18">
        <v>290</v>
      </c>
      <c r="AD1368" s="1" t="s">
        <v>5338</v>
      </c>
      <c r="AE1368" s="1" t="s">
        <v>5339</v>
      </c>
      <c r="AF1368" s="4">
        <v>5.0999999999999996</v>
      </c>
      <c r="AG1368" s="4">
        <v>11.51</v>
      </c>
    </row>
    <row r="1369" spans="1:33" ht="30" x14ac:dyDescent="0.25">
      <c r="A1369" s="10" t="s">
        <v>1676</v>
      </c>
      <c r="B1369" s="11" t="s">
        <v>33</v>
      </c>
      <c r="C1369" s="12" t="s">
        <v>1677</v>
      </c>
      <c r="D1369" s="27"/>
      <c r="E1369" s="14" t="s">
        <v>35</v>
      </c>
      <c r="F1369" s="11" t="str">
        <f>HYPERLINK("https://redirect.sdcdeals.com/redirect?destination=https%3A%2F%2Fwww.amazon.com%2Fdp%2FB0C5V1K699%3Fth%3D1%26psc%3D1%26tag%3Dsdcdeals03-20", "Amazon Link")</f>
        <v>Amazon Link</v>
      </c>
      <c r="G1369" s="11" t="s">
        <v>36</v>
      </c>
      <c r="H1369" s="14" t="s">
        <v>1678</v>
      </c>
      <c r="I1369" s="11" t="str">
        <f>HYPERLINK("https://redirect.sdcdeals.com/redirect?code=763034&amp;mavely=https://mavely.app.link/e/bhESV2wGrGb&amp;destination=https%3A%2F%2Fwww.kohls.com%2Fsearch.jsp%3Fsubmit-search%3Dweb-regular%26search%3D80196027", "Retail Link")</f>
        <v>Retail Link</v>
      </c>
      <c r="J1369" s="14" t="s">
        <v>1679</v>
      </c>
      <c r="K1369" s="13" t="s">
        <v>1680</v>
      </c>
      <c r="L1369" s="15">
        <v>4.7920000000000007</v>
      </c>
      <c r="M1369" s="15">
        <v>11.99</v>
      </c>
      <c r="N1369" s="15">
        <v>-2.0005000000000011</v>
      </c>
      <c r="O1369" s="15">
        <f>V1369-M1369</f>
        <v>-0.42999999999999972</v>
      </c>
      <c r="P1369" s="16">
        <f>N1369/L1369</f>
        <v>-0.41746661101836408</v>
      </c>
      <c r="Q1369" s="14">
        <v>5158076</v>
      </c>
      <c r="R1369" s="14"/>
      <c r="S1369" s="17">
        <v>1.9797487600000001</v>
      </c>
      <c r="T1369" s="15">
        <v>11.99</v>
      </c>
      <c r="U1369" s="15">
        <v>10.6</v>
      </c>
      <c r="V1369" s="15">
        <v>11.56</v>
      </c>
      <c r="W1369" s="14" t="s">
        <v>1681</v>
      </c>
      <c r="X1369" s="14">
        <v>3</v>
      </c>
      <c r="Y1369" s="10">
        <f>AC1369-AB1369</f>
        <v>0</v>
      </c>
      <c r="Z1369" s="18">
        <v>0</v>
      </c>
      <c r="AA1369" s="18">
        <v>1</v>
      </c>
      <c r="AB1369" s="18"/>
      <c r="AC1369" s="18"/>
      <c r="AD1369" s="1" t="s">
        <v>1682</v>
      </c>
      <c r="AE1369" s="1" t="s">
        <v>1243</v>
      </c>
      <c r="AF1369" s="4">
        <v>1.8</v>
      </c>
      <c r="AG1369" s="4">
        <v>7.4</v>
      </c>
    </row>
    <row r="1370" spans="1:33" ht="30" x14ac:dyDescent="0.25">
      <c r="A1370" s="10" t="s">
        <v>2313</v>
      </c>
      <c r="B1370" s="11" t="s">
        <v>33</v>
      </c>
      <c r="C1370" s="12" t="s">
        <v>2314</v>
      </c>
      <c r="D1370" s="27"/>
      <c r="E1370" s="14" t="s">
        <v>35</v>
      </c>
      <c r="F1370" s="11" t="str">
        <f>HYPERLINK("https://redirect.sdcdeals.com/redirect?destination=https%3A%2F%2Fwww.amazon.com%2Fdp%2FB0BGVLXCWM%3Fth%3D1%26psc%3D1%26tag%3Dsdcdeals03-20", "Amazon Link")</f>
        <v>Amazon Link</v>
      </c>
      <c r="G1370" s="11" t="s">
        <v>36</v>
      </c>
      <c r="H1370" s="14" t="s">
        <v>2315</v>
      </c>
      <c r="I1370" s="11" t="str">
        <f>HYPERLINK("https://redirect.sdcdeals.com/redirect?code=763034&amp;mavely=https://mavely.app.link/e/bhESV2wGrGb&amp;destination=https%3A%2F%2Fwww.kohls.com%2Fsearch.jsp%3Fsubmit-search%3Dweb-regular%26search%3D76910551", "Retail Link")</f>
        <v>Retail Link</v>
      </c>
      <c r="J1370" s="14" t="s">
        <v>2290</v>
      </c>
      <c r="K1370" s="13" t="s">
        <v>2316</v>
      </c>
      <c r="L1370" s="15">
        <v>15.4</v>
      </c>
      <c r="M1370" s="15">
        <v>19.25</v>
      </c>
      <c r="N1370" s="15">
        <v>-6.4375</v>
      </c>
      <c r="O1370" s="15">
        <f>V1370-M1370</f>
        <v>20.68</v>
      </c>
      <c r="P1370" s="16">
        <f>N1370/L1370</f>
        <v>-0.41801948051948051</v>
      </c>
      <c r="Q1370" s="14">
        <v>7343</v>
      </c>
      <c r="R1370" s="14">
        <v>50</v>
      </c>
      <c r="S1370" s="17">
        <v>1.0097159600000001</v>
      </c>
      <c r="T1370" s="15">
        <v>19.25</v>
      </c>
      <c r="U1370" s="15">
        <v>35.270000000000003</v>
      </c>
      <c r="V1370" s="15">
        <v>39.93</v>
      </c>
      <c r="W1370" s="14" t="s">
        <v>2317</v>
      </c>
      <c r="X1370" s="14">
        <v>4</v>
      </c>
      <c r="Y1370" s="10">
        <f>AC1370-AB1370</f>
        <v>0</v>
      </c>
      <c r="Z1370" s="18">
        <v>37</v>
      </c>
      <c r="AA1370" s="18">
        <v>142</v>
      </c>
      <c r="AB1370" s="18">
        <v>27</v>
      </c>
      <c r="AC1370" s="18">
        <v>27</v>
      </c>
      <c r="AD1370" s="1" t="s">
        <v>2293</v>
      </c>
      <c r="AE1370" s="1" t="s">
        <v>1865</v>
      </c>
      <c r="AF1370" s="4">
        <v>1.93</v>
      </c>
      <c r="AG1370" s="4">
        <v>7.4</v>
      </c>
    </row>
    <row r="1371" spans="1:33" ht="30" x14ac:dyDescent="0.25">
      <c r="A1371" s="10" t="s">
        <v>7199</v>
      </c>
      <c r="B1371" s="11" t="s">
        <v>33</v>
      </c>
      <c r="C1371" s="12" t="s">
        <v>7200</v>
      </c>
      <c r="D1371" s="27"/>
      <c r="E1371" s="14" t="s">
        <v>35</v>
      </c>
      <c r="F1371" s="11" t="str">
        <f>HYPERLINK("https://redirect.sdcdeals.com/redirect?destination=https%3A%2F%2Fwww.amazon.com%2Fdp%2FB0CCX3ZVZ9%3Fth%3D1%26psc%3D1%26tag%3Dsdcdeals03-20", "Amazon Link")</f>
        <v>Amazon Link</v>
      </c>
      <c r="G1371" s="11" t="s">
        <v>36</v>
      </c>
      <c r="H1371" s="14" t="s">
        <v>7201</v>
      </c>
      <c r="I1371" s="11" t="str">
        <f>HYPERLINK("https://redirect.sdcdeals.com/redirect?code=763034&amp;mavely=https://mavely.app.link/e/bhESV2wGrGb&amp;destination=https%3A%2F%2Fwww.kohls.com%2Fsearch.jsp%3Fsubmit-search%3Dweb-regular%26search%3D62385626", "Retail Link")</f>
        <v>Retail Link</v>
      </c>
      <c r="J1371" s="14" t="s">
        <v>7187</v>
      </c>
      <c r="K1371" s="13" t="s">
        <v>7202</v>
      </c>
      <c r="L1371" s="15">
        <v>25.992000000000001</v>
      </c>
      <c r="M1371" s="15">
        <v>32.49</v>
      </c>
      <c r="N1371" s="15">
        <v>-11.025499999999999</v>
      </c>
      <c r="O1371" s="15">
        <f>V1371-M1371</f>
        <v>43.54</v>
      </c>
      <c r="P1371" s="16">
        <f>N1371/L1371</f>
        <v>-0.4241882117574638</v>
      </c>
      <c r="Q1371" s="14">
        <v>694537</v>
      </c>
      <c r="R1371" s="14"/>
      <c r="S1371" s="17">
        <v>3.8999727800000001</v>
      </c>
      <c r="T1371" s="15">
        <v>32.49</v>
      </c>
      <c r="U1371" s="15">
        <v>64.39</v>
      </c>
      <c r="V1371" s="15">
        <v>76.03</v>
      </c>
      <c r="W1371" s="14" t="s">
        <v>835</v>
      </c>
      <c r="X1371" s="14">
        <v>4</v>
      </c>
      <c r="Y1371" s="10">
        <f>AC1371-AB1371</f>
        <v>5</v>
      </c>
      <c r="Z1371" s="18">
        <v>16</v>
      </c>
      <c r="AA1371" s="18">
        <v>42</v>
      </c>
      <c r="AB1371" s="18">
        <v>1</v>
      </c>
      <c r="AC1371" s="18">
        <v>6</v>
      </c>
      <c r="AD1371" s="1" t="s">
        <v>7189</v>
      </c>
      <c r="AE1371" s="1" t="s">
        <v>7190</v>
      </c>
      <c r="AF1371" s="4">
        <v>4.87</v>
      </c>
      <c r="AG1371" s="4">
        <v>12.65</v>
      </c>
    </row>
    <row r="1372" spans="1:33" ht="30" x14ac:dyDescent="0.25">
      <c r="A1372" s="10" t="s">
        <v>3134</v>
      </c>
      <c r="B1372" s="11" t="s">
        <v>33</v>
      </c>
      <c r="C1372" s="12" t="s">
        <v>3135</v>
      </c>
      <c r="D1372" s="27"/>
      <c r="E1372" s="14" t="s">
        <v>35</v>
      </c>
      <c r="F1372" s="11" t="str">
        <f>HYPERLINK("https://redirect.sdcdeals.com/redirect?destination=https%3A%2F%2Fwww.amazon.com%2Fdp%2FB07KGQL7BS%3Fth%3D1%26psc%3D1%26tag%3Dsdcdeals03-20", "Amazon Link")</f>
        <v>Amazon Link</v>
      </c>
      <c r="G1372" s="11" t="s">
        <v>36</v>
      </c>
      <c r="H1372" s="14" t="s">
        <v>3136</v>
      </c>
      <c r="I1372" s="11" t="str">
        <f>HYPERLINK("https://redirect.sdcdeals.com/redirect?code=763034&amp;mavely=https://mavely.app.link/e/bhESV2wGrGb&amp;destination=https%3A%2F%2Fwww.kohls.com%2Fsearch.jsp%3Fsubmit-search%3Dweb-regular%26search%3D78064374", "Retail Link")</f>
        <v>Retail Link</v>
      </c>
      <c r="J1372" s="14" t="s">
        <v>3090</v>
      </c>
      <c r="K1372" s="13" t="s">
        <v>3137</v>
      </c>
      <c r="L1372" s="15">
        <v>40</v>
      </c>
      <c r="M1372" s="15">
        <v>50</v>
      </c>
      <c r="N1372" s="15">
        <v>-16.989999999999998</v>
      </c>
      <c r="O1372" s="15">
        <f>V1372-M1372</f>
        <v>71.680000000000007</v>
      </c>
      <c r="P1372" s="16">
        <f>N1372/L1372</f>
        <v>-0.42474999999999996</v>
      </c>
      <c r="Q1372" s="14">
        <v>397142</v>
      </c>
      <c r="R1372" s="14"/>
      <c r="S1372" s="17">
        <v>3.2628376000000001</v>
      </c>
      <c r="T1372" s="15">
        <v>50</v>
      </c>
      <c r="U1372" s="15">
        <v>121.68</v>
      </c>
      <c r="V1372" s="15">
        <v>121.68</v>
      </c>
      <c r="W1372" s="14" t="s">
        <v>598</v>
      </c>
      <c r="X1372" s="14">
        <v>2</v>
      </c>
      <c r="Y1372" s="10">
        <f>AC1372-AB1372</f>
        <v>1935</v>
      </c>
      <c r="Z1372" s="18">
        <v>16</v>
      </c>
      <c r="AA1372" s="18">
        <v>19</v>
      </c>
      <c r="AB1372" s="18">
        <v>0</v>
      </c>
      <c r="AC1372" s="18">
        <v>1935</v>
      </c>
      <c r="AD1372" s="1" t="s">
        <v>3138</v>
      </c>
      <c r="AE1372" s="1" t="s">
        <v>3105</v>
      </c>
      <c r="AF1372" s="4">
        <v>8.5</v>
      </c>
      <c r="AG1372" s="4">
        <v>19.489999999999998</v>
      </c>
    </row>
    <row r="1373" spans="1:33" ht="30" x14ac:dyDescent="0.25">
      <c r="A1373" s="10" t="s">
        <v>2641</v>
      </c>
      <c r="B1373" s="11" t="s">
        <v>33</v>
      </c>
      <c r="C1373" s="12" t="s">
        <v>2642</v>
      </c>
      <c r="D1373" s="27"/>
      <c r="E1373" s="14" t="s">
        <v>35</v>
      </c>
      <c r="F1373" s="11" t="str">
        <f>HYPERLINK("https://redirect.sdcdeals.com/redirect?destination=https%3A%2F%2Fwww.amazon.com%2Fdp%2FB0BRR4LQ44%3Fth%3D1%26psc%3D1%26tag%3Dsdcdeals03-20", "Amazon Link")</f>
        <v>Amazon Link</v>
      </c>
      <c r="G1373" s="11" t="s">
        <v>36</v>
      </c>
      <c r="H1373" s="14" t="s">
        <v>2643</v>
      </c>
      <c r="I1373" s="11" t="str">
        <f>HYPERLINK("https://redirect.sdcdeals.com/redirect?code=763034&amp;mavely=https://mavely.app.link/e/bhESV2wGrGb&amp;destination=https%3A%2F%2Fwww.kohls.com%2Fsearch.jsp%3Fsubmit-search%3Dweb-regular%26search%3D73547365", "Retail Link")</f>
        <v>Retail Link</v>
      </c>
      <c r="J1373" s="14" t="s">
        <v>2644</v>
      </c>
      <c r="K1373" s="13" t="s">
        <v>2645</v>
      </c>
      <c r="L1373" s="15">
        <v>16.495999999999999</v>
      </c>
      <c r="M1373" s="15">
        <v>20.62</v>
      </c>
      <c r="N1373" s="15">
        <v>-7.0089999999999968</v>
      </c>
      <c r="O1373" s="15">
        <f>V1373-M1373</f>
        <v>30.37</v>
      </c>
      <c r="P1373" s="16">
        <f>N1373/L1373</f>
        <v>-0.42489088263821517</v>
      </c>
      <c r="Q1373" s="14">
        <v>351265</v>
      </c>
      <c r="R1373" s="14"/>
      <c r="S1373" s="17">
        <v>2.8439597999999999</v>
      </c>
      <c r="T1373" s="15">
        <v>20.62</v>
      </c>
      <c r="U1373" s="15">
        <v>43.46</v>
      </c>
      <c r="V1373" s="15">
        <v>50.99</v>
      </c>
      <c r="W1373" s="14" t="s">
        <v>698</v>
      </c>
      <c r="X1373" s="14">
        <v>2</v>
      </c>
      <c r="Y1373" s="10">
        <f>AC1373-AB1373</f>
        <v>388</v>
      </c>
      <c r="Z1373" s="18">
        <v>7</v>
      </c>
      <c r="AA1373" s="18">
        <v>19</v>
      </c>
      <c r="AB1373" s="18">
        <v>0</v>
      </c>
      <c r="AC1373" s="18">
        <v>388</v>
      </c>
      <c r="AD1373" s="1" t="s">
        <v>2646</v>
      </c>
      <c r="AE1373" s="1" t="s">
        <v>2647</v>
      </c>
      <c r="AF1373" s="4">
        <v>3.09</v>
      </c>
      <c r="AG1373" s="4">
        <v>8.0399999999999991</v>
      </c>
    </row>
    <row r="1374" spans="1:33" ht="30" x14ac:dyDescent="0.25">
      <c r="A1374" s="10" t="s">
        <v>5524</v>
      </c>
      <c r="B1374" s="11" t="s">
        <v>33</v>
      </c>
      <c r="C1374" s="12" t="s">
        <v>5525</v>
      </c>
      <c r="D1374" s="27"/>
      <c r="E1374" s="14" t="s">
        <v>35</v>
      </c>
      <c r="F1374" s="11" t="str">
        <f>HYPERLINK("https://redirect.sdcdeals.com/redirect?destination=https%3A%2F%2Fwww.amazon.com%2Fdp%2FB0C9ZWNGLW%3Fth%3D1%26psc%3D1%26tag%3Dsdcdeals03-20", "Amazon Link")</f>
        <v>Amazon Link</v>
      </c>
      <c r="G1374" s="11" t="s">
        <v>36</v>
      </c>
      <c r="H1374" s="14" t="s">
        <v>5526</v>
      </c>
      <c r="I1374" s="11" t="str">
        <f>HYPERLINK("https://redirect.sdcdeals.com/redirect?code=763034&amp;mavely=https://mavely.app.link/e/bhESV2wGrGb&amp;destination=https%3A%2F%2Fwww.kohls.com%2Fsearch.jsp%3Fsubmit-search%3Dweb-regular%26search%3D79092609", "Retail Link")</f>
        <v>Retail Link</v>
      </c>
      <c r="J1374" s="14" t="s">
        <v>5527</v>
      </c>
      <c r="K1374" s="13" t="s">
        <v>5528</v>
      </c>
      <c r="L1374" s="15">
        <v>16.792000000000002</v>
      </c>
      <c r="M1374" s="15">
        <v>20.99</v>
      </c>
      <c r="N1374" s="15">
        <v>-7.150500000000001</v>
      </c>
      <c r="O1374" s="15">
        <f>V1374-M1374</f>
        <v>21.31</v>
      </c>
      <c r="P1374" s="16">
        <f>N1374/L1374</f>
        <v>-0.42582777513101477</v>
      </c>
      <c r="Q1374" s="14">
        <v>2100036</v>
      </c>
      <c r="R1374" s="14"/>
      <c r="S1374" s="17">
        <v>2.6697948199999999</v>
      </c>
      <c r="T1374" s="15">
        <v>20.99</v>
      </c>
      <c r="U1374" s="15">
        <v>32.92</v>
      </c>
      <c r="V1374" s="15">
        <v>42.3</v>
      </c>
      <c r="W1374" s="14" t="s">
        <v>576</v>
      </c>
      <c r="X1374" s="14">
        <v>6</v>
      </c>
      <c r="Y1374" s="10">
        <f>AC1374-AB1374</f>
        <v>2</v>
      </c>
      <c r="Z1374" s="18">
        <v>2</v>
      </c>
      <c r="AA1374" s="18">
        <v>18</v>
      </c>
      <c r="AB1374" s="18">
        <v>0</v>
      </c>
      <c r="AC1374" s="18">
        <v>2</v>
      </c>
      <c r="AD1374" s="1" t="s">
        <v>5529</v>
      </c>
      <c r="AE1374" s="1" t="s">
        <v>76</v>
      </c>
      <c r="AF1374" s="4">
        <v>3.15</v>
      </c>
      <c r="AG1374" s="4">
        <v>8.1999999999999993</v>
      </c>
    </row>
    <row r="1375" spans="1:33" ht="30" x14ac:dyDescent="0.25">
      <c r="A1375" s="10" t="s">
        <v>1287</v>
      </c>
      <c r="B1375" s="11" t="s">
        <v>33</v>
      </c>
      <c r="C1375" s="12" t="s">
        <v>1288</v>
      </c>
      <c r="D1375" s="27"/>
      <c r="E1375" s="14" t="s">
        <v>35</v>
      </c>
      <c r="F1375" s="11" t="str">
        <f>HYPERLINK("https://redirect.sdcdeals.com/redirect?destination=https%3A%2F%2Fwww.amazon.com%2Fdp%2FB09N6N64HS%3Fth%3D1%26psc%3D1%26tag%3Dsdcdeals03-20", "Amazon Link")</f>
        <v>Amazon Link</v>
      </c>
      <c r="G1375" s="11" t="s">
        <v>36</v>
      </c>
      <c r="H1375" s="14" t="s">
        <v>1289</v>
      </c>
      <c r="I1375" s="11" t="str">
        <f>HYPERLINK("https://redirect.sdcdeals.com/redirect?code=763034&amp;mavely=https://mavely.app.link/e/bhESV2wGrGb&amp;destination=https%3A%2F%2Fwww.kohls.com%2Fsearch.jsp%3Fsubmit-search%3Dweb-regular%26search%3D60161505", "Retail Link")</f>
        <v>Retail Link</v>
      </c>
      <c r="J1375" s="14" t="s">
        <v>1290</v>
      </c>
      <c r="K1375" s="13" t="s">
        <v>1291</v>
      </c>
      <c r="L1375" s="15">
        <v>39.991999999999997</v>
      </c>
      <c r="M1375" s="15">
        <v>34.74</v>
      </c>
      <c r="N1375" s="15">
        <v>-17.062999999999999</v>
      </c>
      <c r="O1375" s="15">
        <f>V1375-M1375</f>
        <v>14.86</v>
      </c>
      <c r="P1375" s="16">
        <f>N1375/L1375</f>
        <v>-0.42666033206641329</v>
      </c>
      <c r="Q1375" s="14">
        <v>5499</v>
      </c>
      <c r="R1375" s="14"/>
      <c r="S1375" s="17">
        <v>1.4440261000000001</v>
      </c>
      <c r="T1375" s="15"/>
      <c r="U1375" s="15">
        <v>34.74</v>
      </c>
      <c r="V1375" s="15">
        <v>49.6</v>
      </c>
      <c r="W1375" s="14" t="s">
        <v>342</v>
      </c>
      <c r="X1375" s="14">
        <v>1</v>
      </c>
      <c r="Y1375" s="10">
        <f>AC1375-AB1375</f>
        <v>24028</v>
      </c>
      <c r="Z1375" s="18">
        <v>18</v>
      </c>
      <c r="AA1375" s="18">
        <v>76</v>
      </c>
      <c r="AB1375" s="18">
        <v>1</v>
      </c>
      <c r="AC1375" s="18">
        <v>24029</v>
      </c>
      <c r="AD1375" s="1" t="s">
        <v>1292</v>
      </c>
      <c r="AE1375" s="1" t="s">
        <v>1293</v>
      </c>
      <c r="AG1375" s="4">
        <v>6.6</v>
      </c>
    </row>
    <row r="1376" spans="1:33" ht="30" x14ac:dyDescent="0.25">
      <c r="A1376" s="10" t="s">
        <v>7491</v>
      </c>
      <c r="B1376" s="11" t="s">
        <v>33</v>
      </c>
      <c r="C1376" s="12" t="s">
        <v>7492</v>
      </c>
      <c r="D1376" s="27"/>
      <c r="E1376" s="14" t="s">
        <v>35</v>
      </c>
      <c r="F1376" s="11" t="str">
        <f>HYPERLINK("https://redirect.sdcdeals.com/redirect?destination=https%3A%2F%2Fwww.amazon.com%2Fdp%2FB0BKQXZWGK%3Fth%3D1%26psc%3D1%26tag%3Dsdcdeals03-20", "Amazon Link")</f>
        <v>Amazon Link</v>
      </c>
      <c r="G1376" s="11" t="s">
        <v>36</v>
      </c>
      <c r="H1376" s="14" t="s">
        <v>7493</v>
      </c>
      <c r="I1376" s="11" t="str">
        <f>HYPERLINK("https://redirect.sdcdeals.com/redirect?code=763034&amp;mavely=https://mavely.app.link/e/bhESV2wGrGb&amp;destination=https%3A%2F%2Fwww.kohls.com%2Fsearch.jsp%3Fsubmit-search%3Dweb-regular%26search%3D55628818", "Retail Link")</f>
        <v>Retail Link</v>
      </c>
      <c r="J1376" s="14" t="s">
        <v>7447</v>
      </c>
      <c r="K1376" s="13" t="s">
        <v>7494</v>
      </c>
      <c r="L1376" s="15">
        <v>24</v>
      </c>
      <c r="M1376" s="15">
        <v>31.5</v>
      </c>
      <c r="N1376" s="15">
        <v>-10.255000000000001</v>
      </c>
      <c r="O1376" s="15">
        <f>V1376-M1376</f>
        <v>9.1599999999999966</v>
      </c>
      <c r="P1376" s="16">
        <f>N1376/L1376</f>
        <v>-0.42729166666666668</v>
      </c>
      <c r="Q1376" s="14">
        <v>815706</v>
      </c>
      <c r="R1376" s="14"/>
      <c r="S1376" s="17">
        <v>1.1904948</v>
      </c>
      <c r="T1376" s="15">
        <v>31.5</v>
      </c>
      <c r="U1376" s="15">
        <v>32.840000000000003</v>
      </c>
      <c r="V1376" s="15">
        <v>40.659999999999997</v>
      </c>
      <c r="W1376" s="14" t="s">
        <v>396</v>
      </c>
      <c r="X1376" s="14">
        <v>2</v>
      </c>
      <c r="Y1376" s="10">
        <f>AC1376-AB1376</f>
        <v>6</v>
      </c>
      <c r="Z1376" s="18">
        <v>12</v>
      </c>
      <c r="AA1376" s="18">
        <v>34</v>
      </c>
      <c r="AB1376" s="18">
        <v>0</v>
      </c>
      <c r="AC1376" s="18">
        <v>6</v>
      </c>
      <c r="AD1376" s="1" t="s">
        <v>7449</v>
      </c>
      <c r="AE1376" s="1" t="s">
        <v>3530</v>
      </c>
      <c r="AF1376" s="4">
        <v>5.36</v>
      </c>
      <c r="AG1376" s="4">
        <v>13.03</v>
      </c>
    </row>
    <row r="1377" spans="1:33" ht="30" x14ac:dyDescent="0.25">
      <c r="A1377" s="10" t="s">
        <v>1791</v>
      </c>
      <c r="B1377" s="11" t="s">
        <v>33</v>
      </c>
      <c r="C1377" s="12" t="s">
        <v>1792</v>
      </c>
      <c r="D1377" s="27"/>
      <c r="E1377" s="14" t="s">
        <v>35</v>
      </c>
      <c r="F1377" s="11" t="str">
        <f>HYPERLINK("https://redirect.sdcdeals.com/redirect?destination=https%3A%2F%2Fwww.amazon.com%2Fdp%2FB0BJ6DHJPK%3Fth%3D1%26psc%3D1%26tag%3Dsdcdeals03-20", "Amazon Link")</f>
        <v>Amazon Link</v>
      </c>
      <c r="G1377" s="11" t="s">
        <v>36</v>
      </c>
      <c r="H1377" s="14" t="s">
        <v>1793</v>
      </c>
      <c r="I1377" s="11" t="str">
        <f>HYPERLINK("https://redirect.sdcdeals.com/redirect?code=763034&amp;mavely=https://mavely.app.link/e/bhESV2wGrGb&amp;destination=https%3A%2F%2Fwww.kohls.com%2Fsearch.jsp%3Fsubmit-search%3Dweb-regular%26search%3D77202429", "Retail Link")</f>
        <v>Retail Link</v>
      </c>
      <c r="J1377" s="14" t="s">
        <v>1732</v>
      </c>
      <c r="K1377" s="13" t="s">
        <v>1794</v>
      </c>
      <c r="L1377" s="15">
        <v>14</v>
      </c>
      <c r="M1377" s="15">
        <v>17.5</v>
      </c>
      <c r="N1377" s="15">
        <v>-5.9849999999999994</v>
      </c>
      <c r="O1377" s="15">
        <f>V1377-M1377</f>
        <v>16.670000000000002</v>
      </c>
      <c r="P1377" s="16">
        <f>N1377/L1377</f>
        <v>-0.42749999999999994</v>
      </c>
      <c r="Q1377" s="14">
        <v>37317</v>
      </c>
      <c r="R1377" s="14"/>
      <c r="S1377" s="17">
        <v>1.2235640999999999</v>
      </c>
      <c r="T1377" s="15">
        <v>17.5</v>
      </c>
      <c r="U1377" s="15">
        <v>31.64</v>
      </c>
      <c r="V1377" s="15">
        <v>34.17</v>
      </c>
      <c r="W1377" s="14" t="s">
        <v>1795</v>
      </c>
      <c r="X1377" s="14">
        <v>2</v>
      </c>
      <c r="Y1377" s="10">
        <f>AC1377-AB1377</f>
        <v>68</v>
      </c>
      <c r="Z1377" s="18">
        <v>36</v>
      </c>
      <c r="AA1377" s="18">
        <v>99</v>
      </c>
      <c r="AB1377" s="18">
        <v>4</v>
      </c>
      <c r="AC1377" s="18">
        <v>72</v>
      </c>
      <c r="AD1377" s="1" t="s">
        <v>1735</v>
      </c>
      <c r="AE1377" s="1" t="s">
        <v>76</v>
      </c>
      <c r="AF1377" s="4">
        <v>1.75</v>
      </c>
      <c r="AG1377" s="4">
        <v>6.86</v>
      </c>
    </row>
    <row r="1378" spans="1:33" ht="30" x14ac:dyDescent="0.25">
      <c r="A1378" s="10" t="s">
        <v>2287</v>
      </c>
      <c r="B1378" s="11" t="s">
        <v>33</v>
      </c>
      <c r="C1378" s="12" t="s">
        <v>2288</v>
      </c>
      <c r="D1378" s="27"/>
      <c r="E1378" s="14" t="s">
        <v>35</v>
      </c>
      <c r="F1378" s="11" t="str">
        <f>HYPERLINK("https://redirect.sdcdeals.com/redirect?destination=https%3A%2F%2Fwww.amazon.com%2Fdp%2FB0BGVPC8CQ%3Fth%3D1%26psc%3D1%26tag%3Dsdcdeals03-20", "Amazon Link")</f>
        <v>Amazon Link</v>
      </c>
      <c r="G1378" s="11" t="s">
        <v>36</v>
      </c>
      <c r="H1378" s="14" t="s">
        <v>2289</v>
      </c>
      <c r="I1378" s="11" t="str">
        <f>HYPERLINK("https://redirect.sdcdeals.com/redirect?code=763034&amp;mavely=https://mavely.app.link/e/bhESV2wGrGb&amp;destination=https%3A%2F%2Fwww.kohls.com%2Fsearch.jsp%3Fsubmit-search%3Dweb-regular%26search%3D76910547", "Retail Link")</f>
        <v>Retail Link</v>
      </c>
      <c r="J1378" s="14" t="s">
        <v>2290</v>
      </c>
      <c r="K1378" s="13" t="s">
        <v>2291</v>
      </c>
      <c r="L1378" s="15">
        <v>15.4</v>
      </c>
      <c r="M1378" s="15">
        <v>19.25</v>
      </c>
      <c r="N1378" s="15">
        <v>-6.5974999999999984</v>
      </c>
      <c r="O1378" s="15">
        <f>V1378-M1378</f>
        <v>14.409999999999997</v>
      </c>
      <c r="P1378" s="16">
        <f>N1378/L1378</f>
        <v>-0.4284090909090908</v>
      </c>
      <c r="Q1378" s="14">
        <v>7343</v>
      </c>
      <c r="R1378" s="14"/>
      <c r="S1378" s="17">
        <v>0.8487787</v>
      </c>
      <c r="T1378" s="15">
        <v>19.25</v>
      </c>
      <c r="U1378" s="15">
        <v>32.47</v>
      </c>
      <c r="V1378" s="15">
        <v>33.659999999999997</v>
      </c>
      <c r="W1378" s="14" t="s">
        <v>2292</v>
      </c>
      <c r="X1378" s="14">
        <v>7</v>
      </c>
      <c r="Y1378" s="10">
        <f>AC1378-AB1378</f>
        <v>0</v>
      </c>
      <c r="Z1378" s="18">
        <v>46</v>
      </c>
      <c r="AA1378" s="18">
        <v>147</v>
      </c>
      <c r="AB1378" s="18">
        <v>5</v>
      </c>
      <c r="AC1378" s="18">
        <v>5</v>
      </c>
      <c r="AD1378" s="1" t="s">
        <v>2293</v>
      </c>
      <c r="AE1378" s="1" t="s">
        <v>1865</v>
      </c>
      <c r="AF1378" s="4">
        <v>1.93</v>
      </c>
      <c r="AG1378" s="4">
        <v>7.56</v>
      </c>
    </row>
    <row r="1379" spans="1:33" ht="30" x14ac:dyDescent="0.25">
      <c r="A1379" s="10" t="s">
        <v>4154</v>
      </c>
      <c r="B1379" s="11" t="s">
        <v>33</v>
      </c>
      <c r="C1379" s="12" t="s">
        <v>4155</v>
      </c>
      <c r="D1379" s="27"/>
      <c r="E1379" s="14" t="s">
        <v>35</v>
      </c>
      <c r="F1379" s="11" t="str">
        <f>HYPERLINK("https://redirect.sdcdeals.com/redirect?destination=https%3A%2F%2Fwww.amazon.com%2Fdp%2FB09JKX7PRL%3Fth%3D1%26psc%3D1%26tag%3Dsdcdeals03-20", "Amazon Link")</f>
        <v>Amazon Link</v>
      </c>
      <c r="G1379" s="11" t="s">
        <v>36</v>
      </c>
      <c r="H1379" s="14" t="s">
        <v>4156</v>
      </c>
      <c r="I1379" s="11" t="str">
        <f>HYPERLINK("https://redirect.sdcdeals.com/redirect?code=763034&amp;mavely=https://mavely.app.link/e/bhESV2wGrGb&amp;destination=https%3A%2F%2Fwww.kohls.com%2Fsearch.jsp%3Fsubmit-search%3Dweb-regular%26search%3D46611736", "Retail Link")</f>
        <v>Retail Link</v>
      </c>
      <c r="J1379" s="14" t="s">
        <v>4157</v>
      </c>
      <c r="K1379" s="13" t="s">
        <v>4158</v>
      </c>
      <c r="L1379" s="15">
        <v>15.6</v>
      </c>
      <c r="M1379" s="15">
        <v>19.5</v>
      </c>
      <c r="N1379" s="15">
        <v>-6.6849999999999996</v>
      </c>
      <c r="O1379" s="15">
        <f>V1379-M1379</f>
        <v>18.060000000000002</v>
      </c>
      <c r="P1379" s="16">
        <f>N1379/L1379</f>
        <v>-0.428525641025641</v>
      </c>
      <c r="Q1379" s="14">
        <v>59628</v>
      </c>
      <c r="R1379" s="14"/>
      <c r="S1379" s="17">
        <v>0.67240909999999998</v>
      </c>
      <c r="T1379" s="15">
        <v>19.5</v>
      </c>
      <c r="U1379" s="15">
        <v>30.73</v>
      </c>
      <c r="V1379" s="15">
        <v>37.56</v>
      </c>
      <c r="W1379" s="14" t="s">
        <v>4159</v>
      </c>
      <c r="X1379" s="14">
        <v>28</v>
      </c>
      <c r="Y1379" s="10">
        <f>AC1379-AB1379</f>
        <v>187</v>
      </c>
      <c r="Z1379" s="18">
        <v>31</v>
      </c>
      <c r="AA1379" s="18">
        <v>109</v>
      </c>
      <c r="AB1379" s="18">
        <v>1</v>
      </c>
      <c r="AC1379" s="18">
        <v>188</v>
      </c>
      <c r="AD1379" s="1" t="s">
        <v>4160</v>
      </c>
      <c r="AE1379" s="1" t="s">
        <v>4161</v>
      </c>
      <c r="AF1379" s="4">
        <v>1.95</v>
      </c>
      <c r="AG1379" s="4">
        <v>7.66</v>
      </c>
    </row>
    <row r="1380" spans="1:33" ht="30" x14ac:dyDescent="0.25">
      <c r="A1380" s="10" t="s">
        <v>1039</v>
      </c>
      <c r="B1380" s="11" t="s">
        <v>33</v>
      </c>
      <c r="C1380" s="12" t="s">
        <v>1040</v>
      </c>
      <c r="D1380" s="27"/>
      <c r="E1380" s="14" t="s">
        <v>35</v>
      </c>
      <c r="F1380" s="11" t="str">
        <f>HYPERLINK("https://redirect.sdcdeals.com/redirect?destination=https%3A%2F%2Fwww.amazon.com%2Fdp%2FB0C6YPN85S%3Fth%3D1%26psc%3D1%26tag%3Dsdcdeals03-20", "Amazon Link")</f>
        <v>Amazon Link</v>
      </c>
      <c r="G1380" s="11" t="s">
        <v>36</v>
      </c>
      <c r="H1380" s="14" t="s">
        <v>1041</v>
      </c>
      <c r="I1380" s="11" t="str">
        <f>HYPERLINK("https://redirect.sdcdeals.com/redirect?code=763034&amp;mavely=https://mavely.app.link/e/bhESV2wGrGb&amp;destination=https%3A%2F%2Fwww.kohls.com%2Fsearch.jsp%3Fsubmit-search%3Dweb-regular%26search%3D70277001", "Retail Link")</f>
        <v>Retail Link</v>
      </c>
      <c r="J1380" s="14" t="s">
        <v>1042</v>
      </c>
      <c r="K1380" s="13" t="s">
        <v>1043</v>
      </c>
      <c r="L1380" s="15">
        <v>12</v>
      </c>
      <c r="M1380" s="15">
        <v>15</v>
      </c>
      <c r="N1380" s="15">
        <v>-5.15</v>
      </c>
      <c r="O1380" s="15">
        <f>V1380-M1380</f>
        <v>5.23</v>
      </c>
      <c r="P1380" s="16">
        <f>N1380/L1380</f>
        <v>-0.4291666666666667</v>
      </c>
      <c r="Q1380" s="14">
        <v>1392758</v>
      </c>
      <c r="R1380" s="14"/>
      <c r="S1380" s="17">
        <v>0.65256751999999996</v>
      </c>
      <c r="T1380" s="15">
        <v>15</v>
      </c>
      <c r="U1380" s="15">
        <v>16.14</v>
      </c>
      <c r="V1380" s="15">
        <v>20.23</v>
      </c>
      <c r="W1380" s="14" t="s">
        <v>436</v>
      </c>
      <c r="X1380" s="14">
        <v>1</v>
      </c>
      <c r="Y1380" s="10">
        <f>AC1380-AB1380</f>
        <v>0</v>
      </c>
      <c r="Z1380" s="18">
        <v>9</v>
      </c>
      <c r="AA1380" s="18">
        <v>24</v>
      </c>
      <c r="AB1380" s="18"/>
      <c r="AC1380" s="18"/>
      <c r="AD1380" s="1" t="s">
        <v>1044</v>
      </c>
      <c r="AE1380" s="1" t="s">
        <v>76</v>
      </c>
      <c r="AF1380" s="4">
        <v>2.5499999999999998</v>
      </c>
      <c r="AG1380" s="4">
        <v>5.9</v>
      </c>
    </row>
    <row r="1381" spans="1:33" ht="30" x14ac:dyDescent="0.25">
      <c r="A1381" s="10" t="s">
        <v>1049</v>
      </c>
      <c r="B1381" s="11" t="s">
        <v>33</v>
      </c>
      <c r="C1381" s="12" t="s">
        <v>1050</v>
      </c>
      <c r="D1381" s="27"/>
      <c r="E1381" s="14" t="s">
        <v>35</v>
      </c>
      <c r="F1381" s="11" t="str">
        <f>HYPERLINK("https://redirect.sdcdeals.com/redirect?destination=https%3A%2F%2Fwww.amazon.com%2Fdp%2FB0C6YQ4PQ8%3Fth%3D1%26psc%3D1%26tag%3Dsdcdeals03-20", "Amazon Link")</f>
        <v>Amazon Link</v>
      </c>
      <c r="G1381" s="11" t="s">
        <v>36</v>
      </c>
      <c r="H1381" s="14" t="s">
        <v>1051</v>
      </c>
      <c r="I1381" s="11" t="str">
        <f>HYPERLINK("https://redirect.sdcdeals.com/redirect?code=763034&amp;mavely=https://mavely.app.link/e/bhESV2wGrGb&amp;destination=https%3A%2F%2Fwww.kohls.com%2Fsearch.jsp%3Fsubmit-search%3Dweb-regular%26search%3D70277002", "Retail Link")</f>
        <v>Retail Link</v>
      </c>
      <c r="J1381" s="14" t="s">
        <v>1042</v>
      </c>
      <c r="K1381" s="13" t="s">
        <v>1052</v>
      </c>
      <c r="L1381" s="15">
        <v>12</v>
      </c>
      <c r="M1381" s="15">
        <v>15</v>
      </c>
      <c r="N1381" s="15">
        <v>-5.15</v>
      </c>
      <c r="O1381" s="15">
        <f>V1381-M1381</f>
        <v>4.8299999999999983</v>
      </c>
      <c r="P1381" s="16">
        <f>N1381/L1381</f>
        <v>-0.4291666666666667</v>
      </c>
      <c r="Q1381" s="14">
        <v>1401141</v>
      </c>
      <c r="R1381" s="14"/>
      <c r="S1381" s="17">
        <v>0.66138600000000003</v>
      </c>
      <c r="T1381" s="15">
        <v>15</v>
      </c>
      <c r="U1381" s="15">
        <v>15.82</v>
      </c>
      <c r="V1381" s="15">
        <v>19.829999999999998</v>
      </c>
      <c r="W1381" s="14" t="s">
        <v>290</v>
      </c>
      <c r="X1381" s="14">
        <v>1</v>
      </c>
      <c r="Y1381" s="10">
        <f>AC1381-AB1381</f>
        <v>0</v>
      </c>
      <c r="Z1381" s="18">
        <v>3</v>
      </c>
      <c r="AA1381" s="18">
        <v>19</v>
      </c>
      <c r="AB1381" s="18"/>
      <c r="AC1381" s="18"/>
      <c r="AD1381" s="1" t="s">
        <v>1044</v>
      </c>
      <c r="AE1381" s="1" t="s">
        <v>76</v>
      </c>
      <c r="AF1381" s="4">
        <v>0.75</v>
      </c>
      <c r="AG1381" s="4">
        <v>5.9</v>
      </c>
    </row>
    <row r="1382" spans="1:33" ht="30" x14ac:dyDescent="0.25">
      <c r="A1382" s="10" t="s">
        <v>4681</v>
      </c>
      <c r="B1382" s="11" t="s">
        <v>33</v>
      </c>
      <c r="C1382" s="12" t="s">
        <v>4682</v>
      </c>
      <c r="D1382" s="27"/>
      <c r="E1382" s="14" t="s">
        <v>35</v>
      </c>
      <c r="F1382" s="11" t="str">
        <f>HYPERLINK("https://redirect.sdcdeals.com/redirect?destination=https%3A%2F%2Fwww.amazon.com%2Fdp%2FB0CH1SPKND%3Fth%3D1%26psc%3D1%26tag%3Dsdcdeals03-20", "Amazon Link")</f>
        <v>Amazon Link</v>
      </c>
      <c r="G1382" s="11" t="s">
        <v>36</v>
      </c>
      <c r="H1382" s="14" t="s">
        <v>4683</v>
      </c>
      <c r="I1382" s="11" t="str">
        <f>HYPERLINK("https://redirect.sdcdeals.com/redirect?code=763034&amp;mavely=https://mavely.app.link/e/bhESV2wGrGb&amp;destination=https%3A%2F%2Fwww.kohls.com%2Fsearch.jsp%3Fsubmit-search%3Dweb-regular%26search%3D30108389", "Retail Link")</f>
        <v>Retail Link</v>
      </c>
      <c r="J1382" s="14" t="s">
        <v>4663</v>
      </c>
      <c r="K1382" s="13" t="s">
        <v>4684</v>
      </c>
      <c r="L1382" s="15">
        <v>6.8000000000000007</v>
      </c>
      <c r="M1382" s="15">
        <v>9.99</v>
      </c>
      <c r="N1382" s="15">
        <v>-2.9185000000000012</v>
      </c>
      <c r="O1382" s="15">
        <f>V1382-M1382</f>
        <v>9.4700000000000006</v>
      </c>
      <c r="P1382" s="16">
        <f>N1382/L1382</f>
        <v>-0.42919117647058835</v>
      </c>
      <c r="Q1382" s="14">
        <v>71394</v>
      </c>
      <c r="R1382" s="14"/>
      <c r="S1382" s="17">
        <v>0.33069300000000001</v>
      </c>
      <c r="T1382" s="15">
        <v>9.99</v>
      </c>
      <c r="U1382" s="15">
        <v>17.16</v>
      </c>
      <c r="V1382" s="15">
        <v>19.46</v>
      </c>
      <c r="W1382" s="14" t="s">
        <v>4685</v>
      </c>
      <c r="X1382" s="14">
        <v>15</v>
      </c>
      <c r="Y1382" s="10">
        <f>AC1382-AB1382</f>
        <v>568</v>
      </c>
      <c r="Z1382" s="18">
        <v>31</v>
      </c>
      <c r="AA1382" s="18">
        <v>103</v>
      </c>
      <c r="AB1382" s="18">
        <v>1</v>
      </c>
      <c r="AC1382" s="18">
        <v>569</v>
      </c>
      <c r="AD1382" s="1" t="s">
        <v>4680</v>
      </c>
      <c r="AE1382" s="1" t="s">
        <v>4666</v>
      </c>
      <c r="AF1382" s="4">
        <v>0.5</v>
      </c>
      <c r="AG1382" s="4">
        <v>4.6100000000000003</v>
      </c>
    </row>
    <row r="1383" spans="1:33" ht="30" x14ac:dyDescent="0.25">
      <c r="A1383" s="10" t="s">
        <v>6190</v>
      </c>
      <c r="B1383" s="11" t="s">
        <v>33</v>
      </c>
      <c r="C1383" s="12" t="s">
        <v>6191</v>
      </c>
      <c r="D1383" s="27"/>
      <c r="E1383" s="14" t="s">
        <v>35</v>
      </c>
      <c r="F1383" s="11" t="str">
        <f>HYPERLINK("https://redirect.sdcdeals.com/redirect?destination=https%3A%2F%2Fwww.amazon.com%2Fdp%2FB0CL5LL4FQ%3Fth%3D1%26psc%3D1%26tag%3Dsdcdeals03-20", "Amazon Link")</f>
        <v>Amazon Link</v>
      </c>
      <c r="G1383" s="11" t="s">
        <v>36</v>
      </c>
      <c r="H1383" s="14" t="s">
        <v>6192</v>
      </c>
      <c r="I1383" s="11" t="str">
        <f>HYPERLINK("https://redirect.sdcdeals.com/redirect?code=763034&amp;mavely=https://mavely.app.link/e/bhESV2wGrGb&amp;destination=https%3A%2F%2Fwww.kohls.com%2Fsearch.jsp%3Fsubmit-search%3Dweb-regular%26search%3D50022579", "Retail Link")</f>
        <v>Retail Link</v>
      </c>
      <c r="J1383" s="14" t="s">
        <v>6187</v>
      </c>
      <c r="K1383" s="13" t="s">
        <v>6193</v>
      </c>
      <c r="L1383" s="15">
        <v>6.8000000000000007</v>
      </c>
      <c r="M1383" s="15">
        <v>9.99</v>
      </c>
      <c r="N1383" s="15">
        <v>-2.9185000000000012</v>
      </c>
      <c r="O1383" s="15">
        <f>V1383-M1383</f>
        <v>9.7799999999999994</v>
      </c>
      <c r="P1383" s="16">
        <f>N1383/L1383</f>
        <v>-0.42919117647058835</v>
      </c>
      <c r="Q1383" s="14">
        <v>1693767</v>
      </c>
      <c r="R1383" s="14"/>
      <c r="S1383" s="17">
        <v>0.22928048000000001</v>
      </c>
      <c r="T1383" s="15">
        <v>9.99</v>
      </c>
      <c r="U1383" s="15">
        <v>12.78</v>
      </c>
      <c r="V1383" s="15">
        <v>19.77</v>
      </c>
      <c r="W1383" s="14" t="s">
        <v>6194</v>
      </c>
      <c r="X1383" s="14">
        <v>13</v>
      </c>
      <c r="Y1383" s="10">
        <f>AC1383-AB1383</f>
        <v>0</v>
      </c>
      <c r="Z1383" s="18">
        <v>4</v>
      </c>
      <c r="AA1383" s="18">
        <v>5</v>
      </c>
      <c r="AB1383" s="18">
        <v>0</v>
      </c>
      <c r="AC1383" s="18"/>
      <c r="AD1383" s="1" t="s">
        <v>4680</v>
      </c>
      <c r="AE1383" s="1" t="s">
        <v>6189</v>
      </c>
      <c r="AF1383" s="4">
        <v>0.5</v>
      </c>
      <c r="AG1383" s="4">
        <v>4.6100000000000003</v>
      </c>
    </row>
    <row r="1384" spans="1:33" ht="30" hidden="1" x14ac:dyDescent="0.25">
      <c r="A1384" s="10" t="s">
        <v>6195</v>
      </c>
      <c r="B1384" s="11" t="s">
        <v>33</v>
      </c>
      <c r="C1384" s="12" t="s">
        <v>6196</v>
      </c>
      <c r="D1384" s="27"/>
      <c r="E1384" s="14" t="s">
        <v>35</v>
      </c>
      <c r="F1384" s="11" t="str">
        <f>HYPERLINK("https://redirect.sdcdeals.com/redirect?destination=https%3A%2F%2Fwww.amazon.com%2Fdp%2FB0CL5LV2R3%3Fth%3D1%26psc%3D1%26tag%3Dsdcdeals03-20", "Amazon Link")</f>
        <v>Amazon Link</v>
      </c>
      <c r="G1384" s="11" t="s">
        <v>36</v>
      </c>
      <c r="H1384" s="14" t="s">
        <v>6197</v>
      </c>
      <c r="I1384" s="11" t="str">
        <f>HYPERLINK("https://redirect.sdcdeals.com/redirect?code=763034&amp;mavely=https://mavely.app.link/e/bhESV2wGrGb&amp;destination=https%3A%2F%2Fwww.kohls.com%2Fsearch.jsp%3Fsubmit-search%3Dweb-regular%26search%3D50022578", "Retail Link")</f>
        <v>Retail Link</v>
      </c>
      <c r="J1384" s="14" t="s">
        <v>6187</v>
      </c>
      <c r="K1384" s="13" t="s">
        <v>6198</v>
      </c>
      <c r="L1384" s="15">
        <v>6.8000000000000007</v>
      </c>
      <c r="M1384" s="15">
        <v>9.99</v>
      </c>
      <c r="N1384" s="15">
        <v>-2.9185000000000012</v>
      </c>
      <c r="O1384" s="15">
        <f>V1384-M1384</f>
        <v>11.49</v>
      </c>
      <c r="P1384" s="16">
        <f>N1384/L1384</f>
        <v>-0.42919117647058835</v>
      </c>
      <c r="Q1384" s="14"/>
      <c r="R1384" s="14"/>
      <c r="S1384" s="17">
        <v>0.22928048000000001</v>
      </c>
      <c r="T1384" s="15">
        <v>9.99</v>
      </c>
      <c r="U1384" s="15">
        <v>12.81</v>
      </c>
      <c r="V1384" s="15">
        <v>21.48</v>
      </c>
      <c r="W1384" s="14" t="s">
        <v>4579</v>
      </c>
      <c r="X1384" s="14">
        <v>12</v>
      </c>
      <c r="Y1384" s="10">
        <f>AC1384-AB1384</f>
        <v>1</v>
      </c>
      <c r="Z1384" s="18">
        <v>0</v>
      </c>
      <c r="AA1384" s="18">
        <v>0</v>
      </c>
      <c r="AB1384" s="18">
        <v>0</v>
      </c>
      <c r="AC1384" s="18">
        <v>1</v>
      </c>
      <c r="AD1384" s="1" t="s">
        <v>4680</v>
      </c>
      <c r="AE1384" s="1" t="s">
        <v>6189</v>
      </c>
      <c r="AF1384" s="4">
        <v>0.5</v>
      </c>
      <c r="AG1384" s="4">
        <v>4.6100000000000003</v>
      </c>
    </row>
    <row r="1385" spans="1:33" ht="30" hidden="1" x14ac:dyDescent="0.25">
      <c r="A1385" s="10" t="s">
        <v>6199</v>
      </c>
      <c r="B1385" s="11" t="s">
        <v>33</v>
      </c>
      <c r="C1385" s="12" t="s">
        <v>6200</v>
      </c>
      <c r="D1385" s="27"/>
      <c r="E1385" s="14" t="s">
        <v>35</v>
      </c>
      <c r="F1385" s="11" t="str">
        <f>HYPERLINK("https://redirect.sdcdeals.com/redirect?destination=https%3A%2F%2Fwww.amazon.com%2Fdp%2FB0CL5KY1SN%3Fth%3D1%26psc%3D1%26tag%3Dsdcdeals03-20", "Amazon Link")</f>
        <v>Amazon Link</v>
      </c>
      <c r="G1385" s="11" t="s">
        <v>36</v>
      </c>
      <c r="H1385" s="14" t="s">
        <v>6201</v>
      </c>
      <c r="I1385" s="11" t="str">
        <f>HYPERLINK("https://redirect.sdcdeals.com/redirect?code=763034&amp;mavely=https://mavely.app.link/e/bhESV2wGrGb&amp;destination=https%3A%2F%2Fwww.kohls.com%2Fsearch.jsp%3Fsubmit-search%3Dweb-regular%26search%3D50022580", "Retail Link")</f>
        <v>Retail Link</v>
      </c>
      <c r="J1385" s="14" t="s">
        <v>6187</v>
      </c>
      <c r="K1385" s="13" t="s">
        <v>6202</v>
      </c>
      <c r="L1385" s="15">
        <v>6.8000000000000007</v>
      </c>
      <c r="M1385" s="15">
        <v>9.99</v>
      </c>
      <c r="N1385" s="15">
        <v>-2.9185000000000012</v>
      </c>
      <c r="O1385" s="15">
        <f>V1385-M1385</f>
        <v>11.6</v>
      </c>
      <c r="P1385" s="16">
        <f>N1385/L1385</f>
        <v>-0.42919117647058835</v>
      </c>
      <c r="Q1385" s="14"/>
      <c r="R1385" s="14"/>
      <c r="S1385" s="17">
        <v>0.22928048000000001</v>
      </c>
      <c r="T1385" s="15">
        <v>9.99</v>
      </c>
      <c r="U1385" s="15">
        <v>16.57</v>
      </c>
      <c r="V1385" s="15">
        <v>21.59</v>
      </c>
      <c r="W1385" s="14" t="s">
        <v>2797</v>
      </c>
      <c r="X1385" s="14">
        <v>10</v>
      </c>
      <c r="Y1385" s="10">
        <f>AC1385-AB1385</f>
        <v>0</v>
      </c>
      <c r="Z1385" s="18">
        <v>0</v>
      </c>
      <c r="AA1385" s="18">
        <v>0</v>
      </c>
      <c r="AB1385" s="18">
        <v>0</v>
      </c>
      <c r="AC1385" s="18"/>
      <c r="AD1385" s="1" t="s">
        <v>4680</v>
      </c>
      <c r="AE1385" s="1" t="s">
        <v>6189</v>
      </c>
      <c r="AF1385" s="4">
        <v>1</v>
      </c>
      <c r="AG1385" s="4">
        <v>4.6100000000000003</v>
      </c>
    </row>
    <row r="1386" spans="1:33" ht="30" x14ac:dyDescent="0.25">
      <c r="A1386" s="10" t="s">
        <v>1358</v>
      </c>
      <c r="B1386" s="11" t="s">
        <v>33</v>
      </c>
      <c r="C1386" s="12" t="s">
        <v>1359</v>
      </c>
      <c r="D1386" s="27"/>
      <c r="E1386" s="14" t="s">
        <v>35</v>
      </c>
      <c r="F1386" s="11" t="str">
        <f>HYPERLINK("https://redirect.sdcdeals.com/redirect?destination=https%3A%2F%2Fwww.amazon.com%2Fdp%2FB0BXQTQ54J%3Fth%3D1%26psc%3D1%26tag%3Dsdcdeals03-20", "Amazon Link")</f>
        <v>Amazon Link</v>
      </c>
      <c r="G1386" s="11" t="s">
        <v>36</v>
      </c>
      <c r="H1386" s="14" t="s">
        <v>1360</v>
      </c>
      <c r="I1386" s="11" t="str">
        <f>HYPERLINK("https://redirect.sdcdeals.com/redirect?code=763034&amp;mavely=https://mavely.app.link/e/bhESV2wGrGb&amp;destination=https%3A%2F%2Fwww.kohls.com%2Fsearch.jsp%3Fsubmit-search%3Dweb-regular%26search%3D63522069", "Retail Link")</f>
        <v>Retail Link</v>
      </c>
      <c r="J1386" s="14" t="s">
        <v>1361</v>
      </c>
      <c r="K1386" s="13" t="s">
        <v>1362</v>
      </c>
      <c r="L1386" s="15">
        <v>15.992000000000001</v>
      </c>
      <c r="M1386" s="15">
        <v>19.989999999999998</v>
      </c>
      <c r="N1386" s="15">
        <v>-6.8805000000000014</v>
      </c>
      <c r="O1386" s="15">
        <f>V1386-M1386</f>
        <v>28.360000000000003</v>
      </c>
      <c r="P1386" s="16">
        <f>N1386/L1386</f>
        <v>-0.43024637318659337</v>
      </c>
      <c r="Q1386" s="14">
        <v>822254</v>
      </c>
      <c r="R1386" s="14"/>
      <c r="S1386" s="17">
        <v>2.2928047999999999</v>
      </c>
      <c r="T1386" s="15">
        <v>19.989999999999998</v>
      </c>
      <c r="U1386" s="15">
        <v>47.23</v>
      </c>
      <c r="V1386" s="15">
        <v>48.35</v>
      </c>
      <c r="W1386" s="14" t="s">
        <v>100</v>
      </c>
      <c r="X1386" s="14">
        <v>7</v>
      </c>
      <c r="Y1386" s="10">
        <f>AC1386-AB1386</f>
        <v>5</v>
      </c>
      <c r="Z1386" s="18">
        <v>3</v>
      </c>
      <c r="AA1386" s="18">
        <v>9</v>
      </c>
      <c r="AB1386" s="18">
        <v>0</v>
      </c>
      <c r="AC1386" s="18">
        <v>5</v>
      </c>
      <c r="AD1386" s="1" t="s">
        <v>1363</v>
      </c>
      <c r="AE1386" s="1" t="s">
        <v>1364</v>
      </c>
      <c r="AF1386" s="4">
        <v>3</v>
      </c>
      <c r="AG1386" s="4">
        <v>7.88</v>
      </c>
    </row>
    <row r="1387" spans="1:33" ht="30" x14ac:dyDescent="0.25">
      <c r="A1387" s="10" t="s">
        <v>5530</v>
      </c>
      <c r="B1387" s="11" t="s">
        <v>33</v>
      </c>
      <c r="C1387" s="12" t="s">
        <v>5531</v>
      </c>
      <c r="D1387" s="27"/>
      <c r="E1387" s="14" t="s">
        <v>35</v>
      </c>
      <c r="F1387" s="11" t="str">
        <f>HYPERLINK("https://redirect.sdcdeals.com/redirect?destination=https%3A%2F%2Fwww.amazon.com%2Fdp%2FB0C9ZW53HY%3Fth%3D1%26psc%3D1%26tag%3Dsdcdeals03-20", "Amazon Link")</f>
        <v>Amazon Link</v>
      </c>
      <c r="G1387" s="11" t="s">
        <v>36</v>
      </c>
      <c r="H1387" s="14" t="s">
        <v>5532</v>
      </c>
      <c r="I1387" s="11" t="str">
        <f>HYPERLINK("https://redirect.sdcdeals.com/redirect?code=763034&amp;mavely=https://mavely.app.link/e/bhESV2wGrGb&amp;destination=https%3A%2F%2Fwww.kohls.com%2Fsearch.jsp%3Fsubmit-search%3Dweb-regular%26search%3D79092610", "Retail Link")</f>
        <v>Retail Link</v>
      </c>
      <c r="J1387" s="14" t="s">
        <v>5527</v>
      </c>
      <c r="K1387" s="13" t="s">
        <v>5533</v>
      </c>
      <c r="L1387" s="15">
        <v>16.792000000000002</v>
      </c>
      <c r="M1387" s="15">
        <v>20.99</v>
      </c>
      <c r="N1387" s="15">
        <v>-7.230500000000001</v>
      </c>
      <c r="O1387" s="15">
        <f>V1387-M1387</f>
        <v>25.8</v>
      </c>
      <c r="P1387" s="16">
        <f>N1387/L1387</f>
        <v>-0.43059194854692712</v>
      </c>
      <c r="Q1387" s="14">
        <v>2100036</v>
      </c>
      <c r="R1387" s="14"/>
      <c r="S1387" s="17">
        <v>2.8704152399999998</v>
      </c>
      <c r="T1387" s="15">
        <v>20.99</v>
      </c>
      <c r="U1387" s="15">
        <v>43.48</v>
      </c>
      <c r="V1387" s="15">
        <v>46.79</v>
      </c>
      <c r="W1387" s="14" t="s">
        <v>60</v>
      </c>
      <c r="X1387" s="14">
        <v>5</v>
      </c>
      <c r="Y1387" s="10">
        <f>AC1387-AB1387</f>
        <v>2</v>
      </c>
      <c r="Z1387" s="18">
        <v>2</v>
      </c>
      <c r="AA1387" s="18">
        <v>24</v>
      </c>
      <c r="AB1387" s="18">
        <v>0</v>
      </c>
      <c r="AC1387" s="18">
        <v>2</v>
      </c>
      <c r="AD1387" s="1" t="s">
        <v>5529</v>
      </c>
      <c r="AE1387" s="1" t="s">
        <v>76</v>
      </c>
      <c r="AF1387" s="4">
        <v>3.15</v>
      </c>
      <c r="AG1387" s="4">
        <v>8.2799999999999994</v>
      </c>
    </row>
    <row r="1388" spans="1:33" ht="30" x14ac:dyDescent="0.25">
      <c r="A1388" s="10" t="s">
        <v>5534</v>
      </c>
      <c r="B1388" s="11" t="s">
        <v>33</v>
      </c>
      <c r="C1388" s="12" t="s">
        <v>5535</v>
      </c>
      <c r="D1388" s="27"/>
      <c r="E1388" s="14" t="s">
        <v>35</v>
      </c>
      <c r="F1388" s="11" t="str">
        <f>HYPERLINK("https://redirect.sdcdeals.com/redirect?destination=https%3A%2F%2Fwww.amazon.com%2Fdp%2FB0C9ZT2ZDN%3Fth%3D1%26psc%3D1%26tag%3Dsdcdeals03-20", "Amazon Link")</f>
        <v>Amazon Link</v>
      </c>
      <c r="G1388" s="11" t="s">
        <v>36</v>
      </c>
      <c r="H1388" s="14" t="s">
        <v>5536</v>
      </c>
      <c r="I1388" s="11" t="str">
        <f>HYPERLINK("https://redirect.sdcdeals.com/redirect?code=763034&amp;mavely=https://mavely.app.link/e/bhESV2wGrGb&amp;destination=https%3A%2F%2Fwww.kohls.com%2Fsearch.jsp%3Fsubmit-search%3Dweb-regular%26search%3D79092612", "Retail Link")</f>
        <v>Retail Link</v>
      </c>
      <c r="J1388" s="14" t="s">
        <v>5527</v>
      </c>
      <c r="K1388" s="13" t="s">
        <v>5537</v>
      </c>
      <c r="L1388" s="15">
        <v>16.792000000000002</v>
      </c>
      <c r="M1388" s="15">
        <v>20.99</v>
      </c>
      <c r="N1388" s="15">
        <v>-7.230500000000001</v>
      </c>
      <c r="O1388" s="15">
        <f>V1388-M1388</f>
        <v>22.19</v>
      </c>
      <c r="P1388" s="16">
        <f>N1388/L1388</f>
        <v>-0.43059194854692712</v>
      </c>
      <c r="Q1388" s="14">
        <v>2100036</v>
      </c>
      <c r="R1388" s="14"/>
      <c r="S1388" s="17">
        <v>3.1989036199999998</v>
      </c>
      <c r="T1388" s="15">
        <v>20.99</v>
      </c>
      <c r="U1388" s="15">
        <v>37.61</v>
      </c>
      <c r="V1388" s="15">
        <v>43.18</v>
      </c>
      <c r="W1388" s="14" t="s">
        <v>53</v>
      </c>
      <c r="X1388" s="14">
        <v>5</v>
      </c>
      <c r="Y1388" s="10">
        <f>AC1388-AB1388</f>
        <v>1</v>
      </c>
      <c r="Z1388" s="18">
        <v>2</v>
      </c>
      <c r="AA1388" s="18">
        <v>21</v>
      </c>
      <c r="AB1388" s="18">
        <v>1</v>
      </c>
      <c r="AC1388" s="18">
        <v>2</v>
      </c>
      <c r="AD1388" s="1" t="s">
        <v>5529</v>
      </c>
      <c r="AE1388" s="1" t="s">
        <v>76</v>
      </c>
      <c r="AF1388" s="4">
        <v>3.15</v>
      </c>
      <c r="AG1388" s="4">
        <v>8.2799999999999994</v>
      </c>
    </row>
    <row r="1389" spans="1:33" ht="30" x14ac:dyDescent="0.25">
      <c r="A1389" s="10" t="s">
        <v>4202</v>
      </c>
      <c r="B1389" s="11" t="s">
        <v>33</v>
      </c>
      <c r="C1389" s="12" t="s">
        <v>4203</v>
      </c>
      <c r="D1389" s="27"/>
      <c r="E1389" s="14" t="s">
        <v>35</v>
      </c>
      <c r="F1389" s="11" t="str">
        <f>HYPERLINK("https://redirect.sdcdeals.com/redirect?destination=https%3A%2F%2Fwww.amazon.com%2Fdp%2FB0CGW3THP8%3Fth%3D1%26psc%3D1%26tag%3Dsdcdeals03-20", "Amazon Link")</f>
        <v>Amazon Link</v>
      </c>
      <c r="G1389" s="11" t="s">
        <v>36</v>
      </c>
      <c r="H1389" s="14" t="s">
        <v>4204</v>
      </c>
      <c r="I1389" s="11" t="str">
        <f>HYPERLINK("https://redirect.sdcdeals.com/redirect?code=763034&amp;mavely=https://mavely.app.link/e/bhESV2wGrGb&amp;destination=https%3A%2F%2Fwww.kohls.com%2Fsearch.jsp%3Fsubmit-search%3Dweb-regular%26search%3D81866567", "Retail Link")</f>
        <v>Retail Link</v>
      </c>
      <c r="J1389" s="14" t="s">
        <v>4205</v>
      </c>
      <c r="K1389" s="13" t="s">
        <v>4206</v>
      </c>
      <c r="L1389" s="15">
        <v>7.6000000000000014</v>
      </c>
      <c r="M1389" s="15">
        <v>10.99</v>
      </c>
      <c r="N1389" s="15">
        <v>-3.3085000000000009</v>
      </c>
      <c r="O1389" s="15">
        <f>V1389-M1389</f>
        <v>5.9799999999999986</v>
      </c>
      <c r="P1389" s="16">
        <f>N1389/L1389</f>
        <v>-0.43532894736842109</v>
      </c>
      <c r="Q1389" s="14">
        <v>1878420</v>
      </c>
      <c r="R1389" s="14"/>
      <c r="S1389" s="17">
        <v>0.44533324000000002</v>
      </c>
      <c r="T1389" s="15">
        <v>10.99</v>
      </c>
      <c r="U1389" s="15">
        <v>13.67</v>
      </c>
      <c r="V1389" s="15">
        <v>16.97</v>
      </c>
      <c r="W1389" s="14" t="s">
        <v>4207</v>
      </c>
      <c r="X1389" s="14">
        <v>10</v>
      </c>
      <c r="Y1389" s="10">
        <f>AC1389-AB1389</f>
        <v>0</v>
      </c>
      <c r="Z1389" s="18">
        <v>3</v>
      </c>
      <c r="AA1389" s="18">
        <v>3</v>
      </c>
      <c r="AB1389" s="18">
        <v>0</v>
      </c>
      <c r="AC1389" s="18"/>
      <c r="AE1389" s="1" t="s">
        <v>4208</v>
      </c>
      <c r="AF1389" s="4">
        <v>0.55000000000000004</v>
      </c>
      <c r="AG1389" s="4">
        <v>5.05</v>
      </c>
    </row>
    <row r="1390" spans="1:33" ht="30" hidden="1" x14ac:dyDescent="0.25">
      <c r="A1390" s="10" t="s">
        <v>6184</v>
      </c>
      <c r="B1390" s="11" t="s">
        <v>33</v>
      </c>
      <c r="C1390" s="12" t="s">
        <v>6185</v>
      </c>
      <c r="D1390" s="27"/>
      <c r="E1390" s="14" t="s">
        <v>35</v>
      </c>
      <c r="F1390" s="11" t="str">
        <f>HYPERLINK("https://redirect.sdcdeals.com/redirect?destination=https%3A%2F%2Fwww.amazon.com%2Fdp%2FB0CL5LCHSY%3Fth%3D1%26psc%3D1%26tag%3Dsdcdeals03-20", "Amazon Link")</f>
        <v>Amazon Link</v>
      </c>
      <c r="G1390" s="11" t="s">
        <v>36</v>
      </c>
      <c r="H1390" s="14" t="s">
        <v>6186</v>
      </c>
      <c r="I1390" s="11" t="str">
        <f>HYPERLINK("https://redirect.sdcdeals.com/redirect?code=763034&amp;mavely=https://mavely.app.link/e/bhESV2wGrGb&amp;destination=https%3A%2F%2Fwww.kohls.com%2Fsearch.jsp%3Fsubmit-search%3Dweb-regular%26search%3D50022574", "Retail Link")</f>
        <v>Retail Link</v>
      </c>
      <c r="J1390" s="14" t="s">
        <v>6187</v>
      </c>
      <c r="K1390" s="13" t="s">
        <v>6188</v>
      </c>
      <c r="L1390" s="15">
        <v>6.8000000000000007</v>
      </c>
      <c r="M1390" s="15">
        <v>10</v>
      </c>
      <c r="N1390" s="15">
        <v>-2.9700000000000011</v>
      </c>
      <c r="O1390" s="15">
        <f>V1390-M1390</f>
        <v>7.9400000000000013</v>
      </c>
      <c r="P1390" s="16">
        <f>N1390/L1390</f>
        <v>-0.43676470588235305</v>
      </c>
      <c r="Q1390" s="14"/>
      <c r="R1390" s="14"/>
      <c r="S1390" s="17">
        <v>0.22928048000000001</v>
      </c>
      <c r="T1390" s="15">
        <v>10</v>
      </c>
      <c r="U1390" s="15">
        <v>13.9</v>
      </c>
      <c r="V1390" s="15">
        <v>17.940000000000001</v>
      </c>
      <c r="W1390" s="14" t="s">
        <v>124</v>
      </c>
      <c r="X1390" s="14">
        <v>6</v>
      </c>
      <c r="Y1390" s="10">
        <f>AC1390-AB1390</f>
        <v>0</v>
      </c>
      <c r="Z1390" s="18">
        <v>0</v>
      </c>
      <c r="AA1390" s="18">
        <v>0</v>
      </c>
      <c r="AB1390" s="18">
        <v>0</v>
      </c>
      <c r="AC1390" s="18"/>
      <c r="AD1390" s="1" t="s">
        <v>4680</v>
      </c>
      <c r="AE1390" s="1" t="s">
        <v>6189</v>
      </c>
      <c r="AG1390" s="4">
        <v>4.67</v>
      </c>
    </row>
    <row r="1391" spans="1:33" ht="30" x14ac:dyDescent="0.25">
      <c r="A1391" s="10" t="s">
        <v>6507</v>
      </c>
      <c r="B1391" s="11" t="s">
        <v>33</v>
      </c>
      <c r="C1391" s="12" t="s">
        <v>6508</v>
      </c>
      <c r="D1391" s="27"/>
      <c r="E1391" s="14" t="s">
        <v>35</v>
      </c>
      <c r="F1391" s="11" t="str">
        <f>HYPERLINK("https://redirect.sdcdeals.com/redirect?destination=https%3A%2F%2Fwww.amazon.com%2Fdp%2FB0BHXG4RCX%3Fth%3D1%26psc%3D1%26tag%3Dsdcdeals03-20", "Amazon Link")</f>
        <v>Amazon Link</v>
      </c>
      <c r="G1391" s="11" t="s">
        <v>36</v>
      </c>
      <c r="H1391" s="14" t="s">
        <v>6509</v>
      </c>
      <c r="I1391" s="11" t="str">
        <f>HYPERLINK("https://redirect.sdcdeals.com/redirect?code=763034&amp;mavely=https://mavely.app.link/e/bhESV2wGrGb&amp;destination=https%3A%2F%2Fwww.kohls.com%2Fsearch.jsp%3Fsubmit-search%3Dweb-regular%26search%3D75436235", "Retail Link")</f>
        <v>Retail Link</v>
      </c>
      <c r="J1391" s="14" t="s">
        <v>6488</v>
      </c>
      <c r="K1391" s="13" t="s">
        <v>6510</v>
      </c>
      <c r="L1391" s="15">
        <v>11.76</v>
      </c>
      <c r="M1391" s="15">
        <v>14.7</v>
      </c>
      <c r="N1391" s="15">
        <v>-5.1650000000000009</v>
      </c>
      <c r="O1391" s="15">
        <f>V1391-M1391</f>
        <v>7.84</v>
      </c>
      <c r="P1391" s="16">
        <f>N1391/L1391</f>
        <v>-0.43920068027210896</v>
      </c>
      <c r="Q1391" s="14">
        <v>2112772</v>
      </c>
      <c r="R1391" s="14"/>
      <c r="S1391" s="17">
        <v>0.33510224</v>
      </c>
      <c r="T1391" s="15">
        <v>14.7</v>
      </c>
      <c r="U1391" s="15">
        <v>27.68</v>
      </c>
      <c r="V1391" s="15">
        <v>22.54</v>
      </c>
      <c r="W1391" s="14" t="s">
        <v>60</v>
      </c>
      <c r="X1391" s="14">
        <v>1</v>
      </c>
      <c r="Y1391" s="10">
        <f>AC1391-AB1391</f>
        <v>0</v>
      </c>
      <c r="Z1391" s="18">
        <v>2</v>
      </c>
      <c r="AA1391" s="18">
        <v>5</v>
      </c>
      <c r="AB1391" s="18"/>
      <c r="AC1391" s="18"/>
      <c r="AD1391" s="1" t="s">
        <v>6490</v>
      </c>
      <c r="AE1391" s="1" t="s">
        <v>4045</v>
      </c>
      <c r="AF1391" s="4">
        <v>0.74</v>
      </c>
      <c r="AG1391" s="4">
        <v>5.9</v>
      </c>
    </row>
    <row r="1392" spans="1:33" ht="30" hidden="1" x14ac:dyDescent="0.25">
      <c r="A1392" s="10" t="s">
        <v>2811</v>
      </c>
      <c r="B1392" s="11" t="s">
        <v>33</v>
      </c>
      <c r="C1392" s="12" t="s">
        <v>2812</v>
      </c>
      <c r="D1392" s="27"/>
      <c r="E1392" s="14" t="s">
        <v>35</v>
      </c>
      <c r="F1392" s="11" t="str">
        <f>HYPERLINK("https://redirect.sdcdeals.com/redirect?destination=https%3A%2F%2Fwww.amazon.com%2Fdp%2FB0CCBQ31P5%3Fth%3D1%26psc%3D1%26tag%3Dsdcdeals03-20", "Amazon Link")</f>
        <v>Amazon Link</v>
      </c>
      <c r="G1392" s="11" t="s">
        <v>36</v>
      </c>
      <c r="H1392" s="14" t="s">
        <v>2813</v>
      </c>
      <c r="I1392" s="11" t="str">
        <f>HYPERLINK("https://redirect.sdcdeals.com/redirect?code=763034&amp;mavely=https://mavely.app.link/e/bhESV2wGrGb&amp;destination=https%3A%2F%2Fwww.kohls.com%2Fsearch.jsp%3Fsubmit-search%3Dweb-regular%26search%3D33438546", "Retail Link")</f>
        <v>Retail Link</v>
      </c>
      <c r="J1392" s="14" t="s">
        <v>2705</v>
      </c>
      <c r="K1392" s="13" t="s">
        <v>2723</v>
      </c>
      <c r="L1392" s="15">
        <v>13.2</v>
      </c>
      <c r="M1392" s="15">
        <v>16.71</v>
      </c>
      <c r="N1392" s="15">
        <v>-5.8264999999999993</v>
      </c>
      <c r="O1392" s="15">
        <f>V1392-M1392</f>
        <v>8.6999999999999993</v>
      </c>
      <c r="P1392" s="16">
        <f>N1392/L1392</f>
        <v>-0.4414015151515151</v>
      </c>
      <c r="Q1392" s="14"/>
      <c r="R1392" s="14"/>
      <c r="S1392" s="17">
        <v>0.95900969999999996</v>
      </c>
      <c r="T1392" s="15">
        <v>16.71</v>
      </c>
      <c r="U1392" s="15">
        <v>24</v>
      </c>
      <c r="V1392" s="15">
        <v>25.41</v>
      </c>
      <c r="W1392" s="14" t="s">
        <v>2787</v>
      </c>
      <c r="X1392" s="14">
        <v>2</v>
      </c>
      <c r="Y1392" s="10">
        <f>AC1392-AB1392</f>
        <v>2</v>
      </c>
      <c r="Z1392" s="18">
        <v>-1</v>
      </c>
      <c r="AA1392" s="18">
        <v>-1</v>
      </c>
      <c r="AB1392" s="18"/>
      <c r="AC1392" s="18">
        <v>2</v>
      </c>
      <c r="AD1392" s="1" t="s">
        <v>2743</v>
      </c>
      <c r="AE1392" s="1" t="s">
        <v>2725</v>
      </c>
      <c r="AF1392" s="4">
        <v>2.84</v>
      </c>
      <c r="AG1392" s="4">
        <v>6.83</v>
      </c>
    </row>
    <row r="1393" spans="1:33" ht="30" x14ac:dyDescent="0.25">
      <c r="A1393" s="10" t="s">
        <v>7483</v>
      </c>
      <c r="B1393" s="11" t="s">
        <v>33</v>
      </c>
      <c r="C1393" s="12" t="s">
        <v>7484</v>
      </c>
      <c r="D1393" s="27"/>
      <c r="E1393" s="14" t="s">
        <v>35</v>
      </c>
      <c r="F1393" s="11" t="str">
        <f>HYPERLINK("https://redirect.sdcdeals.com/redirect?destination=https%3A%2F%2Fwww.amazon.com%2Fdp%2FB0BKR26JHH%3Fth%3D1%26psc%3D1%26tag%3Dsdcdeals03-20", "Amazon Link")</f>
        <v>Amazon Link</v>
      </c>
      <c r="G1393" s="11" t="s">
        <v>36</v>
      </c>
      <c r="H1393" s="14" t="s">
        <v>7485</v>
      </c>
      <c r="I1393" s="11" t="str">
        <f>HYPERLINK("https://redirect.sdcdeals.com/redirect?code=763034&amp;mavely=https://mavely.app.link/e/bhESV2wGrGb&amp;destination=https%3A%2F%2Fwww.kohls.com%2Fsearch.jsp%3Fsubmit-search%3Dweb-regular%26search%3D55628814", "Retail Link")</f>
        <v>Retail Link</v>
      </c>
      <c r="J1393" s="14" t="s">
        <v>7447</v>
      </c>
      <c r="K1393" s="13" t="s">
        <v>7486</v>
      </c>
      <c r="L1393" s="15">
        <v>24</v>
      </c>
      <c r="M1393" s="15">
        <v>31.5</v>
      </c>
      <c r="N1393" s="15">
        <v>-10.635</v>
      </c>
      <c r="O1393" s="15">
        <f>V1393-M1393</f>
        <v>10.57</v>
      </c>
      <c r="P1393" s="16">
        <f>N1393/L1393</f>
        <v>-0.44312499999999999</v>
      </c>
      <c r="Q1393" s="14">
        <v>826894</v>
      </c>
      <c r="R1393" s="14"/>
      <c r="S1393" s="17">
        <v>1.10010538</v>
      </c>
      <c r="T1393" s="15">
        <v>31.5</v>
      </c>
      <c r="U1393" s="15">
        <v>32.92</v>
      </c>
      <c r="V1393" s="15">
        <v>42.07</v>
      </c>
      <c r="W1393" s="14" t="s">
        <v>2078</v>
      </c>
      <c r="X1393" s="14">
        <v>1</v>
      </c>
      <c r="Y1393" s="10">
        <f>AC1393-AB1393</f>
        <v>0</v>
      </c>
      <c r="Z1393" s="18">
        <v>7</v>
      </c>
      <c r="AA1393" s="18">
        <v>24</v>
      </c>
      <c r="AB1393" s="18">
        <v>0</v>
      </c>
      <c r="AC1393" s="18"/>
      <c r="AD1393" s="1" t="s">
        <v>7449</v>
      </c>
      <c r="AE1393" s="1" t="s">
        <v>3505</v>
      </c>
      <c r="AF1393" s="4">
        <v>5.36</v>
      </c>
      <c r="AG1393" s="4">
        <v>13.41</v>
      </c>
    </row>
    <row r="1394" spans="1:33" x14ac:dyDescent="0.25">
      <c r="A1394" s="10" t="s">
        <v>5617</v>
      </c>
      <c r="B1394" s="11" t="s">
        <v>33</v>
      </c>
      <c r="C1394" s="12" t="s">
        <v>5618</v>
      </c>
      <c r="D1394" s="27"/>
      <c r="E1394" s="14" t="s">
        <v>35</v>
      </c>
      <c r="F1394" s="11" t="str">
        <f>HYPERLINK("https://redirect.sdcdeals.com/redirect?destination=https%3A%2F%2Fwww.amazon.com%2Fdp%2FB0BRR434RS%3Fth%3D1%26psc%3D1%26tag%3Dsdcdeals03-20", "Amazon Link")</f>
        <v>Amazon Link</v>
      </c>
      <c r="G1394" s="11" t="s">
        <v>36</v>
      </c>
      <c r="H1394" s="14" t="s">
        <v>5619</v>
      </c>
      <c r="I1394" s="11" t="str">
        <f>HYPERLINK("https://redirect.sdcdeals.com/redirect?code=763034&amp;mavely=https://mavely.app.link/e/bhESV2wGrGb&amp;destination=https%3A%2F%2Fwww.kohls.com%2Fsearch.jsp%3Fsubmit-search%3Dweb-regular%26search%3D79102221", "Retail Link")</f>
        <v>Retail Link</v>
      </c>
      <c r="J1394" s="14" t="s">
        <v>5600</v>
      </c>
      <c r="K1394" s="13" t="s">
        <v>5620</v>
      </c>
      <c r="L1394" s="15">
        <v>79.992000000000004</v>
      </c>
      <c r="M1394" s="15">
        <v>61.7</v>
      </c>
      <c r="N1394" s="15">
        <v>-35.667000000000002</v>
      </c>
      <c r="O1394" s="15">
        <f>V1394-M1394</f>
        <v>19.5</v>
      </c>
      <c r="P1394" s="16">
        <f>N1394/L1394</f>
        <v>-0.44588208820882086</v>
      </c>
      <c r="Q1394" s="14">
        <v>882830</v>
      </c>
      <c r="R1394" s="14"/>
      <c r="S1394" s="17">
        <v>2.4691744</v>
      </c>
      <c r="T1394" s="15">
        <v>61.7</v>
      </c>
      <c r="U1394" s="15">
        <v>76.47</v>
      </c>
      <c r="V1394" s="15">
        <v>81.2</v>
      </c>
      <c r="W1394" s="14" t="s">
        <v>5621</v>
      </c>
      <c r="X1394" s="14">
        <v>6</v>
      </c>
      <c r="Y1394" s="10">
        <f>AC1394-AB1394</f>
        <v>70</v>
      </c>
      <c r="Z1394" s="18">
        <v>10</v>
      </c>
      <c r="AA1394" s="18">
        <v>41</v>
      </c>
      <c r="AB1394" s="18">
        <v>2</v>
      </c>
      <c r="AC1394" s="18">
        <v>72</v>
      </c>
      <c r="AD1394" s="1" t="s">
        <v>5602</v>
      </c>
      <c r="AE1394" s="1" t="s">
        <v>76</v>
      </c>
      <c r="AF1394" s="4">
        <v>9.26</v>
      </c>
      <c r="AG1394" s="4">
        <v>8.1199999999999992</v>
      </c>
    </row>
    <row r="1395" spans="1:33" ht="30" x14ac:dyDescent="0.25">
      <c r="A1395" s="10" t="s">
        <v>6963</v>
      </c>
      <c r="B1395" s="11" t="s">
        <v>33</v>
      </c>
      <c r="C1395" s="12" t="s">
        <v>6964</v>
      </c>
      <c r="D1395" s="27"/>
      <c r="E1395" s="14" t="s">
        <v>35</v>
      </c>
      <c r="F1395" s="11" t="str">
        <f>HYPERLINK("https://redirect.sdcdeals.com/redirect?destination=https%3A%2F%2Fwww.amazon.com%2Fdp%2FB0CQD2ZVKH%3Fth%3D1%26psc%3D1%26tag%3Dsdcdeals03-20", "Amazon Link")</f>
        <v>Amazon Link</v>
      </c>
      <c r="G1395" s="11" t="s">
        <v>36</v>
      </c>
      <c r="H1395" s="14" t="s">
        <v>6965</v>
      </c>
      <c r="I1395" s="11" t="str">
        <f>HYPERLINK("https://redirect.sdcdeals.com/redirect?code=763034&amp;mavely=https://mavely.app.link/e/bhESV2wGrGb&amp;destination=https%3A%2F%2Fwww.kohls.com%2Fsearch.jsp%3Fsubmit-search%3Dweb-regular%26search%3D73172870", "Retail Link")</f>
        <v>Retail Link</v>
      </c>
      <c r="J1395" s="14" t="s">
        <v>6959</v>
      </c>
      <c r="K1395" s="13" t="s">
        <v>6966</v>
      </c>
      <c r="L1395" s="15">
        <v>7.5439999999999996</v>
      </c>
      <c r="M1395" s="15">
        <v>9.43</v>
      </c>
      <c r="N1395" s="15">
        <v>-3.3685</v>
      </c>
      <c r="O1395" s="15">
        <f>V1395-M1395</f>
        <v>8.490000000000002</v>
      </c>
      <c r="P1395" s="16">
        <f>N1395/L1395</f>
        <v>-0.44651378579003187</v>
      </c>
      <c r="Q1395" s="14">
        <v>1892129</v>
      </c>
      <c r="R1395" s="14"/>
      <c r="S1395" s="17">
        <v>0.22046199999999999</v>
      </c>
      <c r="T1395" s="15">
        <v>9.43</v>
      </c>
      <c r="U1395" s="15">
        <v>14.61</v>
      </c>
      <c r="V1395" s="15">
        <v>17.920000000000002</v>
      </c>
      <c r="W1395" s="14" t="s">
        <v>4322</v>
      </c>
      <c r="X1395" s="14">
        <v>1</v>
      </c>
      <c r="Y1395" s="10">
        <f>AC1395-AB1395</f>
        <v>432</v>
      </c>
      <c r="Z1395" s="18">
        <v>2</v>
      </c>
      <c r="AA1395" s="18">
        <v>19</v>
      </c>
      <c r="AB1395" s="18">
        <v>0</v>
      </c>
      <c r="AC1395" s="18">
        <v>432</v>
      </c>
      <c r="AD1395" s="1" t="s">
        <v>6961</v>
      </c>
      <c r="AE1395" s="1" t="s">
        <v>6962</v>
      </c>
      <c r="AF1395" s="4">
        <v>0.47</v>
      </c>
      <c r="AG1395" s="4">
        <v>3.84</v>
      </c>
    </row>
    <row r="1396" spans="1:33" ht="30" x14ac:dyDescent="0.25">
      <c r="A1396" s="10" t="s">
        <v>6971</v>
      </c>
      <c r="B1396" s="11" t="s">
        <v>33</v>
      </c>
      <c r="C1396" s="12" t="s">
        <v>6972</v>
      </c>
      <c r="D1396" s="27"/>
      <c r="E1396" s="14" t="s">
        <v>35</v>
      </c>
      <c r="F1396" s="11" t="str">
        <f>HYPERLINK("https://redirect.sdcdeals.com/redirect?destination=https%3A%2F%2Fwww.amazon.com%2Fdp%2FB0CQD1F459%3Fth%3D1%26psc%3D1%26tag%3Dsdcdeals03-20", "Amazon Link")</f>
        <v>Amazon Link</v>
      </c>
      <c r="G1396" s="11" t="s">
        <v>36</v>
      </c>
      <c r="H1396" s="14" t="s">
        <v>6973</v>
      </c>
      <c r="I1396" s="11" t="str">
        <f>HYPERLINK("https://redirect.sdcdeals.com/redirect?code=763034&amp;mavely=https://mavely.app.link/e/bhESV2wGrGb&amp;destination=https%3A%2F%2Fwww.kohls.com%2Fsearch.jsp%3Fsubmit-search%3Dweb-regular%26search%3D73172871", "Retail Link")</f>
        <v>Retail Link</v>
      </c>
      <c r="J1396" s="14" t="s">
        <v>6959</v>
      </c>
      <c r="K1396" s="13" t="s">
        <v>6974</v>
      </c>
      <c r="L1396" s="15">
        <v>7.5439999999999996</v>
      </c>
      <c r="M1396" s="15">
        <v>9.43</v>
      </c>
      <c r="N1396" s="15">
        <v>-3.3685</v>
      </c>
      <c r="O1396" s="15">
        <f>V1396-M1396</f>
        <v>9.1999999999999993</v>
      </c>
      <c r="P1396" s="16">
        <f>N1396/L1396</f>
        <v>-0.44651378579003187</v>
      </c>
      <c r="Q1396" s="14">
        <v>27956</v>
      </c>
      <c r="R1396" s="14"/>
      <c r="S1396" s="17">
        <v>0.24250820000000001</v>
      </c>
      <c r="T1396" s="15">
        <v>9.43</v>
      </c>
      <c r="U1396" s="15">
        <v>14.58</v>
      </c>
      <c r="V1396" s="15">
        <v>18.63</v>
      </c>
      <c r="W1396" s="14" t="s">
        <v>1579</v>
      </c>
      <c r="X1396" s="14">
        <v>1</v>
      </c>
      <c r="Y1396" s="10">
        <f>AC1396-AB1396</f>
        <v>417</v>
      </c>
      <c r="Z1396" s="18">
        <v>2</v>
      </c>
      <c r="AA1396" s="18">
        <v>20</v>
      </c>
      <c r="AB1396" s="18">
        <v>0</v>
      </c>
      <c r="AC1396" s="18">
        <v>417</v>
      </c>
      <c r="AD1396" s="1" t="s">
        <v>6961</v>
      </c>
      <c r="AE1396" s="1" t="s">
        <v>6962</v>
      </c>
      <c r="AF1396" s="4">
        <v>0.47</v>
      </c>
      <c r="AG1396" s="4">
        <v>3.84</v>
      </c>
    </row>
    <row r="1397" spans="1:33" ht="30" x14ac:dyDescent="0.25">
      <c r="A1397" s="10" t="s">
        <v>6975</v>
      </c>
      <c r="B1397" s="11" t="s">
        <v>33</v>
      </c>
      <c r="C1397" s="12" t="s">
        <v>6976</v>
      </c>
      <c r="D1397" s="27"/>
      <c r="E1397" s="14" t="s">
        <v>35</v>
      </c>
      <c r="F1397" s="11" t="str">
        <f>HYPERLINK("https://redirect.sdcdeals.com/redirect?destination=https%3A%2F%2Fwww.amazon.com%2Fdp%2FB0CQD5MBNL%3Fth%3D1%26psc%3D1%26tag%3Dsdcdeals03-20", "Amazon Link")</f>
        <v>Amazon Link</v>
      </c>
      <c r="G1397" s="11" t="s">
        <v>36</v>
      </c>
      <c r="H1397" s="14" t="s">
        <v>6977</v>
      </c>
      <c r="I1397" s="11" t="str">
        <f>HYPERLINK("https://redirect.sdcdeals.com/redirect?code=763034&amp;mavely=https://mavely.app.link/e/bhESV2wGrGb&amp;destination=https%3A%2F%2Fwww.kohls.com%2Fsearch.jsp%3Fsubmit-search%3Dweb-regular%26search%3D73172872", "Retail Link")</f>
        <v>Retail Link</v>
      </c>
      <c r="J1397" s="14" t="s">
        <v>6959</v>
      </c>
      <c r="K1397" s="13" t="s">
        <v>6978</v>
      </c>
      <c r="L1397" s="15">
        <v>7.5439999999999996</v>
      </c>
      <c r="M1397" s="15">
        <v>9.43</v>
      </c>
      <c r="N1397" s="15">
        <v>-3.3685</v>
      </c>
      <c r="O1397" s="15">
        <f>V1397-M1397</f>
        <v>8.240000000000002</v>
      </c>
      <c r="P1397" s="16">
        <f>N1397/L1397</f>
        <v>-0.44651378579003187</v>
      </c>
      <c r="Q1397" s="14">
        <v>1045862</v>
      </c>
      <c r="R1397" s="14"/>
      <c r="S1397" s="17">
        <v>0.28660059999999998</v>
      </c>
      <c r="T1397" s="15">
        <v>9.43</v>
      </c>
      <c r="U1397" s="15">
        <v>14.27</v>
      </c>
      <c r="V1397" s="15">
        <v>17.670000000000002</v>
      </c>
      <c r="W1397" s="14" t="s">
        <v>664</v>
      </c>
      <c r="X1397" s="14">
        <v>1</v>
      </c>
      <c r="Y1397" s="10">
        <f>AC1397-AB1397</f>
        <v>0</v>
      </c>
      <c r="Z1397" s="18">
        <v>2</v>
      </c>
      <c r="AA1397" s="18">
        <v>31</v>
      </c>
      <c r="AB1397" s="18">
        <v>0</v>
      </c>
      <c r="AC1397" s="18"/>
      <c r="AD1397" s="1" t="s">
        <v>6961</v>
      </c>
      <c r="AE1397" s="1" t="s">
        <v>6962</v>
      </c>
      <c r="AF1397" s="4">
        <v>0.47</v>
      </c>
      <c r="AG1397" s="4">
        <v>3.84</v>
      </c>
    </row>
    <row r="1398" spans="1:33" ht="30" x14ac:dyDescent="0.25">
      <c r="A1398" s="10" t="s">
        <v>921</v>
      </c>
      <c r="B1398" s="11" t="s">
        <v>33</v>
      </c>
      <c r="C1398" s="12" t="s">
        <v>922</v>
      </c>
      <c r="D1398" s="27"/>
      <c r="E1398" s="14" t="s">
        <v>35</v>
      </c>
      <c r="F1398" s="11" t="str">
        <f>HYPERLINK("https://redirect.sdcdeals.com/redirect?destination=https%3A%2F%2Fwww.amazon.com%2Fdp%2FB07YXN8TV3%3Fth%3D1%26psc%3D1%26tag%3Dsdcdeals03-20", "Amazon Link")</f>
        <v>Amazon Link</v>
      </c>
      <c r="G1398" s="11" t="s">
        <v>36</v>
      </c>
      <c r="H1398" s="14" t="s">
        <v>923</v>
      </c>
      <c r="I1398" s="11" t="str">
        <f>HYPERLINK("https://redirect.sdcdeals.com/redirect?code=763034&amp;mavely=https://mavely.app.link/e/bhESV2wGrGb&amp;destination=https%3A%2F%2Fwww.kohls.com%2Fsearch.jsp%3Fsubmit-search%3Dweb-regular%26search%3D61955204", "Retail Link")</f>
        <v>Retail Link</v>
      </c>
      <c r="J1398" s="14" t="s">
        <v>924</v>
      </c>
      <c r="K1398" s="13" t="s">
        <v>925</v>
      </c>
      <c r="L1398" s="15">
        <v>16.495999999999999</v>
      </c>
      <c r="M1398" s="15">
        <v>19.25</v>
      </c>
      <c r="N1398" s="15">
        <v>-7.3734999999999982</v>
      </c>
      <c r="O1398" s="15">
        <f>V1398-M1398</f>
        <v>11.57</v>
      </c>
      <c r="P1398" s="16">
        <f>N1398/L1398</f>
        <v>-0.44698714839961196</v>
      </c>
      <c r="Q1398" s="14">
        <v>7343</v>
      </c>
      <c r="R1398" s="14">
        <v>50</v>
      </c>
      <c r="S1398" s="17">
        <v>0.72972921999999996</v>
      </c>
      <c r="T1398" s="15">
        <v>19.25</v>
      </c>
      <c r="U1398" s="15">
        <v>29.89</v>
      </c>
      <c r="V1398" s="15">
        <v>30.82</v>
      </c>
      <c r="W1398" s="14" t="s">
        <v>926</v>
      </c>
      <c r="X1398" s="14">
        <v>16</v>
      </c>
      <c r="Y1398" s="10">
        <f>AC1398-AB1398</f>
        <v>0</v>
      </c>
      <c r="Z1398" s="18">
        <v>54</v>
      </c>
      <c r="AA1398" s="18">
        <v>183</v>
      </c>
      <c r="AB1398" s="18">
        <v>293</v>
      </c>
      <c r="AC1398" s="18">
        <v>293</v>
      </c>
      <c r="AD1398" s="1" t="s">
        <v>927</v>
      </c>
      <c r="AE1398" s="1" t="s">
        <v>76</v>
      </c>
      <c r="AF1398" s="4">
        <v>1.93</v>
      </c>
      <c r="AG1398" s="4">
        <v>7.24</v>
      </c>
    </row>
    <row r="1399" spans="1:33" x14ac:dyDescent="0.25">
      <c r="A1399" s="10" t="s">
        <v>5622</v>
      </c>
      <c r="B1399" s="11" t="s">
        <v>33</v>
      </c>
      <c r="C1399" s="12" t="s">
        <v>5623</v>
      </c>
      <c r="D1399" s="27"/>
      <c r="E1399" s="14" t="s">
        <v>35</v>
      </c>
      <c r="F1399" s="11" t="str">
        <f>HYPERLINK("https://redirect.sdcdeals.com/redirect?destination=https%3A%2F%2Fwww.amazon.com%2Fdp%2FB0BRR2SB1R%3Fth%3D1%26psc%3D1%26tag%3Dsdcdeals03-20", "Amazon Link")</f>
        <v>Amazon Link</v>
      </c>
      <c r="G1399" s="11" t="s">
        <v>36</v>
      </c>
      <c r="H1399" s="14" t="s">
        <v>5624</v>
      </c>
      <c r="I1399" s="11" t="str">
        <f>HYPERLINK("https://redirect.sdcdeals.com/redirect?code=763034&amp;mavely=https://mavely.app.link/e/bhESV2wGrGb&amp;destination=https%3A%2F%2Fwww.kohls.com%2Fsearch.jsp%3Fsubmit-search%3Dweb-regular%26search%3D77042359", "Retail Link")</f>
        <v>Retail Link</v>
      </c>
      <c r="J1399" s="14" t="s">
        <v>5600</v>
      </c>
      <c r="K1399" s="13" t="s">
        <v>5625</v>
      </c>
      <c r="L1399" s="15">
        <v>79.992000000000004</v>
      </c>
      <c r="M1399" s="15">
        <v>61.58</v>
      </c>
      <c r="N1399" s="15">
        <v>-35.769000000000013</v>
      </c>
      <c r="O1399" s="15">
        <f>V1399-M1399</f>
        <v>20.159999999999997</v>
      </c>
      <c r="P1399" s="16">
        <f>N1399/L1399</f>
        <v>-0.4471572157215723</v>
      </c>
      <c r="Q1399" s="14">
        <v>882830</v>
      </c>
      <c r="R1399" s="14"/>
      <c r="S1399" s="17">
        <v>2.4361050999999998</v>
      </c>
      <c r="T1399" s="15">
        <v>61.58</v>
      </c>
      <c r="U1399" s="15">
        <v>79.930000000000007</v>
      </c>
      <c r="V1399" s="15">
        <v>81.739999999999995</v>
      </c>
      <c r="W1399" s="14" t="s">
        <v>5626</v>
      </c>
      <c r="X1399" s="14">
        <v>6</v>
      </c>
      <c r="Y1399" s="10">
        <f>AC1399-AB1399</f>
        <v>70</v>
      </c>
      <c r="Z1399" s="18">
        <v>9</v>
      </c>
      <c r="AA1399" s="18">
        <v>35</v>
      </c>
      <c r="AB1399" s="18">
        <v>2</v>
      </c>
      <c r="AC1399" s="18">
        <v>72</v>
      </c>
      <c r="AD1399" s="1" t="s">
        <v>5602</v>
      </c>
      <c r="AE1399" s="1" t="s">
        <v>438</v>
      </c>
      <c r="AF1399" s="4">
        <v>9.24</v>
      </c>
      <c r="AG1399" s="4">
        <v>8.1199999999999992</v>
      </c>
    </row>
    <row r="1400" spans="1:33" ht="30" x14ac:dyDescent="0.25">
      <c r="A1400" s="10" t="s">
        <v>7450</v>
      </c>
      <c r="B1400" s="11" t="s">
        <v>33</v>
      </c>
      <c r="C1400" s="12" t="s">
        <v>7451</v>
      </c>
      <c r="D1400" s="27"/>
      <c r="E1400" s="14" t="s">
        <v>35</v>
      </c>
      <c r="F1400" s="11" t="str">
        <f>HYPERLINK("https://redirect.sdcdeals.com/redirect?destination=https%3A%2F%2Fwww.amazon.com%2Fdp%2FB0BKR25PNW%3Fth%3D1%26psc%3D1%26tag%3Dsdcdeals03-20", "Amazon Link")</f>
        <v>Amazon Link</v>
      </c>
      <c r="G1400" s="11" t="s">
        <v>36</v>
      </c>
      <c r="H1400" s="14" t="s">
        <v>7452</v>
      </c>
      <c r="I1400" s="11" t="str">
        <f>HYPERLINK("https://redirect.sdcdeals.com/redirect?code=763034&amp;mavely=https://mavely.app.link/e/bhESV2wGrGb&amp;destination=https%3A%2F%2Fwww.kohls.com%2Fsearch.jsp%3Fsubmit-search%3Dweb-regular%26search%3D55628806", "Retail Link")</f>
        <v>Retail Link</v>
      </c>
      <c r="J1400" s="14" t="s">
        <v>7447</v>
      </c>
      <c r="K1400" s="13" t="s">
        <v>7453</v>
      </c>
      <c r="L1400" s="15">
        <v>24</v>
      </c>
      <c r="M1400" s="15">
        <v>30</v>
      </c>
      <c r="N1400" s="15">
        <v>-10.77</v>
      </c>
      <c r="O1400" s="15">
        <f>V1400-M1400</f>
        <v>33.119999999999997</v>
      </c>
      <c r="P1400" s="16">
        <f>N1400/L1400</f>
        <v>-0.44874999999999998</v>
      </c>
      <c r="Q1400" s="14">
        <v>826894</v>
      </c>
      <c r="R1400" s="14"/>
      <c r="S1400" s="17">
        <v>1.0097159600000001</v>
      </c>
      <c r="T1400" s="15">
        <v>30</v>
      </c>
      <c r="U1400" s="15">
        <v>60.75</v>
      </c>
      <c r="V1400" s="15">
        <v>63.12</v>
      </c>
      <c r="W1400" s="14" t="s">
        <v>1236</v>
      </c>
      <c r="X1400" s="14">
        <v>1</v>
      </c>
      <c r="Y1400" s="10">
        <f>AC1400-AB1400</f>
        <v>0</v>
      </c>
      <c r="Z1400" s="18">
        <v>13</v>
      </c>
      <c r="AA1400" s="18">
        <v>38</v>
      </c>
      <c r="AB1400" s="18">
        <v>0</v>
      </c>
      <c r="AC1400" s="18"/>
      <c r="AD1400" s="1" t="s">
        <v>7449</v>
      </c>
      <c r="AE1400" s="1" t="s">
        <v>7454</v>
      </c>
      <c r="AF1400" s="4">
        <v>5.0999999999999996</v>
      </c>
      <c r="AG1400" s="4">
        <v>12.27</v>
      </c>
    </row>
    <row r="1401" spans="1:33" ht="30" x14ac:dyDescent="0.25">
      <c r="A1401" s="10" t="s">
        <v>2648</v>
      </c>
      <c r="B1401" s="11" t="s">
        <v>33</v>
      </c>
      <c r="C1401" s="12" t="s">
        <v>2649</v>
      </c>
      <c r="D1401" s="27"/>
      <c r="E1401" s="14" t="s">
        <v>35</v>
      </c>
      <c r="F1401" s="11" t="str">
        <f>HYPERLINK("https://redirect.sdcdeals.com/redirect?destination=https%3A%2F%2Fwww.amazon.com%2Fdp%2FB0BRR4MMJP%3Fth%3D1%26psc%3D1%26tag%3Dsdcdeals03-20", "Amazon Link")</f>
        <v>Amazon Link</v>
      </c>
      <c r="G1401" s="11" t="s">
        <v>36</v>
      </c>
      <c r="H1401" s="14" t="s">
        <v>2650</v>
      </c>
      <c r="I1401" s="11" t="str">
        <f>HYPERLINK("https://redirect.sdcdeals.com/redirect?code=763034&amp;mavely=https://mavely.app.link/e/bhESV2wGrGb&amp;destination=https%3A%2F%2Fwww.kohls.com%2Fsearch.jsp%3Fsubmit-search%3Dweb-regular%26search%3D73547366", "Retail Link")</f>
        <v>Retail Link</v>
      </c>
      <c r="J1401" s="14" t="s">
        <v>2644</v>
      </c>
      <c r="K1401" s="13" t="s">
        <v>2651</v>
      </c>
      <c r="L1401" s="15">
        <v>16.495999999999999</v>
      </c>
      <c r="M1401" s="15">
        <v>20.62</v>
      </c>
      <c r="N1401" s="15">
        <v>-7.4089999999999971</v>
      </c>
      <c r="O1401" s="15">
        <f>V1401-M1401</f>
        <v>31.470000000000002</v>
      </c>
      <c r="P1401" s="16">
        <f>N1401/L1401</f>
        <v>-0.44913918525703189</v>
      </c>
      <c r="Q1401" s="14">
        <v>351265</v>
      </c>
      <c r="R1401" s="14"/>
      <c r="S1401" s="17">
        <v>3.0137155400000002</v>
      </c>
      <c r="T1401" s="15">
        <v>20.62</v>
      </c>
      <c r="U1401" s="15">
        <v>45.67</v>
      </c>
      <c r="V1401" s="15">
        <v>52.09</v>
      </c>
      <c r="W1401" s="14" t="s">
        <v>2652</v>
      </c>
      <c r="X1401" s="14">
        <v>2</v>
      </c>
      <c r="Y1401" s="10">
        <f>AC1401-AB1401</f>
        <v>388</v>
      </c>
      <c r="Z1401" s="18">
        <v>11</v>
      </c>
      <c r="AA1401" s="18">
        <v>20</v>
      </c>
      <c r="AB1401" s="18">
        <v>0</v>
      </c>
      <c r="AC1401" s="18">
        <v>388</v>
      </c>
      <c r="AD1401" s="1" t="s">
        <v>2646</v>
      </c>
      <c r="AE1401" s="1" t="s">
        <v>2647</v>
      </c>
      <c r="AF1401" s="4">
        <v>3.09</v>
      </c>
      <c r="AG1401" s="4">
        <v>8.44</v>
      </c>
    </row>
    <row r="1402" spans="1:33" ht="30" x14ac:dyDescent="0.25">
      <c r="A1402" s="10" t="s">
        <v>2653</v>
      </c>
      <c r="B1402" s="11" t="s">
        <v>33</v>
      </c>
      <c r="C1402" s="12" t="s">
        <v>2654</v>
      </c>
      <c r="D1402" s="27"/>
      <c r="E1402" s="14" t="s">
        <v>35</v>
      </c>
      <c r="F1402" s="11" t="str">
        <f>HYPERLINK("https://redirect.sdcdeals.com/redirect?destination=https%3A%2F%2Fwww.amazon.com%2Fdp%2FB0BRR3N93S%3Fth%3D1%26psc%3D1%26tag%3Dsdcdeals03-20", "Amazon Link")</f>
        <v>Amazon Link</v>
      </c>
      <c r="G1402" s="11" t="s">
        <v>36</v>
      </c>
      <c r="H1402" s="14" t="s">
        <v>2655</v>
      </c>
      <c r="I1402" s="11" t="str">
        <f>HYPERLINK("https://redirect.sdcdeals.com/redirect?code=763034&amp;mavely=https://mavely.app.link/e/bhESV2wGrGb&amp;destination=https%3A%2F%2Fwww.kohls.com%2Fsearch.jsp%3Fsubmit-search%3Dweb-regular%26search%3D73547367", "Retail Link")</f>
        <v>Retail Link</v>
      </c>
      <c r="J1402" s="14" t="s">
        <v>2644</v>
      </c>
      <c r="K1402" s="13" t="s">
        <v>2656</v>
      </c>
      <c r="L1402" s="15">
        <v>16.495999999999999</v>
      </c>
      <c r="M1402" s="15">
        <v>20.62</v>
      </c>
      <c r="N1402" s="15">
        <v>-7.4089999999999971</v>
      </c>
      <c r="O1402" s="15">
        <f>V1402-M1402</f>
        <v>31.81</v>
      </c>
      <c r="P1402" s="16">
        <f>N1402/L1402</f>
        <v>-0.44913918525703189</v>
      </c>
      <c r="Q1402" s="14">
        <v>351265</v>
      </c>
      <c r="R1402" s="14"/>
      <c r="S1402" s="17">
        <v>3.0908772400000002</v>
      </c>
      <c r="T1402" s="15">
        <v>20.62</v>
      </c>
      <c r="U1402" s="15">
        <v>45.59</v>
      </c>
      <c r="V1402" s="15">
        <v>52.43</v>
      </c>
      <c r="W1402" s="14" t="s">
        <v>843</v>
      </c>
      <c r="X1402" s="14">
        <v>2</v>
      </c>
      <c r="Y1402" s="10">
        <f>AC1402-AB1402</f>
        <v>387</v>
      </c>
      <c r="Z1402" s="18">
        <v>7</v>
      </c>
      <c r="AA1402" s="18">
        <v>16</v>
      </c>
      <c r="AB1402" s="18">
        <v>1</v>
      </c>
      <c r="AC1402" s="18">
        <v>388</v>
      </c>
      <c r="AD1402" s="1" t="s">
        <v>2646</v>
      </c>
      <c r="AE1402" s="1" t="s">
        <v>2647</v>
      </c>
      <c r="AF1402" s="4">
        <v>3.09</v>
      </c>
      <c r="AG1402" s="4">
        <v>8.44</v>
      </c>
    </row>
    <row r="1403" spans="1:33" ht="45" x14ac:dyDescent="0.25">
      <c r="A1403" s="10" t="s">
        <v>6726</v>
      </c>
      <c r="B1403" s="11" t="s">
        <v>33</v>
      </c>
      <c r="C1403" s="12" t="s">
        <v>6727</v>
      </c>
      <c r="D1403" s="27"/>
      <c r="E1403" s="14" t="s">
        <v>35</v>
      </c>
      <c r="F1403" s="11" t="str">
        <f>HYPERLINK("https://redirect.sdcdeals.com/redirect?destination=https%3A%2F%2Fwww.amazon.com%2Fdp%2FB0BFTGHLLX%3Fth%3D1%26psc%3D1%26tag%3Dsdcdeals03-20", "Amazon Link")</f>
        <v>Amazon Link</v>
      </c>
      <c r="G1403" s="11" t="s">
        <v>36</v>
      </c>
      <c r="H1403" s="14" t="s">
        <v>6728</v>
      </c>
      <c r="I1403" s="11" t="str">
        <f>HYPERLINK("https://redirect.sdcdeals.com/redirect?code=763034&amp;mavely=https://mavely.app.link/e/bhESV2wGrGb&amp;destination=https%3A%2F%2Fwww.kohls.com%2Fsearch.jsp%3Fsubmit-search%3Dweb-regular%26search%3D77474811", "Retail Link")</f>
        <v>Retail Link</v>
      </c>
      <c r="J1403" s="14" t="s">
        <v>6710</v>
      </c>
      <c r="K1403" s="13" t="s">
        <v>6729</v>
      </c>
      <c r="L1403" s="15">
        <v>63</v>
      </c>
      <c r="M1403" s="15">
        <v>60</v>
      </c>
      <c r="N1403" s="15">
        <v>-28.45</v>
      </c>
      <c r="O1403" s="15">
        <f>V1403-M1403</f>
        <v>65.12</v>
      </c>
      <c r="P1403" s="16">
        <f>N1403/L1403</f>
        <v>-0.45158730158730159</v>
      </c>
      <c r="Q1403" s="14">
        <v>3641509</v>
      </c>
      <c r="R1403" s="14"/>
      <c r="S1403" s="17">
        <v>3.28047456</v>
      </c>
      <c r="T1403" s="15">
        <v>60</v>
      </c>
      <c r="U1403" s="15">
        <v>75.97</v>
      </c>
      <c r="V1403" s="15">
        <v>125.12</v>
      </c>
      <c r="W1403" s="14" t="s">
        <v>598</v>
      </c>
      <c r="X1403" s="14">
        <v>1</v>
      </c>
      <c r="Y1403" s="10">
        <f>AC1403-AB1403</f>
        <v>9</v>
      </c>
      <c r="Z1403" s="18">
        <v>1</v>
      </c>
      <c r="AA1403" s="18">
        <v>2</v>
      </c>
      <c r="AB1403" s="18">
        <v>0</v>
      </c>
      <c r="AC1403" s="18">
        <v>9</v>
      </c>
      <c r="AD1403" s="1" t="s">
        <v>6712</v>
      </c>
      <c r="AE1403" s="1" t="s">
        <v>6717</v>
      </c>
      <c r="AG1403" s="4">
        <v>16.45</v>
      </c>
    </row>
    <row r="1404" spans="1:33" ht="30" x14ac:dyDescent="0.25">
      <c r="A1404" s="10" t="s">
        <v>861</v>
      </c>
      <c r="B1404" s="11" t="s">
        <v>33</v>
      </c>
      <c r="C1404" s="12" t="s">
        <v>862</v>
      </c>
      <c r="D1404" s="27"/>
      <c r="E1404" s="14" t="s">
        <v>35</v>
      </c>
      <c r="F1404" s="11" t="str">
        <f>HYPERLINK("https://redirect.sdcdeals.com/redirect?destination=https%3A%2F%2Fwww.amazon.com%2Fdp%2FB0BNWHG1Q5%3Fth%3D1%26psc%3D1%26tag%3Dsdcdeals03-20", "Amazon Link")</f>
        <v>Amazon Link</v>
      </c>
      <c r="G1404" s="11" t="s">
        <v>36</v>
      </c>
      <c r="H1404" s="14" t="s">
        <v>863</v>
      </c>
      <c r="I1404" s="11" t="str">
        <f>HYPERLINK("https://redirect.sdcdeals.com/redirect?code=763034&amp;mavely=https://mavely.app.link/e/bhESV2wGrGb&amp;destination=https%3A%2F%2Fwww.kohls.com%2Fsearch.jsp%3Fsubmit-search%3Dweb-regular%26search%3D20535293", "Retail Link")</f>
        <v>Retail Link</v>
      </c>
      <c r="J1404" s="14" t="s">
        <v>853</v>
      </c>
      <c r="K1404" s="13" t="s">
        <v>864</v>
      </c>
      <c r="L1404" s="15">
        <v>22.4</v>
      </c>
      <c r="M1404" s="15">
        <v>21.23</v>
      </c>
      <c r="N1404" s="15">
        <v>-10.2545</v>
      </c>
      <c r="O1404" s="15">
        <f>V1404-M1404</f>
        <v>12.919999999999998</v>
      </c>
      <c r="P1404" s="16">
        <f>N1404/L1404</f>
        <v>-0.45779017857142862</v>
      </c>
      <c r="Q1404" s="14">
        <v>2605453</v>
      </c>
      <c r="R1404" s="14"/>
      <c r="S1404" s="17">
        <v>0.49163025999999999</v>
      </c>
      <c r="T1404" s="15">
        <v>21.23</v>
      </c>
      <c r="U1404" s="15">
        <v>26.63</v>
      </c>
      <c r="V1404" s="15">
        <v>34.15</v>
      </c>
      <c r="W1404" s="14" t="s">
        <v>865</v>
      </c>
      <c r="X1404" s="14">
        <v>4</v>
      </c>
      <c r="Y1404" s="10">
        <f>AC1404-AB1404</f>
        <v>0</v>
      </c>
      <c r="Z1404" s="18">
        <v>2</v>
      </c>
      <c r="AA1404" s="18">
        <v>11</v>
      </c>
      <c r="AB1404" s="18">
        <v>0</v>
      </c>
      <c r="AC1404" s="18"/>
      <c r="AD1404" s="1" t="s">
        <v>855</v>
      </c>
      <c r="AE1404" s="1" t="s">
        <v>856</v>
      </c>
      <c r="AF1404" s="4">
        <v>3.61</v>
      </c>
      <c r="AG1404" s="4">
        <v>5.9</v>
      </c>
    </row>
    <row r="1405" spans="1:33" ht="30" x14ac:dyDescent="0.25">
      <c r="A1405" s="10" t="s">
        <v>525</v>
      </c>
      <c r="B1405" s="11" t="s">
        <v>33</v>
      </c>
      <c r="C1405" s="12" t="s">
        <v>526</v>
      </c>
      <c r="D1405" s="27"/>
      <c r="E1405" s="14" t="s">
        <v>35</v>
      </c>
      <c r="F1405" s="11" t="str">
        <f>HYPERLINK("https://redirect.sdcdeals.com/redirect?destination=https%3A%2F%2Fwww.amazon.com%2Fdp%2FB0986SQMB7%3Fth%3D1%26psc%3D1%26tag%3Dsdcdeals03-20", "Amazon Link")</f>
        <v>Amazon Link</v>
      </c>
      <c r="G1405" s="11" t="s">
        <v>36</v>
      </c>
      <c r="H1405" s="14" t="s">
        <v>527</v>
      </c>
      <c r="I1405" s="11" t="str">
        <f>HYPERLINK("https://redirect.sdcdeals.com/redirect?code=763034&amp;mavely=https://mavely.app.link/e/bhESV2wGrGb&amp;destination=https%3A%2F%2Fwww.kohls.com%2Fsearch.jsp%3Fsubmit-search%3Dweb-regular%26search%3D64928309", "Retail Link")</f>
        <v>Retail Link</v>
      </c>
      <c r="J1405" s="14" t="s">
        <v>528</v>
      </c>
      <c r="K1405" s="13" t="s">
        <v>529</v>
      </c>
      <c r="L1405" s="15">
        <v>4.7920000000000007</v>
      </c>
      <c r="M1405" s="15">
        <v>7.5</v>
      </c>
      <c r="N1405" s="15">
        <v>-2.197000000000001</v>
      </c>
      <c r="O1405" s="15">
        <f>V1405-M1405</f>
        <v>4.3499999999999996</v>
      </c>
      <c r="P1405" s="16">
        <f>N1405/L1405</f>
        <v>-0.45847245409015036</v>
      </c>
      <c r="Q1405" s="14">
        <v>2129173</v>
      </c>
      <c r="R1405" s="14"/>
      <c r="S1405" s="17">
        <v>0.110231</v>
      </c>
      <c r="T1405" s="15">
        <v>7.5</v>
      </c>
      <c r="U1405" s="15">
        <v>11.58</v>
      </c>
      <c r="V1405" s="15">
        <v>11.85</v>
      </c>
      <c r="W1405" s="14" t="s">
        <v>530</v>
      </c>
      <c r="X1405" s="14">
        <v>5</v>
      </c>
      <c r="Y1405" s="10">
        <f>AC1405-AB1405</f>
        <v>16</v>
      </c>
      <c r="Z1405" s="18">
        <v>0</v>
      </c>
      <c r="AA1405" s="18">
        <v>2</v>
      </c>
      <c r="AB1405" s="18"/>
      <c r="AC1405" s="18">
        <v>16</v>
      </c>
      <c r="AD1405" s="1" t="s">
        <v>531</v>
      </c>
      <c r="AE1405" s="1" t="s">
        <v>532</v>
      </c>
      <c r="AG1405" s="4">
        <v>3.78</v>
      </c>
    </row>
    <row r="1406" spans="1:33" ht="30" hidden="1" x14ac:dyDescent="0.25">
      <c r="A1406" s="10" t="s">
        <v>2805</v>
      </c>
      <c r="B1406" s="11" t="s">
        <v>33</v>
      </c>
      <c r="C1406" s="12" t="s">
        <v>2806</v>
      </c>
      <c r="D1406" s="27"/>
      <c r="E1406" s="14" t="s">
        <v>35</v>
      </c>
      <c r="F1406" s="11" t="str">
        <f>HYPERLINK("https://redirect.sdcdeals.com/redirect?destination=https%3A%2F%2Fwww.amazon.com%2Fdp%2FB0CCBQFWDL%3Fth%3D1%26psc%3D1%26tag%3Dsdcdeals03-20", "Amazon Link")</f>
        <v>Amazon Link</v>
      </c>
      <c r="G1406" s="11" t="s">
        <v>36</v>
      </c>
      <c r="H1406" s="14" t="s">
        <v>2807</v>
      </c>
      <c r="I1406" s="11" t="str">
        <f>HYPERLINK("https://redirect.sdcdeals.com/redirect?code=763034&amp;mavely=https://mavely.app.link/e/bhESV2wGrGb&amp;destination=https%3A%2F%2Fwww.kohls.com%2Fsearch.jsp%3Fsubmit-search%3Dweb-regular%26search%3D49706591", "Retail Link")</f>
        <v>Retail Link</v>
      </c>
      <c r="J1406" s="14" t="s">
        <v>2705</v>
      </c>
      <c r="K1406" s="13" t="s">
        <v>2711</v>
      </c>
      <c r="L1406" s="15">
        <v>13.2</v>
      </c>
      <c r="M1406" s="15">
        <v>16.36</v>
      </c>
      <c r="N1406" s="15">
        <v>-6.1240000000000014</v>
      </c>
      <c r="O1406" s="15">
        <f>V1406-M1406</f>
        <v>8.5500000000000007</v>
      </c>
      <c r="P1406" s="16">
        <f>N1406/L1406</f>
        <v>-0.4639393939393941</v>
      </c>
      <c r="Q1406" s="14"/>
      <c r="R1406" s="14"/>
      <c r="S1406" s="17">
        <v>0.88184799999999997</v>
      </c>
      <c r="T1406" s="15">
        <v>16.36</v>
      </c>
      <c r="U1406" s="15">
        <v>25.61</v>
      </c>
      <c r="V1406" s="15">
        <v>24.91</v>
      </c>
      <c r="W1406" s="14" t="s">
        <v>626</v>
      </c>
      <c r="X1406" s="14">
        <v>2</v>
      </c>
      <c r="Y1406" s="10">
        <f>AC1406-AB1406</f>
        <v>4</v>
      </c>
      <c r="Z1406" s="18">
        <v>-1</v>
      </c>
      <c r="AA1406" s="18">
        <v>-1</v>
      </c>
      <c r="AB1406" s="18"/>
      <c r="AC1406" s="18">
        <v>4</v>
      </c>
      <c r="AD1406" s="1" t="s">
        <v>2712</v>
      </c>
      <c r="AE1406" s="1" t="s">
        <v>2713</v>
      </c>
      <c r="AF1406" s="4">
        <v>2.78</v>
      </c>
      <c r="AG1406" s="4">
        <v>6.83</v>
      </c>
    </row>
    <row r="1407" spans="1:33" ht="30" x14ac:dyDescent="0.25">
      <c r="A1407" s="10" t="s">
        <v>7467</v>
      </c>
      <c r="B1407" s="11" t="s">
        <v>33</v>
      </c>
      <c r="C1407" s="12" t="s">
        <v>7468</v>
      </c>
      <c r="D1407" s="27"/>
      <c r="E1407" s="14" t="s">
        <v>35</v>
      </c>
      <c r="F1407" s="11" t="str">
        <f>HYPERLINK("https://redirect.sdcdeals.com/redirect?destination=https%3A%2F%2Fwww.amazon.com%2Fdp%2FB0BKR4D3Q9%3Fth%3D1%26psc%3D1%26tag%3Dsdcdeals03-20", "Amazon Link")</f>
        <v>Amazon Link</v>
      </c>
      <c r="G1407" s="11" t="s">
        <v>36</v>
      </c>
      <c r="H1407" s="14" t="s">
        <v>7469</v>
      </c>
      <c r="I1407" s="11" t="str">
        <f>HYPERLINK("https://redirect.sdcdeals.com/redirect?code=763034&amp;mavely=https://mavely.app.link/e/bhESV2wGrGb&amp;destination=https%3A%2F%2Fwww.kohls.com%2Fsearch.jsp%3Fsubmit-search%3Dweb-regular%26search%3D55628807", "Retail Link")</f>
        <v>Retail Link</v>
      </c>
      <c r="J1407" s="14" t="s">
        <v>7447</v>
      </c>
      <c r="K1407" s="13" t="s">
        <v>7470</v>
      </c>
      <c r="L1407" s="15">
        <v>24</v>
      </c>
      <c r="M1407" s="15">
        <v>30</v>
      </c>
      <c r="N1407" s="15">
        <v>-11.15</v>
      </c>
      <c r="O1407" s="15">
        <f>V1407-M1407</f>
        <v>33.4</v>
      </c>
      <c r="P1407" s="16">
        <f>N1407/L1407</f>
        <v>-0.46458333333333335</v>
      </c>
      <c r="Q1407" s="14">
        <v>826894</v>
      </c>
      <c r="R1407" s="14"/>
      <c r="S1407" s="17">
        <v>0.83775560000000004</v>
      </c>
      <c r="T1407" s="15">
        <v>30</v>
      </c>
      <c r="U1407" s="15">
        <v>60.82</v>
      </c>
      <c r="V1407" s="15">
        <v>63.4</v>
      </c>
      <c r="W1407" s="14" t="s">
        <v>720</v>
      </c>
      <c r="X1407" s="14">
        <v>1</v>
      </c>
      <c r="Y1407" s="10">
        <f>AC1407-AB1407</f>
        <v>0</v>
      </c>
      <c r="Z1407" s="18">
        <v>13</v>
      </c>
      <c r="AA1407" s="18">
        <v>42</v>
      </c>
      <c r="AB1407" s="18">
        <v>0</v>
      </c>
      <c r="AC1407" s="18"/>
      <c r="AD1407" s="1" t="s">
        <v>7449</v>
      </c>
      <c r="AE1407" s="1" t="s">
        <v>7454</v>
      </c>
      <c r="AF1407" s="4">
        <v>5.0999999999999996</v>
      </c>
      <c r="AG1407" s="4">
        <v>12.65</v>
      </c>
    </row>
    <row r="1408" spans="1:33" ht="30" x14ac:dyDescent="0.25">
      <c r="A1408" s="10" t="s">
        <v>6872</v>
      </c>
      <c r="B1408" s="11" t="s">
        <v>33</v>
      </c>
      <c r="C1408" s="12" t="s">
        <v>6873</v>
      </c>
      <c r="D1408" s="27"/>
      <c r="E1408" s="14" t="s">
        <v>35</v>
      </c>
      <c r="F1408" s="11" t="str">
        <f>HYPERLINK("https://redirect.sdcdeals.com/redirect?destination=https%3A%2F%2Fwww.amazon.com%2Fdp%2FB096YJNQ6S%3Fth%3D1%26psc%3D1%26tag%3Dsdcdeals03-20", "Amazon Link")</f>
        <v>Amazon Link</v>
      </c>
      <c r="G1408" s="11" t="s">
        <v>36</v>
      </c>
      <c r="H1408" s="14" t="s">
        <v>6874</v>
      </c>
      <c r="I1408" s="11" t="str">
        <f>HYPERLINK("https://redirect.sdcdeals.com/redirect?code=763034&amp;mavely=https://mavely.app.link/e/bhESV2wGrGb&amp;destination=https%3A%2F%2Fwww.kohls.com%2Fsearch.jsp%3Fsubmit-search%3Dweb-regular%26search%3D17741220", "Retail Link")</f>
        <v>Retail Link</v>
      </c>
      <c r="J1408" s="14" t="s">
        <v>6875</v>
      </c>
      <c r="K1408" s="13" t="s">
        <v>6876</v>
      </c>
      <c r="L1408" s="15">
        <v>8.4</v>
      </c>
      <c r="M1408" s="15">
        <v>10.5</v>
      </c>
      <c r="N1408" s="15">
        <v>-3.925000000000002</v>
      </c>
      <c r="O1408" s="15">
        <f>V1408-M1408</f>
        <v>10.010000000000002</v>
      </c>
      <c r="P1408" s="16">
        <f>N1408/L1408</f>
        <v>-0.46726190476190499</v>
      </c>
      <c r="Q1408" s="14">
        <v>73148</v>
      </c>
      <c r="R1408" s="14"/>
      <c r="S1408" s="17">
        <v>0.24912206000000001</v>
      </c>
      <c r="T1408" s="15">
        <v>10.5</v>
      </c>
      <c r="U1408" s="15">
        <v>19.72</v>
      </c>
      <c r="V1408" s="15">
        <v>20.51</v>
      </c>
      <c r="W1408" s="14" t="s">
        <v>6877</v>
      </c>
      <c r="X1408" s="14">
        <v>2</v>
      </c>
      <c r="Y1408" s="10">
        <f>AC1408-AB1408</f>
        <v>2364</v>
      </c>
      <c r="Z1408" s="18">
        <v>20</v>
      </c>
      <c r="AA1408" s="18">
        <v>64</v>
      </c>
      <c r="AB1408" s="18">
        <v>2</v>
      </c>
      <c r="AC1408" s="18">
        <v>2366</v>
      </c>
      <c r="AD1408" s="1" t="s">
        <v>6878</v>
      </c>
      <c r="AE1408" s="1" t="s">
        <v>76</v>
      </c>
      <c r="AF1408" s="4">
        <v>0.53</v>
      </c>
      <c r="AG1408" s="4">
        <v>4.45</v>
      </c>
    </row>
    <row r="1409" spans="1:33" ht="30" x14ac:dyDescent="0.25">
      <c r="A1409" s="10" t="s">
        <v>6031</v>
      </c>
      <c r="B1409" s="11" t="s">
        <v>33</v>
      </c>
      <c r="C1409" s="12" t="s">
        <v>6032</v>
      </c>
      <c r="D1409" s="27"/>
      <c r="E1409" s="14" t="s">
        <v>35</v>
      </c>
      <c r="F1409" s="11" t="str">
        <f>HYPERLINK("https://redirect.sdcdeals.com/redirect?destination=https%3A%2F%2Fwww.amazon.com%2Fdp%2FB0CLB8TKWY%3Fth%3D1%26psc%3D1%26tag%3Dsdcdeals03-20", "Amazon Link")</f>
        <v>Amazon Link</v>
      </c>
      <c r="G1409" s="11" t="s">
        <v>36</v>
      </c>
      <c r="H1409" s="14" t="s">
        <v>6033</v>
      </c>
      <c r="I1409" s="11" t="str">
        <f>HYPERLINK("https://redirect.sdcdeals.com/redirect?code=763034&amp;mavely=https://mavely.app.link/e/bhESV2wGrGb&amp;destination=https%3A%2F%2Fwww.kohls.com%2Fsearch.jsp%3Fsubmit-search%3Dweb-regular%26search%3D61156141", "Retail Link")</f>
        <v>Retail Link</v>
      </c>
      <c r="J1409" s="14" t="s">
        <v>6034</v>
      </c>
      <c r="K1409" s="13" t="s">
        <v>6035</v>
      </c>
      <c r="L1409" s="15">
        <v>5.4</v>
      </c>
      <c r="M1409" s="15">
        <v>10.5</v>
      </c>
      <c r="N1409" s="15">
        <v>-2.5250000000000008</v>
      </c>
      <c r="O1409" s="15">
        <f>V1409-M1409</f>
        <v>12.399999999999999</v>
      </c>
      <c r="P1409" s="16">
        <f>N1409/L1409</f>
        <v>-0.46759259259259273</v>
      </c>
      <c r="Q1409" s="14">
        <v>892891</v>
      </c>
      <c r="R1409" s="14"/>
      <c r="S1409" s="17">
        <v>0.37478539999999999</v>
      </c>
      <c r="T1409" s="15">
        <v>10.5</v>
      </c>
      <c r="U1409" s="15">
        <v>9.86</v>
      </c>
      <c r="V1409" s="15">
        <v>22.9</v>
      </c>
      <c r="W1409" s="14" t="s">
        <v>588</v>
      </c>
      <c r="X1409" s="14">
        <v>4</v>
      </c>
      <c r="Y1409" s="10">
        <f>AC1409-AB1409</f>
        <v>189</v>
      </c>
      <c r="Z1409" s="18">
        <v>3</v>
      </c>
      <c r="AA1409" s="18">
        <v>11</v>
      </c>
      <c r="AB1409" s="18">
        <v>0</v>
      </c>
      <c r="AC1409" s="18">
        <v>189</v>
      </c>
      <c r="AE1409" s="1" t="s">
        <v>6036</v>
      </c>
      <c r="AG1409" s="4">
        <v>6.05</v>
      </c>
    </row>
    <row r="1410" spans="1:33" ht="30" x14ac:dyDescent="0.25">
      <c r="A1410" s="10" t="s">
        <v>1063</v>
      </c>
      <c r="B1410" s="11" t="s">
        <v>33</v>
      </c>
      <c r="C1410" s="12" t="s">
        <v>1064</v>
      </c>
      <c r="D1410" s="27"/>
      <c r="E1410" s="14" t="s">
        <v>35</v>
      </c>
      <c r="F1410" s="11" t="str">
        <f>HYPERLINK("https://redirect.sdcdeals.com/redirect?destination=https%3A%2F%2Fwww.amazon.com%2Fdp%2FB00PV434XU%3Fth%3D1%26psc%3D1%26tag%3Dsdcdeals03-20", "Amazon Link")</f>
        <v>Amazon Link</v>
      </c>
      <c r="G1410" s="11" t="s">
        <v>36</v>
      </c>
      <c r="H1410" s="14" t="s">
        <v>1065</v>
      </c>
      <c r="I1410" s="11" t="str">
        <f>HYPERLINK("https://redirect.sdcdeals.com/redirect?code=763034&amp;mavely=https://mavely.app.link/e/bhESV2wGrGb&amp;destination=https%3A%2F%2Fwww.kohls.com%2Fsearch.jsp%3Fsubmit-search%3Dweb-regular%26search%3D76070160", "Retail Link")</f>
        <v>Retail Link</v>
      </c>
      <c r="J1410" s="14" t="s">
        <v>1060</v>
      </c>
      <c r="K1410" s="13" t="s">
        <v>1066</v>
      </c>
      <c r="L1410" s="15">
        <v>13.2</v>
      </c>
      <c r="M1410" s="15">
        <v>16.5</v>
      </c>
      <c r="N1410" s="15">
        <v>-6.1749999999999989</v>
      </c>
      <c r="O1410" s="15">
        <f>V1410-M1410</f>
        <v>16.299999999999997</v>
      </c>
      <c r="P1410" s="16">
        <f>N1410/L1410</f>
        <v>-0.46780303030303022</v>
      </c>
      <c r="Q1410" s="14">
        <v>265341</v>
      </c>
      <c r="R1410" s="14"/>
      <c r="S1410" s="17">
        <v>1.4991416</v>
      </c>
      <c r="T1410" s="15">
        <v>16.5</v>
      </c>
      <c r="U1410" s="15">
        <v>28.01</v>
      </c>
      <c r="V1410" s="15">
        <v>32.799999999999997</v>
      </c>
      <c r="W1410" s="14" t="s">
        <v>330</v>
      </c>
      <c r="X1410" s="14">
        <v>7</v>
      </c>
      <c r="Y1410" s="10">
        <f>AC1410-AB1410</f>
        <v>2568</v>
      </c>
      <c r="Z1410" s="18">
        <v>30</v>
      </c>
      <c r="AA1410" s="18">
        <v>82</v>
      </c>
      <c r="AB1410" s="18">
        <v>8</v>
      </c>
      <c r="AC1410" s="18">
        <v>2576</v>
      </c>
      <c r="AD1410" s="1" t="s">
        <v>125</v>
      </c>
      <c r="AE1410" s="1" t="s">
        <v>1067</v>
      </c>
      <c r="AF1410" s="4">
        <v>2.48</v>
      </c>
      <c r="AG1410" s="4">
        <v>7</v>
      </c>
    </row>
    <row r="1411" spans="1:33" ht="30" x14ac:dyDescent="0.25">
      <c r="A1411" s="10" t="s">
        <v>1068</v>
      </c>
      <c r="B1411" s="11" t="s">
        <v>33</v>
      </c>
      <c r="C1411" s="12" t="s">
        <v>1069</v>
      </c>
      <c r="D1411" s="27"/>
      <c r="E1411" s="14" t="s">
        <v>35</v>
      </c>
      <c r="F1411" s="11" t="str">
        <f>HYPERLINK("https://redirect.sdcdeals.com/redirect?destination=https%3A%2F%2Fwww.amazon.com%2Fdp%2FB00PV42T6I%3Fth%3D1%26psc%3D1%26tag%3Dsdcdeals03-20", "Amazon Link")</f>
        <v>Amazon Link</v>
      </c>
      <c r="G1411" s="11" t="s">
        <v>36</v>
      </c>
      <c r="H1411" s="14" t="s">
        <v>1070</v>
      </c>
      <c r="I1411" s="11" t="str">
        <f>HYPERLINK("https://redirect.sdcdeals.com/redirect?code=763034&amp;mavely=https://mavely.app.link/e/bhESV2wGrGb&amp;destination=https%3A%2F%2Fwww.kohls.com%2Fsearch.jsp%3Fsubmit-search%3Dweb-regular%26search%3D38190461", "Retail Link")</f>
        <v>Retail Link</v>
      </c>
      <c r="J1411" s="14" t="s">
        <v>1060</v>
      </c>
      <c r="K1411" s="13" t="s">
        <v>1071</v>
      </c>
      <c r="L1411" s="15">
        <v>13.2</v>
      </c>
      <c r="M1411" s="15">
        <v>16.5</v>
      </c>
      <c r="N1411" s="15">
        <v>-6.1749999999999989</v>
      </c>
      <c r="O1411" s="15">
        <f>V1411-M1411</f>
        <v>20.130000000000003</v>
      </c>
      <c r="P1411" s="16">
        <f>N1411/L1411</f>
        <v>-0.46780303030303022</v>
      </c>
      <c r="Q1411" s="14">
        <v>265341</v>
      </c>
      <c r="R1411" s="14"/>
      <c r="S1411" s="17">
        <v>1.7196035999999999</v>
      </c>
      <c r="T1411" s="15">
        <v>16.5</v>
      </c>
      <c r="U1411" s="15">
        <v>34.47</v>
      </c>
      <c r="V1411" s="15">
        <v>36.630000000000003</v>
      </c>
      <c r="W1411" s="14" t="s">
        <v>131</v>
      </c>
      <c r="X1411" s="14">
        <v>6</v>
      </c>
      <c r="Y1411" s="10">
        <f>AC1411-AB1411</f>
        <v>2556</v>
      </c>
      <c r="Z1411" s="18">
        <v>34</v>
      </c>
      <c r="AA1411" s="18">
        <v>109</v>
      </c>
      <c r="AB1411" s="18">
        <v>20</v>
      </c>
      <c r="AC1411" s="18">
        <v>2576</v>
      </c>
      <c r="AD1411" s="1" t="s">
        <v>125</v>
      </c>
      <c r="AE1411" s="1" t="s">
        <v>1062</v>
      </c>
      <c r="AF1411" s="4">
        <v>2.48</v>
      </c>
      <c r="AG1411" s="4">
        <v>7</v>
      </c>
    </row>
    <row r="1412" spans="1:33" ht="30" x14ac:dyDescent="0.25">
      <c r="A1412" s="10" t="s">
        <v>1072</v>
      </c>
      <c r="B1412" s="11" t="s">
        <v>33</v>
      </c>
      <c r="C1412" s="12" t="s">
        <v>1073</v>
      </c>
      <c r="D1412" s="27"/>
      <c r="E1412" s="14" t="s">
        <v>35</v>
      </c>
      <c r="F1412" s="11" t="str">
        <f>HYPERLINK("https://redirect.sdcdeals.com/redirect?destination=https%3A%2F%2Fwww.amazon.com%2Fdp%2FB00PV438UY%3Fth%3D1%26psc%3D1%26tag%3Dsdcdeals03-20", "Amazon Link")</f>
        <v>Amazon Link</v>
      </c>
      <c r="G1412" s="11" t="s">
        <v>36</v>
      </c>
      <c r="H1412" s="14" t="s">
        <v>1074</v>
      </c>
      <c r="I1412" s="11" t="str">
        <f>HYPERLINK("https://redirect.sdcdeals.com/redirect?code=763034&amp;mavely=https://mavely.app.link/e/bhESV2wGrGb&amp;destination=https%3A%2F%2Fwww.kohls.com%2Fsearch.jsp%3Fsubmit-search%3Dweb-regular%26search%3D76070161", "Retail Link")</f>
        <v>Retail Link</v>
      </c>
      <c r="J1412" s="14" t="s">
        <v>1060</v>
      </c>
      <c r="K1412" s="13" t="s">
        <v>1075</v>
      </c>
      <c r="L1412" s="15">
        <v>13.2</v>
      </c>
      <c r="M1412" s="15">
        <v>16.5</v>
      </c>
      <c r="N1412" s="15">
        <v>-6.1749999999999989</v>
      </c>
      <c r="O1412" s="15">
        <f>V1412-M1412</f>
        <v>20.560000000000002</v>
      </c>
      <c r="P1412" s="16">
        <f>N1412/L1412</f>
        <v>-0.46780303030303022</v>
      </c>
      <c r="Q1412" s="14">
        <v>265341</v>
      </c>
      <c r="R1412" s="14"/>
      <c r="S1412" s="17">
        <v>3.1504019799999998</v>
      </c>
      <c r="T1412" s="15">
        <v>16.5</v>
      </c>
      <c r="U1412" s="15">
        <v>35.54</v>
      </c>
      <c r="V1412" s="15">
        <v>37.06</v>
      </c>
      <c r="W1412" s="14" t="s">
        <v>282</v>
      </c>
      <c r="X1412" s="14">
        <v>3</v>
      </c>
      <c r="Y1412" s="10">
        <f>AC1412-AB1412</f>
        <v>2565</v>
      </c>
      <c r="Z1412" s="18">
        <v>9</v>
      </c>
      <c r="AA1412" s="18">
        <v>22</v>
      </c>
      <c r="AB1412" s="18">
        <v>11</v>
      </c>
      <c r="AC1412" s="18">
        <v>2576</v>
      </c>
      <c r="AD1412" s="1" t="s">
        <v>125</v>
      </c>
      <c r="AE1412" s="1" t="s">
        <v>1067</v>
      </c>
      <c r="AF1412" s="4">
        <v>2.48</v>
      </c>
      <c r="AG1412" s="4">
        <v>7</v>
      </c>
    </row>
    <row r="1413" spans="1:33" ht="30" x14ac:dyDescent="0.25">
      <c r="A1413" s="10" t="s">
        <v>1076</v>
      </c>
      <c r="B1413" s="11" t="s">
        <v>33</v>
      </c>
      <c r="C1413" s="12" t="s">
        <v>1077</v>
      </c>
      <c r="D1413" s="27"/>
      <c r="E1413" s="14" t="s">
        <v>35</v>
      </c>
      <c r="F1413" s="11" t="str">
        <f>HYPERLINK("https://redirect.sdcdeals.com/redirect?destination=https%3A%2F%2Fwww.amazon.com%2Fdp%2FB00PV43CHS%3Fth%3D1%26psc%3D1%26tag%3Dsdcdeals03-20", "Amazon Link")</f>
        <v>Amazon Link</v>
      </c>
      <c r="G1413" s="11" t="s">
        <v>36</v>
      </c>
      <c r="H1413" s="14" t="s">
        <v>1078</v>
      </c>
      <c r="I1413" s="11" t="str">
        <f>HYPERLINK("https://redirect.sdcdeals.com/redirect?code=763034&amp;mavely=https://mavely.app.link/e/bhESV2wGrGb&amp;destination=https%3A%2F%2Fwww.kohls.com%2Fsearch.jsp%3Fsubmit-search%3Dweb-regular%26search%3D76070162", "Retail Link")</f>
        <v>Retail Link</v>
      </c>
      <c r="J1413" s="14" t="s">
        <v>1060</v>
      </c>
      <c r="K1413" s="13" t="s">
        <v>1079</v>
      </c>
      <c r="L1413" s="15">
        <v>13.2</v>
      </c>
      <c r="M1413" s="15">
        <v>16.5</v>
      </c>
      <c r="N1413" s="15">
        <v>-6.1849999999999987</v>
      </c>
      <c r="O1413" s="15">
        <f>V1413-M1413</f>
        <v>20.090000000000003</v>
      </c>
      <c r="P1413" s="16">
        <f>N1413/L1413</f>
        <v>-0.46856060606060601</v>
      </c>
      <c r="Q1413" s="14">
        <v>265341</v>
      </c>
      <c r="R1413" s="14"/>
      <c r="S1413" s="17">
        <v>1.7592867599999999</v>
      </c>
      <c r="T1413" s="15">
        <v>16.5</v>
      </c>
      <c r="U1413" s="15">
        <v>33.67</v>
      </c>
      <c r="V1413" s="15">
        <v>36.590000000000003</v>
      </c>
      <c r="W1413" s="14" t="s">
        <v>60</v>
      </c>
      <c r="X1413" s="14">
        <v>3</v>
      </c>
      <c r="Y1413" s="10">
        <f>AC1413-AB1413</f>
        <v>2556</v>
      </c>
      <c r="Z1413" s="18">
        <v>32</v>
      </c>
      <c r="AA1413" s="18">
        <v>107</v>
      </c>
      <c r="AB1413" s="18">
        <v>20</v>
      </c>
      <c r="AC1413" s="18">
        <v>2576</v>
      </c>
      <c r="AD1413" s="1" t="s">
        <v>125</v>
      </c>
      <c r="AE1413" s="1" t="s">
        <v>1067</v>
      </c>
      <c r="AF1413" s="4">
        <v>2.48</v>
      </c>
      <c r="AG1413" s="4">
        <v>7.01</v>
      </c>
    </row>
    <row r="1414" spans="1:33" ht="30" x14ac:dyDescent="0.25">
      <c r="A1414" s="10" t="s">
        <v>3165</v>
      </c>
      <c r="B1414" s="11" t="s">
        <v>33</v>
      </c>
      <c r="C1414" s="12" t="s">
        <v>3166</v>
      </c>
      <c r="D1414" s="27"/>
      <c r="E1414" s="14" t="s">
        <v>35</v>
      </c>
      <c r="F1414" s="11" t="str">
        <f>HYPERLINK("https://redirect.sdcdeals.com/redirect?destination=https%3A%2F%2Fwww.amazon.com%2Fdp%2FB07KGQK6PG%3Fth%3D1%26psc%3D1%26tag%3Dsdcdeals03-20", "Amazon Link")</f>
        <v>Amazon Link</v>
      </c>
      <c r="G1414" s="11" t="s">
        <v>36</v>
      </c>
      <c r="H1414" s="14" t="s">
        <v>3167</v>
      </c>
      <c r="I1414" s="11" t="str">
        <f>HYPERLINK("https://redirect.sdcdeals.com/redirect?code=763034&amp;mavely=https://mavely.app.link/e/bhESV2wGrGb&amp;destination=https%3A%2F%2Fwww.kohls.com%2Fsearch.jsp%3Fsubmit-search%3Dweb-regular%26search%3D78064376", "Retail Link")</f>
        <v>Retail Link</v>
      </c>
      <c r="J1414" s="14" t="s">
        <v>3090</v>
      </c>
      <c r="K1414" s="13" t="s">
        <v>3168</v>
      </c>
      <c r="L1414" s="15">
        <v>40</v>
      </c>
      <c r="M1414" s="15">
        <v>50</v>
      </c>
      <c r="N1414" s="15">
        <v>-18.89</v>
      </c>
      <c r="O1414" s="15">
        <f>V1414-M1414</f>
        <v>48.36</v>
      </c>
      <c r="P1414" s="16">
        <f>N1414/L1414</f>
        <v>-0.47225</v>
      </c>
      <c r="Q1414" s="14">
        <v>397142</v>
      </c>
      <c r="R1414" s="14"/>
      <c r="S1414" s="17">
        <v>3.4612533999999999</v>
      </c>
      <c r="T1414" s="15">
        <v>50</v>
      </c>
      <c r="U1414" s="15">
        <v>91.34</v>
      </c>
      <c r="V1414" s="15">
        <v>98.36</v>
      </c>
      <c r="W1414" s="14" t="s">
        <v>352</v>
      </c>
      <c r="X1414" s="14">
        <v>1</v>
      </c>
      <c r="Y1414" s="10">
        <f>AC1414-AB1414</f>
        <v>1935</v>
      </c>
      <c r="Z1414" s="18">
        <v>16</v>
      </c>
      <c r="AA1414" s="18">
        <v>55</v>
      </c>
      <c r="AB1414" s="18">
        <v>0</v>
      </c>
      <c r="AC1414" s="18">
        <v>1935</v>
      </c>
      <c r="AD1414" s="1" t="s">
        <v>3169</v>
      </c>
      <c r="AE1414" s="1" t="s">
        <v>3105</v>
      </c>
      <c r="AF1414" s="4">
        <v>8.5</v>
      </c>
      <c r="AG1414" s="4">
        <v>21.39</v>
      </c>
    </row>
    <row r="1415" spans="1:33" ht="30" x14ac:dyDescent="0.25">
      <c r="A1415" s="10" t="s">
        <v>1057</v>
      </c>
      <c r="B1415" s="11" t="s">
        <v>33</v>
      </c>
      <c r="C1415" s="12" t="s">
        <v>1058</v>
      </c>
      <c r="D1415" s="27"/>
      <c r="E1415" s="14" t="s">
        <v>35</v>
      </c>
      <c r="F1415" s="11" t="str">
        <f>HYPERLINK("https://redirect.sdcdeals.com/redirect?destination=https%3A%2F%2Fwww.amazon.com%2Fdp%2FB00PV42PD0%3Fth%3D1%26psc%3D1%26tag%3Dsdcdeals03-20", "Amazon Link")</f>
        <v>Amazon Link</v>
      </c>
      <c r="G1415" s="11" t="s">
        <v>36</v>
      </c>
      <c r="H1415" s="14" t="s">
        <v>1059</v>
      </c>
      <c r="I1415" s="11" t="str">
        <f>HYPERLINK("https://redirect.sdcdeals.com/redirect?code=763034&amp;mavely=https://mavely.app.link/e/bhESV2wGrGb&amp;destination=https%3A%2F%2Fwww.kohls.com%2Fsearch.jsp%3Fsubmit-search%3Dweb-regular%26search%3D38190452", "Retail Link")</f>
        <v>Retail Link</v>
      </c>
      <c r="J1415" s="14" t="s">
        <v>1060</v>
      </c>
      <c r="K1415" s="13" t="s">
        <v>1061</v>
      </c>
      <c r="L1415" s="15">
        <v>13.2</v>
      </c>
      <c r="M1415" s="15">
        <v>16.5</v>
      </c>
      <c r="N1415" s="15">
        <v>-6.254999999999999</v>
      </c>
      <c r="O1415" s="15">
        <f>V1415-M1415</f>
        <v>16.649999999999999</v>
      </c>
      <c r="P1415" s="16">
        <f>N1415/L1415</f>
        <v>-0.47386363636363632</v>
      </c>
      <c r="Q1415" s="14">
        <v>265341</v>
      </c>
      <c r="R1415" s="14"/>
      <c r="S1415" s="17">
        <v>1.5696894400000001</v>
      </c>
      <c r="T1415" s="15">
        <v>16.5</v>
      </c>
      <c r="U1415" s="15">
        <v>30.88</v>
      </c>
      <c r="V1415" s="15">
        <v>33.15</v>
      </c>
      <c r="W1415" s="14" t="s">
        <v>277</v>
      </c>
      <c r="X1415" s="14">
        <v>7</v>
      </c>
      <c r="Y1415" s="10">
        <f>AC1415-AB1415</f>
        <v>2557</v>
      </c>
      <c r="Z1415" s="18">
        <v>25</v>
      </c>
      <c r="AA1415" s="18">
        <v>81</v>
      </c>
      <c r="AB1415" s="18">
        <v>19</v>
      </c>
      <c r="AC1415" s="18">
        <v>2576</v>
      </c>
      <c r="AD1415" s="1" t="s">
        <v>125</v>
      </c>
      <c r="AE1415" s="1" t="s">
        <v>1062</v>
      </c>
      <c r="AF1415" s="4">
        <v>2.48</v>
      </c>
      <c r="AG1415" s="4">
        <v>7.08</v>
      </c>
    </row>
    <row r="1416" spans="1:33" x14ac:dyDescent="0.25">
      <c r="A1416" s="10" t="s">
        <v>5607</v>
      </c>
      <c r="B1416" s="11" t="s">
        <v>33</v>
      </c>
      <c r="C1416" s="12" t="s">
        <v>5608</v>
      </c>
      <c r="D1416" s="27"/>
      <c r="E1416" s="14" t="s">
        <v>35</v>
      </c>
      <c r="F1416" s="11" t="str">
        <f>HYPERLINK("https://redirect.sdcdeals.com/redirect?destination=https%3A%2F%2Fwww.amazon.com%2Fdp%2FB0BRR32P56%3Fth%3D1%26psc%3D1%26tag%3Dsdcdeals03-20", "Amazon Link")</f>
        <v>Amazon Link</v>
      </c>
      <c r="G1416" s="11" t="s">
        <v>36</v>
      </c>
      <c r="H1416" s="14" t="s">
        <v>5609</v>
      </c>
      <c r="I1416" s="11" t="str">
        <f>HYPERLINK("https://redirect.sdcdeals.com/redirect?code=763034&amp;mavely=https://mavely.app.link/e/bhESV2wGrGb&amp;destination=https%3A%2F%2Fwww.kohls.com%2Fsearch.jsp%3Fsubmit-search%3Dweb-regular%26search%3D79102220", "Retail Link")</f>
        <v>Retail Link</v>
      </c>
      <c r="J1416" s="14" t="s">
        <v>5600</v>
      </c>
      <c r="K1416" s="13" t="s">
        <v>5610</v>
      </c>
      <c r="L1416" s="15">
        <v>79.992000000000004</v>
      </c>
      <c r="M1416" s="15">
        <v>58.4</v>
      </c>
      <c r="N1416" s="15">
        <v>-38.632000000000012</v>
      </c>
      <c r="O1416" s="15">
        <f>V1416-M1416</f>
        <v>22.809999999999995</v>
      </c>
      <c r="P1416" s="16">
        <f>N1416/L1416</f>
        <v>-0.48294829482948309</v>
      </c>
      <c r="Q1416" s="14">
        <v>887964</v>
      </c>
      <c r="R1416" s="14"/>
      <c r="S1416" s="17">
        <v>2.4912206000000001</v>
      </c>
      <c r="T1416" s="15">
        <v>58.4</v>
      </c>
      <c r="U1416" s="15">
        <v>77.510000000000005</v>
      </c>
      <c r="V1416" s="15">
        <v>81.209999999999994</v>
      </c>
      <c r="W1416" s="14" t="s">
        <v>5611</v>
      </c>
      <c r="X1416" s="14">
        <v>6</v>
      </c>
      <c r="Y1416" s="10">
        <f>AC1416-AB1416</f>
        <v>66</v>
      </c>
      <c r="Z1416" s="18">
        <v>11</v>
      </c>
      <c r="AA1416" s="18">
        <v>35</v>
      </c>
      <c r="AB1416" s="18">
        <v>6</v>
      </c>
      <c r="AC1416" s="18">
        <v>72</v>
      </c>
      <c r="AD1416" s="1" t="s">
        <v>5602</v>
      </c>
      <c r="AE1416" s="1" t="s">
        <v>76</v>
      </c>
      <c r="AF1416" s="4">
        <v>8.76</v>
      </c>
      <c r="AG1416" s="4">
        <v>8.2799999999999994</v>
      </c>
    </row>
    <row r="1417" spans="1:33" ht="30" x14ac:dyDescent="0.25">
      <c r="A1417" s="10" t="s">
        <v>4336</v>
      </c>
      <c r="B1417" s="11" t="s">
        <v>33</v>
      </c>
      <c r="C1417" s="12" t="s">
        <v>4337</v>
      </c>
      <c r="D1417" s="27"/>
      <c r="E1417" s="14" t="s">
        <v>35</v>
      </c>
      <c r="F1417" s="11" t="str">
        <f>HYPERLINK("https://redirect.sdcdeals.com/redirect?destination=https%3A%2F%2Fwww.amazon.com%2Fdp%2FB07DJBDB82%3Fth%3D1%26psc%3D1%26tag%3Dsdcdeals03-20", "Amazon Link")</f>
        <v>Amazon Link</v>
      </c>
      <c r="G1417" s="11" t="s">
        <v>36</v>
      </c>
      <c r="H1417" s="14" t="s">
        <v>4338</v>
      </c>
      <c r="I1417" s="11" t="str">
        <f>HYPERLINK("https://redirect.sdcdeals.com/redirect?code=763034&amp;mavely=https://mavely.app.link/e/bhESV2wGrGb&amp;destination=https%3A%2F%2Fwww.kohls.com%2Fsearch.jsp%3Fsubmit-search%3Dweb-regular%26search%3D53259463", "Retail Link")</f>
        <v>Retail Link</v>
      </c>
      <c r="J1417" s="14" t="s">
        <v>4339</v>
      </c>
      <c r="K1417" s="13" t="s">
        <v>4340</v>
      </c>
      <c r="L1417" s="15">
        <v>6</v>
      </c>
      <c r="M1417" s="15">
        <v>11.25</v>
      </c>
      <c r="N1417" s="15">
        <v>-2.9175</v>
      </c>
      <c r="O1417" s="15">
        <f>V1417-M1417</f>
        <v>2.8100000000000005</v>
      </c>
      <c r="P1417" s="16">
        <f>N1417/L1417</f>
        <v>-0.48625000000000002</v>
      </c>
      <c r="Q1417" s="14">
        <v>1514</v>
      </c>
      <c r="R1417" s="14">
        <v>200</v>
      </c>
      <c r="S1417" s="17">
        <v>0.39683160000000001</v>
      </c>
      <c r="T1417" s="15">
        <v>11.25</v>
      </c>
      <c r="U1417" s="15">
        <v>13.97</v>
      </c>
      <c r="V1417" s="15">
        <v>14.06</v>
      </c>
      <c r="W1417" s="14" t="s">
        <v>4341</v>
      </c>
      <c r="X1417" s="14">
        <v>6</v>
      </c>
      <c r="Y1417" s="10">
        <f>AC1417-AB1417</f>
        <v>73507</v>
      </c>
      <c r="Z1417" s="18">
        <v>91</v>
      </c>
      <c r="AA1417" s="18">
        <v>242</v>
      </c>
      <c r="AB1417" s="18">
        <v>739</v>
      </c>
      <c r="AC1417" s="18">
        <v>74246</v>
      </c>
      <c r="AD1417" s="1" t="s">
        <v>4342</v>
      </c>
      <c r="AE1417" s="1" t="s">
        <v>4343</v>
      </c>
      <c r="AF1417" s="4">
        <v>0.56000000000000005</v>
      </c>
      <c r="AG1417" s="4">
        <v>6.48</v>
      </c>
    </row>
    <row r="1418" spans="1:33" ht="30" x14ac:dyDescent="0.25">
      <c r="A1418" s="10" t="s">
        <v>6879</v>
      </c>
      <c r="B1418" s="11" t="s">
        <v>33</v>
      </c>
      <c r="C1418" s="12" t="s">
        <v>6880</v>
      </c>
      <c r="D1418" s="27"/>
      <c r="E1418" s="14" t="s">
        <v>35</v>
      </c>
      <c r="F1418" s="11" t="str">
        <f>HYPERLINK("https://redirect.sdcdeals.com/redirect?destination=https%3A%2F%2Fwww.amazon.com%2Fdp%2FB096YHVHN9%3Fth%3D1%26psc%3D1%26tag%3Dsdcdeals03-20", "Amazon Link")</f>
        <v>Amazon Link</v>
      </c>
      <c r="G1418" s="11" t="s">
        <v>36</v>
      </c>
      <c r="H1418" s="14" t="s">
        <v>6881</v>
      </c>
      <c r="I1418" s="11" t="str">
        <f>HYPERLINK("https://redirect.sdcdeals.com/redirect?code=763034&amp;mavely=https://mavely.app.link/e/bhESV2wGrGb&amp;destination=https%3A%2F%2Fwww.kohls.com%2Fsearch.jsp%3Fsubmit-search%3Dweb-regular%26search%3D17741221", "Retail Link")</f>
        <v>Retail Link</v>
      </c>
      <c r="J1418" s="14" t="s">
        <v>6875</v>
      </c>
      <c r="K1418" s="13" t="s">
        <v>6882</v>
      </c>
      <c r="L1418" s="15">
        <v>8.4</v>
      </c>
      <c r="M1418" s="15">
        <v>10.5</v>
      </c>
      <c r="N1418" s="15">
        <v>-4.0850000000000017</v>
      </c>
      <c r="O1418" s="15">
        <f>V1418-M1418</f>
        <v>8.120000000000001</v>
      </c>
      <c r="P1418" s="16">
        <f>N1418/L1418</f>
        <v>-0.48630952380952397</v>
      </c>
      <c r="Q1418" s="14">
        <v>75336</v>
      </c>
      <c r="R1418" s="14"/>
      <c r="S1418" s="17">
        <v>0.31966990000000001</v>
      </c>
      <c r="T1418" s="15">
        <v>10.5</v>
      </c>
      <c r="U1418" s="15">
        <v>18.329999999999998</v>
      </c>
      <c r="V1418" s="15">
        <v>18.62</v>
      </c>
      <c r="W1418" s="14" t="s">
        <v>6883</v>
      </c>
      <c r="X1418" s="14">
        <v>2</v>
      </c>
      <c r="Y1418" s="10">
        <f>AC1418-AB1418</f>
        <v>2358</v>
      </c>
      <c r="Z1418" s="18">
        <v>22</v>
      </c>
      <c r="AA1418" s="18">
        <v>58</v>
      </c>
      <c r="AB1418" s="18">
        <v>8</v>
      </c>
      <c r="AC1418" s="18">
        <v>2366</v>
      </c>
      <c r="AD1418" s="1" t="s">
        <v>6878</v>
      </c>
      <c r="AE1418" s="1" t="s">
        <v>76</v>
      </c>
      <c r="AF1418" s="4">
        <v>1.79</v>
      </c>
      <c r="AG1418" s="4">
        <v>4.6100000000000003</v>
      </c>
    </row>
    <row r="1419" spans="1:33" ht="30" x14ac:dyDescent="0.25">
      <c r="A1419" s="10" t="s">
        <v>6884</v>
      </c>
      <c r="B1419" s="11" t="s">
        <v>33</v>
      </c>
      <c r="C1419" s="12" t="s">
        <v>6885</v>
      </c>
      <c r="D1419" s="27"/>
      <c r="E1419" s="14" t="s">
        <v>35</v>
      </c>
      <c r="F1419" s="11" t="str">
        <f>HYPERLINK("https://redirect.sdcdeals.com/redirect?destination=https%3A%2F%2Fwww.amazon.com%2Fdp%2FB096YHT16Z%3Fth%3D1%26psc%3D1%26tag%3Dsdcdeals03-20", "Amazon Link")</f>
        <v>Amazon Link</v>
      </c>
      <c r="G1419" s="11" t="s">
        <v>36</v>
      </c>
      <c r="H1419" s="14" t="s">
        <v>6886</v>
      </c>
      <c r="I1419" s="11" t="str">
        <f>HYPERLINK("https://redirect.sdcdeals.com/redirect?code=763034&amp;mavely=https://mavely.app.link/e/bhESV2wGrGb&amp;destination=https%3A%2F%2Fwww.kohls.com%2Fsearch.jsp%3Fsubmit-search%3Dweb-regular%26search%3D17741222", "Retail Link")</f>
        <v>Retail Link</v>
      </c>
      <c r="J1419" s="14" t="s">
        <v>6875</v>
      </c>
      <c r="K1419" s="13" t="s">
        <v>6887</v>
      </c>
      <c r="L1419" s="15">
        <v>8.4</v>
      </c>
      <c r="M1419" s="15">
        <v>10.5</v>
      </c>
      <c r="N1419" s="15">
        <v>-4.0850000000000017</v>
      </c>
      <c r="O1419" s="15">
        <f>V1419-M1419</f>
        <v>9.2800000000000011</v>
      </c>
      <c r="P1419" s="16">
        <f>N1419/L1419</f>
        <v>-0.48630952380952397</v>
      </c>
      <c r="Q1419" s="14">
        <v>75336</v>
      </c>
      <c r="R1419" s="14"/>
      <c r="S1419" s="17">
        <v>0.34612534</v>
      </c>
      <c r="T1419" s="15">
        <v>10.5</v>
      </c>
      <c r="U1419" s="15">
        <v>19.690000000000001</v>
      </c>
      <c r="V1419" s="15">
        <v>19.78</v>
      </c>
      <c r="W1419" s="14" t="s">
        <v>6888</v>
      </c>
      <c r="X1419" s="14">
        <v>2</v>
      </c>
      <c r="Y1419" s="10">
        <f>AC1419-AB1419</f>
        <v>2361</v>
      </c>
      <c r="Z1419" s="18">
        <v>34</v>
      </c>
      <c r="AA1419" s="18">
        <v>97</v>
      </c>
      <c r="AB1419" s="18">
        <v>5</v>
      </c>
      <c r="AC1419" s="18">
        <v>2366</v>
      </c>
      <c r="AD1419" s="1" t="s">
        <v>6878</v>
      </c>
      <c r="AE1419" s="1" t="s">
        <v>76</v>
      </c>
      <c r="AF1419" s="4">
        <v>1.79</v>
      </c>
      <c r="AG1419" s="4">
        <v>4.6100000000000003</v>
      </c>
    </row>
    <row r="1420" spans="1:33" x14ac:dyDescent="0.25">
      <c r="A1420" s="10" t="s">
        <v>6304</v>
      </c>
      <c r="B1420" s="11" t="s">
        <v>33</v>
      </c>
      <c r="C1420" s="12" t="s">
        <v>6305</v>
      </c>
      <c r="D1420" s="27"/>
      <c r="E1420" s="14" t="s">
        <v>35</v>
      </c>
      <c r="F1420" s="11" t="str">
        <f>HYPERLINK("https://redirect.sdcdeals.com/redirect?destination=https%3A%2F%2Fwww.amazon.com%2Fdp%2FB00ISF8X6W%3Fth%3D1%26psc%3D1%26tag%3Dsdcdeals03-20", "Amazon Link")</f>
        <v>Amazon Link</v>
      </c>
      <c r="G1420" s="11" t="s">
        <v>36</v>
      </c>
      <c r="H1420" s="14" t="s">
        <v>6306</v>
      </c>
      <c r="I1420" s="11" t="str">
        <f>HYPERLINK("https://redirect.sdcdeals.com/redirect?code=763034&amp;mavely=https://mavely.app.link/e/bhESV2wGrGb&amp;destination=https%3A%2F%2Fwww.kohls.com%2Fsearch.jsp%3Fsubmit-search%3Dweb-regular%26search%3D29331720", "Retail Link")</f>
        <v>Retail Link</v>
      </c>
      <c r="J1420" s="14" t="s">
        <v>6296</v>
      </c>
      <c r="K1420" s="13" t="s">
        <v>6302</v>
      </c>
      <c r="L1420" s="15">
        <v>10.4</v>
      </c>
      <c r="M1420" s="15">
        <v>11.13</v>
      </c>
      <c r="N1420" s="15">
        <v>-5.089500000000001</v>
      </c>
      <c r="O1420" s="15">
        <f>V1420-M1420</f>
        <v>0.73999999999999844</v>
      </c>
      <c r="P1420" s="16">
        <f>N1420/L1420</f>
        <v>-0.48937500000000006</v>
      </c>
      <c r="Q1420" s="14">
        <v>966718</v>
      </c>
      <c r="R1420" s="14"/>
      <c r="S1420" s="17">
        <v>0.68343220000000005</v>
      </c>
      <c r="T1420" s="15">
        <v>11.13</v>
      </c>
      <c r="U1420" s="15">
        <v>11.65</v>
      </c>
      <c r="V1420" s="15">
        <v>11.87</v>
      </c>
      <c r="W1420" s="14" t="s">
        <v>870</v>
      </c>
      <c r="X1420" s="14">
        <v>7</v>
      </c>
      <c r="Y1420" s="10">
        <f>AC1420-AB1420</f>
        <v>0</v>
      </c>
      <c r="Z1420" s="18">
        <v>2</v>
      </c>
      <c r="AA1420" s="18">
        <v>5</v>
      </c>
      <c r="AB1420" s="18">
        <v>8</v>
      </c>
      <c r="AC1420" s="18">
        <v>8</v>
      </c>
      <c r="AD1420" s="1" t="s">
        <v>6307</v>
      </c>
      <c r="AF1420" s="4">
        <v>1.34</v>
      </c>
      <c r="AG1420" s="4">
        <v>4.1500000000000004</v>
      </c>
    </row>
    <row r="1421" spans="1:33" ht="30" x14ac:dyDescent="0.25">
      <c r="A1421" s="10" t="s">
        <v>656</v>
      </c>
      <c r="B1421" s="11" t="s">
        <v>33</v>
      </c>
      <c r="C1421" s="12" t="s">
        <v>657</v>
      </c>
      <c r="D1421" s="27"/>
      <c r="E1421" s="14" t="s">
        <v>35</v>
      </c>
      <c r="F1421" s="11" t="str">
        <f>HYPERLINK("https://redirect.sdcdeals.com/redirect?destination=https%3A%2F%2Fwww.amazon.com%2Fdp%2FB0C7LMXC7D%3Fth%3D1%26psc%3D1%26tag%3Dsdcdeals03-20", "Amazon Link")</f>
        <v>Amazon Link</v>
      </c>
      <c r="G1421" s="11" t="s">
        <v>36</v>
      </c>
      <c r="H1421" s="14" t="s">
        <v>658</v>
      </c>
      <c r="I1421" s="11" t="str">
        <f>HYPERLINK("https://redirect.sdcdeals.com/redirect?code=763034&amp;mavely=https://mavely.app.link/e/bhESV2wGrGb&amp;destination=https%3A%2F%2Fwww.kohls.com%2Fsearch.jsp%3Fsubmit-search%3Dweb-regular%26search%3D61543759", "Retail Link")</f>
        <v>Retail Link</v>
      </c>
      <c r="J1421" s="14" t="s">
        <v>624</v>
      </c>
      <c r="K1421" s="13" t="s">
        <v>625</v>
      </c>
      <c r="L1421" s="15">
        <v>36</v>
      </c>
      <c r="M1421" s="15">
        <v>40.47</v>
      </c>
      <c r="N1421" s="15">
        <v>-17.670500000000001</v>
      </c>
      <c r="O1421" s="15">
        <f>V1421-M1421</f>
        <v>26.590000000000003</v>
      </c>
      <c r="P1421" s="16">
        <f>N1421/L1421</f>
        <v>-0.49084722222222221</v>
      </c>
      <c r="Q1421" s="14">
        <v>842540</v>
      </c>
      <c r="R1421" s="14"/>
      <c r="S1421" s="17">
        <v>2.2509170200000002</v>
      </c>
      <c r="T1421" s="15">
        <v>40.47</v>
      </c>
      <c r="U1421" s="15">
        <v>53.38</v>
      </c>
      <c r="V1421" s="15">
        <v>67.06</v>
      </c>
      <c r="W1421" s="14" t="s">
        <v>659</v>
      </c>
      <c r="X1421" s="14">
        <v>1</v>
      </c>
      <c r="Y1421" s="10">
        <f>AC1421-AB1421</f>
        <v>26</v>
      </c>
      <c r="Z1421" s="18">
        <v>9</v>
      </c>
      <c r="AA1421" s="18">
        <v>39</v>
      </c>
      <c r="AB1421" s="18">
        <v>0</v>
      </c>
      <c r="AC1421" s="18">
        <v>26</v>
      </c>
      <c r="AD1421" s="1" t="s">
        <v>660</v>
      </c>
      <c r="AE1421" s="1" t="s">
        <v>628</v>
      </c>
      <c r="AF1421" s="4">
        <v>6.88</v>
      </c>
      <c r="AG1421" s="4">
        <v>16.07</v>
      </c>
    </row>
    <row r="1422" spans="1:33" ht="30" x14ac:dyDescent="0.25">
      <c r="A1422" s="10" t="s">
        <v>3897</v>
      </c>
      <c r="B1422" s="11" t="s">
        <v>33</v>
      </c>
      <c r="C1422" s="12" t="s">
        <v>3898</v>
      </c>
      <c r="D1422" s="27"/>
      <c r="E1422" s="14" t="s">
        <v>35</v>
      </c>
      <c r="F1422" s="11" t="str">
        <f>HYPERLINK("https://redirect.sdcdeals.com/redirect?destination=https%3A%2F%2Fwww.amazon.com%2Fdp%2FB0C46SGX1B%3Fth%3D1%26psc%3D1%26tag%3Dsdcdeals03-20", "Amazon Link")</f>
        <v>Amazon Link</v>
      </c>
      <c r="G1422" s="11" t="s">
        <v>36</v>
      </c>
      <c r="H1422" s="14" t="s">
        <v>3899</v>
      </c>
      <c r="I1422" s="11" t="str">
        <f>HYPERLINK("https://redirect.sdcdeals.com/redirect?code=763034&amp;mavely=https://mavely.app.link/e/bhESV2wGrGb&amp;destination=https%3A%2F%2Fwww.kohls.com%2Fsearch.jsp%3Fsubmit-search%3Dweb-regular%26search%3D82008008", "Retail Link")</f>
        <v>Retail Link</v>
      </c>
      <c r="J1422" s="14" t="s">
        <v>3870</v>
      </c>
      <c r="K1422" s="13" t="s">
        <v>3900</v>
      </c>
      <c r="L1422" s="15">
        <v>8.32</v>
      </c>
      <c r="M1422" s="15">
        <v>10.4</v>
      </c>
      <c r="N1422" s="15">
        <v>-4.0900000000000007</v>
      </c>
      <c r="O1422" s="15">
        <f>V1422-M1422</f>
        <v>12.92</v>
      </c>
      <c r="P1422" s="16">
        <f>N1422/L1422</f>
        <v>-0.49158653846153855</v>
      </c>
      <c r="Q1422" s="14">
        <v>32740</v>
      </c>
      <c r="R1422" s="14"/>
      <c r="S1422" s="17">
        <v>0.33069300000000001</v>
      </c>
      <c r="T1422" s="15">
        <v>10.4</v>
      </c>
      <c r="U1422" s="15">
        <v>20.58</v>
      </c>
      <c r="V1422" s="15">
        <v>23.32</v>
      </c>
      <c r="W1422" s="14" t="s">
        <v>1113</v>
      </c>
      <c r="X1422" s="14">
        <v>5</v>
      </c>
      <c r="Y1422" s="10">
        <f>AC1422-AB1422</f>
        <v>16</v>
      </c>
      <c r="Z1422" s="18">
        <v>19</v>
      </c>
      <c r="AA1422" s="18">
        <v>65</v>
      </c>
      <c r="AB1422" s="18">
        <v>1</v>
      </c>
      <c r="AC1422" s="18">
        <v>17</v>
      </c>
      <c r="AD1422" s="1" t="s">
        <v>3873</v>
      </c>
      <c r="AE1422" s="1" t="s">
        <v>3874</v>
      </c>
      <c r="AF1422" s="4">
        <v>1.77</v>
      </c>
      <c r="AG1422" s="4">
        <v>4.6100000000000003</v>
      </c>
    </row>
    <row r="1423" spans="1:33" ht="45" x14ac:dyDescent="0.25">
      <c r="A1423" s="10" t="s">
        <v>2397</v>
      </c>
      <c r="B1423" s="11" t="s">
        <v>33</v>
      </c>
      <c r="C1423" s="12" t="s">
        <v>2398</v>
      </c>
      <c r="D1423" s="27"/>
      <c r="E1423" s="14" t="s">
        <v>35</v>
      </c>
      <c r="F1423" s="11" t="str">
        <f>HYPERLINK("https://redirect.sdcdeals.com/redirect?destination=https%3A%2F%2Fwww.amazon.com%2Fdp%2FB002HC396G%3Fth%3D1%26psc%3D1%26tag%3Dsdcdeals03-20", "Amazon Link")</f>
        <v>Amazon Link</v>
      </c>
      <c r="G1423" s="11" t="s">
        <v>36</v>
      </c>
      <c r="H1423" s="14" t="s">
        <v>2399</v>
      </c>
      <c r="I1423" s="11" t="str">
        <f>HYPERLINK("https://redirect.sdcdeals.com/redirect?code=763034&amp;mavely=https://mavely.app.link/e/bhESV2wGrGb&amp;destination=https%3A%2F%2Fwww.kohls.com%2Fsearch.jsp%3Fsubmit-search%3Dweb-regular%26search%3D37922583", "Retail Link")</f>
        <v>Retail Link</v>
      </c>
      <c r="J1423" s="14" t="s">
        <v>2395</v>
      </c>
      <c r="K1423" s="13" t="s">
        <v>2400</v>
      </c>
      <c r="L1423" s="15">
        <v>10.4</v>
      </c>
      <c r="M1423" s="15">
        <v>9.49</v>
      </c>
      <c r="N1423" s="15">
        <v>-5.2435000000000009</v>
      </c>
      <c r="O1423" s="15">
        <f>V1423-M1423</f>
        <v>-2.9000000000000004</v>
      </c>
      <c r="P1423" s="16">
        <f>N1423/L1423</f>
        <v>-0.50418269230769241</v>
      </c>
      <c r="Q1423" s="14">
        <v>208946</v>
      </c>
      <c r="R1423" s="14"/>
      <c r="S1423" s="17">
        <v>0.13007257999999999</v>
      </c>
      <c r="T1423" s="15">
        <v>9.48</v>
      </c>
      <c r="U1423" s="15">
        <v>6.68</v>
      </c>
      <c r="V1423" s="15">
        <v>6.59</v>
      </c>
      <c r="W1423" s="14" t="s">
        <v>875</v>
      </c>
      <c r="X1423" s="14">
        <v>8</v>
      </c>
      <c r="Y1423" s="10">
        <f>AC1423-AB1423</f>
        <v>21</v>
      </c>
      <c r="Z1423" s="18">
        <v>16</v>
      </c>
      <c r="AA1423" s="18">
        <v>52</v>
      </c>
      <c r="AB1423" s="18">
        <v>55</v>
      </c>
      <c r="AC1423" s="18">
        <v>76</v>
      </c>
      <c r="AD1423" s="1" t="s">
        <v>2401</v>
      </c>
      <c r="AF1423" s="4">
        <v>1.1399999999999999</v>
      </c>
      <c r="AG1423" s="4">
        <v>2.91</v>
      </c>
    </row>
    <row r="1424" spans="1:33" ht="30" x14ac:dyDescent="0.25">
      <c r="A1424" s="10" t="s">
        <v>6979</v>
      </c>
      <c r="B1424" s="11" t="s">
        <v>33</v>
      </c>
      <c r="C1424" s="12" t="s">
        <v>6980</v>
      </c>
      <c r="D1424" s="27"/>
      <c r="E1424" s="14" t="s">
        <v>35</v>
      </c>
      <c r="F1424" s="11" t="str">
        <f>HYPERLINK("https://redirect.sdcdeals.com/redirect?destination=https%3A%2F%2Fwww.amazon.com%2Fdp%2FB0CQD5W47N%3Fth%3D1%26psc%3D1%26tag%3Dsdcdeals03-20", "Amazon Link")</f>
        <v>Amazon Link</v>
      </c>
      <c r="G1424" s="11" t="s">
        <v>36</v>
      </c>
      <c r="H1424" s="14" t="s">
        <v>6981</v>
      </c>
      <c r="I1424" s="11" t="str">
        <f>HYPERLINK("https://redirect.sdcdeals.com/redirect?code=763034&amp;mavely=https://mavely.app.link/e/bhESV2wGrGb&amp;destination=https%3A%2F%2Fwww.kohls.com%2Fsearch.jsp%3Fsubmit-search%3Dweb-regular%26search%3D73172873", "Retail Link")</f>
        <v>Retail Link</v>
      </c>
      <c r="J1424" s="14" t="s">
        <v>6959</v>
      </c>
      <c r="K1424" s="13" t="s">
        <v>6982</v>
      </c>
      <c r="L1424" s="15">
        <v>7.5439999999999996</v>
      </c>
      <c r="M1424" s="15">
        <v>9.43</v>
      </c>
      <c r="N1424" s="15">
        <v>-3.8085</v>
      </c>
      <c r="O1424" s="15">
        <f>V1424-M1424</f>
        <v>8.3099999999999987</v>
      </c>
      <c r="P1424" s="16">
        <f>N1424/L1424</f>
        <v>-0.50483828207847303</v>
      </c>
      <c r="Q1424" s="14">
        <v>912805</v>
      </c>
      <c r="R1424" s="14"/>
      <c r="S1424" s="17">
        <v>0.28660059999999998</v>
      </c>
      <c r="T1424" s="15">
        <v>9.43</v>
      </c>
      <c r="U1424" s="15">
        <v>14.38</v>
      </c>
      <c r="V1424" s="15">
        <v>17.739999999999998</v>
      </c>
      <c r="W1424" s="14" t="s">
        <v>664</v>
      </c>
      <c r="X1424" s="14">
        <v>1</v>
      </c>
      <c r="Y1424" s="10">
        <f>AC1424-AB1424</f>
        <v>422</v>
      </c>
      <c r="Z1424" s="18">
        <v>3</v>
      </c>
      <c r="AA1424" s="18">
        <v>35</v>
      </c>
      <c r="AB1424" s="18">
        <v>1</v>
      </c>
      <c r="AC1424" s="18">
        <v>423</v>
      </c>
      <c r="AD1424" s="1" t="s">
        <v>6961</v>
      </c>
      <c r="AE1424" s="1" t="s">
        <v>6962</v>
      </c>
      <c r="AF1424" s="4">
        <v>0.47</v>
      </c>
      <c r="AG1424" s="4">
        <v>4.28</v>
      </c>
    </row>
    <row r="1425" spans="1:33" ht="30" x14ac:dyDescent="0.25">
      <c r="A1425" s="10" t="s">
        <v>119</v>
      </c>
      <c r="B1425" s="11" t="s">
        <v>33</v>
      </c>
      <c r="C1425" s="12" t="s">
        <v>120</v>
      </c>
      <c r="D1425" s="27"/>
      <c r="E1425" s="14" t="s">
        <v>35</v>
      </c>
      <c r="F1425" s="11" t="str">
        <f>HYPERLINK("https://redirect.sdcdeals.com/redirect?destination=https%3A%2F%2Fwww.amazon.com%2Fdp%2FB07JY6VPGX%3Fth%3D1%26psc%3D1%26tag%3Dsdcdeals03-20", "Amazon Link")</f>
        <v>Amazon Link</v>
      </c>
      <c r="G1425" s="11" t="s">
        <v>36</v>
      </c>
      <c r="H1425" s="14" t="s">
        <v>121</v>
      </c>
      <c r="I1425" s="11" t="str">
        <f>HYPERLINK("https://redirect.sdcdeals.com/redirect?code=763034&amp;mavely=https://mavely.app.link/e/bhESV2wGrGb&amp;destination=https%3A%2F%2Fwww.kohls.com%2Fsearch.jsp%3Fsubmit-search%3Dweb-regular%26search%3D44112345", "Retail Link")</f>
        <v>Retail Link</v>
      </c>
      <c r="J1425" s="14" t="s">
        <v>122</v>
      </c>
      <c r="K1425" s="13" t="s">
        <v>123</v>
      </c>
      <c r="L1425" s="15">
        <v>12</v>
      </c>
      <c r="M1425" s="15">
        <v>15</v>
      </c>
      <c r="N1425" s="15">
        <v>-6.1</v>
      </c>
      <c r="O1425" s="15">
        <f>V1425-M1425</f>
        <v>24.740000000000002</v>
      </c>
      <c r="P1425" s="16">
        <f>N1425/L1425</f>
        <v>-0.5083333333333333</v>
      </c>
      <c r="Q1425" s="14">
        <v>265341</v>
      </c>
      <c r="R1425" s="14"/>
      <c r="S1425" s="17">
        <v>1.5696894400000001</v>
      </c>
      <c r="T1425" s="15">
        <v>15</v>
      </c>
      <c r="U1425" s="15">
        <v>32.36</v>
      </c>
      <c r="V1425" s="15">
        <v>39.74</v>
      </c>
      <c r="W1425" s="14" t="s">
        <v>124</v>
      </c>
      <c r="X1425" s="14">
        <v>1</v>
      </c>
      <c r="Y1425" s="10">
        <f>AC1425-AB1425</f>
        <v>2568</v>
      </c>
      <c r="Z1425" s="18">
        <v>18</v>
      </c>
      <c r="AA1425" s="18">
        <v>60</v>
      </c>
      <c r="AB1425" s="18">
        <v>8</v>
      </c>
      <c r="AC1425" s="18">
        <v>2576</v>
      </c>
      <c r="AD1425" s="1" t="s">
        <v>125</v>
      </c>
      <c r="AE1425" s="1" t="s">
        <v>126</v>
      </c>
      <c r="AF1425" s="4">
        <v>2.25</v>
      </c>
      <c r="AG1425" s="4">
        <v>6.85</v>
      </c>
    </row>
    <row r="1426" spans="1:33" ht="45" x14ac:dyDescent="0.25">
      <c r="A1426" s="10" t="s">
        <v>540</v>
      </c>
      <c r="B1426" s="11" t="s">
        <v>33</v>
      </c>
      <c r="C1426" s="12" t="s">
        <v>541</v>
      </c>
      <c r="D1426" s="27"/>
      <c r="E1426" s="14" t="s">
        <v>35</v>
      </c>
      <c r="F1426" s="11" t="str">
        <f>HYPERLINK("https://redirect.sdcdeals.com/redirect?destination=https%3A%2F%2Fwww.amazon.com%2Fdp%2FB0BC26YYBP%3Fth%3D1%26psc%3D1%26tag%3Dsdcdeals03-20", "Amazon Link")</f>
        <v>Amazon Link</v>
      </c>
      <c r="G1426" s="11" t="s">
        <v>36</v>
      </c>
      <c r="H1426" s="14" t="s">
        <v>542</v>
      </c>
      <c r="I1426" s="11" t="str">
        <f>HYPERLINK("https://redirect.sdcdeals.com/redirect?code=763034&amp;mavely=https://mavely.app.link/e/bhESV2wGrGb&amp;destination=https%3A%2F%2Fwww.kohls.com%2Fsearch.jsp%3Fsubmit-search%3Dweb-regular%26search%3D65747730", "Retail Link")</f>
        <v>Retail Link</v>
      </c>
      <c r="J1426" s="14" t="s">
        <v>543</v>
      </c>
      <c r="K1426" s="13" t="s">
        <v>544</v>
      </c>
      <c r="L1426" s="15">
        <v>12.32</v>
      </c>
      <c r="M1426" s="15">
        <v>13.15</v>
      </c>
      <c r="N1426" s="15">
        <v>-6.2725</v>
      </c>
      <c r="O1426" s="15">
        <f>V1426-M1426</f>
        <v>0</v>
      </c>
      <c r="P1426" s="16">
        <f>N1426/L1426</f>
        <v>-0.50913149350649345</v>
      </c>
      <c r="Q1426" s="14">
        <v>8007018</v>
      </c>
      <c r="R1426" s="14"/>
      <c r="S1426" s="17">
        <v>0.28660059999999998</v>
      </c>
      <c r="T1426" s="15"/>
      <c r="U1426" s="15"/>
      <c r="V1426" s="15">
        <v>13.15</v>
      </c>
      <c r="W1426" s="14" t="s">
        <v>53</v>
      </c>
      <c r="X1426" s="14"/>
      <c r="Y1426" s="10">
        <f>AC1426-AB1426</f>
        <v>0</v>
      </c>
      <c r="Z1426" s="18">
        <v>0</v>
      </c>
      <c r="AA1426" s="18">
        <v>0</v>
      </c>
      <c r="AB1426" s="18"/>
      <c r="AC1426" s="18"/>
      <c r="AD1426" s="1" t="s">
        <v>545</v>
      </c>
      <c r="AE1426" s="1" t="s">
        <v>546</v>
      </c>
      <c r="AG1426" s="4">
        <v>5.13</v>
      </c>
    </row>
    <row r="1427" spans="1:33" ht="45" x14ac:dyDescent="0.25">
      <c r="A1427" s="10" t="s">
        <v>260</v>
      </c>
      <c r="B1427" s="11" t="s">
        <v>33</v>
      </c>
      <c r="C1427" s="12" t="s">
        <v>261</v>
      </c>
      <c r="D1427" s="27"/>
      <c r="E1427" s="14" t="s">
        <v>35</v>
      </c>
      <c r="F1427" s="11" t="str">
        <f>HYPERLINK("https://redirect.sdcdeals.com/redirect?destination=https%3A%2F%2Fwww.amazon.com%2Fdp%2FB093SFXDQ8%3Fth%3D1%26psc%3D1%26tag%3Dsdcdeals03-20", "Amazon Link")</f>
        <v>Amazon Link</v>
      </c>
      <c r="G1427" s="11" t="s">
        <v>36</v>
      </c>
      <c r="H1427" s="14" t="s">
        <v>262</v>
      </c>
      <c r="I1427" s="11" t="str">
        <f>HYPERLINK("https://redirect.sdcdeals.com/redirect?code=763034&amp;mavely=https://mavely.app.link/e/bhESV2wGrGb&amp;destination=https%3A%2F%2Fwww.kohls.com%2Fsearch.jsp%3Fsubmit-search%3Dweb-regular%26search%3D37286459", "Retail Link")</f>
        <v>Retail Link</v>
      </c>
      <c r="J1427" s="14" t="s">
        <v>263</v>
      </c>
      <c r="K1427" s="13" t="s">
        <v>264</v>
      </c>
      <c r="L1427" s="15">
        <v>8.4</v>
      </c>
      <c r="M1427" s="15">
        <v>12.02</v>
      </c>
      <c r="N1427" s="15">
        <v>-4.3230000000000013</v>
      </c>
      <c r="O1427" s="15">
        <f>V1427-M1427</f>
        <v>4.5</v>
      </c>
      <c r="P1427" s="16">
        <f>N1427/L1427</f>
        <v>-0.51464285714285729</v>
      </c>
      <c r="Q1427" s="14">
        <v>101269</v>
      </c>
      <c r="R1427" s="14"/>
      <c r="S1427" s="17">
        <v>0.18077884</v>
      </c>
      <c r="T1427" s="15">
        <v>12.02</v>
      </c>
      <c r="U1427" s="15">
        <v>15.73</v>
      </c>
      <c r="V1427" s="15">
        <v>16.52</v>
      </c>
      <c r="W1427" s="14" t="s">
        <v>131</v>
      </c>
      <c r="X1427" s="14">
        <v>3</v>
      </c>
      <c r="Y1427" s="10">
        <f>AC1427-AB1427</f>
        <v>451</v>
      </c>
      <c r="Z1427" s="18">
        <v>29</v>
      </c>
      <c r="AA1427" s="18">
        <v>93</v>
      </c>
      <c r="AB1427" s="18">
        <v>1</v>
      </c>
      <c r="AC1427" s="18">
        <v>452</v>
      </c>
      <c r="AD1427" s="1" t="s">
        <v>265</v>
      </c>
      <c r="AE1427" s="1" t="s">
        <v>69</v>
      </c>
      <c r="AF1427" s="4">
        <v>0.6</v>
      </c>
      <c r="AG1427" s="4">
        <v>6.14</v>
      </c>
    </row>
    <row r="1428" spans="1:33" ht="30" x14ac:dyDescent="0.25">
      <c r="A1428" s="10" t="s">
        <v>7114</v>
      </c>
      <c r="B1428" s="11" t="s">
        <v>33</v>
      </c>
      <c r="C1428" s="12" t="s">
        <v>7115</v>
      </c>
      <c r="D1428" s="27"/>
      <c r="E1428" s="14" t="s">
        <v>35</v>
      </c>
      <c r="F1428" s="11" t="str">
        <f>HYPERLINK("https://redirect.sdcdeals.com/redirect?destination=https%3A%2F%2Fwww.amazon.com%2Fdp%2FB0BKQVY72H%3Fth%3D1%26psc%3D1%26tag%3Dsdcdeals03-20", "Amazon Link")</f>
        <v>Amazon Link</v>
      </c>
      <c r="G1428" s="11" t="s">
        <v>36</v>
      </c>
      <c r="H1428" s="14" t="s">
        <v>7116</v>
      </c>
      <c r="I1428" s="11" t="str">
        <f>HYPERLINK("https://redirect.sdcdeals.com/redirect?code=763034&amp;mavely=https://mavely.app.link/e/bhESV2wGrGb&amp;destination=https%3A%2F%2Fwww.kohls.com%2Fsearch.jsp%3Fsubmit-search%3Dweb-regular%26search%3D46955682", "Retail Link")</f>
        <v>Retail Link</v>
      </c>
      <c r="J1428" s="14" t="s">
        <v>7117</v>
      </c>
      <c r="K1428" s="13" t="s">
        <v>7118</v>
      </c>
      <c r="L1428" s="15">
        <v>19.8</v>
      </c>
      <c r="M1428" s="15">
        <v>24.75</v>
      </c>
      <c r="N1428" s="15">
        <v>-10.272500000000001</v>
      </c>
      <c r="O1428" s="15">
        <f>V1428-M1428</f>
        <v>24.869999999999997</v>
      </c>
      <c r="P1428" s="16">
        <f>N1428/L1428</f>
        <v>-0.51881313131313134</v>
      </c>
      <c r="Q1428" s="14">
        <v>1282059</v>
      </c>
      <c r="R1428" s="14"/>
      <c r="S1428" s="17">
        <v>1.0097159600000001</v>
      </c>
      <c r="T1428" s="15">
        <v>24.75</v>
      </c>
      <c r="U1428" s="15">
        <v>46.68</v>
      </c>
      <c r="V1428" s="15">
        <v>49.62</v>
      </c>
      <c r="W1428" s="14" t="s">
        <v>53</v>
      </c>
      <c r="X1428" s="14">
        <v>4</v>
      </c>
      <c r="Y1428" s="10">
        <f>AC1428-AB1428</f>
        <v>3</v>
      </c>
      <c r="Z1428" s="18">
        <v>8</v>
      </c>
      <c r="AA1428" s="18">
        <v>28</v>
      </c>
      <c r="AB1428" s="18">
        <v>0</v>
      </c>
      <c r="AC1428" s="18">
        <v>3</v>
      </c>
      <c r="AD1428" s="1" t="s">
        <v>7119</v>
      </c>
      <c r="AE1428" s="1" t="s">
        <v>7120</v>
      </c>
      <c r="AF1428" s="4">
        <v>4.21</v>
      </c>
      <c r="AG1428" s="4">
        <v>11.51</v>
      </c>
    </row>
    <row r="1429" spans="1:33" ht="30" x14ac:dyDescent="0.25">
      <c r="A1429" s="10" t="s">
        <v>7125</v>
      </c>
      <c r="B1429" s="11" t="s">
        <v>33</v>
      </c>
      <c r="C1429" s="12" t="s">
        <v>7126</v>
      </c>
      <c r="D1429" s="27"/>
      <c r="E1429" s="14" t="s">
        <v>35</v>
      </c>
      <c r="F1429" s="11" t="str">
        <f>HYPERLINK("https://redirect.sdcdeals.com/redirect?destination=https%3A%2F%2Fwww.amazon.com%2Fdp%2FB0BKQXC1F4%3Fth%3D1%26psc%3D1%26tag%3Dsdcdeals03-20", "Amazon Link")</f>
        <v>Amazon Link</v>
      </c>
      <c r="G1429" s="11" t="s">
        <v>36</v>
      </c>
      <c r="H1429" s="14" t="s">
        <v>7127</v>
      </c>
      <c r="I1429" s="11" t="str">
        <f>HYPERLINK("https://redirect.sdcdeals.com/redirect?code=763034&amp;mavely=https://mavely.app.link/e/bhESV2wGrGb&amp;destination=https%3A%2F%2Fwww.kohls.com%2Fsearch.jsp%3Fsubmit-search%3Dweb-regular%26search%3D46955673", "Retail Link")</f>
        <v>Retail Link</v>
      </c>
      <c r="J1429" s="14" t="s">
        <v>7117</v>
      </c>
      <c r="K1429" s="13" t="s">
        <v>7128</v>
      </c>
      <c r="L1429" s="15">
        <v>19.8</v>
      </c>
      <c r="M1429" s="15">
        <v>24.75</v>
      </c>
      <c r="N1429" s="15">
        <v>-10.272500000000001</v>
      </c>
      <c r="O1429" s="15">
        <f>V1429-M1429</f>
        <v>12.07</v>
      </c>
      <c r="P1429" s="16">
        <f>N1429/L1429</f>
        <v>-0.51881313131313134</v>
      </c>
      <c r="Q1429" s="14">
        <v>2043990</v>
      </c>
      <c r="R1429" s="14"/>
      <c r="S1429" s="17">
        <v>1.06042222</v>
      </c>
      <c r="T1429" s="15">
        <v>24.75</v>
      </c>
      <c r="U1429" s="15">
        <v>28.81</v>
      </c>
      <c r="V1429" s="15">
        <v>36.82</v>
      </c>
      <c r="W1429" s="14" t="s">
        <v>366</v>
      </c>
      <c r="X1429" s="14">
        <v>2</v>
      </c>
      <c r="Y1429" s="10">
        <f>AC1429-AB1429</f>
        <v>1</v>
      </c>
      <c r="Z1429" s="18">
        <v>5</v>
      </c>
      <c r="AA1429" s="18">
        <v>18</v>
      </c>
      <c r="AB1429" s="18">
        <v>0</v>
      </c>
      <c r="AC1429" s="18">
        <v>1</v>
      </c>
      <c r="AD1429" s="1" t="s">
        <v>7119</v>
      </c>
      <c r="AE1429" s="1" t="s">
        <v>3219</v>
      </c>
      <c r="AF1429" s="4">
        <v>4.21</v>
      </c>
      <c r="AG1429" s="4">
        <v>11.51</v>
      </c>
    </row>
    <row r="1430" spans="1:33" ht="30" hidden="1" x14ac:dyDescent="0.25">
      <c r="A1430" s="10" t="s">
        <v>4872</v>
      </c>
      <c r="B1430" s="11" t="s">
        <v>33</v>
      </c>
      <c r="C1430" s="12" t="s">
        <v>4873</v>
      </c>
      <c r="D1430" s="27"/>
      <c r="E1430" s="14" t="s">
        <v>35</v>
      </c>
      <c r="F1430" s="11" t="str">
        <f>HYPERLINK("https://redirect.sdcdeals.com/redirect?destination=https%3A%2F%2Fwww.amazon.com%2Fdp%2FB00NFPP1K6%3Fth%3D1%26psc%3D1%26tag%3Dsdcdeals03-20", "Amazon Link")</f>
        <v>Amazon Link</v>
      </c>
      <c r="G1430" s="11" t="s">
        <v>36</v>
      </c>
      <c r="H1430" s="14" t="s">
        <v>4874</v>
      </c>
      <c r="I1430" s="11" t="str">
        <f>HYPERLINK("https://redirect.sdcdeals.com/redirect?code=763034&amp;mavely=https://mavely.app.link/e/bhESV2wGrGb&amp;destination=https%3A%2F%2Fwww.kohls.com%2Fsearch.jsp%3Fsubmit-search%3Dweb-regular%26search%3D28701318", "Retail Link")</f>
        <v>Retail Link</v>
      </c>
      <c r="J1430" s="14" t="s">
        <v>4875</v>
      </c>
      <c r="K1430" s="13" t="s">
        <v>4876</v>
      </c>
      <c r="L1430" s="15">
        <v>19.792000000000002</v>
      </c>
      <c r="M1430" s="15">
        <v>18.399999999999999</v>
      </c>
      <c r="N1430" s="15">
        <v>-10.292</v>
      </c>
      <c r="O1430" s="15">
        <f>V1430-M1430</f>
        <v>2.8200000000000003</v>
      </c>
      <c r="P1430" s="16">
        <f>N1430/L1430</f>
        <v>-0.52000808407437338</v>
      </c>
      <c r="Q1430" s="14"/>
      <c r="R1430" s="14"/>
      <c r="S1430" s="17">
        <v>1.1023099999999999</v>
      </c>
      <c r="T1430" s="15">
        <v>18.399999999999999</v>
      </c>
      <c r="U1430" s="15">
        <v>19.440000000000001</v>
      </c>
      <c r="V1430" s="15">
        <v>21.22</v>
      </c>
      <c r="W1430" s="14" t="s">
        <v>269</v>
      </c>
      <c r="X1430" s="14">
        <v>2</v>
      </c>
      <c r="Y1430" s="10">
        <f>AC1430-AB1430</f>
        <v>0</v>
      </c>
      <c r="Z1430" s="18">
        <v>0</v>
      </c>
      <c r="AA1430" s="18">
        <v>0</v>
      </c>
      <c r="AB1430" s="18">
        <v>1</v>
      </c>
      <c r="AC1430" s="18">
        <v>1</v>
      </c>
      <c r="AD1430" s="1" t="s">
        <v>4877</v>
      </c>
      <c r="AE1430" s="1" t="s">
        <v>76</v>
      </c>
      <c r="AF1430" s="4">
        <v>1.84</v>
      </c>
      <c r="AG1430" s="4">
        <v>6.14</v>
      </c>
    </row>
    <row r="1431" spans="1:33" ht="30" x14ac:dyDescent="0.25">
      <c r="A1431" s="10" t="s">
        <v>1280</v>
      </c>
      <c r="B1431" s="11" t="s">
        <v>33</v>
      </c>
      <c r="C1431" s="12" t="s">
        <v>1281</v>
      </c>
      <c r="D1431" s="27"/>
      <c r="E1431" s="14" t="s">
        <v>35</v>
      </c>
      <c r="F1431" s="11" t="str">
        <f>HYPERLINK("https://redirect.sdcdeals.com/redirect?destination=https%3A%2F%2Fwww.amazon.com%2Fdp%2FB09K2PN75V%3Fth%3D1%26psc%3D1%26tag%3Dsdcdeals03-20", "Amazon Link")</f>
        <v>Amazon Link</v>
      </c>
      <c r="G1431" s="11" t="s">
        <v>36</v>
      </c>
      <c r="H1431" s="14" t="s">
        <v>1282</v>
      </c>
      <c r="I1431" s="11" t="str">
        <f>HYPERLINK("https://redirect.sdcdeals.com/redirect?code=763034&amp;mavely=https://mavely.app.link/e/bhESV2wGrGb&amp;destination=https%3A%2F%2Fwww.kohls.com%2Fsearch.jsp%3Fsubmit-search%3Dweb-regular%26search%3D46621252", "Retail Link")</f>
        <v>Retail Link</v>
      </c>
      <c r="J1431" s="14" t="s">
        <v>1283</v>
      </c>
      <c r="K1431" s="13" t="s">
        <v>1284</v>
      </c>
      <c r="L1431" s="15">
        <v>12</v>
      </c>
      <c r="M1431" s="15">
        <v>15</v>
      </c>
      <c r="N1431" s="15">
        <v>-6.25</v>
      </c>
      <c r="O1431" s="15">
        <f>V1431-M1431</f>
        <v>18.479999999999997</v>
      </c>
      <c r="P1431" s="16">
        <f>N1431/L1431</f>
        <v>-0.52083333333333337</v>
      </c>
      <c r="Q1431" s="14">
        <v>1277338</v>
      </c>
      <c r="R1431" s="14"/>
      <c r="S1431" s="17">
        <v>1.6093725999999999</v>
      </c>
      <c r="T1431" s="15">
        <v>15</v>
      </c>
      <c r="U1431" s="15">
        <v>27.02</v>
      </c>
      <c r="V1431" s="15">
        <v>33.479999999999997</v>
      </c>
      <c r="W1431" s="14" t="s">
        <v>742</v>
      </c>
      <c r="X1431" s="14">
        <v>5</v>
      </c>
      <c r="Y1431" s="10">
        <f>AC1431-AB1431</f>
        <v>26</v>
      </c>
      <c r="Z1431" s="18">
        <v>2</v>
      </c>
      <c r="AA1431" s="18">
        <v>26</v>
      </c>
      <c r="AB1431" s="18">
        <v>4</v>
      </c>
      <c r="AC1431" s="18">
        <v>30</v>
      </c>
      <c r="AD1431" s="1" t="s">
        <v>1285</v>
      </c>
      <c r="AE1431" s="1" t="s">
        <v>1286</v>
      </c>
      <c r="AF1431" s="4">
        <v>2.25</v>
      </c>
      <c r="AG1431" s="4">
        <v>7</v>
      </c>
    </row>
    <row r="1432" spans="1:33" ht="30" x14ac:dyDescent="0.25">
      <c r="A1432" s="10" t="s">
        <v>629</v>
      </c>
      <c r="B1432" s="11" t="s">
        <v>33</v>
      </c>
      <c r="C1432" s="12" t="s">
        <v>630</v>
      </c>
      <c r="D1432" s="27"/>
      <c r="E1432" s="14" t="s">
        <v>35</v>
      </c>
      <c r="F1432" s="11" t="str">
        <f>HYPERLINK("https://redirect.sdcdeals.com/redirect?destination=https%3A%2F%2Fwww.amazon.com%2Fdp%2FB0C7LJLGFZ%3Fth%3D1%26psc%3D1%26tag%3Dsdcdeals03-20", "Amazon Link")</f>
        <v>Amazon Link</v>
      </c>
      <c r="G1432" s="11" t="s">
        <v>36</v>
      </c>
      <c r="H1432" s="14" t="s">
        <v>631</v>
      </c>
      <c r="I1432" s="11" t="str">
        <f>HYPERLINK("https://redirect.sdcdeals.com/redirect?code=763034&amp;mavely=https://mavely.app.link/e/bhESV2wGrGb&amp;destination=https%3A%2F%2Fwww.kohls.com%2Fsearch.jsp%3Fsubmit-search%3Dweb-regular%26search%3D61543751", "Retail Link")</f>
        <v>Retail Link</v>
      </c>
      <c r="J1432" s="14" t="s">
        <v>624</v>
      </c>
      <c r="K1432" s="13" t="s">
        <v>632</v>
      </c>
      <c r="L1432" s="15">
        <v>36</v>
      </c>
      <c r="M1432" s="15">
        <v>45</v>
      </c>
      <c r="N1432" s="15">
        <v>-18.760000000000002</v>
      </c>
      <c r="O1432" s="15">
        <f>V1432-M1432</f>
        <v>43.83</v>
      </c>
      <c r="P1432" s="16">
        <f>N1432/L1432</f>
        <v>-0.52111111111111119</v>
      </c>
      <c r="Q1432" s="14">
        <v>842540</v>
      </c>
      <c r="R1432" s="14"/>
      <c r="S1432" s="17">
        <v>2.4471281999999999</v>
      </c>
      <c r="T1432" s="15">
        <v>45</v>
      </c>
      <c r="U1432" s="15">
        <v>81.92</v>
      </c>
      <c r="V1432" s="15">
        <v>88.83</v>
      </c>
      <c r="W1432" s="14" t="s">
        <v>633</v>
      </c>
      <c r="X1432" s="14">
        <v>1</v>
      </c>
      <c r="Y1432" s="10">
        <f>AC1432-AB1432</f>
        <v>26</v>
      </c>
      <c r="Z1432" s="18">
        <v>12</v>
      </c>
      <c r="AA1432" s="18">
        <v>34</v>
      </c>
      <c r="AB1432" s="18">
        <v>0</v>
      </c>
      <c r="AC1432" s="18">
        <v>26</v>
      </c>
      <c r="AD1432" s="1" t="s">
        <v>634</v>
      </c>
      <c r="AE1432" s="1" t="s">
        <v>635</v>
      </c>
      <c r="AF1432" s="4">
        <v>7.65</v>
      </c>
      <c r="AG1432" s="4">
        <v>21.01</v>
      </c>
    </row>
    <row r="1433" spans="1:33" ht="30" x14ac:dyDescent="0.25">
      <c r="A1433" s="10" t="s">
        <v>2431</v>
      </c>
      <c r="B1433" s="11" t="s">
        <v>33</v>
      </c>
      <c r="C1433" s="12" t="s">
        <v>2437</v>
      </c>
      <c r="D1433" s="27"/>
      <c r="E1433" s="14" t="s">
        <v>35</v>
      </c>
      <c r="F1433" s="11" t="str">
        <f>HYPERLINK("https://redirect.sdcdeals.com/redirect?destination=https%3A%2F%2Fwww.amazon.com%2Fdp%2FB08FWLDHGW%3Fth%3D1%26psc%3D1%26tag%3Dsdcdeals03-20", "Amazon Link")</f>
        <v>Amazon Link</v>
      </c>
      <c r="G1433" s="11" t="s">
        <v>36</v>
      </c>
      <c r="H1433" s="14" t="s">
        <v>2433</v>
      </c>
      <c r="I1433" s="11" t="str">
        <f>HYPERLINK("https://redirect.sdcdeals.com/redirect?code=763034&amp;mavely=https://mavely.app.link/e/bhESV2wGrGb&amp;destination=https%3A%2F%2Fwww.kohls.com%2Fsearch.jsp%3Fsubmit-search%3Dweb-regular%26search%3D67089091", "Retail Link")</f>
        <v>Retail Link</v>
      </c>
      <c r="J1433" s="14" t="s">
        <v>2427</v>
      </c>
      <c r="K1433" s="13" t="s">
        <v>2438</v>
      </c>
      <c r="L1433" s="15">
        <v>33.6</v>
      </c>
      <c r="M1433" s="15">
        <v>24.94</v>
      </c>
      <c r="N1433" s="15">
        <v>-17.521000000000001</v>
      </c>
      <c r="O1433" s="15">
        <f>V1433-M1433</f>
        <v>3.25</v>
      </c>
      <c r="P1433" s="16">
        <f>N1433/L1433</f>
        <v>-0.52145833333333336</v>
      </c>
      <c r="Q1433" s="14">
        <v>197779</v>
      </c>
      <c r="R1433" s="14"/>
      <c r="S1433" s="17">
        <v>0.92814501999999999</v>
      </c>
      <c r="T1433" s="15">
        <v>24.94</v>
      </c>
      <c r="U1433" s="15">
        <v>28.05</v>
      </c>
      <c r="V1433" s="15">
        <v>28.19</v>
      </c>
      <c r="W1433" s="14" t="s">
        <v>88</v>
      </c>
      <c r="X1433" s="14">
        <v>5</v>
      </c>
      <c r="Y1433" s="10">
        <f>AC1433-AB1433</f>
        <v>587</v>
      </c>
      <c r="Z1433" s="18">
        <v>36</v>
      </c>
      <c r="AA1433" s="18">
        <v>85</v>
      </c>
      <c r="AB1433" s="18">
        <v>26</v>
      </c>
      <c r="AC1433" s="18">
        <v>613</v>
      </c>
      <c r="AD1433" s="1" t="s">
        <v>2435</v>
      </c>
      <c r="AE1433" s="1" t="s">
        <v>2439</v>
      </c>
      <c r="AF1433" s="4">
        <v>4.24</v>
      </c>
      <c r="AG1433" s="4">
        <v>5.12</v>
      </c>
    </row>
    <row r="1434" spans="1:33" ht="30" x14ac:dyDescent="0.25">
      <c r="A1434" s="10" t="s">
        <v>711</v>
      </c>
      <c r="B1434" s="11" t="s">
        <v>33</v>
      </c>
      <c r="C1434" s="12" t="s">
        <v>712</v>
      </c>
      <c r="D1434" s="27"/>
      <c r="E1434" s="14" t="s">
        <v>35</v>
      </c>
      <c r="F1434" s="11" t="str">
        <f>HYPERLINK("https://redirect.sdcdeals.com/redirect?destination=https%3A%2F%2Fwww.amazon.com%2Fdp%2FB0BFTQ5581%3Fth%3D1%26psc%3D1%26tag%3Dsdcdeals03-20", "Amazon Link")</f>
        <v>Amazon Link</v>
      </c>
      <c r="G1434" s="11" t="s">
        <v>36</v>
      </c>
      <c r="H1434" s="14" t="s">
        <v>713</v>
      </c>
      <c r="I1434" s="11" t="str">
        <f>HYPERLINK("https://redirect.sdcdeals.com/redirect?code=763034&amp;mavely=https://mavely.app.link/e/bhESV2wGrGb&amp;destination=https%3A%2F%2Fwww.kohls.com%2Fsearch.jsp%3Fsubmit-search%3Dweb-regular%26search%3D20255780", "Retail Link")</f>
        <v>Retail Link</v>
      </c>
      <c r="J1434" s="14" t="s">
        <v>696</v>
      </c>
      <c r="K1434" s="13" t="s">
        <v>714</v>
      </c>
      <c r="L1434" s="15">
        <v>44.095999999999997</v>
      </c>
      <c r="M1434" s="15">
        <v>42.5</v>
      </c>
      <c r="N1434" s="15">
        <v>-23.280999999999999</v>
      </c>
      <c r="O1434" s="15">
        <f>V1434-M1434</f>
        <v>33.86</v>
      </c>
      <c r="P1434" s="16">
        <f>N1434/L1434</f>
        <v>-0.52796171988388974</v>
      </c>
      <c r="Q1434" s="14">
        <v>3328345</v>
      </c>
      <c r="R1434" s="14"/>
      <c r="S1434" s="17">
        <v>1.38009212</v>
      </c>
      <c r="T1434" s="15">
        <v>42.5</v>
      </c>
      <c r="U1434" s="15">
        <v>61.6</v>
      </c>
      <c r="V1434" s="15">
        <v>76.36</v>
      </c>
      <c r="W1434" s="14" t="s">
        <v>715</v>
      </c>
      <c r="X1434" s="14">
        <v>1</v>
      </c>
      <c r="Y1434" s="10">
        <f>AC1434-AB1434</f>
        <v>2</v>
      </c>
      <c r="Z1434" s="18">
        <v>1</v>
      </c>
      <c r="AA1434" s="18">
        <v>4</v>
      </c>
      <c r="AB1434" s="18">
        <v>0</v>
      </c>
      <c r="AC1434" s="18">
        <v>2</v>
      </c>
      <c r="AD1434" s="1" t="s">
        <v>699</v>
      </c>
      <c r="AE1434" s="1" t="s">
        <v>76</v>
      </c>
      <c r="AF1434" s="4">
        <v>7.23</v>
      </c>
      <c r="AG1434" s="4">
        <v>15.31</v>
      </c>
    </row>
    <row r="1435" spans="1:33" ht="30" x14ac:dyDescent="0.25">
      <c r="A1435" s="10" t="s">
        <v>2567</v>
      </c>
      <c r="B1435" s="11" t="s">
        <v>33</v>
      </c>
      <c r="C1435" s="12" t="s">
        <v>2568</v>
      </c>
      <c r="D1435" s="27"/>
      <c r="E1435" s="14" t="s">
        <v>35</v>
      </c>
      <c r="F1435" s="11" t="str">
        <f>HYPERLINK("https://redirect.sdcdeals.com/redirect?destination=https%3A%2F%2Fwww.amazon.com%2Fdp%2FB09Y2F24CV%3Fth%3D1%26psc%3D1%26tag%3Dsdcdeals03-20", "Amazon Link")</f>
        <v>Amazon Link</v>
      </c>
      <c r="G1435" s="11" t="s">
        <v>36</v>
      </c>
      <c r="H1435" s="14" t="s">
        <v>2569</v>
      </c>
      <c r="I1435" s="11" t="str">
        <f>HYPERLINK("https://redirect.sdcdeals.com/redirect?code=763034&amp;mavely=https://mavely.app.link/e/bhESV2wGrGb&amp;destination=https%3A%2F%2Fwww.kohls.com%2Fsearch.jsp%3Fsubmit-search%3Dweb-regular%26search%3D73547768", "Retail Link")</f>
        <v>Retail Link</v>
      </c>
      <c r="J1435" s="14" t="s">
        <v>2570</v>
      </c>
      <c r="K1435" s="13" t="s">
        <v>2571</v>
      </c>
      <c r="L1435" s="15">
        <v>7.6959999999999997</v>
      </c>
      <c r="M1435" s="15">
        <v>9.6199999999999992</v>
      </c>
      <c r="N1435" s="15">
        <v>-4.069</v>
      </c>
      <c r="O1435" s="15">
        <f>V1435-M1435</f>
        <v>11.28</v>
      </c>
      <c r="P1435" s="16">
        <f>N1435/L1435</f>
        <v>-0.52871621621621623</v>
      </c>
      <c r="Q1435" s="14">
        <v>124817</v>
      </c>
      <c r="R1435" s="14"/>
      <c r="S1435" s="17">
        <v>0.44092399999999998</v>
      </c>
      <c r="T1435" s="15">
        <v>9.6199999999999992</v>
      </c>
      <c r="U1435" s="15">
        <v>19.22</v>
      </c>
      <c r="V1435" s="15">
        <v>20.9</v>
      </c>
      <c r="W1435" s="14" t="s">
        <v>2572</v>
      </c>
      <c r="X1435" s="14">
        <v>3</v>
      </c>
      <c r="Y1435" s="10">
        <f>AC1435-AB1435</f>
        <v>395</v>
      </c>
      <c r="Z1435" s="18">
        <v>25</v>
      </c>
      <c r="AA1435" s="18">
        <v>76</v>
      </c>
      <c r="AB1435" s="18">
        <v>4</v>
      </c>
      <c r="AC1435" s="18">
        <v>399</v>
      </c>
      <c r="AD1435" s="1" t="s">
        <v>2573</v>
      </c>
      <c r="AE1435" s="1" t="s">
        <v>76</v>
      </c>
      <c r="AF1435" s="4">
        <v>1.44</v>
      </c>
      <c r="AG1435" s="4">
        <v>4.55</v>
      </c>
    </row>
    <row r="1436" spans="1:33" ht="30" x14ac:dyDescent="0.25">
      <c r="A1436" s="10" t="s">
        <v>577</v>
      </c>
      <c r="B1436" s="11" t="s">
        <v>33</v>
      </c>
      <c r="C1436" s="12" t="s">
        <v>578</v>
      </c>
      <c r="D1436" s="27"/>
      <c r="E1436" s="14" t="s">
        <v>35</v>
      </c>
      <c r="F1436" s="11" t="str">
        <f>HYPERLINK("https://redirect.sdcdeals.com/redirect?destination=https%3A%2F%2Fwww.amazon.com%2Fdp%2FB09N5QWBMF%3Fth%3D1%26psc%3D1%26tag%3Dsdcdeals03-20", "Amazon Link")</f>
        <v>Amazon Link</v>
      </c>
      <c r="G1436" s="11" t="s">
        <v>36</v>
      </c>
      <c r="H1436" s="14" t="s">
        <v>579</v>
      </c>
      <c r="I1436" s="11" t="str">
        <f>HYPERLINK("https://redirect.sdcdeals.com/redirect?code=763034&amp;mavely=https://mavely.app.link/e/bhESV2wGrGb&amp;destination=https%3A%2F%2Fwww.kohls.com%2Fsearch.jsp%3Fsubmit-search%3Dweb-regular%26search%3D68728523", "Retail Link")</f>
        <v>Retail Link</v>
      </c>
      <c r="J1436" s="14" t="s">
        <v>580</v>
      </c>
      <c r="K1436" s="13" t="s">
        <v>581</v>
      </c>
      <c r="L1436" s="15">
        <v>11.128</v>
      </c>
      <c r="M1436" s="15">
        <v>13.91</v>
      </c>
      <c r="N1436" s="15">
        <v>-5.9045000000000014</v>
      </c>
      <c r="O1436" s="15">
        <f>V1436-M1436</f>
        <v>11.25</v>
      </c>
      <c r="P1436" s="16">
        <f>N1436/L1436</f>
        <v>-0.53059849029475215</v>
      </c>
      <c r="Q1436" s="14">
        <v>12109</v>
      </c>
      <c r="R1436" s="14"/>
      <c r="S1436" s="17">
        <v>1.2610426400000001</v>
      </c>
      <c r="T1436" s="15">
        <v>13.91</v>
      </c>
      <c r="U1436" s="15">
        <v>23.97</v>
      </c>
      <c r="V1436" s="15">
        <v>25.16</v>
      </c>
      <c r="W1436" s="14" t="s">
        <v>582</v>
      </c>
      <c r="X1436" s="14">
        <v>1</v>
      </c>
      <c r="Y1436" s="10">
        <f>AC1436-AB1436</f>
        <v>3697</v>
      </c>
      <c r="Z1436" s="18">
        <v>56</v>
      </c>
      <c r="AA1436" s="18">
        <v>245</v>
      </c>
      <c r="AB1436" s="18">
        <v>8</v>
      </c>
      <c r="AC1436" s="18">
        <v>3705</v>
      </c>
      <c r="AD1436" s="1" t="s">
        <v>583</v>
      </c>
      <c r="AE1436" s="1" t="s">
        <v>178</v>
      </c>
      <c r="AF1436" s="4">
        <v>0.7</v>
      </c>
      <c r="AG1436" s="4">
        <v>6.6</v>
      </c>
    </row>
    <row r="1437" spans="1:33" ht="30" x14ac:dyDescent="0.25">
      <c r="A1437" s="10" t="s">
        <v>646</v>
      </c>
      <c r="B1437" s="11" t="s">
        <v>33</v>
      </c>
      <c r="C1437" s="12" t="s">
        <v>647</v>
      </c>
      <c r="D1437" s="27"/>
      <c r="E1437" s="14" t="s">
        <v>35</v>
      </c>
      <c r="F1437" s="11" t="str">
        <f>HYPERLINK("https://redirect.sdcdeals.com/redirect?destination=https%3A%2F%2Fwww.amazon.com%2Fdp%2FB0C7LL96CX%3Fth%3D1%26psc%3D1%26tag%3Dsdcdeals03-20", "Amazon Link")</f>
        <v>Amazon Link</v>
      </c>
      <c r="G1437" s="11" t="s">
        <v>36</v>
      </c>
      <c r="H1437" s="14" t="s">
        <v>648</v>
      </c>
      <c r="I1437" s="11" t="str">
        <f>HYPERLINK("https://redirect.sdcdeals.com/redirect?code=763034&amp;mavely=https://mavely.app.link/e/bhESV2wGrGb&amp;destination=https%3A%2F%2Fwww.kohls.com%2Fsearch.jsp%3Fsubmit-search%3Dweb-regular%26search%3D61543758", "Retail Link")</f>
        <v>Retail Link</v>
      </c>
      <c r="J1437" s="14" t="s">
        <v>624</v>
      </c>
      <c r="K1437" s="13" t="s">
        <v>625</v>
      </c>
      <c r="L1437" s="15">
        <v>36</v>
      </c>
      <c r="M1437" s="15">
        <v>38.76</v>
      </c>
      <c r="N1437" s="15">
        <v>-19.123999999999999</v>
      </c>
      <c r="O1437" s="15">
        <f>V1437-M1437</f>
        <v>23.86</v>
      </c>
      <c r="P1437" s="16">
        <f>N1437/L1437</f>
        <v>-0.53122222222222215</v>
      </c>
      <c r="Q1437" s="14">
        <v>842540</v>
      </c>
      <c r="R1437" s="14"/>
      <c r="S1437" s="17">
        <v>2.2509170200000002</v>
      </c>
      <c r="T1437" s="15">
        <v>38.76</v>
      </c>
      <c r="U1437" s="15">
        <v>51.38</v>
      </c>
      <c r="V1437" s="15">
        <v>62.62</v>
      </c>
      <c r="W1437" s="14" t="s">
        <v>649</v>
      </c>
      <c r="X1437" s="14">
        <v>1</v>
      </c>
      <c r="Y1437" s="10">
        <f>AC1437-AB1437</f>
        <v>25</v>
      </c>
      <c r="Z1437" s="18">
        <v>12</v>
      </c>
      <c r="AA1437" s="18">
        <v>44</v>
      </c>
      <c r="AB1437" s="18">
        <v>0</v>
      </c>
      <c r="AC1437" s="18">
        <v>25</v>
      </c>
      <c r="AD1437" s="1" t="s">
        <v>650</v>
      </c>
      <c r="AE1437" s="1" t="s">
        <v>628</v>
      </c>
      <c r="AF1437" s="4">
        <v>6.59</v>
      </c>
      <c r="AG1437" s="4">
        <v>16.07</v>
      </c>
    </row>
    <row r="1438" spans="1:33" ht="30" x14ac:dyDescent="0.25">
      <c r="A1438" s="10" t="s">
        <v>127</v>
      </c>
      <c r="B1438" s="11" t="s">
        <v>33</v>
      </c>
      <c r="C1438" s="12" t="s">
        <v>128</v>
      </c>
      <c r="D1438" s="27"/>
      <c r="E1438" s="14" t="s">
        <v>35</v>
      </c>
      <c r="F1438" s="11" t="str">
        <f>HYPERLINK("https://redirect.sdcdeals.com/redirect?destination=https%3A%2F%2Fwww.amazon.com%2Fdp%2FB07JQWH52S%3Fth%3D1%26psc%3D1%26tag%3Dsdcdeals03-20", "Amazon Link")</f>
        <v>Amazon Link</v>
      </c>
      <c r="G1438" s="11" t="s">
        <v>36</v>
      </c>
      <c r="H1438" s="14" t="s">
        <v>129</v>
      </c>
      <c r="I1438" s="11" t="str">
        <f>HYPERLINK("https://redirect.sdcdeals.com/redirect?code=763034&amp;mavely=https://mavely.app.link/e/bhESV2wGrGb&amp;destination=https%3A%2F%2Fwww.kohls.com%2Fsearch.jsp%3Fsubmit-search%3Dweb-regular%26search%3D44112346", "Retail Link")</f>
        <v>Retail Link</v>
      </c>
      <c r="J1438" s="14" t="s">
        <v>122</v>
      </c>
      <c r="K1438" s="13" t="s">
        <v>130</v>
      </c>
      <c r="L1438" s="15">
        <v>12</v>
      </c>
      <c r="M1438" s="15">
        <v>15</v>
      </c>
      <c r="N1438" s="15">
        <v>-6.41</v>
      </c>
      <c r="O1438" s="15">
        <f>V1438-M1438</f>
        <v>23.799999999999997</v>
      </c>
      <c r="P1438" s="16">
        <f>N1438/L1438</f>
        <v>-0.53416666666666668</v>
      </c>
      <c r="Q1438" s="14">
        <v>265341</v>
      </c>
      <c r="R1438" s="14"/>
      <c r="S1438" s="17">
        <v>1.64905576</v>
      </c>
      <c r="T1438" s="15">
        <v>15</v>
      </c>
      <c r="U1438" s="15">
        <v>31.77</v>
      </c>
      <c r="V1438" s="15">
        <v>38.799999999999997</v>
      </c>
      <c r="W1438" s="14" t="s">
        <v>131</v>
      </c>
      <c r="X1438" s="14">
        <v>3</v>
      </c>
      <c r="Y1438" s="10">
        <f>AC1438-AB1438</f>
        <v>2566</v>
      </c>
      <c r="Z1438" s="18">
        <v>28</v>
      </c>
      <c r="AA1438" s="18">
        <v>88</v>
      </c>
      <c r="AB1438" s="18">
        <v>10</v>
      </c>
      <c r="AC1438" s="18">
        <v>2576</v>
      </c>
      <c r="AD1438" s="1" t="s">
        <v>125</v>
      </c>
      <c r="AE1438" s="1" t="s">
        <v>126</v>
      </c>
      <c r="AF1438" s="4">
        <v>2.25</v>
      </c>
      <c r="AG1438" s="4">
        <v>7.16</v>
      </c>
    </row>
    <row r="1439" spans="1:33" ht="30" x14ac:dyDescent="0.25">
      <c r="A1439" s="10" t="s">
        <v>5433</v>
      </c>
      <c r="B1439" s="11" t="s">
        <v>33</v>
      </c>
      <c r="C1439" s="12" t="s">
        <v>5434</v>
      </c>
      <c r="D1439" s="27"/>
      <c r="E1439" s="14" t="s">
        <v>35</v>
      </c>
      <c r="F1439" s="11" t="str">
        <f>HYPERLINK("https://redirect.sdcdeals.com/redirect?destination=https%3A%2F%2Fwww.amazon.com%2Fdp%2FB001NVTT5W%3Fth%3D1%26psc%3D1%26tag%3Dsdcdeals03-20", "Amazon Link")</f>
        <v>Amazon Link</v>
      </c>
      <c r="G1439" s="11" t="s">
        <v>36</v>
      </c>
      <c r="H1439" s="14" t="s">
        <v>5435</v>
      </c>
      <c r="I1439" s="11" t="str">
        <f>HYPERLINK("https://redirect.sdcdeals.com/redirect?code=763034&amp;mavely=https://mavely.app.link/e/bhESV2wGrGb&amp;destination=https%3A%2F%2Fwww.kohls.com%2Fsearch.jsp%3Fsubmit-search%3Dweb-regular%26search%3D83402644", "Retail Link")</f>
        <v>Retail Link</v>
      </c>
      <c r="J1439" s="14" t="s">
        <v>5431</v>
      </c>
      <c r="K1439" s="13" t="s">
        <v>5436</v>
      </c>
      <c r="L1439" s="15">
        <v>12</v>
      </c>
      <c r="M1439" s="15">
        <v>9.99</v>
      </c>
      <c r="N1439" s="15">
        <v>-6.4184999999999999</v>
      </c>
      <c r="O1439" s="15">
        <f>V1439-M1439</f>
        <v>4.9999999999998934E-2</v>
      </c>
      <c r="P1439" s="16">
        <f>N1439/L1439</f>
        <v>-0.53487499999999999</v>
      </c>
      <c r="Q1439" s="14">
        <v>1793837</v>
      </c>
      <c r="R1439" s="14"/>
      <c r="S1439" s="17">
        <v>3.9683160000000002E-2</v>
      </c>
      <c r="T1439" s="15">
        <v>9.98</v>
      </c>
      <c r="U1439" s="15">
        <v>9.98</v>
      </c>
      <c r="V1439" s="15">
        <v>10.039999999999999</v>
      </c>
      <c r="W1439" s="14" t="s">
        <v>282</v>
      </c>
      <c r="X1439" s="14">
        <v>5</v>
      </c>
      <c r="Y1439" s="10">
        <f>AC1439-AB1439</f>
        <v>0</v>
      </c>
      <c r="Z1439" s="18">
        <v>0</v>
      </c>
      <c r="AA1439" s="18">
        <v>7</v>
      </c>
      <c r="AB1439" s="18"/>
      <c r="AC1439" s="18"/>
      <c r="AD1439" s="1" t="s">
        <v>5437</v>
      </c>
      <c r="AF1439" s="4">
        <v>1.2</v>
      </c>
      <c r="AG1439" s="4">
        <v>2.91</v>
      </c>
    </row>
    <row r="1440" spans="1:33" ht="30" x14ac:dyDescent="0.25">
      <c r="A1440" s="10" t="s">
        <v>2519</v>
      </c>
      <c r="B1440" s="11" t="s">
        <v>33</v>
      </c>
      <c r="C1440" s="12" t="s">
        <v>2520</v>
      </c>
      <c r="D1440" s="27"/>
      <c r="E1440" s="14" t="s">
        <v>35</v>
      </c>
      <c r="F1440" s="11" t="str">
        <f>HYPERLINK("https://redirect.sdcdeals.com/redirect?destination=https%3A%2F%2Fwww.amazon.com%2Fdp%2FB0C88H4QBG%3Fth%3D1%26psc%3D1%26tag%3Dsdcdeals03-20", "Amazon Link")</f>
        <v>Amazon Link</v>
      </c>
      <c r="G1440" s="11" t="s">
        <v>36</v>
      </c>
      <c r="H1440" s="14" t="s">
        <v>2521</v>
      </c>
      <c r="I1440" s="11" t="str">
        <f>HYPERLINK("https://redirect.sdcdeals.com/redirect?code=763034&amp;mavely=https://mavely.app.link/e/bhESV2wGrGb&amp;destination=https%3A%2F%2Fwww.kohls.com%2Fsearch.jsp%3Fsubmit-search%3Dweb-regular%26search%3D29813467", "Retail Link")</f>
        <v>Retail Link</v>
      </c>
      <c r="J1440" s="14" t="s">
        <v>2515</v>
      </c>
      <c r="K1440" s="13" t="s">
        <v>2522</v>
      </c>
      <c r="L1440" s="15">
        <v>7.6959999999999997</v>
      </c>
      <c r="M1440" s="15">
        <v>9.6199999999999992</v>
      </c>
      <c r="N1440" s="15">
        <v>-4.1189999999999998</v>
      </c>
      <c r="O1440" s="15">
        <f>V1440-M1440</f>
        <v>14.4</v>
      </c>
      <c r="P1440" s="16">
        <f>N1440/L1440</f>
        <v>-0.53521309771309766</v>
      </c>
      <c r="Q1440" s="14">
        <v>169640</v>
      </c>
      <c r="R1440" s="14"/>
      <c r="S1440" s="17">
        <v>0.65036289999999997</v>
      </c>
      <c r="T1440" s="15">
        <v>9.6199999999999992</v>
      </c>
      <c r="U1440" s="15">
        <v>19.04</v>
      </c>
      <c r="V1440" s="15">
        <v>24.02</v>
      </c>
      <c r="W1440" s="14" t="s">
        <v>2523</v>
      </c>
      <c r="X1440" s="14">
        <v>1</v>
      </c>
      <c r="Y1440" s="10">
        <f>AC1440-AB1440</f>
        <v>216</v>
      </c>
      <c r="Z1440" s="18">
        <v>14</v>
      </c>
      <c r="AA1440" s="18">
        <v>33</v>
      </c>
      <c r="AB1440" s="18">
        <v>3</v>
      </c>
      <c r="AC1440" s="18">
        <v>219</v>
      </c>
      <c r="AD1440" s="1" t="s">
        <v>2524</v>
      </c>
      <c r="AE1440" s="1" t="s">
        <v>235</v>
      </c>
      <c r="AF1440" s="4">
        <v>1.44</v>
      </c>
      <c r="AG1440" s="4">
        <v>4.5999999999999996</v>
      </c>
    </row>
    <row r="1441" spans="1:33" ht="30" x14ac:dyDescent="0.25">
      <c r="A1441" s="10" t="s">
        <v>7121</v>
      </c>
      <c r="B1441" s="11" t="s">
        <v>33</v>
      </c>
      <c r="C1441" s="12" t="s">
        <v>7122</v>
      </c>
      <c r="D1441" s="27"/>
      <c r="E1441" s="14" t="s">
        <v>35</v>
      </c>
      <c r="F1441" s="11" t="str">
        <f>HYPERLINK("https://redirect.sdcdeals.com/redirect?destination=https%3A%2F%2Fwww.amazon.com%2Fdp%2FB0BKQT6THV%3Fth%3D1%26psc%3D1%26tag%3Dsdcdeals03-20", "Amazon Link")</f>
        <v>Amazon Link</v>
      </c>
      <c r="G1441" s="11" t="s">
        <v>36</v>
      </c>
      <c r="H1441" s="14" t="s">
        <v>7123</v>
      </c>
      <c r="I1441" s="11" t="str">
        <f>HYPERLINK("https://redirect.sdcdeals.com/redirect?code=763034&amp;mavely=https://mavely.app.link/e/bhESV2wGrGb&amp;destination=https%3A%2F%2Fwww.kohls.com%2Fsearch.jsp%3Fsubmit-search%3Dweb-regular%26search%3D46955672", "Retail Link")</f>
        <v>Retail Link</v>
      </c>
      <c r="J1441" s="14" t="s">
        <v>7117</v>
      </c>
      <c r="K1441" s="13" t="s">
        <v>7124</v>
      </c>
      <c r="L1441" s="15">
        <v>19.8</v>
      </c>
      <c r="M1441" s="15">
        <v>24.75</v>
      </c>
      <c r="N1441" s="15">
        <v>-10.6525</v>
      </c>
      <c r="O1441" s="15">
        <f>V1441-M1441</f>
        <v>12.619999999999997</v>
      </c>
      <c r="P1441" s="16">
        <f>N1441/L1441</f>
        <v>-0.53800505050505043</v>
      </c>
      <c r="Q1441" s="14">
        <v>2043990</v>
      </c>
      <c r="R1441" s="14"/>
      <c r="S1441" s="17">
        <v>0.98987438000000005</v>
      </c>
      <c r="T1441" s="15">
        <v>24.75</v>
      </c>
      <c r="U1441" s="15">
        <v>28.76</v>
      </c>
      <c r="V1441" s="15">
        <v>37.369999999999997</v>
      </c>
      <c r="W1441" s="14" t="s">
        <v>100</v>
      </c>
      <c r="X1441" s="14">
        <v>2</v>
      </c>
      <c r="Y1441" s="10">
        <f>AC1441-AB1441</f>
        <v>1</v>
      </c>
      <c r="Z1441" s="18">
        <v>4</v>
      </c>
      <c r="AA1441" s="18">
        <v>13</v>
      </c>
      <c r="AB1441" s="18">
        <v>0</v>
      </c>
      <c r="AC1441" s="18">
        <v>1</v>
      </c>
      <c r="AD1441" s="1" t="s">
        <v>7119</v>
      </c>
      <c r="AE1441" s="1" t="s">
        <v>3219</v>
      </c>
      <c r="AF1441" s="4">
        <v>4.21</v>
      </c>
      <c r="AG1441" s="4">
        <v>11.89</v>
      </c>
    </row>
    <row r="1442" spans="1:33" ht="30" x14ac:dyDescent="0.25">
      <c r="A1442" s="10" t="s">
        <v>685</v>
      </c>
      <c r="B1442" s="11" t="s">
        <v>33</v>
      </c>
      <c r="C1442" s="12" t="s">
        <v>686</v>
      </c>
      <c r="D1442" s="27"/>
      <c r="E1442" s="14" t="s">
        <v>35</v>
      </c>
      <c r="F1442" s="11" t="str">
        <f>HYPERLINK("https://redirect.sdcdeals.com/redirect?destination=https%3A%2F%2Fwww.amazon.com%2Fdp%2FB0BCC6BYVQ%3Fth%3D1%26psc%3D1%26tag%3Dsdcdeals03-20", "Amazon Link")</f>
        <v>Amazon Link</v>
      </c>
      <c r="G1442" s="11" t="s">
        <v>36</v>
      </c>
      <c r="H1442" s="14" t="s">
        <v>687</v>
      </c>
      <c r="I1442" s="11" t="str">
        <f>HYPERLINK("https://redirect.sdcdeals.com/redirect?code=763034&amp;mavely=https://mavely.app.link/e/bhESV2wGrGb&amp;destination=https%3A%2F%2Fwww.kohls.com%2Fsearch.jsp%3Fsubmit-search%3Dweb-regular%26search%3D18431933", "Retail Link")</f>
        <v>Retail Link</v>
      </c>
      <c r="J1442" s="14" t="s">
        <v>677</v>
      </c>
      <c r="K1442" s="13" t="s">
        <v>688</v>
      </c>
      <c r="L1442" s="15">
        <v>12.96</v>
      </c>
      <c r="M1442" s="15">
        <v>15</v>
      </c>
      <c r="N1442" s="15">
        <v>-7.02</v>
      </c>
      <c r="O1442" s="15">
        <f>V1442-M1442</f>
        <v>3.09</v>
      </c>
      <c r="P1442" s="16">
        <f>N1442/L1442</f>
        <v>-0.54166666666666663</v>
      </c>
      <c r="Q1442" s="14">
        <v>1303690</v>
      </c>
      <c r="R1442" s="14"/>
      <c r="S1442" s="17">
        <v>1.1133331</v>
      </c>
      <c r="T1442" s="15">
        <v>15</v>
      </c>
      <c r="U1442" s="15">
        <v>21.95</v>
      </c>
      <c r="V1442" s="15">
        <v>18.09</v>
      </c>
      <c r="W1442" s="14" t="s">
        <v>311</v>
      </c>
      <c r="X1442" s="14">
        <v>2</v>
      </c>
      <c r="Y1442" s="10">
        <f>AC1442-AB1442</f>
        <v>2</v>
      </c>
      <c r="Z1442" s="18">
        <v>4</v>
      </c>
      <c r="AA1442" s="18">
        <v>15</v>
      </c>
      <c r="AB1442" s="18">
        <v>0</v>
      </c>
      <c r="AC1442" s="18">
        <v>2</v>
      </c>
      <c r="AD1442" s="1" t="s">
        <v>679</v>
      </c>
      <c r="AE1442" s="1" t="s">
        <v>680</v>
      </c>
      <c r="AF1442" s="4">
        <v>2.5499999999999998</v>
      </c>
      <c r="AG1442" s="4">
        <v>6.81</v>
      </c>
    </row>
    <row r="1443" spans="1:33" ht="30" x14ac:dyDescent="0.25">
      <c r="A1443" s="10" t="s">
        <v>3867</v>
      </c>
      <c r="B1443" s="11" t="s">
        <v>33</v>
      </c>
      <c r="C1443" s="12" t="s">
        <v>3868</v>
      </c>
      <c r="D1443" s="27"/>
      <c r="E1443" s="14" t="s">
        <v>35</v>
      </c>
      <c r="F1443" s="11" t="str">
        <f>HYPERLINK("https://redirect.sdcdeals.com/redirect?destination=https%3A%2F%2Fwww.amazon.com%2Fdp%2FB0C46T4CX6%3Fth%3D1%26psc%3D1%26tag%3Dsdcdeals03-20", "Amazon Link")</f>
        <v>Amazon Link</v>
      </c>
      <c r="G1443" s="11" t="s">
        <v>36</v>
      </c>
      <c r="H1443" s="14" t="s">
        <v>3869</v>
      </c>
      <c r="I1443" s="11" t="str">
        <f>HYPERLINK("https://redirect.sdcdeals.com/redirect?code=763034&amp;mavely=https://mavely.app.link/e/bhESV2wGrGb&amp;destination=https%3A%2F%2Fwww.kohls.com%2Fsearch.jsp%3Fsubmit-search%3Dweb-regular%26search%3D82008001", "Retail Link")</f>
        <v>Retail Link</v>
      </c>
      <c r="J1443" s="14" t="s">
        <v>3870</v>
      </c>
      <c r="K1443" s="13" t="s">
        <v>3871</v>
      </c>
      <c r="L1443" s="15">
        <v>8.32</v>
      </c>
      <c r="M1443" s="15">
        <v>10.4</v>
      </c>
      <c r="N1443" s="15">
        <v>-4.53</v>
      </c>
      <c r="O1443" s="15">
        <f>V1443-M1443</f>
        <v>9.08</v>
      </c>
      <c r="P1443" s="16">
        <f>N1443/L1443</f>
        <v>-0.54447115384615385</v>
      </c>
      <c r="Q1443" s="14">
        <v>32385</v>
      </c>
      <c r="R1443" s="14"/>
      <c r="S1443" s="17">
        <v>0.24250820000000001</v>
      </c>
      <c r="T1443" s="15">
        <v>10.4</v>
      </c>
      <c r="U1443" s="15">
        <v>20.48</v>
      </c>
      <c r="V1443" s="15">
        <v>19.48</v>
      </c>
      <c r="W1443" s="14" t="s">
        <v>3872</v>
      </c>
      <c r="X1443" s="14">
        <v>4</v>
      </c>
      <c r="Y1443" s="10">
        <f>AC1443-AB1443</f>
        <v>15</v>
      </c>
      <c r="Z1443" s="18">
        <v>18</v>
      </c>
      <c r="AA1443" s="18">
        <v>56</v>
      </c>
      <c r="AB1443" s="18">
        <v>2</v>
      </c>
      <c r="AC1443" s="18">
        <v>17</v>
      </c>
      <c r="AD1443" s="1" t="s">
        <v>3873</v>
      </c>
      <c r="AE1443" s="1" t="s">
        <v>3874</v>
      </c>
      <c r="AF1443" s="4">
        <v>1.77</v>
      </c>
      <c r="AG1443" s="4">
        <v>5.05</v>
      </c>
    </row>
    <row r="1444" spans="1:33" ht="30" x14ac:dyDescent="0.25">
      <c r="A1444" s="10" t="s">
        <v>3882</v>
      </c>
      <c r="B1444" s="11" t="s">
        <v>33</v>
      </c>
      <c r="C1444" s="12" t="s">
        <v>3883</v>
      </c>
      <c r="D1444" s="27"/>
      <c r="E1444" s="14" t="s">
        <v>35</v>
      </c>
      <c r="F1444" s="11" t="str">
        <f>HYPERLINK("https://redirect.sdcdeals.com/redirect?destination=https%3A%2F%2Fwww.amazon.com%2Fdp%2FB0C46VHDKF%3Fth%3D1%26psc%3D1%26tag%3Dsdcdeals03-20", "Amazon Link")</f>
        <v>Amazon Link</v>
      </c>
      <c r="G1444" s="11" t="s">
        <v>36</v>
      </c>
      <c r="H1444" s="14" t="s">
        <v>3884</v>
      </c>
      <c r="I1444" s="11" t="str">
        <f>HYPERLINK("https://redirect.sdcdeals.com/redirect?code=763034&amp;mavely=https://mavely.app.link/e/bhESV2wGrGb&amp;destination=https%3A%2F%2Fwww.kohls.com%2Fsearch.jsp%3Fsubmit-search%3Dweb-regular%26search%3D82008002", "Retail Link")</f>
        <v>Retail Link</v>
      </c>
      <c r="J1444" s="14" t="s">
        <v>3870</v>
      </c>
      <c r="K1444" s="13" t="s">
        <v>3885</v>
      </c>
      <c r="L1444" s="15">
        <v>8.32</v>
      </c>
      <c r="M1444" s="15">
        <v>10.4</v>
      </c>
      <c r="N1444" s="15">
        <v>-4.53</v>
      </c>
      <c r="O1444" s="15">
        <f>V1444-M1444</f>
        <v>9.69</v>
      </c>
      <c r="P1444" s="16">
        <f>N1444/L1444</f>
        <v>-0.54447115384615385</v>
      </c>
      <c r="Q1444" s="14">
        <v>32740</v>
      </c>
      <c r="R1444" s="14"/>
      <c r="S1444" s="17">
        <v>0.29762369999999999</v>
      </c>
      <c r="T1444" s="15">
        <v>10.4</v>
      </c>
      <c r="U1444" s="15">
        <v>20.27</v>
      </c>
      <c r="V1444" s="15">
        <v>20.09</v>
      </c>
      <c r="W1444" s="14" t="s">
        <v>3886</v>
      </c>
      <c r="X1444" s="14">
        <v>4</v>
      </c>
      <c r="Y1444" s="10">
        <f>AC1444-AB1444</f>
        <v>14</v>
      </c>
      <c r="Z1444" s="18">
        <v>16</v>
      </c>
      <c r="AA1444" s="18">
        <v>57</v>
      </c>
      <c r="AB1444" s="18">
        <v>3</v>
      </c>
      <c r="AC1444" s="18">
        <v>17</v>
      </c>
      <c r="AD1444" s="1" t="s">
        <v>3873</v>
      </c>
      <c r="AE1444" s="1" t="s">
        <v>3874</v>
      </c>
      <c r="AF1444" s="4">
        <v>1.77</v>
      </c>
      <c r="AG1444" s="4">
        <v>5.05</v>
      </c>
    </row>
    <row r="1445" spans="1:33" ht="30" x14ac:dyDescent="0.25">
      <c r="A1445" s="10" t="s">
        <v>3887</v>
      </c>
      <c r="B1445" s="11" t="s">
        <v>33</v>
      </c>
      <c r="C1445" s="12" t="s">
        <v>3888</v>
      </c>
      <c r="D1445" s="27"/>
      <c r="E1445" s="14" t="s">
        <v>35</v>
      </c>
      <c r="F1445" s="11" t="str">
        <f>HYPERLINK("https://redirect.sdcdeals.com/redirect?destination=https%3A%2F%2Fwww.amazon.com%2Fdp%2FB0C46SPPNK%3Fth%3D1%26psc%3D1%26tag%3Dsdcdeals03-20", "Amazon Link")</f>
        <v>Amazon Link</v>
      </c>
      <c r="G1445" s="11" t="s">
        <v>36</v>
      </c>
      <c r="H1445" s="14" t="s">
        <v>3889</v>
      </c>
      <c r="I1445" s="11" t="str">
        <f>HYPERLINK("https://redirect.sdcdeals.com/redirect?code=763034&amp;mavely=https://mavely.app.link/e/bhESV2wGrGb&amp;destination=https%3A%2F%2Fwww.kohls.com%2Fsearch.jsp%3Fsubmit-search%3Dweb-regular%26search%3D86687257", "Retail Link")</f>
        <v>Retail Link</v>
      </c>
      <c r="J1445" s="14" t="s">
        <v>3870</v>
      </c>
      <c r="K1445" s="13" t="s">
        <v>3890</v>
      </c>
      <c r="L1445" s="15">
        <v>8.32</v>
      </c>
      <c r="M1445" s="15">
        <v>10.4</v>
      </c>
      <c r="N1445" s="15">
        <v>-4.53</v>
      </c>
      <c r="O1445" s="15">
        <f>V1445-M1445</f>
        <v>11.72</v>
      </c>
      <c r="P1445" s="16">
        <f>N1445/L1445</f>
        <v>-0.54447115384615385</v>
      </c>
      <c r="Q1445" s="14">
        <v>32740</v>
      </c>
      <c r="R1445" s="14"/>
      <c r="S1445" s="17">
        <v>0.29762369999999999</v>
      </c>
      <c r="T1445" s="15">
        <v>10.4</v>
      </c>
      <c r="U1445" s="15">
        <v>20.14</v>
      </c>
      <c r="V1445" s="15">
        <v>22.12</v>
      </c>
      <c r="W1445" s="14" t="s">
        <v>3891</v>
      </c>
      <c r="X1445" s="14">
        <v>5</v>
      </c>
      <c r="Y1445" s="10">
        <f>AC1445-AB1445</f>
        <v>16</v>
      </c>
      <c r="Z1445" s="18">
        <v>20</v>
      </c>
      <c r="AA1445" s="18">
        <v>63</v>
      </c>
      <c r="AB1445" s="18">
        <v>1</v>
      </c>
      <c r="AC1445" s="18">
        <v>17</v>
      </c>
      <c r="AD1445" s="1" t="s">
        <v>3880</v>
      </c>
      <c r="AE1445" s="1" t="s">
        <v>3881</v>
      </c>
      <c r="AF1445" s="4">
        <v>0.52</v>
      </c>
      <c r="AG1445" s="4">
        <v>5.05</v>
      </c>
    </row>
    <row r="1446" spans="1:33" ht="45" x14ac:dyDescent="0.25">
      <c r="A1446" s="10" t="s">
        <v>3901</v>
      </c>
      <c r="B1446" s="11" t="s">
        <v>33</v>
      </c>
      <c r="C1446" s="12" t="s">
        <v>3902</v>
      </c>
      <c r="D1446" s="27"/>
      <c r="E1446" s="14" t="s">
        <v>35</v>
      </c>
      <c r="F1446" s="11" t="str">
        <f>HYPERLINK("https://redirect.sdcdeals.com/redirect?destination=https%3A%2F%2Fwww.amazon.com%2Fdp%2FB0C46SMBNV%3Fth%3D1%26psc%3D1%26tag%3Dsdcdeals03-20", "Amazon Link")</f>
        <v>Amazon Link</v>
      </c>
      <c r="G1446" s="11" t="s">
        <v>36</v>
      </c>
      <c r="H1446" s="14" t="s">
        <v>3903</v>
      </c>
      <c r="I1446" s="11" t="str">
        <f>HYPERLINK("https://redirect.sdcdeals.com/redirect?code=763034&amp;mavely=https://mavely.app.link/e/bhESV2wGrGb&amp;destination=https%3A%2F%2Fwww.kohls.com%2Fsearch.jsp%3Fsubmit-search%3Dweb-regular%26search%3D86687259", "Retail Link")</f>
        <v>Retail Link</v>
      </c>
      <c r="J1446" s="14" t="s">
        <v>3870</v>
      </c>
      <c r="K1446" s="13" t="s">
        <v>3904</v>
      </c>
      <c r="L1446" s="15">
        <v>8.32</v>
      </c>
      <c r="M1446" s="15">
        <v>10.4</v>
      </c>
      <c r="N1446" s="15">
        <v>-4.53</v>
      </c>
      <c r="O1446" s="15">
        <f>V1446-M1446</f>
        <v>7.7499999999999982</v>
      </c>
      <c r="P1446" s="16">
        <f>N1446/L1446</f>
        <v>-0.54447115384615385</v>
      </c>
      <c r="Q1446" s="14">
        <v>32385</v>
      </c>
      <c r="R1446" s="14"/>
      <c r="S1446" s="17">
        <v>0.37478539999999999</v>
      </c>
      <c r="T1446" s="15">
        <v>10.4</v>
      </c>
      <c r="U1446" s="15">
        <v>18.38</v>
      </c>
      <c r="V1446" s="15">
        <v>18.149999999999999</v>
      </c>
      <c r="W1446" s="14" t="s">
        <v>3905</v>
      </c>
      <c r="X1446" s="14">
        <v>5</v>
      </c>
      <c r="Y1446" s="10">
        <f>AC1446-AB1446</f>
        <v>15</v>
      </c>
      <c r="Z1446" s="18">
        <v>19</v>
      </c>
      <c r="AA1446" s="18">
        <v>68</v>
      </c>
      <c r="AB1446" s="18">
        <v>2</v>
      </c>
      <c r="AC1446" s="18">
        <v>17</v>
      </c>
      <c r="AD1446" s="1" t="s">
        <v>3880</v>
      </c>
      <c r="AE1446" s="1" t="s">
        <v>3881</v>
      </c>
      <c r="AF1446" s="4">
        <v>0.52</v>
      </c>
      <c r="AG1446" s="4">
        <v>5.05</v>
      </c>
    </row>
    <row r="1447" spans="1:33" ht="30" x14ac:dyDescent="0.25">
      <c r="A1447" s="10" t="s">
        <v>3906</v>
      </c>
      <c r="B1447" s="11" t="s">
        <v>33</v>
      </c>
      <c r="C1447" s="12" t="s">
        <v>3907</v>
      </c>
      <c r="D1447" s="27"/>
      <c r="E1447" s="14" t="s">
        <v>35</v>
      </c>
      <c r="F1447" s="11" t="str">
        <f>HYPERLINK("https://redirect.sdcdeals.com/redirect?destination=https%3A%2F%2Fwww.amazon.com%2Fdp%2FB0C46QMRVK%3Fth%3D1%26psc%3D1%26tag%3Dsdcdeals03-20", "Amazon Link")</f>
        <v>Amazon Link</v>
      </c>
      <c r="G1447" s="11" t="s">
        <v>36</v>
      </c>
      <c r="H1447" s="14" t="s">
        <v>3908</v>
      </c>
      <c r="I1447" s="11" t="str">
        <f>HYPERLINK("https://redirect.sdcdeals.com/redirect?code=763034&amp;mavely=https://mavely.app.link/e/bhESV2wGrGb&amp;destination=https%3A%2F%2Fwww.kohls.com%2Fsearch.jsp%3Fsubmit-search%3Dweb-regular%26search%3D82008009", "Retail Link")</f>
        <v>Retail Link</v>
      </c>
      <c r="J1447" s="14" t="s">
        <v>3870</v>
      </c>
      <c r="K1447" s="13" t="s">
        <v>3909</v>
      </c>
      <c r="L1447" s="15">
        <v>8.32</v>
      </c>
      <c r="M1447" s="15">
        <v>10.4</v>
      </c>
      <c r="N1447" s="15">
        <v>-4.53</v>
      </c>
      <c r="O1447" s="15">
        <f>V1447-M1447</f>
        <v>8.5699999999999985</v>
      </c>
      <c r="P1447" s="16">
        <f>N1447/L1447</f>
        <v>-0.54447115384615385</v>
      </c>
      <c r="Q1447" s="14">
        <v>32385</v>
      </c>
      <c r="R1447" s="14"/>
      <c r="S1447" s="17">
        <v>0.3858085</v>
      </c>
      <c r="T1447" s="15">
        <v>10.4</v>
      </c>
      <c r="U1447" s="15">
        <v>20.420000000000002</v>
      </c>
      <c r="V1447" s="15">
        <v>18.97</v>
      </c>
      <c r="W1447" s="14" t="s">
        <v>1767</v>
      </c>
      <c r="X1447" s="14">
        <v>4</v>
      </c>
      <c r="Y1447" s="10">
        <f>AC1447-AB1447</f>
        <v>15</v>
      </c>
      <c r="Z1447" s="18">
        <v>18</v>
      </c>
      <c r="AA1447" s="18">
        <v>57</v>
      </c>
      <c r="AB1447" s="18">
        <v>2</v>
      </c>
      <c r="AC1447" s="18">
        <v>17</v>
      </c>
      <c r="AD1447" s="1" t="s">
        <v>3873</v>
      </c>
      <c r="AE1447" s="1" t="s">
        <v>3874</v>
      </c>
      <c r="AF1447" s="4">
        <v>1.77</v>
      </c>
      <c r="AG1447" s="4">
        <v>5.05</v>
      </c>
    </row>
    <row r="1448" spans="1:33" ht="30" x14ac:dyDescent="0.25">
      <c r="A1448" s="10" t="s">
        <v>5203</v>
      </c>
      <c r="B1448" s="11" t="s">
        <v>33</v>
      </c>
      <c r="C1448" s="12" t="s">
        <v>5204</v>
      </c>
      <c r="D1448" s="27"/>
      <c r="E1448" s="14" t="s">
        <v>35</v>
      </c>
      <c r="F1448" s="11" t="str">
        <f>HYPERLINK("https://redirect.sdcdeals.com/redirect?destination=https%3A%2F%2Fwww.amazon.com%2Fdp%2FB093RCSD3Y%3Fth%3D1%26psc%3D1%26tag%3Dsdcdeals03-20", "Amazon Link")</f>
        <v>Amazon Link</v>
      </c>
      <c r="G1448" s="11" t="s">
        <v>36</v>
      </c>
      <c r="H1448" s="14" t="s">
        <v>5205</v>
      </c>
      <c r="I1448" s="11" t="str">
        <f>HYPERLINK("https://redirect.sdcdeals.com/redirect?code=763034&amp;mavely=https://mavely.app.link/e/bhESV2wGrGb&amp;destination=https%3A%2F%2Fwww.kohls.com%2Fsearch.jsp%3Fsubmit-search%3Dweb-regular%26search%3D37910678", "Retail Link")</f>
        <v>Retail Link</v>
      </c>
      <c r="J1448" s="14" t="s">
        <v>5206</v>
      </c>
      <c r="K1448" s="13" t="s">
        <v>5207</v>
      </c>
      <c r="L1448" s="15">
        <v>8.4</v>
      </c>
      <c r="M1448" s="15">
        <v>10.5</v>
      </c>
      <c r="N1448" s="15">
        <v>-4.5950000000000024</v>
      </c>
      <c r="O1448" s="15">
        <f>V1448-M1448</f>
        <v>11.18</v>
      </c>
      <c r="P1448" s="16">
        <f>N1448/L1448</f>
        <v>-0.5470238095238098</v>
      </c>
      <c r="Q1448" s="14">
        <v>109351</v>
      </c>
      <c r="R1448" s="14"/>
      <c r="S1448" s="17">
        <v>0.18077884</v>
      </c>
      <c r="T1448" s="15">
        <v>10.5</v>
      </c>
      <c r="U1448" s="15">
        <v>20.75</v>
      </c>
      <c r="V1448" s="15">
        <v>21.68</v>
      </c>
      <c r="W1448" s="14" t="s">
        <v>1837</v>
      </c>
      <c r="X1448" s="14">
        <v>3</v>
      </c>
      <c r="Y1448" s="10">
        <f>AC1448-AB1448</f>
        <v>119</v>
      </c>
      <c r="Z1448" s="18">
        <v>22</v>
      </c>
      <c r="AA1448" s="18">
        <v>63</v>
      </c>
      <c r="AB1448" s="18">
        <v>0</v>
      </c>
      <c r="AC1448" s="18">
        <v>119</v>
      </c>
      <c r="AD1448" s="1" t="s">
        <v>5208</v>
      </c>
      <c r="AE1448" s="1" t="s">
        <v>273</v>
      </c>
      <c r="AF1448" s="4">
        <v>0.53</v>
      </c>
      <c r="AG1448" s="4">
        <v>5.12</v>
      </c>
    </row>
    <row r="1449" spans="1:33" ht="30" x14ac:dyDescent="0.25">
      <c r="A1449" s="10" t="s">
        <v>3031</v>
      </c>
      <c r="B1449" s="11" t="s">
        <v>33</v>
      </c>
      <c r="C1449" s="12" t="s">
        <v>3032</v>
      </c>
      <c r="D1449" s="27"/>
      <c r="E1449" s="14" t="s">
        <v>35</v>
      </c>
      <c r="F1449" s="11" t="str">
        <f>HYPERLINK("https://redirect.sdcdeals.com/redirect?destination=https%3A%2F%2Fwww.amazon.com%2Fdp%2FB09RGMFBNJ%3Fth%3D1%26psc%3D1%26tag%3Dsdcdeals03-20", "Amazon Link")</f>
        <v>Amazon Link</v>
      </c>
      <c r="G1449" s="11" t="s">
        <v>36</v>
      </c>
      <c r="H1449" s="14" t="s">
        <v>3033</v>
      </c>
      <c r="I1449" s="11" t="str">
        <f>HYPERLINK("https://redirect.sdcdeals.com/redirect?code=763034&amp;mavely=https://mavely.app.link/e/bhESV2wGrGb&amp;destination=https%3A%2F%2Fwww.kohls.com%2Fsearch.jsp%3Fsubmit-search%3Dweb-regular%26search%3D30513254", "Retail Link")</f>
        <v>Retail Link</v>
      </c>
      <c r="J1449" s="14" t="s">
        <v>3027</v>
      </c>
      <c r="K1449" s="13" t="s">
        <v>3034</v>
      </c>
      <c r="L1449" s="15">
        <v>10.616</v>
      </c>
      <c r="M1449" s="15">
        <v>13.27</v>
      </c>
      <c r="N1449" s="15">
        <v>-5.8165000000000013</v>
      </c>
      <c r="O1449" s="15">
        <f>V1449-M1449</f>
        <v>21.09</v>
      </c>
      <c r="P1449" s="16">
        <f>N1449/L1449</f>
        <v>-0.54789939713639801</v>
      </c>
      <c r="Q1449" s="14">
        <v>65792</v>
      </c>
      <c r="R1449" s="14"/>
      <c r="S1449" s="17">
        <v>1.0383760200000001</v>
      </c>
      <c r="T1449" s="15">
        <v>13.27</v>
      </c>
      <c r="U1449" s="15">
        <v>36.11</v>
      </c>
      <c r="V1449" s="15">
        <v>34.36</v>
      </c>
      <c r="W1449" s="14" t="s">
        <v>576</v>
      </c>
      <c r="X1449" s="14">
        <v>4</v>
      </c>
      <c r="Y1449" s="10">
        <f>AC1449-AB1449</f>
        <v>148</v>
      </c>
      <c r="Z1449" s="18">
        <v>34</v>
      </c>
      <c r="AA1449" s="18">
        <v>81</v>
      </c>
      <c r="AB1449" s="18">
        <v>1</v>
      </c>
      <c r="AC1449" s="18">
        <v>149</v>
      </c>
      <c r="AD1449" s="1" t="s">
        <v>3029</v>
      </c>
      <c r="AE1449" s="1" t="s">
        <v>3035</v>
      </c>
      <c r="AF1449" s="4">
        <v>0.66</v>
      </c>
      <c r="AG1449" s="4">
        <v>6.48</v>
      </c>
    </row>
    <row r="1450" spans="1:33" ht="30" x14ac:dyDescent="0.25">
      <c r="A1450" s="10" t="s">
        <v>6956</v>
      </c>
      <c r="B1450" s="11" t="s">
        <v>33</v>
      </c>
      <c r="C1450" s="12" t="s">
        <v>6957</v>
      </c>
      <c r="D1450" s="27"/>
      <c r="E1450" s="14" t="s">
        <v>35</v>
      </c>
      <c r="F1450" s="11" t="str">
        <f>HYPERLINK("https://redirect.sdcdeals.com/redirect?destination=https%3A%2F%2Fwww.amazon.com%2Fdp%2FB0CQD2K7K5%3Fth%3D1%26psc%3D1%26tag%3Dsdcdeals03-20", "Amazon Link")</f>
        <v>Amazon Link</v>
      </c>
      <c r="G1450" s="11" t="s">
        <v>36</v>
      </c>
      <c r="H1450" s="14" t="s">
        <v>6958</v>
      </c>
      <c r="I1450" s="11" t="str">
        <f>HYPERLINK("https://redirect.sdcdeals.com/redirect?code=763034&amp;mavely=https://mavely.app.link/e/bhESV2wGrGb&amp;destination=https%3A%2F%2Fwww.kohls.com%2Fsearch.jsp%3Fsubmit-search%3Dweb-regular%26search%3D73172868", "Retail Link")</f>
        <v>Retail Link</v>
      </c>
      <c r="J1450" s="14" t="s">
        <v>6959</v>
      </c>
      <c r="K1450" s="13" t="s">
        <v>6960</v>
      </c>
      <c r="L1450" s="15">
        <v>7.5439999999999996</v>
      </c>
      <c r="M1450" s="15">
        <v>9.43</v>
      </c>
      <c r="N1450" s="15">
        <v>-4.1385000000000014</v>
      </c>
      <c r="O1450" s="15">
        <f>V1450-M1450</f>
        <v>8</v>
      </c>
      <c r="P1450" s="16">
        <f>N1450/L1450</f>
        <v>-0.54858165429480399</v>
      </c>
      <c r="Q1450" s="14">
        <v>4388103</v>
      </c>
      <c r="R1450" s="14"/>
      <c r="S1450" s="17">
        <v>0.28660059999999998</v>
      </c>
      <c r="T1450" s="15">
        <v>9.43</v>
      </c>
      <c r="U1450" s="15">
        <v>14.27</v>
      </c>
      <c r="V1450" s="15">
        <v>17.43</v>
      </c>
      <c r="W1450" s="14" t="s">
        <v>396</v>
      </c>
      <c r="X1450" s="14">
        <v>1</v>
      </c>
      <c r="Y1450" s="10">
        <f>AC1450-AB1450</f>
        <v>416</v>
      </c>
      <c r="Z1450" s="18">
        <v>3</v>
      </c>
      <c r="AA1450" s="18">
        <v>27</v>
      </c>
      <c r="AB1450" s="18">
        <v>1</v>
      </c>
      <c r="AC1450" s="18">
        <v>417</v>
      </c>
      <c r="AD1450" s="1" t="s">
        <v>6961</v>
      </c>
      <c r="AE1450" s="1" t="s">
        <v>6962</v>
      </c>
      <c r="AF1450" s="4">
        <v>0.47</v>
      </c>
      <c r="AG1450" s="4">
        <v>4.6100000000000003</v>
      </c>
    </row>
    <row r="1451" spans="1:33" ht="30" x14ac:dyDescent="0.25">
      <c r="A1451" s="10" t="s">
        <v>6967</v>
      </c>
      <c r="B1451" s="11" t="s">
        <v>33</v>
      </c>
      <c r="C1451" s="12" t="s">
        <v>6968</v>
      </c>
      <c r="D1451" s="27"/>
      <c r="E1451" s="14" t="s">
        <v>35</v>
      </c>
      <c r="F1451" s="11" t="str">
        <f>HYPERLINK("https://redirect.sdcdeals.com/redirect?destination=https%3A%2F%2Fwww.amazon.com%2Fdp%2FB0CQD2V597%3Fth%3D1%26psc%3D1%26tag%3Dsdcdeals03-20", "Amazon Link")</f>
        <v>Amazon Link</v>
      </c>
      <c r="G1451" s="11" t="s">
        <v>36</v>
      </c>
      <c r="H1451" s="14" t="s">
        <v>6969</v>
      </c>
      <c r="I1451" s="11" t="str">
        <f>HYPERLINK("https://redirect.sdcdeals.com/redirect?code=763034&amp;mavely=https://mavely.app.link/e/bhESV2wGrGb&amp;destination=https%3A%2F%2Fwww.kohls.com%2Fsearch.jsp%3Fsubmit-search%3Dweb-regular%26search%3D73172869", "Retail Link")</f>
        <v>Retail Link</v>
      </c>
      <c r="J1451" s="14" t="s">
        <v>6959</v>
      </c>
      <c r="K1451" s="13" t="s">
        <v>6970</v>
      </c>
      <c r="L1451" s="15">
        <v>7.5439999999999996</v>
      </c>
      <c r="M1451" s="15">
        <v>9.43</v>
      </c>
      <c r="N1451" s="15">
        <v>-4.1385000000000014</v>
      </c>
      <c r="O1451" s="15">
        <f>V1451-M1451</f>
        <v>8.61</v>
      </c>
      <c r="P1451" s="16">
        <f>N1451/L1451</f>
        <v>-0.54858165429480399</v>
      </c>
      <c r="Q1451" s="14">
        <v>730419</v>
      </c>
      <c r="R1451" s="14"/>
      <c r="S1451" s="17">
        <v>0.28660059999999998</v>
      </c>
      <c r="T1451" s="15">
        <v>9.43</v>
      </c>
      <c r="U1451" s="15">
        <v>14.29</v>
      </c>
      <c r="V1451" s="15">
        <v>18.04</v>
      </c>
      <c r="W1451" s="14" t="s">
        <v>986</v>
      </c>
      <c r="X1451" s="14">
        <v>1</v>
      </c>
      <c r="Y1451" s="10">
        <f>AC1451-AB1451</f>
        <v>423</v>
      </c>
      <c r="Z1451" s="18">
        <v>3</v>
      </c>
      <c r="AA1451" s="18">
        <v>28</v>
      </c>
      <c r="AB1451" s="18">
        <v>0</v>
      </c>
      <c r="AC1451" s="18">
        <v>423</v>
      </c>
      <c r="AD1451" s="1" t="s">
        <v>6961</v>
      </c>
      <c r="AE1451" s="1" t="s">
        <v>6962</v>
      </c>
      <c r="AF1451" s="4">
        <v>0.47</v>
      </c>
      <c r="AG1451" s="4">
        <v>4.6100000000000003</v>
      </c>
    </row>
    <row r="1452" spans="1:33" ht="30" x14ac:dyDescent="0.25">
      <c r="A1452" s="10" t="s">
        <v>6983</v>
      </c>
      <c r="B1452" s="11" t="s">
        <v>33</v>
      </c>
      <c r="C1452" s="12" t="s">
        <v>6984</v>
      </c>
      <c r="D1452" s="27"/>
      <c r="E1452" s="14" t="s">
        <v>35</v>
      </c>
      <c r="F1452" s="11" t="str">
        <f>HYPERLINK("https://redirect.sdcdeals.com/redirect?destination=https%3A%2F%2Fwww.amazon.com%2Fdp%2FB0CQD5N23B%3Fth%3D1%26psc%3D1%26tag%3Dsdcdeals03-20", "Amazon Link")</f>
        <v>Amazon Link</v>
      </c>
      <c r="G1452" s="11" t="s">
        <v>36</v>
      </c>
      <c r="H1452" s="14" t="s">
        <v>6985</v>
      </c>
      <c r="I1452" s="11" t="str">
        <f>HYPERLINK("https://redirect.sdcdeals.com/redirect?code=763034&amp;mavely=https://mavely.app.link/e/bhESV2wGrGb&amp;destination=https%3A%2F%2Fwww.kohls.com%2Fsearch.jsp%3Fsubmit-search%3Dweb-regular%26search%3D73172874", "Retail Link")</f>
        <v>Retail Link</v>
      </c>
      <c r="J1452" s="14" t="s">
        <v>6959</v>
      </c>
      <c r="K1452" s="13" t="s">
        <v>6986</v>
      </c>
      <c r="L1452" s="15">
        <v>7.5439999999999996</v>
      </c>
      <c r="M1452" s="15">
        <v>9.43</v>
      </c>
      <c r="N1452" s="15">
        <v>-4.1385000000000014</v>
      </c>
      <c r="O1452" s="15">
        <f>V1452-M1452</f>
        <v>8.3300000000000018</v>
      </c>
      <c r="P1452" s="16">
        <f>N1452/L1452</f>
        <v>-0.54858165429480399</v>
      </c>
      <c r="Q1452" s="14">
        <v>867320</v>
      </c>
      <c r="R1452" s="14"/>
      <c r="S1452" s="17">
        <v>0.31966990000000001</v>
      </c>
      <c r="T1452" s="15">
        <v>9.43</v>
      </c>
      <c r="U1452" s="15">
        <v>14.37</v>
      </c>
      <c r="V1452" s="15">
        <v>17.760000000000002</v>
      </c>
      <c r="W1452" s="14" t="s">
        <v>588</v>
      </c>
      <c r="X1452" s="14">
        <v>1</v>
      </c>
      <c r="Y1452" s="10">
        <f>AC1452-AB1452</f>
        <v>431</v>
      </c>
      <c r="Z1452" s="18">
        <v>2</v>
      </c>
      <c r="AA1452" s="18">
        <v>18</v>
      </c>
      <c r="AB1452" s="18">
        <v>1</v>
      </c>
      <c r="AC1452" s="18">
        <v>432</v>
      </c>
      <c r="AD1452" s="1" t="s">
        <v>6961</v>
      </c>
      <c r="AE1452" s="1" t="s">
        <v>6962</v>
      </c>
      <c r="AF1452" s="4">
        <v>0.47</v>
      </c>
      <c r="AG1452" s="4">
        <v>4.6100000000000003</v>
      </c>
    </row>
    <row r="1453" spans="1:33" ht="30" x14ac:dyDescent="0.25">
      <c r="A1453" s="10" t="s">
        <v>1907</v>
      </c>
      <c r="B1453" s="11" t="s">
        <v>33</v>
      </c>
      <c r="C1453" s="12" t="s">
        <v>1908</v>
      </c>
      <c r="D1453" s="27"/>
      <c r="E1453" s="14" t="s">
        <v>35</v>
      </c>
      <c r="F1453" s="11" t="str">
        <f>HYPERLINK("https://redirect.sdcdeals.com/redirect?destination=https%3A%2F%2Fwww.amazon.com%2Fdp%2FB01IE1OFE8%3Fth%3D1%26psc%3D1%26tag%3Dsdcdeals03-20", "Amazon Link")</f>
        <v>Amazon Link</v>
      </c>
      <c r="G1453" s="11" t="s">
        <v>36</v>
      </c>
      <c r="H1453" s="14" t="s">
        <v>1909</v>
      </c>
      <c r="I1453" s="11" t="str">
        <f>HYPERLINK("https://redirect.sdcdeals.com/redirect?code=763034&amp;mavely=https://mavely.app.link/e/bhESV2wGrGb&amp;destination=https%3A%2F%2Fwww.kohls.com%2Fsearch.jsp%3Fsubmit-search%3Dweb-regular%26search%3D46361240", "Retail Link")</f>
        <v>Retail Link</v>
      </c>
      <c r="J1453" s="14" t="s">
        <v>1897</v>
      </c>
      <c r="K1453" s="13" t="s">
        <v>1898</v>
      </c>
      <c r="L1453" s="15">
        <v>10.8</v>
      </c>
      <c r="M1453" s="15">
        <v>13.5</v>
      </c>
      <c r="N1453" s="15">
        <v>-5.9250000000000007</v>
      </c>
      <c r="O1453" s="15">
        <f>V1453-M1453</f>
        <v>18.700000000000003</v>
      </c>
      <c r="P1453" s="16">
        <f>N1453/L1453</f>
        <v>-0.54861111111111116</v>
      </c>
      <c r="Q1453" s="14">
        <v>1165</v>
      </c>
      <c r="R1453" s="14">
        <v>400</v>
      </c>
      <c r="S1453" s="17">
        <v>1.0097159600000001</v>
      </c>
      <c r="T1453" s="15">
        <v>13.5</v>
      </c>
      <c r="U1453" s="15">
        <v>30.07</v>
      </c>
      <c r="V1453" s="15">
        <v>32.200000000000003</v>
      </c>
      <c r="W1453" s="14" t="s">
        <v>1910</v>
      </c>
      <c r="X1453" s="14">
        <v>6</v>
      </c>
      <c r="Y1453" s="10">
        <f>AC1453-AB1453</f>
        <v>16402</v>
      </c>
      <c r="Z1453" s="18">
        <v>102</v>
      </c>
      <c r="AA1453" s="18">
        <v>250</v>
      </c>
      <c r="AB1453" s="18">
        <v>1506</v>
      </c>
      <c r="AC1453" s="18">
        <v>17908</v>
      </c>
      <c r="AD1453" s="1" t="s">
        <v>1900</v>
      </c>
      <c r="AE1453" s="1" t="s">
        <v>1906</v>
      </c>
      <c r="AF1453" s="4">
        <v>0.68</v>
      </c>
      <c r="AG1453" s="4">
        <v>6.6</v>
      </c>
    </row>
    <row r="1454" spans="1:33" ht="30" x14ac:dyDescent="0.25">
      <c r="A1454" s="10" t="s">
        <v>2323</v>
      </c>
      <c r="B1454" s="11" t="s">
        <v>33</v>
      </c>
      <c r="C1454" s="12" t="s">
        <v>2324</v>
      </c>
      <c r="D1454" s="27"/>
      <c r="E1454" s="14" t="s">
        <v>35</v>
      </c>
      <c r="F1454" s="11" t="str">
        <f>HYPERLINK("https://redirect.sdcdeals.com/redirect?destination=https%3A%2F%2Fwww.amazon.com%2Fdp%2FB08FF3N7TG%3Fth%3D1%26psc%3D1%26tag%3Dsdcdeals03-20", "Amazon Link")</f>
        <v>Amazon Link</v>
      </c>
      <c r="G1454" s="11" t="s">
        <v>36</v>
      </c>
      <c r="H1454" s="14" t="s">
        <v>2325</v>
      </c>
      <c r="I1454" s="11" t="str">
        <f>HYPERLINK("https://redirect.sdcdeals.com/redirect?code=763034&amp;mavely=https://mavely.app.link/e/bhESV2wGrGb&amp;destination=https%3A%2F%2Fwww.kohls.com%2Fsearch.jsp%3Fsubmit-search%3Dweb-regular%26search%3D76190316", "Retail Link")</f>
        <v>Retail Link</v>
      </c>
      <c r="J1454" s="14" t="s">
        <v>2326</v>
      </c>
      <c r="K1454" s="13" t="s">
        <v>2327</v>
      </c>
      <c r="L1454" s="15">
        <v>10.8</v>
      </c>
      <c r="M1454" s="15">
        <v>13.5</v>
      </c>
      <c r="N1454" s="15">
        <v>-5.9250000000000007</v>
      </c>
      <c r="O1454" s="15">
        <f>V1454-M1454</f>
        <v>19.020000000000003</v>
      </c>
      <c r="P1454" s="16">
        <f>N1454/L1454</f>
        <v>-0.54861111111111116</v>
      </c>
      <c r="Q1454" s="14">
        <v>12581</v>
      </c>
      <c r="R1454" s="14"/>
      <c r="S1454" s="17">
        <v>0.50706260000000003</v>
      </c>
      <c r="T1454" s="15">
        <v>13.5</v>
      </c>
      <c r="U1454" s="15">
        <v>32.869999999999997</v>
      </c>
      <c r="V1454" s="15">
        <v>32.520000000000003</v>
      </c>
      <c r="W1454" s="14" t="s">
        <v>959</v>
      </c>
      <c r="X1454" s="14">
        <v>4</v>
      </c>
      <c r="Y1454" s="10">
        <f>AC1454-AB1454</f>
        <v>1261</v>
      </c>
      <c r="Z1454" s="18">
        <v>18</v>
      </c>
      <c r="AA1454" s="18">
        <v>43</v>
      </c>
      <c r="AB1454" s="18">
        <v>18</v>
      </c>
      <c r="AC1454" s="18">
        <v>1279</v>
      </c>
      <c r="AD1454" s="1" t="s">
        <v>2328</v>
      </c>
      <c r="AE1454" s="1" t="s">
        <v>76</v>
      </c>
      <c r="AF1454" s="4">
        <v>2.29</v>
      </c>
      <c r="AG1454" s="4">
        <v>6.6</v>
      </c>
    </row>
    <row r="1455" spans="1:33" ht="30" x14ac:dyDescent="0.25">
      <c r="A1455" s="10" t="s">
        <v>1491</v>
      </c>
      <c r="B1455" s="11" t="s">
        <v>33</v>
      </c>
      <c r="C1455" s="12" t="s">
        <v>1492</v>
      </c>
      <c r="D1455" s="27"/>
      <c r="E1455" s="14" t="s">
        <v>35</v>
      </c>
      <c r="F1455" s="11" t="str">
        <f>HYPERLINK("https://redirect.sdcdeals.com/redirect?destination=https%3A%2F%2Fwww.amazon.com%2Fdp%2FB0B8HK6PC1%3Fth%3D1%26psc%3D1%26tag%3Dsdcdeals03-20", "Amazon Link")</f>
        <v>Amazon Link</v>
      </c>
      <c r="G1455" s="11" t="s">
        <v>36</v>
      </c>
      <c r="H1455" s="14" t="s">
        <v>1493</v>
      </c>
      <c r="I1455" s="11" t="str">
        <f>HYPERLINK("https://redirect.sdcdeals.com/redirect?code=763034&amp;mavely=https://mavely.app.link/e/bhESV2wGrGb&amp;destination=https%3A%2F%2Fwww.kohls.com%2Fsearch.jsp%3Fsubmit-search%3Dweb-regular%26search%3D83024179", "Retail Link")</f>
        <v>Retail Link</v>
      </c>
      <c r="J1455" s="14" t="s">
        <v>1494</v>
      </c>
      <c r="K1455" s="13" t="s">
        <v>1495</v>
      </c>
      <c r="L1455" s="15">
        <v>8.9920000000000009</v>
      </c>
      <c r="M1455" s="15">
        <v>11.24</v>
      </c>
      <c r="N1455" s="15">
        <v>-4.9580000000000002</v>
      </c>
      <c r="O1455" s="15">
        <f>V1455-M1455</f>
        <v>5.83</v>
      </c>
      <c r="P1455" s="16">
        <f>N1455/L1455</f>
        <v>-0.55137900355871883</v>
      </c>
      <c r="Q1455" s="14">
        <v>5087380</v>
      </c>
      <c r="R1455" s="14"/>
      <c r="S1455" s="17">
        <v>0.98987438000000005</v>
      </c>
      <c r="T1455" s="15">
        <v>11.24</v>
      </c>
      <c r="U1455" s="15">
        <v>16.850000000000001</v>
      </c>
      <c r="V1455" s="15">
        <v>17.07</v>
      </c>
      <c r="W1455" s="14" t="s">
        <v>301</v>
      </c>
      <c r="X1455" s="14">
        <v>1</v>
      </c>
      <c r="Y1455" s="10">
        <f>AC1455-AB1455</f>
        <v>0</v>
      </c>
      <c r="Z1455" s="18">
        <v>0</v>
      </c>
      <c r="AA1455" s="18">
        <v>1</v>
      </c>
      <c r="AB1455" s="18"/>
      <c r="AC1455" s="18"/>
      <c r="AD1455" s="1" t="s">
        <v>1496</v>
      </c>
      <c r="AE1455" s="1" t="s">
        <v>76</v>
      </c>
      <c r="AF1455" s="4">
        <v>1.69</v>
      </c>
      <c r="AG1455" s="4">
        <v>5.52</v>
      </c>
    </row>
    <row r="1456" spans="1:33" ht="30" x14ac:dyDescent="0.25">
      <c r="A1456" s="10" t="s">
        <v>1497</v>
      </c>
      <c r="B1456" s="11" t="s">
        <v>33</v>
      </c>
      <c r="C1456" s="12" t="s">
        <v>1498</v>
      </c>
      <c r="D1456" s="27"/>
      <c r="E1456" s="14" t="s">
        <v>35</v>
      </c>
      <c r="F1456" s="11" t="str">
        <f>HYPERLINK("https://redirect.sdcdeals.com/redirect?destination=https%3A%2F%2Fwww.amazon.com%2Fdp%2FB0B9XF1GSD%3Fth%3D1%26psc%3D1%26tag%3Dsdcdeals03-20", "Amazon Link")</f>
        <v>Amazon Link</v>
      </c>
      <c r="G1456" s="11" t="s">
        <v>36</v>
      </c>
      <c r="H1456" s="14" t="s">
        <v>1499</v>
      </c>
      <c r="I1456" s="11" t="str">
        <f>HYPERLINK("https://redirect.sdcdeals.com/redirect?code=763034&amp;mavely=https://mavely.app.link/e/bhESV2wGrGb&amp;destination=https%3A%2F%2Fwww.kohls.com%2Fsearch.jsp%3Fsubmit-search%3Dweb-regular%26search%3D83024180", "Retail Link")</f>
        <v>Retail Link</v>
      </c>
      <c r="J1456" s="14" t="s">
        <v>1494</v>
      </c>
      <c r="K1456" s="13" t="s">
        <v>1500</v>
      </c>
      <c r="L1456" s="15">
        <v>8.9920000000000009</v>
      </c>
      <c r="M1456" s="15">
        <v>11.24</v>
      </c>
      <c r="N1456" s="15">
        <v>-4.9580000000000002</v>
      </c>
      <c r="O1456" s="15">
        <f>V1456-M1456</f>
        <v>5.8399999999999981</v>
      </c>
      <c r="P1456" s="16">
        <f>N1456/L1456</f>
        <v>-0.55137900355871883</v>
      </c>
      <c r="Q1456" s="14">
        <v>5087380</v>
      </c>
      <c r="R1456" s="14"/>
      <c r="S1456" s="17">
        <v>1.0802638</v>
      </c>
      <c r="T1456" s="15">
        <v>11.24</v>
      </c>
      <c r="U1456" s="15">
        <v>16.850000000000001</v>
      </c>
      <c r="V1456" s="15">
        <v>17.079999999999998</v>
      </c>
      <c r="W1456" s="14" t="s">
        <v>164</v>
      </c>
      <c r="X1456" s="14">
        <v>1</v>
      </c>
      <c r="Y1456" s="10">
        <f>AC1456-AB1456</f>
        <v>0</v>
      </c>
      <c r="Z1456" s="18">
        <v>0</v>
      </c>
      <c r="AA1456" s="18">
        <v>1</v>
      </c>
      <c r="AB1456" s="18"/>
      <c r="AC1456" s="18"/>
      <c r="AE1456" s="1" t="s">
        <v>76</v>
      </c>
      <c r="AF1456" s="4">
        <v>1.69</v>
      </c>
      <c r="AG1456" s="4">
        <v>5.52</v>
      </c>
    </row>
    <row r="1457" spans="1:33" ht="60" x14ac:dyDescent="0.25">
      <c r="A1457" s="10" t="s">
        <v>1911</v>
      </c>
      <c r="B1457" s="11" t="s">
        <v>33</v>
      </c>
      <c r="C1457" s="12" t="s">
        <v>1912</v>
      </c>
      <c r="D1457" s="27"/>
      <c r="E1457" s="14" t="s">
        <v>35</v>
      </c>
      <c r="F1457" s="11" t="str">
        <f>HYPERLINK("https://redirect.sdcdeals.com/redirect?destination=https%3A%2F%2Fwww.amazon.com%2Fdp%2FB01IE1OLXS%3Fth%3D1%26psc%3D1%26tag%3Dsdcdeals03-20", "Amazon Link")</f>
        <v>Amazon Link</v>
      </c>
      <c r="G1457" s="11" t="s">
        <v>36</v>
      </c>
      <c r="H1457" s="14" t="s">
        <v>1913</v>
      </c>
      <c r="I1457" s="11" t="str">
        <f>HYPERLINK("https://redirect.sdcdeals.com/redirect?code=763034&amp;mavely=https://mavely.app.link/e/bhESV2wGrGb&amp;destination=https%3A%2F%2Fwww.kohls.com%2Fsearch.jsp%3Fsubmit-search%3Dweb-regular%26search%3D46361251", "Retail Link")</f>
        <v>Retail Link</v>
      </c>
      <c r="J1457" s="14" t="s">
        <v>1897</v>
      </c>
      <c r="K1457" s="13" t="s">
        <v>1914</v>
      </c>
      <c r="L1457" s="15">
        <v>10.8</v>
      </c>
      <c r="M1457" s="15">
        <v>13.5</v>
      </c>
      <c r="N1457" s="15">
        <v>-5.995000000000001</v>
      </c>
      <c r="O1457" s="15">
        <f>V1457-M1457</f>
        <v>18.25</v>
      </c>
      <c r="P1457" s="16">
        <f>N1457/L1457</f>
        <v>-0.55509259259259269</v>
      </c>
      <c r="Q1457" s="14">
        <v>1165</v>
      </c>
      <c r="R1457" s="14">
        <v>300</v>
      </c>
      <c r="S1457" s="17">
        <v>1.0405806399999999</v>
      </c>
      <c r="T1457" s="15">
        <v>13.5</v>
      </c>
      <c r="U1457" s="15">
        <v>31.71</v>
      </c>
      <c r="V1457" s="15">
        <v>31.75</v>
      </c>
      <c r="W1457" s="14" t="s">
        <v>1915</v>
      </c>
      <c r="X1457" s="14">
        <v>2</v>
      </c>
      <c r="Y1457" s="10">
        <f>AC1457-AB1457</f>
        <v>17053</v>
      </c>
      <c r="Z1457" s="18">
        <v>49</v>
      </c>
      <c r="AA1457" s="18">
        <v>126</v>
      </c>
      <c r="AB1457" s="18">
        <v>855</v>
      </c>
      <c r="AC1457" s="18">
        <v>17908</v>
      </c>
      <c r="AD1457" s="1" t="s">
        <v>1900</v>
      </c>
      <c r="AE1457" s="1" t="s">
        <v>1901</v>
      </c>
      <c r="AF1457" s="4">
        <v>0.68</v>
      </c>
      <c r="AG1457" s="4">
        <v>6.67</v>
      </c>
    </row>
    <row r="1458" spans="1:33" ht="30" x14ac:dyDescent="0.25">
      <c r="A1458" s="10" t="s">
        <v>224</v>
      </c>
      <c r="B1458" s="11" t="s">
        <v>33</v>
      </c>
      <c r="C1458" s="12" t="s">
        <v>225</v>
      </c>
      <c r="D1458" s="27"/>
      <c r="E1458" s="14" t="s">
        <v>35</v>
      </c>
      <c r="F1458" s="11" t="str">
        <f>HYPERLINK("https://redirect.sdcdeals.com/redirect?destination=https%3A%2F%2Fwww.amazon.com%2Fdp%2FB0BBCDNJXT%3Fth%3D1%26psc%3D1%26tag%3Dsdcdeals03-20", "Amazon Link")</f>
        <v>Amazon Link</v>
      </c>
      <c r="G1458" s="11" t="s">
        <v>36</v>
      </c>
      <c r="H1458" s="14" t="s">
        <v>226</v>
      </c>
      <c r="I1458" s="11" t="str">
        <f>HYPERLINK("https://redirect.sdcdeals.com/redirect?code=763034&amp;mavely=https://mavely.app.link/e/bhESV2wGrGb&amp;destination=https%3A%2F%2Fwww.kohls.com%2Fsearch.jsp%3Fsubmit-search%3Dweb-regular%26search%3D77141449", "Retail Link")</f>
        <v>Retail Link</v>
      </c>
      <c r="J1458" s="14" t="s">
        <v>227</v>
      </c>
      <c r="K1458" s="13" t="s">
        <v>228</v>
      </c>
      <c r="L1458" s="15">
        <v>9.7920000000000016</v>
      </c>
      <c r="M1458" s="15">
        <v>12.24</v>
      </c>
      <c r="N1458" s="15">
        <v>-5.4380000000000006</v>
      </c>
      <c r="O1458" s="15">
        <f>V1458-M1458</f>
        <v>16.71</v>
      </c>
      <c r="P1458" s="16">
        <f>N1458/L1458</f>
        <v>-0.55535130718954251</v>
      </c>
      <c r="Q1458" s="14">
        <v>13898752</v>
      </c>
      <c r="R1458" s="14"/>
      <c r="S1458" s="17">
        <v>1.06042222</v>
      </c>
      <c r="T1458" s="15">
        <v>12.24</v>
      </c>
      <c r="U1458" s="15">
        <v>24.7</v>
      </c>
      <c r="V1458" s="15">
        <v>28.95</v>
      </c>
      <c r="W1458" s="14" t="s">
        <v>229</v>
      </c>
      <c r="X1458" s="14">
        <v>1</v>
      </c>
      <c r="Y1458" s="10">
        <f>AC1458-AB1458</f>
        <v>0</v>
      </c>
      <c r="Z1458" s="18">
        <v>0</v>
      </c>
      <c r="AA1458" s="18">
        <v>0</v>
      </c>
      <c r="AB1458" s="18"/>
      <c r="AC1458" s="18"/>
      <c r="AE1458" s="1" t="s">
        <v>76</v>
      </c>
      <c r="AF1458" s="4">
        <v>1.83</v>
      </c>
      <c r="AG1458" s="4">
        <v>6.05</v>
      </c>
    </row>
    <row r="1459" spans="1:33" ht="30" x14ac:dyDescent="0.25">
      <c r="A1459" s="10" t="s">
        <v>3582</v>
      </c>
      <c r="B1459" s="11" t="s">
        <v>33</v>
      </c>
      <c r="C1459" s="12" t="s">
        <v>3583</v>
      </c>
      <c r="D1459" s="27"/>
      <c r="E1459" s="14" t="s">
        <v>35</v>
      </c>
      <c r="F1459" s="11" t="str">
        <f>HYPERLINK("https://redirect.sdcdeals.com/redirect?destination=https%3A%2F%2Fwww.amazon.com%2Fdp%2FB01E8O4FI6%3Fth%3D1%26psc%3D1%26tag%3Dsdcdeals03-20", "Amazon Link")</f>
        <v>Amazon Link</v>
      </c>
      <c r="G1459" s="11" t="s">
        <v>36</v>
      </c>
      <c r="H1459" s="14" t="s">
        <v>3584</v>
      </c>
      <c r="I1459" s="11" t="str">
        <f>HYPERLINK("https://redirect.sdcdeals.com/redirect?code=763034&amp;mavely=https://mavely.app.link/e/bhESV2wGrGb&amp;destination=https%3A%2F%2Fwww.kohls.com%2Fsearch.jsp%3Fsubmit-search%3Dweb-regular%26search%3D79369772", "Retail Link")</f>
        <v>Retail Link</v>
      </c>
      <c r="J1459" s="14" t="s">
        <v>3555</v>
      </c>
      <c r="K1459" s="13" t="s">
        <v>3585</v>
      </c>
      <c r="L1459" s="15">
        <v>10.56</v>
      </c>
      <c r="M1459" s="15">
        <v>13.2</v>
      </c>
      <c r="N1459" s="15">
        <v>-5.9400000000000013</v>
      </c>
      <c r="O1459" s="15">
        <f>V1459-M1459</f>
        <v>23.81</v>
      </c>
      <c r="P1459" s="16">
        <f>N1459/L1459</f>
        <v>-0.56250000000000011</v>
      </c>
      <c r="Q1459" s="14">
        <v>1891609</v>
      </c>
      <c r="R1459" s="14"/>
      <c r="S1459" s="17">
        <v>0.74957079999999998</v>
      </c>
      <c r="T1459" s="15">
        <v>13.2</v>
      </c>
      <c r="U1459" s="15">
        <v>38.49</v>
      </c>
      <c r="V1459" s="15">
        <v>37.01</v>
      </c>
      <c r="W1459" s="14" t="s">
        <v>2879</v>
      </c>
      <c r="X1459" s="14">
        <v>2</v>
      </c>
      <c r="Y1459" s="10">
        <f>AC1459-AB1459</f>
        <v>91</v>
      </c>
      <c r="Z1459" s="18">
        <v>4</v>
      </c>
      <c r="AA1459" s="18">
        <v>8</v>
      </c>
      <c r="AB1459" s="18">
        <v>4</v>
      </c>
      <c r="AC1459" s="18">
        <v>95</v>
      </c>
      <c r="AD1459" s="1" t="s">
        <v>3557</v>
      </c>
      <c r="AE1459" s="1" t="s">
        <v>76</v>
      </c>
      <c r="AF1459" s="4">
        <v>2.2400000000000002</v>
      </c>
      <c r="AG1459" s="4">
        <v>6.6</v>
      </c>
    </row>
    <row r="1460" spans="1:33" ht="30" x14ac:dyDescent="0.25">
      <c r="A1460" s="10" t="s">
        <v>1531</v>
      </c>
      <c r="B1460" s="11" t="s">
        <v>33</v>
      </c>
      <c r="C1460" s="12" t="s">
        <v>1532</v>
      </c>
      <c r="D1460" s="27"/>
      <c r="E1460" s="14" t="s">
        <v>35</v>
      </c>
      <c r="F1460" s="11" t="str">
        <f>HYPERLINK("https://redirect.sdcdeals.com/redirect?destination=https%3A%2F%2Fwww.amazon.com%2Fdp%2FB07QSJSPH8%3Fth%3D1%26psc%3D1%26tag%3Dsdcdeals03-20", "Amazon Link")</f>
        <v>Amazon Link</v>
      </c>
      <c r="G1460" s="11" t="s">
        <v>36</v>
      </c>
      <c r="H1460" s="14" t="s">
        <v>1533</v>
      </c>
      <c r="I1460" s="11" t="str">
        <f>HYPERLINK("https://redirect.sdcdeals.com/redirect?code=763034&amp;mavely=https://mavely.app.link/e/bhESV2wGrGb&amp;destination=https%3A%2F%2Fwww.kohls.com%2Fsearch.jsp%3Fsubmit-search%3Dweb-regular%26search%3D72074340", "Retail Link")</f>
        <v>Retail Link</v>
      </c>
      <c r="J1460" s="14" t="s">
        <v>1534</v>
      </c>
      <c r="K1460" s="13" t="s">
        <v>1535</v>
      </c>
      <c r="L1460" s="15">
        <v>48</v>
      </c>
      <c r="M1460" s="15">
        <v>29</v>
      </c>
      <c r="N1460" s="15">
        <v>-27.03</v>
      </c>
      <c r="O1460" s="15">
        <f>V1460-M1460</f>
        <v>0</v>
      </c>
      <c r="P1460" s="16">
        <f>N1460/L1460</f>
        <v>-0.56312499999999999</v>
      </c>
      <c r="Q1460" s="14">
        <v>4764289</v>
      </c>
      <c r="R1460" s="14"/>
      <c r="S1460" s="17">
        <v>0.20062041999999999</v>
      </c>
      <c r="T1460" s="15"/>
      <c r="U1460" s="15">
        <v>29</v>
      </c>
      <c r="V1460" s="15">
        <v>29</v>
      </c>
      <c r="W1460" s="14" t="s">
        <v>1536</v>
      </c>
      <c r="X1460" s="14">
        <v>1</v>
      </c>
      <c r="Y1460" s="10">
        <f>AC1460-AB1460</f>
        <v>0</v>
      </c>
      <c r="Z1460" s="18">
        <v>0</v>
      </c>
      <c r="AA1460" s="18">
        <v>0</v>
      </c>
      <c r="AB1460" s="18">
        <v>21</v>
      </c>
      <c r="AC1460" s="18">
        <v>21</v>
      </c>
      <c r="AD1460" s="1" t="s">
        <v>1537</v>
      </c>
      <c r="AE1460" s="1" t="s">
        <v>145</v>
      </c>
      <c r="AG1460" s="4">
        <v>3.68</v>
      </c>
    </row>
    <row r="1461" spans="1:33" ht="30" x14ac:dyDescent="0.25">
      <c r="A1461" s="10" t="s">
        <v>2335</v>
      </c>
      <c r="B1461" s="11" t="s">
        <v>33</v>
      </c>
      <c r="C1461" s="12" t="s">
        <v>2336</v>
      </c>
      <c r="D1461" s="27"/>
      <c r="E1461" s="14" t="s">
        <v>35</v>
      </c>
      <c r="F1461" s="11" t="str">
        <f>HYPERLINK("https://redirect.sdcdeals.com/redirect?destination=https%3A%2F%2Fwww.amazon.com%2Fdp%2FB08FF5Q2JF%3Fth%3D1%26psc%3D1%26tag%3Dsdcdeals03-20", "Amazon Link")</f>
        <v>Amazon Link</v>
      </c>
      <c r="G1461" s="11" t="s">
        <v>36</v>
      </c>
      <c r="H1461" s="14" t="s">
        <v>2337</v>
      </c>
      <c r="I1461" s="11" t="str">
        <f>HYPERLINK("https://redirect.sdcdeals.com/redirect?code=763034&amp;mavely=https://mavely.app.link/e/bhESV2wGrGb&amp;destination=https%3A%2F%2Fwww.kohls.com%2Fsearch.jsp%3Fsubmit-search%3Dweb-regular%26search%3D76190317", "Retail Link")</f>
        <v>Retail Link</v>
      </c>
      <c r="J1461" s="14" t="s">
        <v>2326</v>
      </c>
      <c r="K1461" s="13" t="s">
        <v>2338</v>
      </c>
      <c r="L1461" s="15">
        <v>10.8</v>
      </c>
      <c r="M1461" s="15">
        <v>13.5</v>
      </c>
      <c r="N1461" s="15">
        <v>-6.1350000000000007</v>
      </c>
      <c r="O1461" s="15">
        <f>V1461-M1461</f>
        <v>16.43</v>
      </c>
      <c r="P1461" s="16">
        <f>N1461/L1461</f>
        <v>-0.56805555555555554</v>
      </c>
      <c r="Q1461" s="14">
        <v>12581</v>
      </c>
      <c r="R1461" s="14"/>
      <c r="S1461" s="17">
        <v>0.61949821999999999</v>
      </c>
      <c r="T1461" s="15">
        <v>13.5</v>
      </c>
      <c r="U1461" s="15">
        <v>27.94</v>
      </c>
      <c r="V1461" s="15">
        <v>29.93</v>
      </c>
      <c r="W1461" s="14" t="s">
        <v>1852</v>
      </c>
      <c r="X1461" s="14">
        <v>3</v>
      </c>
      <c r="Y1461" s="10">
        <f>AC1461-AB1461</f>
        <v>1268</v>
      </c>
      <c r="Z1461" s="18">
        <v>22</v>
      </c>
      <c r="AA1461" s="18">
        <v>47</v>
      </c>
      <c r="AB1461" s="18">
        <v>11</v>
      </c>
      <c r="AC1461" s="18">
        <v>1279</v>
      </c>
      <c r="AD1461" s="1" t="s">
        <v>2328</v>
      </c>
      <c r="AE1461" s="1" t="s">
        <v>76</v>
      </c>
      <c r="AF1461" s="4">
        <v>2.2999999999999998</v>
      </c>
      <c r="AG1461" s="4">
        <v>6.81</v>
      </c>
    </row>
    <row r="1462" spans="1:33" ht="30" x14ac:dyDescent="0.25">
      <c r="A1462" s="10" t="s">
        <v>2343</v>
      </c>
      <c r="B1462" s="11" t="s">
        <v>33</v>
      </c>
      <c r="C1462" s="12" t="s">
        <v>2344</v>
      </c>
      <c r="D1462" s="27"/>
      <c r="E1462" s="14" t="s">
        <v>35</v>
      </c>
      <c r="F1462" s="11" t="str">
        <f>HYPERLINK("https://redirect.sdcdeals.com/redirect?destination=https%3A%2F%2Fwww.amazon.com%2Fdp%2FB08FF2SXQD%3Fth%3D1%26psc%3D1%26tag%3Dsdcdeals03-20", "Amazon Link")</f>
        <v>Amazon Link</v>
      </c>
      <c r="G1462" s="11" t="s">
        <v>36</v>
      </c>
      <c r="H1462" s="14" t="s">
        <v>2345</v>
      </c>
      <c r="I1462" s="11" t="str">
        <f>HYPERLINK("https://redirect.sdcdeals.com/redirect?code=763034&amp;mavely=https://mavely.app.link/e/bhESV2wGrGb&amp;destination=https%3A%2F%2Fwww.kohls.com%2Fsearch.jsp%3Fsubmit-search%3Dweb-regular%26search%3D76190325", "Retail Link")</f>
        <v>Retail Link</v>
      </c>
      <c r="J1462" s="14" t="s">
        <v>2326</v>
      </c>
      <c r="K1462" s="13" t="s">
        <v>2346</v>
      </c>
      <c r="L1462" s="15">
        <v>10.8</v>
      </c>
      <c r="M1462" s="15">
        <v>13.5</v>
      </c>
      <c r="N1462" s="15">
        <v>-6.1350000000000007</v>
      </c>
      <c r="O1462" s="15">
        <f>V1462-M1462</f>
        <v>21.36</v>
      </c>
      <c r="P1462" s="16">
        <f>N1462/L1462</f>
        <v>-0.56805555555555554</v>
      </c>
      <c r="Q1462" s="14">
        <v>12581</v>
      </c>
      <c r="R1462" s="14"/>
      <c r="S1462" s="17">
        <v>0.65918138000000004</v>
      </c>
      <c r="T1462" s="15">
        <v>13.5</v>
      </c>
      <c r="U1462" s="15">
        <v>37.46</v>
      </c>
      <c r="V1462" s="15">
        <v>34.86</v>
      </c>
      <c r="W1462" s="14" t="s">
        <v>2347</v>
      </c>
      <c r="X1462" s="14">
        <v>3</v>
      </c>
      <c r="Y1462" s="10">
        <f>AC1462-AB1462</f>
        <v>1266</v>
      </c>
      <c r="Z1462" s="18">
        <v>46</v>
      </c>
      <c r="AA1462" s="18">
        <v>110</v>
      </c>
      <c r="AB1462" s="18">
        <v>13</v>
      </c>
      <c r="AC1462" s="18">
        <v>1279</v>
      </c>
      <c r="AD1462" s="1" t="s">
        <v>2328</v>
      </c>
      <c r="AE1462" s="1" t="s">
        <v>76</v>
      </c>
      <c r="AF1462" s="4">
        <v>2.2999999999999998</v>
      </c>
      <c r="AG1462" s="4">
        <v>6.81</v>
      </c>
    </row>
    <row r="1463" spans="1:33" ht="30" x14ac:dyDescent="0.25">
      <c r="A1463" s="10" t="s">
        <v>230</v>
      </c>
      <c r="B1463" s="11" t="s">
        <v>33</v>
      </c>
      <c r="C1463" s="12" t="s">
        <v>231</v>
      </c>
      <c r="D1463" s="27"/>
      <c r="E1463" s="14" t="s">
        <v>35</v>
      </c>
      <c r="F1463" s="11" t="str">
        <f>HYPERLINK("https://redirect.sdcdeals.com/redirect?destination=https%3A%2F%2Fwww.amazon.com%2Fdp%2FB0BBCC9XH4%3Fth%3D1%26psc%3D1%26tag%3Dsdcdeals03-20", "Amazon Link")</f>
        <v>Amazon Link</v>
      </c>
      <c r="G1463" s="11" t="s">
        <v>36</v>
      </c>
      <c r="H1463" s="14" t="s">
        <v>232</v>
      </c>
      <c r="I1463" s="11" t="str">
        <f>HYPERLINK("https://redirect.sdcdeals.com/redirect?code=763034&amp;mavely=https://mavely.app.link/e/bhESV2wGrGb&amp;destination=https%3A%2F%2Fwww.kohls.com%2Fsearch.jsp%3Fsubmit-search%3Dweb-regular%26search%3D80663933", "Retail Link")</f>
        <v>Retail Link</v>
      </c>
      <c r="J1463" s="14" t="s">
        <v>227</v>
      </c>
      <c r="K1463" s="13" t="s">
        <v>233</v>
      </c>
      <c r="L1463" s="15">
        <v>9.7920000000000016</v>
      </c>
      <c r="M1463" s="15">
        <v>12.24</v>
      </c>
      <c r="N1463" s="15">
        <v>-5.5980000000000016</v>
      </c>
      <c r="O1463" s="15">
        <f>V1463-M1463</f>
        <v>15.270000000000001</v>
      </c>
      <c r="P1463" s="16">
        <f>N1463/L1463</f>
        <v>-0.57169117647058831</v>
      </c>
      <c r="Q1463" s="14">
        <v>13897714</v>
      </c>
      <c r="R1463" s="14"/>
      <c r="S1463" s="17">
        <v>1.0802638</v>
      </c>
      <c r="T1463" s="15">
        <v>12.24</v>
      </c>
      <c r="U1463" s="15">
        <v>22.4</v>
      </c>
      <c r="V1463" s="15">
        <v>27.51</v>
      </c>
      <c r="W1463" s="14" t="s">
        <v>234</v>
      </c>
      <c r="X1463" s="14">
        <v>1</v>
      </c>
      <c r="Y1463" s="10">
        <f>AC1463-AB1463</f>
        <v>0</v>
      </c>
      <c r="Z1463" s="18">
        <v>0</v>
      </c>
      <c r="AA1463" s="18">
        <v>0</v>
      </c>
      <c r="AB1463" s="18"/>
      <c r="AC1463" s="18"/>
      <c r="AE1463" s="1" t="s">
        <v>235</v>
      </c>
      <c r="AF1463" s="4">
        <v>1.84</v>
      </c>
      <c r="AG1463" s="4">
        <v>6.21</v>
      </c>
    </row>
    <row r="1464" spans="1:33" ht="30" x14ac:dyDescent="0.25">
      <c r="A1464" s="10" t="s">
        <v>241</v>
      </c>
      <c r="B1464" s="11" t="s">
        <v>33</v>
      </c>
      <c r="C1464" s="12" t="s">
        <v>242</v>
      </c>
      <c r="D1464" s="27"/>
      <c r="E1464" s="14" t="s">
        <v>35</v>
      </c>
      <c r="F1464" s="11" t="str">
        <f>HYPERLINK("https://redirect.sdcdeals.com/redirect?destination=https%3A%2F%2Fwww.amazon.com%2Fdp%2FB0BD1VRY2C%3Fth%3D1%26psc%3D1%26tag%3Dsdcdeals03-20", "Amazon Link")</f>
        <v>Amazon Link</v>
      </c>
      <c r="G1464" s="11" t="s">
        <v>36</v>
      </c>
      <c r="H1464" s="14" t="s">
        <v>243</v>
      </c>
      <c r="I1464" s="11" t="str">
        <f>HYPERLINK("https://redirect.sdcdeals.com/redirect?code=763034&amp;mavely=https://mavely.app.link/e/bhESV2wGrGb&amp;destination=https%3A%2F%2Fwww.kohls.com%2Fsearch.jsp%3Fsubmit-search%3Dweb-regular%26search%3D80663934", "Retail Link")</f>
        <v>Retail Link</v>
      </c>
      <c r="J1464" s="14" t="s">
        <v>227</v>
      </c>
      <c r="K1464" s="13" t="s">
        <v>244</v>
      </c>
      <c r="L1464" s="15">
        <v>9.7920000000000016</v>
      </c>
      <c r="M1464" s="15">
        <v>12.24</v>
      </c>
      <c r="N1464" s="15">
        <v>-5.5980000000000016</v>
      </c>
      <c r="O1464" s="15">
        <f>V1464-M1464</f>
        <v>16.299999999999997</v>
      </c>
      <c r="P1464" s="16">
        <f>N1464/L1464</f>
        <v>-0.57169117647058831</v>
      </c>
      <c r="Q1464" s="14">
        <v>13897714</v>
      </c>
      <c r="R1464" s="14"/>
      <c r="S1464" s="17">
        <v>1.1706532199999999</v>
      </c>
      <c r="T1464" s="15">
        <v>12.24</v>
      </c>
      <c r="U1464" s="15">
        <v>23.62</v>
      </c>
      <c r="V1464" s="15">
        <v>28.54</v>
      </c>
      <c r="W1464" s="14" t="s">
        <v>245</v>
      </c>
      <c r="X1464" s="14">
        <v>1</v>
      </c>
      <c r="Y1464" s="10">
        <f>AC1464-AB1464</f>
        <v>0</v>
      </c>
      <c r="Z1464" s="18">
        <v>0</v>
      </c>
      <c r="AA1464" s="18">
        <v>0</v>
      </c>
      <c r="AB1464" s="18"/>
      <c r="AC1464" s="18"/>
      <c r="AE1464" s="1" t="s">
        <v>235</v>
      </c>
      <c r="AF1464" s="4">
        <v>1.84</v>
      </c>
      <c r="AG1464" s="4">
        <v>6.21</v>
      </c>
    </row>
    <row r="1465" spans="1:33" ht="30" x14ac:dyDescent="0.25">
      <c r="A1465" s="10" t="s">
        <v>246</v>
      </c>
      <c r="B1465" s="11" t="s">
        <v>33</v>
      </c>
      <c r="C1465" s="12" t="s">
        <v>247</v>
      </c>
      <c r="D1465" s="27"/>
      <c r="E1465" s="14" t="s">
        <v>35</v>
      </c>
      <c r="F1465" s="11" t="str">
        <f>HYPERLINK("https://redirect.sdcdeals.com/redirect?destination=https%3A%2F%2Fwww.amazon.com%2Fdp%2FB0BD1VMCXP%3Fth%3D1%26psc%3D1%26tag%3Dsdcdeals03-20", "Amazon Link")</f>
        <v>Amazon Link</v>
      </c>
      <c r="G1465" s="11" t="s">
        <v>36</v>
      </c>
      <c r="H1465" s="14" t="s">
        <v>248</v>
      </c>
      <c r="I1465" s="11" t="str">
        <f>HYPERLINK("https://redirect.sdcdeals.com/redirect?code=763034&amp;mavely=https://mavely.app.link/e/bhESV2wGrGb&amp;destination=https%3A%2F%2Fwww.kohls.com%2Fsearch.jsp%3Fsubmit-search%3Dweb-regular%26search%3D80663935", "Retail Link")</f>
        <v>Retail Link</v>
      </c>
      <c r="J1465" s="14" t="s">
        <v>227</v>
      </c>
      <c r="K1465" s="13" t="s">
        <v>249</v>
      </c>
      <c r="L1465" s="15">
        <v>9.7920000000000016</v>
      </c>
      <c r="M1465" s="15">
        <v>12.24</v>
      </c>
      <c r="N1465" s="15">
        <v>-5.5980000000000016</v>
      </c>
      <c r="O1465" s="15">
        <f>V1465-M1465</f>
        <v>15.26</v>
      </c>
      <c r="P1465" s="16">
        <f>N1465/L1465</f>
        <v>-0.57169117647058831</v>
      </c>
      <c r="Q1465" s="14">
        <v>13897903</v>
      </c>
      <c r="R1465" s="14"/>
      <c r="S1465" s="17">
        <v>1.2808842199999999</v>
      </c>
      <c r="T1465" s="15">
        <v>12.24</v>
      </c>
      <c r="U1465" s="15">
        <v>22.41</v>
      </c>
      <c r="V1465" s="15">
        <v>27.5</v>
      </c>
      <c r="W1465" s="14" t="s">
        <v>250</v>
      </c>
      <c r="X1465" s="14">
        <v>1</v>
      </c>
      <c r="Y1465" s="10">
        <f>AC1465-AB1465</f>
        <v>0</v>
      </c>
      <c r="Z1465" s="18">
        <v>0</v>
      </c>
      <c r="AA1465" s="18">
        <v>0</v>
      </c>
      <c r="AB1465" s="18"/>
      <c r="AC1465" s="18"/>
      <c r="AE1465" s="1" t="s">
        <v>235</v>
      </c>
      <c r="AF1465" s="4">
        <v>1.84</v>
      </c>
      <c r="AG1465" s="4">
        <v>6.21</v>
      </c>
    </row>
    <row r="1466" spans="1:33" ht="30" x14ac:dyDescent="0.25">
      <c r="A1466" s="10" t="s">
        <v>251</v>
      </c>
      <c r="B1466" s="11" t="s">
        <v>33</v>
      </c>
      <c r="C1466" s="12" t="s">
        <v>252</v>
      </c>
      <c r="D1466" s="27"/>
      <c r="E1466" s="14" t="s">
        <v>35</v>
      </c>
      <c r="F1466" s="11" t="str">
        <f>HYPERLINK("https://redirect.sdcdeals.com/redirect?destination=https%3A%2F%2Fwww.amazon.com%2Fdp%2FB0BD1SZK99%3Fth%3D1%26psc%3D1%26tag%3Dsdcdeals03-20", "Amazon Link")</f>
        <v>Amazon Link</v>
      </c>
      <c r="G1466" s="11" t="s">
        <v>36</v>
      </c>
      <c r="H1466" s="14" t="s">
        <v>253</v>
      </c>
      <c r="I1466" s="11" t="str">
        <f>HYPERLINK("https://redirect.sdcdeals.com/redirect?code=763034&amp;mavely=https://mavely.app.link/e/bhESV2wGrGb&amp;destination=https%3A%2F%2Fwww.kohls.com%2Fsearch.jsp%3Fsubmit-search%3Dweb-regular%26search%3D77141451", "Retail Link")</f>
        <v>Retail Link</v>
      </c>
      <c r="J1466" s="14" t="s">
        <v>227</v>
      </c>
      <c r="K1466" s="13" t="s">
        <v>254</v>
      </c>
      <c r="L1466" s="15">
        <v>9.7920000000000016</v>
      </c>
      <c r="M1466" s="15">
        <v>12.24</v>
      </c>
      <c r="N1466" s="15">
        <v>-5.5980000000000016</v>
      </c>
      <c r="O1466" s="15">
        <f>V1466-M1466</f>
        <v>17.659999999999997</v>
      </c>
      <c r="P1466" s="16">
        <f>N1466/L1466</f>
        <v>-0.57169117647058831</v>
      </c>
      <c r="Q1466" s="14">
        <v>13898752</v>
      </c>
      <c r="R1466" s="14"/>
      <c r="S1466" s="17">
        <v>1.1706532199999999</v>
      </c>
      <c r="T1466" s="15">
        <v>12.24</v>
      </c>
      <c r="U1466" s="15">
        <v>23.88</v>
      </c>
      <c r="V1466" s="15">
        <v>29.9</v>
      </c>
      <c r="W1466" s="14" t="s">
        <v>255</v>
      </c>
      <c r="X1466" s="14">
        <v>1</v>
      </c>
      <c r="Y1466" s="10">
        <f>AC1466-AB1466</f>
        <v>0</v>
      </c>
      <c r="Z1466" s="18">
        <v>0</v>
      </c>
      <c r="AA1466" s="18">
        <v>0</v>
      </c>
      <c r="AB1466" s="18"/>
      <c r="AC1466" s="18"/>
      <c r="AE1466" s="1" t="s">
        <v>76</v>
      </c>
      <c r="AF1466" s="4">
        <v>1.83</v>
      </c>
      <c r="AG1466" s="4">
        <v>6.21</v>
      </c>
    </row>
    <row r="1467" spans="1:33" ht="30" x14ac:dyDescent="0.25">
      <c r="A1467" s="10" t="s">
        <v>2440</v>
      </c>
      <c r="B1467" s="11" t="s">
        <v>33</v>
      </c>
      <c r="C1467" s="12" t="s">
        <v>2446</v>
      </c>
      <c r="D1467" s="27"/>
      <c r="E1467" s="14" t="s">
        <v>35</v>
      </c>
      <c r="F1467" s="11" t="str">
        <f>HYPERLINK("https://redirect.sdcdeals.com/redirect?destination=https%3A%2F%2Fwww.amazon.com%2Fdp%2FB0BV2W176N%3Fth%3D1%26psc%3D1%26tag%3Dsdcdeals03-20", "Amazon Link")</f>
        <v>Amazon Link</v>
      </c>
      <c r="G1467" s="11" t="s">
        <v>36</v>
      </c>
      <c r="H1467" s="14" t="s">
        <v>2442</v>
      </c>
      <c r="I1467" s="11" t="str">
        <f>HYPERLINK("https://redirect.sdcdeals.com/redirect?code=763034&amp;mavely=https://mavely.app.link/e/bhESV2wGrGb&amp;destination=https%3A%2F%2Fwww.kohls.com%2Fsearch.jsp%3Fsubmit-search%3Dweb-regular%26search%3D71884969", "Retail Link")</f>
        <v>Retail Link</v>
      </c>
      <c r="J1467" s="14" t="s">
        <v>2427</v>
      </c>
      <c r="K1467" s="13" t="s">
        <v>2447</v>
      </c>
      <c r="L1467" s="15">
        <v>33.6</v>
      </c>
      <c r="M1467" s="15">
        <v>23.74</v>
      </c>
      <c r="N1467" s="15">
        <v>-19.321000000000009</v>
      </c>
      <c r="O1467" s="15">
        <f>V1467-M1467</f>
        <v>0</v>
      </c>
      <c r="P1467" s="16">
        <f>N1467/L1467</f>
        <v>-0.57502976190476218</v>
      </c>
      <c r="Q1467" s="14">
        <v>197779</v>
      </c>
      <c r="R1467" s="14"/>
      <c r="S1467" s="17">
        <v>3.9683160000000002E-2</v>
      </c>
      <c r="T1467" s="15"/>
      <c r="U1467" s="15"/>
      <c r="V1467" s="15">
        <v>23.74</v>
      </c>
      <c r="W1467" s="14" t="s">
        <v>2444</v>
      </c>
      <c r="X1467" s="14">
        <v>1</v>
      </c>
      <c r="Y1467" s="10">
        <f>AC1467-AB1467</f>
        <v>0</v>
      </c>
      <c r="Z1467" s="18">
        <v>4</v>
      </c>
      <c r="AA1467" s="18">
        <v>15</v>
      </c>
      <c r="AB1467" s="18">
        <v>0</v>
      </c>
      <c r="AC1467" s="18"/>
      <c r="AD1467" s="1" t="s">
        <v>2429</v>
      </c>
      <c r="AE1467" s="1" t="s">
        <v>2430</v>
      </c>
      <c r="AG1467" s="4">
        <v>5.9</v>
      </c>
    </row>
    <row r="1468" spans="1:33" ht="30" x14ac:dyDescent="0.25">
      <c r="A1468" s="10" t="s">
        <v>2476</v>
      </c>
      <c r="B1468" s="11" t="s">
        <v>33</v>
      </c>
      <c r="C1468" s="12" t="s">
        <v>2477</v>
      </c>
      <c r="D1468" s="27"/>
      <c r="E1468" s="14" t="s">
        <v>35</v>
      </c>
      <c r="F1468" s="11" t="str">
        <f>HYPERLINK("https://redirect.sdcdeals.com/redirect?destination=https%3A%2F%2Fwww.amazon.com%2Fdp%2FB0BV2XH25Y%3Fth%3D1%26psc%3D1%26tag%3Dsdcdeals03-20", "Amazon Link")</f>
        <v>Amazon Link</v>
      </c>
      <c r="G1468" s="11" t="s">
        <v>36</v>
      </c>
      <c r="H1468" s="14" t="s">
        <v>2478</v>
      </c>
      <c r="I1468" s="11" t="str">
        <f>HYPERLINK("https://redirect.sdcdeals.com/redirect?code=763034&amp;mavely=https://mavely.app.link/e/bhESV2wGrGb&amp;destination=https%3A%2F%2Fwww.kohls.com%2Fsearch.jsp%3Fsubmit-search%3Dweb-regular%26search%3D67089100", "Retail Link")</f>
        <v>Retail Link</v>
      </c>
      <c r="J1468" s="14" t="s">
        <v>2427</v>
      </c>
      <c r="K1468" s="13" t="s">
        <v>2479</v>
      </c>
      <c r="L1468" s="15">
        <v>33.6</v>
      </c>
      <c r="M1468" s="15">
        <v>22.8</v>
      </c>
      <c r="N1468" s="15">
        <v>-19.34</v>
      </c>
      <c r="O1468" s="15">
        <f>V1468-M1468</f>
        <v>0</v>
      </c>
      <c r="P1468" s="16">
        <f>N1468/L1468</f>
        <v>-0.57559523809523805</v>
      </c>
      <c r="Q1468" s="14">
        <v>197779</v>
      </c>
      <c r="R1468" s="14"/>
      <c r="S1468" s="17">
        <v>0.95019122</v>
      </c>
      <c r="T1468" s="15"/>
      <c r="U1468" s="15"/>
      <c r="V1468" s="15">
        <v>22.8</v>
      </c>
      <c r="W1468" s="14" t="s">
        <v>2480</v>
      </c>
      <c r="X1468" s="14">
        <v>1</v>
      </c>
      <c r="Y1468" s="10">
        <f>AC1468-AB1468</f>
        <v>2</v>
      </c>
      <c r="Z1468" s="18">
        <v>8</v>
      </c>
      <c r="AA1468" s="18">
        <v>16</v>
      </c>
      <c r="AB1468" s="18">
        <v>0</v>
      </c>
      <c r="AC1468" s="18">
        <v>2</v>
      </c>
      <c r="AD1468" s="1" t="s">
        <v>2435</v>
      </c>
      <c r="AE1468" s="1" t="s">
        <v>2436</v>
      </c>
      <c r="AG1468" s="4">
        <v>5.12</v>
      </c>
    </row>
    <row r="1469" spans="1:33" ht="30" hidden="1" x14ac:dyDescent="0.25">
      <c r="A1469" s="10" t="s">
        <v>5171</v>
      </c>
      <c r="B1469" s="11" t="s">
        <v>33</v>
      </c>
      <c r="C1469" s="12" t="s">
        <v>5172</v>
      </c>
      <c r="D1469" s="27"/>
      <c r="E1469" s="14" t="s">
        <v>35</v>
      </c>
      <c r="F1469" s="11" t="str">
        <f>HYPERLINK("https://redirect.sdcdeals.com/redirect?destination=https%3A%2F%2Fwww.amazon.com%2Fdp%2FB0CL5KT3QR%3Fth%3D1%26psc%3D1%26tag%3Dsdcdeals03-20", "Amazon Link")</f>
        <v>Amazon Link</v>
      </c>
      <c r="G1469" s="11" t="s">
        <v>36</v>
      </c>
      <c r="H1469" s="14" t="s">
        <v>5173</v>
      </c>
      <c r="I1469" s="11" t="str">
        <f>HYPERLINK("https://redirect.sdcdeals.com/redirect?code=763034&amp;mavely=https://mavely.app.link/e/bhESV2wGrGb&amp;destination=https%3A%2F%2Fwww.kohls.com%2Fsearch.jsp%3Fsubmit-search%3Dweb-regular%26search%3D18796724", "Retail Link")</f>
        <v>Retail Link</v>
      </c>
      <c r="J1469" s="14" t="s">
        <v>5168</v>
      </c>
      <c r="K1469" s="13" t="s">
        <v>5174</v>
      </c>
      <c r="L1469" s="15">
        <v>6.8000000000000007</v>
      </c>
      <c r="M1469" s="15">
        <v>9.33</v>
      </c>
      <c r="N1469" s="15">
        <v>-3.9195000000000011</v>
      </c>
      <c r="O1469" s="15">
        <f>V1469-M1469</f>
        <v>7.2099999999999991</v>
      </c>
      <c r="P1469" s="16">
        <f>N1469/L1469</f>
        <v>-0.57639705882352954</v>
      </c>
      <c r="Q1469" s="14"/>
      <c r="R1469" s="14"/>
      <c r="S1469" s="17">
        <v>0.48942564</v>
      </c>
      <c r="T1469" s="15">
        <v>9.32</v>
      </c>
      <c r="U1469" s="15">
        <v>10.199999999999999</v>
      </c>
      <c r="V1469" s="15">
        <v>16.54</v>
      </c>
      <c r="W1469" s="14" t="s">
        <v>3399</v>
      </c>
      <c r="X1469" s="14">
        <v>18</v>
      </c>
      <c r="Y1469" s="10">
        <f>AC1469-AB1469</f>
        <v>0</v>
      </c>
      <c r="Z1469" s="18">
        <v>0</v>
      </c>
      <c r="AA1469" s="18">
        <v>74</v>
      </c>
      <c r="AB1469" s="18">
        <v>0</v>
      </c>
      <c r="AC1469" s="18"/>
      <c r="AD1469" s="1" t="s">
        <v>1452</v>
      </c>
      <c r="AE1469" s="1" t="s">
        <v>805</v>
      </c>
      <c r="AF1469" s="4">
        <v>0.47</v>
      </c>
      <c r="AG1469" s="4">
        <v>5.05</v>
      </c>
    </row>
    <row r="1470" spans="1:33" hidden="1" x14ac:dyDescent="0.25">
      <c r="A1470" s="10" t="s">
        <v>3718</v>
      </c>
      <c r="B1470" s="11" t="s">
        <v>33</v>
      </c>
      <c r="C1470" s="12" t="s">
        <v>3719</v>
      </c>
      <c r="D1470" s="27"/>
      <c r="E1470" s="14" t="s">
        <v>35</v>
      </c>
      <c r="F1470" s="11" t="str">
        <f>HYPERLINK("https://redirect.sdcdeals.com/redirect?destination=https%3A%2F%2Fwww.amazon.com%2Fdp%2FB001OQVUVM%3Fth%3D1%26psc%3D1%26tag%3Dsdcdeals03-20", "Amazon Link")</f>
        <v>Amazon Link</v>
      </c>
      <c r="G1470" s="11" t="s">
        <v>36</v>
      </c>
      <c r="H1470" s="14" t="s">
        <v>3720</v>
      </c>
      <c r="I1470" s="11" t="str">
        <f>HYPERLINK("https://redirect.sdcdeals.com/redirect?code=763034&amp;mavely=https://mavely.app.link/e/bhESV2wGrGb&amp;destination=https%3A%2F%2Fwww.kohls.com%2Fsearch.jsp%3Fsubmit-search%3Dweb-regular%26search%3D76792730", "Retail Link")</f>
        <v>Retail Link</v>
      </c>
      <c r="J1470" s="14" t="s">
        <v>3701</v>
      </c>
      <c r="K1470" s="13" t="s">
        <v>3721</v>
      </c>
      <c r="L1470" s="15">
        <v>12</v>
      </c>
      <c r="M1470" s="15">
        <v>8.94</v>
      </c>
      <c r="N1470" s="15">
        <v>-6.9410000000000007</v>
      </c>
      <c r="O1470" s="15">
        <f>V1470-M1470</f>
        <v>0.72000000000000064</v>
      </c>
      <c r="P1470" s="16">
        <f>N1470/L1470</f>
        <v>-0.57841666666666669</v>
      </c>
      <c r="Q1470" s="14"/>
      <c r="R1470" s="14"/>
      <c r="S1470" s="17">
        <v>0.13007257999999999</v>
      </c>
      <c r="T1470" s="15">
        <v>5.88</v>
      </c>
      <c r="U1470" s="15">
        <v>9.41</v>
      </c>
      <c r="V1470" s="15">
        <v>9.66</v>
      </c>
      <c r="W1470" s="14" t="s">
        <v>1236</v>
      </c>
      <c r="X1470" s="14">
        <v>4</v>
      </c>
      <c r="Y1470" s="10">
        <f>AC1470-AB1470</f>
        <v>0</v>
      </c>
      <c r="Z1470" s="18">
        <v>0</v>
      </c>
      <c r="AA1470" s="18">
        <v>0</v>
      </c>
      <c r="AB1470" s="18"/>
      <c r="AC1470" s="18"/>
      <c r="AF1470" s="4">
        <v>1.07</v>
      </c>
      <c r="AG1470" s="4">
        <v>2.54</v>
      </c>
    </row>
    <row r="1471" spans="1:33" ht="30" x14ac:dyDescent="0.25">
      <c r="A1471" s="10" t="s">
        <v>6056</v>
      </c>
      <c r="B1471" s="11" t="s">
        <v>33</v>
      </c>
      <c r="C1471" s="12" t="s">
        <v>6057</v>
      </c>
      <c r="D1471" s="27"/>
      <c r="E1471" s="14" t="s">
        <v>35</v>
      </c>
      <c r="F1471" s="11" t="str">
        <f>HYPERLINK("https://redirect.sdcdeals.com/redirect?destination=https%3A%2F%2Fwww.amazon.com%2Fdp%2FB0BN6RSPP6%3Fth%3D1%26psc%3D1%26tag%3Dsdcdeals03-20", "Amazon Link")</f>
        <v>Amazon Link</v>
      </c>
      <c r="G1471" s="11" t="s">
        <v>36</v>
      </c>
      <c r="H1471" s="14" t="s">
        <v>6058</v>
      </c>
      <c r="I1471" s="11" t="str">
        <f>HYPERLINK("https://redirect.sdcdeals.com/redirect?code=763034&amp;mavely=https://mavely.app.link/e/bhESV2wGrGb&amp;destination=https%3A%2F%2Fwww.kohls.com%2Fsearch.jsp%3Fsubmit-search%3Dweb-regular%26search%3D81852199", "Retail Link")</f>
        <v>Retail Link</v>
      </c>
      <c r="J1471" s="14" t="s">
        <v>6040</v>
      </c>
      <c r="K1471" s="13" t="s">
        <v>6059</v>
      </c>
      <c r="L1471" s="15">
        <v>9.2000000000000011</v>
      </c>
      <c r="M1471" s="15">
        <v>11.5</v>
      </c>
      <c r="N1471" s="15">
        <v>-5.3250000000000011</v>
      </c>
      <c r="O1471" s="15">
        <f>V1471-M1471</f>
        <v>8.5599999999999987</v>
      </c>
      <c r="P1471" s="16">
        <f>N1471/L1471</f>
        <v>-0.57880434782608703</v>
      </c>
      <c r="Q1471" s="14">
        <v>220156</v>
      </c>
      <c r="R1471" s="14"/>
      <c r="S1471" s="17">
        <v>0.40785470000000001</v>
      </c>
      <c r="T1471" s="15">
        <v>11.5</v>
      </c>
      <c r="U1471" s="15">
        <v>20.65</v>
      </c>
      <c r="V1471" s="15">
        <v>20.059999999999999</v>
      </c>
      <c r="W1471" s="14" t="s">
        <v>582</v>
      </c>
      <c r="X1471" s="14">
        <v>1</v>
      </c>
      <c r="Y1471" s="10">
        <f>AC1471-AB1471</f>
        <v>39</v>
      </c>
      <c r="Z1471" s="18">
        <v>19</v>
      </c>
      <c r="AA1471" s="18">
        <v>46</v>
      </c>
      <c r="AB1471" s="18">
        <v>0</v>
      </c>
      <c r="AC1471" s="18">
        <v>39</v>
      </c>
      <c r="AD1471" s="1" t="s">
        <v>6060</v>
      </c>
      <c r="AE1471" s="1" t="s">
        <v>6061</v>
      </c>
      <c r="AF1471" s="4">
        <v>0.57999999999999996</v>
      </c>
      <c r="AG1471" s="4">
        <v>5.9</v>
      </c>
    </row>
    <row r="1472" spans="1:33" ht="30" x14ac:dyDescent="0.25">
      <c r="A1472" s="10" t="s">
        <v>3036</v>
      </c>
      <c r="B1472" s="11" t="s">
        <v>33</v>
      </c>
      <c r="C1472" s="12" t="s">
        <v>3037</v>
      </c>
      <c r="D1472" s="27"/>
      <c r="E1472" s="14" t="s">
        <v>35</v>
      </c>
      <c r="F1472" s="11" t="str">
        <f>HYPERLINK("https://redirect.sdcdeals.com/redirect?destination=https%3A%2F%2Fwww.amazon.com%2Fdp%2FB09RG8XL44%3Fth%3D1%26psc%3D1%26tag%3Dsdcdeals03-20", "Amazon Link")</f>
        <v>Amazon Link</v>
      </c>
      <c r="G1472" s="11" t="s">
        <v>36</v>
      </c>
      <c r="H1472" s="14" t="s">
        <v>3038</v>
      </c>
      <c r="I1472" s="11" t="str">
        <f>HYPERLINK("https://redirect.sdcdeals.com/redirect?code=763034&amp;mavely=https://mavely.app.link/e/bhESV2wGrGb&amp;destination=https%3A%2F%2Fwww.kohls.com%2Fsearch.jsp%3Fsubmit-search%3Dweb-regular%26search%3D30513256", "Retail Link")</f>
        <v>Retail Link</v>
      </c>
      <c r="J1472" s="14" t="s">
        <v>3027</v>
      </c>
      <c r="K1472" s="13" t="s">
        <v>3039</v>
      </c>
      <c r="L1472" s="15">
        <v>10.616</v>
      </c>
      <c r="M1472" s="15">
        <v>13.27</v>
      </c>
      <c r="N1472" s="15">
        <v>-6.1965000000000012</v>
      </c>
      <c r="O1472" s="15">
        <f>V1472-M1472</f>
        <v>18.580000000000002</v>
      </c>
      <c r="P1472" s="16">
        <f>N1472/L1472</f>
        <v>-0.58369442351168066</v>
      </c>
      <c r="Q1472" s="14">
        <v>65792</v>
      </c>
      <c r="R1472" s="14"/>
      <c r="S1472" s="17">
        <v>1.1574255</v>
      </c>
      <c r="T1472" s="15">
        <v>13.27</v>
      </c>
      <c r="U1472" s="15">
        <v>32.08</v>
      </c>
      <c r="V1472" s="15">
        <v>31.85</v>
      </c>
      <c r="W1472" s="14" t="s">
        <v>959</v>
      </c>
      <c r="X1472" s="14">
        <v>4</v>
      </c>
      <c r="Y1472" s="10">
        <f>AC1472-AB1472</f>
        <v>146</v>
      </c>
      <c r="Z1472" s="18">
        <v>27</v>
      </c>
      <c r="AA1472" s="18">
        <v>71</v>
      </c>
      <c r="AB1472" s="18">
        <v>3</v>
      </c>
      <c r="AC1472" s="18">
        <v>149</v>
      </c>
      <c r="AD1472" s="1" t="s">
        <v>3029</v>
      </c>
      <c r="AE1472" s="1" t="s">
        <v>3035</v>
      </c>
      <c r="AF1472" s="4">
        <v>1.33</v>
      </c>
      <c r="AG1472" s="4">
        <v>6.86</v>
      </c>
    </row>
    <row r="1473" spans="1:33" ht="30" x14ac:dyDescent="0.25">
      <c r="A1473" s="10" t="s">
        <v>2512</v>
      </c>
      <c r="B1473" s="11" t="s">
        <v>33</v>
      </c>
      <c r="C1473" s="12" t="s">
        <v>2513</v>
      </c>
      <c r="D1473" s="27"/>
      <c r="E1473" s="14" t="s">
        <v>35</v>
      </c>
      <c r="F1473" s="11" t="str">
        <f>HYPERLINK("https://redirect.sdcdeals.com/redirect?destination=https%3A%2F%2Fwww.amazon.com%2Fdp%2FB0C887MLJ9%3Fth%3D1%26psc%3D1%26tag%3Dsdcdeals03-20", "Amazon Link")</f>
        <v>Amazon Link</v>
      </c>
      <c r="G1473" s="11" t="s">
        <v>36</v>
      </c>
      <c r="H1473" s="14" t="s">
        <v>2514</v>
      </c>
      <c r="I1473" s="11" t="str">
        <f>HYPERLINK("https://redirect.sdcdeals.com/redirect?code=763034&amp;mavely=https://mavely.app.link/e/bhESV2wGrGb&amp;destination=https%3A%2F%2Fwww.kohls.com%2Fsearch.jsp%3Fsubmit-search%3Dweb-regular%26search%3D29813464", "Retail Link")</f>
        <v>Retail Link</v>
      </c>
      <c r="J1473" s="14" t="s">
        <v>2515</v>
      </c>
      <c r="K1473" s="13" t="s">
        <v>2516</v>
      </c>
      <c r="L1473" s="15">
        <v>7.6959999999999997</v>
      </c>
      <c r="M1473" s="15">
        <v>9.6199999999999992</v>
      </c>
      <c r="N1473" s="15">
        <v>-4.5190000000000001</v>
      </c>
      <c r="O1473" s="15">
        <f>V1473-M1473</f>
        <v>13.85</v>
      </c>
      <c r="P1473" s="16">
        <f>N1473/L1473</f>
        <v>-0.5871881496881497</v>
      </c>
      <c r="Q1473" s="14">
        <v>166871</v>
      </c>
      <c r="R1473" s="14"/>
      <c r="S1473" s="17">
        <v>0.59524739999999998</v>
      </c>
      <c r="T1473" s="15">
        <v>9.6199999999999992</v>
      </c>
      <c r="U1473" s="15">
        <v>18.71</v>
      </c>
      <c r="V1473" s="15">
        <v>23.47</v>
      </c>
      <c r="W1473" s="14" t="s">
        <v>2517</v>
      </c>
      <c r="X1473" s="14">
        <v>1</v>
      </c>
      <c r="Y1473" s="10">
        <f>AC1473-AB1473</f>
        <v>216</v>
      </c>
      <c r="Z1473" s="18">
        <v>18</v>
      </c>
      <c r="AA1473" s="18">
        <v>45</v>
      </c>
      <c r="AB1473" s="18">
        <v>3</v>
      </c>
      <c r="AC1473" s="18">
        <v>219</v>
      </c>
      <c r="AD1473" s="1" t="s">
        <v>2518</v>
      </c>
      <c r="AE1473" s="1" t="s">
        <v>235</v>
      </c>
      <c r="AF1473" s="4">
        <v>1.44</v>
      </c>
      <c r="AG1473" s="4">
        <v>5</v>
      </c>
    </row>
    <row r="1474" spans="1:33" ht="30" x14ac:dyDescent="0.25">
      <c r="A1474" s="10" t="s">
        <v>1255</v>
      </c>
      <c r="B1474" s="11" t="s">
        <v>33</v>
      </c>
      <c r="C1474" s="12" t="s">
        <v>1256</v>
      </c>
      <c r="D1474" s="27"/>
      <c r="E1474" s="14" t="s">
        <v>35</v>
      </c>
      <c r="F1474" s="11" t="str">
        <f>HYPERLINK("https://redirect.sdcdeals.com/redirect?destination=https%3A%2F%2Fwww.amazon.com%2Fdp%2FB0BBDCWPKF%3Fth%3D1%26psc%3D1%26tag%3Dsdcdeals03-20", "Amazon Link")</f>
        <v>Amazon Link</v>
      </c>
      <c r="G1474" s="11" t="s">
        <v>36</v>
      </c>
      <c r="H1474" s="14" t="s">
        <v>1257</v>
      </c>
      <c r="I1474" s="11" t="str">
        <f>HYPERLINK("https://redirect.sdcdeals.com/redirect?code=763034&amp;mavely=https://mavely.app.link/e/bhESV2wGrGb&amp;destination=https%3A%2F%2Fwww.kohls.com%2Fsearch.jsp%3Fsubmit-search%3Dweb-regular%26search%3D71122707", "Retail Link")</f>
        <v>Retail Link</v>
      </c>
      <c r="J1474" s="14" t="s">
        <v>1258</v>
      </c>
      <c r="K1474" s="13" t="s">
        <v>1259</v>
      </c>
      <c r="L1474" s="15">
        <v>8.9920000000000009</v>
      </c>
      <c r="M1474" s="15">
        <v>11.24</v>
      </c>
      <c r="N1474" s="15">
        <v>-5.3080000000000007</v>
      </c>
      <c r="O1474" s="15">
        <f>V1474-M1474</f>
        <v>17.47</v>
      </c>
      <c r="P1474" s="16">
        <f>N1474/L1474</f>
        <v>-0.59030249110320288</v>
      </c>
      <c r="Q1474" s="14">
        <v>8246719</v>
      </c>
      <c r="R1474" s="14"/>
      <c r="S1474" s="17">
        <v>0.89948496</v>
      </c>
      <c r="T1474" s="15">
        <v>11.24</v>
      </c>
      <c r="U1474" s="15">
        <v>25.07</v>
      </c>
      <c r="V1474" s="15">
        <v>28.71</v>
      </c>
      <c r="W1474" s="14" t="s">
        <v>100</v>
      </c>
      <c r="X1474" s="14">
        <v>1</v>
      </c>
      <c r="Y1474" s="10">
        <f>AC1474-AB1474</f>
        <v>0</v>
      </c>
      <c r="Z1474" s="18">
        <v>0</v>
      </c>
      <c r="AA1474" s="18">
        <v>0</v>
      </c>
      <c r="AB1474" s="18"/>
      <c r="AC1474" s="18"/>
      <c r="AE1474" s="1" t="s">
        <v>1260</v>
      </c>
      <c r="AF1474" s="4">
        <v>1.69</v>
      </c>
      <c r="AG1474" s="4">
        <v>5.87</v>
      </c>
    </row>
    <row r="1475" spans="1:33" ht="30" x14ac:dyDescent="0.25">
      <c r="A1475" s="10" t="s">
        <v>1261</v>
      </c>
      <c r="B1475" s="11" t="s">
        <v>33</v>
      </c>
      <c r="C1475" s="12" t="s">
        <v>1262</v>
      </c>
      <c r="D1475" s="27"/>
      <c r="E1475" s="14" t="s">
        <v>35</v>
      </c>
      <c r="F1475" s="11" t="str">
        <f>HYPERLINK("https://redirect.sdcdeals.com/redirect?destination=https%3A%2F%2Fwww.amazon.com%2Fdp%2FB0BD1SY2M4%3Fth%3D1%26psc%3D1%26tag%3Dsdcdeals03-20", "Amazon Link")</f>
        <v>Amazon Link</v>
      </c>
      <c r="G1475" s="11" t="s">
        <v>36</v>
      </c>
      <c r="H1475" s="14" t="s">
        <v>1263</v>
      </c>
      <c r="I1475" s="11" t="str">
        <f>HYPERLINK("https://redirect.sdcdeals.com/redirect?code=763034&amp;mavely=https://mavely.app.link/e/bhESV2wGrGb&amp;destination=https%3A%2F%2Fwww.kohls.com%2Fsearch.jsp%3Fsubmit-search%3Dweb-regular%26search%3D71122713", "Retail Link")</f>
        <v>Retail Link</v>
      </c>
      <c r="J1475" s="14" t="s">
        <v>1258</v>
      </c>
      <c r="K1475" s="13" t="s">
        <v>1264</v>
      </c>
      <c r="L1475" s="15">
        <v>8.9920000000000009</v>
      </c>
      <c r="M1475" s="15">
        <v>11.24</v>
      </c>
      <c r="N1475" s="15">
        <v>-5.3080000000000007</v>
      </c>
      <c r="O1475" s="15">
        <f>V1475-M1475</f>
        <v>16.649999999999999</v>
      </c>
      <c r="P1475" s="16">
        <f>N1475/L1475</f>
        <v>-0.59030249110320288</v>
      </c>
      <c r="Q1475" s="14">
        <v>8245331</v>
      </c>
      <c r="R1475" s="14"/>
      <c r="S1475" s="17">
        <v>0.95019122</v>
      </c>
      <c r="T1475" s="15">
        <v>11.24</v>
      </c>
      <c r="U1475" s="15">
        <v>22.16</v>
      </c>
      <c r="V1475" s="15">
        <v>27.89</v>
      </c>
      <c r="W1475" s="14" t="s">
        <v>301</v>
      </c>
      <c r="X1475" s="14">
        <v>2</v>
      </c>
      <c r="Y1475" s="10">
        <f>AC1475-AB1475</f>
        <v>0</v>
      </c>
      <c r="Z1475" s="18">
        <v>0</v>
      </c>
      <c r="AA1475" s="18">
        <v>0</v>
      </c>
      <c r="AB1475" s="18"/>
      <c r="AC1475" s="18"/>
      <c r="AE1475" s="1" t="s">
        <v>1260</v>
      </c>
      <c r="AF1475" s="4">
        <v>1.69</v>
      </c>
      <c r="AG1475" s="4">
        <v>5.87</v>
      </c>
    </row>
    <row r="1476" spans="1:33" ht="30" x14ac:dyDescent="0.25">
      <c r="A1476" s="10" t="s">
        <v>1265</v>
      </c>
      <c r="B1476" s="11" t="s">
        <v>33</v>
      </c>
      <c r="C1476" s="12" t="s">
        <v>1266</v>
      </c>
      <c r="D1476" s="27"/>
      <c r="E1476" s="14" t="s">
        <v>35</v>
      </c>
      <c r="F1476" s="11" t="str">
        <f>HYPERLINK("https://redirect.sdcdeals.com/redirect?destination=https%3A%2F%2Fwww.amazon.com%2Fdp%2FB0BD1QS29W%3Fth%3D1%26psc%3D1%26tag%3Dsdcdeals03-20", "Amazon Link")</f>
        <v>Amazon Link</v>
      </c>
      <c r="G1476" s="11" t="s">
        <v>36</v>
      </c>
      <c r="H1476" s="14" t="s">
        <v>1267</v>
      </c>
      <c r="I1476" s="11" t="str">
        <f>HYPERLINK("https://redirect.sdcdeals.com/redirect?code=763034&amp;mavely=https://mavely.app.link/e/bhESV2wGrGb&amp;destination=https%3A%2F%2Fwww.kohls.com%2Fsearch.jsp%3Fsubmit-search%3Dweb-regular%26search%3D71122714", "Retail Link")</f>
        <v>Retail Link</v>
      </c>
      <c r="J1476" s="14" t="s">
        <v>1258</v>
      </c>
      <c r="K1476" s="13" t="s">
        <v>1268</v>
      </c>
      <c r="L1476" s="15">
        <v>8.9920000000000009</v>
      </c>
      <c r="M1476" s="15">
        <v>11.24</v>
      </c>
      <c r="N1476" s="15">
        <v>-5.3080000000000007</v>
      </c>
      <c r="O1476" s="15">
        <f>V1476-M1476</f>
        <v>15.63</v>
      </c>
      <c r="P1476" s="16">
        <f>N1476/L1476</f>
        <v>-0.59030249110320288</v>
      </c>
      <c r="Q1476" s="14">
        <v>8245331</v>
      </c>
      <c r="R1476" s="14"/>
      <c r="S1476" s="17">
        <v>1.0097159600000001</v>
      </c>
      <c r="T1476" s="15">
        <v>11.24</v>
      </c>
      <c r="U1476" s="15">
        <v>25.09</v>
      </c>
      <c r="V1476" s="15">
        <v>26.87</v>
      </c>
      <c r="W1476" s="14" t="s">
        <v>53</v>
      </c>
      <c r="X1476" s="14">
        <v>1</v>
      </c>
      <c r="Y1476" s="10">
        <f>AC1476-AB1476</f>
        <v>0</v>
      </c>
      <c r="Z1476" s="18">
        <v>0</v>
      </c>
      <c r="AA1476" s="18">
        <v>0</v>
      </c>
      <c r="AB1476" s="18"/>
      <c r="AC1476" s="18"/>
      <c r="AE1476" s="1" t="s">
        <v>1260</v>
      </c>
      <c r="AF1476" s="4">
        <v>1.69</v>
      </c>
      <c r="AG1476" s="4">
        <v>5.87</v>
      </c>
    </row>
    <row r="1477" spans="1:33" ht="45" x14ac:dyDescent="0.25">
      <c r="A1477" s="10" t="s">
        <v>1916</v>
      </c>
      <c r="B1477" s="11" t="s">
        <v>33</v>
      </c>
      <c r="C1477" s="12" t="s">
        <v>1917</v>
      </c>
      <c r="D1477" s="27"/>
      <c r="E1477" s="14" t="s">
        <v>35</v>
      </c>
      <c r="F1477" s="11" t="str">
        <f>HYPERLINK("https://redirect.sdcdeals.com/redirect?destination=https%3A%2F%2Fwww.amazon.com%2Fdp%2FB01IE1OMX2%3Fth%3D1%26psc%3D1%26tag%3Dsdcdeals03-20", "Amazon Link")</f>
        <v>Amazon Link</v>
      </c>
      <c r="G1477" s="11" t="s">
        <v>36</v>
      </c>
      <c r="H1477" s="14" t="s">
        <v>1918</v>
      </c>
      <c r="I1477" s="11" t="str">
        <f>HYPERLINK("https://redirect.sdcdeals.com/redirect?code=763034&amp;mavely=https://mavely.app.link/e/bhESV2wGrGb&amp;destination=https%3A%2F%2Fwww.kohls.com%2Fsearch.jsp%3Fsubmit-search%3Dweb-regular%26search%3D46361252", "Retail Link")</f>
        <v>Retail Link</v>
      </c>
      <c r="J1477" s="14" t="s">
        <v>1897</v>
      </c>
      <c r="K1477" s="13" t="s">
        <v>1919</v>
      </c>
      <c r="L1477" s="15">
        <v>10.8</v>
      </c>
      <c r="M1477" s="15">
        <v>13.5</v>
      </c>
      <c r="N1477" s="15">
        <v>-6.4050000000000011</v>
      </c>
      <c r="O1477" s="15">
        <f>V1477-M1477</f>
        <v>17.87</v>
      </c>
      <c r="P1477" s="16">
        <f>N1477/L1477</f>
        <v>-0.59305555555555567</v>
      </c>
      <c r="Q1477" s="14">
        <v>1165</v>
      </c>
      <c r="R1477" s="14">
        <v>400</v>
      </c>
      <c r="S1477" s="17">
        <v>1.08908228</v>
      </c>
      <c r="T1477" s="15">
        <v>13.5</v>
      </c>
      <c r="U1477" s="15">
        <v>30.79</v>
      </c>
      <c r="V1477" s="15">
        <v>31.37</v>
      </c>
      <c r="W1477" s="14" t="s">
        <v>1920</v>
      </c>
      <c r="X1477" s="14">
        <v>3</v>
      </c>
      <c r="Y1477" s="10">
        <f>AC1477-AB1477</f>
        <v>16652</v>
      </c>
      <c r="Z1477" s="18">
        <v>84</v>
      </c>
      <c r="AA1477" s="18">
        <v>194</v>
      </c>
      <c r="AB1477" s="18">
        <v>1256</v>
      </c>
      <c r="AC1477" s="18">
        <v>17908</v>
      </c>
      <c r="AD1477" s="1" t="s">
        <v>1900</v>
      </c>
      <c r="AE1477" s="1" t="s">
        <v>1901</v>
      </c>
      <c r="AF1477" s="4">
        <v>0.68</v>
      </c>
      <c r="AG1477" s="4">
        <v>7.08</v>
      </c>
    </row>
    <row r="1478" spans="1:33" ht="30" x14ac:dyDescent="0.25">
      <c r="A1478" s="10" t="s">
        <v>2339</v>
      </c>
      <c r="B1478" s="11" t="s">
        <v>33</v>
      </c>
      <c r="C1478" s="12" t="s">
        <v>2340</v>
      </c>
      <c r="D1478" s="27"/>
      <c r="E1478" s="14" t="s">
        <v>35</v>
      </c>
      <c r="F1478" s="11" t="str">
        <f>HYPERLINK("https://redirect.sdcdeals.com/redirect?destination=https%3A%2F%2Fwww.amazon.com%2Fdp%2FB08FF35MMQ%3Fth%3D1%26psc%3D1%26tag%3Dsdcdeals03-20", "Amazon Link")</f>
        <v>Amazon Link</v>
      </c>
      <c r="G1478" s="11" t="s">
        <v>36</v>
      </c>
      <c r="H1478" s="14" t="s">
        <v>2341</v>
      </c>
      <c r="I1478" s="11" t="str">
        <f>HYPERLINK("https://redirect.sdcdeals.com/redirect?code=763034&amp;mavely=https://mavely.app.link/e/bhESV2wGrGb&amp;destination=https%3A%2F%2Fwww.kohls.com%2Fsearch.jsp%3Fsubmit-search%3Dweb-regular%26search%3D76190318", "Retail Link")</f>
        <v>Retail Link</v>
      </c>
      <c r="J1478" s="14" t="s">
        <v>2326</v>
      </c>
      <c r="K1478" s="13" t="s">
        <v>2342</v>
      </c>
      <c r="L1478" s="15">
        <v>10.8</v>
      </c>
      <c r="M1478" s="15">
        <v>13.5</v>
      </c>
      <c r="N1478" s="15">
        <v>-6.4050000000000011</v>
      </c>
      <c r="O1478" s="15">
        <f>V1478-M1478</f>
        <v>22.490000000000002</v>
      </c>
      <c r="P1478" s="16">
        <f>N1478/L1478</f>
        <v>-0.59305555555555567</v>
      </c>
      <c r="Q1478" s="14">
        <v>12581</v>
      </c>
      <c r="R1478" s="14">
        <v>50</v>
      </c>
      <c r="S1478" s="17">
        <v>0.65918138000000004</v>
      </c>
      <c r="T1478" s="15">
        <v>13.5</v>
      </c>
      <c r="U1478" s="15">
        <v>33.14</v>
      </c>
      <c r="V1478" s="15">
        <v>35.99</v>
      </c>
      <c r="W1478" s="14" t="s">
        <v>113</v>
      </c>
      <c r="X1478" s="14">
        <v>7</v>
      </c>
      <c r="Y1478" s="10">
        <f>AC1478-AB1478</f>
        <v>1261</v>
      </c>
      <c r="Z1478" s="18">
        <v>57</v>
      </c>
      <c r="AA1478" s="18">
        <v>138</v>
      </c>
      <c r="AB1478" s="18">
        <v>18</v>
      </c>
      <c r="AC1478" s="18">
        <v>1279</v>
      </c>
      <c r="AD1478" s="1" t="s">
        <v>2328</v>
      </c>
      <c r="AE1478" s="1" t="s">
        <v>76</v>
      </c>
      <c r="AF1478" s="4">
        <v>0.68</v>
      </c>
      <c r="AG1478" s="4">
        <v>7.08</v>
      </c>
    </row>
    <row r="1479" spans="1:33" ht="30" x14ac:dyDescent="0.25">
      <c r="A1479" s="10" t="s">
        <v>1921</v>
      </c>
      <c r="B1479" s="11" t="s">
        <v>33</v>
      </c>
      <c r="C1479" s="12" t="s">
        <v>1922</v>
      </c>
      <c r="D1479" s="27"/>
      <c r="E1479" s="14" t="s">
        <v>35</v>
      </c>
      <c r="F1479" s="11" t="str">
        <f>HYPERLINK("https://redirect.sdcdeals.com/redirect?destination=https%3A%2F%2Fwww.amazon.com%2Fdp%2FB01IE1OH4Q%3Fth%3D1%26psc%3D1%26tag%3Dsdcdeals03-20", "Amazon Link")</f>
        <v>Amazon Link</v>
      </c>
      <c r="G1479" s="11" t="s">
        <v>36</v>
      </c>
      <c r="H1479" s="14" t="s">
        <v>1923</v>
      </c>
      <c r="I1479" s="11" t="str">
        <f>HYPERLINK("https://redirect.sdcdeals.com/redirect?code=763034&amp;mavely=https://mavely.app.link/e/bhESV2wGrGb&amp;destination=https%3A%2F%2Fwww.kohls.com%2Fsearch.jsp%3Fsubmit-search%3Dweb-regular%26search%3D46361242", "Retail Link")</f>
        <v>Retail Link</v>
      </c>
      <c r="J1479" s="14" t="s">
        <v>1897</v>
      </c>
      <c r="K1479" s="13" t="s">
        <v>1898</v>
      </c>
      <c r="L1479" s="15">
        <v>10.8</v>
      </c>
      <c r="M1479" s="15">
        <v>13</v>
      </c>
      <c r="N1479" s="15">
        <v>-6.4200000000000017</v>
      </c>
      <c r="O1479" s="15">
        <f>V1479-M1479</f>
        <v>20.049999999999997</v>
      </c>
      <c r="P1479" s="16">
        <f>N1479/L1479</f>
        <v>-0.59444444444444455</v>
      </c>
      <c r="Q1479" s="14">
        <v>1552</v>
      </c>
      <c r="R1479" s="14">
        <v>300</v>
      </c>
      <c r="S1479" s="17">
        <v>1.16624398</v>
      </c>
      <c r="T1479" s="15">
        <v>13</v>
      </c>
      <c r="U1479" s="15">
        <v>31.4</v>
      </c>
      <c r="V1479" s="15">
        <v>33.049999999999997</v>
      </c>
      <c r="W1479" s="14" t="s">
        <v>1924</v>
      </c>
      <c r="X1479" s="14">
        <v>5</v>
      </c>
      <c r="Y1479" s="10">
        <f>AC1479-AB1479</f>
        <v>15949</v>
      </c>
      <c r="Z1479" s="18">
        <v>48</v>
      </c>
      <c r="AA1479" s="18">
        <v>110</v>
      </c>
      <c r="AB1479" s="18">
        <v>1954</v>
      </c>
      <c r="AC1479" s="18">
        <v>17903</v>
      </c>
      <c r="AD1479" s="1" t="s">
        <v>1900</v>
      </c>
      <c r="AE1479" s="1" t="s">
        <v>1906</v>
      </c>
      <c r="AF1479" s="4">
        <v>0.66</v>
      </c>
      <c r="AG1479" s="4">
        <v>6.67</v>
      </c>
    </row>
    <row r="1480" spans="1:33" ht="30" hidden="1" x14ac:dyDescent="0.25">
      <c r="A1480" s="10" t="s">
        <v>2784</v>
      </c>
      <c r="B1480" s="11" t="s">
        <v>33</v>
      </c>
      <c r="C1480" s="12" t="s">
        <v>2785</v>
      </c>
      <c r="D1480" s="27"/>
      <c r="E1480" s="14" t="s">
        <v>35</v>
      </c>
      <c r="F1480" s="11" t="str">
        <f>HYPERLINK("https://redirect.sdcdeals.com/redirect?destination=https%3A%2F%2Fwww.amazon.com%2Fdp%2FB0CCC4NDLV%3Fth%3D1%26psc%3D1%26tag%3Dsdcdeals03-20", "Amazon Link")</f>
        <v>Amazon Link</v>
      </c>
      <c r="G1480" s="11" t="s">
        <v>36</v>
      </c>
      <c r="H1480" s="14" t="s">
        <v>2786</v>
      </c>
      <c r="I1480" s="11" t="str">
        <f>HYPERLINK("https://redirect.sdcdeals.com/redirect?code=763034&amp;mavely=https://mavely.app.link/e/bhESV2wGrGb&amp;destination=https%3A%2F%2Fwww.kohls.com%2Fsearch.jsp%3Fsubmit-search%3Dweb-regular%26search%3D53952533", "Retail Link")</f>
        <v>Retail Link</v>
      </c>
      <c r="J1480" s="14" t="s">
        <v>2705</v>
      </c>
      <c r="K1480" s="13" t="s">
        <v>2723</v>
      </c>
      <c r="L1480" s="15">
        <v>13.2</v>
      </c>
      <c r="M1480" s="15">
        <v>14.32</v>
      </c>
      <c r="N1480" s="15">
        <v>-7.8579999999999988</v>
      </c>
      <c r="O1480" s="15">
        <f>V1480-M1480</f>
        <v>12.82</v>
      </c>
      <c r="P1480" s="16">
        <f>N1480/L1480</f>
        <v>-0.59530303030303022</v>
      </c>
      <c r="Q1480" s="14"/>
      <c r="R1480" s="14"/>
      <c r="S1480" s="17">
        <v>0.88184799999999997</v>
      </c>
      <c r="T1480" s="15">
        <v>14.32</v>
      </c>
      <c r="U1480" s="15">
        <v>26.53</v>
      </c>
      <c r="V1480" s="15">
        <v>27.14</v>
      </c>
      <c r="W1480" s="14" t="s">
        <v>2787</v>
      </c>
      <c r="X1480" s="14">
        <v>2</v>
      </c>
      <c r="Y1480" s="10">
        <f>AC1480-AB1480</f>
        <v>4</v>
      </c>
      <c r="Z1480" s="18">
        <v>-1</v>
      </c>
      <c r="AA1480" s="18">
        <v>-1</v>
      </c>
      <c r="AB1480" s="18">
        <v>0</v>
      </c>
      <c r="AC1480" s="18">
        <v>4</v>
      </c>
      <c r="AD1480" s="1" t="s">
        <v>2724</v>
      </c>
      <c r="AE1480" s="1" t="s">
        <v>2725</v>
      </c>
      <c r="AF1480" s="4">
        <v>2.4300000000000002</v>
      </c>
      <c r="AG1480" s="4">
        <v>6.83</v>
      </c>
    </row>
    <row r="1481" spans="1:33" ht="30" x14ac:dyDescent="0.25">
      <c r="A1481" s="10" t="s">
        <v>2462</v>
      </c>
      <c r="B1481" s="11" t="s">
        <v>33</v>
      </c>
      <c r="C1481" s="12" t="s">
        <v>2463</v>
      </c>
      <c r="D1481" s="27"/>
      <c r="E1481" s="14" t="s">
        <v>35</v>
      </c>
      <c r="F1481" s="11" t="str">
        <f>HYPERLINK("https://redirect.sdcdeals.com/redirect?destination=https%3A%2F%2Fwww.amazon.com%2Fdp%2FB0BV2YRZ5T%3Fth%3D1%26psc%3D1%26tag%3Dsdcdeals03-20", "Amazon Link")</f>
        <v>Amazon Link</v>
      </c>
      <c r="G1481" s="11" t="s">
        <v>36</v>
      </c>
      <c r="H1481" s="14" t="s">
        <v>2464</v>
      </c>
      <c r="I1481" s="11" t="str">
        <f>HYPERLINK("https://redirect.sdcdeals.com/redirect?code=763034&amp;mavely=https://mavely.app.link/e/bhESV2wGrGb&amp;destination=https%3A%2F%2Fwww.kohls.com%2Fsearch.jsp%3Fsubmit-search%3Dweb-regular%26search%3D67089099", "Retail Link")</f>
        <v>Retail Link</v>
      </c>
      <c r="J1481" s="14" t="s">
        <v>2427</v>
      </c>
      <c r="K1481" s="13" t="s">
        <v>2465</v>
      </c>
      <c r="L1481" s="15">
        <v>33.6</v>
      </c>
      <c r="M1481" s="15">
        <v>22.92</v>
      </c>
      <c r="N1481" s="15">
        <v>-20.018000000000001</v>
      </c>
      <c r="O1481" s="15">
        <f>V1481-M1481</f>
        <v>0</v>
      </c>
      <c r="P1481" s="16">
        <f>N1481/L1481</f>
        <v>-0.59577380952380954</v>
      </c>
      <c r="Q1481" s="14">
        <v>197779</v>
      </c>
      <c r="R1481" s="14"/>
      <c r="S1481" s="17">
        <v>0.83996022000000004</v>
      </c>
      <c r="T1481" s="15"/>
      <c r="U1481" s="15"/>
      <c r="V1481" s="15">
        <v>22.92</v>
      </c>
      <c r="W1481" s="14" t="s">
        <v>2466</v>
      </c>
      <c r="X1481" s="14">
        <v>1</v>
      </c>
      <c r="Y1481" s="10">
        <f>AC1481-AB1481</f>
        <v>0</v>
      </c>
      <c r="Z1481" s="18">
        <v>9</v>
      </c>
      <c r="AA1481" s="18">
        <v>19</v>
      </c>
      <c r="AB1481" s="18">
        <v>2</v>
      </c>
      <c r="AC1481" s="18">
        <v>2</v>
      </c>
      <c r="AD1481" s="1" t="s">
        <v>2435</v>
      </c>
      <c r="AE1481" s="1" t="s">
        <v>2436</v>
      </c>
      <c r="AG1481" s="4">
        <v>5.9</v>
      </c>
    </row>
    <row r="1482" spans="1:33" ht="30" x14ac:dyDescent="0.25">
      <c r="A1482" s="10" t="s">
        <v>3040</v>
      </c>
      <c r="B1482" s="11" t="s">
        <v>33</v>
      </c>
      <c r="C1482" s="12" t="s">
        <v>3041</v>
      </c>
      <c r="D1482" s="27"/>
      <c r="E1482" s="14" t="s">
        <v>35</v>
      </c>
      <c r="F1482" s="11" t="str">
        <f>HYPERLINK("https://redirect.sdcdeals.com/redirect?destination=https%3A%2F%2Fwww.amazon.com%2Fdp%2FB09RGH3V75%3Fth%3D1%26psc%3D1%26tag%3Dsdcdeals03-20", "Amazon Link")</f>
        <v>Amazon Link</v>
      </c>
      <c r="G1482" s="11" t="s">
        <v>36</v>
      </c>
      <c r="H1482" s="14" t="s">
        <v>3042</v>
      </c>
      <c r="I1482" s="11" t="str">
        <f>HYPERLINK("https://redirect.sdcdeals.com/redirect?code=763034&amp;mavely=https://mavely.app.link/e/bhESV2wGrGb&amp;destination=https%3A%2F%2Fwww.kohls.com%2Fsearch.jsp%3Fsubmit-search%3Dweb-regular%26search%3D30513262", "Retail Link")</f>
        <v>Retail Link</v>
      </c>
      <c r="J1482" s="14" t="s">
        <v>3027</v>
      </c>
      <c r="K1482" s="13" t="s">
        <v>3043</v>
      </c>
      <c r="L1482" s="15">
        <v>10.616</v>
      </c>
      <c r="M1482" s="15">
        <v>13.27</v>
      </c>
      <c r="N1482" s="15">
        <v>-6.3564999999999996</v>
      </c>
      <c r="O1482" s="15">
        <f>V1482-M1482</f>
        <v>22.19</v>
      </c>
      <c r="P1482" s="16">
        <f>N1482/L1482</f>
        <v>-0.59876601356443104</v>
      </c>
      <c r="Q1482" s="14">
        <v>65792</v>
      </c>
      <c r="R1482" s="14"/>
      <c r="S1482" s="17">
        <v>1.23899644</v>
      </c>
      <c r="T1482" s="15">
        <v>13.27</v>
      </c>
      <c r="U1482" s="15">
        <v>36.619999999999997</v>
      </c>
      <c r="V1482" s="15">
        <v>35.46</v>
      </c>
      <c r="W1482" s="14" t="s">
        <v>781</v>
      </c>
      <c r="X1482" s="14">
        <v>4</v>
      </c>
      <c r="Y1482" s="10">
        <f>AC1482-AB1482</f>
        <v>148</v>
      </c>
      <c r="Z1482" s="18">
        <v>26</v>
      </c>
      <c r="AA1482" s="18">
        <v>62</v>
      </c>
      <c r="AB1482" s="18">
        <v>1</v>
      </c>
      <c r="AC1482" s="18">
        <v>149</v>
      </c>
      <c r="AD1482" s="1" t="s">
        <v>3029</v>
      </c>
      <c r="AE1482" s="1" t="s">
        <v>3035</v>
      </c>
      <c r="AF1482" s="4">
        <v>0.66</v>
      </c>
      <c r="AG1482" s="4">
        <v>7.02</v>
      </c>
    </row>
    <row r="1483" spans="1:33" ht="45" x14ac:dyDescent="0.25">
      <c r="A1483" s="10" t="s">
        <v>5498</v>
      </c>
      <c r="B1483" s="11" t="s">
        <v>33</v>
      </c>
      <c r="C1483" s="12" t="s">
        <v>5499</v>
      </c>
      <c r="D1483" s="27"/>
      <c r="E1483" s="14" t="s">
        <v>35</v>
      </c>
      <c r="F1483" s="11" t="str">
        <f>HYPERLINK("https://redirect.sdcdeals.com/redirect?destination=https%3A%2F%2Fwww.amazon.com%2Fdp%2FB09NL4S6WM%3Fth%3D1%26psc%3D1%26tag%3Dsdcdeals03-20", "Amazon Link")</f>
        <v>Amazon Link</v>
      </c>
      <c r="G1483" s="11" t="s">
        <v>36</v>
      </c>
      <c r="H1483" s="14" t="s">
        <v>5500</v>
      </c>
      <c r="I1483" s="11" t="str">
        <f>HYPERLINK("https://redirect.sdcdeals.com/redirect?code=763034&amp;mavely=https://mavely.app.link/e/bhESV2wGrGb&amp;destination=https%3A%2F%2Fwww.kohls.com%2Fsearch.jsp%3Fsubmit-search%3Dweb-regular%26search%3D73280948", "Retail Link")</f>
        <v>Retail Link</v>
      </c>
      <c r="J1483" s="14" t="s">
        <v>5501</v>
      </c>
      <c r="K1483" s="13" t="s">
        <v>5502</v>
      </c>
      <c r="L1483" s="15">
        <v>11.391999999999999</v>
      </c>
      <c r="M1483" s="15">
        <v>14.24</v>
      </c>
      <c r="N1483" s="15">
        <v>-6.8479999999999999</v>
      </c>
      <c r="O1483" s="15">
        <f>V1483-M1483</f>
        <v>12.299999999999999</v>
      </c>
      <c r="P1483" s="16">
        <f>N1483/L1483</f>
        <v>-0.601123595505618</v>
      </c>
      <c r="Q1483" s="14">
        <v>37178</v>
      </c>
      <c r="R1483" s="14">
        <v>50</v>
      </c>
      <c r="S1483" s="17">
        <v>1.3492274399999999</v>
      </c>
      <c r="T1483" s="15">
        <v>14.24</v>
      </c>
      <c r="U1483" s="15">
        <v>25.18</v>
      </c>
      <c r="V1483" s="15">
        <v>26.54</v>
      </c>
      <c r="W1483" s="14" t="s">
        <v>5503</v>
      </c>
      <c r="X1483" s="14">
        <v>26</v>
      </c>
      <c r="Y1483" s="10">
        <f>AC1483-AB1483</f>
        <v>83</v>
      </c>
      <c r="Z1483" s="18">
        <v>47</v>
      </c>
      <c r="AA1483" s="18">
        <v>113</v>
      </c>
      <c r="AB1483" s="18">
        <v>220</v>
      </c>
      <c r="AC1483" s="18">
        <v>303</v>
      </c>
      <c r="AD1483" s="1" t="s">
        <v>5504</v>
      </c>
      <c r="AE1483" s="1" t="s">
        <v>5505</v>
      </c>
      <c r="AF1483" s="4">
        <v>2.14</v>
      </c>
      <c r="AG1483" s="4">
        <v>7.56</v>
      </c>
    </row>
    <row r="1484" spans="1:33" ht="30" x14ac:dyDescent="0.25">
      <c r="A1484" s="10" t="s">
        <v>6211</v>
      </c>
      <c r="B1484" s="11" t="s">
        <v>33</v>
      </c>
      <c r="C1484" s="12" t="s">
        <v>6212</v>
      </c>
      <c r="D1484" s="27"/>
      <c r="E1484" s="14" t="s">
        <v>35</v>
      </c>
      <c r="F1484" s="11" t="str">
        <f>HYPERLINK("https://redirect.sdcdeals.com/redirect?destination=https%3A%2F%2Fwww.amazon.com%2Fdp%2FB0CL5KC89J%3Fth%3D1%26psc%3D1%26tag%3Dsdcdeals03-20", "Amazon Link")</f>
        <v>Amazon Link</v>
      </c>
      <c r="G1484" s="11" t="s">
        <v>36</v>
      </c>
      <c r="H1484" s="14" t="s">
        <v>6213</v>
      </c>
      <c r="I1484" s="11" t="str">
        <f>HYPERLINK("https://redirect.sdcdeals.com/redirect?code=763034&amp;mavely=https://mavely.app.link/e/bhESV2wGrGb&amp;destination=https%3A%2F%2Fwww.kohls.com%2Fsearch.jsp%3Fsubmit-search%3Dweb-regular%26search%3D50022583", "Retail Link")</f>
        <v>Retail Link</v>
      </c>
      <c r="J1484" s="14" t="s">
        <v>6187</v>
      </c>
      <c r="K1484" s="13" t="s">
        <v>6214</v>
      </c>
      <c r="L1484" s="15">
        <v>6.8000000000000007</v>
      </c>
      <c r="M1484" s="15">
        <v>10.01</v>
      </c>
      <c r="N1484" s="15">
        <v>-4.1115000000000013</v>
      </c>
      <c r="O1484" s="15">
        <f>V1484-M1484</f>
        <v>10.500000000000002</v>
      </c>
      <c r="P1484" s="16">
        <f>N1484/L1484</f>
        <v>-0.60463235294117657</v>
      </c>
      <c r="Q1484" s="14">
        <v>2069650</v>
      </c>
      <c r="R1484" s="14"/>
      <c r="S1484" s="17">
        <v>0.50926722000000002</v>
      </c>
      <c r="T1484" s="15">
        <v>10.01</v>
      </c>
      <c r="U1484" s="15">
        <v>14.61</v>
      </c>
      <c r="V1484" s="15">
        <v>20.51</v>
      </c>
      <c r="W1484" s="14" t="s">
        <v>588</v>
      </c>
      <c r="X1484" s="14">
        <v>15</v>
      </c>
      <c r="Y1484" s="10">
        <f>AC1484-AB1484</f>
        <v>0</v>
      </c>
      <c r="Z1484" s="18">
        <v>1</v>
      </c>
      <c r="AA1484" s="18">
        <v>1</v>
      </c>
      <c r="AB1484" s="18">
        <v>0</v>
      </c>
      <c r="AC1484" s="18"/>
      <c r="AD1484" s="1" t="s">
        <v>4680</v>
      </c>
      <c r="AE1484" s="1" t="s">
        <v>6189</v>
      </c>
      <c r="AF1484" s="4">
        <v>0.5</v>
      </c>
      <c r="AG1484" s="4">
        <v>5.82</v>
      </c>
    </row>
    <row r="1485" spans="1:33" ht="30" hidden="1" x14ac:dyDescent="0.25">
      <c r="A1485" s="10" t="s">
        <v>5083</v>
      </c>
      <c r="B1485" s="11" t="s">
        <v>33</v>
      </c>
      <c r="C1485" s="12" t="s">
        <v>5084</v>
      </c>
      <c r="D1485" s="27"/>
      <c r="E1485" s="14" t="s">
        <v>35</v>
      </c>
      <c r="F1485" s="11" t="str">
        <f>HYPERLINK("https://redirect.sdcdeals.com/redirect?destination=https%3A%2F%2Fwww.amazon.com%2Fdp%2FB0CL5JQRFK%3Fth%3D1%26psc%3D1%26tag%3Dsdcdeals03-20", "Amazon Link")</f>
        <v>Amazon Link</v>
      </c>
      <c r="G1485" s="11" t="s">
        <v>36</v>
      </c>
      <c r="H1485" s="14" t="s">
        <v>5085</v>
      </c>
      <c r="I1485" s="11" t="str">
        <f>HYPERLINK("https://redirect.sdcdeals.com/redirect?code=763034&amp;mavely=https://mavely.app.link/e/bhESV2wGrGb&amp;destination=https%3A%2F%2Fwww.kohls.com%2Fsearch.jsp%3Fsubmit-search%3Dweb-regular%26search%3D55860570", "Retail Link")</f>
        <v>Retail Link</v>
      </c>
      <c r="J1485" s="14" t="s">
        <v>5064</v>
      </c>
      <c r="K1485" s="13" t="s">
        <v>5086</v>
      </c>
      <c r="L1485" s="15">
        <v>6.8000000000000007</v>
      </c>
      <c r="M1485" s="15">
        <v>10</v>
      </c>
      <c r="N1485" s="15">
        <v>-4.120000000000001</v>
      </c>
      <c r="O1485" s="15">
        <f>V1485-M1485</f>
        <v>8.4899999999999984</v>
      </c>
      <c r="P1485" s="16">
        <f>N1485/L1485</f>
        <v>-0.60588235294117654</v>
      </c>
      <c r="Q1485" s="14"/>
      <c r="R1485" s="14"/>
      <c r="S1485" s="17">
        <v>0.46076558000000001</v>
      </c>
      <c r="T1485" s="15">
        <v>9.99</v>
      </c>
      <c r="U1485" s="15">
        <v>14.4</v>
      </c>
      <c r="V1485" s="15">
        <v>18.489999999999998</v>
      </c>
      <c r="W1485" s="14" t="s">
        <v>582</v>
      </c>
      <c r="X1485" s="14">
        <v>16</v>
      </c>
      <c r="Y1485" s="10">
        <f>AC1485-AB1485</f>
        <v>0</v>
      </c>
      <c r="Z1485" s="18">
        <v>0</v>
      </c>
      <c r="AA1485" s="18">
        <v>86</v>
      </c>
      <c r="AB1485" s="18">
        <v>0</v>
      </c>
      <c r="AC1485" s="18"/>
      <c r="AD1485" s="1" t="s">
        <v>1452</v>
      </c>
      <c r="AE1485" s="1" t="s">
        <v>5070</v>
      </c>
      <c r="AF1485" s="4">
        <v>0.5</v>
      </c>
      <c r="AG1485" s="4">
        <v>5.82</v>
      </c>
    </row>
    <row r="1486" spans="1:33" ht="30" hidden="1" x14ac:dyDescent="0.25">
      <c r="A1486" s="10" t="s">
        <v>5192</v>
      </c>
      <c r="B1486" s="11" t="s">
        <v>33</v>
      </c>
      <c r="C1486" s="12" t="s">
        <v>5193</v>
      </c>
      <c r="D1486" s="27"/>
      <c r="E1486" s="14" t="s">
        <v>35</v>
      </c>
      <c r="F1486" s="11" t="str">
        <f>HYPERLINK("https://redirect.sdcdeals.com/redirect?destination=https%3A%2F%2Fwww.amazon.com%2Fdp%2FB0CL5LTTN9%3Fth%3D1%26psc%3D1%26tag%3Dsdcdeals03-20", "Amazon Link")</f>
        <v>Amazon Link</v>
      </c>
      <c r="G1486" s="11" t="s">
        <v>36</v>
      </c>
      <c r="H1486" s="14" t="s">
        <v>5194</v>
      </c>
      <c r="I1486" s="11" t="str">
        <f>HYPERLINK("https://redirect.sdcdeals.com/redirect?code=763034&amp;mavely=https://mavely.app.link/e/bhESV2wGrGb&amp;destination=https%3A%2F%2Fwww.kohls.com%2Fsearch.jsp%3Fsubmit-search%3Dweb-regular%26search%3D18796727", "Retail Link")</f>
        <v>Retail Link</v>
      </c>
      <c r="J1486" s="14" t="s">
        <v>5168</v>
      </c>
      <c r="K1486" s="13" t="s">
        <v>5195</v>
      </c>
      <c r="L1486" s="15">
        <v>6.8000000000000007</v>
      </c>
      <c r="M1486" s="15">
        <v>10</v>
      </c>
      <c r="N1486" s="15">
        <v>-4.120000000000001</v>
      </c>
      <c r="O1486" s="15">
        <f>V1486-M1486</f>
        <v>7.5399999999999991</v>
      </c>
      <c r="P1486" s="16">
        <f>N1486/L1486</f>
        <v>-0.60588235294117654</v>
      </c>
      <c r="Q1486" s="14"/>
      <c r="R1486" s="14"/>
      <c r="S1486" s="17">
        <v>0.48942564</v>
      </c>
      <c r="T1486" s="15">
        <v>10</v>
      </c>
      <c r="U1486" s="15">
        <v>11.52</v>
      </c>
      <c r="V1486" s="15">
        <v>17.54</v>
      </c>
      <c r="W1486" s="14" t="s">
        <v>5196</v>
      </c>
      <c r="X1486" s="14">
        <v>12</v>
      </c>
      <c r="Y1486" s="10">
        <f>AC1486-AB1486</f>
        <v>268</v>
      </c>
      <c r="Z1486" s="18">
        <v>0</v>
      </c>
      <c r="AA1486" s="18">
        <v>65</v>
      </c>
      <c r="AB1486" s="18">
        <v>0</v>
      </c>
      <c r="AC1486" s="18">
        <v>268</v>
      </c>
      <c r="AD1486" s="1" t="s">
        <v>1452</v>
      </c>
      <c r="AE1486" s="1" t="s">
        <v>805</v>
      </c>
      <c r="AF1486" s="4">
        <v>0.5</v>
      </c>
      <c r="AG1486" s="4">
        <v>5.82</v>
      </c>
    </row>
    <row r="1487" spans="1:33" ht="30" x14ac:dyDescent="0.25">
      <c r="A1487" s="10" t="s">
        <v>1933</v>
      </c>
      <c r="B1487" s="11" t="s">
        <v>33</v>
      </c>
      <c r="C1487" s="12" t="s">
        <v>1934</v>
      </c>
      <c r="D1487" s="27"/>
      <c r="E1487" s="14" t="s">
        <v>35</v>
      </c>
      <c r="F1487" s="11" t="str">
        <f>HYPERLINK("https://redirect.sdcdeals.com/redirect?destination=https%3A%2F%2Fwww.amazon.com%2Fdp%2FB01IE1OOWQ%3Fth%3D1%26psc%3D1%26tag%3Dsdcdeals03-20", "Amazon Link")</f>
        <v>Amazon Link</v>
      </c>
      <c r="G1487" s="11" t="s">
        <v>36</v>
      </c>
      <c r="H1487" s="14" t="s">
        <v>1935</v>
      </c>
      <c r="I1487" s="11" t="str">
        <f>HYPERLINK("https://redirect.sdcdeals.com/redirect?code=763034&amp;mavely=https://mavely.app.link/e/bhESV2wGrGb&amp;destination=https%3A%2F%2Fwww.kohls.com%2Fsearch.jsp%3Fsubmit-search%3Dweb-regular%26search%3D46361255", "Retail Link")</f>
        <v>Retail Link</v>
      </c>
      <c r="J1487" s="14" t="s">
        <v>1897</v>
      </c>
      <c r="K1487" s="13" t="s">
        <v>1898</v>
      </c>
      <c r="L1487" s="15">
        <v>10.8</v>
      </c>
      <c r="M1487" s="15">
        <v>13.5</v>
      </c>
      <c r="N1487" s="15">
        <v>-6.5650000000000013</v>
      </c>
      <c r="O1487" s="15">
        <f>V1487-M1487</f>
        <v>17.37</v>
      </c>
      <c r="P1487" s="16">
        <f>N1487/L1487</f>
        <v>-0.60787037037037039</v>
      </c>
      <c r="Q1487" s="14">
        <v>1608</v>
      </c>
      <c r="R1487" s="14">
        <v>100</v>
      </c>
      <c r="S1487" s="17">
        <v>1.1904948</v>
      </c>
      <c r="T1487" s="15">
        <v>13.5</v>
      </c>
      <c r="U1487" s="15">
        <v>29.88</v>
      </c>
      <c r="V1487" s="15">
        <v>30.87</v>
      </c>
      <c r="W1487" s="14" t="s">
        <v>1936</v>
      </c>
      <c r="X1487" s="14">
        <v>3</v>
      </c>
      <c r="Y1487" s="10">
        <f>AC1487-AB1487</f>
        <v>17377</v>
      </c>
      <c r="Z1487" s="18">
        <v>47</v>
      </c>
      <c r="AA1487" s="18">
        <v>101</v>
      </c>
      <c r="AB1487" s="18">
        <v>531</v>
      </c>
      <c r="AC1487" s="18">
        <v>17908</v>
      </c>
      <c r="AD1487" s="1" t="s">
        <v>1900</v>
      </c>
      <c r="AE1487" s="1" t="s">
        <v>1901</v>
      </c>
      <c r="AF1487" s="4">
        <v>0.68</v>
      </c>
      <c r="AG1487" s="4">
        <v>7.24</v>
      </c>
    </row>
    <row r="1488" spans="1:33" ht="45" x14ac:dyDescent="0.25">
      <c r="A1488" s="10" t="s">
        <v>4776</v>
      </c>
      <c r="B1488" s="11" t="s">
        <v>33</v>
      </c>
      <c r="C1488" s="12" t="s">
        <v>4777</v>
      </c>
      <c r="D1488" s="27"/>
      <c r="E1488" s="14" t="s">
        <v>35</v>
      </c>
      <c r="F1488" s="11" t="str">
        <f>HYPERLINK("https://redirect.sdcdeals.com/redirect?destination=https%3A%2F%2Fwww.amazon.com%2Fdp%2FB0CQD5DLMC%3Fth%3D1%26psc%3D1%26tag%3Dsdcdeals03-20", "Amazon Link")</f>
        <v>Amazon Link</v>
      </c>
      <c r="G1488" s="11" t="s">
        <v>36</v>
      </c>
      <c r="H1488" s="14" t="s">
        <v>4778</v>
      </c>
      <c r="I1488" s="11" t="str">
        <f>HYPERLINK("https://redirect.sdcdeals.com/redirect?code=763034&amp;mavely=https://mavely.app.link/e/bhESV2wGrGb&amp;destination=https%3A%2F%2Fwww.kohls.com%2Fsearch.jsp%3Fsubmit-search%3Dweb-regular%26search%3D46962764", "Retail Link")</f>
        <v>Retail Link</v>
      </c>
      <c r="J1488" s="14" t="s">
        <v>4779</v>
      </c>
      <c r="K1488" s="13" t="s">
        <v>4780</v>
      </c>
      <c r="L1488" s="15">
        <v>8.6639999999999997</v>
      </c>
      <c r="M1488" s="15">
        <v>9.99</v>
      </c>
      <c r="N1488" s="15">
        <v>-5.2925000000000004</v>
      </c>
      <c r="O1488" s="15">
        <f>V1488-M1488</f>
        <v>-9.99</v>
      </c>
      <c r="P1488" s="16">
        <f>N1488/L1488</f>
        <v>-0.61086103416435833</v>
      </c>
      <c r="Q1488" s="14">
        <v>880355</v>
      </c>
      <c r="R1488" s="14"/>
      <c r="S1488" s="17">
        <v>1.0008974799999999</v>
      </c>
      <c r="T1488" s="15">
        <v>9.99</v>
      </c>
      <c r="U1488" s="15"/>
      <c r="V1488" s="15"/>
      <c r="W1488" s="14" t="s">
        <v>975</v>
      </c>
      <c r="X1488" s="14">
        <v>1</v>
      </c>
      <c r="Y1488" s="10">
        <f>AC1488-AB1488</f>
        <v>0</v>
      </c>
      <c r="Z1488" s="18">
        <v>0</v>
      </c>
      <c r="AA1488" s="18">
        <v>0</v>
      </c>
      <c r="AB1488" s="18"/>
      <c r="AC1488" s="18"/>
      <c r="AD1488" s="1" t="s">
        <v>4781</v>
      </c>
      <c r="AE1488" s="1" t="s">
        <v>1705</v>
      </c>
      <c r="AG1488" s="4">
        <v>5.12</v>
      </c>
    </row>
    <row r="1489" spans="1:33" ht="30" hidden="1" x14ac:dyDescent="0.25">
      <c r="A1489" s="10" t="s">
        <v>2817</v>
      </c>
      <c r="B1489" s="11" t="s">
        <v>33</v>
      </c>
      <c r="C1489" s="12" t="s">
        <v>2818</v>
      </c>
      <c r="D1489" s="27"/>
      <c r="E1489" s="14" t="s">
        <v>35</v>
      </c>
      <c r="F1489" s="11" t="str">
        <f>HYPERLINK("https://redirect.sdcdeals.com/redirect?destination=https%3A%2F%2Fwww.amazon.com%2Fdp%2FB0CCBP4YNH%3Fth%3D1%26psc%3D1%26tag%3Dsdcdeals03-20", "Amazon Link")</f>
        <v>Amazon Link</v>
      </c>
      <c r="G1489" s="11" t="s">
        <v>36</v>
      </c>
      <c r="H1489" s="14" t="s">
        <v>2819</v>
      </c>
      <c r="I1489" s="11" t="str">
        <f>HYPERLINK("https://redirect.sdcdeals.com/redirect?code=763034&amp;mavely=https://mavely.app.link/e/bhESV2wGrGb&amp;destination=https%3A%2F%2Fwww.kohls.com%2Fsearch.jsp%3Fsubmit-search%3Dweb-regular%26search%3D64250557", "Retail Link")</f>
        <v>Retail Link</v>
      </c>
      <c r="J1489" s="14" t="s">
        <v>2705</v>
      </c>
      <c r="K1489" s="13" t="s">
        <v>2711</v>
      </c>
      <c r="L1489" s="15">
        <v>13.2</v>
      </c>
      <c r="M1489" s="15">
        <v>13.94</v>
      </c>
      <c r="N1489" s="15">
        <v>-8.1810000000000009</v>
      </c>
      <c r="O1489" s="15">
        <f>V1489-M1489</f>
        <v>11.889999999999999</v>
      </c>
      <c r="P1489" s="16">
        <f>N1489/L1489</f>
        <v>-0.61977272727272736</v>
      </c>
      <c r="Q1489" s="14"/>
      <c r="R1489" s="14"/>
      <c r="S1489" s="17">
        <v>0.88184799999999997</v>
      </c>
      <c r="T1489" s="15">
        <v>13.94</v>
      </c>
      <c r="U1489" s="15">
        <v>19.66</v>
      </c>
      <c r="V1489" s="15">
        <v>25.83</v>
      </c>
      <c r="W1489" s="14" t="s">
        <v>316</v>
      </c>
      <c r="X1489" s="14">
        <v>2</v>
      </c>
      <c r="Y1489" s="10">
        <f>AC1489-AB1489</f>
        <v>2</v>
      </c>
      <c r="Z1489" s="18">
        <v>-1</v>
      </c>
      <c r="AA1489" s="18">
        <v>-1</v>
      </c>
      <c r="AB1489" s="18"/>
      <c r="AC1489" s="18">
        <v>2</v>
      </c>
      <c r="AD1489" s="1" t="s">
        <v>2748</v>
      </c>
      <c r="AE1489" s="1" t="s">
        <v>2713</v>
      </c>
      <c r="AF1489" s="4">
        <v>1.4</v>
      </c>
      <c r="AG1489" s="4">
        <v>6.83</v>
      </c>
    </row>
    <row r="1490" spans="1:33" ht="30" x14ac:dyDescent="0.25">
      <c r="A1490" s="10" t="s">
        <v>5225</v>
      </c>
      <c r="B1490" s="11" t="s">
        <v>33</v>
      </c>
      <c r="C1490" s="12" t="s">
        <v>5226</v>
      </c>
      <c r="D1490" s="27"/>
      <c r="E1490" s="14" t="s">
        <v>35</v>
      </c>
      <c r="F1490" s="11" t="str">
        <f>HYPERLINK("https://redirect.sdcdeals.com/redirect?destination=https%3A%2F%2Fwww.amazon.com%2Fdp%2FB093QZ6FNZ%3Fth%3D1%26psc%3D1%26tag%3Dsdcdeals03-20", "Amazon Link")</f>
        <v>Amazon Link</v>
      </c>
      <c r="G1490" s="11" t="s">
        <v>36</v>
      </c>
      <c r="H1490" s="14" t="s">
        <v>5227</v>
      </c>
      <c r="I1490" s="11" t="str">
        <f>HYPERLINK("https://redirect.sdcdeals.com/redirect?code=763034&amp;mavely=https://mavely.app.link/e/bhESV2wGrGb&amp;destination=https%3A%2F%2Fwww.kohls.com%2Fsearch.jsp%3Fsubmit-search%3Dweb-regular%26search%3D37910673", "Retail Link")</f>
        <v>Retail Link</v>
      </c>
      <c r="J1490" s="14" t="s">
        <v>5206</v>
      </c>
      <c r="K1490" s="13" t="s">
        <v>5228</v>
      </c>
      <c r="L1490" s="15">
        <v>8.4</v>
      </c>
      <c r="M1490" s="15">
        <v>9.2200000000000006</v>
      </c>
      <c r="N1490" s="15">
        <v>-5.2329999999999997</v>
      </c>
      <c r="O1490" s="15">
        <f>V1490-M1490</f>
        <v>4.58</v>
      </c>
      <c r="P1490" s="16">
        <f>N1490/L1490</f>
        <v>-0.62297619047619046</v>
      </c>
      <c r="Q1490" s="14">
        <v>104530</v>
      </c>
      <c r="R1490" s="14"/>
      <c r="S1490" s="17">
        <v>0.14991415999999999</v>
      </c>
      <c r="T1490" s="15">
        <v>9.2200000000000006</v>
      </c>
      <c r="U1490" s="15">
        <v>14.19</v>
      </c>
      <c r="V1490" s="15">
        <v>13.8</v>
      </c>
      <c r="W1490" s="14" t="s">
        <v>1795</v>
      </c>
      <c r="X1490" s="14">
        <v>4</v>
      </c>
      <c r="Y1490" s="10">
        <f>AC1490-AB1490</f>
        <v>116</v>
      </c>
      <c r="Z1490" s="18">
        <v>25</v>
      </c>
      <c r="AA1490" s="18">
        <v>74</v>
      </c>
      <c r="AB1490" s="18">
        <v>2</v>
      </c>
      <c r="AC1490" s="18">
        <v>118</v>
      </c>
      <c r="AD1490" s="1" t="s">
        <v>5208</v>
      </c>
      <c r="AE1490" s="1" t="s">
        <v>273</v>
      </c>
      <c r="AG1490" s="4">
        <v>4.67</v>
      </c>
    </row>
    <row r="1491" spans="1:33" x14ac:dyDescent="0.25">
      <c r="A1491" s="10" t="s">
        <v>6537</v>
      </c>
      <c r="B1491" s="11" t="s">
        <v>33</v>
      </c>
      <c r="C1491" s="12" t="s">
        <v>6538</v>
      </c>
      <c r="D1491" s="27"/>
      <c r="E1491" s="14" t="s">
        <v>35</v>
      </c>
      <c r="F1491" s="11" t="str">
        <f>HYPERLINK("https://redirect.sdcdeals.com/redirect?destination=https%3A%2F%2Fwww.amazon.com%2Fdp%2FB0C9LMFHJJ%3Fth%3D1%26psc%3D1%26tag%3Dsdcdeals03-20", "Amazon Link")</f>
        <v>Amazon Link</v>
      </c>
      <c r="G1491" s="11" t="s">
        <v>36</v>
      </c>
      <c r="H1491" s="14" t="s">
        <v>6539</v>
      </c>
      <c r="I1491" s="11" t="str">
        <f>HYPERLINK("https://redirect.sdcdeals.com/redirect?code=763034&amp;mavely=https://mavely.app.link/e/bhESV2wGrGb&amp;destination=https%3A%2F%2Fwww.kohls.com%2Fsearch.jsp%3Fsubmit-search%3Dweb-regular%26search%3D68934358", "Retail Link")</f>
        <v>Retail Link</v>
      </c>
      <c r="J1491" s="14" t="s">
        <v>6540</v>
      </c>
      <c r="K1491" s="13" t="s">
        <v>6541</v>
      </c>
      <c r="L1491" s="15">
        <v>5.4960000000000004</v>
      </c>
      <c r="M1491" s="15">
        <v>6.87</v>
      </c>
      <c r="N1491" s="15">
        <v>-3.4365000000000001</v>
      </c>
      <c r="O1491" s="15">
        <f>V1491-M1491</f>
        <v>4.2499999999999991</v>
      </c>
      <c r="P1491" s="16">
        <f>N1491/L1491</f>
        <v>-0.62527292576419213</v>
      </c>
      <c r="Q1491" s="14">
        <v>207327</v>
      </c>
      <c r="R1491" s="14"/>
      <c r="S1491" s="17">
        <v>0.70988764000000004</v>
      </c>
      <c r="T1491" s="15">
        <v>6.87</v>
      </c>
      <c r="U1491" s="15">
        <v>10.36</v>
      </c>
      <c r="V1491" s="15">
        <v>11.12</v>
      </c>
      <c r="W1491" s="14" t="s">
        <v>1143</v>
      </c>
      <c r="X1491" s="14">
        <v>1</v>
      </c>
      <c r="Y1491" s="10">
        <f>AC1491-AB1491</f>
        <v>16</v>
      </c>
      <c r="Z1491" s="18">
        <v>17</v>
      </c>
      <c r="AA1491" s="18">
        <v>48</v>
      </c>
      <c r="AB1491" s="18">
        <v>0</v>
      </c>
      <c r="AC1491" s="18">
        <v>16</v>
      </c>
      <c r="AD1491" s="1" t="s">
        <v>6542</v>
      </c>
      <c r="AE1491" s="1" t="s">
        <v>76</v>
      </c>
      <c r="AF1491" s="4">
        <v>1.03</v>
      </c>
      <c r="AG1491" s="4">
        <v>3.78</v>
      </c>
    </row>
    <row r="1492" spans="1:33" hidden="1" x14ac:dyDescent="0.25">
      <c r="A1492" s="10" t="s">
        <v>2411</v>
      </c>
      <c r="B1492" s="11" t="s">
        <v>33</v>
      </c>
      <c r="C1492" s="12" t="s">
        <v>2412</v>
      </c>
      <c r="D1492" s="27"/>
      <c r="E1492" s="14" t="s">
        <v>35</v>
      </c>
      <c r="F1492" s="11" t="str">
        <f>HYPERLINK("https://redirect.sdcdeals.com/redirect?destination=https%3A%2F%2Fwww.amazon.com%2Fdp%2FB002HC3A1U%3Fth%3D1%26psc%3D1%26tag%3Dsdcdeals03-20", "Amazon Link")</f>
        <v>Amazon Link</v>
      </c>
      <c r="G1492" s="11" t="s">
        <v>36</v>
      </c>
      <c r="H1492" s="14" t="s">
        <v>2413</v>
      </c>
      <c r="I1492" s="11" t="str">
        <f>HYPERLINK("https://redirect.sdcdeals.com/redirect?code=763034&amp;mavely=https://mavely.app.link/e/bhESV2wGrGb&amp;destination=https%3A%2F%2Fwww.kohls.com%2Fsearch.jsp%3Fsubmit-search%3Dweb-regular%26search%3D76789946", "Retail Link")</f>
        <v>Retail Link</v>
      </c>
      <c r="J1492" s="14" t="s">
        <v>2395</v>
      </c>
      <c r="K1492" s="13" t="s">
        <v>2414</v>
      </c>
      <c r="L1492" s="15">
        <v>10.4</v>
      </c>
      <c r="M1492" s="15">
        <v>7.89</v>
      </c>
      <c r="N1492" s="15">
        <v>-6.6035000000000013</v>
      </c>
      <c r="O1492" s="15">
        <f>V1492-M1492</f>
        <v>5.0000000000000711E-2</v>
      </c>
      <c r="P1492" s="16">
        <f>N1492/L1492</f>
        <v>-0.63495192307692316</v>
      </c>
      <c r="Q1492" s="14"/>
      <c r="R1492" s="14"/>
      <c r="S1492" s="17">
        <v>1.9841580000000001E-2</v>
      </c>
      <c r="T1492" s="15">
        <v>7.89</v>
      </c>
      <c r="U1492" s="15">
        <v>7.88</v>
      </c>
      <c r="V1492" s="15">
        <v>7.94</v>
      </c>
      <c r="W1492" s="14" t="s">
        <v>385</v>
      </c>
      <c r="X1492" s="14">
        <v>6</v>
      </c>
      <c r="Y1492" s="10">
        <f>AC1492-AB1492</f>
        <v>59</v>
      </c>
      <c r="Z1492" s="18">
        <v>0</v>
      </c>
      <c r="AA1492" s="18">
        <v>0</v>
      </c>
      <c r="AB1492" s="18"/>
      <c r="AC1492" s="18">
        <v>59</v>
      </c>
      <c r="AD1492" s="1" t="s">
        <v>2415</v>
      </c>
      <c r="AF1492" s="4">
        <v>0.95</v>
      </c>
      <c r="AG1492" s="4">
        <v>2.91</v>
      </c>
    </row>
    <row r="1493" spans="1:33" ht="30" x14ac:dyDescent="0.25">
      <c r="A1493" s="10" t="s">
        <v>2318</v>
      </c>
      <c r="B1493" s="11" t="s">
        <v>33</v>
      </c>
      <c r="C1493" s="12" t="s">
        <v>2319</v>
      </c>
      <c r="D1493" s="27"/>
      <c r="E1493" s="14" t="s">
        <v>35</v>
      </c>
      <c r="F1493" s="11" t="str">
        <f>HYPERLINK("https://redirect.sdcdeals.com/redirect?destination=https%3A%2F%2Fwww.amazon.com%2Fdp%2FB0BGVZYZD3%3Fth%3D1%26psc%3D1%26tag%3Dsdcdeals03-20", "Amazon Link")</f>
        <v>Amazon Link</v>
      </c>
      <c r="G1493" s="11" t="s">
        <v>36</v>
      </c>
      <c r="H1493" s="14" t="s">
        <v>2320</v>
      </c>
      <c r="I1493" s="11" t="str">
        <f>HYPERLINK("https://redirect.sdcdeals.com/redirect?code=763034&amp;mavely=https://mavely.app.link/e/bhESV2wGrGb&amp;destination=https%3A%2F%2Fwww.kohls.com%2Fsearch.jsp%3Fsubmit-search%3Dweb-regular%26search%3D76910552", "Retail Link")</f>
        <v>Retail Link</v>
      </c>
      <c r="J1493" s="14" t="s">
        <v>2290</v>
      </c>
      <c r="K1493" s="13" t="s">
        <v>2321</v>
      </c>
      <c r="L1493" s="15">
        <v>15.4</v>
      </c>
      <c r="M1493" s="15">
        <v>19.25</v>
      </c>
      <c r="N1493" s="15">
        <v>-9.7874999999999996</v>
      </c>
      <c r="O1493" s="15">
        <f>V1493-M1493</f>
        <v>21.259999999999998</v>
      </c>
      <c r="P1493" s="16">
        <f>N1493/L1493</f>
        <v>-0.63555194805194803</v>
      </c>
      <c r="Q1493" s="14">
        <v>7343</v>
      </c>
      <c r="R1493" s="14"/>
      <c r="S1493" s="17">
        <v>1.0802638</v>
      </c>
      <c r="T1493" s="15">
        <v>19.25</v>
      </c>
      <c r="U1493" s="15">
        <v>33.19</v>
      </c>
      <c r="V1493" s="15">
        <v>40.51</v>
      </c>
      <c r="W1493" s="14" t="s">
        <v>2322</v>
      </c>
      <c r="X1493" s="14">
        <v>5</v>
      </c>
      <c r="Y1493" s="10">
        <f>AC1493-AB1493</f>
        <v>0</v>
      </c>
      <c r="Z1493" s="18">
        <v>40</v>
      </c>
      <c r="AA1493" s="18">
        <v>141</v>
      </c>
      <c r="AB1493" s="18">
        <v>10</v>
      </c>
      <c r="AC1493" s="18">
        <v>10</v>
      </c>
      <c r="AD1493" s="1" t="s">
        <v>2293</v>
      </c>
      <c r="AE1493" s="1" t="s">
        <v>1865</v>
      </c>
      <c r="AF1493" s="4">
        <v>1.93</v>
      </c>
      <c r="AG1493" s="4">
        <v>10.75</v>
      </c>
    </row>
    <row r="1494" spans="1:33" ht="30" x14ac:dyDescent="0.25">
      <c r="A1494" s="10" t="s">
        <v>5566</v>
      </c>
      <c r="B1494" s="11" t="s">
        <v>33</v>
      </c>
      <c r="C1494" s="12" t="s">
        <v>5567</v>
      </c>
      <c r="D1494" s="27"/>
      <c r="E1494" s="14" t="s">
        <v>35</v>
      </c>
      <c r="F1494" s="11" t="str">
        <f>HYPERLINK("https://redirect.sdcdeals.com/redirect?destination=https%3A%2F%2Fwww.amazon.com%2Fdp%2FB0C46TFMH5%3Fth%3D1%26psc%3D1%26tag%3Dsdcdeals03-20", "Amazon Link")</f>
        <v>Amazon Link</v>
      </c>
      <c r="G1494" s="11" t="s">
        <v>36</v>
      </c>
      <c r="H1494" s="14" t="s">
        <v>5568</v>
      </c>
      <c r="I1494" s="11" t="str">
        <f>HYPERLINK("https://redirect.sdcdeals.com/redirect?code=763034&amp;mavely=https://mavely.app.link/e/bhESV2wGrGb&amp;destination=https%3A%2F%2Fwww.kohls.com%2Fsearch.jsp%3Fsubmit-search%3Dweb-regular%26search%3D55967821", "Retail Link")</f>
        <v>Retail Link</v>
      </c>
      <c r="J1494" s="14" t="s">
        <v>5553</v>
      </c>
      <c r="K1494" s="13" t="s">
        <v>5569</v>
      </c>
      <c r="L1494" s="15">
        <v>8.32</v>
      </c>
      <c r="M1494" s="15">
        <v>10.4</v>
      </c>
      <c r="N1494" s="15">
        <v>-5.3000000000000007</v>
      </c>
      <c r="O1494" s="15">
        <f>V1494-M1494</f>
        <v>5.6100000000000012</v>
      </c>
      <c r="P1494" s="16">
        <f>N1494/L1494</f>
        <v>-0.63701923076923084</v>
      </c>
      <c r="Q1494" s="14">
        <v>85039</v>
      </c>
      <c r="R1494" s="14"/>
      <c r="S1494" s="17">
        <v>0.42990089999999997</v>
      </c>
      <c r="T1494" s="15">
        <v>10.4</v>
      </c>
      <c r="U1494" s="15">
        <v>14.15</v>
      </c>
      <c r="V1494" s="15">
        <v>16.010000000000002</v>
      </c>
      <c r="W1494" s="14" t="s">
        <v>321</v>
      </c>
      <c r="X1494" s="14">
        <v>7</v>
      </c>
      <c r="Y1494" s="10">
        <f>AC1494-AB1494</f>
        <v>1</v>
      </c>
      <c r="Z1494" s="18">
        <v>14</v>
      </c>
      <c r="AA1494" s="18">
        <v>32</v>
      </c>
      <c r="AB1494" s="18">
        <v>1</v>
      </c>
      <c r="AC1494" s="18">
        <v>2</v>
      </c>
      <c r="AD1494" s="1" t="s">
        <v>5555</v>
      </c>
      <c r="AE1494" s="1" t="s">
        <v>5556</v>
      </c>
      <c r="AF1494" s="4">
        <v>0.52</v>
      </c>
      <c r="AG1494" s="4">
        <v>5.82</v>
      </c>
    </row>
    <row r="1495" spans="1:33" ht="30" x14ac:dyDescent="0.25">
      <c r="A1495" s="10" t="s">
        <v>5209</v>
      </c>
      <c r="B1495" s="11" t="s">
        <v>33</v>
      </c>
      <c r="C1495" s="12" t="s">
        <v>5210</v>
      </c>
      <c r="D1495" s="27"/>
      <c r="E1495" s="14" t="s">
        <v>35</v>
      </c>
      <c r="F1495" s="11" t="str">
        <f>HYPERLINK("https://redirect.sdcdeals.com/redirect?destination=https%3A%2F%2Fwww.amazon.com%2Fdp%2FB093QX5MD5%3Fth%3D1%26psc%3D1%26tag%3Dsdcdeals03-20", "Amazon Link")</f>
        <v>Amazon Link</v>
      </c>
      <c r="G1495" s="11" t="s">
        <v>36</v>
      </c>
      <c r="H1495" s="14" t="s">
        <v>5211</v>
      </c>
      <c r="I1495" s="11" t="str">
        <f>HYPERLINK("https://redirect.sdcdeals.com/redirect?code=763034&amp;mavely=https://mavely.app.link/e/bhESV2wGrGb&amp;destination=https%3A%2F%2Fwww.kohls.com%2Fsearch.jsp%3Fsubmit-search%3Dweb-regular%26search%3D37910679", "Retail Link")</f>
        <v>Retail Link</v>
      </c>
      <c r="J1495" s="14" t="s">
        <v>5206</v>
      </c>
      <c r="K1495" s="13" t="s">
        <v>5212</v>
      </c>
      <c r="L1495" s="15">
        <v>8.4</v>
      </c>
      <c r="M1495" s="15">
        <v>10.5</v>
      </c>
      <c r="N1495" s="15">
        <v>-5.3750000000000018</v>
      </c>
      <c r="O1495" s="15">
        <f>V1495-M1495</f>
        <v>8.0500000000000007</v>
      </c>
      <c r="P1495" s="16">
        <f>N1495/L1495</f>
        <v>-0.63988095238095255</v>
      </c>
      <c r="Q1495" s="14">
        <v>109351</v>
      </c>
      <c r="R1495" s="14"/>
      <c r="S1495" s="17">
        <v>0.25353130000000001</v>
      </c>
      <c r="T1495" s="15">
        <v>10.5</v>
      </c>
      <c r="U1495" s="15">
        <v>15.45</v>
      </c>
      <c r="V1495" s="15">
        <v>18.55</v>
      </c>
      <c r="W1495" s="14" t="s">
        <v>1832</v>
      </c>
      <c r="X1495" s="14">
        <v>5</v>
      </c>
      <c r="Y1495" s="10">
        <f>AC1495-AB1495</f>
        <v>117</v>
      </c>
      <c r="Z1495" s="18">
        <v>21</v>
      </c>
      <c r="AA1495" s="18">
        <v>66</v>
      </c>
      <c r="AB1495" s="18">
        <v>1</v>
      </c>
      <c r="AC1495" s="18">
        <v>118</v>
      </c>
      <c r="AD1495" s="1" t="s">
        <v>5208</v>
      </c>
      <c r="AE1495" s="1" t="s">
        <v>273</v>
      </c>
      <c r="AF1495" s="4">
        <v>1.05</v>
      </c>
      <c r="AG1495" s="4">
        <v>5.9</v>
      </c>
    </row>
    <row r="1496" spans="1:33" ht="30" x14ac:dyDescent="0.25">
      <c r="A1496" s="10" t="s">
        <v>5221</v>
      </c>
      <c r="B1496" s="11" t="s">
        <v>33</v>
      </c>
      <c r="C1496" s="12" t="s">
        <v>5222</v>
      </c>
      <c r="D1496" s="27"/>
      <c r="E1496" s="14" t="s">
        <v>35</v>
      </c>
      <c r="F1496" s="11" t="str">
        <f>HYPERLINK("https://redirect.sdcdeals.com/redirect?destination=https%3A%2F%2Fwww.amazon.com%2Fdp%2FB093SBGZL7%3Fth%3D1%26psc%3D1%26tag%3Dsdcdeals03-20", "Amazon Link")</f>
        <v>Amazon Link</v>
      </c>
      <c r="G1496" s="11" t="s">
        <v>36</v>
      </c>
      <c r="H1496" s="14" t="s">
        <v>5223</v>
      </c>
      <c r="I1496" s="11" t="str">
        <f>HYPERLINK("https://redirect.sdcdeals.com/redirect?code=763034&amp;mavely=https://mavely.app.link/e/bhESV2wGrGb&amp;destination=https%3A%2F%2Fwww.kohls.com%2Fsearch.jsp%3Fsubmit-search%3Dweb-regular%26search%3D37910671", "Retail Link")</f>
        <v>Retail Link</v>
      </c>
      <c r="J1496" s="14" t="s">
        <v>5206</v>
      </c>
      <c r="K1496" s="13" t="s">
        <v>5224</v>
      </c>
      <c r="L1496" s="15">
        <v>8.4</v>
      </c>
      <c r="M1496" s="15">
        <v>10.5</v>
      </c>
      <c r="N1496" s="15">
        <v>-5.3750000000000018</v>
      </c>
      <c r="O1496" s="15">
        <f>V1496-M1496</f>
        <v>8.8099999999999987</v>
      </c>
      <c r="P1496" s="16">
        <f>N1496/L1496</f>
        <v>-0.63988095238095255</v>
      </c>
      <c r="Q1496" s="14">
        <v>109351</v>
      </c>
      <c r="R1496" s="14"/>
      <c r="S1496" s="17">
        <v>0.18077884</v>
      </c>
      <c r="T1496" s="15">
        <v>10.5</v>
      </c>
      <c r="U1496" s="15">
        <v>14.05</v>
      </c>
      <c r="V1496" s="15">
        <v>19.309999999999999</v>
      </c>
      <c r="W1496" s="14" t="s">
        <v>352</v>
      </c>
      <c r="X1496" s="14">
        <v>2</v>
      </c>
      <c r="Y1496" s="10">
        <f>AC1496-AB1496</f>
        <v>118</v>
      </c>
      <c r="Z1496" s="18">
        <v>21</v>
      </c>
      <c r="AA1496" s="18">
        <v>62</v>
      </c>
      <c r="AB1496" s="18">
        <v>0</v>
      </c>
      <c r="AC1496" s="18">
        <v>118</v>
      </c>
      <c r="AD1496" s="1" t="s">
        <v>5208</v>
      </c>
      <c r="AE1496" s="1" t="s">
        <v>273</v>
      </c>
      <c r="AF1496" s="4">
        <v>0.53</v>
      </c>
      <c r="AG1496" s="4">
        <v>5.9</v>
      </c>
    </row>
    <row r="1497" spans="1:33" ht="30" hidden="1" x14ac:dyDescent="0.25">
      <c r="A1497" s="10" t="s">
        <v>5293</v>
      </c>
      <c r="B1497" s="11" t="s">
        <v>33</v>
      </c>
      <c r="C1497" s="12" t="s">
        <v>5294</v>
      </c>
      <c r="D1497" s="27"/>
      <c r="E1497" s="14" t="s">
        <v>35</v>
      </c>
      <c r="F1497" s="11" t="str">
        <f>HYPERLINK("https://redirect.sdcdeals.com/redirect?destination=https%3A%2F%2Fwww.amazon.com%2Fdp%2FB0CZY3B74W%3Fth%3D1%26psc%3D1%26tag%3Dsdcdeals03-20", "Amazon Link")</f>
        <v>Amazon Link</v>
      </c>
      <c r="G1497" s="11" t="s">
        <v>36</v>
      </c>
      <c r="H1497" s="14" t="s">
        <v>5295</v>
      </c>
      <c r="I1497" s="11" t="str">
        <f>HYPERLINK("https://redirect.sdcdeals.com/redirect?code=763034&amp;mavely=https://mavely.app.link/e/bhESV2wGrGb&amp;destination=https%3A%2F%2Fwww.kohls.com%2Fsearch.jsp%3Fsubmit-search%3Dweb-regular%26search%3D61543745", "Retail Link")</f>
        <v>Retail Link</v>
      </c>
      <c r="J1497" s="14" t="s">
        <v>5268</v>
      </c>
      <c r="K1497" s="13" t="s">
        <v>5274</v>
      </c>
      <c r="L1497" s="15">
        <v>54</v>
      </c>
      <c r="M1497" s="15">
        <v>112.85</v>
      </c>
      <c r="N1497" s="15">
        <v>-34.637500000000003</v>
      </c>
      <c r="O1497" s="15">
        <f>V1497-M1497</f>
        <v>-112.85</v>
      </c>
      <c r="P1497" s="16">
        <f>N1497/L1497</f>
        <v>-0.64143518518518527</v>
      </c>
      <c r="Q1497" s="14"/>
      <c r="R1497" s="14"/>
      <c r="S1497" s="17">
        <v>99.999358580000006</v>
      </c>
      <c r="T1497" s="15">
        <v>112.85</v>
      </c>
      <c r="U1497" s="15"/>
      <c r="V1497" s="15"/>
      <c r="W1497" s="14" t="s">
        <v>164</v>
      </c>
      <c r="X1497" s="14">
        <v>1</v>
      </c>
      <c r="Y1497" s="10">
        <f>AC1497-AB1497</f>
        <v>0</v>
      </c>
      <c r="Z1497" s="18">
        <v>-1</v>
      </c>
      <c r="AA1497" s="18">
        <v>-1</v>
      </c>
      <c r="AB1497" s="18"/>
      <c r="AC1497" s="18"/>
      <c r="AD1497" s="1" t="s">
        <v>5296</v>
      </c>
      <c r="AE1497" s="1" t="s">
        <v>1490</v>
      </c>
      <c r="AG1497" s="4">
        <v>76.56</v>
      </c>
    </row>
    <row r="1498" spans="1:33" ht="45" x14ac:dyDescent="0.25">
      <c r="A1498" s="10" t="s">
        <v>7415</v>
      </c>
      <c r="B1498" s="11" t="s">
        <v>33</v>
      </c>
      <c r="C1498" s="12" t="s">
        <v>7416</v>
      </c>
      <c r="D1498" s="27"/>
      <c r="E1498" s="14" t="s">
        <v>35</v>
      </c>
      <c r="F1498" s="11" t="str">
        <f>HYPERLINK("https://redirect.sdcdeals.com/redirect?destination=https%3A%2F%2Fwww.amazon.com%2Fdp%2FB09NMK2JXX%3Fth%3D1%26psc%3D1%26tag%3Dsdcdeals03-20", "Amazon Link")</f>
        <v>Amazon Link</v>
      </c>
      <c r="G1498" s="11" t="s">
        <v>36</v>
      </c>
      <c r="H1498" s="14" t="s">
        <v>7417</v>
      </c>
      <c r="I1498" s="11" t="str">
        <f>HYPERLINK("https://redirect.sdcdeals.com/redirect?code=763034&amp;mavely=https://mavely.app.link/e/bhESV2wGrGb&amp;destination=https%3A%2F%2Fwww.kohls.com%2Fsearch.jsp%3Fsubmit-search%3Dweb-regular%26search%3D83490079", "Retail Link")</f>
        <v>Retail Link</v>
      </c>
      <c r="J1498" s="14" t="s">
        <v>7418</v>
      </c>
      <c r="K1498" s="13" t="s">
        <v>7419</v>
      </c>
      <c r="L1498" s="15">
        <v>4.7920000000000007</v>
      </c>
      <c r="M1498" s="15">
        <v>11.5</v>
      </c>
      <c r="N1498" s="15">
        <v>-3.137</v>
      </c>
      <c r="O1498" s="15">
        <f>V1498-M1498</f>
        <v>2.9999999999999361E-2</v>
      </c>
      <c r="P1498" s="16">
        <f>N1498/L1498</f>
        <v>-0.65463272120200322</v>
      </c>
      <c r="Q1498" s="14">
        <v>104726</v>
      </c>
      <c r="R1498" s="14"/>
      <c r="S1498" s="17">
        <v>2.5992469800000002</v>
      </c>
      <c r="T1498" s="15">
        <v>11.5</v>
      </c>
      <c r="U1498" s="15">
        <v>11.9</v>
      </c>
      <c r="V1498" s="15">
        <v>11.53</v>
      </c>
      <c r="W1498" s="14" t="s">
        <v>1644</v>
      </c>
      <c r="X1498" s="14">
        <v>6</v>
      </c>
      <c r="Y1498" s="10">
        <f>AC1498-AB1498</f>
        <v>202</v>
      </c>
      <c r="Z1498" s="18">
        <v>46</v>
      </c>
      <c r="AA1498" s="18">
        <v>115</v>
      </c>
      <c r="AB1498" s="18">
        <v>74</v>
      </c>
      <c r="AC1498" s="18">
        <v>276</v>
      </c>
      <c r="AD1498" s="1" t="s">
        <v>7420</v>
      </c>
      <c r="AE1498" s="1" t="s">
        <v>1453</v>
      </c>
      <c r="AF1498" s="4">
        <v>1.73</v>
      </c>
      <c r="AG1498" s="4">
        <v>8.1199999999999992</v>
      </c>
    </row>
    <row r="1499" spans="1:33" ht="30" x14ac:dyDescent="0.25">
      <c r="A1499" s="10" t="s">
        <v>7150</v>
      </c>
      <c r="B1499" s="11" t="s">
        <v>33</v>
      </c>
      <c r="C1499" s="12" t="s">
        <v>7151</v>
      </c>
      <c r="D1499" s="27"/>
      <c r="E1499" s="14" t="s">
        <v>35</v>
      </c>
      <c r="F1499" s="11" t="str">
        <f>HYPERLINK("https://redirect.sdcdeals.com/redirect?destination=https%3A%2F%2Fwww.amazon.com%2Fdp%2FB09R3481YR%3Fth%3D1%26psc%3D1%26tag%3Dsdcdeals03-20", "Amazon Link")</f>
        <v>Amazon Link</v>
      </c>
      <c r="G1499" s="11" t="s">
        <v>36</v>
      </c>
      <c r="H1499" s="14" t="s">
        <v>7152</v>
      </c>
      <c r="I1499" s="11" t="str">
        <f>HYPERLINK("https://redirect.sdcdeals.com/redirect?code=763034&amp;mavely=https://mavely.app.link/e/bhESV2wGrGb&amp;destination=https%3A%2F%2Fwww.kohls.com%2Fsearch.jsp%3Fsubmit-search%3Dweb-regular%26search%3D75270173", "Retail Link")</f>
        <v>Retail Link</v>
      </c>
      <c r="J1499" s="14" t="s">
        <v>7146</v>
      </c>
      <c r="K1499" s="13" t="s">
        <v>7153</v>
      </c>
      <c r="L1499" s="15">
        <v>2.88</v>
      </c>
      <c r="M1499" s="15">
        <v>7.2</v>
      </c>
      <c r="N1499" s="15">
        <v>-1.89</v>
      </c>
      <c r="O1499" s="15">
        <f>V1499-M1499</f>
        <v>7.1000000000000005</v>
      </c>
      <c r="P1499" s="16">
        <f>N1499/L1499</f>
        <v>-0.65625</v>
      </c>
      <c r="Q1499" s="14">
        <v>2014125</v>
      </c>
      <c r="R1499" s="14"/>
      <c r="S1499" s="17">
        <v>0.1543234</v>
      </c>
      <c r="T1499" s="15">
        <v>7.2</v>
      </c>
      <c r="U1499" s="15">
        <v>13.4</v>
      </c>
      <c r="V1499" s="15">
        <v>14.3</v>
      </c>
      <c r="W1499" s="14" t="s">
        <v>450</v>
      </c>
      <c r="X1499" s="14">
        <v>2</v>
      </c>
      <c r="Y1499" s="10">
        <f>AC1499-AB1499</f>
        <v>0</v>
      </c>
      <c r="Z1499" s="18">
        <v>2</v>
      </c>
      <c r="AA1499" s="18">
        <v>4</v>
      </c>
      <c r="AB1499" s="18">
        <v>1</v>
      </c>
      <c r="AC1499" s="18">
        <v>1</v>
      </c>
      <c r="AD1499" s="1" t="s">
        <v>7154</v>
      </c>
      <c r="AE1499" s="1" t="s">
        <v>7149</v>
      </c>
      <c r="AF1499" s="4">
        <v>0.36</v>
      </c>
      <c r="AG1499" s="4">
        <v>5.13</v>
      </c>
    </row>
    <row r="1500" spans="1:33" ht="30" hidden="1" x14ac:dyDescent="0.25">
      <c r="A1500" s="10" t="s">
        <v>5111</v>
      </c>
      <c r="B1500" s="11" t="s">
        <v>33</v>
      </c>
      <c r="C1500" s="12" t="s">
        <v>5112</v>
      </c>
      <c r="D1500" s="27"/>
      <c r="E1500" s="14" t="s">
        <v>35</v>
      </c>
      <c r="F1500" s="11" t="str">
        <f>HYPERLINK("https://redirect.sdcdeals.com/redirect?destination=https%3A%2F%2Fwww.amazon.com%2Fdp%2FB0CL5JBF5D%3Fth%3D1%26psc%3D1%26tag%3Dsdcdeals03-20", "Amazon Link")</f>
        <v>Amazon Link</v>
      </c>
      <c r="G1500" s="11" t="s">
        <v>36</v>
      </c>
      <c r="H1500" s="14" t="s">
        <v>5113</v>
      </c>
      <c r="I1500" s="11" t="str">
        <f>HYPERLINK("https://redirect.sdcdeals.com/redirect?code=763034&amp;mavely=https://mavely.app.link/e/bhESV2wGrGb&amp;destination=https%3A%2F%2Fwww.kohls.com%2Fsearch.jsp%3Fsubmit-search%3Dweb-regular%26search%3D18796710", "Retail Link")</f>
        <v>Retail Link</v>
      </c>
      <c r="J1500" s="14" t="s">
        <v>5090</v>
      </c>
      <c r="K1500" s="13" t="s">
        <v>5114</v>
      </c>
      <c r="L1500" s="15">
        <v>7.6000000000000014</v>
      </c>
      <c r="M1500" s="15">
        <v>9.99</v>
      </c>
      <c r="N1500" s="15">
        <v>-5.0085000000000024</v>
      </c>
      <c r="O1500" s="15">
        <f>V1500-M1500</f>
        <v>12.499999999999998</v>
      </c>
      <c r="P1500" s="16">
        <f>N1500/L1500</f>
        <v>-0.65901315789473702</v>
      </c>
      <c r="Q1500" s="14"/>
      <c r="R1500" s="14"/>
      <c r="S1500" s="17">
        <v>0.50926722000000002</v>
      </c>
      <c r="T1500" s="15">
        <v>9.99</v>
      </c>
      <c r="U1500" s="15">
        <v>15.87</v>
      </c>
      <c r="V1500" s="15">
        <v>22.49</v>
      </c>
      <c r="W1500" s="14" t="s">
        <v>752</v>
      </c>
      <c r="X1500" s="14">
        <v>11</v>
      </c>
      <c r="Y1500" s="10">
        <f>AC1500-AB1500</f>
        <v>0</v>
      </c>
      <c r="Z1500" s="18">
        <v>0</v>
      </c>
      <c r="AA1500" s="18">
        <v>19</v>
      </c>
      <c r="AB1500" s="18">
        <v>0</v>
      </c>
      <c r="AC1500" s="18"/>
      <c r="AE1500" s="1" t="s">
        <v>5092</v>
      </c>
      <c r="AF1500" s="4">
        <v>1</v>
      </c>
      <c r="AG1500" s="4">
        <v>5.9</v>
      </c>
    </row>
    <row r="1501" spans="1:33" ht="30" x14ac:dyDescent="0.25">
      <c r="A1501" s="10" t="s">
        <v>5561</v>
      </c>
      <c r="B1501" s="11" t="s">
        <v>33</v>
      </c>
      <c r="C1501" s="12" t="s">
        <v>5562</v>
      </c>
      <c r="D1501" s="27"/>
      <c r="E1501" s="14" t="s">
        <v>35</v>
      </c>
      <c r="F1501" s="11" t="str">
        <f>HYPERLINK("https://redirect.sdcdeals.com/redirect?destination=https%3A%2F%2Fwww.amazon.com%2Fdp%2FB0C46V2QHF%3Fth%3D1%26psc%3D1%26tag%3Dsdcdeals03-20", "Amazon Link")</f>
        <v>Amazon Link</v>
      </c>
      <c r="G1501" s="11" t="s">
        <v>36</v>
      </c>
      <c r="H1501" s="14" t="s">
        <v>5563</v>
      </c>
      <c r="I1501" s="11" t="str">
        <f>HYPERLINK("https://redirect.sdcdeals.com/redirect?code=763034&amp;mavely=https://mavely.app.link/e/bhESV2wGrGb&amp;destination=https%3A%2F%2Fwww.kohls.com%2Fsearch.jsp%3Fsubmit-search%3Dweb-regular%26search%3D55967811", "Retail Link")</f>
        <v>Retail Link</v>
      </c>
      <c r="J1501" s="14" t="s">
        <v>5553</v>
      </c>
      <c r="K1501" s="13" t="s">
        <v>5564</v>
      </c>
      <c r="L1501" s="15">
        <v>8.32</v>
      </c>
      <c r="M1501" s="15">
        <v>10.4</v>
      </c>
      <c r="N1501" s="15">
        <v>-5.53</v>
      </c>
      <c r="O1501" s="15">
        <f>V1501-M1501</f>
        <v>8.7999999999999989</v>
      </c>
      <c r="P1501" s="16">
        <f>N1501/L1501</f>
        <v>-0.66466346153846156</v>
      </c>
      <c r="Q1501" s="14">
        <v>85039</v>
      </c>
      <c r="R1501" s="14"/>
      <c r="S1501" s="17">
        <v>0.35053457999999998</v>
      </c>
      <c r="T1501" s="15">
        <v>10.4</v>
      </c>
      <c r="U1501" s="15">
        <v>19.579999999999998</v>
      </c>
      <c r="V1501" s="15">
        <v>19.2</v>
      </c>
      <c r="W1501" s="14" t="s">
        <v>5565</v>
      </c>
      <c r="X1501" s="14">
        <v>3</v>
      </c>
      <c r="Y1501" s="10">
        <f>AC1501-AB1501</f>
        <v>2</v>
      </c>
      <c r="Z1501" s="18">
        <v>11</v>
      </c>
      <c r="AA1501" s="18">
        <v>28</v>
      </c>
      <c r="AB1501" s="18">
        <v>0</v>
      </c>
      <c r="AC1501" s="18">
        <v>2</v>
      </c>
      <c r="AD1501" s="1" t="s">
        <v>5555</v>
      </c>
      <c r="AE1501" s="1" t="s">
        <v>5556</v>
      </c>
      <c r="AF1501" s="4">
        <v>0.52</v>
      </c>
      <c r="AG1501" s="4">
        <v>6.05</v>
      </c>
    </row>
    <row r="1502" spans="1:33" ht="30" hidden="1" x14ac:dyDescent="0.25">
      <c r="A1502" s="10" t="s">
        <v>5186</v>
      </c>
      <c r="B1502" s="11" t="s">
        <v>33</v>
      </c>
      <c r="C1502" s="12" t="s">
        <v>5187</v>
      </c>
      <c r="D1502" s="27"/>
      <c r="E1502" s="14" t="s">
        <v>35</v>
      </c>
      <c r="F1502" s="11" t="str">
        <f>HYPERLINK("https://redirect.sdcdeals.com/redirect?destination=https%3A%2F%2Fwww.amazon.com%2Fdp%2FB0CL5KJFZJ%3Fth%3D1%26psc%3D1%26tag%3Dsdcdeals03-20", "Amazon Link")</f>
        <v>Amazon Link</v>
      </c>
      <c r="G1502" s="11" t="s">
        <v>36</v>
      </c>
      <c r="H1502" s="14" t="s">
        <v>5188</v>
      </c>
      <c r="I1502" s="11" t="str">
        <f>HYPERLINK("https://redirect.sdcdeals.com/redirect?code=763034&amp;mavely=https://mavely.app.link/e/bhESV2wGrGb&amp;destination=https%3A%2F%2Fwww.kohls.com%2Fsearch.jsp%3Fsubmit-search%3Dweb-regular%26search%3D18796726", "Retail Link")</f>
        <v>Retail Link</v>
      </c>
      <c r="J1502" s="14" t="s">
        <v>5168</v>
      </c>
      <c r="K1502" s="13" t="s">
        <v>5189</v>
      </c>
      <c r="L1502" s="15">
        <v>6.8000000000000007</v>
      </c>
      <c r="M1502" s="15">
        <v>9.49</v>
      </c>
      <c r="N1502" s="15">
        <v>-4.5535000000000014</v>
      </c>
      <c r="O1502" s="15">
        <f>V1502-M1502</f>
        <v>7.7999999999999989</v>
      </c>
      <c r="P1502" s="16">
        <f>N1502/L1502</f>
        <v>-0.66963235294117662</v>
      </c>
      <c r="Q1502" s="14"/>
      <c r="R1502" s="14"/>
      <c r="S1502" s="17">
        <v>0.48942564</v>
      </c>
      <c r="T1502" s="15">
        <v>9.1999999999999993</v>
      </c>
      <c r="U1502" s="15">
        <v>11.67</v>
      </c>
      <c r="V1502" s="15">
        <v>17.29</v>
      </c>
      <c r="W1502" s="14" t="s">
        <v>5190</v>
      </c>
      <c r="X1502" s="14">
        <v>18</v>
      </c>
      <c r="Y1502" s="10">
        <f>AC1502-AB1502</f>
        <v>0</v>
      </c>
      <c r="Z1502" s="18">
        <v>0</v>
      </c>
      <c r="AA1502" s="18">
        <v>69</v>
      </c>
      <c r="AB1502" s="18">
        <v>0</v>
      </c>
      <c r="AC1502" s="18"/>
      <c r="AE1502" s="1" t="s">
        <v>5191</v>
      </c>
      <c r="AF1502" s="4">
        <v>1.61</v>
      </c>
      <c r="AG1502" s="4">
        <v>5.82</v>
      </c>
    </row>
    <row r="1503" spans="1:33" ht="45" x14ac:dyDescent="0.25">
      <c r="A1503" s="10" t="s">
        <v>287</v>
      </c>
      <c r="B1503" s="11" t="s">
        <v>33</v>
      </c>
      <c r="C1503" s="12" t="s">
        <v>288</v>
      </c>
      <c r="D1503" s="27"/>
      <c r="E1503" s="14" t="s">
        <v>35</v>
      </c>
      <c r="F1503" s="11" t="str">
        <f>HYPERLINK("https://redirect.sdcdeals.com/redirect?destination=https%3A%2F%2Fwww.amazon.com%2Fdp%2FB093R3TB5G%3Fth%3D1%26psc%3D1%26tag%3Dsdcdeals03-20", "Amazon Link")</f>
        <v>Amazon Link</v>
      </c>
      <c r="G1503" s="11" t="s">
        <v>36</v>
      </c>
      <c r="H1503" s="14" t="s">
        <v>289</v>
      </c>
      <c r="I1503" s="11" t="str">
        <f>HYPERLINK("https://redirect.sdcdeals.com/redirect?code=763034&amp;mavely=https://mavely.app.link/e/bhESV2wGrGb&amp;destination=https%3A%2F%2Fwww.kohls.com%2Fsearch.jsp%3Fsubmit-search%3Dweb-regular%26search%3D61414269", "Retail Link")</f>
        <v>Retail Link</v>
      </c>
      <c r="J1503" s="14" t="s">
        <v>263</v>
      </c>
      <c r="K1503" s="13" t="s">
        <v>264</v>
      </c>
      <c r="L1503" s="15">
        <v>8.4</v>
      </c>
      <c r="M1503" s="15">
        <v>11.55</v>
      </c>
      <c r="N1503" s="15">
        <v>-5.6624999999999996</v>
      </c>
      <c r="O1503" s="15">
        <f>V1503-M1503</f>
        <v>4.2299999999999986</v>
      </c>
      <c r="P1503" s="16">
        <f>N1503/L1503</f>
        <v>-0.67410714285714279</v>
      </c>
      <c r="Q1503" s="14">
        <v>101269</v>
      </c>
      <c r="R1503" s="14"/>
      <c r="S1503" s="17">
        <v>0.20062041999999999</v>
      </c>
      <c r="T1503" s="15">
        <v>5.87</v>
      </c>
      <c r="U1503" s="15">
        <v>12.99</v>
      </c>
      <c r="V1503" s="15">
        <v>15.78</v>
      </c>
      <c r="W1503" s="14" t="s">
        <v>290</v>
      </c>
      <c r="X1503" s="14">
        <v>3</v>
      </c>
      <c r="Y1503" s="10">
        <f>AC1503-AB1503</f>
        <v>452</v>
      </c>
      <c r="Z1503" s="18">
        <v>34</v>
      </c>
      <c r="AA1503" s="18">
        <v>78</v>
      </c>
      <c r="AB1503" s="18">
        <v>1</v>
      </c>
      <c r="AC1503" s="18">
        <v>453</v>
      </c>
      <c r="AD1503" s="1" t="s">
        <v>265</v>
      </c>
      <c r="AE1503" s="1" t="s">
        <v>273</v>
      </c>
      <c r="AF1503" s="4">
        <v>0.57999999999999996</v>
      </c>
      <c r="AG1503" s="4">
        <v>7.08</v>
      </c>
    </row>
    <row r="1504" spans="1:33" ht="45" x14ac:dyDescent="0.25">
      <c r="A1504" s="10" t="s">
        <v>3645</v>
      </c>
      <c r="B1504" s="11" t="s">
        <v>33</v>
      </c>
      <c r="C1504" s="12" t="s">
        <v>3646</v>
      </c>
      <c r="D1504" s="27"/>
      <c r="E1504" s="14" t="s">
        <v>35</v>
      </c>
      <c r="F1504" s="11" t="str">
        <f>HYPERLINK("https://redirect.sdcdeals.com/redirect?destination=https%3A%2F%2Fwww.amazon.com%2Fdp%2FB0C824KPQQ%3Fth%3D1%26psc%3D1%26tag%3Dsdcdeals03-20", "Amazon Link")</f>
        <v>Amazon Link</v>
      </c>
      <c r="G1504" s="11" t="s">
        <v>36</v>
      </c>
      <c r="H1504" s="14" t="s">
        <v>3647</v>
      </c>
      <c r="I1504" s="11" t="str">
        <f>HYPERLINK("https://redirect.sdcdeals.com/redirect?code=763034&amp;mavely=https://mavely.app.link/e/bhESV2wGrGb&amp;destination=https%3A%2F%2Fwww.kohls.com%2Fsearch.jsp%3Fsubmit-search%3Dweb-regular%26search%3D20552287", "Retail Link")</f>
        <v>Retail Link</v>
      </c>
      <c r="J1504" s="14" t="s">
        <v>3633</v>
      </c>
      <c r="K1504" s="13" t="s">
        <v>3634</v>
      </c>
      <c r="L1504" s="15">
        <v>11.44</v>
      </c>
      <c r="M1504" s="15">
        <v>17.73</v>
      </c>
      <c r="N1504" s="15">
        <v>-7.8795000000000002</v>
      </c>
      <c r="O1504" s="15">
        <f>V1504-M1504</f>
        <v>13.259999999999998</v>
      </c>
      <c r="P1504" s="16">
        <f>N1504/L1504</f>
        <v>-0.68876748251748254</v>
      </c>
      <c r="Q1504" s="14">
        <v>1478300</v>
      </c>
      <c r="R1504" s="14"/>
      <c r="S1504" s="17">
        <v>0.71650150000000001</v>
      </c>
      <c r="T1504" s="15">
        <v>17.73</v>
      </c>
      <c r="U1504" s="15">
        <v>25.34</v>
      </c>
      <c r="V1504" s="15">
        <v>30.99</v>
      </c>
      <c r="W1504" s="14" t="s">
        <v>903</v>
      </c>
      <c r="X1504" s="14">
        <v>6</v>
      </c>
      <c r="Y1504" s="10">
        <f>AC1504-AB1504</f>
        <v>1</v>
      </c>
      <c r="Z1504" s="18">
        <v>5</v>
      </c>
      <c r="AA1504" s="18">
        <v>20</v>
      </c>
      <c r="AB1504" s="18">
        <v>1</v>
      </c>
      <c r="AC1504" s="18">
        <v>2</v>
      </c>
      <c r="AD1504" s="1" t="s">
        <v>3635</v>
      </c>
      <c r="AE1504" s="1" t="s">
        <v>3636</v>
      </c>
      <c r="AF1504" s="4">
        <v>1.77</v>
      </c>
      <c r="AG1504" s="4">
        <v>11.51</v>
      </c>
    </row>
    <row r="1505" spans="1:33" ht="30" hidden="1" x14ac:dyDescent="0.25">
      <c r="A1505" s="10" t="s">
        <v>7223</v>
      </c>
      <c r="B1505" s="11" t="s">
        <v>33</v>
      </c>
      <c r="C1505" s="12" t="s">
        <v>7224</v>
      </c>
      <c r="D1505" s="27"/>
      <c r="E1505" s="14" t="s">
        <v>35</v>
      </c>
      <c r="F1505" s="11" t="str">
        <f>HYPERLINK("https://redirect.sdcdeals.com/redirect?destination=https%3A%2F%2Fwww.amazon.com%2Fdp%2FB08NQ1STRP%3Fth%3D1%26psc%3D1%26tag%3Dsdcdeals03-20", "Amazon Link")</f>
        <v>Amazon Link</v>
      </c>
      <c r="G1505" s="11" t="s">
        <v>36</v>
      </c>
      <c r="H1505" s="14" t="s">
        <v>7225</v>
      </c>
      <c r="I1505" s="11" t="str">
        <f>HYPERLINK("https://redirect.sdcdeals.com/redirect?code=763034&amp;mavely=https://mavely.app.link/e/bhESV2wGrGb&amp;destination=https%3A%2F%2Fwww.kohls.com%2Fsearch.jsp%3Fsubmit-search%3Dweb-regular%26search%3D71949756", "Retail Link")</f>
        <v>Retail Link</v>
      </c>
      <c r="J1505" s="14" t="s">
        <v>7220</v>
      </c>
      <c r="K1505" s="13" t="s">
        <v>7221</v>
      </c>
      <c r="L1505" s="15">
        <v>8.2799999999999994</v>
      </c>
      <c r="M1505" s="15">
        <v>9.9499999999999993</v>
      </c>
      <c r="N1505" s="15">
        <v>-5.7225000000000001</v>
      </c>
      <c r="O1505" s="15">
        <f>V1505-M1505</f>
        <v>7.990000000000002</v>
      </c>
      <c r="P1505" s="16">
        <f>N1505/L1505</f>
        <v>-0.69112318840579712</v>
      </c>
      <c r="Q1505" s="14"/>
      <c r="R1505" s="14"/>
      <c r="S1505" s="17">
        <v>0.71870612</v>
      </c>
      <c r="T1505" s="15">
        <v>9.9499999999999993</v>
      </c>
      <c r="U1505" s="15">
        <v>17.940000000000001</v>
      </c>
      <c r="V1505" s="15">
        <v>17.940000000000001</v>
      </c>
      <c r="W1505" s="14" t="s">
        <v>164</v>
      </c>
      <c r="X1505" s="14">
        <v>2</v>
      </c>
      <c r="Y1505" s="10">
        <f>AC1505-AB1505</f>
        <v>1</v>
      </c>
      <c r="Z1505" s="18">
        <v>-1</v>
      </c>
      <c r="AA1505" s="18">
        <v>-1</v>
      </c>
      <c r="AB1505" s="18">
        <v>0</v>
      </c>
      <c r="AC1505" s="18">
        <v>1</v>
      </c>
      <c r="AD1505" s="1" t="s">
        <v>7226</v>
      </c>
      <c r="AE1505" s="1" t="s">
        <v>76</v>
      </c>
      <c r="AG1505" s="4">
        <v>5.9</v>
      </c>
    </row>
    <row r="1506" spans="1:33" ht="30" hidden="1" x14ac:dyDescent="0.25">
      <c r="A1506" s="10" t="s">
        <v>5115</v>
      </c>
      <c r="B1506" s="11" t="s">
        <v>33</v>
      </c>
      <c r="C1506" s="12" t="s">
        <v>5116</v>
      </c>
      <c r="D1506" s="27"/>
      <c r="E1506" s="14" t="s">
        <v>35</v>
      </c>
      <c r="F1506" s="11" t="str">
        <f>HYPERLINK("https://redirect.sdcdeals.com/redirect?destination=https%3A%2F%2Fwww.amazon.com%2Fdp%2FB0CL5JCVX4%3Fth%3D1%26psc%3D1%26tag%3Dsdcdeals03-20", "Amazon Link")</f>
        <v>Amazon Link</v>
      </c>
      <c r="G1506" s="11" t="s">
        <v>36</v>
      </c>
      <c r="H1506" s="14" t="s">
        <v>5117</v>
      </c>
      <c r="I1506" s="11" t="str">
        <f>HYPERLINK("https://redirect.sdcdeals.com/redirect?code=763034&amp;mavely=https://mavely.app.link/e/bhESV2wGrGb&amp;destination=https%3A%2F%2Fwww.kohls.com%2Fsearch.jsp%3Fsubmit-search%3Dweb-regular%26search%3D18796711", "Retail Link")</f>
        <v>Retail Link</v>
      </c>
      <c r="J1506" s="14" t="s">
        <v>5090</v>
      </c>
      <c r="K1506" s="13" t="s">
        <v>5118</v>
      </c>
      <c r="L1506" s="15">
        <v>7.6000000000000014</v>
      </c>
      <c r="M1506" s="15">
        <v>9.9700000000000006</v>
      </c>
      <c r="N1506" s="15">
        <v>-5.2655000000000003</v>
      </c>
      <c r="O1506" s="15">
        <f>V1506-M1506</f>
        <v>12.200000000000001</v>
      </c>
      <c r="P1506" s="16">
        <f>N1506/L1506</f>
        <v>-0.69282894736842093</v>
      </c>
      <c r="Q1506" s="14"/>
      <c r="R1506" s="14"/>
      <c r="S1506" s="17">
        <v>0.59965663999999996</v>
      </c>
      <c r="T1506" s="15">
        <v>9.9700000000000006</v>
      </c>
      <c r="U1506" s="15">
        <v>15.11</v>
      </c>
      <c r="V1506" s="15">
        <v>22.17</v>
      </c>
      <c r="W1506" s="14" t="s">
        <v>5119</v>
      </c>
      <c r="X1506" s="14">
        <v>11</v>
      </c>
      <c r="Y1506" s="10">
        <f>AC1506-AB1506</f>
        <v>0</v>
      </c>
      <c r="Z1506" s="18">
        <v>0</v>
      </c>
      <c r="AA1506" s="18">
        <v>18</v>
      </c>
      <c r="AB1506" s="18">
        <v>0</v>
      </c>
      <c r="AC1506" s="18"/>
      <c r="AE1506" s="1" t="s">
        <v>5092</v>
      </c>
      <c r="AF1506" s="4">
        <v>1.69</v>
      </c>
      <c r="AG1506" s="4">
        <v>6.14</v>
      </c>
    </row>
    <row r="1507" spans="1:33" ht="30" x14ac:dyDescent="0.25">
      <c r="A1507" s="10" t="s">
        <v>5233</v>
      </c>
      <c r="B1507" s="11" t="s">
        <v>33</v>
      </c>
      <c r="C1507" s="12" t="s">
        <v>5234</v>
      </c>
      <c r="D1507" s="27"/>
      <c r="E1507" s="14" t="s">
        <v>35</v>
      </c>
      <c r="F1507" s="11" t="str">
        <f>HYPERLINK("https://redirect.sdcdeals.com/redirect?destination=https%3A%2F%2Fwww.amazon.com%2Fdp%2FB093G7GMCM%3Fth%3D1%26psc%3D1%26tag%3Dsdcdeals03-20", "Amazon Link")</f>
        <v>Amazon Link</v>
      </c>
      <c r="G1507" s="11" t="s">
        <v>36</v>
      </c>
      <c r="H1507" s="14" t="s">
        <v>5235</v>
      </c>
      <c r="I1507" s="11" t="str">
        <f>HYPERLINK("https://redirect.sdcdeals.com/redirect?code=763034&amp;mavely=https://mavely.app.link/e/bhESV2wGrGb&amp;destination=https%3A%2F%2Fwww.kohls.com%2Fsearch.jsp%3Fsubmit-search%3Dweb-regular%26search%3D72098938", "Retail Link")</f>
        <v>Retail Link</v>
      </c>
      <c r="J1507" s="14" t="s">
        <v>5206</v>
      </c>
      <c r="K1507" s="13" t="s">
        <v>5236</v>
      </c>
      <c r="L1507" s="15">
        <v>8.4</v>
      </c>
      <c r="M1507" s="15">
        <v>9.9700000000000006</v>
      </c>
      <c r="N1507" s="15">
        <v>-5.8254999999999999</v>
      </c>
      <c r="O1507" s="15">
        <f>V1507-M1507</f>
        <v>5.2999999999999989</v>
      </c>
      <c r="P1507" s="16">
        <f>N1507/L1507</f>
        <v>-0.69351190476190472</v>
      </c>
      <c r="Q1507" s="14">
        <v>109351</v>
      </c>
      <c r="R1507" s="14"/>
      <c r="S1507" s="17">
        <v>0.14991415999999999</v>
      </c>
      <c r="T1507" s="15">
        <v>9.9700000000000006</v>
      </c>
      <c r="U1507" s="15">
        <v>16.89</v>
      </c>
      <c r="V1507" s="15">
        <v>15.27</v>
      </c>
      <c r="W1507" s="14" t="s">
        <v>199</v>
      </c>
      <c r="X1507" s="14">
        <v>2</v>
      </c>
      <c r="Y1507" s="10">
        <f>AC1507-AB1507</f>
        <v>116</v>
      </c>
      <c r="Z1507" s="18">
        <v>24</v>
      </c>
      <c r="AA1507" s="18">
        <v>69</v>
      </c>
      <c r="AB1507" s="18">
        <v>2</v>
      </c>
      <c r="AC1507" s="18">
        <v>118</v>
      </c>
      <c r="AD1507" s="1" t="s">
        <v>5208</v>
      </c>
      <c r="AE1507" s="1" t="s">
        <v>278</v>
      </c>
      <c r="AF1507" s="4">
        <v>0.5</v>
      </c>
      <c r="AG1507" s="4">
        <v>5.9</v>
      </c>
    </row>
    <row r="1508" spans="1:33" ht="30" x14ac:dyDescent="0.25">
      <c r="A1508" s="10" t="s">
        <v>2402</v>
      </c>
      <c r="B1508" s="11" t="s">
        <v>33</v>
      </c>
      <c r="C1508" s="12" t="s">
        <v>2403</v>
      </c>
      <c r="D1508" s="27"/>
      <c r="E1508" s="14" t="s">
        <v>35</v>
      </c>
      <c r="F1508" s="11" t="str">
        <f>HYPERLINK("https://redirect.sdcdeals.com/redirect?destination=https%3A%2F%2Fwww.amazon.com%2Fdp%2FB001OQZBYY%3Fth%3D1%26psc%3D1%26tag%3Dsdcdeals03-20", "Amazon Link")</f>
        <v>Amazon Link</v>
      </c>
      <c r="G1508" s="11" t="s">
        <v>36</v>
      </c>
      <c r="H1508" s="14" t="s">
        <v>2404</v>
      </c>
      <c r="I1508" s="11" t="str">
        <f>HYPERLINK("https://redirect.sdcdeals.com/redirect?code=763034&amp;mavely=https://mavely.app.link/e/bhESV2wGrGb&amp;destination=https%3A%2F%2Fwww.kohls.com%2Fsearch.jsp%3Fsubmit-search%3Dweb-regular%26search%3D76789949", "Retail Link")</f>
        <v>Retail Link</v>
      </c>
      <c r="J1508" s="14" t="s">
        <v>2395</v>
      </c>
      <c r="K1508" s="13" t="s">
        <v>2405</v>
      </c>
      <c r="L1508" s="15">
        <v>10.4</v>
      </c>
      <c r="M1508" s="15">
        <v>6.76</v>
      </c>
      <c r="N1508" s="15">
        <v>-7.2840000000000007</v>
      </c>
      <c r="O1508" s="15">
        <f>V1508-M1508</f>
        <v>0.29000000000000004</v>
      </c>
      <c r="P1508" s="16">
        <f>N1508/L1508</f>
        <v>-0.70038461538461538</v>
      </c>
      <c r="Q1508" s="14">
        <v>2106233</v>
      </c>
      <c r="R1508" s="14"/>
      <c r="S1508" s="17">
        <v>0.31966990000000001</v>
      </c>
      <c r="T1508" s="15">
        <v>2</v>
      </c>
      <c r="U1508" s="15">
        <v>7.07</v>
      </c>
      <c r="V1508" s="15">
        <v>7.05</v>
      </c>
      <c r="W1508" s="14" t="s">
        <v>742</v>
      </c>
      <c r="X1508" s="14">
        <v>4</v>
      </c>
      <c r="Y1508" s="10">
        <f>AC1508-AB1508</f>
        <v>5</v>
      </c>
      <c r="Z1508" s="18">
        <v>1</v>
      </c>
      <c r="AA1508" s="18">
        <v>1</v>
      </c>
      <c r="AB1508" s="18"/>
      <c r="AC1508" s="18">
        <v>5</v>
      </c>
      <c r="AD1508" s="1" t="s">
        <v>2406</v>
      </c>
      <c r="AF1508" s="4">
        <v>0.81</v>
      </c>
      <c r="AG1508" s="4">
        <v>2.63</v>
      </c>
    </row>
    <row r="1509" spans="1:33" hidden="1" x14ac:dyDescent="0.25">
      <c r="A1509" s="10" t="s">
        <v>6806</v>
      </c>
      <c r="B1509" s="11" t="s">
        <v>33</v>
      </c>
      <c r="C1509" s="12" t="s">
        <v>6807</v>
      </c>
      <c r="D1509" s="27"/>
      <c r="E1509" s="14" t="s">
        <v>35</v>
      </c>
      <c r="F1509" s="11" t="str">
        <f>HYPERLINK("https://redirect.sdcdeals.com/redirect?destination=https%3A%2F%2Fwww.amazon.com%2Fdp%2FB087TNLL8S%3Fth%3D1%26psc%3D1%26tag%3Dsdcdeals03-20", "Amazon Link")</f>
        <v>Amazon Link</v>
      </c>
      <c r="G1509" s="11" t="s">
        <v>36</v>
      </c>
      <c r="H1509" s="14" t="s">
        <v>6808</v>
      </c>
      <c r="I1509" s="11" t="str">
        <f>HYPERLINK("https://redirect.sdcdeals.com/redirect?code=763034&amp;mavely=https://mavely.app.link/e/bhESV2wGrGb&amp;destination=https%3A%2F%2Fwww.kohls.com%2Fsearch.jsp%3Fsubmit-search%3Dweb-regular%26search%3D81152136", "Retail Link")</f>
        <v>Retail Link</v>
      </c>
      <c r="J1509" s="14" t="s">
        <v>6809</v>
      </c>
      <c r="K1509" s="13" t="s">
        <v>6810</v>
      </c>
      <c r="L1509" s="15">
        <v>19.2</v>
      </c>
      <c r="M1509" s="15">
        <v>12.69</v>
      </c>
      <c r="N1509" s="15">
        <v>-13.763500000000001</v>
      </c>
      <c r="O1509" s="15">
        <f>V1509-M1509</f>
        <v>0</v>
      </c>
      <c r="P1509" s="16">
        <f>N1509/L1509</f>
        <v>-0.7168489583333334</v>
      </c>
      <c r="Q1509" s="14"/>
      <c r="R1509" s="14"/>
      <c r="S1509" s="17">
        <v>0.80248167999999998</v>
      </c>
      <c r="T1509" s="15">
        <v>12.69</v>
      </c>
      <c r="U1509" s="15">
        <v>12.69</v>
      </c>
      <c r="V1509" s="15">
        <v>12.69</v>
      </c>
      <c r="W1509" s="14" t="s">
        <v>2587</v>
      </c>
      <c r="X1509" s="14">
        <v>2</v>
      </c>
      <c r="Y1509" s="10">
        <f>AC1509-AB1509</f>
        <v>2</v>
      </c>
      <c r="Z1509" s="18">
        <v>0</v>
      </c>
      <c r="AA1509" s="18">
        <v>0</v>
      </c>
      <c r="AB1509" s="18"/>
      <c r="AC1509" s="18">
        <v>2</v>
      </c>
      <c r="AE1509" s="1" t="s">
        <v>76</v>
      </c>
      <c r="AG1509" s="4">
        <v>5.35</v>
      </c>
    </row>
    <row r="1510" spans="1:33" ht="30" hidden="1" x14ac:dyDescent="0.25">
      <c r="A1510" s="10" t="s">
        <v>5181</v>
      </c>
      <c r="B1510" s="11" t="s">
        <v>33</v>
      </c>
      <c r="C1510" s="12" t="s">
        <v>5182</v>
      </c>
      <c r="D1510" s="27"/>
      <c r="E1510" s="14" t="s">
        <v>35</v>
      </c>
      <c r="F1510" s="11" t="str">
        <f>HYPERLINK("https://redirect.sdcdeals.com/redirect?destination=https%3A%2F%2Fwww.amazon.com%2Fdp%2FB0CL5KXYXP%3Fth%3D1%26psc%3D1%26tag%3Dsdcdeals03-20", "Amazon Link")</f>
        <v>Amazon Link</v>
      </c>
      <c r="G1510" s="11" t="s">
        <v>36</v>
      </c>
      <c r="H1510" s="14" t="s">
        <v>5183</v>
      </c>
      <c r="I1510" s="11" t="str">
        <f>HYPERLINK("https://redirect.sdcdeals.com/redirect?code=763034&amp;mavely=https://mavely.app.link/e/bhESV2wGrGb&amp;destination=https%3A%2F%2Fwww.kohls.com%2Fsearch.jsp%3Fsubmit-search%3Dweb-regular%26search%3D18796725", "Retail Link")</f>
        <v>Retail Link</v>
      </c>
      <c r="J1510" s="14" t="s">
        <v>5168</v>
      </c>
      <c r="K1510" s="13" t="s">
        <v>5184</v>
      </c>
      <c r="L1510" s="15">
        <v>6.8000000000000007</v>
      </c>
      <c r="M1510" s="15">
        <v>9.34</v>
      </c>
      <c r="N1510" s="15">
        <v>-4.8810000000000002</v>
      </c>
      <c r="O1510" s="15">
        <f>V1510-M1510</f>
        <v>6.9499999999999993</v>
      </c>
      <c r="P1510" s="16">
        <f>N1510/L1510</f>
        <v>-0.7177941176470588</v>
      </c>
      <c r="Q1510" s="14"/>
      <c r="R1510" s="14"/>
      <c r="S1510" s="17">
        <v>0.48942564</v>
      </c>
      <c r="T1510" s="15">
        <v>9.33</v>
      </c>
      <c r="U1510" s="15">
        <v>10.31</v>
      </c>
      <c r="V1510" s="15">
        <v>16.29</v>
      </c>
      <c r="W1510" s="14" t="s">
        <v>5185</v>
      </c>
      <c r="X1510" s="14">
        <v>20</v>
      </c>
      <c r="Y1510" s="10">
        <f>AC1510-AB1510</f>
        <v>524</v>
      </c>
      <c r="Z1510" s="18">
        <v>0</v>
      </c>
      <c r="AA1510" s="18">
        <v>0</v>
      </c>
      <c r="AB1510" s="18">
        <v>0</v>
      </c>
      <c r="AC1510" s="18">
        <v>524</v>
      </c>
      <c r="AE1510" s="1" t="s">
        <v>805</v>
      </c>
      <c r="AF1510" s="4">
        <v>0.47</v>
      </c>
      <c r="AG1510" s="4">
        <v>6.02</v>
      </c>
    </row>
    <row r="1511" spans="1:33" ht="30" x14ac:dyDescent="0.25">
      <c r="A1511" s="10" t="s">
        <v>6444</v>
      </c>
      <c r="B1511" s="11" t="s">
        <v>33</v>
      </c>
      <c r="C1511" s="12" t="s">
        <v>6445</v>
      </c>
      <c r="D1511" s="27"/>
      <c r="E1511" s="14" t="s">
        <v>35</v>
      </c>
      <c r="F1511" s="11" t="str">
        <f>HYPERLINK("https://redirect.sdcdeals.com/redirect?destination=https%3A%2F%2Fwww.amazon.com%2Fdp%2FB0BPDXB5JD%3Fth%3D1%26psc%3D1%26tag%3Dsdcdeals03-20", "Amazon Link")</f>
        <v>Amazon Link</v>
      </c>
      <c r="G1511" s="11" t="s">
        <v>36</v>
      </c>
      <c r="H1511" s="14" t="s">
        <v>6446</v>
      </c>
      <c r="I1511" s="11" t="str">
        <f>HYPERLINK("https://redirect.sdcdeals.com/redirect?code=763034&amp;mavely=https://mavely.app.link/e/bhESV2wGrGb&amp;destination=https%3A%2F%2Fwww.kohls.com%2Fsearch.jsp%3Fsubmit-search%3Dweb-regular%26search%3D74405922", "Retail Link")</f>
        <v>Retail Link</v>
      </c>
      <c r="J1511" s="14" t="s">
        <v>6447</v>
      </c>
      <c r="K1511" s="13" t="s">
        <v>6448</v>
      </c>
      <c r="L1511" s="15">
        <v>4.84</v>
      </c>
      <c r="M1511" s="15">
        <v>6.05</v>
      </c>
      <c r="N1511" s="15">
        <v>-3.4775</v>
      </c>
      <c r="O1511" s="15">
        <f>V1511-M1511</f>
        <v>6.7</v>
      </c>
      <c r="P1511" s="16">
        <f>N1511/L1511</f>
        <v>-0.71849173553719015</v>
      </c>
      <c r="Q1511" s="14">
        <v>78259</v>
      </c>
      <c r="R1511" s="14"/>
      <c r="S1511" s="17">
        <v>0.24030357999999999</v>
      </c>
      <c r="T1511" s="15">
        <v>6.05</v>
      </c>
      <c r="U1511" s="15">
        <v>12.59</v>
      </c>
      <c r="V1511" s="15">
        <v>12.75</v>
      </c>
      <c r="W1511" s="14" t="s">
        <v>106</v>
      </c>
      <c r="X1511" s="14">
        <v>3</v>
      </c>
      <c r="Y1511" s="10">
        <f>AC1511-AB1511</f>
        <v>27</v>
      </c>
      <c r="Z1511" s="18">
        <v>30</v>
      </c>
      <c r="AA1511" s="18">
        <v>92</v>
      </c>
      <c r="AB1511" s="18">
        <v>0</v>
      </c>
      <c r="AC1511" s="18">
        <v>27</v>
      </c>
      <c r="AD1511" s="1" t="s">
        <v>6449</v>
      </c>
      <c r="AE1511" s="1" t="s">
        <v>5497</v>
      </c>
      <c r="AF1511" s="4">
        <v>0.91</v>
      </c>
      <c r="AG1511" s="4">
        <v>3.78</v>
      </c>
    </row>
    <row r="1512" spans="1:33" ht="45" x14ac:dyDescent="0.25">
      <c r="A1512" s="10" t="s">
        <v>6511</v>
      </c>
      <c r="B1512" s="11" t="s">
        <v>33</v>
      </c>
      <c r="C1512" s="12" t="s">
        <v>6512</v>
      </c>
      <c r="D1512" s="27"/>
      <c r="E1512" s="14" t="s">
        <v>35</v>
      </c>
      <c r="F1512" s="11" t="str">
        <f>HYPERLINK("https://redirect.sdcdeals.com/redirect?destination=https%3A%2F%2Fwww.amazon.com%2Fdp%2FB0BHXHK3XP%3Fth%3D1%26psc%3D1%26tag%3Dsdcdeals03-20", "Amazon Link")</f>
        <v>Amazon Link</v>
      </c>
      <c r="G1512" s="11" t="s">
        <v>36</v>
      </c>
      <c r="H1512" s="14" t="s">
        <v>6513</v>
      </c>
      <c r="I1512" s="11" t="str">
        <f>HYPERLINK("https://redirect.sdcdeals.com/redirect?code=763034&amp;mavely=https://mavely.app.link/e/bhESV2wGrGb&amp;destination=https%3A%2F%2Fwww.kohls.com%2Fsearch.jsp%3Fsubmit-search%3Dweb-regular%26search%3D75436225", "Retail Link")</f>
        <v>Retail Link</v>
      </c>
      <c r="J1512" s="14" t="s">
        <v>6488</v>
      </c>
      <c r="K1512" s="13" t="s">
        <v>6514</v>
      </c>
      <c r="L1512" s="15">
        <v>11.76</v>
      </c>
      <c r="M1512" s="15">
        <v>9.8800000000000008</v>
      </c>
      <c r="N1512" s="15">
        <v>-8.4920000000000009</v>
      </c>
      <c r="O1512" s="15">
        <f>V1512-M1512</f>
        <v>0</v>
      </c>
      <c r="P1512" s="16">
        <f>N1512/L1512</f>
        <v>-0.722108843537415</v>
      </c>
      <c r="Q1512" s="14">
        <v>2112772</v>
      </c>
      <c r="R1512" s="14"/>
      <c r="S1512" s="17">
        <v>0.26234977999999998</v>
      </c>
      <c r="T1512" s="15"/>
      <c r="U1512" s="15"/>
      <c r="V1512" s="15">
        <v>9.8800000000000008</v>
      </c>
      <c r="W1512" s="14" t="s">
        <v>282</v>
      </c>
      <c r="X1512" s="14"/>
      <c r="Y1512" s="10">
        <f>AC1512-AB1512</f>
        <v>0</v>
      </c>
      <c r="Z1512" s="18">
        <v>1</v>
      </c>
      <c r="AA1512" s="18">
        <v>1</v>
      </c>
      <c r="AB1512" s="18"/>
      <c r="AC1512" s="18"/>
      <c r="AD1512" s="1" t="s">
        <v>6490</v>
      </c>
      <c r="AE1512" s="1" t="s">
        <v>546</v>
      </c>
      <c r="AG1512" s="4">
        <v>5.13</v>
      </c>
    </row>
    <row r="1513" spans="1:33" ht="30" x14ac:dyDescent="0.25">
      <c r="A1513" s="10" t="s">
        <v>6889</v>
      </c>
      <c r="B1513" s="11" t="s">
        <v>33</v>
      </c>
      <c r="C1513" s="12" t="s">
        <v>6890</v>
      </c>
      <c r="D1513" s="27"/>
      <c r="E1513" s="14" t="s">
        <v>35</v>
      </c>
      <c r="F1513" s="11" t="str">
        <f>HYPERLINK("https://redirect.sdcdeals.com/redirect?destination=https%3A%2F%2Fwww.amazon.com%2Fdp%2FB096YHJJSV%3Fth%3D1%26psc%3D1%26tag%3Dsdcdeals03-20", "Amazon Link")</f>
        <v>Amazon Link</v>
      </c>
      <c r="G1513" s="11" t="s">
        <v>36</v>
      </c>
      <c r="H1513" s="14" t="s">
        <v>6891</v>
      </c>
      <c r="I1513" s="11" t="str">
        <f>HYPERLINK("https://redirect.sdcdeals.com/redirect?code=763034&amp;mavely=https://mavely.app.link/e/bhESV2wGrGb&amp;destination=https%3A%2F%2Fwww.kohls.com%2Fsearch.jsp%3Fsubmit-search%3Dweb-regular%26search%3D17741228", "Retail Link")</f>
        <v>Retail Link</v>
      </c>
      <c r="J1513" s="14" t="s">
        <v>6875</v>
      </c>
      <c r="K1513" s="13" t="s">
        <v>6892</v>
      </c>
      <c r="L1513" s="15">
        <v>8.4</v>
      </c>
      <c r="M1513" s="15">
        <v>10.5</v>
      </c>
      <c r="N1513" s="15">
        <v>-6.0750000000000011</v>
      </c>
      <c r="O1513" s="15">
        <f>V1513-M1513</f>
        <v>11.48</v>
      </c>
      <c r="P1513" s="16">
        <f>N1513/L1513</f>
        <v>-0.72321428571428581</v>
      </c>
      <c r="Q1513" s="14">
        <v>73148</v>
      </c>
      <c r="R1513" s="14"/>
      <c r="S1513" s="17">
        <v>0.37478539999999999</v>
      </c>
      <c r="T1513" s="15">
        <v>10.5</v>
      </c>
      <c r="U1513" s="15">
        <v>19.91</v>
      </c>
      <c r="V1513" s="15">
        <v>21.98</v>
      </c>
      <c r="W1513" s="14" t="s">
        <v>6893</v>
      </c>
      <c r="X1513" s="14">
        <v>2</v>
      </c>
      <c r="Y1513" s="10">
        <f>AC1513-AB1513</f>
        <v>2352</v>
      </c>
      <c r="Z1513" s="18">
        <v>20</v>
      </c>
      <c r="AA1513" s="18">
        <v>79</v>
      </c>
      <c r="AB1513" s="18">
        <v>14</v>
      </c>
      <c r="AC1513" s="18">
        <v>2366</v>
      </c>
      <c r="AD1513" s="1" t="s">
        <v>6878</v>
      </c>
      <c r="AE1513" s="1" t="s">
        <v>76</v>
      </c>
      <c r="AF1513" s="4">
        <v>1.79</v>
      </c>
      <c r="AG1513" s="4">
        <v>6.6</v>
      </c>
    </row>
    <row r="1514" spans="1:33" ht="30" hidden="1" x14ac:dyDescent="0.25">
      <c r="A1514" s="10" t="s">
        <v>5175</v>
      </c>
      <c r="B1514" s="11" t="s">
        <v>33</v>
      </c>
      <c r="C1514" s="12" t="s">
        <v>5176</v>
      </c>
      <c r="D1514" s="27"/>
      <c r="E1514" s="14" t="s">
        <v>35</v>
      </c>
      <c r="F1514" s="11" t="str">
        <f>HYPERLINK("https://redirect.sdcdeals.com/redirect?destination=https%3A%2F%2Fwww.amazon.com%2Fdp%2FB0CL5K99G7%3Fth%3D1%26psc%3D1%26tag%3Dsdcdeals03-20", "Amazon Link")</f>
        <v>Amazon Link</v>
      </c>
      <c r="G1514" s="11" t="s">
        <v>36</v>
      </c>
      <c r="H1514" s="14" t="s">
        <v>5177</v>
      </c>
      <c r="I1514" s="11" t="str">
        <f>HYPERLINK("https://redirect.sdcdeals.com/redirect?code=763034&amp;mavely=https://mavely.app.link/e/bhESV2wGrGb&amp;destination=https%3A%2F%2Fwww.kohls.com%2Fsearch.jsp%3Fsubmit-search%3Dweb-regular%26search%3D18796723", "Retail Link")</f>
        <v>Retail Link</v>
      </c>
      <c r="J1514" s="14" t="s">
        <v>5168</v>
      </c>
      <c r="K1514" s="13" t="s">
        <v>5178</v>
      </c>
      <c r="L1514" s="15">
        <v>6.8000000000000007</v>
      </c>
      <c r="M1514" s="15">
        <v>9.3000000000000007</v>
      </c>
      <c r="N1514" s="15">
        <v>-4.9349999999999996</v>
      </c>
      <c r="O1514" s="15">
        <f>V1514-M1514</f>
        <v>7.3499999999999979</v>
      </c>
      <c r="P1514" s="16">
        <f>N1514/L1514</f>
        <v>-0.72573529411764692</v>
      </c>
      <c r="Q1514" s="14"/>
      <c r="R1514" s="14"/>
      <c r="S1514" s="17">
        <v>2.7800258200000001</v>
      </c>
      <c r="T1514" s="15">
        <v>9.3000000000000007</v>
      </c>
      <c r="U1514" s="15">
        <v>9.83</v>
      </c>
      <c r="V1514" s="15">
        <v>16.649999999999999</v>
      </c>
      <c r="W1514" s="14" t="s">
        <v>5179</v>
      </c>
      <c r="X1514" s="14">
        <v>18</v>
      </c>
      <c r="Y1514" s="10">
        <f>AC1514-AB1514</f>
        <v>0</v>
      </c>
      <c r="Z1514" s="18">
        <v>0</v>
      </c>
      <c r="AA1514" s="18">
        <v>69</v>
      </c>
      <c r="AB1514" s="18">
        <v>1</v>
      </c>
      <c r="AC1514" s="18">
        <v>1</v>
      </c>
      <c r="AD1514" s="1" t="s">
        <v>1452</v>
      </c>
      <c r="AE1514" s="1" t="s">
        <v>5180</v>
      </c>
      <c r="AF1514" s="4">
        <v>0.47</v>
      </c>
      <c r="AG1514" s="4">
        <v>6.04</v>
      </c>
    </row>
    <row r="1515" spans="1:33" ht="30" x14ac:dyDescent="0.25">
      <c r="A1515" s="10" t="s">
        <v>572</v>
      </c>
      <c r="B1515" s="11" t="s">
        <v>33</v>
      </c>
      <c r="C1515" s="12" t="s">
        <v>573</v>
      </c>
      <c r="D1515" s="27"/>
      <c r="E1515" s="14" t="s">
        <v>35</v>
      </c>
      <c r="F1515" s="11" t="str">
        <f>HYPERLINK("https://redirect.sdcdeals.com/redirect?destination=https%3A%2F%2Fwww.amazon.com%2Fdp%2FB0BC26WND7%3Fth%3D1%26psc%3D1%26tag%3Dsdcdeals03-20", "Amazon Link")</f>
        <v>Amazon Link</v>
      </c>
      <c r="G1515" s="11" t="s">
        <v>36</v>
      </c>
      <c r="H1515" s="14" t="s">
        <v>574</v>
      </c>
      <c r="I1515" s="11" t="str">
        <f>HYPERLINK("https://redirect.sdcdeals.com/redirect?code=763034&amp;mavely=https://mavely.app.link/e/bhESV2wGrGb&amp;destination=https%3A%2F%2Fwww.kohls.com%2Fsearch.jsp%3Fsubmit-search%3Dweb-regular%26search%3D65747729", "Retail Link")</f>
        <v>Retail Link</v>
      </c>
      <c r="J1515" s="14" t="s">
        <v>543</v>
      </c>
      <c r="K1515" s="13" t="s">
        <v>575</v>
      </c>
      <c r="L1515" s="15">
        <v>12.32</v>
      </c>
      <c r="M1515" s="15">
        <v>9.08</v>
      </c>
      <c r="N1515" s="15">
        <v>-8.952</v>
      </c>
      <c r="O1515" s="15">
        <f>V1515-M1515</f>
        <v>0</v>
      </c>
      <c r="P1515" s="16">
        <f>N1515/L1515</f>
        <v>-0.72662337662337662</v>
      </c>
      <c r="Q1515" s="14">
        <v>5858949</v>
      </c>
      <c r="R1515" s="14"/>
      <c r="S1515" s="17">
        <v>0.37478539999999999</v>
      </c>
      <c r="T1515" s="15"/>
      <c r="U1515" s="15"/>
      <c r="V1515" s="15">
        <v>9.08</v>
      </c>
      <c r="W1515" s="14" t="s">
        <v>576</v>
      </c>
      <c r="X1515" s="14"/>
      <c r="Y1515" s="10">
        <f>AC1515-AB1515</f>
        <v>0</v>
      </c>
      <c r="Z1515" s="18">
        <v>1</v>
      </c>
      <c r="AA1515" s="18">
        <v>1</v>
      </c>
      <c r="AB1515" s="18"/>
      <c r="AC1515" s="18"/>
      <c r="AD1515" s="1" t="s">
        <v>545</v>
      </c>
      <c r="AE1515" s="1" t="s">
        <v>551</v>
      </c>
      <c r="AG1515" s="4">
        <v>4.3499999999999996</v>
      </c>
    </row>
    <row r="1516" spans="1:33" ht="30" x14ac:dyDescent="0.25">
      <c r="A1516" s="10" t="s">
        <v>3487</v>
      </c>
      <c r="B1516" s="11" t="s">
        <v>33</v>
      </c>
      <c r="C1516" s="12" t="s">
        <v>3488</v>
      </c>
      <c r="D1516" s="27"/>
      <c r="E1516" s="14" t="s">
        <v>35</v>
      </c>
      <c r="F1516" s="11" t="str">
        <f>HYPERLINK("https://redirect.sdcdeals.com/redirect?destination=https%3A%2F%2Fwww.amazon.com%2Fdp%2FB08W2C3GXL%3Fth%3D1%26psc%3D1%26tag%3Dsdcdeals03-20", "Amazon Link")</f>
        <v>Amazon Link</v>
      </c>
      <c r="G1516" s="11" t="s">
        <v>36</v>
      </c>
      <c r="H1516" s="14" t="s">
        <v>3489</v>
      </c>
      <c r="I1516" s="11" t="str">
        <f>HYPERLINK("https://redirect.sdcdeals.com/redirect?code=763034&amp;mavely=https://mavely.app.link/e/bhESV2wGrGb&amp;destination=https%3A%2F%2Fwww.kohls.com%2Fsearch.jsp%3Fsubmit-search%3Dweb-regular%26search%3D55247325", "Retail Link")</f>
        <v>Retail Link</v>
      </c>
      <c r="J1516" s="14" t="s">
        <v>3490</v>
      </c>
      <c r="K1516" s="13" t="s">
        <v>3491</v>
      </c>
      <c r="L1516" s="15">
        <v>8.0960000000000001</v>
      </c>
      <c r="M1516" s="15">
        <v>10.119999999999999</v>
      </c>
      <c r="N1516" s="15">
        <v>-5.974000000000002</v>
      </c>
      <c r="O1516" s="15">
        <f>V1516-M1516</f>
        <v>25.870000000000005</v>
      </c>
      <c r="P1516" s="16">
        <f>N1516/L1516</f>
        <v>-0.73789525691699631</v>
      </c>
      <c r="Q1516" s="14">
        <v>334931</v>
      </c>
      <c r="R1516" s="14"/>
      <c r="S1516" s="17">
        <v>0.98987438000000005</v>
      </c>
      <c r="T1516" s="15">
        <v>10.119999999999999</v>
      </c>
      <c r="U1516" s="15">
        <v>34.799999999999997</v>
      </c>
      <c r="V1516" s="15">
        <v>35.99</v>
      </c>
      <c r="W1516" s="14" t="s">
        <v>576</v>
      </c>
      <c r="X1516" s="14">
        <v>1</v>
      </c>
      <c r="Y1516" s="10">
        <f>AC1516-AB1516</f>
        <v>46</v>
      </c>
      <c r="Z1516" s="18">
        <v>5</v>
      </c>
      <c r="AA1516" s="18">
        <v>17</v>
      </c>
      <c r="AB1516" s="18">
        <v>1</v>
      </c>
      <c r="AC1516" s="18">
        <v>47</v>
      </c>
      <c r="AD1516" s="1" t="s">
        <v>3492</v>
      </c>
      <c r="AE1516" s="1" t="s">
        <v>3493</v>
      </c>
      <c r="AF1516" s="4">
        <v>0.51</v>
      </c>
      <c r="AG1516" s="4">
        <v>6.48</v>
      </c>
    </row>
    <row r="1517" spans="1:33" ht="60" x14ac:dyDescent="0.25">
      <c r="A1517" s="10" t="s">
        <v>5326</v>
      </c>
      <c r="B1517" s="11" t="s">
        <v>33</v>
      </c>
      <c r="C1517" s="12" t="s">
        <v>5327</v>
      </c>
      <c r="D1517" s="27"/>
      <c r="E1517" s="14" t="s">
        <v>35</v>
      </c>
      <c r="F1517" s="11" t="str">
        <f>HYPERLINK("https://redirect.sdcdeals.com/redirect?destination=https%3A%2F%2Fwww.amazon.com%2Fdp%2FB09Q4GHNGQ%3Fth%3D1%26psc%3D1%26tag%3Dsdcdeals03-20", "Amazon Link")</f>
        <v>Amazon Link</v>
      </c>
      <c r="G1517" s="11" t="s">
        <v>36</v>
      </c>
      <c r="H1517" s="14" t="s">
        <v>5328</v>
      </c>
      <c r="I1517" s="11" t="str">
        <f>HYPERLINK("https://redirect.sdcdeals.com/redirect?code=763034&amp;mavely=https://mavely.app.link/e/bhESV2wGrGb&amp;destination=https%3A%2F%2Fwww.kohls.com%2Fsearch.jsp%3Fsubmit-search%3Dweb-regular%26search%3D77038464", "Retail Link")</f>
        <v>Retail Link</v>
      </c>
      <c r="J1517" s="14" t="s">
        <v>5329</v>
      </c>
      <c r="K1517" s="13" t="s">
        <v>5330</v>
      </c>
      <c r="L1517" s="15">
        <v>9.0960000000000001</v>
      </c>
      <c r="M1517" s="15">
        <v>11.37</v>
      </c>
      <c r="N1517" s="15">
        <v>-6.7515000000000018</v>
      </c>
      <c r="O1517" s="15">
        <f>V1517-M1517</f>
        <v>7.65</v>
      </c>
      <c r="P1517" s="16">
        <f>N1517/L1517</f>
        <v>-0.74224934036939338</v>
      </c>
      <c r="Q1517" s="14">
        <v>33622</v>
      </c>
      <c r="R1517" s="14">
        <v>50</v>
      </c>
      <c r="S1517" s="17">
        <v>1.5895310199999999</v>
      </c>
      <c r="T1517" s="15">
        <v>11.37</v>
      </c>
      <c r="U1517" s="15">
        <v>18.329999999999998</v>
      </c>
      <c r="V1517" s="15">
        <v>19.02</v>
      </c>
      <c r="W1517" s="14" t="s">
        <v>5331</v>
      </c>
      <c r="X1517" s="14">
        <v>12</v>
      </c>
      <c r="Y1517" s="10">
        <f>AC1517-AB1517</f>
        <v>328</v>
      </c>
      <c r="Z1517" s="18">
        <v>53</v>
      </c>
      <c r="AA1517" s="18">
        <v>160</v>
      </c>
      <c r="AB1517" s="18">
        <v>467</v>
      </c>
      <c r="AC1517" s="18">
        <v>795</v>
      </c>
      <c r="AD1517" s="1" t="s">
        <v>5332</v>
      </c>
      <c r="AE1517" s="1" t="s">
        <v>1453</v>
      </c>
      <c r="AF1517" s="4">
        <v>1.71</v>
      </c>
      <c r="AG1517" s="4">
        <v>7.32</v>
      </c>
    </row>
    <row r="1518" spans="1:33" ht="30" hidden="1" x14ac:dyDescent="0.25">
      <c r="A1518" s="10" t="s">
        <v>3373</v>
      </c>
      <c r="B1518" s="11" t="s">
        <v>33</v>
      </c>
      <c r="C1518" s="12" t="s">
        <v>3374</v>
      </c>
      <c r="D1518" s="27"/>
      <c r="E1518" s="14" t="s">
        <v>35</v>
      </c>
      <c r="F1518" s="11" t="str">
        <f>HYPERLINK("https://redirect.sdcdeals.com/redirect?destination=https%3A%2F%2Fwww.amazon.com%2Fdp%2FB0CL5DH89L%3Fth%3D1%26psc%3D1%26tag%3Dsdcdeals03-20", "Amazon Link")</f>
        <v>Amazon Link</v>
      </c>
      <c r="G1518" s="11" t="s">
        <v>36</v>
      </c>
      <c r="H1518" s="14" t="s">
        <v>3375</v>
      </c>
      <c r="I1518" s="11" t="str">
        <f>HYPERLINK("https://redirect.sdcdeals.com/redirect?code=763034&amp;mavely=https://mavely.app.link/e/bhESV2wGrGb&amp;destination=https%3A%2F%2Fwww.kohls.com%2Fsearch.jsp%3Fsubmit-search%3Dweb-regular%26search%3D54727582", "Retail Link")</f>
        <v>Retail Link</v>
      </c>
      <c r="J1518" s="14" t="s">
        <v>3376</v>
      </c>
      <c r="K1518" s="13" t="s">
        <v>3377</v>
      </c>
      <c r="L1518" s="15">
        <v>6.4</v>
      </c>
      <c r="M1518" s="15">
        <v>7.25</v>
      </c>
      <c r="N1518" s="15">
        <v>-4.847500000000001</v>
      </c>
      <c r="O1518" s="15">
        <f>V1518-M1518</f>
        <v>9.34</v>
      </c>
      <c r="P1518" s="16">
        <f>N1518/L1518</f>
        <v>-0.75742187500000013</v>
      </c>
      <c r="Q1518" s="14"/>
      <c r="R1518" s="14"/>
      <c r="S1518" s="17">
        <v>0.33069300000000001</v>
      </c>
      <c r="T1518" s="15">
        <v>7.25</v>
      </c>
      <c r="U1518" s="15">
        <v>9.91</v>
      </c>
      <c r="V1518" s="15">
        <v>16.59</v>
      </c>
      <c r="W1518" s="14" t="s">
        <v>3378</v>
      </c>
      <c r="X1518" s="14">
        <v>10</v>
      </c>
      <c r="Y1518" s="10">
        <f>AC1518-AB1518</f>
        <v>0</v>
      </c>
      <c r="Z1518" s="18">
        <v>0</v>
      </c>
      <c r="AA1518" s="18">
        <v>84</v>
      </c>
      <c r="AB1518" s="18">
        <v>0</v>
      </c>
      <c r="AC1518" s="18"/>
      <c r="AD1518" s="1" t="s">
        <v>3379</v>
      </c>
      <c r="AE1518" s="1" t="s">
        <v>3380</v>
      </c>
      <c r="AF1518" s="4">
        <v>1.23</v>
      </c>
      <c r="AG1518" s="4">
        <v>4.6100000000000003</v>
      </c>
    </row>
    <row r="1519" spans="1:33" ht="30" hidden="1" x14ac:dyDescent="0.25">
      <c r="A1519" s="10" t="s">
        <v>2780</v>
      </c>
      <c r="B1519" s="11" t="s">
        <v>33</v>
      </c>
      <c r="C1519" s="12" t="s">
        <v>2781</v>
      </c>
      <c r="D1519" s="27"/>
      <c r="E1519" s="14" t="s">
        <v>35</v>
      </c>
      <c r="F1519" s="11" t="str">
        <f>HYPERLINK("https://redirect.sdcdeals.com/redirect?destination=https%3A%2F%2Fwww.amazon.com%2Fdp%2FB0CCBY97KC%3Fth%3D1%26psc%3D1%26tag%3Dsdcdeals03-20", "Amazon Link")</f>
        <v>Amazon Link</v>
      </c>
      <c r="G1519" s="11" t="s">
        <v>36</v>
      </c>
      <c r="H1519" s="14" t="s">
        <v>2782</v>
      </c>
      <c r="I1519" s="11" t="str">
        <f>HYPERLINK("https://redirect.sdcdeals.com/redirect?code=763034&amp;mavely=https://mavely.app.link/e/bhESV2wGrGb&amp;destination=https%3A%2F%2Fwww.kohls.com%2Fsearch.jsp%3Fsubmit-search%3Dweb-regular%26search%3D29746924", "Retail Link")</f>
        <v>Retail Link</v>
      </c>
      <c r="J1519" s="14" t="s">
        <v>2705</v>
      </c>
      <c r="K1519" s="13" t="s">
        <v>2752</v>
      </c>
      <c r="L1519" s="15">
        <v>13.2</v>
      </c>
      <c r="M1519" s="15">
        <v>11.65</v>
      </c>
      <c r="N1519" s="15">
        <v>-10.1275</v>
      </c>
      <c r="O1519" s="15">
        <f>V1519-M1519</f>
        <v>9.4</v>
      </c>
      <c r="P1519" s="16">
        <f>N1519/L1519</f>
        <v>-0.76723484848484846</v>
      </c>
      <c r="Q1519" s="14"/>
      <c r="R1519" s="14"/>
      <c r="S1519" s="17">
        <v>0.88184799999999997</v>
      </c>
      <c r="T1519" s="15">
        <v>11.65</v>
      </c>
      <c r="U1519" s="15">
        <v>17.64</v>
      </c>
      <c r="V1519" s="15">
        <v>21.05</v>
      </c>
      <c r="W1519" s="14" t="s">
        <v>2783</v>
      </c>
      <c r="X1519" s="14">
        <v>2</v>
      </c>
      <c r="Y1519" s="10">
        <f>AC1519-AB1519</f>
        <v>0</v>
      </c>
      <c r="Z1519" s="18">
        <v>-1</v>
      </c>
      <c r="AA1519" s="18">
        <v>-1</v>
      </c>
      <c r="AB1519" s="18"/>
      <c r="AC1519" s="18"/>
      <c r="AD1519" s="1" t="s">
        <v>2718</v>
      </c>
      <c r="AE1519" s="1" t="s">
        <v>2719</v>
      </c>
      <c r="AF1519" s="4">
        <v>1.98</v>
      </c>
      <c r="AG1519" s="4">
        <v>6.83</v>
      </c>
    </row>
    <row r="1520" spans="1:33" x14ac:dyDescent="0.25">
      <c r="A1520" s="10" t="s">
        <v>6553</v>
      </c>
      <c r="B1520" s="11" t="s">
        <v>33</v>
      </c>
      <c r="C1520" s="12" t="s">
        <v>6554</v>
      </c>
      <c r="D1520" s="27"/>
      <c r="E1520" s="14" t="s">
        <v>35</v>
      </c>
      <c r="F1520" s="11" t="str">
        <f>HYPERLINK("https://redirect.sdcdeals.com/redirect?destination=https%3A%2F%2Fwww.amazon.com%2Fdp%2FB0C9L2516T%3Fth%3D1%26psc%3D1%26tag%3Dsdcdeals03-20", "Amazon Link")</f>
        <v>Amazon Link</v>
      </c>
      <c r="G1520" s="11" t="s">
        <v>36</v>
      </c>
      <c r="H1520" s="14" t="s">
        <v>6555</v>
      </c>
      <c r="I1520" s="11" t="str">
        <f>HYPERLINK("https://redirect.sdcdeals.com/redirect?code=763034&amp;mavely=https://mavely.app.link/e/bhESV2wGrGb&amp;destination=https%3A%2F%2Fwww.kohls.com%2Fsearch.jsp%3Fsubmit-search%3Dweb-regular%26search%3D68934388", "Retail Link")</f>
        <v>Retail Link</v>
      </c>
      <c r="J1520" s="14" t="s">
        <v>6540</v>
      </c>
      <c r="K1520" s="13" t="s">
        <v>6556</v>
      </c>
      <c r="L1520" s="15">
        <v>5.4960000000000004</v>
      </c>
      <c r="M1520" s="15">
        <v>6.87</v>
      </c>
      <c r="N1520" s="15">
        <v>-4.2565</v>
      </c>
      <c r="O1520" s="15">
        <f>V1520-M1520</f>
        <v>8.4199999999999982</v>
      </c>
      <c r="P1520" s="16">
        <f>N1520/L1520</f>
        <v>-0.77447234352256178</v>
      </c>
      <c r="Q1520" s="14">
        <v>211251</v>
      </c>
      <c r="R1520" s="14"/>
      <c r="S1520" s="17">
        <v>0.76941238000000001</v>
      </c>
      <c r="T1520" s="15">
        <v>6.87</v>
      </c>
      <c r="U1520" s="15">
        <v>14.13</v>
      </c>
      <c r="V1520" s="15">
        <v>15.29</v>
      </c>
      <c r="W1520" s="14" t="s">
        <v>1254</v>
      </c>
      <c r="X1520" s="14">
        <v>1</v>
      </c>
      <c r="Y1520" s="10">
        <f>AC1520-AB1520</f>
        <v>16</v>
      </c>
      <c r="Z1520" s="18">
        <v>20</v>
      </c>
      <c r="AA1520" s="18">
        <v>50</v>
      </c>
      <c r="AB1520" s="18">
        <v>0</v>
      </c>
      <c r="AC1520" s="18">
        <v>16</v>
      </c>
      <c r="AD1520" s="1" t="s">
        <v>6557</v>
      </c>
      <c r="AE1520" s="1" t="s">
        <v>76</v>
      </c>
      <c r="AF1520" s="4">
        <v>1.03</v>
      </c>
      <c r="AG1520" s="4">
        <v>4.5999999999999996</v>
      </c>
    </row>
    <row r="1521" spans="1:33" ht="30" hidden="1" x14ac:dyDescent="0.25">
      <c r="A1521" s="10" t="s">
        <v>2826</v>
      </c>
      <c r="B1521" s="11" t="s">
        <v>33</v>
      </c>
      <c r="C1521" s="12" t="s">
        <v>2827</v>
      </c>
      <c r="D1521" s="27"/>
      <c r="E1521" s="14" t="s">
        <v>35</v>
      </c>
      <c r="F1521" s="11" t="str">
        <f>HYPERLINK("https://redirect.sdcdeals.com/redirect?destination=https%3A%2F%2Fwww.amazon.com%2Fdp%2FB0CCCBKBM7%3Fth%3D1%26psc%3D1%26tag%3Dsdcdeals03-20", "Amazon Link")</f>
        <v>Amazon Link</v>
      </c>
      <c r="G1521" s="11" t="s">
        <v>36</v>
      </c>
      <c r="H1521" s="14" t="s">
        <v>2828</v>
      </c>
      <c r="I1521" s="11" t="str">
        <f>HYPERLINK("https://redirect.sdcdeals.com/redirect?code=763034&amp;mavely=https://mavely.app.link/e/bhESV2wGrGb&amp;destination=https%3A%2F%2Fwww.kohls.com%2Fsearch.jsp%3Fsubmit-search%3Dweb-regular%26search%3D53952536", "Retail Link")</f>
        <v>Retail Link</v>
      </c>
      <c r="J1521" s="14" t="s">
        <v>2705</v>
      </c>
      <c r="K1521" s="13" t="s">
        <v>2742</v>
      </c>
      <c r="L1521" s="15">
        <v>13.2</v>
      </c>
      <c r="M1521" s="15">
        <v>11.27</v>
      </c>
      <c r="N1521" s="15">
        <v>-10.4505</v>
      </c>
      <c r="O1521" s="15">
        <f>V1521-M1521</f>
        <v>9.8500000000000014</v>
      </c>
      <c r="P1521" s="16">
        <f>N1521/L1521</f>
        <v>-0.79170454545454549</v>
      </c>
      <c r="Q1521" s="14"/>
      <c r="R1521" s="14"/>
      <c r="S1521" s="17">
        <v>0.95900969999999996</v>
      </c>
      <c r="T1521" s="15">
        <v>11.27</v>
      </c>
      <c r="U1521" s="15">
        <v>14.94</v>
      </c>
      <c r="V1521" s="15">
        <v>21.12</v>
      </c>
      <c r="W1521" s="14" t="s">
        <v>2253</v>
      </c>
      <c r="X1521" s="14">
        <v>2</v>
      </c>
      <c r="Y1521" s="10">
        <f>AC1521-AB1521</f>
        <v>0</v>
      </c>
      <c r="Z1521" s="18">
        <v>-1</v>
      </c>
      <c r="AA1521" s="18">
        <v>-1</v>
      </c>
      <c r="AB1521" s="18"/>
      <c r="AC1521" s="18"/>
      <c r="AD1521" s="1" t="s">
        <v>2724</v>
      </c>
      <c r="AE1521" s="1" t="s">
        <v>2725</v>
      </c>
      <c r="AF1521" s="4">
        <v>1.1299999999999999</v>
      </c>
      <c r="AG1521" s="4">
        <v>6.83</v>
      </c>
    </row>
    <row r="1522" spans="1:33" x14ac:dyDescent="0.25">
      <c r="A1522" s="10" t="s">
        <v>6563</v>
      </c>
      <c r="B1522" s="11" t="s">
        <v>33</v>
      </c>
      <c r="C1522" s="12" t="s">
        <v>6564</v>
      </c>
      <c r="D1522" s="27"/>
      <c r="E1522" s="14" t="s">
        <v>35</v>
      </c>
      <c r="F1522" s="11" t="str">
        <f>HYPERLINK("https://redirect.sdcdeals.com/redirect?destination=https%3A%2F%2Fwww.amazon.com%2Fdp%2FB0C9L9HWY5%3Fth%3D1%26psc%3D1%26tag%3Dsdcdeals03-20", "Amazon Link")</f>
        <v>Amazon Link</v>
      </c>
      <c r="G1522" s="11" t="s">
        <v>36</v>
      </c>
      <c r="H1522" s="14" t="s">
        <v>6565</v>
      </c>
      <c r="I1522" s="11" t="str">
        <f>HYPERLINK("https://redirect.sdcdeals.com/redirect?code=763034&amp;mavely=https://mavely.app.link/e/bhESV2wGrGb&amp;destination=https%3A%2F%2Fwww.kohls.com%2Fsearch.jsp%3Fsubmit-search%3Dweb-regular%26search%3D68934408", "Retail Link")</f>
        <v>Retail Link</v>
      </c>
      <c r="J1522" s="14" t="s">
        <v>6540</v>
      </c>
      <c r="K1522" s="13" t="s">
        <v>6566</v>
      </c>
      <c r="L1522" s="15">
        <v>5.4960000000000004</v>
      </c>
      <c r="M1522" s="15">
        <v>6.87</v>
      </c>
      <c r="N1522" s="15">
        <v>-4.4065000000000003</v>
      </c>
      <c r="O1522" s="15">
        <f>V1522-M1522</f>
        <v>9.1899999999999977</v>
      </c>
      <c r="P1522" s="16">
        <f>N1522/L1522</f>
        <v>-0.80176491994177579</v>
      </c>
      <c r="Q1522" s="14">
        <v>211251</v>
      </c>
      <c r="R1522" s="14"/>
      <c r="S1522" s="17">
        <v>0.89948496</v>
      </c>
      <c r="T1522" s="15">
        <v>6.87</v>
      </c>
      <c r="U1522" s="15">
        <v>14.42</v>
      </c>
      <c r="V1522" s="15">
        <v>16.059999999999999</v>
      </c>
      <c r="W1522" s="14" t="s">
        <v>776</v>
      </c>
      <c r="X1522" s="14">
        <v>1</v>
      </c>
      <c r="Y1522" s="10">
        <f>AC1522-AB1522</f>
        <v>16</v>
      </c>
      <c r="Z1522" s="18">
        <v>18</v>
      </c>
      <c r="AA1522" s="18">
        <v>47</v>
      </c>
      <c r="AB1522" s="18">
        <v>0</v>
      </c>
      <c r="AC1522" s="18">
        <v>16</v>
      </c>
      <c r="AD1522" s="1" t="s">
        <v>6567</v>
      </c>
      <c r="AE1522" s="1" t="s">
        <v>76</v>
      </c>
      <c r="AF1522" s="4">
        <v>1.03</v>
      </c>
      <c r="AG1522" s="4">
        <v>4.75</v>
      </c>
    </row>
    <row r="1523" spans="1:33" ht="30" x14ac:dyDescent="0.25">
      <c r="A1523" s="10" t="s">
        <v>6568</v>
      </c>
      <c r="B1523" s="11" t="s">
        <v>33</v>
      </c>
      <c r="C1523" s="12" t="s">
        <v>6569</v>
      </c>
      <c r="D1523" s="27"/>
      <c r="E1523" s="14" t="s">
        <v>35</v>
      </c>
      <c r="F1523" s="11" t="str">
        <f>HYPERLINK("https://redirect.sdcdeals.com/redirect?destination=https%3A%2F%2Fwww.amazon.com%2Fdp%2FB0C9LFJLPV%3Fth%3D1%26psc%3D1%26tag%3Dsdcdeals03-20", "Amazon Link")</f>
        <v>Amazon Link</v>
      </c>
      <c r="G1523" s="11" t="s">
        <v>36</v>
      </c>
      <c r="H1523" s="14" t="s">
        <v>6570</v>
      </c>
      <c r="I1523" s="11" t="str">
        <f>HYPERLINK("https://redirect.sdcdeals.com/redirect?code=763034&amp;mavely=https://mavely.app.link/e/bhESV2wGrGb&amp;destination=https%3A%2F%2Fwww.kohls.com%2Fsearch.jsp%3Fsubmit-search%3Dweb-regular%26search%3D68934418", "Retail Link")</f>
        <v>Retail Link</v>
      </c>
      <c r="J1523" s="14" t="s">
        <v>6540</v>
      </c>
      <c r="K1523" s="13" t="s">
        <v>6571</v>
      </c>
      <c r="L1523" s="15">
        <v>5.4960000000000004</v>
      </c>
      <c r="M1523" s="15">
        <v>6.87</v>
      </c>
      <c r="N1523" s="15">
        <v>-4.4065000000000003</v>
      </c>
      <c r="O1523" s="15">
        <f>V1523-M1523</f>
        <v>7.2600000000000007</v>
      </c>
      <c r="P1523" s="16">
        <f>N1523/L1523</f>
        <v>-0.80176491994177579</v>
      </c>
      <c r="Q1523" s="14">
        <v>211251</v>
      </c>
      <c r="R1523" s="14"/>
      <c r="S1523" s="17">
        <v>0.89948496</v>
      </c>
      <c r="T1523" s="15">
        <v>6.87</v>
      </c>
      <c r="U1523" s="15">
        <v>14.3</v>
      </c>
      <c r="V1523" s="15">
        <v>14.13</v>
      </c>
      <c r="W1523" s="14" t="s">
        <v>2099</v>
      </c>
      <c r="X1523" s="14">
        <v>1</v>
      </c>
      <c r="Y1523" s="10">
        <f>AC1523-AB1523</f>
        <v>16</v>
      </c>
      <c r="Z1523" s="18">
        <v>11</v>
      </c>
      <c r="AA1523" s="18">
        <v>36</v>
      </c>
      <c r="AB1523" s="18">
        <v>0</v>
      </c>
      <c r="AC1523" s="18">
        <v>16</v>
      </c>
      <c r="AD1523" s="1" t="s">
        <v>6572</v>
      </c>
      <c r="AE1523" s="1" t="s">
        <v>76</v>
      </c>
      <c r="AF1523" s="4">
        <v>1.03</v>
      </c>
      <c r="AG1523" s="4">
        <v>4.75</v>
      </c>
    </row>
    <row r="1524" spans="1:33" ht="45" x14ac:dyDescent="0.25">
      <c r="A1524" s="10" t="s">
        <v>6503</v>
      </c>
      <c r="B1524" s="11" t="s">
        <v>33</v>
      </c>
      <c r="C1524" s="12" t="s">
        <v>6504</v>
      </c>
      <c r="D1524" s="27"/>
      <c r="E1524" s="14" t="s">
        <v>35</v>
      </c>
      <c r="F1524" s="11" t="str">
        <f>HYPERLINK("https://redirect.sdcdeals.com/redirect?destination=https%3A%2F%2Fwww.amazon.com%2Fdp%2FB0BHXFGLZS%3Fth%3D1%26psc%3D1%26tag%3Dsdcdeals03-20", "Amazon Link")</f>
        <v>Amazon Link</v>
      </c>
      <c r="G1524" s="11" t="s">
        <v>36</v>
      </c>
      <c r="H1524" s="14" t="s">
        <v>6505</v>
      </c>
      <c r="I1524" s="11" t="str">
        <f>HYPERLINK("https://redirect.sdcdeals.com/redirect?code=763034&amp;mavely=https://mavely.app.link/e/bhESV2wGrGb&amp;destination=https%3A%2F%2Fwww.kohls.com%2Fsearch.jsp%3Fsubmit-search%3Dweb-regular%26search%3D75436224", "Retail Link")</f>
        <v>Retail Link</v>
      </c>
      <c r="J1524" s="14" t="s">
        <v>6488</v>
      </c>
      <c r="K1524" s="13" t="s">
        <v>6506</v>
      </c>
      <c r="L1524" s="15">
        <v>11.76</v>
      </c>
      <c r="M1524" s="15">
        <v>8.7100000000000009</v>
      </c>
      <c r="N1524" s="15">
        <v>-9.4864999999999995</v>
      </c>
      <c r="O1524" s="15">
        <f>V1524-M1524</f>
        <v>1.5399999999999991</v>
      </c>
      <c r="P1524" s="16">
        <f>N1524/L1524</f>
        <v>-0.80667517006802714</v>
      </c>
      <c r="Q1524" s="14">
        <v>2112772</v>
      </c>
      <c r="R1524" s="14"/>
      <c r="S1524" s="17">
        <v>0.33510224</v>
      </c>
      <c r="T1524" s="15">
        <v>8.7100000000000009</v>
      </c>
      <c r="U1524" s="15">
        <v>10.87</v>
      </c>
      <c r="V1524" s="15">
        <v>10.25</v>
      </c>
      <c r="W1524" s="14" t="s">
        <v>352</v>
      </c>
      <c r="X1524" s="14">
        <v>1</v>
      </c>
      <c r="Y1524" s="10">
        <f>AC1524-AB1524</f>
        <v>0</v>
      </c>
      <c r="Z1524" s="18">
        <v>2</v>
      </c>
      <c r="AA1524" s="18">
        <v>4</v>
      </c>
      <c r="AB1524" s="18"/>
      <c r="AC1524" s="18"/>
      <c r="AD1524" s="1" t="s">
        <v>6490</v>
      </c>
      <c r="AE1524" s="1" t="s">
        <v>546</v>
      </c>
      <c r="AF1524" s="4">
        <v>0.44</v>
      </c>
      <c r="AG1524" s="4">
        <v>5.13</v>
      </c>
    </row>
    <row r="1525" spans="1:33" ht="30" x14ac:dyDescent="0.25">
      <c r="A1525" s="10" t="s">
        <v>982</v>
      </c>
      <c r="B1525" s="11" t="s">
        <v>33</v>
      </c>
      <c r="C1525" s="12" t="s">
        <v>983</v>
      </c>
      <c r="D1525" s="27"/>
      <c r="E1525" s="14" t="s">
        <v>35</v>
      </c>
      <c r="F1525" s="11" t="str">
        <f>HYPERLINK("https://redirect.sdcdeals.com/redirect?destination=https%3A%2F%2Fwww.amazon.com%2Fdp%2FB0BFTBL14Q%3Fth%3D1%26psc%3D1%26tag%3Dsdcdeals03-20", "Amazon Link")</f>
        <v>Amazon Link</v>
      </c>
      <c r="G1525" s="11" t="s">
        <v>36</v>
      </c>
      <c r="H1525" s="14" t="s">
        <v>984</v>
      </c>
      <c r="I1525" s="11" t="str">
        <f>HYPERLINK("https://redirect.sdcdeals.com/redirect?code=763034&amp;mavely=https://mavely.app.link/e/bhESV2wGrGb&amp;destination=https%3A%2F%2Fwww.kohls.com%2Fsearch.jsp%3Fsubmit-search%3Dweb-regular%26search%3D83188583", "Retail Link")</f>
        <v>Retail Link</v>
      </c>
      <c r="J1525" s="14" t="s">
        <v>973</v>
      </c>
      <c r="K1525" s="13" t="s">
        <v>985</v>
      </c>
      <c r="L1525" s="15">
        <v>49.496000000000002</v>
      </c>
      <c r="M1525" s="15">
        <v>32.119999999999997</v>
      </c>
      <c r="N1525" s="15">
        <v>-41.304000000000002</v>
      </c>
      <c r="O1525" s="15">
        <f>V1525-M1525</f>
        <v>58.52</v>
      </c>
      <c r="P1525" s="16">
        <f>N1525/L1525</f>
        <v>-0.83449167609503794</v>
      </c>
      <c r="Q1525" s="14">
        <v>2079619</v>
      </c>
      <c r="R1525" s="14"/>
      <c r="S1525" s="17">
        <v>2.0569104600000001</v>
      </c>
      <c r="T1525" s="15">
        <v>32.119999999999997</v>
      </c>
      <c r="U1525" s="15">
        <v>61.02</v>
      </c>
      <c r="V1525" s="15">
        <v>90.64</v>
      </c>
      <c r="W1525" s="14" t="s">
        <v>986</v>
      </c>
      <c r="X1525" s="14">
        <v>1</v>
      </c>
      <c r="Y1525" s="10">
        <f>AC1525-AB1525</f>
        <v>1</v>
      </c>
      <c r="Z1525" s="18">
        <v>2</v>
      </c>
      <c r="AA1525" s="18">
        <v>2</v>
      </c>
      <c r="AB1525" s="18">
        <v>0</v>
      </c>
      <c r="AC1525" s="18">
        <v>1</v>
      </c>
      <c r="AD1525" s="1" t="s">
        <v>976</v>
      </c>
      <c r="AE1525" s="1" t="s">
        <v>76</v>
      </c>
      <c r="AF1525" s="4">
        <v>5.46</v>
      </c>
      <c r="AG1525" s="4">
        <v>19.11</v>
      </c>
    </row>
    <row r="1526" spans="1:33" x14ac:dyDescent="0.25">
      <c r="A1526" s="10" t="s">
        <v>6543</v>
      </c>
      <c r="B1526" s="11" t="s">
        <v>33</v>
      </c>
      <c r="C1526" s="12" t="s">
        <v>6544</v>
      </c>
      <c r="D1526" s="27"/>
      <c r="E1526" s="14" t="s">
        <v>35</v>
      </c>
      <c r="F1526" s="11" t="str">
        <f>HYPERLINK("https://redirect.sdcdeals.com/redirect?destination=https%3A%2F%2Fwww.amazon.com%2Fdp%2FB0C9LNCHR3%3Fth%3D1%26psc%3D1%26tag%3Dsdcdeals03-20", "Amazon Link")</f>
        <v>Amazon Link</v>
      </c>
      <c r="G1526" s="11" t="s">
        <v>36</v>
      </c>
      <c r="H1526" s="14" t="s">
        <v>6545</v>
      </c>
      <c r="I1526" s="11" t="str">
        <f>HYPERLINK("https://redirect.sdcdeals.com/redirect?code=763034&amp;mavely=https://mavely.app.link/e/bhESV2wGrGb&amp;destination=https%3A%2F%2Fwww.kohls.com%2Fsearch.jsp%3Fsubmit-search%3Dweb-regular%26search%3D68934368", "Retail Link")</f>
        <v>Retail Link</v>
      </c>
      <c r="J1526" s="14" t="s">
        <v>6540</v>
      </c>
      <c r="K1526" s="13" t="s">
        <v>6546</v>
      </c>
      <c r="L1526" s="15">
        <v>5.4960000000000004</v>
      </c>
      <c r="M1526" s="15">
        <v>6.87</v>
      </c>
      <c r="N1526" s="15">
        <v>-4.6565000000000003</v>
      </c>
      <c r="O1526" s="15">
        <f>V1526-M1526</f>
        <v>6.7399999999999993</v>
      </c>
      <c r="P1526" s="16">
        <f>N1526/L1526</f>
        <v>-0.8472525473071324</v>
      </c>
      <c r="Q1526" s="14">
        <v>192545</v>
      </c>
      <c r="R1526" s="14"/>
      <c r="S1526" s="17">
        <v>0.67902295999999995</v>
      </c>
      <c r="T1526" s="15">
        <v>6.87</v>
      </c>
      <c r="U1526" s="15">
        <v>12.19</v>
      </c>
      <c r="V1526" s="15">
        <v>13.61</v>
      </c>
      <c r="W1526" s="14" t="s">
        <v>2910</v>
      </c>
      <c r="X1526" s="14">
        <v>1</v>
      </c>
      <c r="Y1526" s="10">
        <f>AC1526-AB1526</f>
        <v>15</v>
      </c>
      <c r="Z1526" s="18">
        <v>11</v>
      </c>
      <c r="AA1526" s="18">
        <v>32</v>
      </c>
      <c r="AB1526" s="18">
        <v>1</v>
      </c>
      <c r="AC1526" s="18">
        <v>16</v>
      </c>
      <c r="AD1526" s="1" t="s">
        <v>6547</v>
      </c>
      <c r="AE1526" s="1" t="s">
        <v>76</v>
      </c>
      <c r="AF1526" s="4">
        <v>1.03</v>
      </c>
      <c r="AG1526" s="4">
        <v>5</v>
      </c>
    </row>
    <row r="1527" spans="1:33" ht="45" x14ac:dyDescent="0.25">
      <c r="A1527" s="10" t="s">
        <v>6266</v>
      </c>
      <c r="B1527" s="11" t="s">
        <v>33</v>
      </c>
      <c r="C1527" s="12" t="s">
        <v>6267</v>
      </c>
      <c r="D1527" s="27"/>
      <c r="E1527" s="14" t="s">
        <v>35</v>
      </c>
      <c r="F1527" s="11" t="str">
        <f>HYPERLINK("https://redirect.sdcdeals.com/redirect?destination=https%3A%2F%2Fwww.amazon.com%2Fdp%2FB09NLDS14J%3Fth%3D1%26psc%3D1%26tag%3Dsdcdeals03-20", "Amazon Link")</f>
        <v>Amazon Link</v>
      </c>
      <c r="G1527" s="11" t="s">
        <v>36</v>
      </c>
      <c r="H1527" s="14" t="s">
        <v>6268</v>
      </c>
      <c r="I1527" s="11" t="str">
        <f>HYPERLINK("https://redirect.sdcdeals.com/redirect?code=763034&amp;mavely=https://mavely.app.link/e/bhESV2wGrGb&amp;destination=https%3A%2F%2Fwww.kohls.com%2Fsearch.jsp%3Fsubmit-search%3Dweb-regular%26search%3D71448863", "Retail Link")</f>
        <v>Retail Link</v>
      </c>
      <c r="J1527" s="14" t="s">
        <v>6269</v>
      </c>
      <c r="K1527" s="13" t="s">
        <v>6270</v>
      </c>
      <c r="L1527" s="15">
        <v>7.7920000000000007</v>
      </c>
      <c r="M1527" s="15">
        <v>9.74</v>
      </c>
      <c r="N1527" s="15">
        <v>-6.8930000000000007</v>
      </c>
      <c r="O1527" s="15">
        <f>V1527-M1527</f>
        <v>7.3699999999999992</v>
      </c>
      <c r="P1527" s="16">
        <f>N1527/L1527</f>
        <v>-0.88462525667351133</v>
      </c>
      <c r="Q1527" s="14">
        <v>1048</v>
      </c>
      <c r="R1527" s="14">
        <v>800</v>
      </c>
      <c r="S1527" s="17">
        <v>1.8496761799999999</v>
      </c>
      <c r="T1527" s="15">
        <v>9.74</v>
      </c>
      <c r="U1527" s="15">
        <v>16.03</v>
      </c>
      <c r="V1527" s="15">
        <v>17.11</v>
      </c>
      <c r="W1527" s="14" t="s">
        <v>6271</v>
      </c>
      <c r="X1527" s="14">
        <v>25</v>
      </c>
      <c r="Y1527" s="10">
        <f>AC1527-AB1527</f>
        <v>664</v>
      </c>
      <c r="Z1527" s="18">
        <v>80</v>
      </c>
      <c r="AA1527" s="18">
        <v>252</v>
      </c>
      <c r="AB1527" s="18">
        <v>469</v>
      </c>
      <c r="AC1527" s="18">
        <v>1133</v>
      </c>
      <c r="AD1527" s="1" t="s">
        <v>6272</v>
      </c>
      <c r="AE1527" s="1" t="s">
        <v>6273</v>
      </c>
      <c r="AF1527" s="4">
        <v>1.46</v>
      </c>
      <c r="AG1527" s="4">
        <v>7.38</v>
      </c>
    </row>
    <row r="1528" spans="1:33" ht="45" x14ac:dyDescent="0.25">
      <c r="A1528" s="10" t="s">
        <v>6838</v>
      </c>
      <c r="B1528" s="11" t="s">
        <v>33</v>
      </c>
      <c r="C1528" s="12" t="s">
        <v>6839</v>
      </c>
      <c r="D1528" s="27"/>
      <c r="E1528" s="14" t="s">
        <v>35</v>
      </c>
      <c r="F1528" s="11" t="str">
        <f>HYPERLINK("https://redirect.sdcdeals.com/redirect?destination=https%3A%2F%2Fwww.amazon.com%2Fdp%2FB09RZV4M2D%3Fth%3D1%26psc%3D1%26tag%3Dsdcdeals03-20", "Amazon Link")</f>
        <v>Amazon Link</v>
      </c>
      <c r="G1528" s="11" t="s">
        <v>36</v>
      </c>
      <c r="H1528" s="14" t="s">
        <v>6840</v>
      </c>
      <c r="I1528" s="11" t="str">
        <f>HYPERLINK("https://redirect.sdcdeals.com/redirect?code=763034&amp;mavely=https://mavely.app.link/e/bhESV2wGrGb&amp;destination=https%3A%2F%2Fwww.kohls.com%2Fsearch.jsp%3Fsubmit-search%3Dweb-regular%26search%3D79253972", "Retail Link")</f>
        <v>Retail Link</v>
      </c>
      <c r="J1528" s="14" t="s">
        <v>6841</v>
      </c>
      <c r="K1528" s="13" t="s">
        <v>6842</v>
      </c>
      <c r="L1528" s="15">
        <v>6.5920000000000014</v>
      </c>
      <c r="M1528" s="15">
        <v>8.24</v>
      </c>
      <c r="N1528" s="15">
        <v>-5.8980000000000006</v>
      </c>
      <c r="O1528" s="15">
        <f>V1528-M1528</f>
        <v>6.93</v>
      </c>
      <c r="P1528" s="16">
        <f>N1528/L1528</f>
        <v>-0.89472087378640763</v>
      </c>
      <c r="Q1528" s="14">
        <v>1154</v>
      </c>
      <c r="R1528" s="14">
        <v>600</v>
      </c>
      <c r="S1528" s="17">
        <v>0.89948496</v>
      </c>
      <c r="T1528" s="15">
        <v>8.24</v>
      </c>
      <c r="U1528" s="15">
        <v>14.17</v>
      </c>
      <c r="V1528" s="15">
        <v>15.17</v>
      </c>
      <c r="W1528" s="14" t="s">
        <v>6843</v>
      </c>
      <c r="X1528" s="14">
        <v>4</v>
      </c>
      <c r="Y1528" s="10">
        <f>AC1528-AB1528</f>
        <v>128</v>
      </c>
      <c r="Z1528" s="18">
        <v>56</v>
      </c>
      <c r="AA1528" s="18">
        <v>167</v>
      </c>
      <c r="AB1528" s="18">
        <v>227</v>
      </c>
      <c r="AC1528" s="18">
        <v>355</v>
      </c>
      <c r="AD1528" s="1" t="s">
        <v>6844</v>
      </c>
      <c r="AE1528" s="1" t="s">
        <v>278</v>
      </c>
      <c r="AF1528" s="4">
        <v>1.24</v>
      </c>
      <c r="AG1528" s="4">
        <v>6.31</v>
      </c>
    </row>
    <row r="1529" spans="1:33" ht="30" hidden="1" x14ac:dyDescent="0.25">
      <c r="A1529" s="10" t="s">
        <v>5071</v>
      </c>
      <c r="B1529" s="11" t="s">
        <v>33</v>
      </c>
      <c r="C1529" s="12" t="s">
        <v>5072</v>
      </c>
      <c r="D1529" s="27"/>
      <c r="E1529" s="14" t="s">
        <v>35</v>
      </c>
      <c r="F1529" s="11" t="str">
        <f>HYPERLINK("https://redirect.sdcdeals.com/redirect?destination=https%3A%2F%2Fwww.amazon.com%2Fdp%2FB0CL5K8RGJ%3Fth%3D1%26psc%3D1%26tag%3Dsdcdeals03-20", "Amazon Link")</f>
        <v>Amazon Link</v>
      </c>
      <c r="G1529" s="11" t="s">
        <v>36</v>
      </c>
      <c r="H1529" s="14" t="s">
        <v>5073</v>
      </c>
      <c r="I1529" s="11" t="str">
        <f>HYPERLINK("https://redirect.sdcdeals.com/redirect?code=763034&amp;mavely=https://mavely.app.link/e/bhESV2wGrGb&amp;destination=https%3A%2F%2Fwww.kohls.com%2Fsearch.jsp%3Fsubmit-search%3Dweb-regular%26search%3D55860562", "Retail Link")</f>
        <v>Retail Link</v>
      </c>
      <c r="J1529" s="14" t="s">
        <v>5064</v>
      </c>
      <c r="K1529" s="13" t="s">
        <v>5074</v>
      </c>
      <c r="L1529" s="15">
        <v>6.8000000000000007</v>
      </c>
      <c r="M1529" s="15">
        <v>8.5</v>
      </c>
      <c r="N1529" s="15">
        <v>-6.3850000000000007</v>
      </c>
      <c r="O1529" s="15">
        <f>V1529-M1529</f>
        <v>14.370000000000001</v>
      </c>
      <c r="P1529" s="16">
        <f>N1529/L1529</f>
        <v>-0.93897058823529411</v>
      </c>
      <c r="Q1529" s="14"/>
      <c r="R1529" s="14"/>
      <c r="S1529" s="17">
        <v>2.7800258200000001</v>
      </c>
      <c r="T1529" s="15">
        <v>8.5</v>
      </c>
      <c r="U1529" s="15">
        <v>18.12</v>
      </c>
      <c r="V1529" s="15">
        <v>22.87</v>
      </c>
      <c r="W1529" s="14" t="s">
        <v>781</v>
      </c>
      <c r="X1529" s="14">
        <v>10</v>
      </c>
      <c r="Y1529" s="10">
        <f>AC1529-AB1529</f>
        <v>0</v>
      </c>
      <c r="Z1529" s="18">
        <v>0</v>
      </c>
      <c r="AA1529" s="18">
        <v>57</v>
      </c>
      <c r="AB1529" s="18">
        <v>0</v>
      </c>
      <c r="AC1529" s="18"/>
      <c r="AF1529" s="4">
        <v>0.85</v>
      </c>
      <c r="AG1529" s="4">
        <v>6.81</v>
      </c>
    </row>
    <row r="1530" spans="1:33" ht="30" x14ac:dyDescent="0.25">
      <c r="A1530" s="10" t="s">
        <v>7045</v>
      </c>
      <c r="B1530" s="11" t="s">
        <v>33</v>
      </c>
      <c r="C1530" s="12" t="s">
        <v>7046</v>
      </c>
      <c r="D1530" s="27"/>
      <c r="E1530" s="14" t="s">
        <v>35</v>
      </c>
      <c r="F1530" s="11" t="str">
        <f>HYPERLINK("https://redirect.sdcdeals.com/redirect?destination=https%3A%2F%2Fwww.amazon.com%2Fdp%2FB09RZLY3YJ%3Fth%3D1%26psc%3D1%26tag%3Dsdcdeals03-20", "Amazon Link")</f>
        <v>Amazon Link</v>
      </c>
      <c r="G1530" s="11" t="s">
        <v>36</v>
      </c>
      <c r="H1530" s="14" t="s">
        <v>7047</v>
      </c>
      <c r="I1530" s="11" t="str">
        <f>HYPERLINK("https://redirect.sdcdeals.com/redirect?code=763034&amp;mavely=https://mavely.app.link/e/bhESV2wGrGb&amp;destination=https%3A%2F%2Fwww.kohls.com%2Fsearch.jsp%3Fsubmit-search%3Dweb-regular%26search%3D81885712", "Retail Link")</f>
        <v>Retail Link</v>
      </c>
      <c r="J1530" s="14" t="s">
        <v>7048</v>
      </c>
      <c r="K1530" s="13" t="s">
        <v>7049</v>
      </c>
      <c r="L1530" s="15">
        <v>4.9359999999999999</v>
      </c>
      <c r="M1530" s="15">
        <v>6.17</v>
      </c>
      <c r="N1530" s="15">
        <v>-4.6914999999999996</v>
      </c>
      <c r="O1530" s="15">
        <f>V1530-M1530</f>
        <v>8.01</v>
      </c>
      <c r="P1530" s="16">
        <f>N1530/L1530</f>
        <v>-0.95046596434359798</v>
      </c>
      <c r="Q1530" s="14">
        <v>976</v>
      </c>
      <c r="R1530" s="14">
        <v>1000</v>
      </c>
      <c r="S1530" s="17">
        <v>0.94798660000000001</v>
      </c>
      <c r="T1530" s="15">
        <v>6.17</v>
      </c>
      <c r="U1530" s="15">
        <v>13.97</v>
      </c>
      <c r="V1530" s="15">
        <v>14.18</v>
      </c>
      <c r="W1530" s="14" t="s">
        <v>2347</v>
      </c>
      <c r="X1530" s="14">
        <v>10</v>
      </c>
      <c r="Y1530" s="10">
        <f>AC1530-AB1530</f>
        <v>49</v>
      </c>
      <c r="Z1530" s="18">
        <v>65</v>
      </c>
      <c r="AA1530" s="18">
        <v>183</v>
      </c>
      <c r="AB1530" s="18">
        <v>199</v>
      </c>
      <c r="AC1530" s="18">
        <v>248</v>
      </c>
      <c r="AD1530" s="1" t="s">
        <v>7050</v>
      </c>
      <c r="AE1530" s="1" t="s">
        <v>7051</v>
      </c>
      <c r="AF1530" s="4">
        <v>0.93</v>
      </c>
      <c r="AG1530" s="4">
        <v>5</v>
      </c>
    </row>
    <row r="1531" spans="1:33" x14ac:dyDescent="0.25">
      <c r="A1531" s="10" t="s">
        <v>3698</v>
      </c>
      <c r="B1531" s="11" t="s">
        <v>33</v>
      </c>
      <c r="C1531" s="12" t="s">
        <v>3699</v>
      </c>
      <c r="D1531" s="27"/>
      <c r="E1531" s="14" t="s">
        <v>35</v>
      </c>
      <c r="F1531" s="11" t="str">
        <f>HYPERLINK("https://redirect.sdcdeals.com/redirect?destination=https%3A%2F%2Fwww.amazon.com%2Fdp%2FB001OQXLEQ%3Fth%3D1%26psc%3D1%26tag%3Dsdcdeals03-20", "Amazon Link")</f>
        <v>Amazon Link</v>
      </c>
      <c r="G1531" s="11" t="s">
        <v>36</v>
      </c>
      <c r="H1531" s="14" t="s">
        <v>3700</v>
      </c>
      <c r="I1531" s="11" t="str">
        <f>HYPERLINK("https://redirect.sdcdeals.com/redirect?code=763034&amp;mavely=https://mavely.app.link/e/bhESV2wGrGb&amp;destination=https%3A%2F%2Fwww.kohls.com%2Fsearch.jsp%3Fsubmit-search%3Dweb-regular%26search%3D76792729", "Retail Link")</f>
        <v>Retail Link</v>
      </c>
      <c r="J1531" s="14" t="s">
        <v>3701</v>
      </c>
      <c r="K1531" s="13" t="s">
        <v>3702</v>
      </c>
      <c r="L1531" s="15">
        <v>12</v>
      </c>
      <c r="M1531" s="15">
        <v>3.44</v>
      </c>
      <c r="N1531" s="15">
        <v>-11.986000000000001</v>
      </c>
      <c r="O1531" s="15">
        <f>V1531-M1531</f>
        <v>0</v>
      </c>
      <c r="P1531" s="16">
        <f>N1531/L1531</f>
        <v>-0.99883333333333335</v>
      </c>
      <c r="Q1531" s="14">
        <v>1648229</v>
      </c>
      <c r="R1531" s="14"/>
      <c r="S1531" s="17">
        <v>4.1887779999999999E-2</v>
      </c>
      <c r="T1531" s="15">
        <v>3.44</v>
      </c>
      <c r="U1531" s="15">
        <v>3.44</v>
      </c>
      <c r="V1531" s="15">
        <v>3.44</v>
      </c>
      <c r="W1531" s="14" t="s">
        <v>613</v>
      </c>
      <c r="X1531" s="14">
        <v>5</v>
      </c>
      <c r="Y1531" s="10">
        <f>AC1531-AB1531</f>
        <v>3</v>
      </c>
      <c r="Z1531" s="18">
        <v>0</v>
      </c>
      <c r="AA1531" s="18">
        <v>5</v>
      </c>
      <c r="AB1531" s="18"/>
      <c r="AC1531" s="18">
        <v>3</v>
      </c>
      <c r="AD1531" s="1" t="s">
        <v>3703</v>
      </c>
      <c r="AF1531" s="4">
        <v>0.41</v>
      </c>
      <c r="AG1531" s="4">
        <v>2.91</v>
      </c>
    </row>
    <row r="1532" spans="1:33" ht="30" hidden="1" x14ac:dyDescent="0.25">
      <c r="A1532" s="10" t="s">
        <v>5165</v>
      </c>
      <c r="B1532" s="11" t="s">
        <v>33</v>
      </c>
      <c r="C1532" s="12" t="s">
        <v>5166</v>
      </c>
      <c r="D1532" s="27"/>
      <c r="E1532" s="14" t="s">
        <v>35</v>
      </c>
      <c r="F1532" s="11" t="str">
        <f>HYPERLINK("https://redirect.sdcdeals.com/redirect?destination=https%3A%2F%2Fwww.amazon.com%2Fdp%2FB0CL5KJS9Y%3Fth%3D1%26psc%3D1%26tag%3Dsdcdeals03-20", "Amazon Link")</f>
        <v>Amazon Link</v>
      </c>
      <c r="G1532" s="11" t="s">
        <v>36</v>
      </c>
      <c r="H1532" s="14" t="s">
        <v>5167</v>
      </c>
      <c r="I1532" s="11" t="str">
        <f>HYPERLINK("https://redirect.sdcdeals.com/redirect?code=763034&amp;mavely=https://mavely.app.link/e/bhESV2wGrGb&amp;destination=https%3A%2F%2Fwww.kohls.com%2Fsearch.jsp%3Fsubmit-search%3Dweb-regular%26search%3D18796722", "Retail Link")</f>
        <v>Retail Link</v>
      </c>
      <c r="J1532" s="14" t="s">
        <v>5168</v>
      </c>
      <c r="K1532" s="13" t="s">
        <v>5169</v>
      </c>
      <c r="L1532" s="15">
        <v>6.8000000000000007</v>
      </c>
      <c r="M1532" s="15">
        <v>8</v>
      </c>
      <c r="N1532" s="15">
        <v>-6.81</v>
      </c>
      <c r="O1532" s="15">
        <f>V1532-M1532</f>
        <v>8.43</v>
      </c>
      <c r="P1532" s="16">
        <f>N1532/L1532</f>
        <v>-1.0014705882352939</v>
      </c>
      <c r="Q1532" s="14"/>
      <c r="R1532" s="14"/>
      <c r="S1532" s="17">
        <v>2.7800258200000001</v>
      </c>
      <c r="T1532" s="15">
        <v>8</v>
      </c>
      <c r="U1532" s="15">
        <v>9.67</v>
      </c>
      <c r="V1532" s="15">
        <v>16.43</v>
      </c>
      <c r="W1532" s="14" t="s">
        <v>74</v>
      </c>
      <c r="X1532" s="14">
        <v>6</v>
      </c>
      <c r="Y1532" s="10">
        <f>AC1532-AB1532</f>
        <v>0</v>
      </c>
      <c r="Z1532" s="18">
        <v>0</v>
      </c>
      <c r="AA1532" s="18">
        <v>67</v>
      </c>
      <c r="AB1532" s="18">
        <v>0</v>
      </c>
      <c r="AC1532" s="18"/>
      <c r="AE1532" s="1" t="s">
        <v>5170</v>
      </c>
      <c r="AF1532" s="4">
        <v>1.36</v>
      </c>
      <c r="AG1532" s="4">
        <v>6.81</v>
      </c>
    </row>
    <row r="1533" spans="1:33" x14ac:dyDescent="0.25">
      <c r="A1533" s="10" t="s">
        <v>6558</v>
      </c>
      <c r="B1533" s="11" t="s">
        <v>33</v>
      </c>
      <c r="C1533" s="12" t="s">
        <v>6559</v>
      </c>
      <c r="D1533" s="27"/>
      <c r="E1533" s="14" t="s">
        <v>35</v>
      </c>
      <c r="F1533" s="11" t="str">
        <f>HYPERLINK("https://redirect.sdcdeals.com/redirect?destination=https%3A%2F%2Fwww.amazon.com%2Fdp%2FB0C9L9Y8SF%3Fth%3D1%26psc%3D1%26tag%3Dsdcdeals03-20", "Amazon Link")</f>
        <v>Amazon Link</v>
      </c>
      <c r="G1533" s="11" t="s">
        <v>36</v>
      </c>
      <c r="H1533" s="14" t="s">
        <v>6560</v>
      </c>
      <c r="I1533" s="11" t="str">
        <f>HYPERLINK("https://redirect.sdcdeals.com/redirect?code=763034&amp;mavely=https://mavely.app.link/e/bhESV2wGrGb&amp;destination=https%3A%2F%2Fwww.kohls.com%2Fsearch.jsp%3Fsubmit-search%3Dweb-regular%26search%3D68934398", "Retail Link")</f>
        <v>Retail Link</v>
      </c>
      <c r="J1533" s="14" t="s">
        <v>6540</v>
      </c>
      <c r="K1533" s="13" t="s">
        <v>6561</v>
      </c>
      <c r="L1533" s="15">
        <v>5.4960000000000004</v>
      </c>
      <c r="M1533" s="15">
        <v>6.87</v>
      </c>
      <c r="N1533" s="15">
        <v>-5.5265000000000004</v>
      </c>
      <c r="O1533" s="15">
        <f>V1533-M1533</f>
        <v>9.3699999999999974</v>
      </c>
      <c r="P1533" s="16">
        <f>N1533/L1533</f>
        <v>-1.0055494905385736</v>
      </c>
      <c r="Q1533" s="14">
        <v>192545</v>
      </c>
      <c r="R1533" s="14"/>
      <c r="S1533" s="17">
        <v>0.83996022000000004</v>
      </c>
      <c r="T1533" s="15">
        <v>6.87</v>
      </c>
      <c r="U1533" s="15">
        <v>14.35</v>
      </c>
      <c r="V1533" s="15">
        <v>16.239999999999998</v>
      </c>
      <c r="W1533" s="14" t="s">
        <v>781</v>
      </c>
      <c r="X1533" s="14">
        <v>1</v>
      </c>
      <c r="Y1533" s="10">
        <f>AC1533-AB1533</f>
        <v>12</v>
      </c>
      <c r="Z1533" s="18">
        <v>17</v>
      </c>
      <c r="AA1533" s="18">
        <v>38</v>
      </c>
      <c r="AB1533" s="18">
        <v>3</v>
      </c>
      <c r="AC1533" s="18">
        <v>15</v>
      </c>
      <c r="AD1533" s="1" t="s">
        <v>6562</v>
      </c>
      <c r="AE1533" s="1" t="s">
        <v>76</v>
      </c>
      <c r="AF1533" s="4">
        <v>1.03</v>
      </c>
      <c r="AG1533" s="4">
        <v>5.87</v>
      </c>
    </row>
    <row r="1534" spans="1:33" x14ac:dyDescent="0.25">
      <c r="A1534" s="10" t="s">
        <v>6548</v>
      </c>
      <c r="B1534" s="11" t="s">
        <v>33</v>
      </c>
      <c r="C1534" s="12" t="s">
        <v>6549</v>
      </c>
      <c r="D1534" s="27"/>
      <c r="E1534" s="14" t="s">
        <v>35</v>
      </c>
      <c r="F1534" s="11" t="str">
        <f>HYPERLINK("https://redirect.sdcdeals.com/redirect?destination=https%3A%2F%2Fwww.amazon.com%2Fdp%2FB0C9LF8CKV%3Fth%3D1%26psc%3D1%26tag%3Dsdcdeals03-20", "Amazon Link")</f>
        <v>Amazon Link</v>
      </c>
      <c r="G1534" s="11" t="s">
        <v>36</v>
      </c>
      <c r="H1534" s="14" t="s">
        <v>6550</v>
      </c>
      <c r="I1534" s="11" t="str">
        <f>HYPERLINK("https://redirect.sdcdeals.com/redirect?code=763034&amp;mavely=https://mavely.app.link/e/bhESV2wGrGb&amp;destination=https%3A%2F%2Fwww.kohls.com%2Fsearch.jsp%3Fsubmit-search%3Dweb-regular%26search%3D68934378", "Retail Link")</f>
        <v>Retail Link</v>
      </c>
      <c r="J1534" s="14" t="s">
        <v>6540</v>
      </c>
      <c r="K1534" s="13" t="s">
        <v>6551</v>
      </c>
      <c r="L1534" s="15">
        <v>5.4960000000000004</v>
      </c>
      <c r="M1534" s="15">
        <v>6.87</v>
      </c>
      <c r="N1534" s="15">
        <v>-5.7065000000000001</v>
      </c>
      <c r="O1534" s="15">
        <f>V1534-M1534</f>
        <v>7.8199999999999994</v>
      </c>
      <c r="P1534" s="16">
        <f>N1534/L1534</f>
        <v>-1.0383005822416302</v>
      </c>
      <c r="Q1534" s="14">
        <v>192545</v>
      </c>
      <c r="R1534" s="14"/>
      <c r="S1534" s="17">
        <v>0.74957079999999998</v>
      </c>
      <c r="T1534" s="15">
        <v>6.87</v>
      </c>
      <c r="U1534" s="15">
        <v>13.44</v>
      </c>
      <c r="V1534" s="15">
        <v>14.69</v>
      </c>
      <c r="W1534" s="14" t="s">
        <v>379</v>
      </c>
      <c r="X1534" s="14">
        <v>1</v>
      </c>
      <c r="Y1534" s="10">
        <f>AC1534-AB1534</f>
        <v>16</v>
      </c>
      <c r="Z1534" s="18">
        <v>15</v>
      </c>
      <c r="AA1534" s="18">
        <v>37</v>
      </c>
      <c r="AB1534" s="18">
        <v>0</v>
      </c>
      <c r="AC1534" s="18">
        <v>16</v>
      </c>
      <c r="AD1534" s="1" t="s">
        <v>6552</v>
      </c>
      <c r="AE1534" s="1" t="s">
        <v>76</v>
      </c>
      <c r="AF1534" s="4">
        <v>1.03</v>
      </c>
      <c r="AG1534" s="4">
        <v>6.05</v>
      </c>
    </row>
    <row r="1535" spans="1:33" hidden="1" x14ac:dyDescent="0.25">
      <c r="A1535" s="10" t="s">
        <v>3704</v>
      </c>
      <c r="B1535" s="11" t="s">
        <v>33</v>
      </c>
      <c r="C1535" s="12" t="s">
        <v>3705</v>
      </c>
      <c r="D1535" s="27"/>
      <c r="E1535" s="14" t="s">
        <v>35</v>
      </c>
      <c r="F1535" s="11" t="str">
        <f>HYPERLINK("https://redirect.sdcdeals.com/redirect?destination=https%3A%2F%2Fwww.amazon.com%2Fdp%2FB001OK05TQ%3Fth%3D1%26psc%3D1%26tag%3Dsdcdeals03-20", "Amazon Link")</f>
        <v>Amazon Link</v>
      </c>
      <c r="G1535" s="11" t="s">
        <v>36</v>
      </c>
      <c r="H1535" s="14" t="s">
        <v>3706</v>
      </c>
      <c r="I1535" s="11" t="str">
        <f>HYPERLINK("https://redirect.sdcdeals.com/redirect?code=763034&amp;mavely=https://mavely.app.link/e/bhESV2wGrGb&amp;destination=https%3A%2F%2Fwww.kohls.com%2Fsearch.jsp%3Fsubmit-search%3Dweb-regular%26search%3D76792732", "Retail Link")</f>
        <v>Retail Link</v>
      </c>
      <c r="J1535" s="14" t="s">
        <v>3701</v>
      </c>
      <c r="K1535" s="13" t="s">
        <v>3707</v>
      </c>
      <c r="L1535" s="15">
        <v>12</v>
      </c>
      <c r="M1535" s="15">
        <v>2.52</v>
      </c>
      <c r="N1535" s="15">
        <v>-12.768000000000001</v>
      </c>
      <c r="O1535" s="15">
        <f>V1535-M1535</f>
        <v>0.27</v>
      </c>
      <c r="P1535" s="16">
        <f>N1535/L1535</f>
        <v>-1.0640000000000001</v>
      </c>
      <c r="Q1535" s="14"/>
      <c r="R1535" s="14"/>
      <c r="S1535" s="17">
        <v>4.6297020000000001E-2</v>
      </c>
      <c r="T1535" s="15">
        <v>2.52</v>
      </c>
      <c r="U1535" s="15">
        <v>2.52</v>
      </c>
      <c r="V1535" s="15">
        <v>2.79</v>
      </c>
      <c r="W1535" s="14" t="s">
        <v>781</v>
      </c>
      <c r="X1535" s="14">
        <v>5</v>
      </c>
      <c r="Y1535" s="10">
        <f>AC1535-AB1535</f>
        <v>5</v>
      </c>
      <c r="Z1535" s="18">
        <v>0</v>
      </c>
      <c r="AA1535" s="18">
        <v>0</v>
      </c>
      <c r="AB1535" s="18"/>
      <c r="AC1535" s="18">
        <v>5</v>
      </c>
      <c r="AD1535" s="1" t="s">
        <v>3708</v>
      </c>
      <c r="AF1535" s="4">
        <v>0.3</v>
      </c>
      <c r="AG1535" s="4">
        <v>2.91</v>
      </c>
    </row>
    <row r="1536" spans="1:33" ht="30" x14ac:dyDescent="0.25">
      <c r="A1536" s="10" t="s">
        <v>6573</v>
      </c>
      <c r="B1536" s="11" t="s">
        <v>33</v>
      </c>
      <c r="C1536" s="12" t="s">
        <v>6574</v>
      </c>
      <c r="D1536" s="27"/>
      <c r="E1536" s="14" t="s">
        <v>35</v>
      </c>
      <c r="F1536" s="11" t="str">
        <f>HYPERLINK("https://redirect.sdcdeals.com/redirect?destination=https%3A%2F%2Fwww.amazon.com%2Fdp%2FB0C9LN2QFP%3Fth%3D1%26psc%3D1%26tag%3Dsdcdeals03-20", "Amazon Link")</f>
        <v>Amazon Link</v>
      </c>
      <c r="G1536" s="11" t="s">
        <v>36</v>
      </c>
      <c r="H1536" s="14" t="s">
        <v>6575</v>
      </c>
      <c r="I1536" s="11" t="str">
        <f>HYPERLINK("https://redirect.sdcdeals.com/redirect?code=763034&amp;mavely=https://mavely.app.link/e/bhESV2wGrGb&amp;destination=https%3A%2F%2Fwww.kohls.com%2Fsearch.jsp%3Fsubmit-search%3Dweb-regular%26search%3D68934428", "Retail Link")</f>
        <v>Retail Link</v>
      </c>
      <c r="J1536" s="14" t="s">
        <v>6540</v>
      </c>
      <c r="K1536" s="13" t="s">
        <v>6576</v>
      </c>
      <c r="L1536" s="15">
        <v>5.4960000000000004</v>
      </c>
      <c r="M1536" s="15">
        <v>6.87</v>
      </c>
      <c r="N1536" s="15">
        <v>-6.0465</v>
      </c>
      <c r="O1536" s="15">
        <f>V1536-M1536</f>
        <v>11.29</v>
      </c>
      <c r="P1536" s="16">
        <f>N1536/L1536</f>
        <v>-1.1001637554585153</v>
      </c>
      <c r="Q1536" s="14">
        <v>211251</v>
      </c>
      <c r="R1536" s="14"/>
      <c r="S1536" s="17">
        <v>1.0141252000000001</v>
      </c>
      <c r="T1536" s="15">
        <v>6.87</v>
      </c>
      <c r="U1536" s="15">
        <v>14.33</v>
      </c>
      <c r="V1536" s="15">
        <v>18.16</v>
      </c>
      <c r="W1536" s="14" t="s">
        <v>199</v>
      </c>
      <c r="X1536" s="14">
        <v>1</v>
      </c>
      <c r="Y1536" s="10">
        <f>AC1536-AB1536</f>
        <v>11</v>
      </c>
      <c r="Z1536" s="18">
        <v>14</v>
      </c>
      <c r="AA1536" s="18">
        <v>53</v>
      </c>
      <c r="AB1536" s="18">
        <v>3</v>
      </c>
      <c r="AC1536" s="18">
        <v>14</v>
      </c>
      <c r="AD1536" s="1" t="s">
        <v>6577</v>
      </c>
      <c r="AE1536" s="1" t="s">
        <v>76</v>
      </c>
      <c r="AF1536" s="4">
        <v>1.03</v>
      </c>
      <c r="AG1536" s="4">
        <v>6.39</v>
      </c>
    </row>
    <row r="1537" spans="1:33" ht="45" x14ac:dyDescent="0.25">
      <c r="A1537" s="10" t="s">
        <v>4833</v>
      </c>
      <c r="B1537" s="11" t="s">
        <v>33</v>
      </c>
      <c r="C1537" s="12" t="s">
        <v>4834</v>
      </c>
      <c r="D1537" s="27"/>
      <c r="E1537" s="14" t="s">
        <v>35</v>
      </c>
      <c r="F1537" s="11" t="str">
        <f>HYPERLINK("https://redirect.sdcdeals.com/redirect?destination=https%3A%2F%2Fwww.amazon.com%2Fdp%2FB097J3VR7C%3Fth%3D1%26psc%3D1%26tag%3Dsdcdeals03-20", "Amazon Link")</f>
        <v>Amazon Link</v>
      </c>
      <c r="G1537" s="11" t="s">
        <v>36</v>
      </c>
      <c r="H1537" s="14" t="s">
        <v>4835</v>
      </c>
      <c r="I1537" s="11" t="str">
        <f>HYPERLINK("https://redirect.sdcdeals.com/redirect?code=763034&amp;mavely=https://mavely.app.link/e/bhESV2wGrGb&amp;destination=https%3A%2F%2Fwww.kohls.com%2Fsearch.jsp%3Fsubmit-search%3Dweb-regular%26search%3D50776176", "Retail Link")</f>
        <v>Retail Link</v>
      </c>
      <c r="J1537" s="14" t="s">
        <v>4836</v>
      </c>
      <c r="K1537" s="13" t="s">
        <v>4837</v>
      </c>
      <c r="L1537" s="15">
        <v>8.3920000000000012</v>
      </c>
      <c r="M1537" s="15">
        <v>10.49</v>
      </c>
      <c r="N1537" s="15">
        <v>-11.365500000000001</v>
      </c>
      <c r="O1537" s="15">
        <f>V1537-M1537</f>
        <v>11.770000000000001</v>
      </c>
      <c r="P1537" s="16">
        <f>N1537/L1537</f>
        <v>-1.3543255481410867</v>
      </c>
      <c r="Q1537" s="14">
        <v>20384</v>
      </c>
      <c r="R1537" s="14">
        <v>200</v>
      </c>
      <c r="S1537" s="17">
        <v>1.6997620200000001</v>
      </c>
      <c r="T1537" s="15">
        <v>10.49</v>
      </c>
      <c r="U1537" s="15">
        <v>21.04</v>
      </c>
      <c r="V1537" s="15">
        <v>22.26</v>
      </c>
      <c r="W1537" s="14" t="s">
        <v>4838</v>
      </c>
      <c r="X1537" s="14">
        <v>5</v>
      </c>
      <c r="Y1537" s="10">
        <f>AC1537-AB1537</f>
        <v>1060</v>
      </c>
      <c r="Z1537" s="18">
        <v>42</v>
      </c>
      <c r="AA1537" s="18">
        <v>133</v>
      </c>
      <c r="AB1537" s="18"/>
      <c r="AC1537" s="18">
        <v>1060</v>
      </c>
      <c r="AD1537" s="1" t="s">
        <v>4839</v>
      </c>
      <c r="AF1537" s="4">
        <v>1.57</v>
      </c>
      <c r="AG1537" s="4">
        <v>11.89</v>
      </c>
    </row>
    <row r="1538" spans="1:33" x14ac:dyDescent="0.25">
      <c r="A1538" s="10" t="s">
        <v>6299</v>
      </c>
      <c r="B1538" s="11" t="s">
        <v>33</v>
      </c>
      <c r="C1538" s="12" t="s">
        <v>6300</v>
      </c>
      <c r="D1538" s="27"/>
      <c r="E1538" s="14" t="s">
        <v>35</v>
      </c>
      <c r="F1538" s="11" t="str">
        <f>HYPERLINK("https://redirect.sdcdeals.com/redirect?destination=https%3A%2F%2Fwww.amazon.com%2Fdp%2FB00ISF8VQE%3Fth%3D1%26psc%3D1%26tag%3Dsdcdeals03-20", "Amazon Link")</f>
        <v>Amazon Link</v>
      </c>
      <c r="G1538" s="11" t="s">
        <v>36</v>
      </c>
      <c r="H1538" s="14" t="s">
        <v>6301</v>
      </c>
      <c r="I1538" s="11" t="str">
        <f>HYPERLINK("https://redirect.sdcdeals.com/redirect?code=763034&amp;mavely=https://mavely.app.link/e/bhESV2wGrGb&amp;destination=https%3A%2F%2Fwww.kohls.com%2Fsearch.jsp%3Fsubmit-search%3Dweb-regular%26search%3D29331719", "Retail Link")</f>
        <v>Retail Link</v>
      </c>
      <c r="J1538" s="14" t="s">
        <v>6296</v>
      </c>
      <c r="K1538" s="13" t="s">
        <v>6302</v>
      </c>
      <c r="L1538" s="15">
        <v>10.4</v>
      </c>
      <c r="M1538" s="15">
        <v>26.02</v>
      </c>
      <c r="N1538" s="15">
        <v>-16.132999999999999</v>
      </c>
      <c r="O1538" s="15">
        <f>V1538-M1538</f>
        <v>5.9999999999998721E-2</v>
      </c>
      <c r="P1538" s="16">
        <f>N1538/L1538</f>
        <v>-1.5512499999999998</v>
      </c>
      <c r="Q1538" s="14">
        <v>2583967</v>
      </c>
      <c r="R1538" s="14"/>
      <c r="S1538" s="17">
        <v>6.8894374999999997</v>
      </c>
      <c r="T1538" s="15"/>
      <c r="U1538" s="15">
        <v>26.02</v>
      </c>
      <c r="V1538" s="15">
        <v>26.08</v>
      </c>
      <c r="W1538" s="14" t="s">
        <v>1822</v>
      </c>
      <c r="X1538" s="14">
        <v>2</v>
      </c>
      <c r="Y1538" s="10">
        <f>AC1538-AB1538</f>
        <v>1</v>
      </c>
      <c r="Z1538" s="18">
        <v>1</v>
      </c>
      <c r="AA1538" s="18">
        <v>1</v>
      </c>
      <c r="AB1538" s="18"/>
      <c r="AC1538" s="18">
        <v>1</v>
      </c>
      <c r="AD1538" s="1" t="s">
        <v>6303</v>
      </c>
      <c r="AG1538" s="4">
        <v>27.85</v>
      </c>
    </row>
    <row r="1539" spans="1:33" hidden="1" x14ac:dyDescent="0.25">
      <c r="A1539" s="10" t="s">
        <v>3722</v>
      </c>
      <c r="B1539" s="11" t="s">
        <v>33</v>
      </c>
      <c r="C1539" s="12" t="s">
        <v>3723</v>
      </c>
      <c r="D1539" s="27"/>
      <c r="E1539" s="14" t="s">
        <v>35</v>
      </c>
      <c r="F1539" s="11" t="str">
        <f>HYPERLINK("https://redirect.sdcdeals.com/redirect?destination=https%3A%2F%2Fwww.amazon.com%2Fdp%2FB00ISF90HS%3Fth%3D1%26psc%3D1%26tag%3Dsdcdeals03-20", "Amazon Link")</f>
        <v>Amazon Link</v>
      </c>
      <c r="G1539" s="11" t="s">
        <v>36</v>
      </c>
      <c r="H1539" s="14" t="s">
        <v>3724</v>
      </c>
      <c r="I1539" s="11" t="str">
        <f>HYPERLINK("https://redirect.sdcdeals.com/redirect?code=763034&amp;mavely=https://mavely.app.link/e/bhESV2wGrGb&amp;destination=https%3A%2F%2Fwww.kohls.com%2Fsearch.jsp%3Fsubmit-search%3Dweb-regular%26search%3D58146753", "Retail Link")</f>
        <v>Retail Link</v>
      </c>
      <c r="J1539" s="14" t="s">
        <v>3701</v>
      </c>
      <c r="K1539" s="13" t="s">
        <v>3725</v>
      </c>
      <c r="L1539" s="15">
        <v>12</v>
      </c>
      <c r="M1539" s="15">
        <v>19.920000000000002</v>
      </c>
      <c r="N1539" s="15">
        <v>-22.917999999999999</v>
      </c>
      <c r="O1539" s="15">
        <f>V1539-M1539</f>
        <v>0.13999999999999702</v>
      </c>
      <c r="P1539" s="16">
        <f>N1539/L1539</f>
        <v>-1.9098333333333333</v>
      </c>
      <c r="Q1539" s="14"/>
      <c r="R1539" s="14"/>
      <c r="S1539" s="17">
        <v>4.1292532599999996</v>
      </c>
      <c r="T1539" s="15">
        <v>19.920000000000002</v>
      </c>
      <c r="U1539" s="15">
        <v>19.920000000000002</v>
      </c>
      <c r="V1539" s="15">
        <v>20.059999999999999</v>
      </c>
      <c r="W1539" s="14" t="s">
        <v>1134</v>
      </c>
      <c r="X1539" s="14">
        <v>2</v>
      </c>
      <c r="Y1539" s="10">
        <f>AC1539-AB1539</f>
        <v>0</v>
      </c>
      <c r="Z1539" s="18">
        <v>0</v>
      </c>
      <c r="AA1539" s="18">
        <v>0</v>
      </c>
      <c r="AB1539" s="18"/>
      <c r="AC1539" s="18"/>
      <c r="AD1539" s="1" t="s">
        <v>3726</v>
      </c>
      <c r="AF1539" s="4">
        <v>2.39</v>
      </c>
      <c r="AG1539" s="4">
        <v>27.85</v>
      </c>
    </row>
    <row r="1540" spans="1:33" x14ac:dyDescent="0.25">
      <c r="A1540" s="10" t="s">
        <v>3709</v>
      </c>
      <c r="B1540" s="11" t="s">
        <v>33</v>
      </c>
      <c r="C1540" s="12" t="s">
        <v>3710</v>
      </c>
      <c r="D1540" s="27"/>
      <c r="E1540" s="14" t="s">
        <v>35</v>
      </c>
      <c r="F1540" s="11" t="str">
        <f>HYPERLINK("https://redirect.sdcdeals.com/redirect?destination=https%3A%2F%2Fwww.amazon.com%2Fdp%2FB00ISF8ZDS%3Fth%3D1%26psc%3D1%26tag%3Dsdcdeals03-20", "Amazon Link")</f>
        <v>Amazon Link</v>
      </c>
      <c r="G1540" s="11" t="s">
        <v>36</v>
      </c>
      <c r="H1540" s="14" t="s">
        <v>3711</v>
      </c>
      <c r="I1540" s="11" t="str">
        <f>HYPERLINK("https://redirect.sdcdeals.com/redirect?code=763034&amp;mavely=https://mavely.app.link/e/bhESV2wGrGb&amp;destination=https%3A%2F%2Fwww.kohls.com%2Fsearch.jsp%3Fsubmit-search%3Dweb-regular%26search%3D58146752", "Retail Link")</f>
        <v>Retail Link</v>
      </c>
      <c r="J1540" s="14" t="s">
        <v>3701</v>
      </c>
      <c r="K1540" s="13" t="s">
        <v>3712</v>
      </c>
      <c r="L1540" s="15">
        <v>12</v>
      </c>
      <c r="M1540" s="15">
        <v>14.1</v>
      </c>
      <c r="N1540" s="15">
        <v>-27.864999999999998</v>
      </c>
      <c r="O1540" s="15">
        <f>V1540-M1540</f>
        <v>-1.629999999999999</v>
      </c>
      <c r="P1540" s="16">
        <f>N1540/L1540</f>
        <v>-2.3220833333333331</v>
      </c>
      <c r="Q1540" s="14">
        <v>3422726</v>
      </c>
      <c r="R1540" s="14"/>
      <c r="S1540" s="17">
        <v>1.3095442799999999</v>
      </c>
      <c r="T1540" s="15">
        <v>14.1</v>
      </c>
      <c r="U1540" s="15">
        <v>13.95</v>
      </c>
      <c r="V1540" s="15">
        <v>12.47</v>
      </c>
      <c r="W1540" s="14" t="s">
        <v>234</v>
      </c>
      <c r="X1540" s="14">
        <v>1</v>
      </c>
      <c r="Y1540" s="10">
        <f>AC1540-AB1540</f>
        <v>0</v>
      </c>
      <c r="Z1540" s="18">
        <v>0</v>
      </c>
      <c r="AA1540" s="18">
        <v>0</v>
      </c>
      <c r="AB1540" s="18"/>
      <c r="AC1540" s="18"/>
      <c r="AD1540" s="1" t="s">
        <v>3713</v>
      </c>
      <c r="AF1540" s="4">
        <v>1.69</v>
      </c>
      <c r="AG1540" s="4">
        <v>27.85</v>
      </c>
    </row>
    <row r="1541" spans="1:33" x14ac:dyDescent="0.25">
      <c r="A1541" s="10" t="s">
        <v>3727</v>
      </c>
      <c r="B1541" s="11" t="s">
        <v>33</v>
      </c>
      <c r="C1541" s="12" t="s">
        <v>3728</v>
      </c>
      <c r="D1541" s="27"/>
      <c r="E1541" s="14" t="s">
        <v>35</v>
      </c>
      <c r="F1541" s="11" t="str">
        <f>HYPERLINK("https://redirect.sdcdeals.com/redirect?destination=https%3A%2F%2Fwww.amazon.com%2Fdp%2FB00ISF91JK%3Fth%3D1%26psc%3D1%26tag%3Dsdcdeals03-20", "Amazon Link")</f>
        <v>Amazon Link</v>
      </c>
      <c r="G1541" s="11" t="s">
        <v>36</v>
      </c>
      <c r="H1541" s="14" t="s">
        <v>3729</v>
      </c>
      <c r="I1541" s="11" t="str">
        <f>HYPERLINK("https://redirect.sdcdeals.com/redirect?code=763034&amp;mavely=https://mavely.app.link/e/bhESV2wGrGb&amp;destination=https%3A%2F%2Fwww.kohls.com%2Fsearch.jsp%3Fsubmit-search%3Dweb-regular%26search%3D58146754", "Retail Link")</f>
        <v>Retail Link</v>
      </c>
      <c r="J1541" s="14" t="s">
        <v>3701</v>
      </c>
      <c r="K1541" s="13" t="s">
        <v>3712</v>
      </c>
      <c r="L1541" s="15">
        <v>12</v>
      </c>
      <c r="M1541" s="15">
        <v>13.95</v>
      </c>
      <c r="N1541" s="15">
        <v>-27.9925</v>
      </c>
      <c r="O1541" s="15">
        <f>V1541-M1541</f>
        <v>1.5100000000000016</v>
      </c>
      <c r="P1541" s="16">
        <f>N1541/L1541</f>
        <v>-2.3327083333333332</v>
      </c>
      <c r="Q1541" s="14">
        <v>2962628</v>
      </c>
      <c r="R1541" s="14"/>
      <c r="S1541" s="17">
        <v>2.40083118</v>
      </c>
      <c r="T1541" s="15">
        <v>13.95</v>
      </c>
      <c r="U1541" s="15">
        <v>15.75</v>
      </c>
      <c r="V1541" s="15">
        <v>15.46</v>
      </c>
      <c r="W1541" s="14" t="s">
        <v>613</v>
      </c>
      <c r="X1541" s="14">
        <v>7</v>
      </c>
      <c r="Y1541" s="10">
        <f>AC1541-AB1541</f>
        <v>1</v>
      </c>
      <c r="Z1541" s="18">
        <v>0</v>
      </c>
      <c r="AA1541" s="18">
        <v>1</v>
      </c>
      <c r="AB1541" s="18"/>
      <c r="AC1541" s="18">
        <v>1</v>
      </c>
      <c r="AD1541" s="1" t="s">
        <v>3730</v>
      </c>
      <c r="AF1541" s="4">
        <v>1.67</v>
      </c>
      <c r="AG1541" s="4">
        <v>27.85</v>
      </c>
    </row>
  </sheetData>
  <autoFilter ref="A1:AG1541" xr:uid="{00000000-0001-0000-0000-000000000000}">
    <filterColumn colId="16">
      <customFilters>
        <customFilter operator="notEqual" val=" "/>
      </customFilters>
    </filterColumn>
    <sortState xmlns:xlrd2="http://schemas.microsoft.com/office/spreadsheetml/2017/richdata2" ref="A2:AG1541">
      <sortCondition descending="1" ref="P1:P1541"/>
    </sortState>
  </autoFilter>
  <conditionalFormatting sqref="L1:L1048576">
    <cfRule type="cellIs" dxfId="17" priority="8" operator="greaterThan">
      <formula>75</formula>
    </cfRule>
    <cfRule type="cellIs" dxfId="16" priority="9" operator="between">
      <formula>25</formula>
      <formula>75</formula>
    </cfRule>
    <cfRule type="cellIs" dxfId="15" priority="10" operator="lessThan">
      <formula>25</formula>
    </cfRule>
  </conditionalFormatting>
  <conditionalFormatting sqref="M1:M1048576">
    <cfRule type="cellIs" dxfId="14" priority="5" operator="greaterThan">
      <formula>50</formula>
    </cfRule>
    <cfRule type="cellIs" dxfId="13" priority="6" operator="between">
      <formula>20</formula>
      <formula>50</formula>
    </cfRule>
    <cfRule type="cellIs" dxfId="12" priority="7" operator="lessThan">
      <formula>20</formula>
    </cfRule>
  </conditionalFormatting>
  <conditionalFormatting sqref="N1:N1048576">
    <cfRule type="cellIs" dxfId="11" priority="17" operator="greaterThan">
      <formula>15</formula>
    </cfRule>
    <cfRule type="cellIs" dxfId="10" priority="18" operator="between">
      <formula>5</formula>
      <formula>15</formula>
    </cfRule>
    <cfRule type="cellIs" dxfId="9" priority="19" operator="lessThan">
      <formula>5</formula>
    </cfRule>
  </conditionalFormatting>
  <conditionalFormatting sqref="O1:O1048576">
    <cfRule type="cellIs" dxfId="8" priority="2" operator="greaterThan">
      <formula>5</formula>
    </cfRule>
    <cfRule type="cellIs" dxfId="7" priority="3" operator="between">
      <formula>-5</formula>
      <formula>5</formula>
    </cfRule>
    <cfRule type="cellIs" dxfId="6" priority="4" operator="lessThan">
      <formula>-5</formula>
    </cfRule>
  </conditionalFormatting>
  <conditionalFormatting sqref="P1:P1048576">
    <cfRule type="cellIs" dxfId="5" priority="14" operator="greaterThan">
      <formula>0.3</formula>
    </cfRule>
    <cfRule type="cellIs" dxfId="4" priority="15" operator="between">
      <formula>0.15</formula>
      <formula>0.3</formula>
    </cfRule>
    <cfRule type="cellIs" dxfId="3" priority="16" operator="lessThan">
      <formula>0.15</formula>
    </cfRule>
  </conditionalFormatting>
  <conditionalFormatting sqref="Q1:Q1048576">
    <cfRule type="cellIs" dxfId="2" priority="11" operator="lessThan">
      <formula>50000</formula>
    </cfRule>
    <cfRule type="cellIs" dxfId="1" priority="12" operator="between">
      <formula>50000</formula>
      <formula>150000</formula>
    </cfRule>
    <cfRule type="cellIs" dxfId="0" priority="13" operator="greaterThan">
      <formula>150000</formula>
    </cfRule>
  </conditionalFormatting>
  <pageMargins left="0.7" right="0.7" top="0.75" bottom="0.75" header="0.511811023622047" footer="0.511811023622047"/>
  <pageSetup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1691"/>
  <sheetViews>
    <sheetView workbookViewId="0"/>
  </sheetViews>
  <sheetFormatPr defaultRowHeight="15" x14ac:dyDescent="0.25"/>
  <sheetData>
    <row r="1" spans="1:10" x14ac:dyDescent="0.25">
      <c r="A1" t="s">
        <v>0</v>
      </c>
      <c r="B1" t="s">
        <v>7662</v>
      </c>
      <c r="C1" t="s">
        <v>7663</v>
      </c>
      <c r="D1" t="s">
        <v>7664</v>
      </c>
      <c r="E1" t="s">
        <v>7665</v>
      </c>
      <c r="F1" t="s">
        <v>21</v>
      </c>
      <c r="G1" t="s">
        <v>9</v>
      </c>
      <c r="H1" t="s">
        <v>7666</v>
      </c>
      <c r="I1" t="s">
        <v>29</v>
      </c>
      <c r="J1" t="s">
        <v>7667</v>
      </c>
    </row>
    <row r="2" spans="1:10" x14ac:dyDescent="0.25">
      <c r="A2" t="s">
        <v>7668</v>
      </c>
      <c r="B2">
        <v>3.1920000000000002</v>
      </c>
      <c r="C2" t="s">
        <v>7669</v>
      </c>
      <c r="D2" t="s">
        <v>7670</v>
      </c>
      <c r="E2" t="s">
        <v>7671</v>
      </c>
      <c r="F2" t="s">
        <v>7672</v>
      </c>
      <c r="G2" t="s">
        <v>7673</v>
      </c>
      <c r="H2" t="s">
        <v>7674</v>
      </c>
      <c r="I2" t="s">
        <v>5202</v>
      </c>
      <c r="J2" t="s">
        <v>7675</v>
      </c>
    </row>
    <row r="3" spans="1:10" x14ac:dyDescent="0.25">
      <c r="A3" t="s">
        <v>7676</v>
      </c>
      <c r="B3">
        <v>3.1920000000000002</v>
      </c>
      <c r="C3" t="s">
        <v>7677</v>
      </c>
      <c r="D3" t="s">
        <v>2364</v>
      </c>
      <c r="E3" t="s">
        <v>7671</v>
      </c>
      <c r="F3" t="s">
        <v>7672</v>
      </c>
      <c r="G3" t="s">
        <v>7673</v>
      </c>
      <c r="H3" t="s">
        <v>7674</v>
      </c>
      <c r="I3" t="s">
        <v>7678</v>
      </c>
      <c r="J3" t="s">
        <v>7675</v>
      </c>
    </row>
    <row r="4" spans="1:10" x14ac:dyDescent="0.25">
      <c r="A4" t="s">
        <v>7679</v>
      </c>
      <c r="B4">
        <v>3.1920000000000002</v>
      </c>
      <c r="C4" t="s">
        <v>7680</v>
      </c>
      <c r="D4" t="s">
        <v>6030</v>
      </c>
      <c r="E4" t="s">
        <v>7671</v>
      </c>
      <c r="F4" t="s">
        <v>7672</v>
      </c>
      <c r="G4" t="s">
        <v>7673</v>
      </c>
      <c r="H4" t="s">
        <v>7674</v>
      </c>
      <c r="I4" t="s">
        <v>7681</v>
      </c>
      <c r="J4" t="s">
        <v>7675</v>
      </c>
    </row>
    <row r="5" spans="1:10" x14ac:dyDescent="0.25">
      <c r="A5" t="s">
        <v>7682</v>
      </c>
      <c r="B5">
        <v>3.1920000000000002</v>
      </c>
      <c r="C5" t="s">
        <v>7683</v>
      </c>
      <c r="D5" t="s">
        <v>7684</v>
      </c>
      <c r="E5" t="s">
        <v>7671</v>
      </c>
      <c r="F5" t="s">
        <v>7672</v>
      </c>
      <c r="G5" t="s">
        <v>7673</v>
      </c>
      <c r="H5" t="s">
        <v>7674</v>
      </c>
      <c r="I5" t="s">
        <v>7685</v>
      </c>
      <c r="J5" t="s">
        <v>7686</v>
      </c>
    </row>
    <row r="6" spans="1:10" x14ac:dyDescent="0.25">
      <c r="A6" t="s">
        <v>7687</v>
      </c>
      <c r="B6">
        <v>3.1920000000000002</v>
      </c>
      <c r="C6" t="s">
        <v>7688</v>
      </c>
      <c r="D6" t="s">
        <v>7689</v>
      </c>
      <c r="E6" t="s">
        <v>7671</v>
      </c>
      <c r="F6" t="s">
        <v>7672</v>
      </c>
      <c r="G6" t="s">
        <v>7673</v>
      </c>
      <c r="H6" t="s">
        <v>7674</v>
      </c>
      <c r="I6" t="s">
        <v>7690</v>
      </c>
      <c r="J6" t="s">
        <v>7686</v>
      </c>
    </row>
    <row r="7" spans="1:10" x14ac:dyDescent="0.25">
      <c r="A7" t="s">
        <v>7691</v>
      </c>
      <c r="B7">
        <v>3.1920000000000002</v>
      </c>
      <c r="C7" t="s">
        <v>7692</v>
      </c>
      <c r="D7" t="s">
        <v>7693</v>
      </c>
      <c r="E7" t="s">
        <v>7671</v>
      </c>
      <c r="F7" t="s">
        <v>7672</v>
      </c>
      <c r="G7" t="s">
        <v>7673</v>
      </c>
      <c r="H7" t="s">
        <v>7674</v>
      </c>
      <c r="I7" t="s">
        <v>5202</v>
      </c>
      <c r="J7" t="s">
        <v>7686</v>
      </c>
    </row>
    <row r="8" spans="1:10" x14ac:dyDescent="0.25">
      <c r="A8" t="s">
        <v>7694</v>
      </c>
      <c r="B8">
        <v>3.1920000000000002</v>
      </c>
      <c r="C8" t="s">
        <v>7695</v>
      </c>
      <c r="D8" t="s">
        <v>7696</v>
      </c>
      <c r="E8" t="s">
        <v>7671</v>
      </c>
      <c r="F8" t="s">
        <v>7672</v>
      </c>
      <c r="G8" t="s">
        <v>7673</v>
      </c>
      <c r="H8" t="s">
        <v>7674</v>
      </c>
      <c r="I8" t="s">
        <v>7681</v>
      </c>
      <c r="J8" t="s">
        <v>7686</v>
      </c>
    </row>
    <row r="9" spans="1:10" x14ac:dyDescent="0.25">
      <c r="A9" t="s">
        <v>7697</v>
      </c>
      <c r="B9">
        <v>3.1920000000000002</v>
      </c>
      <c r="C9" t="s">
        <v>7698</v>
      </c>
      <c r="D9" t="s">
        <v>7699</v>
      </c>
      <c r="E9" t="s">
        <v>7671</v>
      </c>
      <c r="F9" t="s">
        <v>7672</v>
      </c>
      <c r="G9" t="s">
        <v>7673</v>
      </c>
      <c r="H9" t="s">
        <v>7674</v>
      </c>
      <c r="I9" t="s">
        <v>7678</v>
      </c>
      <c r="J9" t="s">
        <v>7686</v>
      </c>
    </row>
    <row r="10" spans="1:10" x14ac:dyDescent="0.25">
      <c r="A10" t="s">
        <v>7700</v>
      </c>
      <c r="B10">
        <v>3.1920000000000002</v>
      </c>
      <c r="C10" t="s">
        <v>7701</v>
      </c>
      <c r="D10" t="s">
        <v>7702</v>
      </c>
      <c r="E10" t="s">
        <v>7671</v>
      </c>
      <c r="F10" t="s">
        <v>7672</v>
      </c>
      <c r="G10" t="s">
        <v>7673</v>
      </c>
      <c r="H10" t="s">
        <v>7674</v>
      </c>
      <c r="I10" t="s">
        <v>7685</v>
      </c>
      <c r="J10" t="s">
        <v>7703</v>
      </c>
    </row>
    <row r="11" spans="1:10" x14ac:dyDescent="0.25">
      <c r="A11" t="s">
        <v>7704</v>
      </c>
      <c r="B11">
        <v>3.1920000000000002</v>
      </c>
      <c r="C11" t="s">
        <v>7705</v>
      </c>
      <c r="D11" t="s">
        <v>7706</v>
      </c>
      <c r="E11" t="s">
        <v>7671</v>
      </c>
      <c r="F11" t="s">
        <v>7672</v>
      </c>
      <c r="G11" t="s">
        <v>7673</v>
      </c>
      <c r="H11" t="s">
        <v>7674</v>
      </c>
      <c r="I11" t="s">
        <v>5202</v>
      </c>
      <c r="J11" t="s">
        <v>7703</v>
      </c>
    </row>
    <row r="12" spans="1:10" x14ac:dyDescent="0.25">
      <c r="A12" t="s">
        <v>7707</v>
      </c>
      <c r="B12">
        <v>3.1920000000000002</v>
      </c>
      <c r="C12" t="s">
        <v>7708</v>
      </c>
      <c r="D12" t="s">
        <v>7709</v>
      </c>
      <c r="E12" t="s">
        <v>7671</v>
      </c>
      <c r="F12" t="s">
        <v>7672</v>
      </c>
      <c r="G12" t="s">
        <v>7673</v>
      </c>
      <c r="H12" t="s">
        <v>7674</v>
      </c>
      <c r="I12" t="s">
        <v>7681</v>
      </c>
      <c r="J12" t="s">
        <v>7703</v>
      </c>
    </row>
    <row r="13" spans="1:10" x14ac:dyDescent="0.25">
      <c r="A13" t="s">
        <v>7710</v>
      </c>
      <c r="B13">
        <v>3.1920000000000002</v>
      </c>
      <c r="C13" t="s">
        <v>7711</v>
      </c>
      <c r="D13" t="s">
        <v>7712</v>
      </c>
      <c r="E13" t="s">
        <v>7671</v>
      </c>
      <c r="F13" t="s">
        <v>7672</v>
      </c>
      <c r="G13" t="s">
        <v>7673</v>
      </c>
      <c r="H13" t="s">
        <v>7674</v>
      </c>
      <c r="I13" t="s">
        <v>5202</v>
      </c>
      <c r="J13" t="s">
        <v>7713</v>
      </c>
    </row>
    <row r="14" spans="1:10" x14ac:dyDescent="0.25">
      <c r="A14" t="s">
        <v>7714</v>
      </c>
      <c r="B14">
        <v>3.1920000000000002</v>
      </c>
      <c r="C14" t="s">
        <v>7715</v>
      </c>
      <c r="D14" t="s">
        <v>7716</v>
      </c>
      <c r="E14" t="s">
        <v>7671</v>
      </c>
      <c r="F14" t="s">
        <v>7672</v>
      </c>
      <c r="G14" t="s">
        <v>7673</v>
      </c>
      <c r="H14" t="s">
        <v>7674</v>
      </c>
      <c r="I14" t="s">
        <v>7685</v>
      </c>
      <c r="J14" t="s">
        <v>7713</v>
      </c>
    </row>
    <row r="15" spans="1:10" x14ac:dyDescent="0.25">
      <c r="A15" t="s">
        <v>7717</v>
      </c>
      <c r="B15">
        <v>3.1920000000000002</v>
      </c>
      <c r="C15" t="s">
        <v>7718</v>
      </c>
      <c r="D15" t="s">
        <v>3577</v>
      </c>
      <c r="E15" t="s">
        <v>7671</v>
      </c>
      <c r="F15" t="s">
        <v>7672</v>
      </c>
      <c r="G15" t="s">
        <v>7673</v>
      </c>
      <c r="H15" t="s">
        <v>7674</v>
      </c>
      <c r="I15" t="s">
        <v>5202</v>
      </c>
      <c r="J15" t="s">
        <v>7719</v>
      </c>
    </row>
    <row r="16" spans="1:10" x14ac:dyDescent="0.25">
      <c r="A16" t="s">
        <v>7720</v>
      </c>
      <c r="B16">
        <v>3.1920000000000002</v>
      </c>
      <c r="C16" t="s">
        <v>7721</v>
      </c>
      <c r="D16" t="s">
        <v>7722</v>
      </c>
      <c r="E16" t="s">
        <v>7671</v>
      </c>
      <c r="F16" t="s">
        <v>7672</v>
      </c>
      <c r="G16" t="s">
        <v>7673</v>
      </c>
      <c r="H16" t="s">
        <v>7674</v>
      </c>
      <c r="I16" t="s">
        <v>7685</v>
      </c>
      <c r="J16" t="s">
        <v>7719</v>
      </c>
    </row>
    <row r="17" spans="1:10" x14ac:dyDescent="0.25">
      <c r="A17" t="s">
        <v>7723</v>
      </c>
      <c r="B17">
        <v>4.7920000000000007</v>
      </c>
      <c r="C17" t="s">
        <v>7724</v>
      </c>
      <c r="D17" t="s">
        <v>7725</v>
      </c>
      <c r="E17" t="s">
        <v>7726</v>
      </c>
      <c r="F17" t="s">
        <v>7672</v>
      </c>
      <c r="G17" t="s">
        <v>7727</v>
      </c>
      <c r="H17" t="s">
        <v>7674</v>
      </c>
      <c r="I17" t="s">
        <v>7728</v>
      </c>
      <c r="J17" t="s">
        <v>7675</v>
      </c>
    </row>
    <row r="18" spans="1:10" x14ac:dyDescent="0.25">
      <c r="A18" t="s">
        <v>7729</v>
      </c>
      <c r="B18">
        <v>4.7920000000000007</v>
      </c>
      <c r="C18" t="s">
        <v>7730</v>
      </c>
      <c r="D18" t="s">
        <v>7731</v>
      </c>
      <c r="E18" t="s">
        <v>7726</v>
      </c>
      <c r="F18" t="s">
        <v>7672</v>
      </c>
      <c r="G18" t="s">
        <v>7727</v>
      </c>
      <c r="H18" t="s">
        <v>7674</v>
      </c>
      <c r="I18" t="s">
        <v>7732</v>
      </c>
      <c r="J18" t="s">
        <v>7675</v>
      </c>
    </row>
    <row r="19" spans="1:10" x14ac:dyDescent="0.25">
      <c r="A19" t="s">
        <v>7733</v>
      </c>
      <c r="B19">
        <v>4.7920000000000007</v>
      </c>
      <c r="C19" t="s">
        <v>7734</v>
      </c>
      <c r="D19" t="s">
        <v>7735</v>
      </c>
      <c r="E19" t="s">
        <v>7726</v>
      </c>
      <c r="F19" t="s">
        <v>7672</v>
      </c>
      <c r="G19" t="s">
        <v>7727</v>
      </c>
      <c r="H19" t="s">
        <v>7674</v>
      </c>
      <c r="I19" t="s">
        <v>7736</v>
      </c>
      <c r="J19" t="s">
        <v>7675</v>
      </c>
    </row>
    <row r="20" spans="1:10" x14ac:dyDescent="0.25">
      <c r="A20" t="s">
        <v>7737</v>
      </c>
      <c r="B20">
        <v>4.7920000000000007</v>
      </c>
      <c r="C20" t="s">
        <v>7738</v>
      </c>
      <c r="D20" t="s">
        <v>644</v>
      </c>
      <c r="E20" t="s">
        <v>7726</v>
      </c>
      <c r="F20" t="s">
        <v>7672</v>
      </c>
      <c r="G20" t="s">
        <v>7727</v>
      </c>
      <c r="H20" t="s">
        <v>7674</v>
      </c>
      <c r="I20" t="s">
        <v>7739</v>
      </c>
      <c r="J20" t="s">
        <v>7675</v>
      </c>
    </row>
    <row r="21" spans="1:10" x14ac:dyDescent="0.25">
      <c r="A21" t="s">
        <v>7740</v>
      </c>
      <c r="B21">
        <v>4.7920000000000007</v>
      </c>
      <c r="C21" t="s">
        <v>7741</v>
      </c>
      <c r="D21" t="s">
        <v>7742</v>
      </c>
      <c r="E21" t="s">
        <v>7726</v>
      </c>
      <c r="F21" t="s">
        <v>7672</v>
      </c>
      <c r="G21" t="s">
        <v>7727</v>
      </c>
      <c r="H21" t="s">
        <v>7674</v>
      </c>
      <c r="I21" t="s">
        <v>7743</v>
      </c>
      <c r="J21" t="s">
        <v>7675</v>
      </c>
    </row>
    <row r="22" spans="1:10" x14ac:dyDescent="0.25">
      <c r="A22" t="s">
        <v>7744</v>
      </c>
      <c r="B22">
        <v>4.7920000000000007</v>
      </c>
      <c r="C22" t="s">
        <v>7745</v>
      </c>
      <c r="D22" t="s">
        <v>7746</v>
      </c>
      <c r="E22" t="s">
        <v>7726</v>
      </c>
      <c r="F22" t="s">
        <v>7672</v>
      </c>
      <c r="G22" t="s">
        <v>7727</v>
      </c>
      <c r="H22" t="s">
        <v>7674</v>
      </c>
      <c r="I22" t="s">
        <v>7747</v>
      </c>
      <c r="J22" t="s">
        <v>7675</v>
      </c>
    </row>
    <row r="23" spans="1:10" x14ac:dyDescent="0.25">
      <c r="A23" t="s">
        <v>7748</v>
      </c>
      <c r="B23">
        <v>4.7920000000000007</v>
      </c>
      <c r="C23" t="s">
        <v>7749</v>
      </c>
      <c r="D23" t="s">
        <v>7750</v>
      </c>
      <c r="E23" t="s">
        <v>7726</v>
      </c>
      <c r="F23" t="s">
        <v>7672</v>
      </c>
      <c r="G23" t="s">
        <v>7727</v>
      </c>
      <c r="H23" t="s">
        <v>7674</v>
      </c>
      <c r="I23" t="s">
        <v>7751</v>
      </c>
      <c r="J23" t="s">
        <v>7675</v>
      </c>
    </row>
    <row r="24" spans="1:10" x14ac:dyDescent="0.25">
      <c r="A24" t="s">
        <v>7752</v>
      </c>
      <c r="B24">
        <v>4.7920000000000007</v>
      </c>
      <c r="C24" t="s">
        <v>7753</v>
      </c>
      <c r="D24" t="s">
        <v>7754</v>
      </c>
      <c r="E24" t="s">
        <v>7726</v>
      </c>
      <c r="F24" t="s">
        <v>7672</v>
      </c>
      <c r="G24" t="s">
        <v>7727</v>
      </c>
      <c r="H24" t="s">
        <v>7674</v>
      </c>
      <c r="I24" t="s">
        <v>7755</v>
      </c>
      <c r="J24" t="s">
        <v>7675</v>
      </c>
    </row>
    <row r="25" spans="1:10" x14ac:dyDescent="0.25">
      <c r="A25" t="s">
        <v>7756</v>
      </c>
      <c r="B25">
        <v>4.7920000000000007</v>
      </c>
      <c r="C25" t="s">
        <v>7757</v>
      </c>
      <c r="D25" t="s">
        <v>6379</v>
      </c>
      <c r="E25" t="s">
        <v>7726</v>
      </c>
      <c r="F25" t="s">
        <v>7672</v>
      </c>
      <c r="G25" t="s">
        <v>7727</v>
      </c>
      <c r="H25" t="s">
        <v>7674</v>
      </c>
      <c r="I25" t="s">
        <v>7758</v>
      </c>
      <c r="J25" t="s">
        <v>7675</v>
      </c>
    </row>
    <row r="26" spans="1:10" x14ac:dyDescent="0.25">
      <c r="A26" t="s">
        <v>7759</v>
      </c>
      <c r="B26">
        <v>4.7920000000000007</v>
      </c>
      <c r="C26" t="s">
        <v>7760</v>
      </c>
      <c r="D26" t="s">
        <v>7761</v>
      </c>
      <c r="E26" t="s">
        <v>7726</v>
      </c>
      <c r="F26" t="s">
        <v>7672</v>
      </c>
      <c r="G26" t="s">
        <v>7727</v>
      </c>
      <c r="H26" t="s">
        <v>7674</v>
      </c>
      <c r="I26" t="s">
        <v>7762</v>
      </c>
      <c r="J26" t="s">
        <v>7675</v>
      </c>
    </row>
    <row r="27" spans="1:10" x14ac:dyDescent="0.25">
      <c r="A27" t="s">
        <v>7763</v>
      </c>
      <c r="B27">
        <v>4.7920000000000007</v>
      </c>
      <c r="C27" t="s">
        <v>7764</v>
      </c>
      <c r="D27" t="s">
        <v>5716</v>
      </c>
      <c r="E27" t="s">
        <v>7726</v>
      </c>
      <c r="F27" t="s">
        <v>7672</v>
      </c>
      <c r="G27" t="s">
        <v>7727</v>
      </c>
      <c r="H27" t="s">
        <v>7674</v>
      </c>
      <c r="I27" t="s">
        <v>7765</v>
      </c>
      <c r="J27" t="s">
        <v>7675</v>
      </c>
    </row>
    <row r="28" spans="1:10" x14ac:dyDescent="0.25">
      <c r="A28" t="s">
        <v>7766</v>
      </c>
      <c r="B28">
        <v>4.7920000000000007</v>
      </c>
      <c r="C28" t="s">
        <v>7767</v>
      </c>
      <c r="D28" t="s">
        <v>639</v>
      </c>
      <c r="E28" t="s">
        <v>7726</v>
      </c>
      <c r="F28" t="s">
        <v>7672</v>
      </c>
      <c r="G28" t="s">
        <v>7727</v>
      </c>
      <c r="H28" t="s">
        <v>7674</v>
      </c>
      <c r="I28" t="s">
        <v>7768</v>
      </c>
      <c r="J28" t="s">
        <v>7675</v>
      </c>
    </row>
    <row r="29" spans="1:10" x14ac:dyDescent="0.25">
      <c r="A29" t="s">
        <v>7769</v>
      </c>
      <c r="B29">
        <v>4.7920000000000007</v>
      </c>
      <c r="C29" t="s">
        <v>7770</v>
      </c>
      <c r="D29" t="s">
        <v>7771</v>
      </c>
      <c r="E29" t="s">
        <v>7726</v>
      </c>
      <c r="F29" t="s">
        <v>7672</v>
      </c>
      <c r="G29" t="s">
        <v>7727</v>
      </c>
      <c r="H29" t="s">
        <v>7674</v>
      </c>
      <c r="I29" t="s">
        <v>7772</v>
      </c>
      <c r="J29" t="s">
        <v>7675</v>
      </c>
    </row>
    <row r="30" spans="1:10" x14ac:dyDescent="0.25">
      <c r="A30" t="s">
        <v>7773</v>
      </c>
      <c r="B30">
        <v>4.7920000000000007</v>
      </c>
      <c r="C30" t="s">
        <v>7774</v>
      </c>
      <c r="D30" t="s">
        <v>7775</v>
      </c>
      <c r="E30" t="s">
        <v>7726</v>
      </c>
      <c r="F30" t="s">
        <v>7672</v>
      </c>
      <c r="G30" t="s">
        <v>7727</v>
      </c>
      <c r="H30" t="s">
        <v>7674</v>
      </c>
      <c r="I30" t="s">
        <v>7776</v>
      </c>
      <c r="J30" t="s">
        <v>7675</v>
      </c>
    </row>
    <row r="31" spans="1:10" x14ac:dyDescent="0.25">
      <c r="A31" t="s">
        <v>7777</v>
      </c>
      <c r="B31">
        <v>4.7920000000000007</v>
      </c>
      <c r="C31" t="s">
        <v>7778</v>
      </c>
      <c r="D31" t="s">
        <v>7779</v>
      </c>
      <c r="E31" t="s">
        <v>7726</v>
      </c>
      <c r="F31" t="s">
        <v>7672</v>
      </c>
      <c r="G31" t="s">
        <v>7727</v>
      </c>
      <c r="H31" t="s">
        <v>7674</v>
      </c>
      <c r="I31" t="s">
        <v>7780</v>
      </c>
      <c r="J31" t="s">
        <v>7675</v>
      </c>
    </row>
    <row r="32" spans="1:10" x14ac:dyDescent="0.25">
      <c r="A32" t="s">
        <v>7781</v>
      </c>
      <c r="B32">
        <v>4.7920000000000007</v>
      </c>
      <c r="C32" t="s">
        <v>7782</v>
      </c>
      <c r="D32" t="s">
        <v>7783</v>
      </c>
      <c r="E32" t="s">
        <v>7726</v>
      </c>
      <c r="F32" t="s">
        <v>7672</v>
      </c>
      <c r="G32" t="s">
        <v>7727</v>
      </c>
      <c r="H32" t="s">
        <v>7674</v>
      </c>
      <c r="I32" t="s">
        <v>7784</v>
      </c>
      <c r="J32" t="s">
        <v>7675</v>
      </c>
    </row>
    <row r="33" spans="1:10" x14ac:dyDescent="0.25">
      <c r="A33" t="s">
        <v>7785</v>
      </c>
      <c r="B33">
        <v>4.7920000000000007</v>
      </c>
      <c r="C33" t="s">
        <v>7786</v>
      </c>
      <c r="D33" t="s">
        <v>7787</v>
      </c>
      <c r="E33" t="s">
        <v>7726</v>
      </c>
      <c r="F33" t="s">
        <v>7672</v>
      </c>
      <c r="G33" t="s">
        <v>7727</v>
      </c>
      <c r="H33" t="s">
        <v>7674</v>
      </c>
      <c r="I33" t="s">
        <v>7788</v>
      </c>
      <c r="J33" t="s">
        <v>7675</v>
      </c>
    </row>
    <row r="34" spans="1:10" x14ac:dyDescent="0.25">
      <c r="A34" t="s">
        <v>7789</v>
      </c>
      <c r="B34">
        <v>4.7920000000000007</v>
      </c>
      <c r="C34" t="s">
        <v>7790</v>
      </c>
      <c r="D34" t="s">
        <v>803</v>
      </c>
      <c r="E34" t="s">
        <v>7726</v>
      </c>
      <c r="F34" t="s">
        <v>7672</v>
      </c>
      <c r="G34" t="s">
        <v>7727</v>
      </c>
      <c r="H34" t="s">
        <v>7674</v>
      </c>
      <c r="I34" t="s">
        <v>7791</v>
      </c>
      <c r="J34" t="s">
        <v>7675</v>
      </c>
    </row>
    <row r="35" spans="1:10" x14ac:dyDescent="0.25">
      <c r="A35" t="s">
        <v>7792</v>
      </c>
      <c r="B35">
        <v>4.7920000000000007</v>
      </c>
      <c r="C35" t="s">
        <v>7793</v>
      </c>
      <c r="D35" t="s">
        <v>7794</v>
      </c>
      <c r="E35" t="s">
        <v>7726</v>
      </c>
      <c r="F35" t="s">
        <v>7672</v>
      </c>
      <c r="G35" t="s">
        <v>7727</v>
      </c>
      <c r="H35" t="s">
        <v>7674</v>
      </c>
      <c r="I35" t="s">
        <v>7795</v>
      </c>
      <c r="J35" t="s">
        <v>7675</v>
      </c>
    </row>
    <row r="36" spans="1:10" x14ac:dyDescent="0.25">
      <c r="A36" t="s">
        <v>7796</v>
      </c>
      <c r="B36">
        <v>4.7920000000000007</v>
      </c>
      <c r="C36" t="s">
        <v>7797</v>
      </c>
      <c r="D36" t="s">
        <v>7798</v>
      </c>
      <c r="E36" t="s">
        <v>7726</v>
      </c>
      <c r="F36" t="s">
        <v>7672</v>
      </c>
      <c r="G36" t="s">
        <v>7727</v>
      </c>
      <c r="H36" t="s">
        <v>7674</v>
      </c>
      <c r="I36" t="s">
        <v>7799</v>
      </c>
      <c r="J36" t="s">
        <v>7675</v>
      </c>
    </row>
    <row r="37" spans="1:10" x14ac:dyDescent="0.25">
      <c r="A37" t="s">
        <v>7800</v>
      </c>
      <c r="B37">
        <v>4.7920000000000007</v>
      </c>
      <c r="C37" t="s">
        <v>7801</v>
      </c>
      <c r="D37" t="s">
        <v>7802</v>
      </c>
      <c r="E37" t="s">
        <v>7726</v>
      </c>
      <c r="F37" t="s">
        <v>7672</v>
      </c>
      <c r="G37" t="s">
        <v>7727</v>
      </c>
      <c r="H37" t="s">
        <v>7674</v>
      </c>
      <c r="I37" t="s">
        <v>7728</v>
      </c>
      <c r="J37" t="s">
        <v>7686</v>
      </c>
    </row>
    <row r="38" spans="1:10" x14ac:dyDescent="0.25">
      <c r="A38" t="s">
        <v>7803</v>
      </c>
      <c r="B38">
        <v>4.7920000000000007</v>
      </c>
      <c r="C38" t="s">
        <v>7804</v>
      </c>
      <c r="D38" t="s">
        <v>7805</v>
      </c>
      <c r="E38" t="s">
        <v>7726</v>
      </c>
      <c r="F38" t="s">
        <v>7672</v>
      </c>
      <c r="G38" t="s">
        <v>7727</v>
      </c>
      <c r="H38" t="s">
        <v>7674</v>
      </c>
      <c r="I38" t="s">
        <v>7732</v>
      </c>
      <c r="J38" t="s">
        <v>7686</v>
      </c>
    </row>
    <row r="39" spans="1:10" x14ac:dyDescent="0.25">
      <c r="A39" t="s">
        <v>7806</v>
      </c>
      <c r="B39">
        <v>4.7920000000000007</v>
      </c>
      <c r="C39" t="s">
        <v>7807</v>
      </c>
      <c r="D39" t="s">
        <v>7808</v>
      </c>
      <c r="E39" t="s">
        <v>7726</v>
      </c>
      <c r="F39" t="s">
        <v>7672</v>
      </c>
      <c r="G39" t="s">
        <v>7727</v>
      </c>
      <c r="H39" t="s">
        <v>7674</v>
      </c>
      <c r="I39" t="s">
        <v>7736</v>
      </c>
      <c r="J39" t="s">
        <v>7686</v>
      </c>
    </row>
    <row r="40" spans="1:10" x14ac:dyDescent="0.25">
      <c r="A40" t="s">
        <v>7809</v>
      </c>
      <c r="B40">
        <v>4.7920000000000007</v>
      </c>
      <c r="C40" t="s">
        <v>7810</v>
      </c>
      <c r="D40" t="s">
        <v>3644</v>
      </c>
      <c r="E40" t="s">
        <v>7726</v>
      </c>
      <c r="F40" t="s">
        <v>7672</v>
      </c>
      <c r="G40" t="s">
        <v>7727</v>
      </c>
      <c r="H40" t="s">
        <v>7674</v>
      </c>
      <c r="I40" t="s">
        <v>7739</v>
      </c>
      <c r="J40" t="s">
        <v>7686</v>
      </c>
    </row>
    <row r="41" spans="1:10" x14ac:dyDescent="0.25">
      <c r="A41" t="s">
        <v>7811</v>
      </c>
      <c r="B41">
        <v>4.7920000000000007</v>
      </c>
      <c r="C41" t="s">
        <v>7812</v>
      </c>
      <c r="D41" t="s">
        <v>7813</v>
      </c>
      <c r="E41" t="s">
        <v>7726</v>
      </c>
      <c r="F41" t="s">
        <v>7672</v>
      </c>
      <c r="G41" t="s">
        <v>7727</v>
      </c>
      <c r="H41" t="s">
        <v>7674</v>
      </c>
      <c r="I41" t="s">
        <v>7743</v>
      </c>
      <c r="J41" t="s">
        <v>7686</v>
      </c>
    </row>
    <row r="42" spans="1:10" x14ac:dyDescent="0.25">
      <c r="A42" t="s">
        <v>7814</v>
      </c>
      <c r="B42">
        <v>4.7920000000000007</v>
      </c>
      <c r="C42" t="s">
        <v>7815</v>
      </c>
      <c r="D42" t="s">
        <v>7816</v>
      </c>
      <c r="E42" t="s">
        <v>7726</v>
      </c>
      <c r="F42" t="s">
        <v>7672</v>
      </c>
      <c r="G42" t="s">
        <v>7727</v>
      </c>
      <c r="H42" t="s">
        <v>7674</v>
      </c>
      <c r="I42" t="s">
        <v>7747</v>
      </c>
      <c r="J42" t="s">
        <v>7686</v>
      </c>
    </row>
    <row r="43" spans="1:10" x14ac:dyDescent="0.25">
      <c r="A43" t="s">
        <v>7817</v>
      </c>
      <c r="B43">
        <v>4.7920000000000007</v>
      </c>
      <c r="C43" t="s">
        <v>7818</v>
      </c>
      <c r="D43" t="s">
        <v>7819</v>
      </c>
      <c r="E43" t="s">
        <v>7726</v>
      </c>
      <c r="F43" t="s">
        <v>7672</v>
      </c>
      <c r="G43" t="s">
        <v>7727</v>
      </c>
      <c r="H43" t="s">
        <v>7674</v>
      </c>
      <c r="I43" t="s">
        <v>7751</v>
      </c>
      <c r="J43" t="s">
        <v>7686</v>
      </c>
    </row>
    <row r="44" spans="1:10" x14ac:dyDescent="0.25">
      <c r="A44" t="s">
        <v>7820</v>
      </c>
      <c r="B44">
        <v>4.7920000000000007</v>
      </c>
      <c r="C44" t="s">
        <v>7821</v>
      </c>
      <c r="D44" t="s">
        <v>2302</v>
      </c>
      <c r="E44" t="s">
        <v>7726</v>
      </c>
      <c r="F44" t="s">
        <v>7672</v>
      </c>
      <c r="G44" t="s">
        <v>7727</v>
      </c>
      <c r="H44" t="s">
        <v>7674</v>
      </c>
      <c r="I44" t="s">
        <v>7755</v>
      </c>
      <c r="J44" t="s">
        <v>7686</v>
      </c>
    </row>
    <row r="45" spans="1:10" x14ac:dyDescent="0.25">
      <c r="A45" t="s">
        <v>7822</v>
      </c>
      <c r="B45">
        <v>4.7920000000000007</v>
      </c>
      <c r="C45" t="s">
        <v>7823</v>
      </c>
      <c r="D45" t="s">
        <v>7824</v>
      </c>
      <c r="E45" t="s">
        <v>7726</v>
      </c>
      <c r="F45" t="s">
        <v>7672</v>
      </c>
      <c r="G45" t="s">
        <v>7727</v>
      </c>
      <c r="H45" t="s">
        <v>7674</v>
      </c>
      <c r="I45" t="s">
        <v>7762</v>
      </c>
      <c r="J45" t="s">
        <v>7686</v>
      </c>
    </row>
    <row r="46" spans="1:10" x14ac:dyDescent="0.25">
      <c r="A46" t="s">
        <v>7825</v>
      </c>
      <c r="B46">
        <v>4.7920000000000007</v>
      </c>
      <c r="C46" t="s">
        <v>7826</v>
      </c>
      <c r="D46" t="s">
        <v>1959</v>
      </c>
      <c r="E46" t="s">
        <v>7726</v>
      </c>
      <c r="F46" t="s">
        <v>7672</v>
      </c>
      <c r="G46" t="s">
        <v>7727</v>
      </c>
      <c r="H46" t="s">
        <v>7674</v>
      </c>
      <c r="I46" t="s">
        <v>7772</v>
      </c>
      <c r="J46" t="s">
        <v>7686</v>
      </c>
    </row>
    <row r="47" spans="1:10" x14ac:dyDescent="0.25">
      <c r="A47" t="s">
        <v>7827</v>
      </c>
      <c r="B47">
        <v>4.7920000000000007</v>
      </c>
      <c r="C47" t="s">
        <v>7828</v>
      </c>
      <c r="D47" t="s">
        <v>7829</v>
      </c>
      <c r="E47" t="s">
        <v>7726</v>
      </c>
      <c r="F47" t="s">
        <v>7672</v>
      </c>
      <c r="G47" t="s">
        <v>7727</v>
      </c>
      <c r="H47" t="s">
        <v>7674</v>
      </c>
      <c r="I47" t="s">
        <v>7776</v>
      </c>
      <c r="J47" t="s">
        <v>7686</v>
      </c>
    </row>
    <row r="48" spans="1:10" x14ac:dyDescent="0.25">
      <c r="A48" t="s">
        <v>7830</v>
      </c>
      <c r="B48">
        <v>4.7920000000000007</v>
      </c>
      <c r="C48" t="s">
        <v>7831</v>
      </c>
      <c r="D48" t="s">
        <v>7832</v>
      </c>
      <c r="E48" t="s">
        <v>7726</v>
      </c>
      <c r="F48" t="s">
        <v>7672</v>
      </c>
      <c r="G48" t="s">
        <v>7727</v>
      </c>
      <c r="H48" t="s">
        <v>7674</v>
      </c>
      <c r="I48" t="s">
        <v>7784</v>
      </c>
      <c r="J48" t="s">
        <v>7686</v>
      </c>
    </row>
    <row r="49" spans="1:10" x14ac:dyDescent="0.25">
      <c r="A49" t="s">
        <v>7833</v>
      </c>
      <c r="B49">
        <v>4.7920000000000007</v>
      </c>
      <c r="C49" t="s">
        <v>7834</v>
      </c>
      <c r="D49" t="s">
        <v>7835</v>
      </c>
      <c r="E49" t="s">
        <v>7726</v>
      </c>
      <c r="F49" t="s">
        <v>7672</v>
      </c>
      <c r="G49" t="s">
        <v>7727</v>
      </c>
      <c r="H49" t="s">
        <v>7674</v>
      </c>
      <c r="I49" t="s">
        <v>7795</v>
      </c>
      <c r="J49" t="s">
        <v>7686</v>
      </c>
    </row>
    <row r="50" spans="1:10" x14ac:dyDescent="0.25">
      <c r="A50" t="s">
        <v>7836</v>
      </c>
      <c r="B50">
        <v>4.7920000000000007</v>
      </c>
      <c r="C50" t="s">
        <v>7837</v>
      </c>
      <c r="D50" t="s">
        <v>7838</v>
      </c>
      <c r="E50" t="s">
        <v>7726</v>
      </c>
      <c r="F50" t="s">
        <v>7672</v>
      </c>
      <c r="G50" t="s">
        <v>7727</v>
      </c>
      <c r="H50" t="s">
        <v>7674</v>
      </c>
      <c r="I50" t="s">
        <v>7780</v>
      </c>
      <c r="J50" t="s">
        <v>7686</v>
      </c>
    </row>
    <row r="51" spans="1:10" x14ac:dyDescent="0.25">
      <c r="A51" t="s">
        <v>7839</v>
      </c>
      <c r="B51">
        <v>4.7920000000000007</v>
      </c>
      <c r="C51" t="s">
        <v>7840</v>
      </c>
      <c r="D51" t="s">
        <v>7841</v>
      </c>
      <c r="E51" t="s">
        <v>7726</v>
      </c>
      <c r="F51" t="s">
        <v>7672</v>
      </c>
      <c r="G51" t="s">
        <v>7727</v>
      </c>
      <c r="H51" t="s">
        <v>7674</v>
      </c>
      <c r="I51" t="s">
        <v>7799</v>
      </c>
      <c r="J51" t="s">
        <v>7686</v>
      </c>
    </row>
    <row r="52" spans="1:10" x14ac:dyDescent="0.25">
      <c r="A52" t="s">
        <v>7842</v>
      </c>
      <c r="B52">
        <v>4.7920000000000007</v>
      </c>
      <c r="C52" t="s">
        <v>7843</v>
      </c>
      <c r="D52" t="s">
        <v>7844</v>
      </c>
      <c r="E52" t="s">
        <v>7726</v>
      </c>
      <c r="F52" t="s">
        <v>7672</v>
      </c>
      <c r="G52" t="s">
        <v>7727</v>
      </c>
      <c r="H52" t="s">
        <v>7674</v>
      </c>
      <c r="I52" t="s">
        <v>7788</v>
      </c>
      <c r="J52" t="s">
        <v>7686</v>
      </c>
    </row>
    <row r="53" spans="1:10" x14ac:dyDescent="0.25">
      <c r="A53" t="s">
        <v>7845</v>
      </c>
      <c r="B53">
        <v>4.7920000000000007</v>
      </c>
      <c r="C53" t="s">
        <v>7846</v>
      </c>
      <c r="D53" t="s">
        <v>7847</v>
      </c>
      <c r="E53" t="s">
        <v>7726</v>
      </c>
      <c r="F53" t="s">
        <v>7672</v>
      </c>
      <c r="G53" t="s">
        <v>7727</v>
      </c>
      <c r="H53" t="s">
        <v>7674</v>
      </c>
      <c r="I53" t="s">
        <v>7728</v>
      </c>
      <c r="J53" t="s">
        <v>7703</v>
      </c>
    </row>
    <row r="54" spans="1:10" x14ac:dyDescent="0.25">
      <c r="A54" t="s">
        <v>7848</v>
      </c>
      <c r="B54">
        <v>4.7920000000000007</v>
      </c>
      <c r="C54" t="s">
        <v>7849</v>
      </c>
      <c r="D54" t="s">
        <v>7850</v>
      </c>
      <c r="E54" t="s">
        <v>7726</v>
      </c>
      <c r="F54" t="s">
        <v>7672</v>
      </c>
      <c r="G54" t="s">
        <v>7727</v>
      </c>
      <c r="H54" t="s">
        <v>7674</v>
      </c>
      <c r="I54" t="s">
        <v>7732</v>
      </c>
      <c r="J54" t="s">
        <v>7703</v>
      </c>
    </row>
    <row r="55" spans="1:10" x14ac:dyDescent="0.25">
      <c r="A55" t="s">
        <v>7851</v>
      </c>
      <c r="B55">
        <v>4.7920000000000007</v>
      </c>
      <c r="C55" t="s">
        <v>7852</v>
      </c>
      <c r="D55" t="s">
        <v>67</v>
      </c>
      <c r="E55" t="s">
        <v>7726</v>
      </c>
      <c r="F55" t="s">
        <v>7672</v>
      </c>
      <c r="G55" t="s">
        <v>7727</v>
      </c>
      <c r="H55" t="s">
        <v>7674</v>
      </c>
      <c r="I55" t="s">
        <v>7736</v>
      </c>
      <c r="J55" t="s">
        <v>7703</v>
      </c>
    </row>
    <row r="56" spans="1:10" x14ac:dyDescent="0.25">
      <c r="A56" t="s">
        <v>7853</v>
      </c>
      <c r="B56">
        <v>4.7920000000000007</v>
      </c>
      <c r="C56" t="s">
        <v>7854</v>
      </c>
      <c r="D56" t="s">
        <v>290</v>
      </c>
      <c r="E56" t="s">
        <v>7726</v>
      </c>
      <c r="F56" t="s">
        <v>7672</v>
      </c>
      <c r="G56" t="s">
        <v>7727</v>
      </c>
      <c r="H56" t="s">
        <v>7674</v>
      </c>
      <c r="I56" t="s">
        <v>7739</v>
      </c>
      <c r="J56" t="s">
        <v>7703</v>
      </c>
    </row>
    <row r="57" spans="1:10" x14ac:dyDescent="0.25">
      <c r="A57" t="s">
        <v>7855</v>
      </c>
      <c r="B57">
        <v>4.7920000000000007</v>
      </c>
      <c r="C57" t="s">
        <v>7856</v>
      </c>
      <c r="D57" t="s">
        <v>7857</v>
      </c>
      <c r="E57" t="s">
        <v>7726</v>
      </c>
      <c r="F57" t="s">
        <v>7672</v>
      </c>
      <c r="G57" t="s">
        <v>7727</v>
      </c>
      <c r="H57" t="s">
        <v>7674</v>
      </c>
      <c r="I57" t="s">
        <v>7743</v>
      </c>
      <c r="J57" t="s">
        <v>7703</v>
      </c>
    </row>
    <row r="58" spans="1:10" x14ac:dyDescent="0.25">
      <c r="A58" t="s">
        <v>7858</v>
      </c>
      <c r="B58">
        <v>4.7920000000000007</v>
      </c>
      <c r="C58" t="s">
        <v>7859</v>
      </c>
      <c r="D58" t="s">
        <v>7860</v>
      </c>
      <c r="E58" t="s">
        <v>7726</v>
      </c>
      <c r="F58" t="s">
        <v>7672</v>
      </c>
      <c r="G58" t="s">
        <v>7727</v>
      </c>
      <c r="H58" t="s">
        <v>7674</v>
      </c>
      <c r="I58" t="s">
        <v>7747</v>
      </c>
      <c r="J58" t="s">
        <v>7703</v>
      </c>
    </row>
    <row r="59" spans="1:10" x14ac:dyDescent="0.25">
      <c r="A59" t="s">
        <v>7861</v>
      </c>
      <c r="B59">
        <v>4.7920000000000007</v>
      </c>
      <c r="C59" t="s">
        <v>7862</v>
      </c>
      <c r="D59" t="s">
        <v>7863</v>
      </c>
      <c r="E59" t="s">
        <v>7726</v>
      </c>
      <c r="F59" t="s">
        <v>7672</v>
      </c>
      <c r="G59" t="s">
        <v>7727</v>
      </c>
      <c r="H59" t="s">
        <v>7674</v>
      </c>
      <c r="I59" t="s">
        <v>7751</v>
      </c>
      <c r="J59" t="s">
        <v>7703</v>
      </c>
    </row>
    <row r="60" spans="1:10" x14ac:dyDescent="0.25">
      <c r="A60" t="s">
        <v>7864</v>
      </c>
      <c r="B60">
        <v>4.7920000000000007</v>
      </c>
      <c r="C60" t="s">
        <v>7865</v>
      </c>
      <c r="D60" t="s">
        <v>7866</v>
      </c>
      <c r="E60" t="s">
        <v>7726</v>
      </c>
      <c r="F60" t="s">
        <v>7672</v>
      </c>
      <c r="G60" t="s">
        <v>7727</v>
      </c>
      <c r="H60" t="s">
        <v>7674</v>
      </c>
      <c r="I60" t="s">
        <v>7762</v>
      </c>
      <c r="J60" t="s">
        <v>7703</v>
      </c>
    </row>
    <row r="61" spans="1:10" x14ac:dyDescent="0.25">
      <c r="A61" t="s">
        <v>7867</v>
      </c>
      <c r="B61">
        <v>4.7920000000000007</v>
      </c>
      <c r="C61" t="s">
        <v>7868</v>
      </c>
      <c r="D61" t="s">
        <v>7869</v>
      </c>
      <c r="E61" t="s">
        <v>7726</v>
      </c>
      <c r="F61" t="s">
        <v>7672</v>
      </c>
      <c r="G61" t="s">
        <v>7727</v>
      </c>
      <c r="H61" t="s">
        <v>7674</v>
      </c>
      <c r="I61" t="s">
        <v>7755</v>
      </c>
      <c r="J61" t="s">
        <v>7703</v>
      </c>
    </row>
    <row r="62" spans="1:10" x14ac:dyDescent="0.25">
      <c r="A62" t="s">
        <v>7870</v>
      </c>
      <c r="B62">
        <v>4.7920000000000007</v>
      </c>
      <c r="C62" t="s">
        <v>7871</v>
      </c>
      <c r="D62" t="s">
        <v>7872</v>
      </c>
      <c r="E62" t="s">
        <v>7726</v>
      </c>
      <c r="F62" t="s">
        <v>7672</v>
      </c>
      <c r="G62" t="s">
        <v>7727</v>
      </c>
      <c r="H62" t="s">
        <v>7674</v>
      </c>
      <c r="I62" t="s">
        <v>7776</v>
      </c>
      <c r="J62" t="s">
        <v>7703</v>
      </c>
    </row>
    <row r="63" spans="1:10" x14ac:dyDescent="0.25">
      <c r="A63" t="s">
        <v>7873</v>
      </c>
      <c r="B63">
        <v>4.7920000000000007</v>
      </c>
      <c r="C63" t="s">
        <v>7874</v>
      </c>
      <c r="D63" t="s">
        <v>4159</v>
      </c>
      <c r="E63" t="s">
        <v>7726</v>
      </c>
      <c r="F63" t="s">
        <v>7672</v>
      </c>
      <c r="G63" t="s">
        <v>7727</v>
      </c>
      <c r="H63" t="s">
        <v>7674</v>
      </c>
      <c r="I63" t="s">
        <v>7784</v>
      </c>
      <c r="J63" t="s">
        <v>7703</v>
      </c>
    </row>
    <row r="64" spans="1:10" x14ac:dyDescent="0.25">
      <c r="A64" t="s">
        <v>7875</v>
      </c>
      <c r="B64">
        <v>4.7920000000000007</v>
      </c>
      <c r="C64" t="s">
        <v>7876</v>
      </c>
      <c r="D64" t="s">
        <v>366</v>
      </c>
      <c r="E64" t="s">
        <v>7726</v>
      </c>
      <c r="F64" t="s">
        <v>7672</v>
      </c>
      <c r="G64" t="s">
        <v>7727</v>
      </c>
      <c r="H64" t="s">
        <v>7674</v>
      </c>
      <c r="I64" t="s">
        <v>7795</v>
      </c>
      <c r="J64" t="s">
        <v>7703</v>
      </c>
    </row>
    <row r="65" spans="1:10" x14ac:dyDescent="0.25">
      <c r="A65" t="s">
        <v>7877</v>
      </c>
      <c r="B65">
        <v>4.7920000000000007</v>
      </c>
      <c r="C65" t="s">
        <v>7878</v>
      </c>
      <c r="D65" t="s">
        <v>7879</v>
      </c>
      <c r="E65" t="s">
        <v>7726</v>
      </c>
      <c r="F65" t="s">
        <v>7672</v>
      </c>
      <c r="G65" t="s">
        <v>7727</v>
      </c>
      <c r="H65" t="s">
        <v>7674</v>
      </c>
      <c r="I65" t="s">
        <v>7780</v>
      </c>
      <c r="J65" t="s">
        <v>7703</v>
      </c>
    </row>
    <row r="66" spans="1:10" x14ac:dyDescent="0.25">
      <c r="A66" t="s">
        <v>7880</v>
      </c>
      <c r="B66">
        <v>4.7920000000000007</v>
      </c>
      <c r="C66" t="s">
        <v>7881</v>
      </c>
      <c r="D66" t="s">
        <v>7882</v>
      </c>
      <c r="E66" t="s">
        <v>7726</v>
      </c>
      <c r="F66" t="s">
        <v>7672</v>
      </c>
      <c r="G66" t="s">
        <v>7727</v>
      </c>
      <c r="H66" t="s">
        <v>7674</v>
      </c>
      <c r="I66" t="s">
        <v>7743</v>
      </c>
      <c r="J66" t="s">
        <v>7713</v>
      </c>
    </row>
    <row r="67" spans="1:10" x14ac:dyDescent="0.25">
      <c r="A67" t="s">
        <v>7883</v>
      </c>
      <c r="B67">
        <v>4.7920000000000007</v>
      </c>
      <c r="C67" t="s">
        <v>7884</v>
      </c>
      <c r="D67" t="s">
        <v>7885</v>
      </c>
      <c r="E67" t="s">
        <v>7726</v>
      </c>
      <c r="F67" t="s">
        <v>7672</v>
      </c>
      <c r="G67" t="s">
        <v>7727</v>
      </c>
      <c r="H67" t="s">
        <v>7674</v>
      </c>
      <c r="I67" t="s">
        <v>7728</v>
      </c>
      <c r="J67" t="s">
        <v>7713</v>
      </c>
    </row>
    <row r="68" spans="1:10" x14ac:dyDescent="0.25">
      <c r="A68" t="s">
        <v>7886</v>
      </c>
      <c r="B68">
        <v>4.7920000000000007</v>
      </c>
      <c r="C68" t="s">
        <v>7887</v>
      </c>
      <c r="D68" t="s">
        <v>7888</v>
      </c>
      <c r="E68" t="s">
        <v>7726</v>
      </c>
      <c r="F68" t="s">
        <v>7672</v>
      </c>
      <c r="G68" t="s">
        <v>7727</v>
      </c>
      <c r="H68" t="s">
        <v>7674</v>
      </c>
      <c r="I68" t="s">
        <v>7776</v>
      </c>
      <c r="J68" t="s">
        <v>7713</v>
      </c>
    </row>
    <row r="69" spans="1:10" x14ac:dyDescent="0.25">
      <c r="A69" t="s">
        <v>7889</v>
      </c>
      <c r="B69">
        <v>4.7920000000000007</v>
      </c>
      <c r="C69" t="s">
        <v>7890</v>
      </c>
      <c r="D69" t="s">
        <v>3289</v>
      </c>
      <c r="E69" t="s">
        <v>7726</v>
      </c>
      <c r="F69" t="s">
        <v>7672</v>
      </c>
      <c r="G69" t="s">
        <v>7727</v>
      </c>
      <c r="H69" t="s">
        <v>7674</v>
      </c>
      <c r="I69" t="s">
        <v>7736</v>
      </c>
      <c r="J69" t="s">
        <v>7713</v>
      </c>
    </row>
    <row r="70" spans="1:10" x14ac:dyDescent="0.25">
      <c r="A70" t="s">
        <v>7891</v>
      </c>
      <c r="B70">
        <v>4.7920000000000007</v>
      </c>
      <c r="C70" t="s">
        <v>7892</v>
      </c>
      <c r="D70" t="s">
        <v>3239</v>
      </c>
      <c r="E70" t="s">
        <v>7726</v>
      </c>
      <c r="F70" t="s">
        <v>7672</v>
      </c>
      <c r="G70" t="s">
        <v>7727</v>
      </c>
      <c r="H70" t="s">
        <v>7674</v>
      </c>
      <c r="I70" t="s">
        <v>7747</v>
      </c>
      <c r="J70" t="s">
        <v>7713</v>
      </c>
    </row>
    <row r="71" spans="1:10" x14ac:dyDescent="0.25">
      <c r="A71" t="s">
        <v>7893</v>
      </c>
      <c r="B71">
        <v>4.7920000000000007</v>
      </c>
      <c r="C71" t="s">
        <v>7894</v>
      </c>
      <c r="D71" t="s">
        <v>7895</v>
      </c>
      <c r="E71" t="s">
        <v>7726</v>
      </c>
      <c r="F71" t="s">
        <v>7672</v>
      </c>
      <c r="G71" t="s">
        <v>7727</v>
      </c>
      <c r="H71" t="s">
        <v>7674</v>
      </c>
      <c r="I71" t="s">
        <v>7751</v>
      </c>
      <c r="J71" t="s">
        <v>7713</v>
      </c>
    </row>
    <row r="72" spans="1:10" x14ac:dyDescent="0.25">
      <c r="A72" t="s">
        <v>7896</v>
      </c>
      <c r="B72">
        <v>4.7920000000000007</v>
      </c>
      <c r="C72" t="s">
        <v>7897</v>
      </c>
      <c r="D72" t="s">
        <v>7898</v>
      </c>
      <c r="E72" t="s">
        <v>7726</v>
      </c>
      <c r="F72" t="s">
        <v>7672</v>
      </c>
      <c r="G72" t="s">
        <v>7727</v>
      </c>
      <c r="H72" t="s">
        <v>7674</v>
      </c>
      <c r="I72" t="s">
        <v>7762</v>
      </c>
      <c r="J72" t="s">
        <v>7713</v>
      </c>
    </row>
    <row r="73" spans="1:10" x14ac:dyDescent="0.25">
      <c r="A73" t="s">
        <v>7899</v>
      </c>
      <c r="B73">
        <v>4.7920000000000007</v>
      </c>
      <c r="C73" t="s">
        <v>7900</v>
      </c>
      <c r="D73" t="s">
        <v>7901</v>
      </c>
      <c r="E73" t="s">
        <v>7726</v>
      </c>
      <c r="F73" t="s">
        <v>7672</v>
      </c>
      <c r="G73" t="s">
        <v>7727</v>
      </c>
      <c r="H73" t="s">
        <v>7674</v>
      </c>
      <c r="I73" t="s">
        <v>7755</v>
      </c>
      <c r="J73" t="s">
        <v>7713</v>
      </c>
    </row>
    <row r="74" spans="1:10" x14ac:dyDescent="0.25">
      <c r="A74" t="s">
        <v>7902</v>
      </c>
      <c r="B74">
        <v>4.7920000000000007</v>
      </c>
      <c r="C74" t="s">
        <v>7903</v>
      </c>
      <c r="D74" t="s">
        <v>7904</v>
      </c>
      <c r="E74" t="s">
        <v>7726</v>
      </c>
      <c r="F74" t="s">
        <v>7672</v>
      </c>
      <c r="G74" t="s">
        <v>7727</v>
      </c>
      <c r="H74" t="s">
        <v>7674</v>
      </c>
      <c r="I74" t="s">
        <v>7780</v>
      </c>
      <c r="J74" t="s">
        <v>7713</v>
      </c>
    </row>
    <row r="75" spans="1:10" x14ac:dyDescent="0.25">
      <c r="A75" t="s">
        <v>7905</v>
      </c>
      <c r="B75">
        <v>4.7920000000000007</v>
      </c>
      <c r="C75" t="s">
        <v>7906</v>
      </c>
      <c r="D75" t="s">
        <v>1703</v>
      </c>
      <c r="E75" t="s">
        <v>7726</v>
      </c>
      <c r="F75" t="s">
        <v>7672</v>
      </c>
      <c r="G75" t="s">
        <v>7727</v>
      </c>
      <c r="H75" t="s">
        <v>7674</v>
      </c>
      <c r="I75" t="s">
        <v>7743</v>
      </c>
      <c r="J75" t="s">
        <v>7719</v>
      </c>
    </row>
    <row r="76" spans="1:10" x14ac:dyDescent="0.25">
      <c r="A76" t="s">
        <v>7907</v>
      </c>
      <c r="B76">
        <v>4.7920000000000007</v>
      </c>
      <c r="C76" t="s">
        <v>7908</v>
      </c>
      <c r="D76" t="s">
        <v>7909</v>
      </c>
      <c r="E76" t="s">
        <v>7726</v>
      </c>
      <c r="F76" t="s">
        <v>7672</v>
      </c>
      <c r="G76" t="s">
        <v>7727</v>
      </c>
      <c r="H76" t="s">
        <v>7674</v>
      </c>
      <c r="I76" t="s">
        <v>7728</v>
      </c>
      <c r="J76" t="s">
        <v>7719</v>
      </c>
    </row>
    <row r="77" spans="1:10" x14ac:dyDescent="0.25">
      <c r="A77" t="s">
        <v>7910</v>
      </c>
      <c r="B77">
        <v>4.7920000000000007</v>
      </c>
      <c r="C77" t="s">
        <v>7911</v>
      </c>
      <c r="D77" t="s">
        <v>7912</v>
      </c>
      <c r="E77" t="s">
        <v>7726</v>
      </c>
      <c r="F77" t="s">
        <v>7672</v>
      </c>
      <c r="G77" t="s">
        <v>7727</v>
      </c>
      <c r="H77" t="s">
        <v>7674</v>
      </c>
      <c r="I77" t="s">
        <v>7776</v>
      </c>
      <c r="J77" t="s">
        <v>7719</v>
      </c>
    </row>
    <row r="78" spans="1:10" x14ac:dyDescent="0.25">
      <c r="A78" t="s">
        <v>7913</v>
      </c>
      <c r="B78">
        <v>4.7920000000000007</v>
      </c>
      <c r="C78" t="s">
        <v>7914</v>
      </c>
      <c r="D78" t="s">
        <v>933</v>
      </c>
      <c r="E78" t="s">
        <v>7726</v>
      </c>
      <c r="F78" t="s">
        <v>7672</v>
      </c>
      <c r="G78" t="s">
        <v>7727</v>
      </c>
      <c r="H78" t="s">
        <v>7674</v>
      </c>
      <c r="I78" t="s">
        <v>7736</v>
      </c>
      <c r="J78" t="s">
        <v>7719</v>
      </c>
    </row>
    <row r="79" spans="1:10" x14ac:dyDescent="0.25">
      <c r="A79" t="s">
        <v>7915</v>
      </c>
      <c r="B79">
        <v>4.7920000000000007</v>
      </c>
      <c r="C79" t="s">
        <v>7916</v>
      </c>
      <c r="D79" t="s">
        <v>7917</v>
      </c>
      <c r="E79" t="s">
        <v>7726</v>
      </c>
      <c r="F79" t="s">
        <v>7672</v>
      </c>
      <c r="G79" t="s">
        <v>7727</v>
      </c>
      <c r="H79" t="s">
        <v>7674</v>
      </c>
      <c r="I79" t="s">
        <v>7747</v>
      </c>
      <c r="J79" t="s">
        <v>7719</v>
      </c>
    </row>
    <row r="80" spans="1:10" x14ac:dyDescent="0.25">
      <c r="A80" t="s">
        <v>7918</v>
      </c>
      <c r="B80">
        <v>4.7920000000000007</v>
      </c>
      <c r="C80" t="s">
        <v>7919</v>
      </c>
      <c r="D80" t="s">
        <v>7920</v>
      </c>
      <c r="E80" t="s">
        <v>7726</v>
      </c>
      <c r="F80" t="s">
        <v>7672</v>
      </c>
      <c r="G80" t="s">
        <v>7727</v>
      </c>
      <c r="H80" t="s">
        <v>7674</v>
      </c>
      <c r="I80" t="s">
        <v>7751</v>
      </c>
      <c r="J80" t="s">
        <v>7719</v>
      </c>
    </row>
    <row r="81" spans="1:10" x14ac:dyDescent="0.25">
      <c r="A81" t="s">
        <v>7921</v>
      </c>
      <c r="B81">
        <v>4.7920000000000007</v>
      </c>
      <c r="C81" t="s">
        <v>7922</v>
      </c>
      <c r="D81" t="s">
        <v>7923</v>
      </c>
      <c r="E81" t="s">
        <v>7726</v>
      </c>
      <c r="F81" t="s">
        <v>7672</v>
      </c>
      <c r="G81" t="s">
        <v>7727</v>
      </c>
      <c r="H81" t="s">
        <v>7674</v>
      </c>
      <c r="I81" t="s">
        <v>7762</v>
      </c>
      <c r="J81" t="s">
        <v>7719</v>
      </c>
    </row>
    <row r="82" spans="1:10" x14ac:dyDescent="0.25">
      <c r="A82" t="s">
        <v>7924</v>
      </c>
      <c r="B82">
        <v>4.7920000000000007</v>
      </c>
      <c r="C82" t="s">
        <v>7925</v>
      </c>
      <c r="D82" t="s">
        <v>7926</v>
      </c>
      <c r="E82" t="s">
        <v>7726</v>
      </c>
      <c r="F82" t="s">
        <v>7672</v>
      </c>
      <c r="G82" t="s">
        <v>7727</v>
      </c>
      <c r="H82" t="s">
        <v>7674</v>
      </c>
      <c r="I82" t="s">
        <v>7755</v>
      </c>
      <c r="J82" t="s">
        <v>7719</v>
      </c>
    </row>
    <row r="83" spans="1:10" x14ac:dyDescent="0.25">
      <c r="A83" t="s">
        <v>7927</v>
      </c>
      <c r="B83">
        <v>4.7920000000000007</v>
      </c>
      <c r="C83" t="s">
        <v>7928</v>
      </c>
      <c r="D83" t="s">
        <v>639</v>
      </c>
      <c r="E83" t="s">
        <v>7726</v>
      </c>
      <c r="F83" t="s">
        <v>7672</v>
      </c>
      <c r="G83" t="s">
        <v>7727</v>
      </c>
      <c r="H83" t="s">
        <v>7674</v>
      </c>
      <c r="I83" t="s">
        <v>7799</v>
      </c>
      <c r="J83" t="s">
        <v>7719</v>
      </c>
    </row>
    <row r="84" spans="1:10" x14ac:dyDescent="0.25">
      <c r="A84" t="s">
        <v>7929</v>
      </c>
      <c r="B84">
        <v>4.7920000000000007</v>
      </c>
      <c r="C84" t="s">
        <v>7930</v>
      </c>
      <c r="D84" t="s">
        <v>7931</v>
      </c>
      <c r="E84" t="s">
        <v>7726</v>
      </c>
      <c r="F84" t="s">
        <v>7672</v>
      </c>
      <c r="G84" t="s">
        <v>7727</v>
      </c>
      <c r="H84" t="s">
        <v>7674</v>
      </c>
      <c r="I84" t="s">
        <v>7780</v>
      </c>
      <c r="J84" t="s">
        <v>7719</v>
      </c>
    </row>
    <row r="85" spans="1:10" x14ac:dyDescent="0.25">
      <c r="A85" t="s">
        <v>7932</v>
      </c>
      <c r="B85">
        <v>4.7920000000000007</v>
      </c>
      <c r="C85" t="s">
        <v>7933</v>
      </c>
      <c r="D85" t="s">
        <v>7934</v>
      </c>
      <c r="E85" t="s">
        <v>7726</v>
      </c>
      <c r="F85" t="s">
        <v>7672</v>
      </c>
      <c r="G85" t="s">
        <v>7727</v>
      </c>
      <c r="H85" t="s">
        <v>7674</v>
      </c>
      <c r="I85" t="s">
        <v>7784</v>
      </c>
      <c r="J85" t="s">
        <v>7719</v>
      </c>
    </row>
    <row r="86" spans="1:10" x14ac:dyDescent="0.25">
      <c r="A86" t="s">
        <v>7935</v>
      </c>
      <c r="B86">
        <v>4.7920000000000007</v>
      </c>
      <c r="C86" t="s">
        <v>7936</v>
      </c>
      <c r="D86" t="s">
        <v>7937</v>
      </c>
      <c r="E86" t="s">
        <v>7726</v>
      </c>
      <c r="F86" t="s">
        <v>7672</v>
      </c>
      <c r="G86" t="s">
        <v>7727</v>
      </c>
      <c r="H86" t="s">
        <v>7674</v>
      </c>
      <c r="I86" t="s">
        <v>7795</v>
      </c>
      <c r="J86" t="s">
        <v>7719</v>
      </c>
    </row>
    <row r="87" spans="1:10" x14ac:dyDescent="0.25">
      <c r="A87" t="s">
        <v>7938</v>
      </c>
      <c r="B87">
        <v>11.192</v>
      </c>
      <c r="C87" t="s">
        <v>7939</v>
      </c>
      <c r="D87" t="s">
        <v>330</v>
      </c>
      <c r="E87" t="s">
        <v>7940</v>
      </c>
      <c r="F87" t="s">
        <v>7672</v>
      </c>
      <c r="G87" t="s">
        <v>7941</v>
      </c>
      <c r="H87" t="s">
        <v>7674</v>
      </c>
      <c r="I87" t="s">
        <v>1413</v>
      </c>
      <c r="J87" t="s">
        <v>7942</v>
      </c>
    </row>
    <row r="88" spans="1:10" x14ac:dyDescent="0.25">
      <c r="A88" t="s">
        <v>7943</v>
      </c>
      <c r="B88">
        <v>11.192</v>
      </c>
      <c r="C88" t="s">
        <v>7944</v>
      </c>
      <c r="D88" t="s">
        <v>255</v>
      </c>
      <c r="E88" t="s">
        <v>7940</v>
      </c>
      <c r="F88" t="s">
        <v>7672</v>
      </c>
      <c r="G88" t="s">
        <v>7941</v>
      </c>
      <c r="H88" t="s">
        <v>7674</v>
      </c>
      <c r="I88" t="s">
        <v>7945</v>
      </c>
      <c r="J88" t="s">
        <v>7942</v>
      </c>
    </row>
    <row r="89" spans="1:10" x14ac:dyDescent="0.25">
      <c r="A89" t="s">
        <v>1698</v>
      </c>
      <c r="B89">
        <v>15.4</v>
      </c>
      <c r="C89" t="s">
        <v>1700</v>
      </c>
      <c r="D89" t="s">
        <v>1703</v>
      </c>
      <c r="E89" t="s">
        <v>1701</v>
      </c>
      <c r="F89" t="s">
        <v>7672</v>
      </c>
      <c r="G89" t="s">
        <v>7946</v>
      </c>
      <c r="H89" t="s">
        <v>7947</v>
      </c>
      <c r="I89" t="s">
        <v>7948</v>
      </c>
      <c r="J89" t="s">
        <v>7675</v>
      </c>
    </row>
    <row r="90" spans="1:10" x14ac:dyDescent="0.25">
      <c r="A90" t="s">
        <v>7949</v>
      </c>
      <c r="B90">
        <v>15.4</v>
      </c>
      <c r="C90" t="s">
        <v>7950</v>
      </c>
      <c r="D90" t="s">
        <v>7951</v>
      </c>
      <c r="E90" t="s">
        <v>1701</v>
      </c>
      <c r="F90" t="s">
        <v>7672</v>
      </c>
      <c r="G90" t="s">
        <v>7946</v>
      </c>
      <c r="H90" t="s">
        <v>7947</v>
      </c>
      <c r="I90" t="s">
        <v>7952</v>
      </c>
      <c r="J90" t="s">
        <v>7675</v>
      </c>
    </row>
    <row r="91" spans="1:10" x14ac:dyDescent="0.25">
      <c r="A91" t="s">
        <v>1706</v>
      </c>
      <c r="B91">
        <v>15.4</v>
      </c>
      <c r="C91" t="s">
        <v>1708</v>
      </c>
      <c r="D91" t="s">
        <v>1710</v>
      </c>
      <c r="E91" t="s">
        <v>1701</v>
      </c>
      <c r="F91" t="s">
        <v>7672</v>
      </c>
      <c r="G91" t="s">
        <v>7946</v>
      </c>
      <c r="H91" t="s">
        <v>7947</v>
      </c>
      <c r="I91" t="s">
        <v>7948</v>
      </c>
      <c r="J91" t="s">
        <v>7686</v>
      </c>
    </row>
    <row r="92" spans="1:10" x14ac:dyDescent="0.25">
      <c r="A92" t="s">
        <v>1711</v>
      </c>
      <c r="B92">
        <v>15.4</v>
      </c>
      <c r="C92" t="s">
        <v>1713</v>
      </c>
      <c r="D92" t="s">
        <v>1715</v>
      </c>
      <c r="E92" t="s">
        <v>1701</v>
      </c>
      <c r="F92" t="s">
        <v>7672</v>
      </c>
      <c r="G92" t="s">
        <v>7946</v>
      </c>
      <c r="H92" t="s">
        <v>7947</v>
      </c>
      <c r="I92" t="s">
        <v>7952</v>
      </c>
      <c r="J92" t="s">
        <v>7686</v>
      </c>
    </row>
    <row r="93" spans="1:10" x14ac:dyDescent="0.25">
      <c r="A93" t="s">
        <v>1716</v>
      </c>
      <c r="B93">
        <v>15.4</v>
      </c>
      <c r="C93" t="s">
        <v>1718</v>
      </c>
      <c r="D93" t="s">
        <v>1143</v>
      </c>
      <c r="E93" t="s">
        <v>1701</v>
      </c>
      <c r="F93" t="s">
        <v>7672</v>
      </c>
      <c r="G93" t="s">
        <v>7946</v>
      </c>
      <c r="H93" t="s">
        <v>7947</v>
      </c>
      <c r="I93" t="s">
        <v>7948</v>
      </c>
      <c r="J93" t="s">
        <v>7703</v>
      </c>
    </row>
    <row r="94" spans="1:10" x14ac:dyDescent="0.25">
      <c r="A94" t="s">
        <v>1720</v>
      </c>
      <c r="B94">
        <v>15.4</v>
      </c>
      <c r="C94" t="s">
        <v>1722</v>
      </c>
      <c r="D94" t="s">
        <v>843</v>
      </c>
      <c r="E94" t="s">
        <v>1701</v>
      </c>
      <c r="F94" t="s">
        <v>7672</v>
      </c>
      <c r="G94" t="s">
        <v>7946</v>
      </c>
      <c r="H94" t="s">
        <v>7947</v>
      </c>
      <c r="I94" t="s">
        <v>7952</v>
      </c>
      <c r="J94" t="s">
        <v>7703</v>
      </c>
    </row>
    <row r="95" spans="1:10" x14ac:dyDescent="0.25">
      <c r="A95" t="s">
        <v>1724</v>
      </c>
      <c r="B95">
        <v>15.4</v>
      </c>
      <c r="C95" t="s">
        <v>1726</v>
      </c>
      <c r="D95" t="s">
        <v>342</v>
      </c>
      <c r="E95" t="s">
        <v>1701</v>
      </c>
      <c r="F95" t="s">
        <v>7672</v>
      </c>
      <c r="G95" t="s">
        <v>7946</v>
      </c>
      <c r="H95" t="s">
        <v>7947</v>
      </c>
      <c r="I95" t="s">
        <v>7948</v>
      </c>
      <c r="J95" t="s">
        <v>7713</v>
      </c>
    </row>
    <row r="96" spans="1:10" x14ac:dyDescent="0.25">
      <c r="A96" t="s">
        <v>1729</v>
      </c>
      <c r="B96">
        <v>14</v>
      </c>
      <c r="C96" t="s">
        <v>1731</v>
      </c>
      <c r="D96" t="s">
        <v>1734</v>
      </c>
      <c r="E96" t="s">
        <v>1732</v>
      </c>
      <c r="F96" t="s">
        <v>7672</v>
      </c>
      <c r="G96" t="s">
        <v>7953</v>
      </c>
      <c r="H96" t="s">
        <v>7954</v>
      </c>
      <c r="I96" t="s">
        <v>7948</v>
      </c>
      <c r="J96" t="s">
        <v>7675</v>
      </c>
    </row>
    <row r="97" spans="1:10" x14ac:dyDescent="0.25">
      <c r="A97" t="s">
        <v>1737</v>
      </c>
      <c r="B97">
        <v>14</v>
      </c>
      <c r="C97" t="s">
        <v>1739</v>
      </c>
      <c r="D97" t="s">
        <v>1741</v>
      </c>
      <c r="E97" t="s">
        <v>1732</v>
      </c>
      <c r="F97" t="s">
        <v>7672</v>
      </c>
      <c r="G97" t="s">
        <v>7953</v>
      </c>
      <c r="H97" t="s">
        <v>7954</v>
      </c>
      <c r="I97" t="s">
        <v>76</v>
      </c>
      <c r="J97" t="s">
        <v>7675</v>
      </c>
    </row>
    <row r="98" spans="1:10" x14ac:dyDescent="0.25">
      <c r="A98" t="s">
        <v>1742</v>
      </c>
      <c r="B98">
        <v>14</v>
      </c>
      <c r="C98" t="s">
        <v>1744</v>
      </c>
      <c r="D98" t="s">
        <v>1746</v>
      </c>
      <c r="E98" t="s">
        <v>1732</v>
      </c>
      <c r="F98" t="s">
        <v>7672</v>
      </c>
      <c r="G98" t="s">
        <v>7953</v>
      </c>
      <c r="H98" t="s">
        <v>7954</v>
      </c>
      <c r="I98" t="s">
        <v>7955</v>
      </c>
      <c r="J98" t="s">
        <v>7675</v>
      </c>
    </row>
    <row r="99" spans="1:10" x14ac:dyDescent="0.25">
      <c r="A99" t="s">
        <v>1748</v>
      </c>
      <c r="B99">
        <v>14</v>
      </c>
      <c r="C99" t="s">
        <v>1750</v>
      </c>
      <c r="D99" t="s">
        <v>1752</v>
      </c>
      <c r="E99" t="s">
        <v>1732</v>
      </c>
      <c r="F99" t="s">
        <v>7672</v>
      </c>
      <c r="G99" t="s">
        <v>7953</v>
      </c>
      <c r="H99" t="s">
        <v>7954</v>
      </c>
      <c r="I99" t="s">
        <v>76</v>
      </c>
      <c r="J99" t="s">
        <v>7686</v>
      </c>
    </row>
    <row r="100" spans="1:10" x14ac:dyDescent="0.25">
      <c r="A100" t="s">
        <v>1753</v>
      </c>
      <c r="B100">
        <v>14</v>
      </c>
      <c r="C100" t="s">
        <v>1755</v>
      </c>
      <c r="D100" t="s">
        <v>1757</v>
      </c>
      <c r="E100" t="s">
        <v>1732</v>
      </c>
      <c r="F100" t="s">
        <v>7672</v>
      </c>
      <c r="G100" t="s">
        <v>7953</v>
      </c>
      <c r="H100" t="s">
        <v>7954</v>
      </c>
      <c r="I100" t="s">
        <v>7948</v>
      </c>
      <c r="J100" t="s">
        <v>7686</v>
      </c>
    </row>
    <row r="101" spans="1:10" x14ac:dyDescent="0.25">
      <c r="A101" t="s">
        <v>1758</v>
      </c>
      <c r="B101">
        <v>14</v>
      </c>
      <c r="C101" t="s">
        <v>1760</v>
      </c>
      <c r="D101" t="s">
        <v>1762</v>
      </c>
      <c r="E101" t="s">
        <v>1732</v>
      </c>
      <c r="F101" t="s">
        <v>7672</v>
      </c>
      <c r="G101" t="s">
        <v>7953</v>
      </c>
      <c r="H101" t="s">
        <v>7954</v>
      </c>
      <c r="I101" t="s">
        <v>7955</v>
      </c>
      <c r="J101" t="s">
        <v>7686</v>
      </c>
    </row>
    <row r="102" spans="1:10" x14ac:dyDescent="0.25">
      <c r="A102" t="s">
        <v>1763</v>
      </c>
      <c r="B102">
        <v>14</v>
      </c>
      <c r="C102" t="s">
        <v>1765</v>
      </c>
      <c r="D102" t="s">
        <v>1767</v>
      </c>
      <c r="E102" t="s">
        <v>1732</v>
      </c>
      <c r="F102" t="s">
        <v>7672</v>
      </c>
      <c r="G102" t="s">
        <v>7953</v>
      </c>
      <c r="H102" t="s">
        <v>7954</v>
      </c>
      <c r="I102" t="s">
        <v>76</v>
      </c>
      <c r="J102" t="s">
        <v>7703</v>
      </c>
    </row>
    <row r="103" spans="1:10" x14ac:dyDescent="0.25">
      <c r="A103" t="s">
        <v>1768</v>
      </c>
      <c r="B103">
        <v>14</v>
      </c>
      <c r="C103" t="s">
        <v>1770</v>
      </c>
      <c r="D103" t="s">
        <v>1772</v>
      </c>
      <c r="E103" t="s">
        <v>1732</v>
      </c>
      <c r="F103" t="s">
        <v>7672</v>
      </c>
      <c r="G103" t="s">
        <v>7953</v>
      </c>
      <c r="H103" t="s">
        <v>7954</v>
      </c>
      <c r="I103" t="s">
        <v>7948</v>
      </c>
      <c r="J103" t="s">
        <v>7703</v>
      </c>
    </row>
    <row r="104" spans="1:10" x14ac:dyDescent="0.25">
      <c r="A104" t="s">
        <v>1773</v>
      </c>
      <c r="B104">
        <v>14</v>
      </c>
      <c r="C104" t="s">
        <v>1775</v>
      </c>
      <c r="D104" t="s">
        <v>1777</v>
      </c>
      <c r="E104" t="s">
        <v>1732</v>
      </c>
      <c r="F104" t="s">
        <v>7672</v>
      </c>
      <c r="G104" t="s">
        <v>7953</v>
      </c>
      <c r="H104" t="s">
        <v>7954</v>
      </c>
      <c r="I104" t="s">
        <v>7955</v>
      </c>
      <c r="J104" t="s">
        <v>7703</v>
      </c>
    </row>
    <row r="105" spans="1:10" x14ac:dyDescent="0.25">
      <c r="A105" t="s">
        <v>1778</v>
      </c>
      <c r="B105">
        <v>14</v>
      </c>
      <c r="C105" t="s">
        <v>1780</v>
      </c>
      <c r="D105" t="s">
        <v>720</v>
      </c>
      <c r="E105" t="s">
        <v>1732</v>
      </c>
      <c r="F105" t="s">
        <v>7672</v>
      </c>
      <c r="G105" t="s">
        <v>7953</v>
      </c>
      <c r="H105" t="s">
        <v>7954</v>
      </c>
      <c r="I105" t="s">
        <v>76</v>
      </c>
      <c r="J105" t="s">
        <v>7713</v>
      </c>
    </row>
    <row r="106" spans="1:10" x14ac:dyDescent="0.25">
      <c r="A106" t="s">
        <v>1782</v>
      </c>
      <c r="B106">
        <v>14</v>
      </c>
      <c r="C106" t="s">
        <v>1784</v>
      </c>
      <c r="D106" t="s">
        <v>1741</v>
      </c>
      <c r="E106" t="s">
        <v>1732</v>
      </c>
      <c r="F106" t="s">
        <v>7672</v>
      </c>
      <c r="G106" t="s">
        <v>7953</v>
      </c>
      <c r="H106" t="s">
        <v>7954</v>
      </c>
      <c r="I106" t="s">
        <v>7955</v>
      </c>
      <c r="J106" t="s">
        <v>7713</v>
      </c>
    </row>
    <row r="107" spans="1:10" x14ac:dyDescent="0.25">
      <c r="A107" t="s">
        <v>1786</v>
      </c>
      <c r="B107">
        <v>14</v>
      </c>
      <c r="C107" t="s">
        <v>1788</v>
      </c>
      <c r="D107" t="s">
        <v>1790</v>
      </c>
      <c r="E107" t="s">
        <v>1732</v>
      </c>
      <c r="F107" t="s">
        <v>7672</v>
      </c>
      <c r="G107" t="s">
        <v>7953</v>
      </c>
      <c r="H107" t="s">
        <v>7954</v>
      </c>
      <c r="I107" t="s">
        <v>7948</v>
      </c>
      <c r="J107" t="s">
        <v>7713</v>
      </c>
    </row>
    <row r="108" spans="1:10" x14ac:dyDescent="0.25">
      <c r="A108" t="s">
        <v>1791</v>
      </c>
      <c r="B108">
        <v>14</v>
      </c>
      <c r="C108" t="s">
        <v>1793</v>
      </c>
      <c r="D108" t="s">
        <v>1795</v>
      </c>
      <c r="E108" t="s">
        <v>1732</v>
      </c>
      <c r="F108" t="s">
        <v>7672</v>
      </c>
      <c r="G108" t="s">
        <v>7953</v>
      </c>
      <c r="H108" t="s">
        <v>7954</v>
      </c>
      <c r="I108" t="s">
        <v>76</v>
      </c>
      <c r="J108" t="s">
        <v>7719</v>
      </c>
    </row>
    <row r="109" spans="1:10" x14ac:dyDescent="0.25">
      <c r="A109" t="s">
        <v>1796</v>
      </c>
      <c r="B109">
        <v>14</v>
      </c>
      <c r="C109" t="s">
        <v>1798</v>
      </c>
      <c r="D109" t="s">
        <v>1800</v>
      </c>
      <c r="E109" t="s">
        <v>1732</v>
      </c>
      <c r="F109" t="s">
        <v>7672</v>
      </c>
      <c r="G109" t="s">
        <v>7953</v>
      </c>
      <c r="H109" t="s">
        <v>7954</v>
      </c>
      <c r="I109" t="s">
        <v>7955</v>
      </c>
      <c r="J109" t="s">
        <v>7719</v>
      </c>
    </row>
    <row r="110" spans="1:10" x14ac:dyDescent="0.25">
      <c r="A110" t="s">
        <v>1801</v>
      </c>
      <c r="B110">
        <v>14</v>
      </c>
      <c r="C110" t="s">
        <v>1803</v>
      </c>
      <c r="D110" t="s">
        <v>1805</v>
      </c>
      <c r="E110" t="s">
        <v>1732</v>
      </c>
      <c r="F110" t="s">
        <v>7672</v>
      </c>
      <c r="G110" t="s">
        <v>7953</v>
      </c>
      <c r="H110" t="s">
        <v>7954</v>
      </c>
      <c r="I110" t="s">
        <v>7948</v>
      </c>
      <c r="J110" t="s">
        <v>7719</v>
      </c>
    </row>
    <row r="111" spans="1:10" x14ac:dyDescent="0.25">
      <c r="A111" t="s">
        <v>7956</v>
      </c>
      <c r="B111">
        <v>9.9920000000000009</v>
      </c>
      <c r="C111" t="s">
        <v>7957</v>
      </c>
      <c r="D111" t="s">
        <v>53</v>
      </c>
      <c r="E111" t="s">
        <v>7958</v>
      </c>
      <c r="F111" t="s">
        <v>7672</v>
      </c>
      <c r="G111" t="s">
        <v>7959</v>
      </c>
      <c r="H111" t="s">
        <v>7674</v>
      </c>
      <c r="I111" t="s">
        <v>5202</v>
      </c>
      <c r="J111" t="s">
        <v>282</v>
      </c>
    </row>
    <row r="112" spans="1:10" x14ac:dyDescent="0.25">
      <c r="A112" t="s">
        <v>7960</v>
      </c>
      <c r="B112">
        <v>9.9920000000000009</v>
      </c>
      <c r="C112" t="s">
        <v>7961</v>
      </c>
      <c r="D112" t="s">
        <v>342</v>
      </c>
      <c r="E112" t="s">
        <v>7958</v>
      </c>
      <c r="F112" t="s">
        <v>7672</v>
      </c>
      <c r="G112" t="s">
        <v>7959</v>
      </c>
      <c r="H112" t="s">
        <v>7674</v>
      </c>
      <c r="I112" t="s">
        <v>5202</v>
      </c>
      <c r="J112" t="s">
        <v>436</v>
      </c>
    </row>
    <row r="113" spans="1:10" x14ac:dyDescent="0.25">
      <c r="A113" t="s">
        <v>7962</v>
      </c>
      <c r="B113">
        <v>23.391999999999999</v>
      </c>
      <c r="C113" t="s">
        <v>7963</v>
      </c>
      <c r="D113" t="s">
        <v>53</v>
      </c>
      <c r="E113" t="s">
        <v>1809</v>
      </c>
      <c r="F113" t="s">
        <v>7672</v>
      </c>
      <c r="G113" t="s">
        <v>7964</v>
      </c>
      <c r="H113" t="s">
        <v>7965</v>
      </c>
      <c r="I113" t="s">
        <v>76</v>
      </c>
      <c r="J113" t="s">
        <v>106</v>
      </c>
    </row>
    <row r="114" spans="1:10" x14ac:dyDescent="0.25">
      <c r="A114" t="s">
        <v>1806</v>
      </c>
      <c r="B114">
        <v>23.391999999999999</v>
      </c>
      <c r="C114" t="s">
        <v>1808</v>
      </c>
      <c r="D114" t="s">
        <v>1811</v>
      </c>
      <c r="E114" t="s">
        <v>1809</v>
      </c>
      <c r="F114" t="s">
        <v>7672</v>
      </c>
      <c r="G114" t="s">
        <v>7964</v>
      </c>
      <c r="H114" t="s">
        <v>7965</v>
      </c>
      <c r="I114" t="s">
        <v>76</v>
      </c>
      <c r="J114" t="s">
        <v>88</v>
      </c>
    </row>
    <row r="115" spans="1:10" x14ac:dyDescent="0.25">
      <c r="A115" t="s">
        <v>1814</v>
      </c>
      <c r="B115">
        <v>23.391999999999999</v>
      </c>
      <c r="C115" t="s">
        <v>1816</v>
      </c>
      <c r="D115" t="s">
        <v>991</v>
      </c>
      <c r="E115" t="s">
        <v>1809</v>
      </c>
      <c r="F115" t="s">
        <v>7672</v>
      </c>
      <c r="G115" t="s">
        <v>7964</v>
      </c>
      <c r="H115" t="s">
        <v>7965</v>
      </c>
      <c r="I115" t="s">
        <v>76</v>
      </c>
      <c r="J115" t="s">
        <v>7966</v>
      </c>
    </row>
    <row r="116" spans="1:10" x14ac:dyDescent="0.25">
      <c r="A116" t="s">
        <v>1818</v>
      </c>
      <c r="B116">
        <v>23.391999999999999</v>
      </c>
      <c r="C116" t="s">
        <v>1820</v>
      </c>
      <c r="D116" t="s">
        <v>1822</v>
      </c>
      <c r="E116" t="s">
        <v>1809</v>
      </c>
      <c r="F116" t="s">
        <v>7672</v>
      </c>
      <c r="G116" t="s">
        <v>7964</v>
      </c>
      <c r="H116" t="s">
        <v>7965</v>
      </c>
      <c r="I116" t="s">
        <v>76</v>
      </c>
      <c r="J116" t="s">
        <v>131</v>
      </c>
    </row>
    <row r="117" spans="1:10" x14ac:dyDescent="0.25">
      <c r="A117" t="s">
        <v>1823</v>
      </c>
      <c r="B117">
        <v>23.391999999999999</v>
      </c>
      <c r="C117" t="s">
        <v>1825</v>
      </c>
      <c r="D117" t="s">
        <v>1827</v>
      </c>
      <c r="E117" t="s">
        <v>1809</v>
      </c>
      <c r="F117" t="s">
        <v>7672</v>
      </c>
      <c r="G117" t="s">
        <v>7964</v>
      </c>
      <c r="H117" t="s">
        <v>7965</v>
      </c>
      <c r="I117" t="s">
        <v>76</v>
      </c>
      <c r="J117" t="s">
        <v>7967</v>
      </c>
    </row>
    <row r="118" spans="1:10" x14ac:dyDescent="0.25">
      <c r="A118" t="s">
        <v>1828</v>
      </c>
      <c r="B118">
        <v>23.391999999999999</v>
      </c>
      <c r="C118" t="s">
        <v>1830</v>
      </c>
      <c r="D118" t="s">
        <v>1832</v>
      </c>
      <c r="E118" t="s">
        <v>1809</v>
      </c>
      <c r="F118" t="s">
        <v>7672</v>
      </c>
      <c r="G118" t="s">
        <v>7964</v>
      </c>
      <c r="H118" t="s">
        <v>7965</v>
      </c>
      <c r="I118" t="s">
        <v>76</v>
      </c>
      <c r="J118" t="s">
        <v>269</v>
      </c>
    </row>
    <row r="119" spans="1:10" x14ac:dyDescent="0.25">
      <c r="A119" t="s">
        <v>1833</v>
      </c>
      <c r="B119">
        <v>23.391999999999999</v>
      </c>
      <c r="C119" t="s">
        <v>1835</v>
      </c>
      <c r="D119" t="s">
        <v>1837</v>
      </c>
      <c r="E119" t="s">
        <v>1809</v>
      </c>
      <c r="F119" t="s">
        <v>7672</v>
      </c>
      <c r="G119" t="s">
        <v>7964</v>
      </c>
      <c r="H119" t="s">
        <v>7965</v>
      </c>
      <c r="I119" t="s">
        <v>76</v>
      </c>
      <c r="J119" t="s">
        <v>7968</v>
      </c>
    </row>
    <row r="120" spans="1:10" x14ac:dyDescent="0.25">
      <c r="A120" t="s">
        <v>1838</v>
      </c>
      <c r="B120">
        <v>23.391999999999999</v>
      </c>
      <c r="C120" t="s">
        <v>1840</v>
      </c>
      <c r="D120" t="s">
        <v>1842</v>
      </c>
      <c r="E120" t="s">
        <v>1809</v>
      </c>
      <c r="F120" t="s">
        <v>7672</v>
      </c>
      <c r="G120" t="s">
        <v>7964</v>
      </c>
      <c r="H120" t="s">
        <v>7965</v>
      </c>
      <c r="I120" t="s">
        <v>76</v>
      </c>
      <c r="J120" t="s">
        <v>576</v>
      </c>
    </row>
    <row r="121" spans="1:10" x14ac:dyDescent="0.25">
      <c r="A121" t="s">
        <v>1843</v>
      </c>
      <c r="B121">
        <v>23.391999999999999</v>
      </c>
      <c r="C121" t="s">
        <v>1845</v>
      </c>
      <c r="D121" t="s">
        <v>1847</v>
      </c>
      <c r="E121" t="s">
        <v>1809</v>
      </c>
      <c r="F121" t="s">
        <v>7672</v>
      </c>
      <c r="G121" t="s">
        <v>7964</v>
      </c>
      <c r="H121" t="s">
        <v>7965</v>
      </c>
      <c r="I121" t="s">
        <v>76</v>
      </c>
      <c r="J121" t="s">
        <v>7969</v>
      </c>
    </row>
    <row r="122" spans="1:10" x14ac:dyDescent="0.25">
      <c r="A122" t="s">
        <v>1848</v>
      </c>
      <c r="B122">
        <v>23.391999999999999</v>
      </c>
      <c r="C122" t="s">
        <v>1850</v>
      </c>
      <c r="D122" t="s">
        <v>1852</v>
      </c>
      <c r="E122" t="s">
        <v>1809</v>
      </c>
      <c r="F122" t="s">
        <v>7672</v>
      </c>
      <c r="G122" t="s">
        <v>7964</v>
      </c>
      <c r="H122" t="s">
        <v>7965</v>
      </c>
      <c r="I122" t="s">
        <v>76</v>
      </c>
      <c r="J122" t="s">
        <v>255</v>
      </c>
    </row>
    <row r="123" spans="1:10" x14ac:dyDescent="0.25">
      <c r="A123" t="s">
        <v>7970</v>
      </c>
      <c r="B123">
        <v>4.1920000000000002</v>
      </c>
      <c r="C123" t="s">
        <v>7971</v>
      </c>
      <c r="D123" t="s">
        <v>1852</v>
      </c>
      <c r="E123" t="s">
        <v>7972</v>
      </c>
      <c r="F123" t="s">
        <v>7672</v>
      </c>
      <c r="G123" t="s">
        <v>7973</v>
      </c>
      <c r="H123" t="s">
        <v>7974</v>
      </c>
      <c r="I123" t="s">
        <v>7975</v>
      </c>
      <c r="J123" t="s">
        <v>7942</v>
      </c>
    </row>
    <row r="124" spans="1:10" x14ac:dyDescent="0.25">
      <c r="A124" t="s">
        <v>7976</v>
      </c>
      <c r="B124">
        <v>4.1920000000000002</v>
      </c>
      <c r="C124" t="s">
        <v>7977</v>
      </c>
      <c r="D124" t="s">
        <v>95</v>
      </c>
      <c r="E124" t="s">
        <v>7972</v>
      </c>
      <c r="F124" t="s">
        <v>7672</v>
      </c>
      <c r="G124" t="s">
        <v>7973</v>
      </c>
      <c r="H124" t="s">
        <v>7974</v>
      </c>
      <c r="I124" t="s">
        <v>7978</v>
      </c>
      <c r="J124" t="s">
        <v>7942</v>
      </c>
    </row>
    <row r="125" spans="1:10" x14ac:dyDescent="0.25">
      <c r="A125" t="s">
        <v>7979</v>
      </c>
      <c r="B125">
        <v>4.1920000000000002</v>
      </c>
      <c r="C125" t="s">
        <v>7980</v>
      </c>
      <c r="D125" t="s">
        <v>1020</v>
      </c>
      <c r="E125" t="s">
        <v>7972</v>
      </c>
      <c r="F125" t="s">
        <v>7672</v>
      </c>
      <c r="G125" t="s">
        <v>7973</v>
      </c>
      <c r="H125" t="s">
        <v>7974</v>
      </c>
      <c r="I125" t="s">
        <v>7975</v>
      </c>
      <c r="J125" t="s">
        <v>7981</v>
      </c>
    </row>
    <row r="126" spans="1:10" x14ac:dyDescent="0.25">
      <c r="A126" t="s">
        <v>7982</v>
      </c>
      <c r="B126">
        <v>4.1920000000000002</v>
      </c>
      <c r="C126" t="s">
        <v>7983</v>
      </c>
      <c r="D126" t="s">
        <v>2850</v>
      </c>
      <c r="E126" t="s">
        <v>7972</v>
      </c>
      <c r="F126" t="s">
        <v>7672</v>
      </c>
      <c r="G126" t="s">
        <v>7973</v>
      </c>
      <c r="H126" t="s">
        <v>7974</v>
      </c>
      <c r="I126" t="s">
        <v>7975</v>
      </c>
      <c r="J126" t="s">
        <v>7984</v>
      </c>
    </row>
    <row r="127" spans="1:10" x14ac:dyDescent="0.25">
      <c r="A127" t="s">
        <v>7985</v>
      </c>
      <c r="B127">
        <v>4.1920000000000002</v>
      </c>
      <c r="C127" t="s">
        <v>7986</v>
      </c>
      <c r="D127" t="s">
        <v>975</v>
      </c>
      <c r="E127" t="s">
        <v>7972</v>
      </c>
      <c r="F127" t="s">
        <v>7672</v>
      </c>
      <c r="G127" t="s">
        <v>7973</v>
      </c>
      <c r="H127" t="s">
        <v>7974</v>
      </c>
      <c r="I127" t="s">
        <v>7978</v>
      </c>
      <c r="J127" t="s">
        <v>7987</v>
      </c>
    </row>
    <row r="128" spans="1:10" x14ac:dyDescent="0.25">
      <c r="A128" t="s">
        <v>7988</v>
      </c>
      <c r="B128">
        <v>4.1920000000000002</v>
      </c>
      <c r="C128" t="s">
        <v>7989</v>
      </c>
      <c r="D128" t="s">
        <v>742</v>
      </c>
      <c r="E128" t="s">
        <v>7972</v>
      </c>
      <c r="F128" t="s">
        <v>7672</v>
      </c>
      <c r="G128" t="s">
        <v>7973</v>
      </c>
      <c r="H128" t="s">
        <v>7974</v>
      </c>
      <c r="I128" t="s">
        <v>7990</v>
      </c>
      <c r="J128" t="s">
        <v>7987</v>
      </c>
    </row>
    <row r="129" spans="1:10" x14ac:dyDescent="0.25">
      <c r="A129" t="s">
        <v>7991</v>
      </c>
      <c r="B129">
        <v>4.1920000000000002</v>
      </c>
      <c r="C129" t="s">
        <v>7992</v>
      </c>
      <c r="D129" t="s">
        <v>7993</v>
      </c>
      <c r="E129" t="s">
        <v>7972</v>
      </c>
      <c r="F129" t="s">
        <v>7672</v>
      </c>
      <c r="G129" t="s">
        <v>7973</v>
      </c>
      <c r="H129" t="s">
        <v>7974</v>
      </c>
      <c r="I129" t="s">
        <v>7994</v>
      </c>
      <c r="J129" t="s">
        <v>7987</v>
      </c>
    </row>
    <row r="130" spans="1:10" x14ac:dyDescent="0.25">
      <c r="A130" t="s">
        <v>7995</v>
      </c>
      <c r="B130">
        <v>4.1920000000000002</v>
      </c>
      <c r="C130" t="s">
        <v>7996</v>
      </c>
      <c r="D130" t="s">
        <v>7997</v>
      </c>
      <c r="E130" t="s">
        <v>7972</v>
      </c>
      <c r="F130" t="s">
        <v>7672</v>
      </c>
      <c r="G130" t="s">
        <v>7973</v>
      </c>
      <c r="H130" t="s">
        <v>7974</v>
      </c>
      <c r="I130" t="s">
        <v>7975</v>
      </c>
      <c r="J130" t="s">
        <v>7987</v>
      </c>
    </row>
    <row r="131" spans="1:10" x14ac:dyDescent="0.25">
      <c r="A131" t="s">
        <v>7998</v>
      </c>
      <c r="B131">
        <v>4.1920000000000002</v>
      </c>
      <c r="C131" t="s">
        <v>7999</v>
      </c>
      <c r="D131" t="s">
        <v>8000</v>
      </c>
      <c r="E131" t="s">
        <v>7972</v>
      </c>
      <c r="F131" t="s">
        <v>7672</v>
      </c>
      <c r="G131" t="s">
        <v>7973</v>
      </c>
      <c r="H131" t="s">
        <v>7974</v>
      </c>
      <c r="I131" t="s">
        <v>7990</v>
      </c>
      <c r="J131" t="s">
        <v>8001</v>
      </c>
    </row>
    <row r="132" spans="1:10" x14ac:dyDescent="0.25">
      <c r="A132" t="s">
        <v>8002</v>
      </c>
      <c r="B132">
        <v>4.1920000000000002</v>
      </c>
      <c r="C132" t="s">
        <v>8003</v>
      </c>
      <c r="D132" t="s">
        <v>8004</v>
      </c>
      <c r="E132" t="s">
        <v>7972</v>
      </c>
      <c r="F132" t="s">
        <v>7672</v>
      </c>
      <c r="G132" t="s">
        <v>7973</v>
      </c>
      <c r="H132" t="s">
        <v>7974</v>
      </c>
      <c r="I132" t="s">
        <v>7975</v>
      </c>
      <c r="J132" t="s">
        <v>8001</v>
      </c>
    </row>
    <row r="133" spans="1:10" x14ac:dyDescent="0.25">
      <c r="A133" t="s">
        <v>8005</v>
      </c>
      <c r="B133">
        <v>4.1920000000000002</v>
      </c>
      <c r="C133" t="s">
        <v>8006</v>
      </c>
      <c r="D133" t="s">
        <v>8007</v>
      </c>
      <c r="E133" t="s">
        <v>7972</v>
      </c>
      <c r="F133" t="s">
        <v>7672</v>
      </c>
      <c r="G133" t="s">
        <v>7973</v>
      </c>
      <c r="H133" t="s">
        <v>7974</v>
      </c>
      <c r="I133" t="s">
        <v>7978</v>
      </c>
      <c r="J133" t="s">
        <v>8001</v>
      </c>
    </row>
    <row r="134" spans="1:10" x14ac:dyDescent="0.25">
      <c r="A134" t="s">
        <v>8008</v>
      </c>
      <c r="B134">
        <v>4.1920000000000002</v>
      </c>
      <c r="C134" t="s">
        <v>8009</v>
      </c>
      <c r="D134" t="s">
        <v>8010</v>
      </c>
      <c r="E134" t="s">
        <v>7972</v>
      </c>
      <c r="F134" t="s">
        <v>7672</v>
      </c>
      <c r="G134" t="s">
        <v>7973</v>
      </c>
      <c r="H134" t="s">
        <v>7974</v>
      </c>
      <c r="I134" t="s">
        <v>7994</v>
      </c>
      <c r="J134" t="s">
        <v>8001</v>
      </c>
    </row>
    <row r="135" spans="1:10" x14ac:dyDescent="0.25">
      <c r="A135" t="s">
        <v>8011</v>
      </c>
      <c r="B135">
        <v>4.1920000000000002</v>
      </c>
      <c r="C135" t="s">
        <v>8012</v>
      </c>
      <c r="D135" t="s">
        <v>5179</v>
      </c>
      <c r="E135" t="s">
        <v>7972</v>
      </c>
      <c r="F135" t="s">
        <v>7672</v>
      </c>
      <c r="G135" t="s">
        <v>7973</v>
      </c>
      <c r="H135" t="s">
        <v>7974</v>
      </c>
      <c r="I135" t="s">
        <v>7975</v>
      </c>
      <c r="J135" t="s">
        <v>8013</v>
      </c>
    </row>
    <row r="136" spans="1:10" x14ac:dyDescent="0.25">
      <c r="A136" t="s">
        <v>8014</v>
      </c>
      <c r="B136">
        <v>4.1920000000000002</v>
      </c>
      <c r="C136" t="s">
        <v>8015</v>
      </c>
      <c r="D136" t="s">
        <v>8016</v>
      </c>
      <c r="E136" t="s">
        <v>7972</v>
      </c>
      <c r="F136" t="s">
        <v>7672</v>
      </c>
      <c r="G136" t="s">
        <v>7973</v>
      </c>
      <c r="H136" t="s">
        <v>7974</v>
      </c>
      <c r="I136" t="s">
        <v>7978</v>
      </c>
      <c r="J136" t="s">
        <v>8013</v>
      </c>
    </row>
    <row r="137" spans="1:10" x14ac:dyDescent="0.25">
      <c r="A137" t="s">
        <v>8017</v>
      </c>
      <c r="B137">
        <v>4.1920000000000002</v>
      </c>
      <c r="C137" t="s">
        <v>8018</v>
      </c>
      <c r="D137" t="s">
        <v>1715</v>
      </c>
      <c r="E137" t="s">
        <v>7972</v>
      </c>
      <c r="F137" t="s">
        <v>7672</v>
      </c>
      <c r="G137" t="s">
        <v>7973</v>
      </c>
      <c r="H137" t="s">
        <v>7974</v>
      </c>
      <c r="I137" t="s">
        <v>7990</v>
      </c>
      <c r="J137" t="s">
        <v>8013</v>
      </c>
    </row>
    <row r="138" spans="1:10" x14ac:dyDescent="0.25">
      <c r="A138" t="s">
        <v>8019</v>
      </c>
      <c r="B138">
        <v>4.1920000000000002</v>
      </c>
      <c r="C138" t="s">
        <v>8020</v>
      </c>
      <c r="D138" t="s">
        <v>8021</v>
      </c>
      <c r="E138" t="s">
        <v>7972</v>
      </c>
      <c r="F138" t="s">
        <v>7672</v>
      </c>
      <c r="G138" t="s">
        <v>7973</v>
      </c>
      <c r="H138" t="s">
        <v>7974</v>
      </c>
      <c r="I138" t="s">
        <v>7994</v>
      </c>
      <c r="J138" t="s">
        <v>8013</v>
      </c>
    </row>
    <row r="139" spans="1:10" x14ac:dyDescent="0.25">
      <c r="A139" t="s">
        <v>8022</v>
      </c>
      <c r="B139">
        <v>4</v>
      </c>
      <c r="C139" t="s">
        <v>8023</v>
      </c>
      <c r="D139" t="s">
        <v>8024</v>
      </c>
      <c r="E139" t="s">
        <v>8025</v>
      </c>
      <c r="F139" t="s">
        <v>7672</v>
      </c>
      <c r="G139" t="s">
        <v>8026</v>
      </c>
      <c r="H139" t="s">
        <v>8027</v>
      </c>
      <c r="I139" t="s">
        <v>8028</v>
      </c>
      <c r="J139" t="s">
        <v>7981</v>
      </c>
    </row>
    <row r="140" spans="1:10" x14ac:dyDescent="0.25">
      <c r="A140" t="s">
        <v>8029</v>
      </c>
      <c r="B140">
        <v>4</v>
      </c>
      <c r="C140" t="s">
        <v>8030</v>
      </c>
      <c r="D140" t="s">
        <v>74</v>
      </c>
      <c r="E140" t="s">
        <v>8025</v>
      </c>
      <c r="F140" t="s">
        <v>7672</v>
      </c>
      <c r="G140" t="s">
        <v>8026</v>
      </c>
      <c r="H140" t="s">
        <v>8027</v>
      </c>
      <c r="I140" t="s">
        <v>8031</v>
      </c>
      <c r="J140" t="s">
        <v>7981</v>
      </c>
    </row>
    <row r="141" spans="1:10" x14ac:dyDescent="0.25">
      <c r="A141" t="s">
        <v>8032</v>
      </c>
      <c r="B141">
        <v>2.992</v>
      </c>
      <c r="C141" t="s">
        <v>8033</v>
      </c>
      <c r="D141" t="s">
        <v>3962</v>
      </c>
      <c r="E141" t="s">
        <v>8025</v>
      </c>
      <c r="F141" t="s">
        <v>7672</v>
      </c>
      <c r="G141" t="s">
        <v>8026</v>
      </c>
      <c r="H141" t="s">
        <v>8027</v>
      </c>
      <c r="I141" t="s">
        <v>8034</v>
      </c>
      <c r="J141" t="s">
        <v>7981</v>
      </c>
    </row>
    <row r="142" spans="1:10" x14ac:dyDescent="0.25">
      <c r="A142" t="s">
        <v>8035</v>
      </c>
      <c r="B142">
        <v>4</v>
      </c>
      <c r="C142" t="s">
        <v>8036</v>
      </c>
      <c r="D142" t="s">
        <v>8037</v>
      </c>
      <c r="E142" t="s">
        <v>8025</v>
      </c>
      <c r="F142" t="s">
        <v>7672</v>
      </c>
      <c r="G142" t="s">
        <v>8026</v>
      </c>
      <c r="H142" t="s">
        <v>8027</v>
      </c>
      <c r="I142" t="s">
        <v>8028</v>
      </c>
      <c r="J142" t="s">
        <v>7984</v>
      </c>
    </row>
    <row r="143" spans="1:10" x14ac:dyDescent="0.25">
      <c r="A143" t="s">
        <v>8038</v>
      </c>
      <c r="B143">
        <v>4</v>
      </c>
      <c r="C143" t="s">
        <v>8039</v>
      </c>
      <c r="D143" t="s">
        <v>8040</v>
      </c>
      <c r="E143" t="s">
        <v>8025</v>
      </c>
      <c r="F143" t="s">
        <v>7672</v>
      </c>
      <c r="G143" t="s">
        <v>8026</v>
      </c>
      <c r="H143" t="s">
        <v>8027</v>
      </c>
      <c r="I143" t="s">
        <v>8031</v>
      </c>
      <c r="J143" t="s">
        <v>7984</v>
      </c>
    </row>
    <row r="144" spans="1:10" x14ac:dyDescent="0.25">
      <c r="A144" t="s">
        <v>8041</v>
      </c>
      <c r="B144">
        <v>2.992</v>
      </c>
      <c r="C144" t="s">
        <v>8042</v>
      </c>
      <c r="D144" t="s">
        <v>8043</v>
      </c>
      <c r="E144" t="s">
        <v>8025</v>
      </c>
      <c r="F144" t="s">
        <v>7672</v>
      </c>
      <c r="G144" t="s">
        <v>8026</v>
      </c>
      <c r="H144" t="s">
        <v>8027</v>
      </c>
      <c r="I144" t="s">
        <v>8034</v>
      </c>
      <c r="J144" t="s">
        <v>7984</v>
      </c>
    </row>
    <row r="145" spans="1:10" x14ac:dyDescent="0.25">
      <c r="A145" t="s">
        <v>8044</v>
      </c>
      <c r="B145">
        <v>4</v>
      </c>
      <c r="C145" t="s">
        <v>8045</v>
      </c>
      <c r="D145" t="s">
        <v>705</v>
      </c>
      <c r="E145" t="s">
        <v>8025</v>
      </c>
      <c r="F145" t="s">
        <v>7672</v>
      </c>
      <c r="G145" t="s">
        <v>8026</v>
      </c>
      <c r="H145" t="s">
        <v>8027</v>
      </c>
      <c r="I145" t="s">
        <v>8046</v>
      </c>
      <c r="J145" t="s">
        <v>7987</v>
      </c>
    </row>
    <row r="146" spans="1:10" x14ac:dyDescent="0.25">
      <c r="A146" t="s">
        <v>8047</v>
      </c>
      <c r="B146">
        <v>4</v>
      </c>
      <c r="C146" t="s">
        <v>8048</v>
      </c>
      <c r="D146" t="s">
        <v>8049</v>
      </c>
      <c r="E146" t="s">
        <v>8025</v>
      </c>
      <c r="F146" t="s">
        <v>7672</v>
      </c>
      <c r="G146" t="s">
        <v>8026</v>
      </c>
      <c r="H146" t="s">
        <v>8027</v>
      </c>
      <c r="I146" t="s">
        <v>8028</v>
      </c>
      <c r="J146" t="s">
        <v>7987</v>
      </c>
    </row>
    <row r="147" spans="1:10" x14ac:dyDescent="0.25">
      <c r="A147" t="s">
        <v>8050</v>
      </c>
      <c r="B147">
        <v>4</v>
      </c>
      <c r="C147" t="s">
        <v>8051</v>
      </c>
      <c r="D147" t="s">
        <v>7882</v>
      </c>
      <c r="E147" t="s">
        <v>8025</v>
      </c>
      <c r="F147" t="s">
        <v>7672</v>
      </c>
      <c r="G147" t="s">
        <v>8026</v>
      </c>
      <c r="H147" t="s">
        <v>8027</v>
      </c>
      <c r="I147" t="s">
        <v>8031</v>
      </c>
      <c r="J147" t="s">
        <v>7987</v>
      </c>
    </row>
    <row r="148" spans="1:10" x14ac:dyDescent="0.25">
      <c r="A148" t="s">
        <v>8052</v>
      </c>
      <c r="B148">
        <v>2.992</v>
      </c>
      <c r="C148" t="s">
        <v>8053</v>
      </c>
      <c r="D148" t="s">
        <v>8054</v>
      </c>
      <c r="E148" t="s">
        <v>8025</v>
      </c>
      <c r="F148" t="s">
        <v>7672</v>
      </c>
      <c r="G148" t="s">
        <v>8026</v>
      </c>
      <c r="H148" t="s">
        <v>8027</v>
      </c>
      <c r="I148" t="s">
        <v>8034</v>
      </c>
      <c r="J148" t="s">
        <v>7987</v>
      </c>
    </row>
    <row r="149" spans="1:10" x14ac:dyDescent="0.25">
      <c r="A149" t="s">
        <v>8055</v>
      </c>
      <c r="B149">
        <v>4</v>
      </c>
      <c r="C149" t="s">
        <v>8056</v>
      </c>
      <c r="D149" t="s">
        <v>8057</v>
      </c>
      <c r="E149" t="s">
        <v>8025</v>
      </c>
      <c r="F149" t="s">
        <v>7672</v>
      </c>
      <c r="G149" t="s">
        <v>8026</v>
      </c>
      <c r="H149" t="s">
        <v>8027</v>
      </c>
      <c r="I149" t="s">
        <v>8046</v>
      </c>
      <c r="J149" t="s">
        <v>8001</v>
      </c>
    </row>
    <row r="150" spans="1:10" x14ac:dyDescent="0.25">
      <c r="A150" t="s">
        <v>8058</v>
      </c>
      <c r="B150">
        <v>4</v>
      </c>
      <c r="C150" t="s">
        <v>8059</v>
      </c>
      <c r="D150" t="s">
        <v>8060</v>
      </c>
      <c r="E150" t="s">
        <v>8025</v>
      </c>
      <c r="F150" t="s">
        <v>7672</v>
      </c>
      <c r="G150" t="s">
        <v>8026</v>
      </c>
      <c r="H150" t="s">
        <v>8027</v>
      </c>
      <c r="I150" t="s">
        <v>8028</v>
      </c>
      <c r="J150" t="s">
        <v>8001</v>
      </c>
    </row>
    <row r="151" spans="1:10" x14ac:dyDescent="0.25">
      <c r="A151" t="s">
        <v>8061</v>
      </c>
      <c r="B151">
        <v>4</v>
      </c>
      <c r="C151" t="s">
        <v>8062</v>
      </c>
      <c r="D151" t="s">
        <v>8063</v>
      </c>
      <c r="E151" t="s">
        <v>8025</v>
      </c>
      <c r="F151" t="s">
        <v>7672</v>
      </c>
      <c r="G151" t="s">
        <v>8026</v>
      </c>
      <c r="H151" t="s">
        <v>8027</v>
      </c>
      <c r="I151" t="s">
        <v>8031</v>
      </c>
      <c r="J151" t="s">
        <v>8001</v>
      </c>
    </row>
    <row r="152" spans="1:10" x14ac:dyDescent="0.25">
      <c r="A152" t="s">
        <v>8064</v>
      </c>
      <c r="B152">
        <v>2.992</v>
      </c>
      <c r="C152" t="s">
        <v>8065</v>
      </c>
      <c r="D152" t="s">
        <v>8066</v>
      </c>
      <c r="E152" t="s">
        <v>8025</v>
      </c>
      <c r="F152" t="s">
        <v>7672</v>
      </c>
      <c r="G152" t="s">
        <v>8026</v>
      </c>
      <c r="H152" t="s">
        <v>8027</v>
      </c>
      <c r="I152" t="s">
        <v>8034</v>
      </c>
      <c r="J152" t="s">
        <v>8001</v>
      </c>
    </row>
    <row r="153" spans="1:10" x14ac:dyDescent="0.25">
      <c r="A153" t="s">
        <v>8067</v>
      </c>
      <c r="B153">
        <v>4</v>
      </c>
      <c r="C153" t="s">
        <v>8068</v>
      </c>
      <c r="D153" t="s">
        <v>2262</v>
      </c>
      <c r="E153" t="s">
        <v>8025</v>
      </c>
      <c r="F153" t="s">
        <v>7672</v>
      </c>
      <c r="G153" t="s">
        <v>8026</v>
      </c>
      <c r="H153" t="s">
        <v>8027</v>
      </c>
      <c r="I153" t="s">
        <v>8028</v>
      </c>
      <c r="J153" t="s">
        <v>8013</v>
      </c>
    </row>
    <row r="154" spans="1:10" x14ac:dyDescent="0.25">
      <c r="A154" t="s">
        <v>8069</v>
      </c>
      <c r="B154">
        <v>4</v>
      </c>
      <c r="C154" t="s">
        <v>8070</v>
      </c>
      <c r="D154" t="s">
        <v>2248</v>
      </c>
      <c r="E154" t="s">
        <v>8025</v>
      </c>
      <c r="F154" t="s">
        <v>7672</v>
      </c>
      <c r="G154" t="s">
        <v>8026</v>
      </c>
      <c r="H154" t="s">
        <v>8027</v>
      </c>
      <c r="I154" t="s">
        <v>8031</v>
      </c>
      <c r="J154" t="s">
        <v>8013</v>
      </c>
    </row>
    <row r="155" spans="1:10" x14ac:dyDescent="0.25">
      <c r="A155" t="s">
        <v>8071</v>
      </c>
      <c r="B155">
        <v>4</v>
      </c>
      <c r="C155" t="s">
        <v>8072</v>
      </c>
      <c r="D155" t="s">
        <v>8073</v>
      </c>
      <c r="E155" t="s">
        <v>8025</v>
      </c>
      <c r="F155" t="s">
        <v>7672</v>
      </c>
      <c r="G155" t="s">
        <v>8026</v>
      </c>
      <c r="H155" t="s">
        <v>8027</v>
      </c>
      <c r="I155" t="s">
        <v>8046</v>
      </c>
      <c r="J155" t="s">
        <v>8013</v>
      </c>
    </row>
    <row r="156" spans="1:10" x14ac:dyDescent="0.25">
      <c r="A156" t="s">
        <v>8074</v>
      </c>
      <c r="B156">
        <v>2.992</v>
      </c>
      <c r="C156" t="s">
        <v>8075</v>
      </c>
      <c r="D156" t="s">
        <v>8076</v>
      </c>
      <c r="E156" t="s">
        <v>8025</v>
      </c>
      <c r="F156" t="s">
        <v>7672</v>
      </c>
      <c r="G156" t="s">
        <v>8026</v>
      </c>
      <c r="H156" t="s">
        <v>8027</v>
      </c>
      <c r="I156" t="s">
        <v>8034</v>
      </c>
      <c r="J156" t="s">
        <v>8013</v>
      </c>
    </row>
    <row r="157" spans="1:10" x14ac:dyDescent="0.25">
      <c r="A157" t="s">
        <v>1853</v>
      </c>
      <c r="B157">
        <v>14.295999999999999</v>
      </c>
      <c r="C157" t="s">
        <v>1855</v>
      </c>
      <c r="D157" t="s">
        <v>306</v>
      </c>
      <c r="E157" t="s">
        <v>1856</v>
      </c>
      <c r="F157" t="s">
        <v>7672</v>
      </c>
      <c r="G157" t="s">
        <v>8077</v>
      </c>
      <c r="H157" t="s">
        <v>8078</v>
      </c>
      <c r="I157" t="s">
        <v>76</v>
      </c>
      <c r="J157" t="s">
        <v>7675</v>
      </c>
    </row>
    <row r="158" spans="1:10" x14ac:dyDescent="0.25">
      <c r="A158" t="s">
        <v>1860</v>
      </c>
      <c r="B158">
        <v>14.295999999999999</v>
      </c>
      <c r="C158" t="s">
        <v>1862</v>
      </c>
      <c r="D158" t="s">
        <v>1864</v>
      </c>
      <c r="E158" t="s">
        <v>1856</v>
      </c>
      <c r="F158" t="s">
        <v>7672</v>
      </c>
      <c r="G158" t="s">
        <v>8077</v>
      </c>
      <c r="H158" t="s">
        <v>8078</v>
      </c>
      <c r="I158" t="s">
        <v>8079</v>
      </c>
      <c r="J158" t="s">
        <v>7675</v>
      </c>
    </row>
    <row r="159" spans="1:10" x14ac:dyDescent="0.25">
      <c r="A159" t="s">
        <v>1866</v>
      </c>
      <c r="B159">
        <v>14.295999999999999</v>
      </c>
      <c r="C159" t="s">
        <v>1868</v>
      </c>
      <c r="D159" t="s">
        <v>664</v>
      </c>
      <c r="E159" t="s">
        <v>1856</v>
      </c>
      <c r="F159" t="s">
        <v>7672</v>
      </c>
      <c r="G159" t="s">
        <v>8077</v>
      </c>
      <c r="H159" t="s">
        <v>8078</v>
      </c>
      <c r="I159" t="s">
        <v>8079</v>
      </c>
      <c r="J159" t="s">
        <v>7686</v>
      </c>
    </row>
    <row r="160" spans="1:10" x14ac:dyDescent="0.25">
      <c r="A160" t="s">
        <v>1870</v>
      </c>
      <c r="B160">
        <v>14.295999999999999</v>
      </c>
      <c r="C160" t="s">
        <v>1872</v>
      </c>
      <c r="D160" t="s">
        <v>1874</v>
      </c>
      <c r="E160" t="s">
        <v>1856</v>
      </c>
      <c r="F160" t="s">
        <v>7672</v>
      </c>
      <c r="G160" t="s">
        <v>8077</v>
      </c>
      <c r="H160" t="s">
        <v>8078</v>
      </c>
      <c r="I160" t="s">
        <v>8079</v>
      </c>
      <c r="J160" t="s">
        <v>7703</v>
      </c>
    </row>
    <row r="161" spans="1:10" x14ac:dyDescent="0.25">
      <c r="A161" t="s">
        <v>1875</v>
      </c>
      <c r="B161">
        <v>14.295999999999999</v>
      </c>
      <c r="C161" t="s">
        <v>1877</v>
      </c>
      <c r="D161" t="s">
        <v>1879</v>
      </c>
      <c r="E161" t="s">
        <v>1856</v>
      </c>
      <c r="F161" t="s">
        <v>7672</v>
      </c>
      <c r="G161" t="s">
        <v>8077</v>
      </c>
      <c r="H161" t="s">
        <v>8078</v>
      </c>
      <c r="I161" t="s">
        <v>8079</v>
      </c>
      <c r="J161" t="s">
        <v>7713</v>
      </c>
    </row>
    <row r="162" spans="1:10" x14ac:dyDescent="0.25">
      <c r="A162" t="s">
        <v>1880</v>
      </c>
      <c r="B162">
        <v>14.295999999999999</v>
      </c>
      <c r="C162" t="s">
        <v>1882</v>
      </c>
      <c r="D162" t="s">
        <v>1884</v>
      </c>
      <c r="E162" t="s">
        <v>1856</v>
      </c>
      <c r="F162" t="s">
        <v>7672</v>
      </c>
      <c r="G162" t="s">
        <v>8077</v>
      </c>
      <c r="H162" t="s">
        <v>8078</v>
      </c>
      <c r="I162" t="s">
        <v>76</v>
      </c>
      <c r="J162" t="s">
        <v>7713</v>
      </c>
    </row>
    <row r="163" spans="1:10" x14ac:dyDescent="0.25">
      <c r="A163" t="s">
        <v>1885</v>
      </c>
      <c r="B163">
        <v>14.295999999999999</v>
      </c>
      <c r="C163" t="s">
        <v>1887</v>
      </c>
      <c r="D163" t="s">
        <v>1832</v>
      </c>
      <c r="E163" t="s">
        <v>1856</v>
      </c>
      <c r="F163" t="s">
        <v>7672</v>
      </c>
      <c r="G163" t="s">
        <v>8077</v>
      </c>
      <c r="H163" t="s">
        <v>8078</v>
      </c>
      <c r="I163" t="s">
        <v>76</v>
      </c>
      <c r="J163" t="s">
        <v>7719</v>
      </c>
    </row>
    <row r="164" spans="1:10" x14ac:dyDescent="0.25">
      <c r="A164" t="s">
        <v>1889</v>
      </c>
      <c r="B164">
        <v>14.295999999999999</v>
      </c>
      <c r="C164" t="s">
        <v>1891</v>
      </c>
      <c r="D164" t="s">
        <v>1893</v>
      </c>
      <c r="E164" t="s">
        <v>1856</v>
      </c>
      <c r="F164" t="s">
        <v>7672</v>
      </c>
      <c r="G164" t="s">
        <v>8077</v>
      </c>
      <c r="H164" t="s">
        <v>8078</v>
      </c>
      <c r="I164" t="s">
        <v>8079</v>
      </c>
      <c r="J164" t="s">
        <v>7719</v>
      </c>
    </row>
    <row r="165" spans="1:10" x14ac:dyDescent="0.25">
      <c r="A165" t="s">
        <v>1894</v>
      </c>
      <c r="B165">
        <v>10.8</v>
      </c>
      <c r="C165" t="s">
        <v>1896</v>
      </c>
      <c r="D165" t="s">
        <v>1899</v>
      </c>
      <c r="E165" t="s">
        <v>1897</v>
      </c>
      <c r="F165" t="s">
        <v>7672</v>
      </c>
      <c r="G165" t="s">
        <v>8080</v>
      </c>
      <c r="H165" t="s">
        <v>8081</v>
      </c>
      <c r="I165" t="s">
        <v>8082</v>
      </c>
      <c r="J165" t="s">
        <v>7675</v>
      </c>
    </row>
    <row r="166" spans="1:10" x14ac:dyDescent="0.25">
      <c r="A166" t="s">
        <v>1902</v>
      </c>
      <c r="B166">
        <v>10.8</v>
      </c>
      <c r="C166" t="s">
        <v>1904</v>
      </c>
      <c r="D166" t="s">
        <v>1905</v>
      </c>
      <c r="E166" t="s">
        <v>1897</v>
      </c>
      <c r="F166" t="s">
        <v>7672</v>
      </c>
      <c r="G166" t="s">
        <v>8080</v>
      </c>
      <c r="H166" t="s">
        <v>8081</v>
      </c>
      <c r="I166" t="s">
        <v>76</v>
      </c>
      <c r="J166" t="s">
        <v>7675</v>
      </c>
    </row>
    <row r="167" spans="1:10" x14ac:dyDescent="0.25">
      <c r="A167" t="s">
        <v>1907</v>
      </c>
      <c r="B167">
        <v>10.8</v>
      </c>
      <c r="C167" t="s">
        <v>1909</v>
      </c>
      <c r="D167" t="s">
        <v>1910</v>
      </c>
      <c r="E167" t="s">
        <v>1897</v>
      </c>
      <c r="F167" t="s">
        <v>7672</v>
      </c>
      <c r="G167" t="s">
        <v>8080</v>
      </c>
      <c r="H167" t="s">
        <v>8081</v>
      </c>
      <c r="I167" t="s">
        <v>76</v>
      </c>
      <c r="J167" t="s">
        <v>7686</v>
      </c>
    </row>
    <row r="168" spans="1:10" x14ac:dyDescent="0.25">
      <c r="A168" t="s">
        <v>1911</v>
      </c>
      <c r="B168">
        <v>10.8</v>
      </c>
      <c r="C168" t="s">
        <v>1913</v>
      </c>
      <c r="D168" t="s">
        <v>1915</v>
      </c>
      <c r="E168" t="s">
        <v>1897</v>
      </c>
      <c r="F168" t="s">
        <v>7672</v>
      </c>
      <c r="G168" t="s">
        <v>8080</v>
      </c>
      <c r="H168" t="s">
        <v>8081</v>
      </c>
      <c r="I168" t="s">
        <v>8082</v>
      </c>
      <c r="J168" t="s">
        <v>7686</v>
      </c>
    </row>
    <row r="169" spans="1:10" x14ac:dyDescent="0.25">
      <c r="A169" t="s">
        <v>1916</v>
      </c>
      <c r="B169">
        <v>10.8</v>
      </c>
      <c r="C169" t="s">
        <v>1918</v>
      </c>
      <c r="D169" t="s">
        <v>1920</v>
      </c>
      <c r="E169" t="s">
        <v>1897</v>
      </c>
      <c r="F169" t="s">
        <v>7672</v>
      </c>
      <c r="G169" t="s">
        <v>8080</v>
      </c>
      <c r="H169" t="s">
        <v>8081</v>
      </c>
      <c r="I169" t="s">
        <v>8082</v>
      </c>
      <c r="J169" t="s">
        <v>7703</v>
      </c>
    </row>
    <row r="170" spans="1:10" x14ac:dyDescent="0.25">
      <c r="A170" t="s">
        <v>1921</v>
      </c>
      <c r="B170">
        <v>10.8</v>
      </c>
      <c r="C170" t="s">
        <v>1923</v>
      </c>
      <c r="D170" t="s">
        <v>1924</v>
      </c>
      <c r="E170" t="s">
        <v>1897</v>
      </c>
      <c r="F170" t="s">
        <v>7672</v>
      </c>
      <c r="G170" t="s">
        <v>8080</v>
      </c>
      <c r="H170" t="s">
        <v>8081</v>
      </c>
      <c r="I170" t="s">
        <v>76</v>
      </c>
      <c r="J170" t="s">
        <v>7713</v>
      </c>
    </row>
    <row r="171" spans="1:10" x14ac:dyDescent="0.25">
      <c r="A171" t="s">
        <v>1925</v>
      </c>
      <c r="B171">
        <v>10.8</v>
      </c>
      <c r="C171" t="s">
        <v>1927</v>
      </c>
      <c r="D171" t="s">
        <v>1928</v>
      </c>
      <c r="E171" t="s">
        <v>1897</v>
      </c>
      <c r="F171" t="s">
        <v>7672</v>
      </c>
      <c r="G171" t="s">
        <v>8080</v>
      </c>
      <c r="H171" t="s">
        <v>8081</v>
      </c>
      <c r="I171" t="s">
        <v>8082</v>
      </c>
      <c r="J171" t="s">
        <v>7713</v>
      </c>
    </row>
    <row r="172" spans="1:10" x14ac:dyDescent="0.25">
      <c r="A172" t="s">
        <v>1929</v>
      </c>
      <c r="B172">
        <v>10.8</v>
      </c>
      <c r="C172" t="s">
        <v>1931</v>
      </c>
      <c r="D172" t="s">
        <v>1932</v>
      </c>
      <c r="E172" t="s">
        <v>1897</v>
      </c>
      <c r="F172" t="s">
        <v>7672</v>
      </c>
      <c r="G172" t="s">
        <v>8080</v>
      </c>
      <c r="H172" t="s">
        <v>8081</v>
      </c>
      <c r="I172" t="s">
        <v>76</v>
      </c>
      <c r="J172" t="s">
        <v>7719</v>
      </c>
    </row>
    <row r="173" spans="1:10" x14ac:dyDescent="0.25">
      <c r="A173" t="s">
        <v>1933</v>
      </c>
      <c r="B173">
        <v>10.8</v>
      </c>
      <c r="C173" t="s">
        <v>1935</v>
      </c>
      <c r="D173" t="s">
        <v>1936</v>
      </c>
      <c r="E173" t="s">
        <v>1897</v>
      </c>
      <c r="F173" t="s">
        <v>7672</v>
      </c>
      <c r="G173" t="s">
        <v>8080</v>
      </c>
      <c r="H173" t="s">
        <v>8081</v>
      </c>
      <c r="I173" t="s">
        <v>8082</v>
      </c>
      <c r="J173" t="s">
        <v>7719</v>
      </c>
    </row>
    <row r="174" spans="1:10" x14ac:dyDescent="0.25">
      <c r="A174" t="s">
        <v>8083</v>
      </c>
      <c r="B174">
        <v>10.8</v>
      </c>
      <c r="C174" t="s">
        <v>8084</v>
      </c>
      <c r="D174" t="s">
        <v>250</v>
      </c>
      <c r="E174" t="s">
        <v>8085</v>
      </c>
      <c r="F174" t="s">
        <v>7672</v>
      </c>
      <c r="G174" t="s">
        <v>8086</v>
      </c>
      <c r="H174" t="s">
        <v>8087</v>
      </c>
      <c r="I174" t="s">
        <v>8088</v>
      </c>
      <c r="J174" t="s">
        <v>113</v>
      </c>
    </row>
    <row r="175" spans="1:10" x14ac:dyDescent="0.25">
      <c r="A175" t="s">
        <v>8089</v>
      </c>
      <c r="B175">
        <v>10.8</v>
      </c>
      <c r="C175" t="s">
        <v>8090</v>
      </c>
      <c r="D175" t="s">
        <v>131</v>
      </c>
      <c r="E175" t="s">
        <v>8085</v>
      </c>
      <c r="F175" t="s">
        <v>7672</v>
      </c>
      <c r="G175" t="s">
        <v>8086</v>
      </c>
      <c r="H175" t="s">
        <v>8087</v>
      </c>
      <c r="I175" t="s">
        <v>8091</v>
      </c>
      <c r="J175" t="s">
        <v>113</v>
      </c>
    </row>
    <row r="176" spans="1:10" x14ac:dyDescent="0.25">
      <c r="A176" t="s">
        <v>8092</v>
      </c>
      <c r="B176">
        <v>10.8</v>
      </c>
      <c r="C176" t="s">
        <v>8093</v>
      </c>
      <c r="D176" t="s">
        <v>4794</v>
      </c>
      <c r="E176" t="s">
        <v>8085</v>
      </c>
      <c r="F176" t="s">
        <v>7672</v>
      </c>
      <c r="G176" t="s">
        <v>8086</v>
      </c>
      <c r="H176" t="s">
        <v>8087</v>
      </c>
      <c r="I176" t="s">
        <v>8088</v>
      </c>
      <c r="J176" t="s">
        <v>240</v>
      </c>
    </row>
    <row r="177" spans="1:10" x14ac:dyDescent="0.25">
      <c r="A177" t="s">
        <v>8094</v>
      </c>
      <c r="B177">
        <v>10.8</v>
      </c>
      <c r="C177" t="s">
        <v>8095</v>
      </c>
      <c r="D177" t="s">
        <v>2381</v>
      </c>
      <c r="E177" t="s">
        <v>8085</v>
      </c>
      <c r="F177" t="s">
        <v>7672</v>
      </c>
      <c r="G177" t="s">
        <v>8086</v>
      </c>
      <c r="H177" t="s">
        <v>8087</v>
      </c>
      <c r="I177" t="s">
        <v>8096</v>
      </c>
      <c r="J177" t="s">
        <v>240</v>
      </c>
    </row>
    <row r="178" spans="1:10" x14ac:dyDescent="0.25">
      <c r="A178" t="s">
        <v>8097</v>
      </c>
      <c r="B178">
        <v>10.8</v>
      </c>
      <c r="C178" t="s">
        <v>8098</v>
      </c>
      <c r="D178" t="s">
        <v>986</v>
      </c>
      <c r="E178" t="s">
        <v>8085</v>
      </c>
      <c r="F178" t="s">
        <v>7672</v>
      </c>
      <c r="G178" t="s">
        <v>8086</v>
      </c>
      <c r="H178" t="s">
        <v>8087</v>
      </c>
      <c r="I178" t="s">
        <v>8091</v>
      </c>
      <c r="J178" t="s">
        <v>240</v>
      </c>
    </row>
    <row r="179" spans="1:10" x14ac:dyDescent="0.25">
      <c r="A179" t="s">
        <v>8099</v>
      </c>
      <c r="B179">
        <v>10.8</v>
      </c>
      <c r="C179" t="s">
        <v>8100</v>
      </c>
      <c r="D179" t="s">
        <v>1827</v>
      </c>
      <c r="E179" t="s">
        <v>8085</v>
      </c>
      <c r="F179" t="s">
        <v>7672</v>
      </c>
      <c r="G179" t="s">
        <v>8086</v>
      </c>
      <c r="H179" t="s">
        <v>8087</v>
      </c>
      <c r="I179" t="s">
        <v>4045</v>
      </c>
      <c r="J179" t="s">
        <v>240</v>
      </c>
    </row>
    <row r="180" spans="1:10" x14ac:dyDescent="0.25">
      <c r="A180" t="s">
        <v>8101</v>
      </c>
      <c r="B180">
        <v>7.2</v>
      </c>
      <c r="C180" t="s">
        <v>8102</v>
      </c>
      <c r="D180" t="s">
        <v>1097</v>
      </c>
      <c r="E180" t="s">
        <v>8103</v>
      </c>
      <c r="F180" t="s">
        <v>7672</v>
      </c>
      <c r="G180" t="s">
        <v>8104</v>
      </c>
      <c r="H180" t="s">
        <v>8087</v>
      </c>
      <c r="I180" t="s">
        <v>1357</v>
      </c>
      <c r="J180" t="s">
        <v>7675</v>
      </c>
    </row>
    <row r="181" spans="1:10" x14ac:dyDescent="0.25">
      <c r="A181" t="s">
        <v>8105</v>
      </c>
      <c r="B181">
        <v>7.2</v>
      </c>
      <c r="C181" t="s">
        <v>8106</v>
      </c>
      <c r="D181" t="s">
        <v>3604</v>
      </c>
      <c r="E181" t="s">
        <v>8103</v>
      </c>
      <c r="F181" t="s">
        <v>7672</v>
      </c>
      <c r="G181" t="s">
        <v>8104</v>
      </c>
      <c r="H181" t="s">
        <v>8087</v>
      </c>
      <c r="I181" t="s">
        <v>551</v>
      </c>
      <c r="J181" t="s">
        <v>7675</v>
      </c>
    </row>
    <row r="182" spans="1:10" x14ac:dyDescent="0.25">
      <c r="A182" t="s">
        <v>8107</v>
      </c>
      <c r="B182">
        <v>7.2</v>
      </c>
      <c r="C182" t="s">
        <v>8108</v>
      </c>
      <c r="D182" t="s">
        <v>2620</v>
      </c>
      <c r="E182" t="s">
        <v>8103</v>
      </c>
      <c r="F182" t="s">
        <v>7672</v>
      </c>
      <c r="G182" t="s">
        <v>8104</v>
      </c>
      <c r="H182" t="s">
        <v>8087</v>
      </c>
      <c r="I182" t="s">
        <v>6817</v>
      </c>
      <c r="J182" t="s">
        <v>7675</v>
      </c>
    </row>
    <row r="183" spans="1:10" x14ac:dyDescent="0.25">
      <c r="A183" t="s">
        <v>8109</v>
      </c>
      <c r="B183">
        <v>7.2</v>
      </c>
      <c r="C183" t="s">
        <v>8110</v>
      </c>
      <c r="D183" t="s">
        <v>8111</v>
      </c>
      <c r="E183" t="s">
        <v>8103</v>
      </c>
      <c r="F183" t="s">
        <v>7672</v>
      </c>
      <c r="G183" t="s">
        <v>8104</v>
      </c>
      <c r="H183" t="s">
        <v>8087</v>
      </c>
      <c r="I183" t="s">
        <v>8112</v>
      </c>
      <c r="J183" t="s">
        <v>7675</v>
      </c>
    </row>
    <row r="184" spans="1:10" x14ac:dyDescent="0.25">
      <c r="A184" t="s">
        <v>8113</v>
      </c>
      <c r="B184">
        <v>7.2</v>
      </c>
      <c r="C184" t="s">
        <v>8114</v>
      </c>
      <c r="D184" t="s">
        <v>250</v>
      </c>
      <c r="E184" t="s">
        <v>8103</v>
      </c>
      <c r="F184" t="s">
        <v>7672</v>
      </c>
      <c r="G184" t="s">
        <v>8104</v>
      </c>
      <c r="H184" t="s">
        <v>8087</v>
      </c>
      <c r="I184" t="s">
        <v>4045</v>
      </c>
      <c r="J184" t="s">
        <v>7675</v>
      </c>
    </row>
    <row r="185" spans="1:10" x14ac:dyDescent="0.25">
      <c r="A185" t="s">
        <v>8115</v>
      </c>
      <c r="B185">
        <v>7.2</v>
      </c>
      <c r="C185" t="s">
        <v>8116</v>
      </c>
      <c r="D185" t="s">
        <v>8117</v>
      </c>
      <c r="E185" t="s">
        <v>8103</v>
      </c>
      <c r="F185" t="s">
        <v>7672</v>
      </c>
      <c r="G185" t="s">
        <v>8104</v>
      </c>
      <c r="H185" t="s">
        <v>8087</v>
      </c>
      <c r="I185" t="s">
        <v>551</v>
      </c>
      <c r="J185" t="s">
        <v>7686</v>
      </c>
    </row>
    <row r="186" spans="1:10" x14ac:dyDescent="0.25">
      <c r="A186" t="s">
        <v>8118</v>
      </c>
      <c r="B186">
        <v>7.2</v>
      </c>
      <c r="C186" t="s">
        <v>8119</v>
      </c>
      <c r="D186" t="s">
        <v>8120</v>
      </c>
      <c r="E186" t="s">
        <v>8103</v>
      </c>
      <c r="F186" t="s">
        <v>7672</v>
      </c>
      <c r="G186" t="s">
        <v>8104</v>
      </c>
      <c r="H186" t="s">
        <v>8087</v>
      </c>
      <c r="I186" t="s">
        <v>8112</v>
      </c>
      <c r="J186" t="s">
        <v>7686</v>
      </c>
    </row>
    <row r="187" spans="1:10" x14ac:dyDescent="0.25">
      <c r="A187" t="s">
        <v>8121</v>
      </c>
      <c r="B187">
        <v>7.2</v>
      </c>
      <c r="C187" t="s">
        <v>8122</v>
      </c>
      <c r="D187" t="s">
        <v>8123</v>
      </c>
      <c r="E187" t="s">
        <v>8103</v>
      </c>
      <c r="F187" t="s">
        <v>7672</v>
      </c>
      <c r="G187" t="s">
        <v>8104</v>
      </c>
      <c r="H187" t="s">
        <v>8087</v>
      </c>
      <c r="I187" t="s">
        <v>1357</v>
      </c>
      <c r="J187" t="s">
        <v>7686</v>
      </c>
    </row>
    <row r="188" spans="1:10" x14ac:dyDescent="0.25">
      <c r="A188" t="s">
        <v>8124</v>
      </c>
      <c r="B188">
        <v>7.2</v>
      </c>
      <c r="C188" t="s">
        <v>8125</v>
      </c>
      <c r="D188" t="s">
        <v>366</v>
      </c>
      <c r="E188" t="s">
        <v>8103</v>
      </c>
      <c r="F188" t="s">
        <v>7672</v>
      </c>
      <c r="G188" t="s">
        <v>8104</v>
      </c>
      <c r="H188" t="s">
        <v>8087</v>
      </c>
      <c r="I188" t="s">
        <v>6817</v>
      </c>
      <c r="J188" t="s">
        <v>7686</v>
      </c>
    </row>
    <row r="189" spans="1:10" x14ac:dyDescent="0.25">
      <c r="A189" t="s">
        <v>8126</v>
      </c>
      <c r="B189">
        <v>7.2</v>
      </c>
      <c r="C189" t="s">
        <v>8127</v>
      </c>
      <c r="D189" t="s">
        <v>8128</v>
      </c>
      <c r="E189" t="s">
        <v>8103</v>
      </c>
      <c r="F189" t="s">
        <v>7672</v>
      </c>
      <c r="G189" t="s">
        <v>8104</v>
      </c>
      <c r="H189" t="s">
        <v>8087</v>
      </c>
      <c r="I189" t="s">
        <v>551</v>
      </c>
      <c r="J189" t="s">
        <v>7703</v>
      </c>
    </row>
    <row r="190" spans="1:10" x14ac:dyDescent="0.25">
      <c r="A190" t="s">
        <v>8129</v>
      </c>
      <c r="B190">
        <v>7.2</v>
      </c>
      <c r="C190" t="s">
        <v>8130</v>
      </c>
      <c r="D190" t="s">
        <v>8131</v>
      </c>
      <c r="E190" t="s">
        <v>8103</v>
      </c>
      <c r="F190" t="s">
        <v>7672</v>
      </c>
      <c r="G190" t="s">
        <v>8104</v>
      </c>
      <c r="H190" t="s">
        <v>8087</v>
      </c>
      <c r="I190" t="s">
        <v>8112</v>
      </c>
      <c r="J190" t="s">
        <v>7703</v>
      </c>
    </row>
    <row r="191" spans="1:10" x14ac:dyDescent="0.25">
      <c r="A191" t="s">
        <v>8132</v>
      </c>
      <c r="B191">
        <v>7.2</v>
      </c>
      <c r="C191" t="s">
        <v>8133</v>
      </c>
      <c r="D191" t="s">
        <v>366</v>
      </c>
      <c r="E191" t="s">
        <v>8103</v>
      </c>
      <c r="F191" t="s">
        <v>7672</v>
      </c>
      <c r="G191" t="s">
        <v>8104</v>
      </c>
      <c r="H191" t="s">
        <v>8087</v>
      </c>
      <c r="I191" t="s">
        <v>6817</v>
      </c>
      <c r="J191" t="s">
        <v>7703</v>
      </c>
    </row>
    <row r="192" spans="1:10" x14ac:dyDescent="0.25">
      <c r="A192" t="s">
        <v>8134</v>
      </c>
      <c r="B192">
        <v>7.2</v>
      </c>
      <c r="C192" t="s">
        <v>8135</v>
      </c>
      <c r="D192" t="s">
        <v>8136</v>
      </c>
      <c r="E192" t="s">
        <v>8103</v>
      </c>
      <c r="F192" t="s">
        <v>7672</v>
      </c>
      <c r="G192" t="s">
        <v>8104</v>
      </c>
      <c r="H192" t="s">
        <v>8087</v>
      </c>
      <c r="I192" t="s">
        <v>1357</v>
      </c>
      <c r="J192" t="s">
        <v>7703</v>
      </c>
    </row>
    <row r="193" spans="1:10" x14ac:dyDescent="0.25">
      <c r="A193" t="s">
        <v>8137</v>
      </c>
      <c r="B193">
        <v>7.2</v>
      </c>
      <c r="C193" t="s">
        <v>8138</v>
      </c>
      <c r="D193" t="s">
        <v>1741</v>
      </c>
      <c r="E193" t="s">
        <v>8103</v>
      </c>
      <c r="F193" t="s">
        <v>7672</v>
      </c>
      <c r="G193" t="s">
        <v>8104</v>
      </c>
      <c r="H193" t="s">
        <v>8087</v>
      </c>
      <c r="I193" t="s">
        <v>551</v>
      </c>
      <c r="J193" t="s">
        <v>7713</v>
      </c>
    </row>
    <row r="194" spans="1:10" x14ac:dyDescent="0.25">
      <c r="A194" t="s">
        <v>8139</v>
      </c>
      <c r="B194">
        <v>7.2</v>
      </c>
      <c r="C194" t="s">
        <v>8140</v>
      </c>
      <c r="D194" t="s">
        <v>8141</v>
      </c>
      <c r="E194" t="s">
        <v>8103</v>
      </c>
      <c r="F194" t="s">
        <v>7672</v>
      </c>
      <c r="G194" t="s">
        <v>8104</v>
      </c>
      <c r="H194" t="s">
        <v>8087</v>
      </c>
      <c r="I194" t="s">
        <v>1357</v>
      </c>
      <c r="J194" t="s">
        <v>7713</v>
      </c>
    </row>
    <row r="195" spans="1:10" x14ac:dyDescent="0.25">
      <c r="A195" t="s">
        <v>8142</v>
      </c>
      <c r="B195">
        <v>7.2</v>
      </c>
      <c r="C195" t="s">
        <v>8143</v>
      </c>
      <c r="D195" t="s">
        <v>8144</v>
      </c>
      <c r="E195" t="s">
        <v>8103</v>
      </c>
      <c r="F195" t="s">
        <v>7672</v>
      </c>
      <c r="G195" t="s">
        <v>8104</v>
      </c>
      <c r="H195" t="s">
        <v>8087</v>
      </c>
      <c r="I195" t="s">
        <v>1357</v>
      </c>
      <c r="J195" t="s">
        <v>7719</v>
      </c>
    </row>
    <row r="196" spans="1:10" x14ac:dyDescent="0.25">
      <c r="A196" t="s">
        <v>1937</v>
      </c>
      <c r="B196">
        <v>14.295999999999999</v>
      </c>
      <c r="C196" t="s">
        <v>1939</v>
      </c>
      <c r="D196" t="s">
        <v>269</v>
      </c>
      <c r="E196" t="s">
        <v>1940</v>
      </c>
      <c r="F196" t="s">
        <v>7672</v>
      </c>
      <c r="G196" t="s">
        <v>8145</v>
      </c>
      <c r="H196" t="s">
        <v>8078</v>
      </c>
      <c r="I196" t="s">
        <v>7952</v>
      </c>
      <c r="J196" t="s">
        <v>7713</v>
      </c>
    </row>
    <row r="197" spans="1:10" x14ac:dyDescent="0.25">
      <c r="A197" t="s">
        <v>8146</v>
      </c>
      <c r="B197">
        <v>4.8320000000000007</v>
      </c>
      <c r="C197" t="s">
        <v>8147</v>
      </c>
      <c r="D197" t="s">
        <v>1879</v>
      </c>
      <c r="E197" t="s">
        <v>8148</v>
      </c>
      <c r="F197" t="s">
        <v>7672</v>
      </c>
      <c r="G197" t="s">
        <v>8149</v>
      </c>
      <c r="H197" t="s">
        <v>8027</v>
      </c>
      <c r="I197" t="s">
        <v>8150</v>
      </c>
      <c r="J197" t="s">
        <v>7942</v>
      </c>
    </row>
    <row r="198" spans="1:10" x14ac:dyDescent="0.25">
      <c r="A198" t="s">
        <v>8151</v>
      </c>
      <c r="B198">
        <v>4.8320000000000007</v>
      </c>
      <c r="C198" t="s">
        <v>8152</v>
      </c>
      <c r="D198" t="s">
        <v>8153</v>
      </c>
      <c r="E198" t="s">
        <v>8148</v>
      </c>
      <c r="F198" t="s">
        <v>7672</v>
      </c>
      <c r="G198" t="s">
        <v>8149</v>
      </c>
      <c r="H198" t="s">
        <v>8027</v>
      </c>
      <c r="I198" t="s">
        <v>8154</v>
      </c>
      <c r="J198" t="s">
        <v>7942</v>
      </c>
    </row>
    <row r="199" spans="1:10" x14ac:dyDescent="0.25">
      <c r="A199" t="s">
        <v>8155</v>
      </c>
      <c r="B199">
        <v>4.8320000000000007</v>
      </c>
      <c r="C199" t="s">
        <v>8156</v>
      </c>
      <c r="D199" t="s">
        <v>8157</v>
      </c>
      <c r="E199" t="s">
        <v>8148</v>
      </c>
      <c r="F199" t="s">
        <v>7672</v>
      </c>
      <c r="G199" t="s">
        <v>8149</v>
      </c>
      <c r="H199" t="s">
        <v>8027</v>
      </c>
      <c r="I199" t="s">
        <v>8158</v>
      </c>
      <c r="J199" t="s">
        <v>7942</v>
      </c>
    </row>
    <row r="200" spans="1:10" x14ac:dyDescent="0.25">
      <c r="A200" t="s">
        <v>8159</v>
      </c>
      <c r="B200">
        <v>4.8320000000000007</v>
      </c>
      <c r="C200" t="s">
        <v>8160</v>
      </c>
      <c r="D200" t="s">
        <v>3110</v>
      </c>
      <c r="E200" t="s">
        <v>8148</v>
      </c>
      <c r="F200" t="s">
        <v>7672</v>
      </c>
      <c r="G200" t="s">
        <v>8149</v>
      </c>
      <c r="H200" t="s">
        <v>8027</v>
      </c>
      <c r="I200" t="s">
        <v>8161</v>
      </c>
      <c r="J200" t="s">
        <v>7942</v>
      </c>
    </row>
    <row r="201" spans="1:10" x14ac:dyDescent="0.25">
      <c r="A201" t="s">
        <v>8162</v>
      </c>
      <c r="B201">
        <v>4.8320000000000007</v>
      </c>
      <c r="C201" t="s">
        <v>8163</v>
      </c>
      <c r="D201" t="s">
        <v>8164</v>
      </c>
      <c r="E201" t="s">
        <v>8148</v>
      </c>
      <c r="F201" t="s">
        <v>7672</v>
      </c>
      <c r="G201" t="s">
        <v>8149</v>
      </c>
      <c r="H201" t="s">
        <v>8027</v>
      </c>
      <c r="I201" t="s">
        <v>8165</v>
      </c>
      <c r="J201" t="s">
        <v>7942</v>
      </c>
    </row>
    <row r="202" spans="1:10" x14ac:dyDescent="0.25">
      <c r="A202" t="s">
        <v>8166</v>
      </c>
      <c r="B202">
        <v>4.8320000000000007</v>
      </c>
      <c r="C202" t="s">
        <v>8167</v>
      </c>
      <c r="D202" t="s">
        <v>870</v>
      </c>
      <c r="E202" t="s">
        <v>8148</v>
      </c>
      <c r="F202" t="s">
        <v>7672</v>
      </c>
      <c r="G202" t="s">
        <v>8149</v>
      </c>
      <c r="H202" t="s">
        <v>8027</v>
      </c>
      <c r="I202" t="s">
        <v>8168</v>
      </c>
      <c r="J202" t="s">
        <v>7942</v>
      </c>
    </row>
    <row r="203" spans="1:10" x14ac:dyDescent="0.25">
      <c r="A203" t="s">
        <v>8169</v>
      </c>
      <c r="B203">
        <v>4.8320000000000007</v>
      </c>
      <c r="C203" t="s">
        <v>8170</v>
      </c>
      <c r="D203" t="s">
        <v>2056</v>
      </c>
      <c r="E203" t="s">
        <v>8148</v>
      </c>
      <c r="F203" t="s">
        <v>7672</v>
      </c>
      <c r="G203" t="s">
        <v>8149</v>
      </c>
      <c r="H203" t="s">
        <v>8027</v>
      </c>
      <c r="I203" t="s">
        <v>8171</v>
      </c>
      <c r="J203" t="s">
        <v>7942</v>
      </c>
    </row>
    <row r="204" spans="1:10" x14ac:dyDescent="0.25">
      <c r="A204" t="s">
        <v>8172</v>
      </c>
      <c r="B204">
        <v>4.8320000000000007</v>
      </c>
      <c r="C204" t="s">
        <v>8173</v>
      </c>
      <c r="D204" t="s">
        <v>8174</v>
      </c>
      <c r="E204" t="s">
        <v>8148</v>
      </c>
      <c r="F204" t="s">
        <v>7672</v>
      </c>
      <c r="G204" t="s">
        <v>8149</v>
      </c>
      <c r="H204" t="s">
        <v>8027</v>
      </c>
      <c r="I204" t="s">
        <v>8150</v>
      </c>
      <c r="J204" t="s">
        <v>7981</v>
      </c>
    </row>
    <row r="205" spans="1:10" x14ac:dyDescent="0.25">
      <c r="A205" t="s">
        <v>8175</v>
      </c>
      <c r="B205">
        <v>4.8320000000000007</v>
      </c>
      <c r="C205" t="s">
        <v>8176</v>
      </c>
      <c r="D205" t="s">
        <v>8177</v>
      </c>
      <c r="E205" t="s">
        <v>8148</v>
      </c>
      <c r="F205" t="s">
        <v>7672</v>
      </c>
      <c r="G205" t="s">
        <v>8149</v>
      </c>
      <c r="H205" t="s">
        <v>8027</v>
      </c>
      <c r="I205" t="s">
        <v>8154</v>
      </c>
      <c r="J205" t="s">
        <v>7981</v>
      </c>
    </row>
    <row r="206" spans="1:10" x14ac:dyDescent="0.25">
      <c r="A206" t="s">
        <v>8178</v>
      </c>
      <c r="B206">
        <v>4.8320000000000007</v>
      </c>
      <c r="C206" t="s">
        <v>8179</v>
      </c>
      <c r="D206" t="s">
        <v>8180</v>
      </c>
      <c r="E206" t="s">
        <v>8148</v>
      </c>
      <c r="F206" t="s">
        <v>7672</v>
      </c>
      <c r="G206" t="s">
        <v>8149</v>
      </c>
      <c r="H206" t="s">
        <v>8027</v>
      </c>
      <c r="I206" t="s">
        <v>8158</v>
      </c>
      <c r="J206" t="s">
        <v>7981</v>
      </c>
    </row>
    <row r="207" spans="1:10" x14ac:dyDescent="0.25">
      <c r="A207" t="s">
        <v>8181</v>
      </c>
      <c r="B207">
        <v>4.8320000000000007</v>
      </c>
      <c r="C207" t="s">
        <v>8182</v>
      </c>
      <c r="D207" t="s">
        <v>8183</v>
      </c>
      <c r="E207" t="s">
        <v>8148</v>
      </c>
      <c r="F207" t="s">
        <v>7672</v>
      </c>
      <c r="G207" t="s">
        <v>8149</v>
      </c>
      <c r="H207" t="s">
        <v>8027</v>
      </c>
      <c r="I207" t="s">
        <v>8184</v>
      </c>
      <c r="J207" t="s">
        <v>7981</v>
      </c>
    </row>
    <row r="208" spans="1:10" x14ac:dyDescent="0.25">
      <c r="A208" t="s">
        <v>8185</v>
      </c>
      <c r="B208">
        <v>4.8320000000000007</v>
      </c>
      <c r="C208" t="s">
        <v>8186</v>
      </c>
      <c r="D208" t="s">
        <v>926</v>
      </c>
      <c r="E208" t="s">
        <v>8148</v>
      </c>
      <c r="F208" t="s">
        <v>7672</v>
      </c>
      <c r="G208" t="s">
        <v>8149</v>
      </c>
      <c r="H208" t="s">
        <v>8027</v>
      </c>
      <c r="I208" t="s">
        <v>8187</v>
      </c>
      <c r="J208" t="s">
        <v>7981</v>
      </c>
    </row>
    <row r="209" spans="1:10" x14ac:dyDescent="0.25">
      <c r="A209" t="s">
        <v>8188</v>
      </c>
      <c r="B209">
        <v>4.8320000000000007</v>
      </c>
      <c r="C209" t="s">
        <v>8189</v>
      </c>
      <c r="D209" t="s">
        <v>8190</v>
      </c>
      <c r="E209" t="s">
        <v>8148</v>
      </c>
      <c r="F209" t="s">
        <v>7672</v>
      </c>
      <c r="G209" t="s">
        <v>8149</v>
      </c>
      <c r="H209" t="s">
        <v>8027</v>
      </c>
      <c r="I209" t="s">
        <v>8165</v>
      </c>
      <c r="J209" t="s">
        <v>7981</v>
      </c>
    </row>
    <row r="210" spans="1:10" x14ac:dyDescent="0.25">
      <c r="A210" t="s">
        <v>8191</v>
      </c>
      <c r="B210">
        <v>4.8320000000000007</v>
      </c>
      <c r="C210" t="s">
        <v>8192</v>
      </c>
      <c r="D210" t="s">
        <v>8193</v>
      </c>
      <c r="E210" t="s">
        <v>8148</v>
      </c>
      <c r="F210" t="s">
        <v>7672</v>
      </c>
      <c r="G210" t="s">
        <v>8149</v>
      </c>
      <c r="H210" t="s">
        <v>8027</v>
      </c>
      <c r="I210" t="s">
        <v>8194</v>
      </c>
      <c r="J210" t="s">
        <v>7981</v>
      </c>
    </row>
    <row r="211" spans="1:10" x14ac:dyDescent="0.25">
      <c r="A211" t="s">
        <v>8195</v>
      </c>
      <c r="B211">
        <v>4.8320000000000007</v>
      </c>
      <c r="C211" t="s">
        <v>8196</v>
      </c>
      <c r="D211" t="s">
        <v>8197</v>
      </c>
      <c r="E211" t="s">
        <v>8148</v>
      </c>
      <c r="F211" t="s">
        <v>7672</v>
      </c>
      <c r="G211" t="s">
        <v>8149</v>
      </c>
      <c r="H211" t="s">
        <v>8027</v>
      </c>
      <c r="I211" t="s">
        <v>8171</v>
      </c>
      <c r="J211" t="s">
        <v>7981</v>
      </c>
    </row>
    <row r="212" spans="1:10" x14ac:dyDescent="0.25">
      <c r="A212" t="s">
        <v>8198</v>
      </c>
      <c r="B212">
        <v>4.8320000000000007</v>
      </c>
      <c r="C212" t="s">
        <v>8199</v>
      </c>
      <c r="D212" t="s">
        <v>8200</v>
      </c>
      <c r="E212" t="s">
        <v>8148</v>
      </c>
      <c r="F212" t="s">
        <v>7672</v>
      </c>
      <c r="G212" t="s">
        <v>8149</v>
      </c>
      <c r="H212" t="s">
        <v>8027</v>
      </c>
      <c r="I212" t="s">
        <v>8201</v>
      </c>
      <c r="J212" t="s">
        <v>7981</v>
      </c>
    </row>
    <row r="213" spans="1:10" x14ac:dyDescent="0.25">
      <c r="A213" t="s">
        <v>8202</v>
      </c>
      <c r="B213">
        <v>4.8320000000000007</v>
      </c>
      <c r="C213" t="s">
        <v>8203</v>
      </c>
      <c r="D213" t="s">
        <v>8204</v>
      </c>
      <c r="E213" t="s">
        <v>8148</v>
      </c>
      <c r="F213" t="s">
        <v>7672</v>
      </c>
      <c r="G213" t="s">
        <v>8149</v>
      </c>
      <c r="H213" t="s">
        <v>8027</v>
      </c>
      <c r="I213" t="s">
        <v>8168</v>
      </c>
      <c r="J213" t="s">
        <v>7981</v>
      </c>
    </row>
    <row r="214" spans="1:10" x14ac:dyDescent="0.25">
      <c r="A214" t="s">
        <v>8205</v>
      </c>
      <c r="B214">
        <v>4.8320000000000007</v>
      </c>
      <c r="C214" t="s">
        <v>8206</v>
      </c>
      <c r="D214" t="s">
        <v>8207</v>
      </c>
      <c r="E214" t="s">
        <v>8148</v>
      </c>
      <c r="F214" t="s">
        <v>7672</v>
      </c>
      <c r="G214" t="s">
        <v>8149</v>
      </c>
      <c r="H214" t="s">
        <v>8027</v>
      </c>
      <c r="I214" t="s">
        <v>8208</v>
      </c>
      <c r="J214" t="s">
        <v>7981</v>
      </c>
    </row>
    <row r="215" spans="1:10" x14ac:dyDescent="0.25">
      <c r="A215" t="s">
        <v>8209</v>
      </c>
      <c r="B215">
        <v>4.8320000000000007</v>
      </c>
      <c r="C215" t="s">
        <v>8210</v>
      </c>
      <c r="D215" t="s">
        <v>776</v>
      </c>
      <c r="E215" t="s">
        <v>8148</v>
      </c>
      <c r="F215" t="s">
        <v>7672</v>
      </c>
      <c r="G215" t="s">
        <v>8149</v>
      </c>
      <c r="H215" t="s">
        <v>8027</v>
      </c>
      <c r="I215" t="s">
        <v>8211</v>
      </c>
      <c r="J215" t="s">
        <v>7981</v>
      </c>
    </row>
    <row r="216" spans="1:10" x14ac:dyDescent="0.25">
      <c r="A216" t="s">
        <v>8212</v>
      </c>
      <c r="B216">
        <v>4.8320000000000007</v>
      </c>
      <c r="C216" t="s">
        <v>8213</v>
      </c>
      <c r="D216" t="s">
        <v>100</v>
      </c>
      <c r="E216" t="s">
        <v>8148</v>
      </c>
      <c r="F216" t="s">
        <v>7672</v>
      </c>
      <c r="G216" t="s">
        <v>8149</v>
      </c>
      <c r="H216" t="s">
        <v>8027</v>
      </c>
      <c r="I216" t="s">
        <v>8214</v>
      </c>
      <c r="J216" t="s">
        <v>7981</v>
      </c>
    </row>
    <row r="217" spans="1:10" x14ac:dyDescent="0.25">
      <c r="A217" t="s">
        <v>8215</v>
      </c>
      <c r="B217">
        <v>4.8320000000000007</v>
      </c>
      <c r="C217" t="s">
        <v>8216</v>
      </c>
      <c r="D217" t="s">
        <v>8217</v>
      </c>
      <c r="E217" t="s">
        <v>8148</v>
      </c>
      <c r="F217" t="s">
        <v>7672</v>
      </c>
      <c r="G217" t="s">
        <v>8149</v>
      </c>
      <c r="H217" t="s">
        <v>8027</v>
      </c>
      <c r="I217" t="s">
        <v>8150</v>
      </c>
      <c r="J217" t="s">
        <v>7984</v>
      </c>
    </row>
    <row r="218" spans="1:10" x14ac:dyDescent="0.25">
      <c r="A218" t="s">
        <v>8218</v>
      </c>
      <c r="B218">
        <v>4.8320000000000007</v>
      </c>
      <c r="C218" t="s">
        <v>8219</v>
      </c>
      <c r="D218" t="s">
        <v>8220</v>
      </c>
      <c r="E218" t="s">
        <v>8148</v>
      </c>
      <c r="F218" t="s">
        <v>7672</v>
      </c>
      <c r="G218" t="s">
        <v>8149</v>
      </c>
      <c r="H218" t="s">
        <v>8027</v>
      </c>
      <c r="I218" t="s">
        <v>8154</v>
      </c>
      <c r="J218" t="s">
        <v>7984</v>
      </c>
    </row>
    <row r="219" spans="1:10" x14ac:dyDescent="0.25">
      <c r="A219" t="s">
        <v>8221</v>
      </c>
      <c r="B219">
        <v>4.8320000000000007</v>
      </c>
      <c r="C219" t="s">
        <v>8222</v>
      </c>
      <c r="D219" t="s">
        <v>8223</v>
      </c>
      <c r="E219" t="s">
        <v>8148</v>
      </c>
      <c r="F219" t="s">
        <v>7672</v>
      </c>
      <c r="G219" t="s">
        <v>8149</v>
      </c>
      <c r="H219" t="s">
        <v>8027</v>
      </c>
      <c r="I219" t="s">
        <v>8158</v>
      </c>
      <c r="J219" t="s">
        <v>7984</v>
      </c>
    </row>
    <row r="220" spans="1:10" x14ac:dyDescent="0.25">
      <c r="A220" t="s">
        <v>8224</v>
      </c>
      <c r="B220">
        <v>4.8320000000000007</v>
      </c>
      <c r="C220" t="s">
        <v>8225</v>
      </c>
      <c r="D220" t="s">
        <v>8226</v>
      </c>
      <c r="E220" t="s">
        <v>8148</v>
      </c>
      <c r="F220" t="s">
        <v>7672</v>
      </c>
      <c r="G220" t="s">
        <v>8149</v>
      </c>
      <c r="H220" t="s">
        <v>8027</v>
      </c>
      <c r="I220" t="s">
        <v>8165</v>
      </c>
      <c r="J220" t="s">
        <v>7984</v>
      </c>
    </row>
    <row r="221" spans="1:10" x14ac:dyDescent="0.25">
      <c r="A221" t="s">
        <v>8227</v>
      </c>
      <c r="B221">
        <v>4.8320000000000007</v>
      </c>
      <c r="C221" t="s">
        <v>8228</v>
      </c>
      <c r="D221" t="s">
        <v>8229</v>
      </c>
      <c r="E221" t="s">
        <v>8148</v>
      </c>
      <c r="F221" t="s">
        <v>7672</v>
      </c>
      <c r="G221" t="s">
        <v>8149</v>
      </c>
      <c r="H221" t="s">
        <v>8027</v>
      </c>
      <c r="I221" t="s">
        <v>8171</v>
      </c>
      <c r="J221" t="s">
        <v>7984</v>
      </c>
    </row>
    <row r="222" spans="1:10" x14ac:dyDescent="0.25">
      <c r="A222" t="s">
        <v>8230</v>
      </c>
      <c r="B222">
        <v>4.8320000000000007</v>
      </c>
      <c r="C222" t="s">
        <v>8231</v>
      </c>
      <c r="D222" t="s">
        <v>8232</v>
      </c>
      <c r="E222" t="s">
        <v>8148</v>
      </c>
      <c r="F222" t="s">
        <v>7672</v>
      </c>
      <c r="G222" t="s">
        <v>8149</v>
      </c>
      <c r="H222" t="s">
        <v>8027</v>
      </c>
      <c r="I222" t="s">
        <v>8168</v>
      </c>
      <c r="J222" t="s">
        <v>7984</v>
      </c>
    </row>
    <row r="223" spans="1:10" x14ac:dyDescent="0.25">
      <c r="A223" t="s">
        <v>8233</v>
      </c>
      <c r="B223">
        <v>4.8320000000000007</v>
      </c>
      <c r="C223" t="s">
        <v>8234</v>
      </c>
      <c r="D223" t="s">
        <v>8235</v>
      </c>
      <c r="E223" t="s">
        <v>8148</v>
      </c>
      <c r="F223" t="s">
        <v>7672</v>
      </c>
      <c r="G223" t="s">
        <v>8149</v>
      </c>
      <c r="H223" t="s">
        <v>8027</v>
      </c>
      <c r="I223" t="s">
        <v>8154</v>
      </c>
      <c r="J223" t="s">
        <v>7987</v>
      </c>
    </row>
    <row r="224" spans="1:10" x14ac:dyDescent="0.25">
      <c r="A224" t="s">
        <v>8236</v>
      </c>
      <c r="B224">
        <v>4.8320000000000007</v>
      </c>
      <c r="C224" t="s">
        <v>8237</v>
      </c>
      <c r="D224" t="s">
        <v>8238</v>
      </c>
      <c r="E224" t="s">
        <v>8148</v>
      </c>
      <c r="F224" t="s">
        <v>7672</v>
      </c>
      <c r="G224" t="s">
        <v>8149</v>
      </c>
      <c r="H224" t="s">
        <v>8027</v>
      </c>
      <c r="I224" t="s">
        <v>8158</v>
      </c>
      <c r="J224" t="s">
        <v>7987</v>
      </c>
    </row>
    <row r="225" spans="1:10" x14ac:dyDescent="0.25">
      <c r="A225" t="s">
        <v>8239</v>
      </c>
      <c r="B225">
        <v>4.8320000000000007</v>
      </c>
      <c r="C225" t="s">
        <v>8240</v>
      </c>
      <c r="D225" t="s">
        <v>245</v>
      </c>
      <c r="E225" t="s">
        <v>8148</v>
      </c>
      <c r="F225" t="s">
        <v>7672</v>
      </c>
      <c r="G225" t="s">
        <v>8149</v>
      </c>
      <c r="H225" t="s">
        <v>8027</v>
      </c>
      <c r="I225" t="s">
        <v>8165</v>
      </c>
      <c r="J225" t="s">
        <v>7987</v>
      </c>
    </row>
    <row r="226" spans="1:10" x14ac:dyDescent="0.25">
      <c r="A226" t="s">
        <v>8241</v>
      </c>
      <c r="B226">
        <v>4.8320000000000007</v>
      </c>
      <c r="C226" t="s">
        <v>8242</v>
      </c>
      <c r="D226" t="s">
        <v>8243</v>
      </c>
      <c r="E226" t="s">
        <v>8148</v>
      </c>
      <c r="F226" t="s">
        <v>7672</v>
      </c>
      <c r="G226" t="s">
        <v>8149</v>
      </c>
      <c r="H226" t="s">
        <v>8027</v>
      </c>
      <c r="I226" t="s">
        <v>8158</v>
      </c>
      <c r="J226" t="s">
        <v>8001</v>
      </c>
    </row>
    <row r="227" spans="1:10" x14ac:dyDescent="0.25">
      <c r="A227" t="s">
        <v>8244</v>
      </c>
      <c r="B227">
        <v>4.8320000000000007</v>
      </c>
      <c r="C227" t="s">
        <v>8245</v>
      </c>
      <c r="D227" t="s">
        <v>8246</v>
      </c>
      <c r="E227" t="s">
        <v>8148</v>
      </c>
      <c r="F227" t="s">
        <v>7672</v>
      </c>
      <c r="G227" t="s">
        <v>8149</v>
      </c>
      <c r="H227" t="s">
        <v>8027</v>
      </c>
      <c r="I227" t="s">
        <v>8158</v>
      </c>
      <c r="J227" t="s">
        <v>8013</v>
      </c>
    </row>
    <row r="228" spans="1:10" x14ac:dyDescent="0.25">
      <c r="A228" t="s">
        <v>8247</v>
      </c>
      <c r="B228">
        <v>4.8320000000000007</v>
      </c>
      <c r="C228" t="s">
        <v>8248</v>
      </c>
      <c r="D228" t="s">
        <v>1827</v>
      </c>
      <c r="E228" t="s">
        <v>8148</v>
      </c>
      <c r="F228" t="s">
        <v>7672</v>
      </c>
      <c r="G228" t="s">
        <v>8149</v>
      </c>
      <c r="H228" t="s">
        <v>8027</v>
      </c>
      <c r="I228" t="s">
        <v>8158</v>
      </c>
      <c r="J228" t="s">
        <v>8249</v>
      </c>
    </row>
    <row r="229" spans="1:10" x14ac:dyDescent="0.25">
      <c r="A229" t="s">
        <v>8250</v>
      </c>
      <c r="B229">
        <v>4.8320000000000007</v>
      </c>
      <c r="C229" t="s">
        <v>8251</v>
      </c>
      <c r="D229" t="s">
        <v>3470</v>
      </c>
      <c r="E229" t="s">
        <v>8148</v>
      </c>
      <c r="F229" t="s">
        <v>7672</v>
      </c>
      <c r="G229" t="s">
        <v>8149</v>
      </c>
      <c r="H229" t="s">
        <v>8027</v>
      </c>
      <c r="I229" t="s">
        <v>8252</v>
      </c>
      <c r="J229" t="s">
        <v>8249</v>
      </c>
    </row>
    <row r="230" spans="1:10" x14ac:dyDescent="0.25">
      <c r="A230" t="s">
        <v>8253</v>
      </c>
      <c r="B230">
        <v>4.8320000000000007</v>
      </c>
      <c r="C230" t="s">
        <v>8254</v>
      </c>
      <c r="D230" t="s">
        <v>74</v>
      </c>
      <c r="E230" t="s">
        <v>8148</v>
      </c>
      <c r="F230" t="s">
        <v>7672</v>
      </c>
      <c r="G230" t="s">
        <v>8149</v>
      </c>
      <c r="H230" t="s">
        <v>8027</v>
      </c>
      <c r="I230" t="s">
        <v>8201</v>
      </c>
      <c r="J230" t="s">
        <v>8249</v>
      </c>
    </row>
    <row r="231" spans="1:10" x14ac:dyDescent="0.25">
      <c r="A231" t="s">
        <v>8255</v>
      </c>
      <c r="B231">
        <v>4.8320000000000007</v>
      </c>
      <c r="C231" t="s">
        <v>8256</v>
      </c>
      <c r="D231" t="s">
        <v>2056</v>
      </c>
      <c r="E231" t="s">
        <v>8148</v>
      </c>
      <c r="F231" t="s">
        <v>7672</v>
      </c>
      <c r="G231" t="s">
        <v>8149</v>
      </c>
      <c r="H231" t="s">
        <v>8027</v>
      </c>
      <c r="I231" t="s">
        <v>8257</v>
      </c>
      <c r="J231" t="s">
        <v>8249</v>
      </c>
    </row>
    <row r="232" spans="1:10" x14ac:dyDescent="0.25">
      <c r="A232" t="s">
        <v>8258</v>
      </c>
      <c r="B232">
        <v>4.8320000000000007</v>
      </c>
      <c r="C232" t="s">
        <v>8259</v>
      </c>
      <c r="D232" t="s">
        <v>2072</v>
      </c>
      <c r="E232" t="s">
        <v>8148</v>
      </c>
      <c r="F232" t="s">
        <v>7672</v>
      </c>
      <c r="G232" t="s">
        <v>8149</v>
      </c>
      <c r="H232" t="s">
        <v>8027</v>
      </c>
      <c r="I232" t="s">
        <v>8184</v>
      </c>
      <c r="J232" t="s">
        <v>8249</v>
      </c>
    </row>
    <row r="233" spans="1:10" x14ac:dyDescent="0.25">
      <c r="A233" t="s">
        <v>8260</v>
      </c>
      <c r="B233">
        <v>4.8320000000000007</v>
      </c>
      <c r="C233" t="s">
        <v>8261</v>
      </c>
      <c r="D233" t="s">
        <v>8262</v>
      </c>
      <c r="E233" t="s">
        <v>8148</v>
      </c>
      <c r="F233" t="s">
        <v>7672</v>
      </c>
      <c r="G233" t="s">
        <v>8149</v>
      </c>
      <c r="H233" t="s">
        <v>8027</v>
      </c>
      <c r="I233" t="s">
        <v>8187</v>
      </c>
      <c r="J233" t="s">
        <v>8249</v>
      </c>
    </row>
    <row r="234" spans="1:10" x14ac:dyDescent="0.25">
      <c r="A234" t="s">
        <v>8263</v>
      </c>
      <c r="B234">
        <v>4.8320000000000007</v>
      </c>
      <c r="C234" t="s">
        <v>8264</v>
      </c>
      <c r="D234" t="s">
        <v>2317</v>
      </c>
      <c r="E234" t="s">
        <v>8148</v>
      </c>
      <c r="F234" t="s">
        <v>7672</v>
      </c>
      <c r="G234" t="s">
        <v>8149</v>
      </c>
      <c r="H234" t="s">
        <v>8027</v>
      </c>
      <c r="I234" t="s">
        <v>8194</v>
      </c>
      <c r="J234" t="s">
        <v>8249</v>
      </c>
    </row>
    <row r="235" spans="1:10" x14ac:dyDescent="0.25">
      <c r="A235" t="s">
        <v>8265</v>
      </c>
      <c r="B235">
        <v>4.8320000000000007</v>
      </c>
      <c r="C235" t="s">
        <v>8266</v>
      </c>
      <c r="D235" t="s">
        <v>306</v>
      </c>
      <c r="E235" t="s">
        <v>8148</v>
      </c>
      <c r="F235" t="s">
        <v>7672</v>
      </c>
      <c r="G235" t="s">
        <v>8149</v>
      </c>
      <c r="H235" t="s">
        <v>8027</v>
      </c>
      <c r="I235" t="s">
        <v>8267</v>
      </c>
      <c r="J235" t="s">
        <v>8249</v>
      </c>
    </row>
    <row r="236" spans="1:10" x14ac:dyDescent="0.25">
      <c r="A236" t="s">
        <v>8268</v>
      </c>
      <c r="B236">
        <v>4.8320000000000007</v>
      </c>
      <c r="C236" t="s">
        <v>8269</v>
      </c>
      <c r="D236" t="s">
        <v>3470</v>
      </c>
      <c r="E236" t="s">
        <v>8148</v>
      </c>
      <c r="F236" t="s">
        <v>7672</v>
      </c>
      <c r="G236" t="s">
        <v>8149</v>
      </c>
      <c r="H236" t="s">
        <v>8027</v>
      </c>
      <c r="I236" t="s">
        <v>8165</v>
      </c>
      <c r="J236" t="s">
        <v>8249</v>
      </c>
    </row>
    <row r="237" spans="1:10" x14ac:dyDescent="0.25">
      <c r="A237" t="s">
        <v>8270</v>
      </c>
      <c r="B237">
        <v>4.8320000000000007</v>
      </c>
      <c r="C237" t="s">
        <v>8271</v>
      </c>
      <c r="D237" t="s">
        <v>106</v>
      </c>
      <c r="E237" t="s">
        <v>8148</v>
      </c>
      <c r="F237" t="s">
        <v>7672</v>
      </c>
      <c r="G237" t="s">
        <v>8149</v>
      </c>
      <c r="H237" t="s">
        <v>8027</v>
      </c>
      <c r="I237" t="s">
        <v>8272</v>
      </c>
      <c r="J237" t="s">
        <v>8249</v>
      </c>
    </row>
    <row r="238" spans="1:10" x14ac:dyDescent="0.25">
      <c r="A238" t="s">
        <v>8273</v>
      </c>
      <c r="B238">
        <v>4.8320000000000007</v>
      </c>
      <c r="C238" t="s">
        <v>8274</v>
      </c>
      <c r="D238" t="s">
        <v>106</v>
      </c>
      <c r="E238" t="s">
        <v>8148</v>
      </c>
      <c r="F238" t="s">
        <v>7672</v>
      </c>
      <c r="G238" t="s">
        <v>8149</v>
      </c>
      <c r="H238" t="s">
        <v>8027</v>
      </c>
      <c r="I238" t="s">
        <v>8275</v>
      </c>
      <c r="J238" t="s">
        <v>8249</v>
      </c>
    </row>
    <row r="239" spans="1:10" x14ac:dyDescent="0.25">
      <c r="A239" t="s">
        <v>8276</v>
      </c>
      <c r="B239">
        <v>4.8320000000000007</v>
      </c>
      <c r="C239" t="s">
        <v>8277</v>
      </c>
      <c r="D239" t="s">
        <v>849</v>
      </c>
      <c r="E239" t="s">
        <v>8148</v>
      </c>
      <c r="F239" t="s">
        <v>7672</v>
      </c>
      <c r="G239" t="s">
        <v>8149</v>
      </c>
      <c r="H239" t="s">
        <v>8027</v>
      </c>
      <c r="I239" t="s">
        <v>8211</v>
      </c>
      <c r="J239" t="s">
        <v>8249</v>
      </c>
    </row>
    <row r="240" spans="1:10" x14ac:dyDescent="0.25">
      <c r="A240" t="s">
        <v>8278</v>
      </c>
      <c r="B240">
        <v>4.8320000000000007</v>
      </c>
      <c r="C240" t="s">
        <v>8279</v>
      </c>
      <c r="D240" t="s">
        <v>4011</v>
      </c>
      <c r="E240" t="s">
        <v>8148</v>
      </c>
      <c r="F240" t="s">
        <v>7672</v>
      </c>
      <c r="G240" t="s">
        <v>8149</v>
      </c>
      <c r="H240" t="s">
        <v>8027</v>
      </c>
      <c r="I240" t="s">
        <v>8158</v>
      </c>
      <c r="J240" t="s">
        <v>8280</v>
      </c>
    </row>
    <row r="241" spans="1:10" x14ac:dyDescent="0.25">
      <c r="A241" t="s">
        <v>8281</v>
      </c>
      <c r="B241">
        <v>4.8320000000000007</v>
      </c>
      <c r="C241" t="s">
        <v>8282</v>
      </c>
      <c r="D241" t="s">
        <v>124</v>
      </c>
      <c r="E241" t="s">
        <v>8148</v>
      </c>
      <c r="F241" t="s">
        <v>7672</v>
      </c>
      <c r="G241" t="s">
        <v>8149</v>
      </c>
      <c r="H241" t="s">
        <v>8027</v>
      </c>
      <c r="I241" t="s">
        <v>8252</v>
      </c>
      <c r="J241" t="s">
        <v>8280</v>
      </c>
    </row>
    <row r="242" spans="1:10" x14ac:dyDescent="0.25">
      <c r="A242" t="s">
        <v>8283</v>
      </c>
      <c r="B242">
        <v>4.8320000000000007</v>
      </c>
      <c r="C242" t="s">
        <v>8284</v>
      </c>
      <c r="D242" t="s">
        <v>124</v>
      </c>
      <c r="E242" t="s">
        <v>8148</v>
      </c>
      <c r="F242" t="s">
        <v>7672</v>
      </c>
      <c r="G242" t="s">
        <v>8149</v>
      </c>
      <c r="H242" t="s">
        <v>8027</v>
      </c>
      <c r="I242" t="s">
        <v>8201</v>
      </c>
      <c r="J242" t="s">
        <v>8280</v>
      </c>
    </row>
    <row r="243" spans="1:10" x14ac:dyDescent="0.25">
      <c r="A243" t="s">
        <v>8285</v>
      </c>
      <c r="B243">
        <v>4.8320000000000007</v>
      </c>
      <c r="C243" t="s">
        <v>8286</v>
      </c>
      <c r="D243" t="s">
        <v>933</v>
      </c>
      <c r="E243" t="s">
        <v>8148</v>
      </c>
      <c r="F243" t="s">
        <v>7672</v>
      </c>
      <c r="G243" t="s">
        <v>8149</v>
      </c>
      <c r="H243" t="s">
        <v>8027</v>
      </c>
      <c r="I243" t="s">
        <v>8194</v>
      </c>
      <c r="J243" t="s">
        <v>8280</v>
      </c>
    </row>
    <row r="244" spans="1:10" x14ac:dyDescent="0.25">
      <c r="A244" t="s">
        <v>8287</v>
      </c>
      <c r="B244">
        <v>4.8320000000000007</v>
      </c>
      <c r="C244" t="s">
        <v>8288</v>
      </c>
      <c r="D244" t="s">
        <v>199</v>
      </c>
      <c r="E244" t="s">
        <v>8148</v>
      </c>
      <c r="F244" t="s">
        <v>7672</v>
      </c>
      <c r="G244" t="s">
        <v>8149</v>
      </c>
      <c r="H244" t="s">
        <v>8027</v>
      </c>
      <c r="I244" t="s">
        <v>8165</v>
      </c>
      <c r="J244" t="s">
        <v>8280</v>
      </c>
    </row>
    <row r="245" spans="1:10" x14ac:dyDescent="0.25">
      <c r="A245" t="s">
        <v>8289</v>
      </c>
      <c r="B245">
        <v>4.8320000000000007</v>
      </c>
      <c r="C245" t="s">
        <v>8290</v>
      </c>
      <c r="D245" t="s">
        <v>835</v>
      </c>
      <c r="E245" t="s">
        <v>8148</v>
      </c>
      <c r="F245" t="s">
        <v>7672</v>
      </c>
      <c r="G245" t="s">
        <v>8149</v>
      </c>
      <c r="H245" t="s">
        <v>8027</v>
      </c>
      <c r="I245" t="s">
        <v>8211</v>
      </c>
      <c r="J245" t="s">
        <v>8280</v>
      </c>
    </row>
    <row r="246" spans="1:10" x14ac:dyDescent="0.25">
      <c r="A246" t="s">
        <v>8291</v>
      </c>
      <c r="B246">
        <v>4.8320000000000007</v>
      </c>
      <c r="C246" t="s">
        <v>8292</v>
      </c>
      <c r="D246" t="s">
        <v>124</v>
      </c>
      <c r="E246" t="s">
        <v>8148</v>
      </c>
      <c r="F246" t="s">
        <v>7672</v>
      </c>
      <c r="G246" t="s">
        <v>8149</v>
      </c>
      <c r="H246" t="s">
        <v>8027</v>
      </c>
      <c r="I246" t="s">
        <v>8158</v>
      </c>
      <c r="J246" t="s">
        <v>8293</v>
      </c>
    </row>
    <row r="247" spans="1:10" x14ac:dyDescent="0.25">
      <c r="A247" t="s">
        <v>8294</v>
      </c>
      <c r="B247">
        <v>4.8320000000000007</v>
      </c>
      <c r="C247" t="s">
        <v>8295</v>
      </c>
      <c r="D247" t="s">
        <v>255</v>
      </c>
      <c r="E247" t="s">
        <v>8148</v>
      </c>
      <c r="F247" t="s">
        <v>7672</v>
      </c>
      <c r="G247" t="s">
        <v>8149</v>
      </c>
      <c r="H247" t="s">
        <v>8027</v>
      </c>
      <c r="I247" t="s">
        <v>8201</v>
      </c>
      <c r="J247" t="s">
        <v>8293</v>
      </c>
    </row>
    <row r="248" spans="1:10" x14ac:dyDescent="0.25">
      <c r="A248" t="s">
        <v>8296</v>
      </c>
      <c r="B248">
        <v>4.8320000000000007</v>
      </c>
      <c r="C248" t="s">
        <v>8297</v>
      </c>
      <c r="D248" t="s">
        <v>450</v>
      </c>
      <c r="E248" t="s">
        <v>8148</v>
      </c>
      <c r="F248" t="s">
        <v>7672</v>
      </c>
      <c r="G248" t="s">
        <v>8149</v>
      </c>
      <c r="H248" t="s">
        <v>8027</v>
      </c>
      <c r="I248" t="s">
        <v>8194</v>
      </c>
      <c r="J248" t="s">
        <v>8293</v>
      </c>
    </row>
    <row r="249" spans="1:10" x14ac:dyDescent="0.25">
      <c r="A249" t="s">
        <v>8298</v>
      </c>
      <c r="B249">
        <v>9.6000000000000014</v>
      </c>
      <c r="C249" t="s">
        <v>8299</v>
      </c>
      <c r="D249" t="s">
        <v>3577</v>
      </c>
      <c r="E249" t="s">
        <v>1947</v>
      </c>
      <c r="F249" t="s">
        <v>7672</v>
      </c>
      <c r="G249" t="s">
        <v>8300</v>
      </c>
      <c r="H249" t="s">
        <v>8301</v>
      </c>
      <c r="I249" t="s">
        <v>8302</v>
      </c>
      <c r="J249" t="s">
        <v>7942</v>
      </c>
    </row>
    <row r="250" spans="1:10" x14ac:dyDescent="0.25">
      <c r="A250" t="s">
        <v>1944</v>
      </c>
      <c r="B250">
        <v>9.6000000000000014</v>
      </c>
      <c r="C250" t="s">
        <v>1946</v>
      </c>
      <c r="D250" t="s">
        <v>1949</v>
      </c>
      <c r="E250" t="s">
        <v>1947</v>
      </c>
      <c r="F250" t="s">
        <v>7672</v>
      </c>
      <c r="G250" t="s">
        <v>8300</v>
      </c>
      <c r="H250" t="s">
        <v>8301</v>
      </c>
      <c r="I250" t="s">
        <v>8302</v>
      </c>
      <c r="J250" t="s">
        <v>7981</v>
      </c>
    </row>
    <row r="251" spans="1:10" x14ac:dyDescent="0.25">
      <c r="A251" t="s">
        <v>8303</v>
      </c>
      <c r="B251">
        <v>9.6000000000000014</v>
      </c>
      <c r="C251" t="s">
        <v>8304</v>
      </c>
      <c r="D251" t="s">
        <v>100</v>
      </c>
      <c r="E251" t="s">
        <v>1947</v>
      </c>
      <c r="F251" t="s">
        <v>7672</v>
      </c>
      <c r="G251" t="s">
        <v>8300</v>
      </c>
      <c r="H251" t="s">
        <v>8301</v>
      </c>
      <c r="I251" t="s">
        <v>8305</v>
      </c>
      <c r="J251" t="s">
        <v>7981</v>
      </c>
    </row>
    <row r="252" spans="1:10" x14ac:dyDescent="0.25">
      <c r="A252" t="s">
        <v>1950</v>
      </c>
      <c r="B252">
        <v>9.6000000000000014</v>
      </c>
      <c r="C252" t="s">
        <v>1952</v>
      </c>
      <c r="D252" t="s">
        <v>1954</v>
      </c>
      <c r="E252" t="s">
        <v>1947</v>
      </c>
      <c r="F252" t="s">
        <v>7672</v>
      </c>
      <c r="G252" t="s">
        <v>8300</v>
      </c>
      <c r="H252" t="s">
        <v>8301</v>
      </c>
      <c r="I252" t="s">
        <v>8302</v>
      </c>
      <c r="J252" t="s">
        <v>7984</v>
      </c>
    </row>
    <row r="253" spans="1:10" x14ac:dyDescent="0.25">
      <c r="A253" t="s">
        <v>1955</v>
      </c>
      <c r="B253">
        <v>9.6000000000000014</v>
      </c>
      <c r="C253" t="s">
        <v>1957</v>
      </c>
      <c r="D253" t="s">
        <v>1959</v>
      </c>
      <c r="E253" t="s">
        <v>1947</v>
      </c>
      <c r="F253" t="s">
        <v>7672</v>
      </c>
      <c r="G253" t="s">
        <v>8300</v>
      </c>
      <c r="H253" t="s">
        <v>8301</v>
      </c>
      <c r="I253" t="s">
        <v>8302</v>
      </c>
      <c r="J253" t="s">
        <v>7987</v>
      </c>
    </row>
    <row r="254" spans="1:10" x14ac:dyDescent="0.25">
      <c r="A254" t="s">
        <v>8306</v>
      </c>
      <c r="B254">
        <v>9.6000000000000014</v>
      </c>
      <c r="C254" t="s">
        <v>8307</v>
      </c>
      <c r="D254" t="s">
        <v>131</v>
      </c>
      <c r="E254" t="s">
        <v>1947</v>
      </c>
      <c r="F254" t="s">
        <v>7672</v>
      </c>
      <c r="G254" t="s">
        <v>8300</v>
      </c>
      <c r="H254" t="s">
        <v>8301</v>
      </c>
      <c r="I254" t="s">
        <v>8305</v>
      </c>
      <c r="J254" t="s">
        <v>7987</v>
      </c>
    </row>
    <row r="255" spans="1:10" x14ac:dyDescent="0.25">
      <c r="A255" t="s">
        <v>8308</v>
      </c>
      <c r="B255">
        <v>9.6000000000000014</v>
      </c>
      <c r="C255" t="s">
        <v>8309</v>
      </c>
      <c r="D255" t="s">
        <v>8310</v>
      </c>
      <c r="E255" t="s">
        <v>1947</v>
      </c>
      <c r="F255" t="s">
        <v>7672</v>
      </c>
      <c r="G255" t="s">
        <v>8300</v>
      </c>
      <c r="H255" t="s">
        <v>8301</v>
      </c>
      <c r="I255" t="s">
        <v>8302</v>
      </c>
      <c r="J255" t="s">
        <v>8001</v>
      </c>
    </row>
    <row r="256" spans="1:10" x14ac:dyDescent="0.25">
      <c r="A256" t="s">
        <v>8311</v>
      </c>
      <c r="B256">
        <v>9.6000000000000014</v>
      </c>
      <c r="C256" t="s">
        <v>8312</v>
      </c>
      <c r="D256" t="s">
        <v>8313</v>
      </c>
      <c r="E256" t="s">
        <v>1947</v>
      </c>
      <c r="F256" t="s">
        <v>7672</v>
      </c>
      <c r="G256" t="s">
        <v>8300</v>
      </c>
      <c r="H256" t="s">
        <v>8301</v>
      </c>
      <c r="I256" t="s">
        <v>8314</v>
      </c>
      <c r="J256" t="s">
        <v>8001</v>
      </c>
    </row>
    <row r="257" spans="1:10" x14ac:dyDescent="0.25">
      <c r="A257" t="s">
        <v>8315</v>
      </c>
      <c r="B257">
        <v>9.6000000000000014</v>
      </c>
      <c r="C257" t="s">
        <v>8316</v>
      </c>
      <c r="D257" t="s">
        <v>311</v>
      </c>
      <c r="E257" t="s">
        <v>1947</v>
      </c>
      <c r="F257" t="s">
        <v>7672</v>
      </c>
      <c r="G257" t="s">
        <v>8300</v>
      </c>
      <c r="H257" t="s">
        <v>8301</v>
      </c>
      <c r="I257" t="s">
        <v>8317</v>
      </c>
      <c r="J257" t="s">
        <v>8001</v>
      </c>
    </row>
    <row r="258" spans="1:10" x14ac:dyDescent="0.25">
      <c r="A258" t="s">
        <v>8318</v>
      </c>
      <c r="B258">
        <v>9.6000000000000014</v>
      </c>
      <c r="C258" t="s">
        <v>8319</v>
      </c>
      <c r="D258" t="s">
        <v>3827</v>
      </c>
      <c r="E258" t="s">
        <v>1947</v>
      </c>
      <c r="F258" t="s">
        <v>7672</v>
      </c>
      <c r="G258" t="s">
        <v>8300</v>
      </c>
      <c r="H258" t="s">
        <v>8301</v>
      </c>
      <c r="I258" t="s">
        <v>8305</v>
      </c>
      <c r="J258" t="s">
        <v>8001</v>
      </c>
    </row>
    <row r="259" spans="1:10" x14ac:dyDescent="0.25">
      <c r="A259" t="s">
        <v>8320</v>
      </c>
      <c r="B259">
        <v>9.6000000000000014</v>
      </c>
      <c r="C259" t="s">
        <v>8321</v>
      </c>
      <c r="D259" t="s">
        <v>4584</v>
      </c>
      <c r="E259" t="s">
        <v>1947</v>
      </c>
      <c r="F259" t="s">
        <v>7672</v>
      </c>
      <c r="G259" t="s">
        <v>8300</v>
      </c>
      <c r="H259" t="s">
        <v>8301</v>
      </c>
      <c r="I259" t="s">
        <v>8302</v>
      </c>
      <c r="J259" t="s">
        <v>8013</v>
      </c>
    </row>
    <row r="260" spans="1:10" x14ac:dyDescent="0.25">
      <c r="A260" t="s">
        <v>8322</v>
      </c>
      <c r="B260">
        <v>9.6000000000000014</v>
      </c>
      <c r="C260" t="s">
        <v>8323</v>
      </c>
      <c r="D260" t="s">
        <v>2879</v>
      </c>
      <c r="E260" t="s">
        <v>1947</v>
      </c>
      <c r="F260" t="s">
        <v>7672</v>
      </c>
      <c r="G260" t="s">
        <v>8300</v>
      </c>
      <c r="H260" t="s">
        <v>8301</v>
      </c>
      <c r="I260" t="s">
        <v>8314</v>
      </c>
      <c r="J260" t="s">
        <v>8013</v>
      </c>
    </row>
    <row r="261" spans="1:10" x14ac:dyDescent="0.25">
      <c r="A261" t="s">
        <v>1960</v>
      </c>
      <c r="B261">
        <v>9.6000000000000014</v>
      </c>
      <c r="C261" t="s">
        <v>1962</v>
      </c>
      <c r="D261" t="s">
        <v>1965</v>
      </c>
      <c r="E261" t="s">
        <v>1963</v>
      </c>
      <c r="F261" t="s">
        <v>7672</v>
      </c>
      <c r="G261" t="s">
        <v>8324</v>
      </c>
      <c r="H261" t="s">
        <v>7954</v>
      </c>
      <c r="I261" t="s">
        <v>76</v>
      </c>
      <c r="J261" t="s">
        <v>7719</v>
      </c>
    </row>
    <row r="262" spans="1:10" x14ac:dyDescent="0.25">
      <c r="A262" t="s">
        <v>1968</v>
      </c>
      <c r="B262">
        <v>9.6000000000000014</v>
      </c>
      <c r="C262" t="s">
        <v>1970</v>
      </c>
      <c r="D262" t="s">
        <v>1972</v>
      </c>
      <c r="E262" t="s">
        <v>1963</v>
      </c>
      <c r="F262" t="s">
        <v>7672</v>
      </c>
      <c r="G262" t="s">
        <v>8324</v>
      </c>
      <c r="H262" t="s">
        <v>7954</v>
      </c>
      <c r="I262" t="s">
        <v>8325</v>
      </c>
      <c r="J262" t="s">
        <v>7719</v>
      </c>
    </row>
    <row r="263" spans="1:10" x14ac:dyDescent="0.25">
      <c r="A263" t="s">
        <v>1974</v>
      </c>
      <c r="B263">
        <v>9.6000000000000014</v>
      </c>
      <c r="C263" t="s">
        <v>1976</v>
      </c>
      <c r="D263" t="s">
        <v>379</v>
      </c>
      <c r="E263" t="s">
        <v>1963</v>
      </c>
      <c r="F263" t="s">
        <v>7672</v>
      </c>
      <c r="G263" t="s">
        <v>8324</v>
      </c>
      <c r="H263" t="s">
        <v>7954</v>
      </c>
      <c r="I263" t="s">
        <v>8325</v>
      </c>
      <c r="J263" t="s">
        <v>8326</v>
      </c>
    </row>
    <row r="264" spans="1:10" x14ac:dyDescent="0.25">
      <c r="A264" t="s">
        <v>1978</v>
      </c>
      <c r="B264">
        <v>9.6000000000000014</v>
      </c>
      <c r="C264" t="s">
        <v>1980</v>
      </c>
      <c r="D264" t="s">
        <v>926</v>
      </c>
      <c r="E264" t="s">
        <v>1963</v>
      </c>
      <c r="F264" t="s">
        <v>7672</v>
      </c>
      <c r="G264" t="s">
        <v>8324</v>
      </c>
      <c r="H264" t="s">
        <v>7954</v>
      </c>
      <c r="I264" t="s">
        <v>76</v>
      </c>
      <c r="J264" t="s">
        <v>8326</v>
      </c>
    </row>
    <row r="265" spans="1:10" x14ac:dyDescent="0.25">
      <c r="A265" t="s">
        <v>1982</v>
      </c>
      <c r="B265">
        <v>9.6000000000000014</v>
      </c>
      <c r="C265" t="s">
        <v>1984</v>
      </c>
      <c r="D265" t="s">
        <v>981</v>
      </c>
      <c r="E265" t="s">
        <v>1963</v>
      </c>
      <c r="F265" t="s">
        <v>7672</v>
      </c>
      <c r="G265" t="s">
        <v>8324</v>
      </c>
      <c r="H265" t="s">
        <v>7954</v>
      </c>
      <c r="I265" t="s">
        <v>8325</v>
      </c>
      <c r="J265" t="s">
        <v>8327</v>
      </c>
    </row>
    <row r="266" spans="1:10" x14ac:dyDescent="0.25">
      <c r="A266" t="s">
        <v>1986</v>
      </c>
      <c r="B266">
        <v>9.6000000000000014</v>
      </c>
      <c r="C266" t="s">
        <v>1988</v>
      </c>
      <c r="D266" t="s">
        <v>282</v>
      </c>
      <c r="E266" t="s">
        <v>1963</v>
      </c>
      <c r="F266" t="s">
        <v>7672</v>
      </c>
      <c r="G266" t="s">
        <v>8324</v>
      </c>
      <c r="H266" t="s">
        <v>7954</v>
      </c>
      <c r="I266" t="s">
        <v>76</v>
      </c>
      <c r="J266" t="s">
        <v>8327</v>
      </c>
    </row>
    <row r="267" spans="1:10" x14ac:dyDescent="0.25">
      <c r="A267" t="s">
        <v>8328</v>
      </c>
      <c r="B267">
        <v>25.992000000000001</v>
      </c>
      <c r="C267" t="s">
        <v>8329</v>
      </c>
      <c r="D267" t="s">
        <v>286</v>
      </c>
      <c r="E267" t="s">
        <v>1993</v>
      </c>
      <c r="F267" t="s">
        <v>7672</v>
      </c>
      <c r="G267" t="s">
        <v>8330</v>
      </c>
      <c r="H267" t="s">
        <v>8331</v>
      </c>
      <c r="I267" t="s">
        <v>1996</v>
      </c>
      <c r="J267" t="s">
        <v>106</v>
      </c>
    </row>
    <row r="268" spans="1:10" x14ac:dyDescent="0.25">
      <c r="A268" t="s">
        <v>8332</v>
      </c>
      <c r="B268">
        <v>25.992000000000001</v>
      </c>
      <c r="C268" t="s">
        <v>8333</v>
      </c>
      <c r="D268" t="s">
        <v>2322</v>
      </c>
      <c r="E268" t="s">
        <v>1993</v>
      </c>
      <c r="F268" t="s">
        <v>7672</v>
      </c>
      <c r="G268" t="s">
        <v>8330</v>
      </c>
      <c r="H268" t="s">
        <v>8331</v>
      </c>
      <c r="I268" t="s">
        <v>1996</v>
      </c>
      <c r="J268" t="s">
        <v>88</v>
      </c>
    </row>
    <row r="269" spans="1:10" x14ac:dyDescent="0.25">
      <c r="A269" t="s">
        <v>1990</v>
      </c>
      <c r="B269">
        <v>25.992000000000001</v>
      </c>
      <c r="C269" t="s">
        <v>1992</v>
      </c>
      <c r="D269" t="s">
        <v>1995</v>
      </c>
      <c r="E269" t="s">
        <v>1993</v>
      </c>
      <c r="F269" t="s">
        <v>7672</v>
      </c>
      <c r="G269" t="s">
        <v>8330</v>
      </c>
      <c r="H269" t="s">
        <v>8331</v>
      </c>
      <c r="I269" t="s">
        <v>1996</v>
      </c>
      <c r="J269" t="s">
        <v>131</v>
      </c>
    </row>
    <row r="270" spans="1:10" x14ac:dyDescent="0.25">
      <c r="A270" t="s">
        <v>8334</v>
      </c>
      <c r="B270">
        <v>25.992000000000001</v>
      </c>
      <c r="C270" t="s">
        <v>8335</v>
      </c>
      <c r="D270" t="s">
        <v>8336</v>
      </c>
      <c r="E270" t="s">
        <v>1993</v>
      </c>
      <c r="F270" t="s">
        <v>7672</v>
      </c>
      <c r="G270" t="s">
        <v>8330</v>
      </c>
      <c r="H270" t="s">
        <v>8331</v>
      </c>
      <c r="I270" t="s">
        <v>1996</v>
      </c>
      <c r="J270" t="s">
        <v>269</v>
      </c>
    </row>
    <row r="271" spans="1:10" x14ac:dyDescent="0.25">
      <c r="A271" t="s">
        <v>8337</v>
      </c>
      <c r="B271">
        <v>25.992000000000001</v>
      </c>
      <c r="C271" t="s">
        <v>8338</v>
      </c>
      <c r="D271" t="s">
        <v>2488</v>
      </c>
      <c r="E271" t="s">
        <v>1993</v>
      </c>
      <c r="F271" t="s">
        <v>7672</v>
      </c>
      <c r="G271" t="s">
        <v>8330</v>
      </c>
      <c r="H271" t="s">
        <v>8331</v>
      </c>
      <c r="I271" t="s">
        <v>1996</v>
      </c>
      <c r="J271" t="s">
        <v>576</v>
      </c>
    </row>
    <row r="272" spans="1:10" x14ac:dyDescent="0.25">
      <c r="A272" t="s">
        <v>1997</v>
      </c>
      <c r="B272">
        <v>25.992000000000001</v>
      </c>
      <c r="C272" t="s">
        <v>1999</v>
      </c>
      <c r="D272" t="s">
        <v>2001</v>
      </c>
      <c r="E272" t="s">
        <v>1993</v>
      </c>
      <c r="F272" t="s">
        <v>7672</v>
      </c>
      <c r="G272" t="s">
        <v>8330</v>
      </c>
      <c r="H272" t="s">
        <v>8331</v>
      </c>
      <c r="I272" t="s">
        <v>1996</v>
      </c>
      <c r="J272" t="s">
        <v>255</v>
      </c>
    </row>
    <row r="273" spans="1:10" x14ac:dyDescent="0.25">
      <c r="A273" t="s">
        <v>8339</v>
      </c>
      <c r="B273">
        <v>25.992000000000001</v>
      </c>
      <c r="C273" t="s">
        <v>8340</v>
      </c>
      <c r="D273" t="s">
        <v>986</v>
      </c>
      <c r="E273" t="s">
        <v>1993</v>
      </c>
      <c r="F273" t="s">
        <v>7672</v>
      </c>
      <c r="G273" t="s">
        <v>8330</v>
      </c>
      <c r="H273" t="s">
        <v>8331</v>
      </c>
      <c r="I273" t="s">
        <v>1996</v>
      </c>
      <c r="J273" t="s">
        <v>282</v>
      </c>
    </row>
    <row r="274" spans="1:10" x14ac:dyDescent="0.25">
      <c r="A274" t="s">
        <v>8341</v>
      </c>
      <c r="B274">
        <v>5.7600000000000007</v>
      </c>
      <c r="C274" t="s">
        <v>8342</v>
      </c>
      <c r="D274" t="s">
        <v>8343</v>
      </c>
      <c r="E274" t="s">
        <v>8344</v>
      </c>
      <c r="F274" t="s">
        <v>7672</v>
      </c>
      <c r="G274" t="s">
        <v>8345</v>
      </c>
      <c r="H274" t="s">
        <v>7674</v>
      </c>
      <c r="I274" t="s">
        <v>8346</v>
      </c>
      <c r="J274" t="s">
        <v>8347</v>
      </c>
    </row>
    <row r="275" spans="1:10" x14ac:dyDescent="0.25">
      <c r="A275" t="s">
        <v>8348</v>
      </c>
      <c r="B275">
        <v>5.7600000000000007</v>
      </c>
      <c r="C275" t="s">
        <v>8349</v>
      </c>
      <c r="D275" t="s">
        <v>8350</v>
      </c>
      <c r="E275" t="s">
        <v>8344</v>
      </c>
      <c r="F275" t="s">
        <v>7672</v>
      </c>
      <c r="G275" t="s">
        <v>8345</v>
      </c>
      <c r="H275" t="s">
        <v>7674</v>
      </c>
      <c r="I275" t="s">
        <v>1490</v>
      </c>
      <c r="J275" t="s">
        <v>8347</v>
      </c>
    </row>
    <row r="276" spans="1:10" x14ac:dyDescent="0.25">
      <c r="A276" t="s">
        <v>8351</v>
      </c>
      <c r="B276">
        <v>5.7600000000000007</v>
      </c>
      <c r="C276" t="s">
        <v>8352</v>
      </c>
      <c r="D276" t="s">
        <v>8353</v>
      </c>
      <c r="E276" t="s">
        <v>8344</v>
      </c>
      <c r="F276" t="s">
        <v>7672</v>
      </c>
      <c r="G276" t="s">
        <v>8345</v>
      </c>
      <c r="H276" t="s">
        <v>7674</v>
      </c>
      <c r="I276" t="s">
        <v>5986</v>
      </c>
      <c r="J276" t="s">
        <v>8347</v>
      </c>
    </row>
    <row r="277" spans="1:10" x14ac:dyDescent="0.25">
      <c r="A277" t="s">
        <v>8354</v>
      </c>
      <c r="B277">
        <v>5.7600000000000007</v>
      </c>
      <c r="C277" t="s">
        <v>8355</v>
      </c>
      <c r="D277" t="s">
        <v>8356</v>
      </c>
      <c r="E277" t="s">
        <v>8344</v>
      </c>
      <c r="F277" t="s">
        <v>7672</v>
      </c>
      <c r="G277" t="s">
        <v>8345</v>
      </c>
      <c r="H277" t="s">
        <v>7674</v>
      </c>
      <c r="I277" t="s">
        <v>8357</v>
      </c>
      <c r="J277" t="s">
        <v>8347</v>
      </c>
    </row>
    <row r="278" spans="1:10" x14ac:dyDescent="0.25">
      <c r="A278" t="s">
        <v>8358</v>
      </c>
      <c r="B278">
        <v>5.7600000000000007</v>
      </c>
      <c r="C278" t="s">
        <v>8359</v>
      </c>
      <c r="D278" t="s">
        <v>8360</v>
      </c>
      <c r="E278" t="s">
        <v>8344</v>
      </c>
      <c r="F278" t="s">
        <v>7672</v>
      </c>
      <c r="G278" t="s">
        <v>8345</v>
      </c>
      <c r="H278" t="s">
        <v>7674</v>
      </c>
      <c r="I278" t="s">
        <v>2496</v>
      </c>
      <c r="J278" t="s">
        <v>8347</v>
      </c>
    </row>
    <row r="279" spans="1:10" x14ac:dyDescent="0.25">
      <c r="A279" t="s">
        <v>8361</v>
      </c>
      <c r="B279">
        <v>5.7600000000000007</v>
      </c>
      <c r="C279" t="s">
        <v>8362</v>
      </c>
      <c r="D279" t="s">
        <v>8363</v>
      </c>
      <c r="E279" t="s">
        <v>8344</v>
      </c>
      <c r="F279" t="s">
        <v>7672</v>
      </c>
      <c r="G279" t="s">
        <v>8345</v>
      </c>
      <c r="H279" t="s">
        <v>7674</v>
      </c>
      <c r="I279" t="s">
        <v>8346</v>
      </c>
      <c r="J279" t="s">
        <v>8364</v>
      </c>
    </row>
    <row r="280" spans="1:10" x14ac:dyDescent="0.25">
      <c r="A280" t="s">
        <v>8365</v>
      </c>
      <c r="B280">
        <v>5.7600000000000007</v>
      </c>
      <c r="C280" t="s">
        <v>8366</v>
      </c>
      <c r="D280" t="s">
        <v>8367</v>
      </c>
      <c r="E280" t="s">
        <v>8344</v>
      </c>
      <c r="F280" t="s">
        <v>7672</v>
      </c>
      <c r="G280" t="s">
        <v>8345</v>
      </c>
      <c r="H280" t="s">
        <v>7674</v>
      </c>
      <c r="I280" t="s">
        <v>1490</v>
      </c>
      <c r="J280" t="s">
        <v>8364</v>
      </c>
    </row>
    <row r="281" spans="1:10" x14ac:dyDescent="0.25">
      <c r="A281" t="s">
        <v>8368</v>
      </c>
      <c r="B281">
        <v>5.7600000000000007</v>
      </c>
      <c r="C281" t="s">
        <v>8369</v>
      </c>
      <c r="D281" t="s">
        <v>8370</v>
      </c>
      <c r="E281" t="s">
        <v>8344</v>
      </c>
      <c r="F281" t="s">
        <v>7672</v>
      </c>
      <c r="G281" t="s">
        <v>8345</v>
      </c>
      <c r="H281" t="s">
        <v>7674</v>
      </c>
      <c r="I281" t="s">
        <v>8357</v>
      </c>
      <c r="J281" t="s">
        <v>8364</v>
      </c>
    </row>
    <row r="282" spans="1:10" x14ac:dyDescent="0.25">
      <c r="A282" t="s">
        <v>8371</v>
      </c>
      <c r="B282">
        <v>5.7600000000000007</v>
      </c>
      <c r="C282" t="s">
        <v>8372</v>
      </c>
      <c r="D282" t="s">
        <v>8373</v>
      </c>
      <c r="E282" t="s">
        <v>8344</v>
      </c>
      <c r="F282" t="s">
        <v>7672</v>
      </c>
      <c r="G282" t="s">
        <v>8345</v>
      </c>
      <c r="H282" t="s">
        <v>7674</v>
      </c>
      <c r="I282" t="s">
        <v>5986</v>
      </c>
      <c r="J282" t="s">
        <v>8364</v>
      </c>
    </row>
    <row r="283" spans="1:10" x14ac:dyDescent="0.25">
      <c r="A283" t="s">
        <v>8374</v>
      </c>
      <c r="B283">
        <v>5.7600000000000007</v>
      </c>
      <c r="C283" t="s">
        <v>8375</v>
      </c>
      <c r="D283" t="s">
        <v>8376</v>
      </c>
      <c r="E283" t="s">
        <v>8344</v>
      </c>
      <c r="F283" t="s">
        <v>7672</v>
      </c>
      <c r="G283" t="s">
        <v>8345</v>
      </c>
      <c r="H283" t="s">
        <v>7674</v>
      </c>
      <c r="I283" t="s">
        <v>2496</v>
      </c>
      <c r="J283" t="s">
        <v>8364</v>
      </c>
    </row>
    <row r="284" spans="1:10" x14ac:dyDescent="0.25">
      <c r="A284" t="s">
        <v>8377</v>
      </c>
      <c r="B284">
        <v>5.7600000000000007</v>
      </c>
      <c r="C284" t="s">
        <v>8378</v>
      </c>
      <c r="D284" t="s">
        <v>53</v>
      </c>
      <c r="E284" t="s">
        <v>8344</v>
      </c>
      <c r="F284" t="s">
        <v>7672</v>
      </c>
      <c r="G284" t="s">
        <v>8345</v>
      </c>
      <c r="H284" t="s">
        <v>7674</v>
      </c>
      <c r="I284" t="s">
        <v>1490</v>
      </c>
      <c r="J284" t="s">
        <v>8379</v>
      </c>
    </row>
    <row r="285" spans="1:10" x14ac:dyDescent="0.25">
      <c r="A285" t="s">
        <v>8380</v>
      </c>
      <c r="B285">
        <v>5.7600000000000007</v>
      </c>
      <c r="C285" t="s">
        <v>8381</v>
      </c>
      <c r="D285" t="s">
        <v>8382</v>
      </c>
      <c r="E285" t="s">
        <v>8344</v>
      </c>
      <c r="F285" t="s">
        <v>7672</v>
      </c>
      <c r="G285" t="s">
        <v>8345</v>
      </c>
      <c r="H285" t="s">
        <v>7674</v>
      </c>
      <c r="I285" t="s">
        <v>2496</v>
      </c>
      <c r="J285" t="s">
        <v>8379</v>
      </c>
    </row>
    <row r="286" spans="1:10" x14ac:dyDescent="0.25">
      <c r="A286" t="s">
        <v>8383</v>
      </c>
      <c r="B286">
        <v>2.3919999999999999</v>
      </c>
      <c r="C286" t="s">
        <v>8384</v>
      </c>
      <c r="D286" t="s">
        <v>8385</v>
      </c>
      <c r="E286" t="s">
        <v>8386</v>
      </c>
      <c r="F286" t="s">
        <v>7672</v>
      </c>
      <c r="G286" t="s">
        <v>8387</v>
      </c>
      <c r="H286" t="s">
        <v>7674</v>
      </c>
      <c r="I286" t="s">
        <v>6928</v>
      </c>
      <c r="J286" t="s">
        <v>7981</v>
      </c>
    </row>
    <row r="287" spans="1:10" x14ac:dyDescent="0.25">
      <c r="A287" t="s">
        <v>8388</v>
      </c>
      <c r="B287">
        <v>2.3919999999999999</v>
      </c>
      <c r="C287" t="s">
        <v>8389</v>
      </c>
      <c r="D287" t="s">
        <v>234</v>
      </c>
      <c r="E287" t="s">
        <v>8386</v>
      </c>
      <c r="F287" t="s">
        <v>7672</v>
      </c>
      <c r="G287" t="s">
        <v>8387</v>
      </c>
      <c r="H287" t="s">
        <v>7674</v>
      </c>
      <c r="I287" t="s">
        <v>8390</v>
      </c>
      <c r="J287" t="s">
        <v>7984</v>
      </c>
    </row>
    <row r="288" spans="1:10" x14ac:dyDescent="0.25">
      <c r="A288" t="s">
        <v>8391</v>
      </c>
      <c r="B288">
        <v>2.3919999999999999</v>
      </c>
      <c r="C288" t="s">
        <v>8392</v>
      </c>
      <c r="D288" t="s">
        <v>8393</v>
      </c>
      <c r="E288" t="s">
        <v>8386</v>
      </c>
      <c r="F288" t="s">
        <v>7672</v>
      </c>
      <c r="G288" t="s">
        <v>8387</v>
      </c>
      <c r="H288" t="s">
        <v>7674</v>
      </c>
      <c r="I288" t="s">
        <v>6928</v>
      </c>
      <c r="J288" t="s">
        <v>7984</v>
      </c>
    </row>
    <row r="289" spans="1:10" x14ac:dyDescent="0.25">
      <c r="A289" t="s">
        <v>8394</v>
      </c>
      <c r="B289">
        <v>2.3919999999999999</v>
      </c>
      <c r="C289" t="s">
        <v>8395</v>
      </c>
      <c r="D289" t="s">
        <v>4136</v>
      </c>
      <c r="E289" t="s">
        <v>8386</v>
      </c>
      <c r="F289" t="s">
        <v>7672</v>
      </c>
      <c r="G289" t="s">
        <v>8387</v>
      </c>
      <c r="H289" t="s">
        <v>7674</v>
      </c>
      <c r="I289" t="s">
        <v>8396</v>
      </c>
      <c r="J289" t="s">
        <v>7984</v>
      </c>
    </row>
    <row r="290" spans="1:10" x14ac:dyDescent="0.25">
      <c r="A290" t="s">
        <v>8397</v>
      </c>
      <c r="B290">
        <v>2.3919999999999999</v>
      </c>
      <c r="C290" t="s">
        <v>8398</v>
      </c>
      <c r="D290" t="s">
        <v>7901</v>
      </c>
      <c r="E290" t="s">
        <v>8386</v>
      </c>
      <c r="F290" t="s">
        <v>7672</v>
      </c>
      <c r="G290" t="s">
        <v>8387</v>
      </c>
      <c r="H290" t="s">
        <v>7674</v>
      </c>
      <c r="I290" t="s">
        <v>8399</v>
      </c>
      <c r="J290" t="s">
        <v>7987</v>
      </c>
    </row>
    <row r="291" spans="1:10" x14ac:dyDescent="0.25">
      <c r="A291" t="s">
        <v>8400</v>
      </c>
      <c r="B291">
        <v>2.3919999999999999</v>
      </c>
      <c r="C291" t="s">
        <v>8401</v>
      </c>
      <c r="D291" t="s">
        <v>8313</v>
      </c>
      <c r="E291" t="s">
        <v>8386</v>
      </c>
      <c r="F291" t="s">
        <v>7672</v>
      </c>
      <c r="G291" t="s">
        <v>8387</v>
      </c>
      <c r="H291" t="s">
        <v>7674</v>
      </c>
      <c r="I291" t="s">
        <v>8402</v>
      </c>
      <c r="J291" t="s">
        <v>7987</v>
      </c>
    </row>
    <row r="292" spans="1:10" x14ac:dyDescent="0.25">
      <c r="A292" t="s">
        <v>8403</v>
      </c>
      <c r="B292">
        <v>2.3919999999999999</v>
      </c>
      <c r="C292" t="s">
        <v>8404</v>
      </c>
      <c r="D292" t="s">
        <v>7750</v>
      </c>
      <c r="E292" t="s">
        <v>8386</v>
      </c>
      <c r="F292" t="s">
        <v>7672</v>
      </c>
      <c r="G292" t="s">
        <v>8387</v>
      </c>
      <c r="H292" t="s">
        <v>7674</v>
      </c>
      <c r="I292" t="s">
        <v>8390</v>
      </c>
      <c r="J292" t="s">
        <v>7987</v>
      </c>
    </row>
    <row r="293" spans="1:10" x14ac:dyDescent="0.25">
      <c r="A293" t="s">
        <v>8405</v>
      </c>
      <c r="B293">
        <v>2.3919999999999999</v>
      </c>
      <c r="C293" t="s">
        <v>8406</v>
      </c>
      <c r="D293" t="s">
        <v>8407</v>
      </c>
      <c r="E293" t="s">
        <v>8386</v>
      </c>
      <c r="F293" t="s">
        <v>7672</v>
      </c>
      <c r="G293" t="s">
        <v>8387</v>
      </c>
      <c r="H293" t="s">
        <v>7674</v>
      </c>
      <c r="I293" t="s">
        <v>6928</v>
      </c>
      <c r="J293" t="s">
        <v>7987</v>
      </c>
    </row>
    <row r="294" spans="1:10" x14ac:dyDescent="0.25">
      <c r="A294" t="s">
        <v>8408</v>
      </c>
      <c r="B294">
        <v>2.3919999999999999</v>
      </c>
      <c r="C294" t="s">
        <v>8409</v>
      </c>
      <c r="D294" t="s">
        <v>8410</v>
      </c>
      <c r="E294" t="s">
        <v>8386</v>
      </c>
      <c r="F294" t="s">
        <v>7672</v>
      </c>
      <c r="G294" t="s">
        <v>8387</v>
      </c>
      <c r="H294" t="s">
        <v>7674</v>
      </c>
      <c r="I294" t="s">
        <v>8396</v>
      </c>
      <c r="J294" t="s">
        <v>7987</v>
      </c>
    </row>
    <row r="295" spans="1:10" x14ac:dyDescent="0.25">
      <c r="A295" t="s">
        <v>8411</v>
      </c>
      <c r="B295">
        <v>2.3919999999999999</v>
      </c>
      <c r="C295" t="s">
        <v>8412</v>
      </c>
      <c r="D295" t="s">
        <v>8413</v>
      </c>
      <c r="E295" t="s">
        <v>8386</v>
      </c>
      <c r="F295" t="s">
        <v>7672</v>
      </c>
      <c r="G295" t="s">
        <v>8387</v>
      </c>
      <c r="H295" t="s">
        <v>7674</v>
      </c>
      <c r="I295" t="s">
        <v>6928</v>
      </c>
      <c r="J295" t="s">
        <v>8001</v>
      </c>
    </row>
    <row r="296" spans="1:10" x14ac:dyDescent="0.25">
      <c r="A296" t="s">
        <v>8414</v>
      </c>
      <c r="B296">
        <v>2.3919999999999999</v>
      </c>
      <c r="C296" t="s">
        <v>8415</v>
      </c>
      <c r="D296" t="s">
        <v>60</v>
      </c>
      <c r="E296" t="s">
        <v>8386</v>
      </c>
      <c r="F296" t="s">
        <v>7672</v>
      </c>
      <c r="G296" t="s">
        <v>8387</v>
      </c>
      <c r="H296" t="s">
        <v>7674</v>
      </c>
      <c r="I296" t="s">
        <v>8390</v>
      </c>
      <c r="J296" t="s">
        <v>8001</v>
      </c>
    </row>
    <row r="297" spans="1:10" x14ac:dyDescent="0.25">
      <c r="A297" t="s">
        <v>8416</v>
      </c>
      <c r="B297">
        <v>2.3919999999999999</v>
      </c>
      <c r="C297" t="s">
        <v>8417</v>
      </c>
      <c r="D297" t="s">
        <v>3832</v>
      </c>
      <c r="E297" t="s">
        <v>8386</v>
      </c>
      <c r="F297" t="s">
        <v>7672</v>
      </c>
      <c r="G297" t="s">
        <v>8387</v>
      </c>
      <c r="H297" t="s">
        <v>7674</v>
      </c>
      <c r="I297" t="s">
        <v>6928</v>
      </c>
      <c r="J297" t="s">
        <v>8418</v>
      </c>
    </row>
    <row r="298" spans="1:10" x14ac:dyDescent="0.25">
      <c r="A298" t="s">
        <v>8419</v>
      </c>
      <c r="B298">
        <v>2.3919999999999999</v>
      </c>
      <c r="C298" t="s">
        <v>8420</v>
      </c>
      <c r="D298" t="s">
        <v>8421</v>
      </c>
      <c r="E298" t="s">
        <v>8386</v>
      </c>
      <c r="F298" t="s">
        <v>7672</v>
      </c>
      <c r="G298" t="s">
        <v>8387</v>
      </c>
      <c r="H298" t="s">
        <v>7674</v>
      </c>
      <c r="I298" t="s">
        <v>6928</v>
      </c>
      <c r="J298" t="s">
        <v>8422</v>
      </c>
    </row>
    <row r="299" spans="1:10" x14ac:dyDescent="0.25">
      <c r="A299" t="s">
        <v>8423</v>
      </c>
      <c r="B299">
        <v>5.4960000000000004</v>
      </c>
      <c r="C299" t="s">
        <v>8424</v>
      </c>
      <c r="D299" t="s">
        <v>941</v>
      </c>
      <c r="E299" t="s">
        <v>8425</v>
      </c>
      <c r="F299" t="s">
        <v>7672</v>
      </c>
      <c r="G299" t="s">
        <v>8426</v>
      </c>
      <c r="H299" t="s">
        <v>8027</v>
      </c>
      <c r="I299" t="s">
        <v>76</v>
      </c>
      <c r="J299" t="s">
        <v>8427</v>
      </c>
    </row>
    <row r="300" spans="1:10" x14ac:dyDescent="0.25">
      <c r="A300" t="s">
        <v>8428</v>
      </c>
      <c r="B300">
        <v>5.4960000000000004</v>
      </c>
      <c r="C300" t="s">
        <v>8429</v>
      </c>
      <c r="D300" t="s">
        <v>2376</v>
      </c>
      <c r="E300" t="s">
        <v>8425</v>
      </c>
      <c r="F300" t="s">
        <v>7672</v>
      </c>
      <c r="G300" t="s">
        <v>8426</v>
      </c>
      <c r="H300" t="s">
        <v>8027</v>
      </c>
      <c r="I300" t="s">
        <v>8194</v>
      </c>
      <c r="J300" t="s">
        <v>8427</v>
      </c>
    </row>
    <row r="301" spans="1:10" x14ac:dyDescent="0.25">
      <c r="A301" t="s">
        <v>8430</v>
      </c>
      <c r="B301">
        <v>5.4960000000000004</v>
      </c>
      <c r="C301" t="s">
        <v>8431</v>
      </c>
      <c r="D301" t="s">
        <v>8432</v>
      </c>
      <c r="E301" t="s">
        <v>8425</v>
      </c>
      <c r="F301" t="s">
        <v>7672</v>
      </c>
      <c r="G301" t="s">
        <v>8426</v>
      </c>
      <c r="H301" t="s">
        <v>8027</v>
      </c>
      <c r="I301" t="s">
        <v>8275</v>
      </c>
      <c r="J301" t="s">
        <v>8427</v>
      </c>
    </row>
    <row r="302" spans="1:10" x14ac:dyDescent="0.25">
      <c r="A302" t="s">
        <v>8433</v>
      </c>
      <c r="B302">
        <v>5.4960000000000004</v>
      </c>
      <c r="C302" t="s">
        <v>8434</v>
      </c>
      <c r="D302" t="s">
        <v>8435</v>
      </c>
      <c r="E302" t="s">
        <v>8425</v>
      </c>
      <c r="F302" t="s">
        <v>7672</v>
      </c>
      <c r="G302" t="s">
        <v>8426</v>
      </c>
      <c r="H302" t="s">
        <v>8027</v>
      </c>
      <c r="I302" t="s">
        <v>8436</v>
      </c>
      <c r="J302" t="s">
        <v>8427</v>
      </c>
    </row>
    <row r="303" spans="1:10" x14ac:dyDescent="0.25">
      <c r="A303" t="s">
        <v>8437</v>
      </c>
      <c r="B303">
        <v>5.4960000000000004</v>
      </c>
      <c r="C303" t="s">
        <v>8438</v>
      </c>
      <c r="D303" t="s">
        <v>791</v>
      </c>
      <c r="E303" t="s">
        <v>8425</v>
      </c>
      <c r="F303" t="s">
        <v>7672</v>
      </c>
      <c r="G303" t="s">
        <v>8426</v>
      </c>
      <c r="H303" t="s">
        <v>8027</v>
      </c>
      <c r="I303" t="s">
        <v>76</v>
      </c>
      <c r="J303" t="s">
        <v>8439</v>
      </c>
    </row>
    <row r="304" spans="1:10" x14ac:dyDescent="0.25">
      <c r="A304" t="s">
        <v>8440</v>
      </c>
      <c r="B304">
        <v>5.4960000000000004</v>
      </c>
      <c r="C304" t="s">
        <v>8441</v>
      </c>
      <c r="D304" t="s">
        <v>6883</v>
      </c>
      <c r="E304" t="s">
        <v>8425</v>
      </c>
      <c r="F304" t="s">
        <v>7672</v>
      </c>
      <c r="G304" t="s">
        <v>8426</v>
      </c>
      <c r="H304" t="s">
        <v>8027</v>
      </c>
      <c r="I304" t="s">
        <v>8194</v>
      </c>
      <c r="J304" t="s">
        <v>8439</v>
      </c>
    </row>
    <row r="305" spans="1:10" x14ac:dyDescent="0.25">
      <c r="A305" t="s">
        <v>8442</v>
      </c>
      <c r="B305">
        <v>5.4960000000000004</v>
      </c>
      <c r="C305" t="s">
        <v>8443</v>
      </c>
      <c r="D305" t="s">
        <v>8444</v>
      </c>
      <c r="E305" t="s">
        <v>8425</v>
      </c>
      <c r="F305" t="s">
        <v>7672</v>
      </c>
      <c r="G305" t="s">
        <v>8426</v>
      </c>
      <c r="H305" t="s">
        <v>8027</v>
      </c>
      <c r="I305" t="s">
        <v>8436</v>
      </c>
      <c r="J305" t="s">
        <v>8439</v>
      </c>
    </row>
    <row r="306" spans="1:10" x14ac:dyDescent="0.25">
      <c r="A306" t="s">
        <v>8445</v>
      </c>
      <c r="B306">
        <v>5.4960000000000004</v>
      </c>
      <c r="C306" t="s">
        <v>8446</v>
      </c>
      <c r="D306" t="s">
        <v>8447</v>
      </c>
      <c r="E306" t="s">
        <v>8425</v>
      </c>
      <c r="F306" t="s">
        <v>7672</v>
      </c>
      <c r="G306" t="s">
        <v>8426</v>
      </c>
      <c r="H306" t="s">
        <v>8027</v>
      </c>
      <c r="I306" t="s">
        <v>8275</v>
      </c>
      <c r="J306" t="s">
        <v>8439</v>
      </c>
    </row>
    <row r="307" spans="1:10" x14ac:dyDescent="0.25">
      <c r="A307" t="s">
        <v>8448</v>
      </c>
      <c r="B307">
        <v>5.4960000000000004</v>
      </c>
      <c r="C307" t="s">
        <v>8449</v>
      </c>
      <c r="D307" t="s">
        <v>8450</v>
      </c>
      <c r="E307" t="s">
        <v>8425</v>
      </c>
      <c r="F307" t="s">
        <v>7672</v>
      </c>
      <c r="G307" t="s">
        <v>8426</v>
      </c>
      <c r="H307" t="s">
        <v>8027</v>
      </c>
      <c r="I307" t="s">
        <v>76</v>
      </c>
      <c r="J307" t="s">
        <v>8451</v>
      </c>
    </row>
    <row r="308" spans="1:10" x14ac:dyDescent="0.25">
      <c r="A308" t="s">
        <v>8452</v>
      </c>
      <c r="B308">
        <v>5.4960000000000004</v>
      </c>
      <c r="C308" t="s">
        <v>8453</v>
      </c>
      <c r="D308" t="s">
        <v>8454</v>
      </c>
      <c r="E308" t="s">
        <v>8425</v>
      </c>
      <c r="F308" t="s">
        <v>7672</v>
      </c>
      <c r="G308" t="s">
        <v>8426</v>
      </c>
      <c r="H308" t="s">
        <v>8027</v>
      </c>
      <c r="I308" t="s">
        <v>8194</v>
      </c>
      <c r="J308" t="s">
        <v>8451</v>
      </c>
    </row>
    <row r="309" spans="1:10" x14ac:dyDescent="0.25">
      <c r="A309" t="s">
        <v>8455</v>
      </c>
      <c r="B309">
        <v>5.4960000000000004</v>
      </c>
      <c r="C309" t="s">
        <v>8456</v>
      </c>
      <c r="D309" t="s">
        <v>8457</v>
      </c>
      <c r="E309" t="s">
        <v>8425</v>
      </c>
      <c r="F309" t="s">
        <v>7672</v>
      </c>
      <c r="G309" t="s">
        <v>8426</v>
      </c>
      <c r="H309" t="s">
        <v>8027</v>
      </c>
      <c r="I309" t="s">
        <v>8436</v>
      </c>
      <c r="J309" t="s">
        <v>8451</v>
      </c>
    </row>
    <row r="310" spans="1:10" x14ac:dyDescent="0.25">
      <c r="A310" t="s">
        <v>8458</v>
      </c>
      <c r="B310">
        <v>5.4960000000000004</v>
      </c>
      <c r="C310" t="s">
        <v>8459</v>
      </c>
      <c r="D310" t="s">
        <v>3954</v>
      </c>
      <c r="E310" t="s">
        <v>8425</v>
      </c>
      <c r="F310" t="s">
        <v>7672</v>
      </c>
      <c r="G310" t="s">
        <v>8426</v>
      </c>
      <c r="H310" t="s">
        <v>8027</v>
      </c>
      <c r="I310" t="s">
        <v>8275</v>
      </c>
      <c r="J310" t="s">
        <v>8451</v>
      </c>
    </row>
    <row r="311" spans="1:10" x14ac:dyDescent="0.25">
      <c r="A311" t="s">
        <v>8460</v>
      </c>
      <c r="B311">
        <v>5.4960000000000004</v>
      </c>
      <c r="C311" t="s">
        <v>8461</v>
      </c>
      <c r="D311" t="s">
        <v>8111</v>
      </c>
      <c r="E311" t="s">
        <v>8425</v>
      </c>
      <c r="F311" t="s">
        <v>7672</v>
      </c>
      <c r="G311" t="s">
        <v>8426</v>
      </c>
      <c r="H311" t="s">
        <v>8027</v>
      </c>
      <c r="I311" t="s">
        <v>8201</v>
      </c>
      <c r="J311" t="s">
        <v>8462</v>
      </c>
    </row>
    <row r="312" spans="1:10" x14ac:dyDescent="0.25">
      <c r="A312" t="s">
        <v>8463</v>
      </c>
      <c r="B312">
        <v>7.8319999999999999</v>
      </c>
      <c r="C312" t="s">
        <v>8464</v>
      </c>
      <c r="D312" t="s">
        <v>1143</v>
      </c>
      <c r="E312" t="s">
        <v>8465</v>
      </c>
      <c r="F312" t="s">
        <v>7672</v>
      </c>
      <c r="G312" t="s">
        <v>8466</v>
      </c>
      <c r="H312" t="s">
        <v>7674</v>
      </c>
      <c r="I312" t="s">
        <v>8467</v>
      </c>
      <c r="J312" t="s">
        <v>7942</v>
      </c>
    </row>
    <row r="313" spans="1:10" x14ac:dyDescent="0.25">
      <c r="A313" t="s">
        <v>8468</v>
      </c>
      <c r="B313">
        <v>7.8319999999999999</v>
      </c>
      <c r="C313" t="s">
        <v>8469</v>
      </c>
      <c r="D313" t="s">
        <v>436</v>
      </c>
      <c r="E313" t="s">
        <v>8465</v>
      </c>
      <c r="F313" t="s">
        <v>7672</v>
      </c>
      <c r="G313" t="s">
        <v>8466</v>
      </c>
      <c r="H313" t="s">
        <v>7674</v>
      </c>
      <c r="I313" t="s">
        <v>8470</v>
      </c>
      <c r="J313" t="s">
        <v>7942</v>
      </c>
    </row>
    <row r="314" spans="1:10" x14ac:dyDescent="0.25">
      <c r="A314" t="s">
        <v>8471</v>
      </c>
      <c r="B314">
        <v>7.8319999999999999</v>
      </c>
      <c r="C314" t="s">
        <v>8472</v>
      </c>
      <c r="D314" t="s">
        <v>835</v>
      </c>
      <c r="E314" t="s">
        <v>8465</v>
      </c>
      <c r="F314" t="s">
        <v>7672</v>
      </c>
      <c r="G314" t="s">
        <v>8466</v>
      </c>
      <c r="H314" t="s">
        <v>7674</v>
      </c>
      <c r="I314" t="s">
        <v>8473</v>
      </c>
      <c r="J314" t="s">
        <v>7942</v>
      </c>
    </row>
    <row r="315" spans="1:10" x14ac:dyDescent="0.25">
      <c r="A315" t="s">
        <v>8474</v>
      </c>
      <c r="B315">
        <v>7.8319999999999999</v>
      </c>
      <c r="C315" t="s">
        <v>8475</v>
      </c>
      <c r="D315" t="s">
        <v>250</v>
      </c>
      <c r="E315" t="s">
        <v>8465</v>
      </c>
      <c r="F315" t="s">
        <v>7672</v>
      </c>
      <c r="G315" t="s">
        <v>8466</v>
      </c>
      <c r="H315" t="s">
        <v>7674</v>
      </c>
      <c r="I315" t="s">
        <v>8476</v>
      </c>
      <c r="J315" t="s">
        <v>7942</v>
      </c>
    </row>
    <row r="316" spans="1:10" x14ac:dyDescent="0.25">
      <c r="A316" t="s">
        <v>8477</v>
      </c>
      <c r="B316">
        <v>7.8319999999999999</v>
      </c>
      <c r="C316" t="s">
        <v>8478</v>
      </c>
      <c r="D316" t="s">
        <v>1822</v>
      </c>
      <c r="E316" t="s">
        <v>8465</v>
      </c>
      <c r="F316" t="s">
        <v>7672</v>
      </c>
      <c r="G316" t="s">
        <v>8466</v>
      </c>
      <c r="H316" t="s">
        <v>7674</v>
      </c>
      <c r="I316" t="s">
        <v>8473</v>
      </c>
      <c r="J316" t="s">
        <v>7981</v>
      </c>
    </row>
    <row r="317" spans="1:10" x14ac:dyDescent="0.25">
      <c r="A317" t="s">
        <v>8479</v>
      </c>
      <c r="B317">
        <v>7.8319999999999999</v>
      </c>
      <c r="C317" t="s">
        <v>8480</v>
      </c>
      <c r="D317" t="s">
        <v>3184</v>
      </c>
      <c r="E317" t="s">
        <v>8465</v>
      </c>
      <c r="F317" t="s">
        <v>7672</v>
      </c>
      <c r="G317" t="s">
        <v>8466</v>
      </c>
      <c r="H317" t="s">
        <v>7674</v>
      </c>
      <c r="I317" t="s">
        <v>8467</v>
      </c>
      <c r="J317" t="s">
        <v>7981</v>
      </c>
    </row>
    <row r="318" spans="1:10" x14ac:dyDescent="0.25">
      <c r="A318" t="s">
        <v>8481</v>
      </c>
      <c r="B318">
        <v>7.8319999999999999</v>
      </c>
      <c r="C318" t="s">
        <v>8482</v>
      </c>
      <c r="D318" t="s">
        <v>1236</v>
      </c>
      <c r="E318" t="s">
        <v>8465</v>
      </c>
      <c r="F318" t="s">
        <v>7672</v>
      </c>
      <c r="G318" t="s">
        <v>8466</v>
      </c>
      <c r="H318" t="s">
        <v>7674</v>
      </c>
      <c r="I318" t="s">
        <v>8476</v>
      </c>
      <c r="J318" t="s">
        <v>7981</v>
      </c>
    </row>
    <row r="319" spans="1:10" x14ac:dyDescent="0.25">
      <c r="A319" t="s">
        <v>8483</v>
      </c>
      <c r="B319">
        <v>7.8319999999999999</v>
      </c>
      <c r="C319" t="s">
        <v>8484</v>
      </c>
      <c r="D319" t="s">
        <v>2238</v>
      </c>
      <c r="E319" t="s">
        <v>8465</v>
      </c>
      <c r="F319" t="s">
        <v>7672</v>
      </c>
      <c r="G319" t="s">
        <v>8466</v>
      </c>
      <c r="H319" t="s">
        <v>7674</v>
      </c>
      <c r="I319" t="s">
        <v>8467</v>
      </c>
      <c r="J319" t="s">
        <v>7984</v>
      </c>
    </row>
    <row r="320" spans="1:10" x14ac:dyDescent="0.25">
      <c r="A320" t="s">
        <v>8485</v>
      </c>
      <c r="B320">
        <v>7.8319999999999999</v>
      </c>
      <c r="C320" t="s">
        <v>8486</v>
      </c>
      <c r="D320" t="s">
        <v>4327</v>
      </c>
      <c r="E320" t="s">
        <v>8465</v>
      </c>
      <c r="F320" t="s">
        <v>7672</v>
      </c>
      <c r="G320" t="s">
        <v>8466</v>
      </c>
      <c r="H320" t="s">
        <v>7674</v>
      </c>
      <c r="I320" t="s">
        <v>8476</v>
      </c>
      <c r="J320" t="s">
        <v>7984</v>
      </c>
    </row>
    <row r="321" spans="1:10" x14ac:dyDescent="0.25">
      <c r="A321" t="s">
        <v>8487</v>
      </c>
      <c r="B321">
        <v>7.8319999999999999</v>
      </c>
      <c r="C321" t="s">
        <v>8488</v>
      </c>
      <c r="D321" t="s">
        <v>1536</v>
      </c>
      <c r="E321" t="s">
        <v>8465</v>
      </c>
      <c r="F321" t="s">
        <v>7672</v>
      </c>
      <c r="G321" t="s">
        <v>8466</v>
      </c>
      <c r="H321" t="s">
        <v>7674</v>
      </c>
      <c r="I321" t="s">
        <v>8473</v>
      </c>
      <c r="J321" t="s">
        <v>7984</v>
      </c>
    </row>
    <row r="322" spans="1:10" x14ac:dyDescent="0.25">
      <c r="A322" t="s">
        <v>8489</v>
      </c>
      <c r="B322">
        <v>7.8319999999999999</v>
      </c>
      <c r="C322" t="s">
        <v>8490</v>
      </c>
      <c r="D322" t="s">
        <v>7735</v>
      </c>
      <c r="E322" t="s">
        <v>8465</v>
      </c>
      <c r="F322" t="s">
        <v>7672</v>
      </c>
      <c r="G322" t="s">
        <v>8466</v>
      </c>
      <c r="H322" t="s">
        <v>7674</v>
      </c>
      <c r="I322" t="s">
        <v>8467</v>
      </c>
      <c r="J322" t="s">
        <v>7987</v>
      </c>
    </row>
    <row r="323" spans="1:10" x14ac:dyDescent="0.25">
      <c r="A323" t="s">
        <v>8491</v>
      </c>
      <c r="B323">
        <v>7.8319999999999999</v>
      </c>
      <c r="C323" t="s">
        <v>8492</v>
      </c>
      <c r="D323" t="s">
        <v>4011</v>
      </c>
      <c r="E323" t="s">
        <v>8465</v>
      </c>
      <c r="F323" t="s">
        <v>7672</v>
      </c>
      <c r="G323" t="s">
        <v>8466</v>
      </c>
      <c r="H323" t="s">
        <v>7674</v>
      </c>
      <c r="I323" t="s">
        <v>8476</v>
      </c>
      <c r="J323" t="s">
        <v>7987</v>
      </c>
    </row>
    <row r="324" spans="1:10" x14ac:dyDescent="0.25">
      <c r="A324" t="s">
        <v>8493</v>
      </c>
      <c r="B324">
        <v>7.8319999999999999</v>
      </c>
      <c r="C324" t="s">
        <v>8494</v>
      </c>
      <c r="D324" t="s">
        <v>379</v>
      </c>
      <c r="E324" t="s">
        <v>8465</v>
      </c>
      <c r="F324" t="s">
        <v>7672</v>
      </c>
      <c r="G324" t="s">
        <v>8466</v>
      </c>
      <c r="H324" t="s">
        <v>7674</v>
      </c>
      <c r="I324" t="s">
        <v>8473</v>
      </c>
      <c r="J324" t="s">
        <v>7987</v>
      </c>
    </row>
    <row r="325" spans="1:10" x14ac:dyDescent="0.25">
      <c r="A325" t="s">
        <v>8495</v>
      </c>
      <c r="B325">
        <v>7.8319999999999999</v>
      </c>
      <c r="C325" t="s">
        <v>8496</v>
      </c>
      <c r="D325" t="s">
        <v>1874</v>
      </c>
      <c r="E325" t="s">
        <v>8465</v>
      </c>
      <c r="F325" t="s">
        <v>7672</v>
      </c>
      <c r="G325" t="s">
        <v>8466</v>
      </c>
      <c r="H325" t="s">
        <v>7674</v>
      </c>
      <c r="I325" t="s">
        <v>8467</v>
      </c>
      <c r="J325" t="s">
        <v>8001</v>
      </c>
    </row>
    <row r="326" spans="1:10" x14ac:dyDescent="0.25">
      <c r="A326" t="s">
        <v>8497</v>
      </c>
      <c r="B326">
        <v>7.8319999999999999</v>
      </c>
      <c r="C326" t="s">
        <v>8498</v>
      </c>
      <c r="D326" t="s">
        <v>3070</v>
      </c>
      <c r="E326" t="s">
        <v>8465</v>
      </c>
      <c r="F326" t="s">
        <v>7672</v>
      </c>
      <c r="G326" t="s">
        <v>8466</v>
      </c>
      <c r="H326" t="s">
        <v>7674</v>
      </c>
      <c r="I326" t="s">
        <v>8476</v>
      </c>
      <c r="J326" t="s">
        <v>8001</v>
      </c>
    </row>
    <row r="327" spans="1:10" x14ac:dyDescent="0.25">
      <c r="A327" t="s">
        <v>8499</v>
      </c>
      <c r="B327">
        <v>7.8319999999999999</v>
      </c>
      <c r="C327" t="s">
        <v>8500</v>
      </c>
      <c r="D327" t="s">
        <v>3577</v>
      </c>
      <c r="E327" t="s">
        <v>8465</v>
      </c>
      <c r="F327" t="s">
        <v>7672</v>
      </c>
      <c r="G327" t="s">
        <v>8466</v>
      </c>
      <c r="H327" t="s">
        <v>7674</v>
      </c>
      <c r="I327" t="s">
        <v>8470</v>
      </c>
      <c r="J327" t="s">
        <v>8001</v>
      </c>
    </row>
    <row r="328" spans="1:10" x14ac:dyDescent="0.25">
      <c r="A328" t="s">
        <v>8501</v>
      </c>
      <c r="B328">
        <v>7.8319999999999999</v>
      </c>
      <c r="C328" t="s">
        <v>8502</v>
      </c>
      <c r="D328" t="s">
        <v>2787</v>
      </c>
      <c r="E328" t="s">
        <v>8465</v>
      </c>
      <c r="F328" t="s">
        <v>7672</v>
      </c>
      <c r="G328" t="s">
        <v>8466</v>
      </c>
      <c r="H328" t="s">
        <v>7674</v>
      </c>
      <c r="I328" t="s">
        <v>8473</v>
      </c>
      <c r="J328" t="s">
        <v>8001</v>
      </c>
    </row>
    <row r="329" spans="1:10" x14ac:dyDescent="0.25">
      <c r="A329" t="s">
        <v>8503</v>
      </c>
      <c r="B329">
        <v>7.8319999999999999</v>
      </c>
      <c r="C329" t="s">
        <v>8504</v>
      </c>
      <c r="D329" t="s">
        <v>3470</v>
      </c>
      <c r="E329" t="s">
        <v>8465</v>
      </c>
      <c r="F329" t="s">
        <v>7672</v>
      </c>
      <c r="G329" t="s">
        <v>8466</v>
      </c>
      <c r="H329" t="s">
        <v>7674</v>
      </c>
      <c r="I329" t="s">
        <v>8476</v>
      </c>
      <c r="J329" t="s">
        <v>8013</v>
      </c>
    </row>
    <row r="330" spans="1:10" x14ac:dyDescent="0.25">
      <c r="A330" t="s">
        <v>8505</v>
      </c>
      <c r="B330">
        <v>7.8319999999999999</v>
      </c>
      <c r="C330" t="s">
        <v>8506</v>
      </c>
      <c r="D330" t="s">
        <v>2138</v>
      </c>
      <c r="E330" t="s">
        <v>8465</v>
      </c>
      <c r="F330" t="s">
        <v>7672</v>
      </c>
      <c r="G330" t="s">
        <v>8466</v>
      </c>
      <c r="H330" t="s">
        <v>7674</v>
      </c>
      <c r="I330" t="s">
        <v>8467</v>
      </c>
      <c r="J330" t="s">
        <v>8013</v>
      </c>
    </row>
    <row r="331" spans="1:10" x14ac:dyDescent="0.25">
      <c r="A331" t="s">
        <v>8507</v>
      </c>
      <c r="B331">
        <v>7.8319999999999999</v>
      </c>
      <c r="C331" t="s">
        <v>8508</v>
      </c>
      <c r="D331" t="s">
        <v>996</v>
      </c>
      <c r="E331" t="s">
        <v>8465</v>
      </c>
      <c r="F331" t="s">
        <v>7672</v>
      </c>
      <c r="G331" t="s">
        <v>8466</v>
      </c>
      <c r="H331" t="s">
        <v>7674</v>
      </c>
      <c r="I331" t="s">
        <v>8473</v>
      </c>
      <c r="J331" t="s">
        <v>8013</v>
      </c>
    </row>
    <row r="332" spans="1:10" x14ac:dyDescent="0.25">
      <c r="A332" t="s">
        <v>8509</v>
      </c>
      <c r="B332">
        <v>7.8319999999999999</v>
      </c>
      <c r="C332" t="s">
        <v>8510</v>
      </c>
      <c r="D332" t="s">
        <v>671</v>
      </c>
      <c r="E332" t="s">
        <v>8465</v>
      </c>
      <c r="F332" t="s">
        <v>7672</v>
      </c>
      <c r="G332" t="s">
        <v>8466</v>
      </c>
      <c r="H332" t="s">
        <v>7674</v>
      </c>
      <c r="I332" t="s">
        <v>8470</v>
      </c>
      <c r="J332" t="s">
        <v>8013</v>
      </c>
    </row>
    <row r="333" spans="1:10" x14ac:dyDescent="0.25">
      <c r="A333" t="s">
        <v>8511</v>
      </c>
      <c r="B333">
        <v>5.3120000000000003</v>
      </c>
      <c r="C333" t="s">
        <v>8512</v>
      </c>
      <c r="D333" t="s">
        <v>8432</v>
      </c>
      <c r="E333" t="s">
        <v>8513</v>
      </c>
      <c r="F333" t="s">
        <v>7672</v>
      </c>
      <c r="G333" t="s">
        <v>8514</v>
      </c>
      <c r="H333" t="s">
        <v>8515</v>
      </c>
      <c r="I333" t="s">
        <v>1413</v>
      </c>
      <c r="J333" t="s">
        <v>100</v>
      </c>
    </row>
    <row r="334" spans="1:10" x14ac:dyDescent="0.25">
      <c r="A334" t="s">
        <v>8516</v>
      </c>
      <c r="B334">
        <v>5.3120000000000003</v>
      </c>
      <c r="C334" t="s">
        <v>8517</v>
      </c>
      <c r="D334" t="s">
        <v>2620</v>
      </c>
      <c r="E334" t="s">
        <v>8513</v>
      </c>
      <c r="F334" t="s">
        <v>7672</v>
      </c>
      <c r="G334" t="s">
        <v>8514</v>
      </c>
      <c r="H334" t="s">
        <v>8515</v>
      </c>
      <c r="I334" t="s">
        <v>7945</v>
      </c>
      <c r="J334" t="s">
        <v>100</v>
      </c>
    </row>
    <row r="335" spans="1:10" x14ac:dyDescent="0.25">
      <c r="A335" t="s">
        <v>8518</v>
      </c>
      <c r="B335">
        <v>5.3120000000000003</v>
      </c>
      <c r="C335" t="s">
        <v>8519</v>
      </c>
      <c r="D335" t="s">
        <v>8520</v>
      </c>
      <c r="E335" t="s">
        <v>8513</v>
      </c>
      <c r="F335" t="s">
        <v>7672</v>
      </c>
      <c r="G335" t="s">
        <v>8514</v>
      </c>
      <c r="H335" t="s">
        <v>8515</v>
      </c>
      <c r="I335" t="s">
        <v>1413</v>
      </c>
      <c r="J335" t="s">
        <v>106</v>
      </c>
    </row>
    <row r="336" spans="1:10" x14ac:dyDescent="0.25">
      <c r="A336" t="s">
        <v>8521</v>
      </c>
      <c r="B336">
        <v>5.3120000000000003</v>
      </c>
      <c r="C336" t="s">
        <v>8522</v>
      </c>
      <c r="D336" t="s">
        <v>2620</v>
      </c>
      <c r="E336" t="s">
        <v>8513</v>
      </c>
      <c r="F336" t="s">
        <v>7672</v>
      </c>
      <c r="G336" t="s">
        <v>8514</v>
      </c>
      <c r="H336" t="s">
        <v>8515</v>
      </c>
      <c r="I336" t="s">
        <v>7945</v>
      </c>
      <c r="J336" t="s">
        <v>106</v>
      </c>
    </row>
    <row r="337" spans="1:10" x14ac:dyDescent="0.25">
      <c r="A337" t="s">
        <v>8523</v>
      </c>
      <c r="B337">
        <v>5.3120000000000003</v>
      </c>
      <c r="C337" t="s">
        <v>8524</v>
      </c>
      <c r="D337" t="s">
        <v>301</v>
      </c>
      <c r="E337" t="s">
        <v>8513</v>
      </c>
      <c r="F337" t="s">
        <v>7672</v>
      </c>
      <c r="G337" t="s">
        <v>8514</v>
      </c>
      <c r="H337" t="s">
        <v>8515</v>
      </c>
      <c r="I337" t="s">
        <v>7945</v>
      </c>
      <c r="J337" t="s">
        <v>88</v>
      </c>
    </row>
    <row r="338" spans="1:10" x14ac:dyDescent="0.25">
      <c r="A338" t="s">
        <v>8525</v>
      </c>
      <c r="B338">
        <v>5.3120000000000003</v>
      </c>
      <c r="C338" t="s">
        <v>8526</v>
      </c>
      <c r="D338" t="s">
        <v>8527</v>
      </c>
      <c r="E338" t="s">
        <v>8513</v>
      </c>
      <c r="F338" t="s">
        <v>7672</v>
      </c>
      <c r="G338" t="s">
        <v>8514</v>
      </c>
      <c r="H338" t="s">
        <v>8515</v>
      </c>
      <c r="I338" t="s">
        <v>1413</v>
      </c>
      <c r="J338" t="s">
        <v>88</v>
      </c>
    </row>
    <row r="339" spans="1:10" x14ac:dyDescent="0.25">
      <c r="A339" t="s">
        <v>8528</v>
      </c>
      <c r="B339">
        <v>5.3120000000000003</v>
      </c>
      <c r="C339" t="s">
        <v>8529</v>
      </c>
      <c r="D339" t="s">
        <v>8530</v>
      </c>
      <c r="E339" t="s">
        <v>8513</v>
      </c>
      <c r="F339" t="s">
        <v>7672</v>
      </c>
      <c r="G339" t="s">
        <v>8514</v>
      </c>
      <c r="H339" t="s">
        <v>8515</v>
      </c>
      <c r="I339" t="s">
        <v>7945</v>
      </c>
      <c r="J339" t="s">
        <v>8531</v>
      </c>
    </row>
    <row r="340" spans="1:10" x14ac:dyDescent="0.25">
      <c r="A340" t="s">
        <v>8532</v>
      </c>
      <c r="B340">
        <v>5.3120000000000003</v>
      </c>
      <c r="C340" t="s">
        <v>8533</v>
      </c>
      <c r="D340" t="s">
        <v>8534</v>
      </c>
      <c r="E340" t="s">
        <v>8513</v>
      </c>
      <c r="F340" t="s">
        <v>7672</v>
      </c>
      <c r="G340" t="s">
        <v>8514</v>
      </c>
      <c r="H340" t="s">
        <v>8515</v>
      </c>
      <c r="I340" t="s">
        <v>1413</v>
      </c>
      <c r="J340" t="s">
        <v>8531</v>
      </c>
    </row>
    <row r="341" spans="1:10" x14ac:dyDescent="0.25">
      <c r="A341" t="s">
        <v>8535</v>
      </c>
      <c r="B341">
        <v>5.3120000000000003</v>
      </c>
      <c r="C341" t="s">
        <v>8536</v>
      </c>
      <c r="D341" t="s">
        <v>53</v>
      </c>
      <c r="E341" t="s">
        <v>8513</v>
      </c>
      <c r="F341" t="s">
        <v>7672</v>
      </c>
      <c r="G341" t="s">
        <v>8514</v>
      </c>
      <c r="H341" t="s">
        <v>8515</v>
      </c>
      <c r="I341" t="s">
        <v>410</v>
      </c>
      <c r="J341" t="s">
        <v>8531</v>
      </c>
    </row>
    <row r="342" spans="1:10" x14ac:dyDescent="0.25">
      <c r="A342" t="s">
        <v>8537</v>
      </c>
      <c r="B342">
        <v>5.3120000000000003</v>
      </c>
      <c r="C342" t="s">
        <v>8538</v>
      </c>
      <c r="D342" t="s">
        <v>933</v>
      </c>
      <c r="E342" t="s">
        <v>8513</v>
      </c>
      <c r="F342" t="s">
        <v>7672</v>
      </c>
      <c r="G342" t="s">
        <v>8514</v>
      </c>
      <c r="H342" t="s">
        <v>8515</v>
      </c>
      <c r="I342" t="s">
        <v>7945</v>
      </c>
      <c r="J342" t="s">
        <v>131</v>
      </c>
    </row>
    <row r="343" spans="1:10" x14ac:dyDescent="0.25">
      <c r="A343" t="s">
        <v>8539</v>
      </c>
      <c r="B343">
        <v>5.3120000000000003</v>
      </c>
      <c r="C343" t="s">
        <v>8540</v>
      </c>
      <c r="D343" t="s">
        <v>8541</v>
      </c>
      <c r="E343" t="s">
        <v>8513</v>
      </c>
      <c r="F343" t="s">
        <v>7672</v>
      </c>
      <c r="G343" t="s">
        <v>8514</v>
      </c>
      <c r="H343" t="s">
        <v>8515</v>
      </c>
      <c r="I343" t="s">
        <v>1413</v>
      </c>
      <c r="J343" t="s">
        <v>131</v>
      </c>
    </row>
    <row r="344" spans="1:10" x14ac:dyDescent="0.25">
      <c r="A344" t="s">
        <v>8542</v>
      </c>
      <c r="B344">
        <v>5.3120000000000003</v>
      </c>
      <c r="C344" t="s">
        <v>8543</v>
      </c>
      <c r="D344" t="s">
        <v>8544</v>
      </c>
      <c r="E344" t="s">
        <v>8513</v>
      </c>
      <c r="F344" t="s">
        <v>7672</v>
      </c>
      <c r="G344" t="s">
        <v>8514</v>
      </c>
      <c r="H344" t="s">
        <v>8515</v>
      </c>
      <c r="I344" t="s">
        <v>7945</v>
      </c>
      <c r="J344" t="s">
        <v>269</v>
      </c>
    </row>
    <row r="345" spans="1:10" x14ac:dyDescent="0.25">
      <c r="A345" t="s">
        <v>8545</v>
      </c>
      <c r="B345">
        <v>5.3120000000000003</v>
      </c>
      <c r="C345" t="s">
        <v>8546</v>
      </c>
      <c r="D345" t="s">
        <v>8547</v>
      </c>
      <c r="E345" t="s">
        <v>8513</v>
      </c>
      <c r="F345" t="s">
        <v>7672</v>
      </c>
      <c r="G345" t="s">
        <v>8514</v>
      </c>
      <c r="H345" t="s">
        <v>8515</v>
      </c>
      <c r="I345" t="s">
        <v>1413</v>
      </c>
      <c r="J345" t="s">
        <v>269</v>
      </c>
    </row>
    <row r="346" spans="1:10" x14ac:dyDescent="0.25">
      <c r="A346" t="s">
        <v>8548</v>
      </c>
      <c r="B346">
        <v>5.3120000000000003</v>
      </c>
      <c r="C346" t="s">
        <v>8549</v>
      </c>
      <c r="D346" t="s">
        <v>613</v>
      </c>
      <c r="E346" t="s">
        <v>8513</v>
      </c>
      <c r="F346" t="s">
        <v>7672</v>
      </c>
      <c r="G346" t="s">
        <v>8514</v>
      </c>
      <c r="H346" t="s">
        <v>8515</v>
      </c>
      <c r="I346" t="s">
        <v>145</v>
      </c>
      <c r="J346" t="s">
        <v>269</v>
      </c>
    </row>
    <row r="347" spans="1:10" x14ac:dyDescent="0.25">
      <c r="A347" t="s">
        <v>8550</v>
      </c>
      <c r="B347">
        <v>5.3120000000000003</v>
      </c>
      <c r="C347" t="s">
        <v>8551</v>
      </c>
      <c r="D347" t="s">
        <v>164</v>
      </c>
      <c r="E347" t="s">
        <v>8513</v>
      </c>
      <c r="F347" t="s">
        <v>7672</v>
      </c>
      <c r="G347" t="s">
        <v>8514</v>
      </c>
      <c r="H347" t="s">
        <v>8515</v>
      </c>
      <c r="I347" t="s">
        <v>410</v>
      </c>
      <c r="J347" t="s">
        <v>255</v>
      </c>
    </row>
    <row r="348" spans="1:10" x14ac:dyDescent="0.25">
      <c r="A348" t="s">
        <v>8552</v>
      </c>
      <c r="B348">
        <v>5.3120000000000003</v>
      </c>
      <c r="C348" t="s">
        <v>8553</v>
      </c>
      <c r="D348" t="s">
        <v>1734</v>
      </c>
      <c r="E348" t="s">
        <v>8513</v>
      </c>
      <c r="F348" t="s">
        <v>7672</v>
      </c>
      <c r="G348" t="s">
        <v>8514</v>
      </c>
      <c r="H348" t="s">
        <v>8515</v>
      </c>
      <c r="I348" t="s">
        <v>145</v>
      </c>
      <c r="J348" t="s">
        <v>255</v>
      </c>
    </row>
    <row r="349" spans="1:10" x14ac:dyDescent="0.25">
      <c r="A349" t="s">
        <v>8554</v>
      </c>
      <c r="B349">
        <v>5.3120000000000003</v>
      </c>
      <c r="C349" t="s">
        <v>8555</v>
      </c>
      <c r="D349" t="s">
        <v>8556</v>
      </c>
      <c r="E349" t="s">
        <v>8513</v>
      </c>
      <c r="F349" t="s">
        <v>7672</v>
      </c>
      <c r="G349" t="s">
        <v>8514</v>
      </c>
      <c r="H349" t="s">
        <v>8515</v>
      </c>
      <c r="I349" t="s">
        <v>1413</v>
      </c>
      <c r="J349" t="s">
        <v>255</v>
      </c>
    </row>
    <row r="350" spans="1:10" x14ac:dyDescent="0.25">
      <c r="A350" t="s">
        <v>8557</v>
      </c>
      <c r="B350">
        <v>5.3120000000000003</v>
      </c>
      <c r="C350" t="s">
        <v>8558</v>
      </c>
      <c r="D350" t="s">
        <v>8559</v>
      </c>
      <c r="E350" t="s">
        <v>8513</v>
      </c>
      <c r="F350" t="s">
        <v>7672</v>
      </c>
      <c r="G350" t="s">
        <v>8514</v>
      </c>
      <c r="H350" t="s">
        <v>8515</v>
      </c>
      <c r="I350" t="s">
        <v>7945</v>
      </c>
      <c r="J350" t="s">
        <v>255</v>
      </c>
    </row>
    <row r="351" spans="1:10" x14ac:dyDescent="0.25">
      <c r="A351" t="s">
        <v>8560</v>
      </c>
      <c r="B351">
        <v>5.3120000000000003</v>
      </c>
      <c r="C351" t="s">
        <v>8561</v>
      </c>
      <c r="D351" t="s">
        <v>8562</v>
      </c>
      <c r="E351" t="s">
        <v>8513</v>
      </c>
      <c r="F351" t="s">
        <v>7672</v>
      </c>
      <c r="G351" t="s">
        <v>8514</v>
      </c>
      <c r="H351" t="s">
        <v>8515</v>
      </c>
      <c r="I351" t="s">
        <v>145</v>
      </c>
      <c r="J351" t="s">
        <v>277</v>
      </c>
    </row>
    <row r="352" spans="1:10" x14ac:dyDescent="0.25">
      <c r="A352" t="s">
        <v>8563</v>
      </c>
      <c r="B352">
        <v>5.3120000000000003</v>
      </c>
      <c r="C352" t="s">
        <v>8564</v>
      </c>
      <c r="D352" t="s">
        <v>1949</v>
      </c>
      <c r="E352" t="s">
        <v>8513</v>
      </c>
      <c r="F352" t="s">
        <v>7672</v>
      </c>
      <c r="G352" t="s">
        <v>8514</v>
      </c>
      <c r="H352" t="s">
        <v>8515</v>
      </c>
      <c r="I352" t="s">
        <v>410</v>
      </c>
      <c r="J352" t="s">
        <v>277</v>
      </c>
    </row>
    <row r="353" spans="1:10" x14ac:dyDescent="0.25">
      <c r="A353" t="s">
        <v>8565</v>
      </c>
      <c r="B353">
        <v>5.3120000000000003</v>
      </c>
      <c r="C353" t="s">
        <v>8566</v>
      </c>
      <c r="D353" t="s">
        <v>8567</v>
      </c>
      <c r="E353" t="s">
        <v>8513</v>
      </c>
      <c r="F353" t="s">
        <v>7672</v>
      </c>
      <c r="G353" t="s">
        <v>8514</v>
      </c>
      <c r="H353" t="s">
        <v>8515</v>
      </c>
      <c r="I353" t="s">
        <v>1413</v>
      </c>
      <c r="J353" t="s">
        <v>277</v>
      </c>
    </row>
    <row r="354" spans="1:10" x14ac:dyDescent="0.25">
      <c r="A354" t="s">
        <v>8568</v>
      </c>
      <c r="B354">
        <v>5.3120000000000003</v>
      </c>
      <c r="C354" t="s">
        <v>8569</v>
      </c>
      <c r="D354" t="s">
        <v>1621</v>
      </c>
      <c r="E354" t="s">
        <v>8513</v>
      </c>
      <c r="F354" t="s">
        <v>7672</v>
      </c>
      <c r="G354" t="s">
        <v>8514</v>
      </c>
      <c r="H354" t="s">
        <v>8515</v>
      </c>
      <c r="I354" t="s">
        <v>4821</v>
      </c>
      <c r="J354" t="s">
        <v>277</v>
      </c>
    </row>
    <row r="355" spans="1:10" x14ac:dyDescent="0.25">
      <c r="A355" t="s">
        <v>8570</v>
      </c>
      <c r="B355">
        <v>5.3120000000000003</v>
      </c>
      <c r="C355" t="s">
        <v>8571</v>
      </c>
      <c r="D355" t="s">
        <v>8572</v>
      </c>
      <c r="E355" t="s">
        <v>8513</v>
      </c>
      <c r="F355" t="s">
        <v>7672</v>
      </c>
      <c r="G355" t="s">
        <v>8514</v>
      </c>
      <c r="H355" t="s">
        <v>8515</v>
      </c>
      <c r="I355" t="s">
        <v>7945</v>
      </c>
      <c r="J355" t="s">
        <v>277</v>
      </c>
    </row>
    <row r="356" spans="1:10" x14ac:dyDescent="0.25">
      <c r="A356" t="s">
        <v>8573</v>
      </c>
      <c r="B356">
        <v>2.8719999999999999</v>
      </c>
      <c r="C356" t="s">
        <v>8574</v>
      </c>
      <c r="D356" t="s">
        <v>3974</v>
      </c>
      <c r="E356" t="s">
        <v>8575</v>
      </c>
      <c r="F356" t="s">
        <v>7672</v>
      </c>
      <c r="G356" t="s">
        <v>8576</v>
      </c>
      <c r="H356" t="s">
        <v>7674</v>
      </c>
      <c r="I356" t="s">
        <v>8577</v>
      </c>
      <c r="J356" t="s">
        <v>7984</v>
      </c>
    </row>
    <row r="357" spans="1:10" x14ac:dyDescent="0.25">
      <c r="A357" t="s">
        <v>8578</v>
      </c>
      <c r="B357">
        <v>2.8719999999999999</v>
      </c>
      <c r="C357" t="s">
        <v>8579</v>
      </c>
      <c r="D357" t="s">
        <v>8580</v>
      </c>
      <c r="E357" t="s">
        <v>8575</v>
      </c>
      <c r="F357" t="s">
        <v>7672</v>
      </c>
      <c r="G357" t="s">
        <v>8576</v>
      </c>
      <c r="H357" t="s">
        <v>7674</v>
      </c>
      <c r="I357" t="s">
        <v>8577</v>
      </c>
      <c r="J357" t="s">
        <v>7987</v>
      </c>
    </row>
    <row r="358" spans="1:10" x14ac:dyDescent="0.25">
      <c r="A358" t="s">
        <v>8581</v>
      </c>
      <c r="B358">
        <v>2.8719999999999999</v>
      </c>
      <c r="C358" t="s">
        <v>8582</v>
      </c>
      <c r="D358" t="s">
        <v>8583</v>
      </c>
      <c r="E358" t="s">
        <v>8575</v>
      </c>
      <c r="F358" t="s">
        <v>7672</v>
      </c>
      <c r="G358" t="s">
        <v>8576</v>
      </c>
      <c r="H358" t="s">
        <v>7674</v>
      </c>
      <c r="I358" t="s">
        <v>8467</v>
      </c>
      <c r="J358" t="s">
        <v>8001</v>
      </c>
    </row>
    <row r="359" spans="1:10" x14ac:dyDescent="0.25">
      <c r="A359" t="s">
        <v>8584</v>
      </c>
      <c r="B359">
        <v>2.8719999999999999</v>
      </c>
      <c r="C359" t="s">
        <v>8585</v>
      </c>
      <c r="D359" t="s">
        <v>8586</v>
      </c>
      <c r="E359" t="s">
        <v>8575</v>
      </c>
      <c r="F359" t="s">
        <v>7672</v>
      </c>
      <c r="G359" t="s">
        <v>8576</v>
      </c>
      <c r="H359" t="s">
        <v>7674</v>
      </c>
      <c r="I359" t="s">
        <v>8577</v>
      </c>
      <c r="J359" t="s">
        <v>8001</v>
      </c>
    </row>
    <row r="360" spans="1:10" x14ac:dyDescent="0.25">
      <c r="A360" t="s">
        <v>8587</v>
      </c>
      <c r="B360">
        <v>2.8719999999999999</v>
      </c>
      <c r="C360" t="s">
        <v>8588</v>
      </c>
      <c r="D360" t="s">
        <v>8589</v>
      </c>
      <c r="E360" t="s">
        <v>8575</v>
      </c>
      <c r="F360" t="s">
        <v>7672</v>
      </c>
      <c r="G360" t="s">
        <v>8576</v>
      </c>
      <c r="H360" t="s">
        <v>7674</v>
      </c>
      <c r="I360" t="s">
        <v>8467</v>
      </c>
      <c r="J360" t="s">
        <v>8013</v>
      </c>
    </row>
    <row r="361" spans="1:10" x14ac:dyDescent="0.25">
      <c r="A361" t="s">
        <v>8590</v>
      </c>
      <c r="B361">
        <v>2.8719999999999999</v>
      </c>
      <c r="C361" t="s">
        <v>8591</v>
      </c>
      <c r="D361" t="s">
        <v>8592</v>
      </c>
      <c r="E361" t="s">
        <v>8575</v>
      </c>
      <c r="F361" t="s">
        <v>7672</v>
      </c>
      <c r="G361" t="s">
        <v>8576</v>
      </c>
      <c r="H361" t="s">
        <v>7674</v>
      </c>
      <c r="I361" t="s">
        <v>8577</v>
      </c>
      <c r="J361" t="s">
        <v>8013</v>
      </c>
    </row>
    <row r="362" spans="1:10" x14ac:dyDescent="0.25">
      <c r="A362" t="s">
        <v>8593</v>
      </c>
      <c r="B362">
        <v>2.8719999999999999</v>
      </c>
      <c r="C362" t="s">
        <v>8594</v>
      </c>
      <c r="D362" t="s">
        <v>941</v>
      </c>
      <c r="E362" t="s">
        <v>8575</v>
      </c>
      <c r="F362" t="s">
        <v>7672</v>
      </c>
      <c r="G362" t="s">
        <v>8576</v>
      </c>
      <c r="H362" t="s">
        <v>7674</v>
      </c>
      <c r="I362" t="s">
        <v>8595</v>
      </c>
      <c r="J362" t="s">
        <v>8013</v>
      </c>
    </row>
    <row r="363" spans="1:10" x14ac:dyDescent="0.25">
      <c r="A363" t="s">
        <v>8596</v>
      </c>
      <c r="B363">
        <v>6.9920000000000009</v>
      </c>
      <c r="C363" t="s">
        <v>8597</v>
      </c>
      <c r="D363" t="s">
        <v>379</v>
      </c>
      <c r="E363" t="s">
        <v>8598</v>
      </c>
      <c r="F363" t="s">
        <v>7672</v>
      </c>
      <c r="G363" t="s">
        <v>8599</v>
      </c>
      <c r="H363" t="s">
        <v>7974</v>
      </c>
      <c r="I363" t="s">
        <v>8600</v>
      </c>
      <c r="J363" t="s">
        <v>7981</v>
      </c>
    </row>
    <row r="364" spans="1:10" x14ac:dyDescent="0.25">
      <c r="A364" t="s">
        <v>8601</v>
      </c>
      <c r="B364">
        <v>6.9920000000000009</v>
      </c>
      <c r="C364" t="s">
        <v>8602</v>
      </c>
      <c r="D364" t="s">
        <v>53</v>
      </c>
      <c r="E364" t="s">
        <v>8598</v>
      </c>
      <c r="F364" t="s">
        <v>7672</v>
      </c>
      <c r="G364" t="s">
        <v>8599</v>
      </c>
      <c r="H364" t="s">
        <v>7974</v>
      </c>
      <c r="I364" t="s">
        <v>8600</v>
      </c>
      <c r="J364" t="s">
        <v>8603</v>
      </c>
    </row>
    <row r="365" spans="1:10" x14ac:dyDescent="0.25">
      <c r="A365" t="s">
        <v>8604</v>
      </c>
      <c r="B365">
        <v>6.9920000000000009</v>
      </c>
      <c r="C365" t="s">
        <v>8605</v>
      </c>
      <c r="D365" t="s">
        <v>290</v>
      </c>
      <c r="E365" t="s">
        <v>8598</v>
      </c>
      <c r="F365" t="s">
        <v>7672</v>
      </c>
      <c r="G365" t="s">
        <v>8599</v>
      </c>
      <c r="H365" t="s">
        <v>7974</v>
      </c>
      <c r="I365" t="s">
        <v>8606</v>
      </c>
      <c r="J365" t="s">
        <v>8603</v>
      </c>
    </row>
    <row r="366" spans="1:10" x14ac:dyDescent="0.25">
      <c r="A366" t="s">
        <v>8607</v>
      </c>
      <c r="B366">
        <v>6.9920000000000009</v>
      </c>
      <c r="C366" t="s">
        <v>8608</v>
      </c>
      <c r="D366" t="s">
        <v>342</v>
      </c>
      <c r="E366" t="s">
        <v>8598</v>
      </c>
      <c r="F366" t="s">
        <v>7672</v>
      </c>
      <c r="G366" t="s">
        <v>8599</v>
      </c>
      <c r="H366" t="s">
        <v>7974</v>
      </c>
      <c r="I366" t="s">
        <v>1413</v>
      </c>
      <c r="J366" t="s">
        <v>8603</v>
      </c>
    </row>
    <row r="367" spans="1:10" x14ac:dyDescent="0.25">
      <c r="A367" t="s">
        <v>8609</v>
      </c>
      <c r="B367">
        <v>6.9920000000000009</v>
      </c>
      <c r="C367" t="s">
        <v>8610</v>
      </c>
      <c r="D367" t="s">
        <v>1097</v>
      </c>
      <c r="E367" t="s">
        <v>8598</v>
      </c>
      <c r="F367" t="s">
        <v>7672</v>
      </c>
      <c r="G367" t="s">
        <v>8599</v>
      </c>
      <c r="H367" t="s">
        <v>7974</v>
      </c>
      <c r="I367" t="s">
        <v>8606</v>
      </c>
      <c r="J367" t="s">
        <v>8603</v>
      </c>
    </row>
    <row r="368" spans="1:10" x14ac:dyDescent="0.25">
      <c r="A368" t="s">
        <v>8611</v>
      </c>
      <c r="B368">
        <v>6.9920000000000009</v>
      </c>
      <c r="C368" t="s">
        <v>8612</v>
      </c>
      <c r="D368" t="s">
        <v>229</v>
      </c>
      <c r="E368" t="s">
        <v>8598</v>
      </c>
      <c r="F368" t="s">
        <v>7672</v>
      </c>
      <c r="G368" t="s">
        <v>8599</v>
      </c>
      <c r="H368" t="s">
        <v>7974</v>
      </c>
      <c r="I368" t="s">
        <v>8600</v>
      </c>
      <c r="J368" t="s">
        <v>8603</v>
      </c>
    </row>
    <row r="369" spans="1:10" x14ac:dyDescent="0.25">
      <c r="A369" t="s">
        <v>8613</v>
      </c>
      <c r="B369">
        <v>6.9920000000000009</v>
      </c>
      <c r="C369" t="s">
        <v>8614</v>
      </c>
      <c r="D369" t="s">
        <v>2879</v>
      </c>
      <c r="E369" t="s">
        <v>8598</v>
      </c>
      <c r="F369" t="s">
        <v>7672</v>
      </c>
      <c r="G369" t="s">
        <v>8599</v>
      </c>
      <c r="H369" t="s">
        <v>7974</v>
      </c>
      <c r="I369" t="s">
        <v>8600</v>
      </c>
      <c r="J369" t="s">
        <v>8615</v>
      </c>
    </row>
    <row r="370" spans="1:10" x14ac:dyDescent="0.25">
      <c r="A370" t="s">
        <v>8616</v>
      </c>
      <c r="B370">
        <v>6.9920000000000009</v>
      </c>
      <c r="C370" t="s">
        <v>8617</v>
      </c>
      <c r="D370" t="s">
        <v>8618</v>
      </c>
      <c r="E370" t="s">
        <v>8598</v>
      </c>
      <c r="F370" t="s">
        <v>7672</v>
      </c>
      <c r="G370" t="s">
        <v>8599</v>
      </c>
      <c r="H370" t="s">
        <v>7974</v>
      </c>
      <c r="I370" t="s">
        <v>8606</v>
      </c>
      <c r="J370" t="s">
        <v>8615</v>
      </c>
    </row>
    <row r="371" spans="1:10" x14ac:dyDescent="0.25">
      <c r="A371" t="s">
        <v>8619</v>
      </c>
      <c r="B371">
        <v>6.9920000000000009</v>
      </c>
      <c r="C371" t="s">
        <v>8620</v>
      </c>
      <c r="D371" t="s">
        <v>450</v>
      </c>
      <c r="E371" t="s">
        <v>8598</v>
      </c>
      <c r="F371" t="s">
        <v>7672</v>
      </c>
      <c r="G371" t="s">
        <v>8599</v>
      </c>
      <c r="H371" t="s">
        <v>7974</v>
      </c>
      <c r="I371" t="s">
        <v>8606</v>
      </c>
      <c r="J371" t="s">
        <v>8615</v>
      </c>
    </row>
    <row r="372" spans="1:10" x14ac:dyDescent="0.25">
      <c r="A372" t="s">
        <v>8621</v>
      </c>
      <c r="B372">
        <v>6.9920000000000009</v>
      </c>
      <c r="C372" t="s">
        <v>8622</v>
      </c>
      <c r="D372" t="s">
        <v>870</v>
      </c>
      <c r="E372" t="s">
        <v>8598</v>
      </c>
      <c r="F372" t="s">
        <v>7672</v>
      </c>
      <c r="G372" t="s">
        <v>8599</v>
      </c>
      <c r="H372" t="s">
        <v>7974</v>
      </c>
      <c r="I372" t="s">
        <v>8600</v>
      </c>
      <c r="J372" t="s">
        <v>8615</v>
      </c>
    </row>
    <row r="373" spans="1:10" x14ac:dyDescent="0.25">
      <c r="A373" t="s">
        <v>8623</v>
      </c>
      <c r="B373">
        <v>6.9920000000000009</v>
      </c>
      <c r="C373" t="s">
        <v>8624</v>
      </c>
      <c r="D373" t="s">
        <v>598</v>
      </c>
      <c r="E373" t="s">
        <v>8598</v>
      </c>
      <c r="F373" t="s">
        <v>7672</v>
      </c>
      <c r="G373" t="s">
        <v>8599</v>
      </c>
      <c r="H373" t="s">
        <v>7974</v>
      </c>
      <c r="I373" t="s">
        <v>8600</v>
      </c>
      <c r="J373" t="s">
        <v>8625</v>
      </c>
    </row>
    <row r="374" spans="1:10" x14ac:dyDescent="0.25">
      <c r="A374" t="s">
        <v>8626</v>
      </c>
      <c r="B374">
        <v>6.9920000000000009</v>
      </c>
      <c r="C374" t="s">
        <v>8627</v>
      </c>
      <c r="D374" t="s">
        <v>8628</v>
      </c>
      <c r="E374" t="s">
        <v>8598</v>
      </c>
      <c r="F374" t="s">
        <v>7672</v>
      </c>
      <c r="G374" t="s">
        <v>8599</v>
      </c>
      <c r="H374" t="s">
        <v>7974</v>
      </c>
      <c r="I374" t="s">
        <v>8606</v>
      </c>
      <c r="J374" t="s">
        <v>8625</v>
      </c>
    </row>
    <row r="375" spans="1:10" x14ac:dyDescent="0.25">
      <c r="A375" t="s">
        <v>8629</v>
      </c>
      <c r="B375">
        <v>6.9920000000000009</v>
      </c>
      <c r="C375" t="s">
        <v>8630</v>
      </c>
      <c r="D375" t="s">
        <v>8631</v>
      </c>
      <c r="E375" t="s">
        <v>8598</v>
      </c>
      <c r="F375" t="s">
        <v>7672</v>
      </c>
      <c r="G375" t="s">
        <v>8599</v>
      </c>
      <c r="H375" t="s">
        <v>7974</v>
      </c>
      <c r="I375" t="s">
        <v>8606</v>
      </c>
      <c r="J375" t="s">
        <v>8625</v>
      </c>
    </row>
    <row r="376" spans="1:10" x14ac:dyDescent="0.25">
      <c r="A376" t="s">
        <v>8632</v>
      </c>
      <c r="B376">
        <v>6.9920000000000009</v>
      </c>
      <c r="C376" t="s">
        <v>8633</v>
      </c>
      <c r="D376" t="s">
        <v>3832</v>
      </c>
      <c r="E376" t="s">
        <v>8598</v>
      </c>
      <c r="F376" t="s">
        <v>7672</v>
      </c>
      <c r="G376" t="s">
        <v>8599</v>
      </c>
      <c r="H376" t="s">
        <v>7974</v>
      </c>
      <c r="I376" t="s">
        <v>8600</v>
      </c>
      <c r="J376" t="s">
        <v>8625</v>
      </c>
    </row>
    <row r="377" spans="1:10" x14ac:dyDescent="0.25">
      <c r="A377" t="s">
        <v>8634</v>
      </c>
      <c r="B377">
        <v>6.9920000000000009</v>
      </c>
      <c r="C377" t="s">
        <v>8635</v>
      </c>
      <c r="D377" t="s">
        <v>74</v>
      </c>
      <c r="E377" t="s">
        <v>8598</v>
      </c>
      <c r="F377" t="s">
        <v>7672</v>
      </c>
      <c r="G377" t="s">
        <v>8599</v>
      </c>
      <c r="H377" t="s">
        <v>7974</v>
      </c>
      <c r="I377" t="s">
        <v>8606</v>
      </c>
      <c r="J377" t="s">
        <v>8636</v>
      </c>
    </row>
    <row r="378" spans="1:10" x14ac:dyDescent="0.25">
      <c r="A378" t="s">
        <v>8637</v>
      </c>
      <c r="B378">
        <v>6.9920000000000009</v>
      </c>
      <c r="C378" t="s">
        <v>8638</v>
      </c>
      <c r="D378" t="s">
        <v>2572</v>
      </c>
      <c r="E378" t="s">
        <v>8598</v>
      </c>
      <c r="F378" t="s">
        <v>7672</v>
      </c>
      <c r="G378" t="s">
        <v>8599</v>
      </c>
      <c r="H378" t="s">
        <v>7974</v>
      </c>
      <c r="I378" t="s">
        <v>8606</v>
      </c>
      <c r="J378" t="s">
        <v>8636</v>
      </c>
    </row>
    <row r="379" spans="1:10" x14ac:dyDescent="0.25">
      <c r="A379" t="s">
        <v>8639</v>
      </c>
      <c r="B379">
        <v>6.9920000000000009</v>
      </c>
      <c r="C379" t="s">
        <v>8640</v>
      </c>
      <c r="D379" t="s">
        <v>633</v>
      </c>
      <c r="E379" t="s">
        <v>8598</v>
      </c>
      <c r="F379" t="s">
        <v>7672</v>
      </c>
      <c r="G379" t="s">
        <v>8599</v>
      </c>
      <c r="H379" t="s">
        <v>7974</v>
      </c>
      <c r="I379" t="s">
        <v>8600</v>
      </c>
      <c r="J379" t="s">
        <v>8636</v>
      </c>
    </row>
    <row r="380" spans="1:10" x14ac:dyDescent="0.25">
      <c r="A380" t="s">
        <v>8641</v>
      </c>
      <c r="B380">
        <v>6.9920000000000009</v>
      </c>
      <c r="C380" t="s">
        <v>8642</v>
      </c>
      <c r="D380" t="s">
        <v>1827</v>
      </c>
      <c r="E380" t="s">
        <v>8598</v>
      </c>
      <c r="F380" t="s">
        <v>7672</v>
      </c>
      <c r="G380" t="s">
        <v>8599</v>
      </c>
      <c r="H380" t="s">
        <v>7974</v>
      </c>
      <c r="I380" t="s">
        <v>8606</v>
      </c>
      <c r="J380" t="s">
        <v>8643</v>
      </c>
    </row>
    <row r="381" spans="1:10" x14ac:dyDescent="0.25">
      <c r="A381" t="s">
        <v>8644</v>
      </c>
      <c r="B381">
        <v>7.9200000000000008</v>
      </c>
      <c r="C381" t="s">
        <v>8645</v>
      </c>
      <c r="D381" t="s">
        <v>2022</v>
      </c>
      <c r="E381" t="s">
        <v>8646</v>
      </c>
      <c r="F381" t="s">
        <v>7672</v>
      </c>
      <c r="G381" t="s">
        <v>8647</v>
      </c>
      <c r="H381" t="s">
        <v>8301</v>
      </c>
      <c r="I381" t="s">
        <v>8648</v>
      </c>
      <c r="J381" t="s">
        <v>7942</v>
      </c>
    </row>
    <row r="382" spans="1:10" x14ac:dyDescent="0.25">
      <c r="A382" t="s">
        <v>8649</v>
      </c>
      <c r="B382">
        <v>7.9200000000000008</v>
      </c>
      <c r="C382" t="s">
        <v>8650</v>
      </c>
      <c r="D382" t="s">
        <v>95</v>
      </c>
      <c r="E382" t="s">
        <v>8646</v>
      </c>
      <c r="F382" t="s">
        <v>7672</v>
      </c>
      <c r="G382" t="s">
        <v>8647</v>
      </c>
      <c r="H382" t="s">
        <v>8301</v>
      </c>
      <c r="I382" t="s">
        <v>8158</v>
      </c>
      <c r="J382" t="s">
        <v>7942</v>
      </c>
    </row>
    <row r="383" spans="1:10" x14ac:dyDescent="0.25">
      <c r="A383" t="s">
        <v>8651</v>
      </c>
      <c r="B383">
        <v>7.9200000000000008</v>
      </c>
      <c r="C383" t="s">
        <v>8652</v>
      </c>
      <c r="D383" t="s">
        <v>705</v>
      </c>
      <c r="E383" t="s">
        <v>8646</v>
      </c>
      <c r="F383" t="s">
        <v>7672</v>
      </c>
      <c r="G383" t="s">
        <v>8647</v>
      </c>
      <c r="H383" t="s">
        <v>8301</v>
      </c>
      <c r="I383" t="s">
        <v>8653</v>
      </c>
      <c r="J383" t="s">
        <v>7942</v>
      </c>
    </row>
    <row r="384" spans="1:10" x14ac:dyDescent="0.25">
      <c r="A384" t="s">
        <v>8654</v>
      </c>
      <c r="B384">
        <v>7.9200000000000008</v>
      </c>
      <c r="C384" t="s">
        <v>8655</v>
      </c>
      <c r="D384" t="s">
        <v>385</v>
      </c>
      <c r="E384" t="s">
        <v>8646</v>
      </c>
      <c r="F384" t="s">
        <v>7672</v>
      </c>
      <c r="G384" t="s">
        <v>8647</v>
      </c>
      <c r="H384" t="s">
        <v>8301</v>
      </c>
      <c r="I384" t="s">
        <v>8656</v>
      </c>
      <c r="J384" t="s">
        <v>7942</v>
      </c>
    </row>
    <row r="385" spans="1:10" x14ac:dyDescent="0.25">
      <c r="A385" t="s">
        <v>2002</v>
      </c>
      <c r="B385">
        <v>19.600000000000001</v>
      </c>
      <c r="C385" t="s">
        <v>2004</v>
      </c>
      <c r="D385" t="s">
        <v>981</v>
      </c>
      <c r="E385" t="s">
        <v>2005</v>
      </c>
      <c r="F385" t="s">
        <v>7672</v>
      </c>
      <c r="G385" t="s">
        <v>8657</v>
      </c>
      <c r="H385" t="s">
        <v>7954</v>
      </c>
      <c r="I385" t="s">
        <v>2007</v>
      </c>
      <c r="J385" t="s">
        <v>8658</v>
      </c>
    </row>
    <row r="386" spans="1:10" x14ac:dyDescent="0.25">
      <c r="A386" t="s">
        <v>2008</v>
      </c>
      <c r="B386">
        <v>19.600000000000001</v>
      </c>
      <c r="C386" t="s">
        <v>2010</v>
      </c>
      <c r="D386" t="s">
        <v>342</v>
      </c>
      <c r="E386" t="s">
        <v>2005</v>
      </c>
      <c r="F386" t="s">
        <v>7672</v>
      </c>
      <c r="G386" t="s">
        <v>8657</v>
      </c>
      <c r="H386" t="s">
        <v>7954</v>
      </c>
      <c r="I386" t="s">
        <v>2007</v>
      </c>
      <c r="J386" t="s">
        <v>8659</v>
      </c>
    </row>
    <row r="387" spans="1:10" x14ac:dyDescent="0.25">
      <c r="A387" t="s">
        <v>8660</v>
      </c>
      <c r="B387">
        <v>6.5920000000000014</v>
      </c>
      <c r="C387" t="s">
        <v>8661</v>
      </c>
      <c r="D387" t="s">
        <v>8631</v>
      </c>
      <c r="E387" t="s">
        <v>8662</v>
      </c>
      <c r="F387" t="s">
        <v>7672</v>
      </c>
      <c r="G387" t="s">
        <v>8663</v>
      </c>
      <c r="H387" t="s">
        <v>7674</v>
      </c>
      <c r="I387" t="s">
        <v>8664</v>
      </c>
      <c r="J387" t="s">
        <v>7675</v>
      </c>
    </row>
    <row r="388" spans="1:10" x14ac:dyDescent="0.25">
      <c r="A388" t="s">
        <v>8665</v>
      </c>
      <c r="B388">
        <v>6.5920000000000014</v>
      </c>
      <c r="C388" t="s">
        <v>8666</v>
      </c>
      <c r="D388" t="s">
        <v>8667</v>
      </c>
      <c r="E388" t="s">
        <v>8662</v>
      </c>
      <c r="F388" t="s">
        <v>7672</v>
      </c>
      <c r="G388" t="s">
        <v>8663</v>
      </c>
      <c r="H388" t="s">
        <v>7674</v>
      </c>
      <c r="I388" t="s">
        <v>8668</v>
      </c>
      <c r="J388" t="s">
        <v>7675</v>
      </c>
    </row>
    <row r="389" spans="1:10" x14ac:dyDescent="0.25">
      <c r="A389" t="s">
        <v>8669</v>
      </c>
      <c r="B389">
        <v>8.3920000000000012</v>
      </c>
      <c r="C389" t="s">
        <v>8670</v>
      </c>
      <c r="D389" t="s">
        <v>342</v>
      </c>
      <c r="E389" t="s">
        <v>8671</v>
      </c>
      <c r="F389" t="s">
        <v>7672</v>
      </c>
      <c r="G389" t="s">
        <v>8672</v>
      </c>
      <c r="H389" t="s">
        <v>8673</v>
      </c>
      <c r="I389" t="s">
        <v>8674</v>
      </c>
      <c r="J389" t="s">
        <v>8675</v>
      </c>
    </row>
    <row r="390" spans="1:10" x14ac:dyDescent="0.25">
      <c r="A390" t="s">
        <v>8676</v>
      </c>
      <c r="B390">
        <v>5.5920000000000014</v>
      </c>
      <c r="C390" t="s">
        <v>8677</v>
      </c>
      <c r="D390" t="s">
        <v>352</v>
      </c>
      <c r="E390" t="s">
        <v>8671</v>
      </c>
      <c r="F390" t="s">
        <v>7672</v>
      </c>
      <c r="G390" t="s">
        <v>8672</v>
      </c>
      <c r="H390" t="s">
        <v>8673</v>
      </c>
      <c r="I390" t="s">
        <v>8678</v>
      </c>
      <c r="J390" t="s">
        <v>8675</v>
      </c>
    </row>
    <row r="391" spans="1:10" x14ac:dyDescent="0.25">
      <c r="A391" t="s">
        <v>8679</v>
      </c>
      <c r="B391">
        <v>8.3920000000000012</v>
      </c>
      <c r="C391" t="s">
        <v>8680</v>
      </c>
      <c r="D391" t="s">
        <v>3577</v>
      </c>
      <c r="E391" t="s">
        <v>8671</v>
      </c>
      <c r="F391" t="s">
        <v>7672</v>
      </c>
      <c r="G391" t="s">
        <v>8672</v>
      </c>
      <c r="H391" t="s">
        <v>8673</v>
      </c>
      <c r="I391" t="s">
        <v>8681</v>
      </c>
      <c r="J391" t="s">
        <v>8675</v>
      </c>
    </row>
    <row r="392" spans="1:10" x14ac:dyDescent="0.25">
      <c r="A392" t="s">
        <v>8682</v>
      </c>
      <c r="B392">
        <v>8.3920000000000012</v>
      </c>
      <c r="C392" t="s">
        <v>8683</v>
      </c>
      <c r="D392" t="s">
        <v>199</v>
      </c>
      <c r="E392" t="s">
        <v>8671</v>
      </c>
      <c r="F392" t="s">
        <v>7672</v>
      </c>
      <c r="G392" t="s">
        <v>8672</v>
      </c>
      <c r="H392" t="s">
        <v>8673</v>
      </c>
      <c r="I392" t="s">
        <v>8681</v>
      </c>
      <c r="J392" t="s">
        <v>8684</v>
      </c>
    </row>
    <row r="393" spans="1:10" x14ac:dyDescent="0.25">
      <c r="A393" t="s">
        <v>8685</v>
      </c>
      <c r="B393">
        <v>8.3920000000000012</v>
      </c>
      <c r="C393" t="s">
        <v>8686</v>
      </c>
      <c r="D393" t="s">
        <v>781</v>
      </c>
      <c r="E393" t="s">
        <v>8671</v>
      </c>
      <c r="F393" t="s">
        <v>7672</v>
      </c>
      <c r="G393" t="s">
        <v>8672</v>
      </c>
      <c r="H393" t="s">
        <v>8673</v>
      </c>
      <c r="I393" t="s">
        <v>8681</v>
      </c>
      <c r="J393" t="s">
        <v>8687</v>
      </c>
    </row>
    <row r="394" spans="1:10" x14ac:dyDescent="0.25">
      <c r="A394" t="s">
        <v>8688</v>
      </c>
      <c r="B394">
        <v>5.5920000000000014</v>
      </c>
      <c r="C394" t="s">
        <v>8689</v>
      </c>
      <c r="D394" t="s">
        <v>269</v>
      </c>
      <c r="E394" t="s">
        <v>8671</v>
      </c>
      <c r="F394" t="s">
        <v>7672</v>
      </c>
      <c r="G394" t="s">
        <v>8672</v>
      </c>
      <c r="H394" t="s">
        <v>8673</v>
      </c>
      <c r="I394" t="s">
        <v>8678</v>
      </c>
      <c r="J394" t="s">
        <v>8687</v>
      </c>
    </row>
    <row r="395" spans="1:10" x14ac:dyDescent="0.25">
      <c r="A395" t="s">
        <v>8690</v>
      </c>
      <c r="B395">
        <v>8.3920000000000012</v>
      </c>
      <c r="C395" t="s">
        <v>8691</v>
      </c>
      <c r="D395" t="s">
        <v>720</v>
      </c>
      <c r="E395" t="s">
        <v>8671</v>
      </c>
      <c r="F395" t="s">
        <v>7672</v>
      </c>
      <c r="G395" t="s">
        <v>8672</v>
      </c>
      <c r="H395" t="s">
        <v>8673</v>
      </c>
      <c r="I395" t="s">
        <v>8674</v>
      </c>
      <c r="J395" t="s">
        <v>8692</v>
      </c>
    </row>
    <row r="396" spans="1:10" x14ac:dyDescent="0.25">
      <c r="A396" t="s">
        <v>8693</v>
      </c>
      <c r="B396">
        <v>8.3920000000000012</v>
      </c>
      <c r="C396" t="s">
        <v>8694</v>
      </c>
      <c r="D396" t="s">
        <v>321</v>
      </c>
      <c r="E396" t="s">
        <v>8671</v>
      </c>
      <c r="F396" t="s">
        <v>7672</v>
      </c>
      <c r="G396" t="s">
        <v>8672</v>
      </c>
      <c r="H396" t="s">
        <v>8673</v>
      </c>
      <c r="I396" t="s">
        <v>8681</v>
      </c>
      <c r="J396" t="s">
        <v>8692</v>
      </c>
    </row>
    <row r="397" spans="1:10" x14ac:dyDescent="0.25">
      <c r="A397" t="s">
        <v>8695</v>
      </c>
      <c r="B397">
        <v>5.5920000000000014</v>
      </c>
      <c r="C397" t="s">
        <v>8696</v>
      </c>
      <c r="D397" t="s">
        <v>582</v>
      </c>
      <c r="E397" t="s">
        <v>8671</v>
      </c>
      <c r="F397" t="s">
        <v>7672</v>
      </c>
      <c r="G397" t="s">
        <v>8672</v>
      </c>
      <c r="H397" t="s">
        <v>8673</v>
      </c>
      <c r="I397" t="s">
        <v>8678</v>
      </c>
      <c r="J397" t="s">
        <v>8692</v>
      </c>
    </row>
    <row r="398" spans="1:10" x14ac:dyDescent="0.25">
      <c r="A398" t="s">
        <v>8697</v>
      </c>
      <c r="B398">
        <v>8.3920000000000012</v>
      </c>
      <c r="C398" t="s">
        <v>8698</v>
      </c>
      <c r="D398" t="s">
        <v>4100</v>
      </c>
      <c r="E398" t="s">
        <v>8671</v>
      </c>
      <c r="F398" t="s">
        <v>7672</v>
      </c>
      <c r="G398" t="s">
        <v>8672</v>
      </c>
      <c r="H398" t="s">
        <v>8673</v>
      </c>
      <c r="I398" t="s">
        <v>8674</v>
      </c>
      <c r="J398" t="s">
        <v>8699</v>
      </c>
    </row>
    <row r="399" spans="1:10" x14ac:dyDescent="0.25">
      <c r="A399" t="s">
        <v>8700</v>
      </c>
      <c r="B399">
        <v>8.3920000000000012</v>
      </c>
      <c r="C399" t="s">
        <v>8701</v>
      </c>
      <c r="D399" t="s">
        <v>981</v>
      </c>
      <c r="E399" t="s">
        <v>8671</v>
      </c>
      <c r="F399" t="s">
        <v>7672</v>
      </c>
      <c r="G399" t="s">
        <v>8672</v>
      </c>
      <c r="H399" t="s">
        <v>8673</v>
      </c>
      <c r="I399" t="s">
        <v>8681</v>
      </c>
      <c r="J399" t="s">
        <v>8699</v>
      </c>
    </row>
    <row r="400" spans="1:10" x14ac:dyDescent="0.25">
      <c r="A400" t="s">
        <v>8702</v>
      </c>
      <c r="B400">
        <v>8.3920000000000012</v>
      </c>
      <c r="C400" t="s">
        <v>8703</v>
      </c>
      <c r="D400" t="s">
        <v>865</v>
      </c>
      <c r="E400" t="s">
        <v>8671</v>
      </c>
      <c r="F400" t="s">
        <v>7672</v>
      </c>
      <c r="G400" t="s">
        <v>8672</v>
      </c>
      <c r="H400" t="s">
        <v>8673</v>
      </c>
      <c r="I400" t="s">
        <v>8681</v>
      </c>
      <c r="J400" t="s">
        <v>8704</v>
      </c>
    </row>
    <row r="401" spans="1:10" x14ac:dyDescent="0.25">
      <c r="A401" t="s">
        <v>8705</v>
      </c>
      <c r="B401">
        <v>8.3920000000000012</v>
      </c>
      <c r="C401" t="s">
        <v>8706</v>
      </c>
      <c r="D401" t="s">
        <v>913</v>
      </c>
      <c r="E401" t="s">
        <v>8671</v>
      </c>
      <c r="F401" t="s">
        <v>7672</v>
      </c>
      <c r="G401" t="s">
        <v>8672</v>
      </c>
      <c r="H401" t="s">
        <v>8673</v>
      </c>
      <c r="I401" t="s">
        <v>8674</v>
      </c>
      <c r="J401" t="s">
        <v>8704</v>
      </c>
    </row>
    <row r="402" spans="1:10" x14ac:dyDescent="0.25">
      <c r="A402" t="s">
        <v>8707</v>
      </c>
      <c r="B402">
        <v>8.3920000000000012</v>
      </c>
      <c r="C402" t="s">
        <v>8708</v>
      </c>
      <c r="D402" t="s">
        <v>199</v>
      </c>
      <c r="E402" t="s">
        <v>8671</v>
      </c>
      <c r="F402" t="s">
        <v>7672</v>
      </c>
      <c r="G402" t="s">
        <v>8672</v>
      </c>
      <c r="H402" t="s">
        <v>8673</v>
      </c>
      <c r="I402" t="s">
        <v>8709</v>
      </c>
      <c r="J402" t="s">
        <v>8704</v>
      </c>
    </row>
    <row r="403" spans="1:10" x14ac:dyDescent="0.25">
      <c r="A403" t="s">
        <v>8710</v>
      </c>
      <c r="B403">
        <v>8.3920000000000012</v>
      </c>
      <c r="C403" t="s">
        <v>8711</v>
      </c>
      <c r="D403" t="s">
        <v>7670</v>
      </c>
      <c r="E403" t="s">
        <v>8671</v>
      </c>
      <c r="F403" t="s">
        <v>7672</v>
      </c>
      <c r="G403" t="s">
        <v>8672</v>
      </c>
      <c r="H403" t="s">
        <v>8673</v>
      </c>
      <c r="I403" t="s">
        <v>8681</v>
      </c>
      <c r="J403" t="s">
        <v>8712</v>
      </c>
    </row>
    <row r="404" spans="1:10" x14ac:dyDescent="0.25">
      <c r="A404" t="s">
        <v>8713</v>
      </c>
      <c r="B404">
        <v>8.3920000000000012</v>
      </c>
      <c r="C404" t="s">
        <v>8714</v>
      </c>
      <c r="D404" t="s">
        <v>8715</v>
      </c>
      <c r="E404" t="s">
        <v>8671</v>
      </c>
      <c r="F404" t="s">
        <v>7672</v>
      </c>
      <c r="G404" t="s">
        <v>8672</v>
      </c>
      <c r="H404" t="s">
        <v>8673</v>
      </c>
      <c r="I404" t="s">
        <v>8674</v>
      </c>
      <c r="J404" t="s">
        <v>8712</v>
      </c>
    </row>
    <row r="405" spans="1:10" x14ac:dyDescent="0.25">
      <c r="A405" t="s">
        <v>8716</v>
      </c>
      <c r="B405">
        <v>5.5920000000000014</v>
      </c>
      <c r="C405" t="s">
        <v>8717</v>
      </c>
      <c r="D405" t="s">
        <v>1386</v>
      </c>
      <c r="E405" t="s">
        <v>8671</v>
      </c>
      <c r="F405" t="s">
        <v>7672</v>
      </c>
      <c r="G405" t="s">
        <v>8672</v>
      </c>
      <c r="H405" t="s">
        <v>8673</v>
      </c>
      <c r="I405" t="s">
        <v>8678</v>
      </c>
      <c r="J405" t="s">
        <v>8712</v>
      </c>
    </row>
    <row r="406" spans="1:10" x14ac:dyDescent="0.25">
      <c r="A406" t="s">
        <v>8718</v>
      </c>
      <c r="B406">
        <v>5.5920000000000014</v>
      </c>
      <c r="C406" t="s">
        <v>8719</v>
      </c>
      <c r="D406" t="s">
        <v>106</v>
      </c>
      <c r="E406" t="s">
        <v>8671</v>
      </c>
      <c r="F406" t="s">
        <v>7672</v>
      </c>
      <c r="G406" t="s">
        <v>8672</v>
      </c>
      <c r="H406" t="s">
        <v>8673</v>
      </c>
      <c r="I406" t="s">
        <v>8720</v>
      </c>
      <c r="J406" t="s">
        <v>8712</v>
      </c>
    </row>
    <row r="407" spans="1:10" x14ac:dyDescent="0.25">
      <c r="A407" t="s">
        <v>8721</v>
      </c>
      <c r="B407">
        <v>8.3920000000000012</v>
      </c>
      <c r="C407" t="s">
        <v>8722</v>
      </c>
      <c r="D407" t="s">
        <v>234</v>
      </c>
      <c r="E407" t="s">
        <v>8671</v>
      </c>
      <c r="F407" t="s">
        <v>7672</v>
      </c>
      <c r="G407" t="s">
        <v>8672</v>
      </c>
      <c r="H407" t="s">
        <v>8673</v>
      </c>
      <c r="I407" t="s">
        <v>8709</v>
      </c>
      <c r="J407" t="s">
        <v>8712</v>
      </c>
    </row>
    <row r="408" spans="1:10" x14ac:dyDescent="0.25">
      <c r="A408" t="s">
        <v>8723</v>
      </c>
      <c r="B408">
        <v>8.3920000000000012</v>
      </c>
      <c r="C408" t="s">
        <v>8724</v>
      </c>
      <c r="D408" t="s">
        <v>8004</v>
      </c>
      <c r="E408" t="s">
        <v>8671</v>
      </c>
      <c r="F408" t="s">
        <v>7672</v>
      </c>
      <c r="G408" t="s">
        <v>8672</v>
      </c>
      <c r="H408" t="s">
        <v>8673</v>
      </c>
      <c r="I408" t="s">
        <v>8674</v>
      </c>
      <c r="J408" t="s">
        <v>8725</v>
      </c>
    </row>
    <row r="409" spans="1:10" x14ac:dyDescent="0.25">
      <c r="A409" t="s">
        <v>8726</v>
      </c>
      <c r="B409">
        <v>8.3920000000000012</v>
      </c>
      <c r="C409" t="s">
        <v>8727</v>
      </c>
      <c r="D409" t="s">
        <v>1884</v>
      </c>
      <c r="E409" t="s">
        <v>8671</v>
      </c>
      <c r="F409" t="s">
        <v>7672</v>
      </c>
      <c r="G409" t="s">
        <v>8672</v>
      </c>
      <c r="H409" t="s">
        <v>8673</v>
      </c>
      <c r="I409" t="s">
        <v>8681</v>
      </c>
      <c r="J409" t="s">
        <v>8725</v>
      </c>
    </row>
    <row r="410" spans="1:10" x14ac:dyDescent="0.25">
      <c r="A410" t="s">
        <v>8728</v>
      </c>
      <c r="B410">
        <v>5.5920000000000014</v>
      </c>
      <c r="C410" t="s">
        <v>8729</v>
      </c>
      <c r="D410" t="s">
        <v>8730</v>
      </c>
      <c r="E410" t="s">
        <v>8671</v>
      </c>
      <c r="F410" t="s">
        <v>7672</v>
      </c>
      <c r="G410" t="s">
        <v>8672</v>
      </c>
      <c r="H410" t="s">
        <v>8673</v>
      </c>
      <c r="I410" t="s">
        <v>8720</v>
      </c>
      <c r="J410" t="s">
        <v>8725</v>
      </c>
    </row>
    <row r="411" spans="1:10" x14ac:dyDescent="0.25">
      <c r="A411" t="s">
        <v>8731</v>
      </c>
      <c r="B411">
        <v>8.3920000000000012</v>
      </c>
      <c r="C411" t="s">
        <v>8732</v>
      </c>
      <c r="D411" t="s">
        <v>2884</v>
      </c>
      <c r="E411" t="s">
        <v>8671</v>
      </c>
      <c r="F411" t="s">
        <v>7672</v>
      </c>
      <c r="G411" t="s">
        <v>8672</v>
      </c>
      <c r="H411" t="s">
        <v>8673</v>
      </c>
      <c r="I411" t="s">
        <v>8709</v>
      </c>
      <c r="J411" t="s">
        <v>8725</v>
      </c>
    </row>
    <row r="412" spans="1:10" x14ac:dyDescent="0.25">
      <c r="A412" t="s">
        <v>8733</v>
      </c>
      <c r="B412">
        <v>5.5920000000000014</v>
      </c>
      <c r="C412" t="s">
        <v>8734</v>
      </c>
      <c r="D412" t="s">
        <v>3409</v>
      </c>
      <c r="E412" t="s">
        <v>8671</v>
      </c>
      <c r="F412" t="s">
        <v>7672</v>
      </c>
      <c r="G412" t="s">
        <v>8672</v>
      </c>
      <c r="H412" t="s">
        <v>8673</v>
      </c>
      <c r="I412" t="s">
        <v>8678</v>
      </c>
      <c r="J412" t="s">
        <v>8725</v>
      </c>
    </row>
    <row r="413" spans="1:10" x14ac:dyDescent="0.25">
      <c r="A413" t="s">
        <v>8735</v>
      </c>
      <c r="B413">
        <v>8.3920000000000012</v>
      </c>
      <c r="C413" t="s">
        <v>8736</v>
      </c>
      <c r="D413" t="s">
        <v>964</v>
      </c>
      <c r="E413" t="s">
        <v>8671</v>
      </c>
      <c r="F413" t="s">
        <v>7672</v>
      </c>
      <c r="G413" t="s">
        <v>8672</v>
      </c>
      <c r="H413" t="s">
        <v>8673</v>
      </c>
      <c r="I413" t="s">
        <v>8674</v>
      </c>
      <c r="J413" t="s">
        <v>8737</v>
      </c>
    </row>
    <row r="414" spans="1:10" x14ac:dyDescent="0.25">
      <c r="A414" t="s">
        <v>8738</v>
      </c>
      <c r="B414">
        <v>5.5920000000000014</v>
      </c>
      <c r="C414" t="s">
        <v>8739</v>
      </c>
      <c r="D414" t="s">
        <v>199</v>
      </c>
      <c r="E414" t="s">
        <v>8671</v>
      </c>
      <c r="F414" t="s">
        <v>7672</v>
      </c>
      <c r="G414" t="s">
        <v>8672</v>
      </c>
      <c r="H414" t="s">
        <v>8673</v>
      </c>
      <c r="I414" t="s">
        <v>8678</v>
      </c>
      <c r="J414" t="s">
        <v>8737</v>
      </c>
    </row>
    <row r="415" spans="1:10" x14ac:dyDescent="0.25">
      <c r="A415" t="s">
        <v>8740</v>
      </c>
      <c r="B415">
        <v>8.3920000000000012</v>
      </c>
      <c r="C415" t="s">
        <v>8741</v>
      </c>
      <c r="D415" t="s">
        <v>301</v>
      </c>
      <c r="E415" t="s">
        <v>8671</v>
      </c>
      <c r="F415" t="s">
        <v>7672</v>
      </c>
      <c r="G415" t="s">
        <v>8672</v>
      </c>
      <c r="H415" t="s">
        <v>8673</v>
      </c>
      <c r="I415" t="s">
        <v>8681</v>
      </c>
      <c r="J415" t="s">
        <v>8737</v>
      </c>
    </row>
    <row r="416" spans="1:10" x14ac:dyDescent="0.25">
      <c r="A416" t="s">
        <v>8742</v>
      </c>
      <c r="B416">
        <v>8.8000000000000007</v>
      </c>
      <c r="C416" t="s">
        <v>8743</v>
      </c>
      <c r="D416" t="s">
        <v>8744</v>
      </c>
      <c r="E416" t="s">
        <v>8745</v>
      </c>
      <c r="F416" t="s">
        <v>7672</v>
      </c>
      <c r="G416" t="s">
        <v>8746</v>
      </c>
      <c r="H416" t="s">
        <v>7974</v>
      </c>
      <c r="I416" t="s">
        <v>8747</v>
      </c>
      <c r="J416" t="s">
        <v>7984</v>
      </c>
    </row>
    <row r="417" spans="1:10" x14ac:dyDescent="0.25">
      <c r="A417" t="s">
        <v>8748</v>
      </c>
      <c r="B417">
        <v>8.8000000000000007</v>
      </c>
      <c r="C417" t="s">
        <v>8749</v>
      </c>
      <c r="D417" t="s">
        <v>633</v>
      </c>
      <c r="E417" t="s">
        <v>8745</v>
      </c>
      <c r="F417" t="s">
        <v>7672</v>
      </c>
      <c r="G417" t="s">
        <v>8746</v>
      </c>
      <c r="H417" t="s">
        <v>7974</v>
      </c>
      <c r="I417" t="s">
        <v>3567</v>
      </c>
      <c r="J417" t="s">
        <v>7984</v>
      </c>
    </row>
    <row r="418" spans="1:10" x14ac:dyDescent="0.25">
      <c r="A418" t="s">
        <v>8750</v>
      </c>
      <c r="B418">
        <v>8.8000000000000007</v>
      </c>
      <c r="C418" t="s">
        <v>8751</v>
      </c>
      <c r="D418" t="s">
        <v>1621</v>
      </c>
      <c r="E418" t="s">
        <v>8745</v>
      </c>
      <c r="F418" t="s">
        <v>7672</v>
      </c>
      <c r="G418" t="s">
        <v>8746</v>
      </c>
      <c r="H418" t="s">
        <v>7974</v>
      </c>
      <c r="I418" t="s">
        <v>8752</v>
      </c>
      <c r="J418" t="s">
        <v>7984</v>
      </c>
    </row>
    <row r="419" spans="1:10" x14ac:dyDescent="0.25">
      <c r="A419" t="s">
        <v>8753</v>
      </c>
      <c r="B419">
        <v>8.8000000000000007</v>
      </c>
      <c r="C419" t="s">
        <v>8754</v>
      </c>
      <c r="D419" t="s">
        <v>3590</v>
      </c>
      <c r="E419" t="s">
        <v>8745</v>
      </c>
      <c r="F419" t="s">
        <v>7672</v>
      </c>
      <c r="G419" t="s">
        <v>8746</v>
      </c>
      <c r="H419" t="s">
        <v>7974</v>
      </c>
      <c r="I419" t="s">
        <v>8747</v>
      </c>
      <c r="J419" t="s">
        <v>7987</v>
      </c>
    </row>
    <row r="420" spans="1:10" x14ac:dyDescent="0.25">
      <c r="A420" t="s">
        <v>8755</v>
      </c>
      <c r="B420">
        <v>8.8000000000000007</v>
      </c>
      <c r="C420" t="s">
        <v>8756</v>
      </c>
      <c r="D420" t="s">
        <v>3415</v>
      </c>
      <c r="E420" t="s">
        <v>8745</v>
      </c>
      <c r="F420" t="s">
        <v>7672</v>
      </c>
      <c r="G420" t="s">
        <v>8746</v>
      </c>
      <c r="H420" t="s">
        <v>7974</v>
      </c>
      <c r="I420" t="s">
        <v>3567</v>
      </c>
      <c r="J420" t="s">
        <v>7987</v>
      </c>
    </row>
    <row r="421" spans="1:10" x14ac:dyDescent="0.25">
      <c r="A421" t="s">
        <v>8757</v>
      </c>
      <c r="B421">
        <v>8.8000000000000007</v>
      </c>
      <c r="C421" t="s">
        <v>8758</v>
      </c>
      <c r="D421" t="s">
        <v>8759</v>
      </c>
      <c r="E421" t="s">
        <v>8745</v>
      </c>
      <c r="F421" t="s">
        <v>7672</v>
      </c>
      <c r="G421" t="s">
        <v>8746</v>
      </c>
      <c r="H421" t="s">
        <v>7974</v>
      </c>
      <c r="I421" t="s">
        <v>8752</v>
      </c>
      <c r="J421" t="s">
        <v>7987</v>
      </c>
    </row>
    <row r="422" spans="1:10" x14ac:dyDescent="0.25">
      <c r="A422" t="s">
        <v>8760</v>
      </c>
      <c r="B422">
        <v>8.8000000000000007</v>
      </c>
      <c r="C422" t="s">
        <v>8761</v>
      </c>
      <c r="D422" t="s">
        <v>8762</v>
      </c>
      <c r="E422" t="s">
        <v>8745</v>
      </c>
      <c r="F422" t="s">
        <v>7672</v>
      </c>
      <c r="G422" t="s">
        <v>8746</v>
      </c>
      <c r="H422" t="s">
        <v>7974</v>
      </c>
      <c r="I422" t="s">
        <v>3567</v>
      </c>
      <c r="J422" t="s">
        <v>8001</v>
      </c>
    </row>
    <row r="423" spans="1:10" x14ac:dyDescent="0.25">
      <c r="A423" t="s">
        <v>8763</v>
      </c>
      <c r="B423">
        <v>8.8000000000000007</v>
      </c>
      <c r="C423" t="s">
        <v>8764</v>
      </c>
      <c r="D423" t="s">
        <v>3470</v>
      </c>
      <c r="E423" t="s">
        <v>8745</v>
      </c>
      <c r="F423" t="s">
        <v>7672</v>
      </c>
      <c r="G423" t="s">
        <v>8746</v>
      </c>
      <c r="H423" t="s">
        <v>7974</v>
      </c>
      <c r="I423" t="s">
        <v>8752</v>
      </c>
      <c r="J423" t="s">
        <v>8001</v>
      </c>
    </row>
    <row r="424" spans="1:10" x14ac:dyDescent="0.25">
      <c r="A424" t="s">
        <v>8765</v>
      </c>
      <c r="B424">
        <v>8.8000000000000007</v>
      </c>
      <c r="C424" t="s">
        <v>8766</v>
      </c>
      <c r="D424" t="s">
        <v>8767</v>
      </c>
      <c r="E424" t="s">
        <v>8745</v>
      </c>
      <c r="F424" t="s">
        <v>7672</v>
      </c>
      <c r="G424" t="s">
        <v>8746</v>
      </c>
      <c r="H424" t="s">
        <v>7974</v>
      </c>
      <c r="I424" t="s">
        <v>8747</v>
      </c>
      <c r="J424" t="s">
        <v>8001</v>
      </c>
    </row>
    <row r="425" spans="1:10" x14ac:dyDescent="0.25">
      <c r="A425" t="s">
        <v>8768</v>
      </c>
      <c r="B425">
        <v>8.8000000000000007</v>
      </c>
      <c r="C425" t="s">
        <v>8769</v>
      </c>
      <c r="D425" t="s">
        <v>8770</v>
      </c>
      <c r="E425" t="s">
        <v>8745</v>
      </c>
      <c r="F425" t="s">
        <v>7672</v>
      </c>
      <c r="G425" t="s">
        <v>8746</v>
      </c>
      <c r="H425" t="s">
        <v>7974</v>
      </c>
      <c r="I425" t="s">
        <v>3567</v>
      </c>
      <c r="J425" t="s">
        <v>8013</v>
      </c>
    </row>
    <row r="426" spans="1:10" x14ac:dyDescent="0.25">
      <c r="A426" t="s">
        <v>8771</v>
      </c>
      <c r="B426">
        <v>8.8000000000000007</v>
      </c>
      <c r="C426" t="s">
        <v>8772</v>
      </c>
      <c r="D426" t="s">
        <v>164</v>
      </c>
      <c r="E426" t="s">
        <v>8745</v>
      </c>
      <c r="F426" t="s">
        <v>7672</v>
      </c>
      <c r="G426" t="s">
        <v>8746</v>
      </c>
      <c r="H426" t="s">
        <v>7974</v>
      </c>
      <c r="I426" t="s">
        <v>8752</v>
      </c>
      <c r="J426" t="s">
        <v>8013</v>
      </c>
    </row>
    <row r="427" spans="1:10" x14ac:dyDescent="0.25">
      <c r="A427" t="s">
        <v>8773</v>
      </c>
      <c r="B427">
        <v>8.8000000000000007</v>
      </c>
      <c r="C427" t="s">
        <v>8774</v>
      </c>
      <c r="D427" t="s">
        <v>67</v>
      </c>
      <c r="E427" t="s">
        <v>8745</v>
      </c>
      <c r="F427" t="s">
        <v>7672</v>
      </c>
      <c r="G427" t="s">
        <v>8746</v>
      </c>
      <c r="H427" t="s">
        <v>7974</v>
      </c>
      <c r="I427" t="s">
        <v>8747</v>
      </c>
      <c r="J427" t="s">
        <v>8013</v>
      </c>
    </row>
    <row r="428" spans="1:10" x14ac:dyDescent="0.25">
      <c r="A428" t="s">
        <v>8775</v>
      </c>
      <c r="B428">
        <v>25.2</v>
      </c>
      <c r="C428" t="s">
        <v>8776</v>
      </c>
      <c r="D428" t="s">
        <v>3872</v>
      </c>
      <c r="E428" t="s">
        <v>8777</v>
      </c>
      <c r="F428" t="s">
        <v>7672</v>
      </c>
      <c r="G428" t="s">
        <v>8778</v>
      </c>
      <c r="H428" t="s">
        <v>8779</v>
      </c>
      <c r="I428" t="s">
        <v>76</v>
      </c>
      <c r="J428" t="s">
        <v>8780</v>
      </c>
    </row>
    <row r="429" spans="1:10" x14ac:dyDescent="0.25">
      <c r="A429" t="s">
        <v>8781</v>
      </c>
      <c r="B429">
        <v>25.2</v>
      </c>
      <c r="C429" t="s">
        <v>8782</v>
      </c>
      <c r="D429" t="s">
        <v>4011</v>
      </c>
      <c r="E429" t="s">
        <v>8777</v>
      </c>
      <c r="F429" t="s">
        <v>7672</v>
      </c>
      <c r="G429" t="s">
        <v>8778</v>
      </c>
      <c r="H429" t="s">
        <v>8779</v>
      </c>
      <c r="I429" t="s">
        <v>8783</v>
      </c>
      <c r="J429" t="s">
        <v>8780</v>
      </c>
    </row>
    <row r="430" spans="1:10" x14ac:dyDescent="0.25">
      <c r="A430" t="s">
        <v>8784</v>
      </c>
      <c r="B430">
        <v>25.2</v>
      </c>
      <c r="C430" t="s">
        <v>8785</v>
      </c>
      <c r="D430" t="s">
        <v>8786</v>
      </c>
      <c r="E430" t="s">
        <v>8777</v>
      </c>
      <c r="F430" t="s">
        <v>7672</v>
      </c>
      <c r="G430" t="s">
        <v>8778</v>
      </c>
      <c r="H430" t="s">
        <v>8779</v>
      </c>
      <c r="I430" t="s">
        <v>1490</v>
      </c>
      <c r="J430" t="s">
        <v>8780</v>
      </c>
    </row>
    <row r="431" spans="1:10" x14ac:dyDescent="0.25">
      <c r="A431" t="s">
        <v>8787</v>
      </c>
      <c r="B431">
        <v>25.2</v>
      </c>
      <c r="C431" t="s">
        <v>8788</v>
      </c>
      <c r="D431" t="s">
        <v>3640</v>
      </c>
      <c r="E431" t="s">
        <v>8777</v>
      </c>
      <c r="F431" t="s">
        <v>7672</v>
      </c>
      <c r="G431" t="s">
        <v>8778</v>
      </c>
      <c r="H431" t="s">
        <v>8779</v>
      </c>
      <c r="I431" t="s">
        <v>76</v>
      </c>
      <c r="J431" t="s">
        <v>8789</v>
      </c>
    </row>
    <row r="432" spans="1:10" x14ac:dyDescent="0.25">
      <c r="A432" t="s">
        <v>8790</v>
      </c>
      <c r="B432">
        <v>25.2</v>
      </c>
      <c r="C432" t="s">
        <v>8791</v>
      </c>
      <c r="D432" t="s">
        <v>5283</v>
      </c>
      <c r="E432" t="s">
        <v>8777</v>
      </c>
      <c r="F432" t="s">
        <v>7672</v>
      </c>
      <c r="G432" t="s">
        <v>8778</v>
      </c>
      <c r="H432" t="s">
        <v>8779</v>
      </c>
      <c r="I432" t="s">
        <v>8783</v>
      </c>
      <c r="J432" t="s">
        <v>8789</v>
      </c>
    </row>
    <row r="433" spans="1:10" x14ac:dyDescent="0.25">
      <c r="A433" t="s">
        <v>8792</v>
      </c>
      <c r="B433">
        <v>25.2</v>
      </c>
      <c r="C433" t="s">
        <v>8793</v>
      </c>
      <c r="D433" t="s">
        <v>2879</v>
      </c>
      <c r="E433" t="s">
        <v>8777</v>
      </c>
      <c r="F433" t="s">
        <v>7672</v>
      </c>
      <c r="G433" t="s">
        <v>8778</v>
      </c>
      <c r="H433" t="s">
        <v>8779</v>
      </c>
      <c r="I433" t="s">
        <v>1490</v>
      </c>
      <c r="J433" t="s">
        <v>8789</v>
      </c>
    </row>
    <row r="434" spans="1:10" x14ac:dyDescent="0.25">
      <c r="A434" t="s">
        <v>8794</v>
      </c>
      <c r="B434">
        <v>25.2</v>
      </c>
      <c r="C434" t="s">
        <v>8795</v>
      </c>
      <c r="D434" t="s">
        <v>1932</v>
      </c>
      <c r="E434" t="s">
        <v>8777</v>
      </c>
      <c r="F434" t="s">
        <v>7672</v>
      </c>
      <c r="G434" t="s">
        <v>8778</v>
      </c>
      <c r="H434" t="s">
        <v>8779</v>
      </c>
      <c r="I434" t="s">
        <v>76</v>
      </c>
      <c r="J434" t="s">
        <v>8796</v>
      </c>
    </row>
    <row r="435" spans="1:10" x14ac:dyDescent="0.25">
      <c r="A435" t="s">
        <v>8797</v>
      </c>
      <c r="B435">
        <v>25.2</v>
      </c>
      <c r="C435" t="s">
        <v>8798</v>
      </c>
      <c r="D435" t="s">
        <v>7841</v>
      </c>
      <c r="E435" t="s">
        <v>8777</v>
      </c>
      <c r="F435" t="s">
        <v>7672</v>
      </c>
      <c r="G435" t="s">
        <v>8778</v>
      </c>
      <c r="H435" t="s">
        <v>8779</v>
      </c>
      <c r="I435" t="s">
        <v>8783</v>
      </c>
      <c r="J435" t="s">
        <v>8796</v>
      </c>
    </row>
    <row r="436" spans="1:10" x14ac:dyDescent="0.25">
      <c r="A436" t="s">
        <v>8799</v>
      </c>
      <c r="B436">
        <v>25.2</v>
      </c>
      <c r="C436" t="s">
        <v>8800</v>
      </c>
      <c r="D436" t="s">
        <v>8111</v>
      </c>
      <c r="E436" t="s">
        <v>8777</v>
      </c>
      <c r="F436" t="s">
        <v>7672</v>
      </c>
      <c r="G436" t="s">
        <v>8778</v>
      </c>
      <c r="H436" t="s">
        <v>8779</v>
      </c>
      <c r="I436" t="s">
        <v>1490</v>
      </c>
      <c r="J436" t="s">
        <v>8796</v>
      </c>
    </row>
    <row r="437" spans="1:10" x14ac:dyDescent="0.25">
      <c r="A437" t="s">
        <v>8801</v>
      </c>
      <c r="B437">
        <v>25.2</v>
      </c>
      <c r="C437" t="s">
        <v>8802</v>
      </c>
      <c r="D437" t="s">
        <v>8803</v>
      </c>
      <c r="E437" t="s">
        <v>8777</v>
      </c>
      <c r="F437" t="s">
        <v>7672</v>
      </c>
      <c r="G437" t="s">
        <v>8778</v>
      </c>
      <c r="H437" t="s">
        <v>8779</v>
      </c>
      <c r="I437" t="s">
        <v>8783</v>
      </c>
      <c r="J437" t="s">
        <v>8804</v>
      </c>
    </row>
    <row r="438" spans="1:10" x14ac:dyDescent="0.25">
      <c r="A438" t="s">
        <v>8805</v>
      </c>
      <c r="B438">
        <v>25.2</v>
      </c>
      <c r="C438" t="s">
        <v>8806</v>
      </c>
      <c r="D438" t="s">
        <v>4136</v>
      </c>
      <c r="E438" t="s">
        <v>8777</v>
      </c>
      <c r="F438" t="s">
        <v>7672</v>
      </c>
      <c r="G438" t="s">
        <v>8778</v>
      </c>
      <c r="H438" t="s">
        <v>8779</v>
      </c>
      <c r="I438" t="s">
        <v>76</v>
      </c>
      <c r="J438" t="s">
        <v>8804</v>
      </c>
    </row>
    <row r="439" spans="1:10" x14ac:dyDescent="0.25">
      <c r="A439" t="s">
        <v>8807</v>
      </c>
      <c r="B439">
        <v>25.2</v>
      </c>
      <c r="C439" t="s">
        <v>8808</v>
      </c>
      <c r="D439" t="s">
        <v>3850</v>
      </c>
      <c r="E439" t="s">
        <v>8777</v>
      </c>
      <c r="F439" t="s">
        <v>7672</v>
      </c>
      <c r="G439" t="s">
        <v>8778</v>
      </c>
      <c r="H439" t="s">
        <v>8779</v>
      </c>
      <c r="I439" t="s">
        <v>1490</v>
      </c>
      <c r="J439" t="s">
        <v>8804</v>
      </c>
    </row>
    <row r="440" spans="1:10" x14ac:dyDescent="0.25">
      <c r="A440" t="s">
        <v>8809</v>
      </c>
      <c r="B440">
        <v>25.2</v>
      </c>
      <c r="C440" t="s">
        <v>8810</v>
      </c>
      <c r="D440" t="s">
        <v>6877</v>
      </c>
      <c r="E440" t="s">
        <v>8777</v>
      </c>
      <c r="F440" t="s">
        <v>7672</v>
      </c>
      <c r="G440" t="s">
        <v>8778</v>
      </c>
      <c r="H440" t="s">
        <v>8779</v>
      </c>
      <c r="I440" t="s">
        <v>8783</v>
      </c>
      <c r="J440" t="s">
        <v>8811</v>
      </c>
    </row>
    <row r="441" spans="1:10" x14ac:dyDescent="0.25">
      <c r="A441" t="s">
        <v>8812</v>
      </c>
      <c r="B441">
        <v>25.2</v>
      </c>
      <c r="C441" t="s">
        <v>8813</v>
      </c>
      <c r="D441" t="s">
        <v>8762</v>
      </c>
      <c r="E441" t="s">
        <v>8777</v>
      </c>
      <c r="F441" t="s">
        <v>7672</v>
      </c>
      <c r="G441" t="s">
        <v>8778</v>
      </c>
      <c r="H441" t="s">
        <v>8779</v>
      </c>
      <c r="I441" t="s">
        <v>5740</v>
      </c>
      <c r="J441" t="s">
        <v>8811</v>
      </c>
    </row>
    <row r="442" spans="1:10" x14ac:dyDescent="0.25">
      <c r="A442" t="s">
        <v>8814</v>
      </c>
      <c r="B442">
        <v>25.2</v>
      </c>
      <c r="C442" t="s">
        <v>8815</v>
      </c>
      <c r="D442" t="s">
        <v>8816</v>
      </c>
      <c r="E442" t="s">
        <v>8777</v>
      </c>
      <c r="F442" t="s">
        <v>7672</v>
      </c>
      <c r="G442" t="s">
        <v>8778</v>
      </c>
      <c r="H442" t="s">
        <v>8779</v>
      </c>
      <c r="I442" t="s">
        <v>76</v>
      </c>
      <c r="J442" t="s">
        <v>8811</v>
      </c>
    </row>
    <row r="443" spans="1:10" x14ac:dyDescent="0.25">
      <c r="A443" t="s">
        <v>8817</v>
      </c>
      <c r="B443">
        <v>25.2</v>
      </c>
      <c r="C443" t="s">
        <v>8818</v>
      </c>
      <c r="D443" t="s">
        <v>2022</v>
      </c>
      <c r="E443" t="s">
        <v>8777</v>
      </c>
      <c r="F443" t="s">
        <v>7672</v>
      </c>
      <c r="G443" t="s">
        <v>8778</v>
      </c>
      <c r="H443" t="s">
        <v>8779</v>
      </c>
      <c r="I443" t="s">
        <v>6385</v>
      </c>
      <c r="J443" t="s">
        <v>8811</v>
      </c>
    </row>
    <row r="444" spans="1:10" x14ac:dyDescent="0.25">
      <c r="A444" t="s">
        <v>8819</v>
      </c>
      <c r="B444">
        <v>25.2</v>
      </c>
      <c r="C444" t="s">
        <v>8820</v>
      </c>
      <c r="D444" t="s">
        <v>3415</v>
      </c>
      <c r="E444" t="s">
        <v>8777</v>
      </c>
      <c r="F444" t="s">
        <v>7672</v>
      </c>
      <c r="G444" t="s">
        <v>8778</v>
      </c>
      <c r="H444" t="s">
        <v>8779</v>
      </c>
      <c r="I444" t="s">
        <v>1490</v>
      </c>
      <c r="J444" t="s">
        <v>8811</v>
      </c>
    </row>
    <row r="445" spans="1:10" x14ac:dyDescent="0.25">
      <c r="A445" t="s">
        <v>8821</v>
      </c>
      <c r="B445">
        <v>7.6000000000000014</v>
      </c>
      <c r="C445" t="s">
        <v>8822</v>
      </c>
      <c r="D445" t="s">
        <v>8823</v>
      </c>
      <c r="E445" t="s">
        <v>8824</v>
      </c>
      <c r="F445" t="s">
        <v>7672</v>
      </c>
      <c r="G445" t="s">
        <v>8825</v>
      </c>
      <c r="H445" t="s">
        <v>7947</v>
      </c>
      <c r="I445" t="s">
        <v>410</v>
      </c>
      <c r="J445" t="s">
        <v>100</v>
      </c>
    </row>
    <row r="446" spans="1:10" x14ac:dyDescent="0.25">
      <c r="A446" t="s">
        <v>8826</v>
      </c>
      <c r="B446">
        <v>7.6000000000000014</v>
      </c>
      <c r="C446" t="s">
        <v>8827</v>
      </c>
      <c r="D446" t="s">
        <v>8450</v>
      </c>
      <c r="E446" t="s">
        <v>8824</v>
      </c>
      <c r="F446" t="s">
        <v>7672</v>
      </c>
      <c r="G446" t="s">
        <v>8825</v>
      </c>
      <c r="H446" t="s">
        <v>7947</v>
      </c>
      <c r="I446" t="s">
        <v>410</v>
      </c>
      <c r="J446" t="s">
        <v>88</v>
      </c>
    </row>
    <row r="447" spans="1:10" x14ac:dyDescent="0.25">
      <c r="A447" t="s">
        <v>8828</v>
      </c>
      <c r="B447">
        <v>3.84</v>
      </c>
      <c r="C447" t="s">
        <v>8829</v>
      </c>
      <c r="D447" t="s">
        <v>659</v>
      </c>
      <c r="E447" t="s">
        <v>8830</v>
      </c>
      <c r="F447" t="s">
        <v>7672</v>
      </c>
      <c r="G447" t="s">
        <v>8831</v>
      </c>
      <c r="H447" t="s">
        <v>7674</v>
      </c>
      <c r="I447" t="s">
        <v>7762</v>
      </c>
      <c r="J447" t="s">
        <v>7675</v>
      </c>
    </row>
    <row r="448" spans="1:10" x14ac:dyDescent="0.25">
      <c r="A448" t="s">
        <v>8832</v>
      </c>
      <c r="B448">
        <v>3.84</v>
      </c>
      <c r="C448" t="s">
        <v>8833</v>
      </c>
      <c r="D448" t="s">
        <v>2149</v>
      </c>
      <c r="E448" t="s">
        <v>8830</v>
      </c>
      <c r="F448" t="s">
        <v>7672</v>
      </c>
      <c r="G448" t="s">
        <v>8831</v>
      </c>
      <c r="H448" t="s">
        <v>7674</v>
      </c>
      <c r="I448" t="s">
        <v>8834</v>
      </c>
      <c r="J448" t="s">
        <v>7675</v>
      </c>
    </row>
    <row r="449" spans="1:10" x14ac:dyDescent="0.25">
      <c r="A449" t="s">
        <v>8835</v>
      </c>
      <c r="B449">
        <v>3.84</v>
      </c>
      <c r="C449" t="s">
        <v>8836</v>
      </c>
      <c r="D449" t="s">
        <v>8837</v>
      </c>
      <c r="E449" t="s">
        <v>8830</v>
      </c>
      <c r="F449" t="s">
        <v>7672</v>
      </c>
      <c r="G449" t="s">
        <v>8831</v>
      </c>
      <c r="H449" t="s">
        <v>7674</v>
      </c>
      <c r="I449" t="s">
        <v>2997</v>
      </c>
      <c r="J449" t="s">
        <v>7686</v>
      </c>
    </row>
    <row r="450" spans="1:10" x14ac:dyDescent="0.25">
      <c r="A450" t="s">
        <v>8838</v>
      </c>
      <c r="B450">
        <v>3.84</v>
      </c>
      <c r="C450" t="s">
        <v>8839</v>
      </c>
      <c r="D450" t="s">
        <v>250</v>
      </c>
      <c r="E450" t="s">
        <v>8830</v>
      </c>
      <c r="F450" t="s">
        <v>7672</v>
      </c>
      <c r="G450" t="s">
        <v>8831</v>
      </c>
      <c r="H450" t="s">
        <v>7674</v>
      </c>
      <c r="I450" t="s">
        <v>8840</v>
      </c>
      <c r="J450" t="s">
        <v>7686</v>
      </c>
    </row>
    <row r="451" spans="1:10" x14ac:dyDescent="0.25">
      <c r="A451" t="s">
        <v>8841</v>
      </c>
      <c r="B451">
        <v>3.84</v>
      </c>
      <c r="C451" t="s">
        <v>8842</v>
      </c>
      <c r="D451" t="s">
        <v>8843</v>
      </c>
      <c r="E451" t="s">
        <v>8830</v>
      </c>
      <c r="F451" t="s">
        <v>7672</v>
      </c>
      <c r="G451" t="s">
        <v>8831</v>
      </c>
      <c r="H451" t="s">
        <v>7674</v>
      </c>
      <c r="I451" t="s">
        <v>7762</v>
      </c>
      <c r="J451" t="s">
        <v>7686</v>
      </c>
    </row>
    <row r="452" spans="1:10" x14ac:dyDescent="0.25">
      <c r="A452" t="s">
        <v>8844</v>
      </c>
      <c r="B452">
        <v>3.84</v>
      </c>
      <c r="C452" t="s">
        <v>8845</v>
      </c>
      <c r="D452" t="s">
        <v>5185</v>
      </c>
      <c r="E452" t="s">
        <v>8830</v>
      </c>
      <c r="F452" t="s">
        <v>7672</v>
      </c>
      <c r="G452" t="s">
        <v>8831</v>
      </c>
      <c r="H452" t="s">
        <v>7674</v>
      </c>
      <c r="I452" t="s">
        <v>8834</v>
      </c>
      <c r="J452" t="s">
        <v>7686</v>
      </c>
    </row>
    <row r="453" spans="1:10" x14ac:dyDescent="0.25">
      <c r="A453" t="s">
        <v>8846</v>
      </c>
      <c r="B453">
        <v>3.84</v>
      </c>
      <c r="C453" t="s">
        <v>8847</v>
      </c>
      <c r="D453" t="s">
        <v>8848</v>
      </c>
      <c r="E453" t="s">
        <v>8830</v>
      </c>
      <c r="F453" t="s">
        <v>7672</v>
      </c>
      <c r="G453" t="s">
        <v>8831</v>
      </c>
      <c r="H453" t="s">
        <v>7674</v>
      </c>
      <c r="I453" t="s">
        <v>2997</v>
      </c>
      <c r="J453" t="s">
        <v>7703</v>
      </c>
    </row>
    <row r="454" spans="1:10" x14ac:dyDescent="0.25">
      <c r="A454" t="s">
        <v>8849</v>
      </c>
      <c r="B454">
        <v>3.84</v>
      </c>
      <c r="C454" t="s">
        <v>8850</v>
      </c>
      <c r="D454" t="s">
        <v>1852</v>
      </c>
      <c r="E454" t="s">
        <v>8830</v>
      </c>
      <c r="F454" t="s">
        <v>7672</v>
      </c>
      <c r="G454" t="s">
        <v>8831</v>
      </c>
      <c r="H454" t="s">
        <v>7674</v>
      </c>
      <c r="I454" t="s">
        <v>1490</v>
      </c>
      <c r="J454" t="s">
        <v>7703</v>
      </c>
    </row>
    <row r="455" spans="1:10" x14ac:dyDescent="0.25">
      <c r="A455" t="s">
        <v>8851</v>
      </c>
      <c r="B455">
        <v>3.84</v>
      </c>
      <c r="C455" t="s">
        <v>8852</v>
      </c>
      <c r="D455" t="s">
        <v>8853</v>
      </c>
      <c r="E455" t="s">
        <v>8830</v>
      </c>
      <c r="F455" t="s">
        <v>7672</v>
      </c>
      <c r="G455" t="s">
        <v>8831</v>
      </c>
      <c r="H455" t="s">
        <v>7674</v>
      </c>
      <c r="I455" t="s">
        <v>8840</v>
      </c>
      <c r="J455" t="s">
        <v>7703</v>
      </c>
    </row>
    <row r="456" spans="1:10" x14ac:dyDescent="0.25">
      <c r="A456" t="s">
        <v>8854</v>
      </c>
      <c r="B456">
        <v>3.84</v>
      </c>
      <c r="C456" t="s">
        <v>8855</v>
      </c>
      <c r="D456" t="s">
        <v>8856</v>
      </c>
      <c r="E456" t="s">
        <v>8830</v>
      </c>
      <c r="F456" t="s">
        <v>7672</v>
      </c>
      <c r="G456" t="s">
        <v>8831</v>
      </c>
      <c r="H456" t="s">
        <v>7674</v>
      </c>
      <c r="I456" t="s">
        <v>7762</v>
      </c>
      <c r="J456" t="s">
        <v>7703</v>
      </c>
    </row>
    <row r="457" spans="1:10" x14ac:dyDescent="0.25">
      <c r="A457" t="s">
        <v>8857</v>
      </c>
      <c r="B457">
        <v>3.84</v>
      </c>
      <c r="C457" t="s">
        <v>8858</v>
      </c>
      <c r="D457" t="s">
        <v>8859</v>
      </c>
      <c r="E457" t="s">
        <v>8830</v>
      </c>
      <c r="F457" t="s">
        <v>7672</v>
      </c>
      <c r="G457" t="s">
        <v>8831</v>
      </c>
      <c r="H457" t="s">
        <v>7674</v>
      </c>
      <c r="I457" t="s">
        <v>8834</v>
      </c>
      <c r="J457" t="s">
        <v>7703</v>
      </c>
    </row>
    <row r="458" spans="1:10" x14ac:dyDescent="0.25">
      <c r="A458" t="s">
        <v>8860</v>
      </c>
      <c r="B458">
        <v>3.84</v>
      </c>
      <c r="C458" t="s">
        <v>8861</v>
      </c>
      <c r="D458" t="s">
        <v>8862</v>
      </c>
      <c r="E458" t="s">
        <v>8830</v>
      </c>
      <c r="F458" t="s">
        <v>7672</v>
      </c>
      <c r="G458" t="s">
        <v>8831</v>
      </c>
      <c r="H458" t="s">
        <v>7674</v>
      </c>
      <c r="I458" t="s">
        <v>2997</v>
      </c>
      <c r="J458" t="s">
        <v>7713</v>
      </c>
    </row>
    <row r="459" spans="1:10" x14ac:dyDescent="0.25">
      <c r="A459" t="s">
        <v>8863</v>
      </c>
      <c r="B459">
        <v>3.84</v>
      </c>
      <c r="C459" t="s">
        <v>8864</v>
      </c>
      <c r="D459" t="s">
        <v>8865</v>
      </c>
      <c r="E459" t="s">
        <v>8830</v>
      </c>
      <c r="F459" t="s">
        <v>7672</v>
      </c>
      <c r="G459" t="s">
        <v>8831</v>
      </c>
      <c r="H459" t="s">
        <v>7674</v>
      </c>
      <c r="I459" t="s">
        <v>8840</v>
      </c>
      <c r="J459" t="s">
        <v>7713</v>
      </c>
    </row>
    <row r="460" spans="1:10" x14ac:dyDescent="0.25">
      <c r="A460" t="s">
        <v>8866</v>
      </c>
      <c r="B460">
        <v>3.84</v>
      </c>
      <c r="C460" t="s">
        <v>8867</v>
      </c>
      <c r="D460" t="s">
        <v>8868</v>
      </c>
      <c r="E460" t="s">
        <v>8830</v>
      </c>
      <c r="F460" t="s">
        <v>7672</v>
      </c>
      <c r="G460" t="s">
        <v>8831</v>
      </c>
      <c r="H460" t="s">
        <v>7674</v>
      </c>
      <c r="I460" t="s">
        <v>7762</v>
      </c>
      <c r="J460" t="s">
        <v>7713</v>
      </c>
    </row>
    <row r="461" spans="1:10" x14ac:dyDescent="0.25">
      <c r="A461" t="s">
        <v>8869</v>
      </c>
      <c r="B461">
        <v>3.84</v>
      </c>
      <c r="C461" t="s">
        <v>8870</v>
      </c>
      <c r="D461" t="s">
        <v>8871</v>
      </c>
      <c r="E461" t="s">
        <v>8830</v>
      </c>
      <c r="F461" t="s">
        <v>7672</v>
      </c>
      <c r="G461" t="s">
        <v>8831</v>
      </c>
      <c r="H461" t="s">
        <v>7674</v>
      </c>
      <c r="I461" t="s">
        <v>8834</v>
      </c>
      <c r="J461" t="s">
        <v>7713</v>
      </c>
    </row>
    <row r="462" spans="1:10" x14ac:dyDescent="0.25">
      <c r="A462" t="s">
        <v>8872</v>
      </c>
      <c r="B462">
        <v>3.84</v>
      </c>
      <c r="C462" t="s">
        <v>8873</v>
      </c>
      <c r="D462" t="s">
        <v>8874</v>
      </c>
      <c r="E462" t="s">
        <v>8830</v>
      </c>
      <c r="F462" t="s">
        <v>7672</v>
      </c>
      <c r="G462" t="s">
        <v>8831</v>
      </c>
      <c r="H462" t="s">
        <v>7674</v>
      </c>
      <c r="I462" t="s">
        <v>2997</v>
      </c>
      <c r="J462" t="s">
        <v>7719</v>
      </c>
    </row>
    <row r="463" spans="1:10" x14ac:dyDescent="0.25">
      <c r="A463" t="s">
        <v>8875</v>
      </c>
      <c r="B463">
        <v>3.84</v>
      </c>
      <c r="C463" t="s">
        <v>8876</v>
      </c>
      <c r="D463" t="s">
        <v>1536</v>
      </c>
      <c r="E463" t="s">
        <v>8830</v>
      </c>
      <c r="F463" t="s">
        <v>7672</v>
      </c>
      <c r="G463" t="s">
        <v>8831</v>
      </c>
      <c r="H463" t="s">
        <v>7674</v>
      </c>
      <c r="I463" t="s">
        <v>8840</v>
      </c>
      <c r="J463" t="s">
        <v>7719</v>
      </c>
    </row>
    <row r="464" spans="1:10" x14ac:dyDescent="0.25">
      <c r="A464" t="s">
        <v>8877</v>
      </c>
      <c r="B464">
        <v>3.84</v>
      </c>
      <c r="C464" t="s">
        <v>8878</v>
      </c>
      <c r="D464" t="s">
        <v>1762</v>
      </c>
      <c r="E464" t="s">
        <v>8830</v>
      </c>
      <c r="F464" t="s">
        <v>7672</v>
      </c>
      <c r="G464" t="s">
        <v>8831</v>
      </c>
      <c r="H464" t="s">
        <v>7674</v>
      </c>
      <c r="I464" t="s">
        <v>8834</v>
      </c>
      <c r="J464" t="s">
        <v>7719</v>
      </c>
    </row>
    <row r="465" spans="1:10" x14ac:dyDescent="0.25">
      <c r="A465" t="s">
        <v>8879</v>
      </c>
      <c r="B465">
        <v>3.84</v>
      </c>
      <c r="C465" t="s">
        <v>8880</v>
      </c>
      <c r="D465" t="s">
        <v>8881</v>
      </c>
      <c r="E465" t="s">
        <v>8830</v>
      </c>
      <c r="F465" t="s">
        <v>7672</v>
      </c>
      <c r="G465" t="s">
        <v>8831</v>
      </c>
      <c r="H465" t="s">
        <v>7674</v>
      </c>
      <c r="I465" t="s">
        <v>7762</v>
      </c>
      <c r="J465" t="s">
        <v>7719</v>
      </c>
    </row>
    <row r="466" spans="1:10" x14ac:dyDescent="0.25">
      <c r="A466" t="s">
        <v>2011</v>
      </c>
      <c r="B466">
        <v>13</v>
      </c>
      <c r="C466" t="s">
        <v>2013</v>
      </c>
      <c r="D466" t="s">
        <v>301</v>
      </c>
      <c r="E466" t="s">
        <v>2014</v>
      </c>
      <c r="F466" t="s">
        <v>7672</v>
      </c>
      <c r="G466" t="s">
        <v>8882</v>
      </c>
      <c r="H466" t="s">
        <v>8078</v>
      </c>
      <c r="I466" t="s">
        <v>76</v>
      </c>
      <c r="J466" t="s">
        <v>8883</v>
      </c>
    </row>
    <row r="467" spans="1:10" x14ac:dyDescent="0.25">
      <c r="A467" t="s">
        <v>2018</v>
      </c>
      <c r="B467">
        <v>13</v>
      </c>
      <c r="C467" t="s">
        <v>2020</v>
      </c>
      <c r="D467" t="s">
        <v>2022</v>
      </c>
      <c r="E467" t="s">
        <v>2014</v>
      </c>
      <c r="F467" t="s">
        <v>7672</v>
      </c>
      <c r="G467" t="s">
        <v>8882</v>
      </c>
      <c r="H467" t="s">
        <v>8078</v>
      </c>
      <c r="I467" t="s">
        <v>8884</v>
      </c>
      <c r="J467" t="s">
        <v>8883</v>
      </c>
    </row>
    <row r="468" spans="1:10" x14ac:dyDescent="0.25">
      <c r="A468" t="s">
        <v>2024</v>
      </c>
      <c r="B468">
        <v>13</v>
      </c>
      <c r="C468" t="s">
        <v>2026</v>
      </c>
      <c r="D468" t="s">
        <v>598</v>
      </c>
      <c r="E468" t="s">
        <v>2014</v>
      </c>
      <c r="F468" t="s">
        <v>7672</v>
      </c>
      <c r="G468" t="s">
        <v>8882</v>
      </c>
      <c r="H468" t="s">
        <v>8078</v>
      </c>
      <c r="I468" t="s">
        <v>8884</v>
      </c>
      <c r="J468" t="s">
        <v>8885</v>
      </c>
    </row>
    <row r="469" spans="1:10" x14ac:dyDescent="0.25">
      <c r="A469" t="s">
        <v>2028</v>
      </c>
      <c r="B469">
        <v>13</v>
      </c>
      <c r="C469" t="s">
        <v>2030</v>
      </c>
      <c r="D469" t="s">
        <v>598</v>
      </c>
      <c r="E469" t="s">
        <v>2014</v>
      </c>
      <c r="F469" t="s">
        <v>7672</v>
      </c>
      <c r="G469" t="s">
        <v>8882</v>
      </c>
      <c r="H469" t="s">
        <v>8078</v>
      </c>
      <c r="I469" t="s">
        <v>76</v>
      </c>
      <c r="J469" t="s">
        <v>8326</v>
      </c>
    </row>
    <row r="470" spans="1:10" x14ac:dyDescent="0.25">
      <c r="A470" t="s">
        <v>2032</v>
      </c>
      <c r="B470">
        <v>13</v>
      </c>
      <c r="C470" t="s">
        <v>2034</v>
      </c>
      <c r="D470" t="s">
        <v>2036</v>
      </c>
      <c r="E470" t="s">
        <v>2014</v>
      </c>
      <c r="F470" t="s">
        <v>7672</v>
      </c>
      <c r="G470" t="s">
        <v>8882</v>
      </c>
      <c r="H470" t="s">
        <v>8078</v>
      </c>
      <c r="I470" t="s">
        <v>8884</v>
      </c>
      <c r="J470" t="s">
        <v>8326</v>
      </c>
    </row>
    <row r="471" spans="1:10" x14ac:dyDescent="0.25">
      <c r="A471" t="s">
        <v>2037</v>
      </c>
      <c r="B471">
        <v>13</v>
      </c>
      <c r="C471" t="s">
        <v>2039</v>
      </c>
      <c r="D471" t="s">
        <v>849</v>
      </c>
      <c r="E471" t="s">
        <v>2014</v>
      </c>
      <c r="F471" t="s">
        <v>7672</v>
      </c>
      <c r="G471" t="s">
        <v>8882</v>
      </c>
      <c r="H471" t="s">
        <v>8078</v>
      </c>
      <c r="I471" t="s">
        <v>8884</v>
      </c>
      <c r="J471" t="s">
        <v>8327</v>
      </c>
    </row>
    <row r="472" spans="1:10" x14ac:dyDescent="0.25">
      <c r="A472" t="s">
        <v>2041</v>
      </c>
      <c r="B472">
        <v>13</v>
      </c>
      <c r="C472" t="s">
        <v>2043</v>
      </c>
      <c r="D472" t="s">
        <v>301</v>
      </c>
      <c r="E472" t="s">
        <v>2014</v>
      </c>
      <c r="F472" t="s">
        <v>7672</v>
      </c>
      <c r="G472" t="s">
        <v>8882</v>
      </c>
      <c r="H472" t="s">
        <v>8078</v>
      </c>
      <c r="I472" t="s">
        <v>76</v>
      </c>
      <c r="J472" t="s">
        <v>8327</v>
      </c>
    </row>
    <row r="473" spans="1:10" x14ac:dyDescent="0.25">
      <c r="A473" t="s">
        <v>8886</v>
      </c>
      <c r="B473">
        <v>5.9920000000000009</v>
      </c>
      <c r="C473" t="s">
        <v>8887</v>
      </c>
      <c r="D473" t="s">
        <v>8888</v>
      </c>
      <c r="E473" t="s">
        <v>8889</v>
      </c>
      <c r="F473" t="s">
        <v>7672</v>
      </c>
      <c r="G473" t="s">
        <v>8890</v>
      </c>
      <c r="H473" t="s">
        <v>8027</v>
      </c>
      <c r="I473" t="s">
        <v>7948</v>
      </c>
      <c r="J473" t="s">
        <v>8891</v>
      </c>
    </row>
    <row r="474" spans="1:10" x14ac:dyDescent="0.25">
      <c r="A474" t="s">
        <v>8892</v>
      </c>
      <c r="B474">
        <v>5.9920000000000009</v>
      </c>
      <c r="C474" t="s">
        <v>8893</v>
      </c>
      <c r="D474" t="s">
        <v>5283</v>
      </c>
      <c r="E474" t="s">
        <v>8889</v>
      </c>
      <c r="F474" t="s">
        <v>7672</v>
      </c>
      <c r="G474" t="s">
        <v>8890</v>
      </c>
      <c r="H474" t="s">
        <v>8027</v>
      </c>
      <c r="I474" t="s">
        <v>8158</v>
      </c>
      <c r="J474" t="s">
        <v>8891</v>
      </c>
    </row>
    <row r="475" spans="1:10" x14ac:dyDescent="0.25">
      <c r="A475" t="s">
        <v>8894</v>
      </c>
      <c r="B475">
        <v>5.9920000000000009</v>
      </c>
      <c r="C475" t="s">
        <v>8895</v>
      </c>
      <c r="D475" t="s">
        <v>53</v>
      </c>
      <c r="E475" t="s">
        <v>8889</v>
      </c>
      <c r="F475" t="s">
        <v>7672</v>
      </c>
      <c r="G475" t="s">
        <v>8890</v>
      </c>
      <c r="H475" t="s">
        <v>8027</v>
      </c>
      <c r="I475" t="s">
        <v>7948</v>
      </c>
      <c r="J475" t="s">
        <v>8896</v>
      </c>
    </row>
    <row r="476" spans="1:10" x14ac:dyDescent="0.25">
      <c r="A476" t="s">
        <v>8897</v>
      </c>
      <c r="B476">
        <v>19.495999999999999</v>
      </c>
      <c r="C476" t="s">
        <v>8898</v>
      </c>
      <c r="D476" t="s">
        <v>311</v>
      </c>
      <c r="E476" t="s">
        <v>8899</v>
      </c>
      <c r="F476" t="s">
        <v>7672</v>
      </c>
      <c r="G476" t="s">
        <v>8900</v>
      </c>
      <c r="H476" t="s">
        <v>7965</v>
      </c>
      <c r="I476" t="s">
        <v>1622</v>
      </c>
      <c r="J476" t="s">
        <v>7968</v>
      </c>
    </row>
    <row r="477" spans="1:10" x14ac:dyDescent="0.25">
      <c r="A477" t="s">
        <v>8901</v>
      </c>
      <c r="B477">
        <v>19.495999999999999</v>
      </c>
      <c r="C477" t="s">
        <v>8902</v>
      </c>
      <c r="D477" t="s">
        <v>2022</v>
      </c>
      <c r="E477" t="s">
        <v>8899</v>
      </c>
      <c r="F477" t="s">
        <v>7672</v>
      </c>
      <c r="G477" t="s">
        <v>8900</v>
      </c>
      <c r="H477" t="s">
        <v>7965</v>
      </c>
      <c r="I477" t="s">
        <v>1622</v>
      </c>
      <c r="J477" t="s">
        <v>576</v>
      </c>
    </row>
    <row r="478" spans="1:10" x14ac:dyDescent="0.25">
      <c r="A478" t="s">
        <v>8903</v>
      </c>
      <c r="B478">
        <v>19.495999999999999</v>
      </c>
      <c r="C478" t="s">
        <v>8904</v>
      </c>
      <c r="D478" t="s">
        <v>3378</v>
      </c>
      <c r="E478" t="s">
        <v>8899</v>
      </c>
      <c r="F478" t="s">
        <v>7672</v>
      </c>
      <c r="G478" t="s">
        <v>8900</v>
      </c>
      <c r="H478" t="s">
        <v>7965</v>
      </c>
      <c r="I478" t="s">
        <v>1622</v>
      </c>
      <c r="J478" t="s">
        <v>7969</v>
      </c>
    </row>
    <row r="479" spans="1:10" x14ac:dyDescent="0.25">
      <c r="A479" t="s">
        <v>8905</v>
      </c>
      <c r="B479">
        <v>19.495999999999999</v>
      </c>
      <c r="C479" t="s">
        <v>8906</v>
      </c>
      <c r="D479" t="s">
        <v>1143</v>
      </c>
      <c r="E479" t="s">
        <v>8899</v>
      </c>
      <c r="F479" t="s">
        <v>7672</v>
      </c>
      <c r="G479" t="s">
        <v>8900</v>
      </c>
      <c r="H479" t="s">
        <v>7965</v>
      </c>
      <c r="I479" t="s">
        <v>1622</v>
      </c>
      <c r="J479" t="s">
        <v>255</v>
      </c>
    </row>
    <row r="480" spans="1:10" x14ac:dyDescent="0.25">
      <c r="A480" t="s">
        <v>8907</v>
      </c>
      <c r="B480">
        <v>8</v>
      </c>
      <c r="C480" t="s">
        <v>8908</v>
      </c>
      <c r="D480" t="s">
        <v>164</v>
      </c>
      <c r="E480" t="s">
        <v>8909</v>
      </c>
      <c r="F480" t="s">
        <v>7672</v>
      </c>
      <c r="G480" t="s">
        <v>8910</v>
      </c>
      <c r="H480" t="s">
        <v>8673</v>
      </c>
      <c r="I480" t="s">
        <v>8911</v>
      </c>
      <c r="J480" t="s">
        <v>7675</v>
      </c>
    </row>
    <row r="481" spans="1:10" x14ac:dyDescent="0.25">
      <c r="A481" t="s">
        <v>8912</v>
      </c>
      <c r="B481">
        <v>8</v>
      </c>
      <c r="C481" t="s">
        <v>8913</v>
      </c>
      <c r="D481" t="s">
        <v>633</v>
      </c>
      <c r="E481" t="s">
        <v>8909</v>
      </c>
      <c r="F481" t="s">
        <v>7672</v>
      </c>
      <c r="G481" t="s">
        <v>8910</v>
      </c>
      <c r="H481" t="s">
        <v>8673</v>
      </c>
      <c r="I481" t="s">
        <v>8914</v>
      </c>
      <c r="J481" t="s">
        <v>7675</v>
      </c>
    </row>
    <row r="482" spans="1:10" x14ac:dyDescent="0.25">
      <c r="A482" t="s">
        <v>8915</v>
      </c>
      <c r="B482">
        <v>8</v>
      </c>
      <c r="C482" t="s">
        <v>8916</v>
      </c>
      <c r="D482" t="s">
        <v>3184</v>
      </c>
      <c r="E482" t="s">
        <v>8909</v>
      </c>
      <c r="F482" t="s">
        <v>7672</v>
      </c>
      <c r="G482" t="s">
        <v>8910</v>
      </c>
      <c r="H482" t="s">
        <v>8673</v>
      </c>
      <c r="I482" t="s">
        <v>8911</v>
      </c>
      <c r="J482" t="s">
        <v>7686</v>
      </c>
    </row>
    <row r="483" spans="1:10" x14ac:dyDescent="0.25">
      <c r="A483" t="s">
        <v>8917</v>
      </c>
      <c r="B483">
        <v>8</v>
      </c>
      <c r="C483" t="s">
        <v>8918</v>
      </c>
      <c r="D483" t="s">
        <v>4794</v>
      </c>
      <c r="E483" t="s">
        <v>8909</v>
      </c>
      <c r="F483" t="s">
        <v>7672</v>
      </c>
      <c r="G483" t="s">
        <v>8910</v>
      </c>
      <c r="H483" t="s">
        <v>8673</v>
      </c>
      <c r="I483" t="s">
        <v>8914</v>
      </c>
      <c r="J483" t="s">
        <v>7686</v>
      </c>
    </row>
    <row r="484" spans="1:10" x14ac:dyDescent="0.25">
      <c r="A484" t="s">
        <v>8919</v>
      </c>
      <c r="B484">
        <v>8</v>
      </c>
      <c r="C484" t="s">
        <v>8920</v>
      </c>
      <c r="D484" t="s">
        <v>286</v>
      </c>
      <c r="E484" t="s">
        <v>8909</v>
      </c>
      <c r="F484" t="s">
        <v>7672</v>
      </c>
      <c r="G484" t="s">
        <v>8910</v>
      </c>
      <c r="H484" t="s">
        <v>8673</v>
      </c>
      <c r="I484" t="s">
        <v>8921</v>
      </c>
      <c r="J484" t="s">
        <v>7686</v>
      </c>
    </row>
    <row r="485" spans="1:10" x14ac:dyDescent="0.25">
      <c r="A485" t="s">
        <v>8922</v>
      </c>
      <c r="B485">
        <v>8</v>
      </c>
      <c r="C485" t="s">
        <v>8923</v>
      </c>
      <c r="D485" t="s">
        <v>53</v>
      </c>
      <c r="E485" t="s">
        <v>8909</v>
      </c>
      <c r="F485" t="s">
        <v>7672</v>
      </c>
      <c r="G485" t="s">
        <v>8910</v>
      </c>
      <c r="H485" t="s">
        <v>8673</v>
      </c>
      <c r="I485" t="s">
        <v>8921</v>
      </c>
      <c r="J485" t="s">
        <v>7703</v>
      </c>
    </row>
    <row r="486" spans="1:10" x14ac:dyDescent="0.25">
      <c r="A486" t="s">
        <v>8924</v>
      </c>
      <c r="B486">
        <v>8</v>
      </c>
      <c r="C486" t="s">
        <v>8925</v>
      </c>
      <c r="D486" t="s">
        <v>277</v>
      </c>
      <c r="E486" t="s">
        <v>8909</v>
      </c>
      <c r="F486" t="s">
        <v>7672</v>
      </c>
      <c r="G486" t="s">
        <v>8910</v>
      </c>
      <c r="H486" t="s">
        <v>8673</v>
      </c>
      <c r="I486" t="s">
        <v>8914</v>
      </c>
      <c r="J486" t="s">
        <v>7703</v>
      </c>
    </row>
    <row r="487" spans="1:10" x14ac:dyDescent="0.25">
      <c r="A487" t="s">
        <v>8926</v>
      </c>
      <c r="B487">
        <v>16.8</v>
      </c>
      <c r="C487" t="s">
        <v>8927</v>
      </c>
      <c r="D487" t="s">
        <v>698</v>
      </c>
      <c r="E487" t="s">
        <v>8928</v>
      </c>
      <c r="F487" t="s">
        <v>7672</v>
      </c>
      <c r="G487" t="s">
        <v>8929</v>
      </c>
      <c r="H487" t="s">
        <v>8078</v>
      </c>
      <c r="I487" t="s">
        <v>8930</v>
      </c>
      <c r="J487" t="s">
        <v>7675</v>
      </c>
    </row>
    <row r="488" spans="1:10" x14ac:dyDescent="0.25">
      <c r="A488" t="s">
        <v>8931</v>
      </c>
      <c r="B488">
        <v>16.8</v>
      </c>
      <c r="C488" t="s">
        <v>8932</v>
      </c>
      <c r="D488" t="s">
        <v>613</v>
      </c>
      <c r="E488" t="s">
        <v>8928</v>
      </c>
      <c r="F488" t="s">
        <v>7672</v>
      </c>
      <c r="G488" t="s">
        <v>8929</v>
      </c>
      <c r="H488" t="s">
        <v>8078</v>
      </c>
      <c r="I488" t="s">
        <v>7952</v>
      </c>
      <c r="J488" t="s">
        <v>7675</v>
      </c>
    </row>
    <row r="489" spans="1:10" x14ac:dyDescent="0.25">
      <c r="A489" t="s">
        <v>8933</v>
      </c>
      <c r="B489">
        <v>16.8</v>
      </c>
      <c r="C489" t="s">
        <v>8934</v>
      </c>
      <c r="D489" t="s">
        <v>964</v>
      </c>
      <c r="E489" t="s">
        <v>8928</v>
      </c>
      <c r="F489" t="s">
        <v>7672</v>
      </c>
      <c r="G489" t="s">
        <v>8929</v>
      </c>
      <c r="H489" t="s">
        <v>8078</v>
      </c>
      <c r="I489" t="s">
        <v>8935</v>
      </c>
      <c r="J489" t="s">
        <v>7675</v>
      </c>
    </row>
    <row r="490" spans="1:10" x14ac:dyDescent="0.25">
      <c r="A490" t="s">
        <v>8936</v>
      </c>
      <c r="B490">
        <v>16.8</v>
      </c>
      <c r="C490" t="s">
        <v>8937</v>
      </c>
      <c r="D490" t="s">
        <v>450</v>
      </c>
      <c r="E490" t="s">
        <v>8928</v>
      </c>
      <c r="F490" t="s">
        <v>7672</v>
      </c>
      <c r="G490" t="s">
        <v>8929</v>
      </c>
      <c r="H490" t="s">
        <v>8078</v>
      </c>
      <c r="I490" t="s">
        <v>8930</v>
      </c>
      <c r="J490" t="s">
        <v>7686</v>
      </c>
    </row>
    <row r="491" spans="1:10" x14ac:dyDescent="0.25">
      <c r="A491" t="s">
        <v>8938</v>
      </c>
      <c r="B491">
        <v>16.8</v>
      </c>
      <c r="C491" t="s">
        <v>8939</v>
      </c>
      <c r="D491" t="s">
        <v>450</v>
      </c>
      <c r="E491" t="s">
        <v>8928</v>
      </c>
      <c r="F491" t="s">
        <v>7672</v>
      </c>
      <c r="G491" t="s">
        <v>8929</v>
      </c>
      <c r="H491" t="s">
        <v>8078</v>
      </c>
      <c r="I491" t="s">
        <v>7952</v>
      </c>
      <c r="J491" t="s">
        <v>7686</v>
      </c>
    </row>
    <row r="492" spans="1:10" x14ac:dyDescent="0.25">
      <c r="A492" t="s">
        <v>8940</v>
      </c>
      <c r="B492">
        <v>16.8</v>
      </c>
      <c r="C492" t="s">
        <v>8941</v>
      </c>
      <c r="D492" t="s">
        <v>705</v>
      </c>
      <c r="E492" t="s">
        <v>8928</v>
      </c>
      <c r="F492" t="s">
        <v>7672</v>
      </c>
      <c r="G492" t="s">
        <v>8929</v>
      </c>
      <c r="H492" t="s">
        <v>8078</v>
      </c>
      <c r="I492" t="s">
        <v>8935</v>
      </c>
      <c r="J492" t="s">
        <v>7686</v>
      </c>
    </row>
    <row r="493" spans="1:10" x14ac:dyDescent="0.25">
      <c r="A493" t="s">
        <v>8942</v>
      </c>
      <c r="B493">
        <v>16.8</v>
      </c>
      <c r="C493" t="s">
        <v>8943</v>
      </c>
      <c r="D493" t="s">
        <v>4100</v>
      </c>
      <c r="E493" t="s">
        <v>8928</v>
      </c>
      <c r="F493" t="s">
        <v>7672</v>
      </c>
      <c r="G493" t="s">
        <v>8929</v>
      </c>
      <c r="H493" t="s">
        <v>8078</v>
      </c>
      <c r="I493" t="s">
        <v>8930</v>
      </c>
      <c r="J493" t="s">
        <v>7703</v>
      </c>
    </row>
    <row r="494" spans="1:10" x14ac:dyDescent="0.25">
      <c r="A494" t="s">
        <v>8944</v>
      </c>
      <c r="B494">
        <v>16.8</v>
      </c>
      <c r="C494" t="s">
        <v>8945</v>
      </c>
      <c r="D494" t="s">
        <v>786</v>
      </c>
      <c r="E494" t="s">
        <v>8928</v>
      </c>
      <c r="F494" t="s">
        <v>7672</v>
      </c>
      <c r="G494" t="s">
        <v>8929</v>
      </c>
      <c r="H494" t="s">
        <v>8078</v>
      </c>
      <c r="I494" t="s">
        <v>7952</v>
      </c>
      <c r="J494" t="s">
        <v>7703</v>
      </c>
    </row>
    <row r="495" spans="1:10" x14ac:dyDescent="0.25">
      <c r="A495" t="s">
        <v>8946</v>
      </c>
      <c r="B495">
        <v>16.8</v>
      </c>
      <c r="C495" t="s">
        <v>8947</v>
      </c>
      <c r="D495" t="s">
        <v>941</v>
      </c>
      <c r="E495" t="s">
        <v>8928</v>
      </c>
      <c r="F495" t="s">
        <v>7672</v>
      </c>
      <c r="G495" t="s">
        <v>8929</v>
      </c>
      <c r="H495" t="s">
        <v>8078</v>
      </c>
      <c r="I495" t="s">
        <v>8935</v>
      </c>
      <c r="J495" t="s">
        <v>7703</v>
      </c>
    </row>
    <row r="496" spans="1:10" x14ac:dyDescent="0.25">
      <c r="A496" t="s">
        <v>8948</v>
      </c>
      <c r="B496">
        <v>16.8</v>
      </c>
      <c r="C496" t="s">
        <v>8949</v>
      </c>
      <c r="D496" t="s">
        <v>941</v>
      </c>
      <c r="E496" t="s">
        <v>8928</v>
      </c>
      <c r="F496" t="s">
        <v>7672</v>
      </c>
      <c r="G496" t="s">
        <v>8929</v>
      </c>
      <c r="H496" t="s">
        <v>8078</v>
      </c>
      <c r="I496" t="s">
        <v>8930</v>
      </c>
      <c r="J496" t="s">
        <v>7713</v>
      </c>
    </row>
    <row r="497" spans="1:10" x14ac:dyDescent="0.25">
      <c r="A497" t="s">
        <v>8950</v>
      </c>
      <c r="B497">
        <v>16.8</v>
      </c>
      <c r="C497" t="s">
        <v>8951</v>
      </c>
      <c r="D497" t="s">
        <v>8262</v>
      </c>
      <c r="E497" t="s">
        <v>8928</v>
      </c>
      <c r="F497" t="s">
        <v>7672</v>
      </c>
      <c r="G497" t="s">
        <v>8929</v>
      </c>
      <c r="H497" t="s">
        <v>8078</v>
      </c>
      <c r="I497" t="s">
        <v>7952</v>
      </c>
      <c r="J497" t="s">
        <v>7713</v>
      </c>
    </row>
    <row r="498" spans="1:10" x14ac:dyDescent="0.25">
      <c r="A498" t="s">
        <v>8952</v>
      </c>
      <c r="B498">
        <v>16.8</v>
      </c>
      <c r="C498" t="s">
        <v>8953</v>
      </c>
      <c r="D498" t="s">
        <v>3110</v>
      </c>
      <c r="E498" t="s">
        <v>8928</v>
      </c>
      <c r="F498" t="s">
        <v>7672</v>
      </c>
      <c r="G498" t="s">
        <v>8929</v>
      </c>
      <c r="H498" t="s">
        <v>8078</v>
      </c>
      <c r="I498" t="s">
        <v>8935</v>
      </c>
      <c r="J498" t="s">
        <v>7713</v>
      </c>
    </row>
    <row r="499" spans="1:10" x14ac:dyDescent="0.25">
      <c r="A499" t="s">
        <v>8954</v>
      </c>
      <c r="B499">
        <v>16.8</v>
      </c>
      <c r="C499" t="s">
        <v>8955</v>
      </c>
      <c r="D499" t="s">
        <v>705</v>
      </c>
      <c r="E499" t="s">
        <v>8928</v>
      </c>
      <c r="F499" t="s">
        <v>7672</v>
      </c>
      <c r="G499" t="s">
        <v>8929</v>
      </c>
      <c r="H499" t="s">
        <v>8078</v>
      </c>
      <c r="I499" t="s">
        <v>8935</v>
      </c>
      <c r="J499" t="s">
        <v>7719</v>
      </c>
    </row>
    <row r="500" spans="1:10" x14ac:dyDescent="0.25">
      <c r="A500" t="s">
        <v>8956</v>
      </c>
      <c r="B500">
        <v>16.8</v>
      </c>
      <c r="C500" t="s">
        <v>8957</v>
      </c>
      <c r="D500" t="s">
        <v>240</v>
      </c>
      <c r="E500" t="s">
        <v>8928</v>
      </c>
      <c r="F500" t="s">
        <v>7672</v>
      </c>
      <c r="G500" t="s">
        <v>8929</v>
      </c>
      <c r="H500" t="s">
        <v>8078</v>
      </c>
      <c r="I500" t="s">
        <v>8930</v>
      </c>
      <c r="J500" t="s">
        <v>7719</v>
      </c>
    </row>
    <row r="501" spans="1:10" x14ac:dyDescent="0.25">
      <c r="A501" t="s">
        <v>8958</v>
      </c>
      <c r="B501">
        <v>16.8</v>
      </c>
      <c r="C501" t="s">
        <v>8959</v>
      </c>
      <c r="D501" t="s">
        <v>3184</v>
      </c>
      <c r="E501" t="s">
        <v>8928</v>
      </c>
      <c r="F501" t="s">
        <v>7672</v>
      </c>
      <c r="G501" t="s">
        <v>8929</v>
      </c>
      <c r="H501" t="s">
        <v>8078</v>
      </c>
      <c r="I501" t="s">
        <v>7952</v>
      </c>
      <c r="J501" t="s">
        <v>7719</v>
      </c>
    </row>
    <row r="502" spans="1:10" x14ac:dyDescent="0.25">
      <c r="A502" t="s">
        <v>8960</v>
      </c>
      <c r="B502">
        <v>7.2</v>
      </c>
      <c r="C502" t="s">
        <v>8961</v>
      </c>
      <c r="D502" t="s">
        <v>2078</v>
      </c>
      <c r="E502" t="s">
        <v>8962</v>
      </c>
      <c r="F502" t="s">
        <v>7672</v>
      </c>
      <c r="G502" t="s">
        <v>8963</v>
      </c>
      <c r="H502" t="s">
        <v>7954</v>
      </c>
      <c r="I502" t="s">
        <v>278</v>
      </c>
      <c r="J502" t="s">
        <v>7981</v>
      </c>
    </row>
    <row r="503" spans="1:10" x14ac:dyDescent="0.25">
      <c r="A503" t="s">
        <v>8964</v>
      </c>
      <c r="B503">
        <v>7.2</v>
      </c>
      <c r="C503" t="s">
        <v>8965</v>
      </c>
      <c r="D503" t="s">
        <v>715</v>
      </c>
      <c r="E503" t="s">
        <v>8962</v>
      </c>
      <c r="F503" t="s">
        <v>7672</v>
      </c>
      <c r="G503" t="s">
        <v>8963</v>
      </c>
      <c r="H503" t="s">
        <v>7954</v>
      </c>
      <c r="I503" t="s">
        <v>8966</v>
      </c>
      <c r="J503" t="s">
        <v>7984</v>
      </c>
    </row>
    <row r="504" spans="1:10" x14ac:dyDescent="0.25">
      <c r="A504" t="s">
        <v>8967</v>
      </c>
      <c r="B504">
        <v>7.2</v>
      </c>
      <c r="C504" t="s">
        <v>8968</v>
      </c>
      <c r="D504" t="s">
        <v>8762</v>
      </c>
      <c r="E504" t="s">
        <v>8962</v>
      </c>
      <c r="F504" t="s">
        <v>7672</v>
      </c>
      <c r="G504" t="s">
        <v>8963</v>
      </c>
      <c r="H504" t="s">
        <v>7954</v>
      </c>
      <c r="I504" t="s">
        <v>278</v>
      </c>
      <c r="J504" t="s">
        <v>7984</v>
      </c>
    </row>
    <row r="505" spans="1:10" x14ac:dyDescent="0.25">
      <c r="A505" t="s">
        <v>8969</v>
      </c>
      <c r="B505">
        <v>7.2</v>
      </c>
      <c r="C505" t="s">
        <v>8970</v>
      </c>
      <c r="D505" t="s">
        <v>8971</v>
      </c>
      <c r="E505" t="s">
        <v>8962</v>
      </c>
      <c r="F505" t="s">
        <v>7672</v>
      </c>
      <c r="G505" t="s">
        <v>8963</v>
      </c>
      <c r="H505" t="s">
        <v>7954</v>
      </c>
      <c r="I505" t="s">
        <v>8966</v>
      </c>
      <c r="J505" t="s">
        <v>7987</v>
      </c>
    </row>
    <row r="506" spans="1:10" x14ac:dyDescent="0.25">
      <c r="A506" t="s">
        <v>8972</v>
      </c>
      <c r="B506">
        <v>7.2</v>
      </c>
      <c r="C506" t="s">
        <v>8973</v>
      </c>
      <c r="D506" t="s">
        <v>3203</v>
      </c>
      <c r="E506" t="s">
        <v>8962</v>
      </c>
      <c r="F506" t="s">
        <v>7672</v>
      </c>
      <c r="G506" t="s">
        <v>8963</v>
      </c>
      <c r="H506" t="s">
        <v>7954</v>
      </c>
      <c r="I506" t="s">
        <v>278</v>
      </c>
      <c r="J506" t="s">
        <v>7987</v>
      </c>
    </row>
    <row r="507" spans="1:10" x14ac:dyDescent="0.25">
      <c r="A507" t="s">
        <v>8974</v>
      </c>
      <c r="B507">
        <v>7.2</v>
      </c>
      <c r="C507" t="s">
        <v>8975</v>
      </c>
      <c r="D507" t="s">
        <v>8816</v>
      </c>
      <c r="E507" t="s">
        <v>8962</v>
      </c>
      <c r="F507" t="s">
        <v>7672</v>
      </c>
      <c r="G507" t="s">
        <v>8963</v>
      </c>
      <c r="H507" t="s">
        <v>7954</v>
      </c>
      <c r="I507" t="s">
        <v>8966</v>
      </c>
      <c r="J507" t="s">
        <v>8001</v>
      </c>
    </row>
    <row r="508" spans="1:10" x14ac:dyDescent="0.25">
      <c r="A508" t="s">
        <v>8976</v>
      </c>
      <c r="B508">
        <v>7.2</v>
      </c>
      <c r="C508" t="s">
        <v>8977</v>
      </c>
      <c r="D508" t="s">
        <v>3430</v>
      </c>
      <c r="E508" t="s">
        <v>8962</v>
      </c>
      <c r="F508" t="s">
        <v>7672</v>
      </c>
      <c r="G508" t="s">
        <v>8963</v>
      </c>
      <c r="H508" t="s">
        <v>7954</v>
      </c>
      <c r="I508" t="s">
        <v>278</v>
      </c>
      <c r="J508" t="s">
        <v>8001</v>
      </c>
    </row>
    <row r="509" spans="1:10" x14ac:dyDescent="0.25">
      <c r="A509" t="s">
        <v>2045</v>
      </c>
      <c r="B509">
        <v>9.6000000000000014</v>
      </c>
      <c r="C509" t="s">
        <v>2047</v>
      </c>
      <c r="D509" t="s">
        <v>705</v>
      </c>
      <c r="E509" t="s">
        <v>2048</v>
      </c>
      <c r="F509" t="s">
        <v>7672</v>
      </c>
      <c r="G509" t="s">
        <v>8978</v>
      </c>
      <c r="H509" t="s">
        <v>8979</v>
      </c>
      <c r="I509" t="s">
        <v>2051</v>
      </c>
      <c r="J509" t="s">
        <v>8980</v>
      </c>
    </row>
    <row r="510" spans="1:10" x14ac:dyDescent="0.25">
      <c r="A510" t="s">
        <v>2052</v>
      </c>
      <c r="B510">
        <v>9.6000000000000014</v>
      </c>
      <c r="C510" t="s">
        <v>2054</v>
      </c>
      <c r="D510" t="s">
        <v>2056</v>
      </c>
      <c r="E510" t="s">
        <v>2048</v>
      </c>
      <c r="F510" t="s">
        <v>7672</v>
      </c>
      <c r="G510" t="s">
        <v>8978</v>
      </c>
      <c r="H510" t="s">
        <v>8979</v>
      </c>
      <c r="I510" t="s">
        <v>2057</v>
      </c>
      <c r="J510" t="s">
        <v>8980</v>
      </c>
    </row>
    <row r="511" spans="1:10" x14ac:dyDescent="0.25">
      <c r="A511" t="s">
        <v>2058</v>
      </c>
      <c r="B511">
        <v>9.6000000000000014</v>
      </c>
      <c r="C511" t="s">
        <v>2060</v>
      </c>
      <c r="D511" t="s">
        <v>613</v>
      </c>
      <c r="E511" t="s">
        <v>2048</v>
      </c>
      <c r="F511" t="s">
        <v>7672</v>
      </c>
      <c r="G511" t="s">
        <v>8978</v>
      </c>
      <c r="H511" t="s">
        <v>8979</v>
      </c>
      <c r="I511" t="s">
        <v>2062</v>
      </c>
      <c r="J511" t="s">
        <v>8980</v>
      </c>
    </row>
    <row r="512" spans="1:10" x14ac:dyDescent="0.25">
      <c r="A512" t="s">
        <v>2063</v>
      </c>
      <c r="B512">
        <v>9.6000000000000014</v>
      </c>
      <c r="C512" t="s">
        <v>2065</v>
      </c>
      <c r="D512" t="s">
        <v>835</v>
      </c>
      <c r="E512" t="s">
        <v>2048</v>
      </c>
      <c r="F512" t="s">
        <v>7672</v>
      </c>
      <c r="G512" t="s">
        <v>8978</v>
      </c>
      <c r="H512" t="s">
        <v>8979</v>
      </c>
      <c r="I512" t="s">
        <v>2067</v>
      </c>
      <c r="J512" t="s">
        <v>8980</v>
      </c>
    </row>
    <row r="513" spans="1:10" x14ac:dyDescent="0.25">
      <c r="A513" t="s">
        <v>2068</v>
      </c>
      <c r="B513">
        <v>9.6000000000000014</v>
      </c>
      <c r="C513" t="s">
        <v>2070</v>
      </c>
      <c r="D513" t="s">
        <v>2072</v>
      </c>
      <c r="E513" t="s">
        <v>2048</v>
      </c>
      <c r="F513" t="s">
        <v>7672</v>
      </c>
      <c r="G513" t="s">
        <v>8978</v>
      </c>
      <c r="H513" t="s">
        <v>8979</v>
      </c>
      <c r="I513" t="s">
        <v>2073</v>
      </c>
      <c r="J513" t="s">
        <v>8980</v>
      </c>
    </row>
    <row r="514" spans="1:10" x14ac:dyDescent="0.25">
      <c r="A514" t="s">
        <v>2074</v>
      </c>
      <c r="B514">
        <v>9.6000000000000014</v>
      </c>
      <c r="C514" t="s">
        <v>2076</v>
      </c>
      <c r="D514" t="s">
        <v>2078</v>
      </c>
      <c r="E514" t="s">
        <v>2048</v>
      </c>
      <c r="F514" t="s">
        <v>7672</v>
      </c>
      <c r="G514" t="s">
        <v>8978</v>
      </c>
      <c r="H514" t="s">
        <v>8979</v>
      </c>
      <c r="I514" t="s">
        <v>2079</v>
      </c>
      <c r="J514" t="s">
        <v>8980</v>
      </c>
    </row>
    <row r="515" spans="1:10" x14ac:dyDescent="0.25">
      <c r="A515" t="s">
        <v>2080</v>
      </c>
      <c r="B515">
        <v>9.6000000000000014</v>
      </c>
      <c r="C515" t="s">
        <v>2082</v>
      </c>
      <c r="D515" t="s">
        <v>516</v>
      </c>
      <c r="E515" t="s">
        <v>2048</v>
      </c>
      <c r="F515" t="s">
        <v>7672</v>
      </c>
      <c r="G515" t="s">
        <v>8978</v>
      </c>
      <c r="H515" t="s">
        <v>8979</v>
      </c>
      <c r="I515" t="s">
        <v>2084</v>
      </c>
      <c r="J515" t="s">
        <v>8980</v>
      </c>
    </row>
    <row r="516" spans="1:10" x14ac:dyDescent="0.25">
      <c r="A516" t="s">
        <v>2085</v>
      </c>
      <c r="B516">
        <v>9.6000000000000014</v>
      </c>
      <c r="C516" t="s">
        <v>2087</v>
      </c>
      <c r="D516" t="s">
        <v>342</v>
      </c>
      <c r="E516" t="s">
        <v>2048</v>
      </c>
      <c r="F516" t="s">
        <v>7672</v>
      </c>
      <c r="G516" t="s">
        <v>8978</v>
      </c>
      <c r="H516" t="s">
        <v>8979</v>
      </c>
      <c r="I516" t="s">
        <v>2089</v>
      </c>
      <c r="J516" t="s">
        <v>8980</v>
      </c>
    </row>
    <row r="517" spans="1:10" x14ac:dyDescent="0.25">
      <c r="A517" t="s">
        <v>2090</v>
      </c>
      <c r="B517">
        <v>9.6000000000000014</v>
      </c>
      <c r="C517" t="s">
        <v>2092</v>
      </c>
      <c r="D517" t="s">
        <v>613</v>
      </c>
      <c r="E517" t="s">
        <v>2048</v>
      </c>
      <c r="F517" t="s">
        <v>7672</v>
      </c>
      <c r="G517" t="s">
        <v>8978</v>
      </c>
      <c r="H517" t="s">
        <v>8979</v>
      </c>
      <c r="I517" t="s">
        <v>2094</v>
      </c>
      <c r="J517" t="s">
        <v>8980</v>
      </c>
    </row>
    <row r="518" spans="1:10" x14ac:dyDescent="0.25">
      <c r="A518" t="s">
        <v>2095</v>
      </c>
      <c r="B518">
        <v>9.6000000000000014</v>
      </c>
      <c r="C518" t="s">
        <v>2097</v>
      </c>
      <c r="D518" t="s">
        <v>2099</v>
      </c>
      <c r="E518" t="s">
        <v>2048</v>
      </c>
      <c r="F518" t="s">
        <v>7672</v>
      </c>
      <c r="G518" t="s">
        <v>8978</v>
      </c>
      <c r="H518" t="s">
        <v>8979</v>
      </c>
      <c r="I518" t="s">
        <v>2057</v>
      </c>
      <c r="J518" t="s">
        <v>53</v>
      </c>
    </row>
    <row r="519" spans="1:10" x14ac:dyDescent="0.25">
      <c r="A519" t="s">
        <v>2100</v>
      </c>
      <c r="B519">
        <v>9.6000000000000014</v>
      </c>
      <c r="C519" t="s">
        <v>2102</v>
      </c>
      <c r="D519" t="s">
        <v>705</v>
      </c>
      <c r="E519" t="s">
        <v>2048</v>
      </c>
      <c r="F519" t="s">
        <v>7672</v>
      </c>
      <c r="G519" t="s">
        <v>8978</v>
      </c>
      <c r="H519" t="s">
        <v>8979</v>
      </c>
      <c r="I519" t="s">
        <v>2062</v>
      </c>
      <c r="J519" t="s">
        <v>53</v>
      </c>
    </row>
    <row r="520" spans="1:10" x14ac:dyDescent="0.25">
      <c r="A520" t="s">
        <v>2104</v>
      </c>
      <c r="B520">
        <v>9.6000000000000014</v>
      </c>
      <c r="C520" t="s">
        <v>2106</v>
      </c>
      <c r="D520" t="s">
        <v>698</v>
      </c>
      <c r="E520" t="s">
        <v>2048</v>
      </c>
      <c r="F520" t="s">
        <v>7672</v>
      </c>
      <c r="G520" t="s">
        <v>8978</v>
      </c>
      <c r="H520" t="s">
        <v>8979</v>
      </c>
      <c r="I520" t="s">
        <v>2079</v>
      </c>
      <c r="J520" t="s">
        <v>53</v>
      </c>
    </row>
    <row r="521" spans="1:10" x14ac:dyDescent="0.25">
      <c r="A521" t="s">
        <v>2108</v>
      </c>
      <c r="B521">
        <v>9.6000000000000014</v>
      </c>
      <c r="C521" t="s">
        <v>2110</v>
      </c>
      <c r="D521" t="s">
        <v>671</v>
      </c>
      <c r="E521" t="s">
        <v>2048</v>
      </c>
      <c r="F521" t="s">
        <v>7672</v>
      </c>
      <c r="G521" t="s">
        <v>8978</v>
      </c>
      <c r="H521" t="s">
        <v>8979</v>
      </c>
      <c r="I521" t="s">
        <v>2073</v>
      </c>
      <c r="J521" t="s">
        <v>53</v>
      </c>
    </row>
    <row r="522" spans="1:10" x14ac:dyDescent="0.25">
      <c r="A522" t="s">
        <v>2112</v>
      </c>
      <c r="B522">
        <v>9.6000000000000014</v>
      </c>
      <c r="C522" t="s">
        <v>2114</v>
      </c>
      <c r="D522" t="s">
        <v>164</v>
      </c>
      <c r="E522" t="s">
        <v>2048</v>
      </c>
      <c r="F522" t="s">
        <v>7672</v>
      </c>
      <c r="G522" t="s">
        <v>8978</v>
      </c>
      <c r="H522" t="s">
        <v>8979</v>
      </c>
      <c r="I522" t="s">
        <v>2051</v>
      </c>
      <c r="J522" t="s">
        <v>53</v>
      </c>
    </row>
    <row r="523" spans="1:10" x14ac:dyDescent="0.25">
      <c r="A523" t="s">
        <v>2116</v>
      </c>
      <c r="B523">
        <v>9.6000000000000014</v>
      </c>
      <c r="C523" t="s">
        <v>2118</v>
      </c>
      <c r="D523" t="s">
        <v>164</v>
      </c>
      <c r="E523" t="s">
        <v>2048</v>
      </c>
      <c r="F523" t="s">
        <v>7672</v>
      </c>
      <c r="G523" t="s">
        <v>8978</v>
      </c>
      <c r="H523" t="s">
        <v>8979</v>
      </c>
      <c r="I523" t="s">
        <v>2084</v>
      </c>
      <c r="J523" t="s">
        <v>53</v>
      </c>
    </row>
    <row r="524" spans="1:10" x14ac:dyDescent="0.25">
      <c r="A524" t="s">
        <v>2120</v>
      </c>
      <c r="B524">
        <v>9.6000000000000014</v>
      </c>
      <c r="C524" t="s">
        <v>2122</v>
      </c>
      <c r="D524" t="s">
        <v>53</v>
      </c>
      <c r="E524" t="s">
        <v>2048</v>
      </c>
      <c r="F524" t="s">
        <v>7672</v>
      </c>
      <c r="G524" t="s">
        <v>8978</v>
      </c>
      <c r="H524" t="s">
        <v>8979</v>
      </c>
      <c r="I524" t="s">
        <v>2067</v>
      </c>
      <c r="J524" t="s">
        <v>53</v>
      </c>
    </row>
    <row r="525" spans="1:10" x14ac:dyDescent="0.25">
      <c r="A525" t="s">
        <v>2124</v>
      </c>
      <c r="B525">
        <v>9.6000000000000014</v>
      </c>
      <c r="C525" t="s">
        <v>2126</v>
      </c>
      <c r="D525" t="s">
        <v>436</v>
      </c>
      <c r="E525" t="s">
        <v>2048</v>
      </c>
      <c r="F525" t="s">
        <v>7672</v>
      </c>
      <c r="G525" t="s">
        <v>8978</v>
      </c>
      <c r="H525" t="s">
        <v>8979</v>
      </c>
      <c r="I525" t="s">
        <v>2094</v>
      </c>
      <c r="J525" t="s">
        <v>53</v>
      </c>
    </row>
    <row r="526" spans="1:10" x14ac:dyDescent="0.25">
      <c r="A526" t="s">
        <v>2128</v>
      </c>
      <c r="B526">
        <v>16.8</v>
      </c>
      <c r="C526" t="s">
        <v>2130</v>
      </c>
      <c r="D526" t="s">
        <v>88</v>
      </c>
      <c r="E526" t="s">
        <v>2131</v>
      </c>
      <c r="F526" t="s">
        <v>7672</v>
      </c>
      <c r="G526" t="s">
        <v>8981</v>
      </c>
      <c r="H526" t="s">
        <v>8078</v>
      </c>
      <c r="I526" t="s">
        <v>76</v>
      </c>
      <c r="J526" t="s">
        <v>7675</v>
      </c>
    </row>
    <row r="527" spans="1:10" x14ac:dyDescent="0.25">
      <c r="A527" t="s">
        <v>2134</v>
      </c>
      <c r="B527">
        <v>16.8</v>
      </c>
      <c r="C527" t="s">
        <v>2136</v>
      </c>
      <c r="D527" t="s">
        <v>2138</v>
      </c>
      <c r="E527" t="s">
        <v>2131</v>
      </c>
      <c r="F527" t="s">
        <v>7672</v>
      </c>
      <c r="G527" t="s">
        <v>8981</v>
      </c>
      <c r="H527" t="s">
        <v>8078</v>
      </c>
      <c r="I527" t="s">
        <v>8982</v>
      </c>
      <c r="J527" t="s">
        <v>7675</v>
      </c>
    </row>
    <row r="528" spans="1:10" x14ac:dyDescent="0.25">
      <c r="A528" t="s">
        <v>2140</v>
      </c>
      <c r="B528">
        <v>16.8</v>
      </c>
      <c r="C528" t="s">
        <v>2142</v>
      </c>
      <c r="D528" t="s">
        <v>2056</v>
      </c>
      <c r="E528" t="s">
        <v>2131</v>
      </c>
      <c r="F528" t="s">
        <v>7672</v>
      </c>
      <c r="G528" t="s">
        <v>8981</v>
      </c>
      <c r="H528" t="s">
        <v>8078</v>
      </c>
      <c r="I528" t="s">
        <v>8079</v>
      </c>
      <c r="J528" t="s">
        <v>7675</v>
      </c>
    </row>
    <row r="529" spans="1:10" x14ac:dyDescent="0.25">
      <c r="A529" t="s">
        <v>2145</v>
      </c>
      <c r="B529">
        <v>16.8</v>
      </c>
      <c r="C529" t="s">
        <v>2147</v>
      </c>
      <c r="D529" t="s">
        <v>2149</v>
      </c>
      <c r="E529" t="s">
        <v>2131</v>
      </c>
      <c r="F529" t="s">
        <v>7672</v>
      </c>
      <c r="G529" t="s">
        <v>8981</v>
      </c>
      <c r="H529" t="s">
        <v>8078</v>
      </c>
      <c r="I529" t="s">
        <v>8982</v>
      </c>
      <c r="J529" t="s">
        <v>7686</v>
      </c>
    </row>
    <row r="530" spans="1:10" x14ac:dyDescent="0.25">
      <c r="A530" t="s">
        <v>2150</v>
      </c>
      <c r="B530">
        <v>16.8</v>
      </c>
      <c r="C530" t="s">
        <v>2152</v>
      </c>
      <c r="D530" t="s">
        <v>199</v>
      </c>
      <c r="E530" t="s">
        <v>2131</v>
      </c>
      <c r="F530" t="s">
        <v>7672</v>
      </c>
      <c r="G530" t="s">
        <v>8981</v>
      </c>
      <c r="H530" t="s">
        <v>8078</v>
      </c>
      <c r="I530" t="s">
        <v>8079</v>
      </c>
      <c r="J530" t="s">
        <v>7686</v>
      </c>
    </row>
    <row r="531" spans="1:10" x14ac:dyDescent="0.25">
      <c r="A531" t="s">
        <v>2154</v>
      </c>
      <c r="B531">
        <v>16.8</v>
      </c>
      <c r="C531" t="s">
        <v>2156</v>
      </c>
      <c r="D531" t="s">
        <v>835</v>
      </c>
      <c r="E531" t="s">
        <v>2131</v>
      </c>
      <c r="F531" t="s">
        <v>7672</v>
      </c>
      <c r="G531" t="s">
        <v>8981</v>
      </c>
      <c r="H531" t="s">
        <v>8078</v>
      </c>
      <c r="I531" t="s">
        <v>8982</v>
      </c>
      <c r="J531" t="s">
        <v>7703</v>
      </c>
    </row>
    <row r="532" spans="1:10" x14ac:dyDescent="0.25">
      <c r="A532" t="s">
        <v>2158</v>
      </c>
      <c r="B532">
        <v>16.8</v>
      </c>
      <c r="C532" t="s">
        <v>2160</v>
      </c>
      <c r="D532" t="s">
        <v>450</v>
      </c>
      <c r="E532" t="s">
        <v>2131</v>
      </c>
      <c r="F532" t="s">
        <v>7672</v>
      </c>
      <c r="G532" t="s">
        <v>8981</v>
      </c>
      <c r="H532" t="s">
        <v>8078</v>
      </c>
      <c r="I532" t="s">
        <v>8079</v>
      </c>
      <c r="J532" t="s">
        <v>7703</v>
      </c>
    </row>
    <row r="533" spans="1:10" x14ac:dyDescent="0.25">
      <c r="A533" t="s">
        <v>2162</v>
      </c>
      <c r="B533">
        <v>16.8</v>
      </c>
      <c r="C533" t="s">
        <v>2164</v>
      </c>
      <c r="D533" t="s">
        <v>229</v>
      </c>
      <c r="E533" t="s">
        <v>2131</v>
      </c>
      <c r="F533" t="s">
        <v>7672</v>
      </c>
      <c r="G533" t="s">
        <v>8981</v>
      </c>
      <c r="H533" t="s">
        <v>8078</v>
      </c>
      <c r="I533" t="s">
        <v>8079</v>
      </c>
      <c r="J533" t="s">
        <v>7713</v>
      </c>
    </row>
    <row r="534" spans="1:10" x14ac:dyDescent="0.25">
      <c r="A534" t="s">
        <v>2166</v>
      </c>
      <c r="B534">
        <v>16.8</v>
      </c>
      <c r="C534" t="s">
        <v>2168</v>
      </c>
      <c r="D534" t="s">
        <v>366</v>
      </c>
      <c r="E534" t="s">
        <v>2131</v>
      </c>
      <c r="F534" t="s">
        <v>7672</v>
      </c>
      <c r="G534" t="s">
        <v>8981</v>
      </c>
      <c r="H534" t="s">
        <v>8078</v>
      </c>
      <c r="I534" t="s">
        <v>8079</v>
      </c>
      <c r="J534" t="s">
        <v>7719</v>
      </c>
    </row>
    <row r="535" spans="1:10" x14ac:dyDescent="0.25">
      <c r="A535" t="s">
        <v>8983</v>
      </c>
      <c r="B535">
        <v>7.1920000000000002</v>
      </c>
      <c r="C535" t="s">
        <v>8984</v>
      </c>
      <c r="D535" t="s">
        <v>2697</v>
      </c>
      <c r="E535" t="s">
        <v>8985</v>
      </c>
      <c r="F535" t="s">
        <v>7672</v>
      </c>
      <c r="G535" t="s">
        <v>8986</v>
      </c>
      <c r="H535" t="s">
        <v>7674</v>
      </c>
      <c r="I535" t="s">
        <v>8987</v>
      </c>
      <c r="J535" t="s">
        <v>8293</v>
      </c>
    </row>
    <row r="536" spans="1:10" x14ac:dyDescent="0.25">
      <c r="A536" t="s">
        <v>8988</v>
      </c>
      <c r="B536">
        <v>7.1920000000000002</v>
      </c>
      <c r="C536" t="s">
        <v>8989</v>
      </c>
      <c r="D536" t="s">
        <v>1134</v>
      </c>
      <c r="E536" t="s">
        <v>8985</v>
      </c>
      <c r="F536" t="s">
        <v>7672</v>
      </c>
      <c r="G536" t="s">
        <v>8986</v>
      </c>
      <c r="H536" t="s">
        <v>7674</v>
      </c>
      <c r="I536" t="s">
        <v>8990</v>
      </c>
      <c r="J536" t="s">
        <v>8293</v>
      </c>
    </row>
    <row r="537" spans="1:10" x14ac:dyDescent="0.25">
      <c r="A537" t="s">
        <v>8991</v>
      </c>
      <c r="B537">
        <v>7.1920000000000002</v>
      </c>
      <c r="C537" t="s">
        <v>8992</v>
      </c>
      <c r="D537" t="s">
        <v>131</v>
      </c>
      <c r="E537" t="s">
        <v>8985</v>
      </c>
      <c r="F537" t="s">
        <v>7672</v>
      </c>
      <c r="G537" t="s">
        <v>8986</v>
      </c>
      <c r="H537" t="s">
        <v>7674</v>
      </c>
      <c r="I537" t="s">
        <v>8993</v>
      </c>
      <c r="J537" t="s">
        <v>8293</v>
      </c>
    </row>
    <row r="538" spans="1:10" x14ac:dyDescent="0.25">
      <c r="A538" t="s">
        <v>8994</v>
      </c>
      <c r="B538">
        <v>7.1920000000000002</v>
      </c>
      <c r="C538" t="s">
        <v>8995</v>
      </c>
      <c r="D538" t="s">
        <v>282</v>
      </c>
      <c r="E538" t="s">
        <v>8985</v>
      </c>
      <c r="F538" t="s">
        <v>7672</v>
      </c>
      <c r="G538" t="s">
        <v>8986</v>
      </c>
      <c r="H538" t="s">
        <v>7674</v>
      </c>
      <c r="I538" t="s">
        <v>8996</v>
      </c>
      <c r="J538" t="s">
        <v>8293</v>
      </c>
    </row>
    <row r="539" spans="1:10" x14ac:dyDescent="0.25">
      <c r="A539" t="s">
        <v>8997</v>
      </c>
      <c r="B539">
        <v>7.1920000000000002</v>
      </c>
      <c r="C539" t="s">
        <v>8998</v>
      </c>
      <c r="D539" t="s">
        <v>250</v>
      </c>
      <c r="E539" t="s">
        <v>8985</v>
      </c>
      <c r="F539" t="s">
        <v>7672</v>
      </c>
      <c r="G539" t="s">
        <v>8986</v>
      </c>
      <c r="H539" t="s">
        <v>7674</v>
      </c>
      <c r="I539" t="s">
        <v>8999</v>
      </c>
      <c r="J539" t="s">
        <v>8293</v>
      </c>
    </row>
    <row r="540" spans="1:10" x14ac:dyDescent="0.25">
      <c r="A540" t="s">
        <v>9000</v>
      </c>
      <c r="B540">
        <v>7.1920000000000002</v>
      </c>
      <c r="C540" t="s">
        <v>9001</v>
      </c>
      <c r="D540" t="s">
        <v>1143</v>
      </c>
      <c r="E540" t="s">
        <v>8985</v>
      </c>
      <c r="F540" t="s">
        <v>7672</v>
      </c>
      <c r="G540" t="s">
        <v>8986</v>
      </c>
      <c r="H540" t="s">
        <v>7674</v>
      </c>
      <c r="I540" t="s">
        <v>9002</v>
      </c>
      <c r="J540" t="s">
        <v>8293</v>
      </c>
    </row>
    <row r="541" spans="1:10" x14ac:dyDescent="0.25">
      <c r="A541" t="s">
        <v>9003</v>
      </c>
      <c r="B541">
        <v>7.1920000000000002</v>
      </c>
      <c r="C541" t="s">
        <v>9004</v>
      </c>
      <c r="D541" t="s">
        <v>2697</v>
      </c>
      <c r="E541" t="s">
        <v>8985</v>
      </c>
      <c r="F541" t="s">
        <v>7672</v>
      </c>
      <c r="G541" t="s">
        <v>8986</v>
      </c>
      <c r="H541" t="s">
        <v>7674</v>
      </c>
      <c r="I541" t="s">
        <v>9005</v>
      </c>
      <c r="J541" t="s">
        <v>8293</v>
      </c>
    </row>
    <row r="542" spans="1:10" x14ac:dyDescent="0.25">
      <c r="A542" t="s">
        <v>9006</v>
      </c>
      <c r="B542">
        <v>7.1920000000000002</v>
      </c>
      <c r="C542" t="s">
        <v>9007</v>
      </c>
      <c r="D542" t="s">
        <v>2253</v>
      </c>
      <c r="E542" t="s">
        <v>8985</v>
      </c>
      <c r="F542" t="s">
        <v>7672</v>
      </c>
      <c r="G542" t="s">
        <v>8986</v>
      </c>
      <c r="H542" t="s">
        <v>7674</v>
      </c>
      <c r="I542" t="s">
        <v>9008</v>
      </c>
      <c r="J542" t="s">
        <v>8293</v>
      </c>
    </row>
    <row r="543" spans="1:10" x14ac:dyDescent="0.25">
      <c r="A543" t="s">
        <v>9009</v>
      </c>
      <c r="B543">
        <v>7.1920000000000002</v>
      </c>
      <c r="C543" t="s">
        <v>9010</v>
      </c>
      <c r="D543" t="s">
        <v>1236</v>
      </c>
      <c r="E543" t="s">
        <v>8985</v>
      </c>
      <c r="F543" t="s">
        <v>7672</v>
      </c>
      <c r="G543" t="s">
        <v>8986</v>
      </c>
      <c r="H543" t="s">
        <v>7674</v>
      </c>
      <c r="I543" t="s">
        <v>9011</v>
      </c>
      <c r="J543" t="s">
        <v>8293</v>
      </c>
    </row>
    <row r="544" spans="1:10" x14ac:dyDescent="0.25">
      <c r="A544" t="s">
        <v>9012</v>
      </c>
      <c r="B544">
        <v>7.1920000000000002</v>
      </c>
      <c r="C544" t="s">
        <v>9013</v>
      </c>
      <c r="D544" t="s">
        <v>588</v>
      </c>
      <c r="E544" t="s">
        <v>8985</v>
      </c>
      <c r="F544" t="s">
        <v>7672</v>
      </c>
      <c r="G544" t="s">
        <v>8986</v>
      </c>
      <c r="H544" t="s">
        <v>7674</v>
      </c>
      <c r="I544" t="s">
        <v>9014</v>
      </c>
      <c r="J544" t="s">
        <v>8293</v>
      </c>
    </row>
    <row r="545" spans="1:10" x14ac:dyDescent="0.25">
      <c r="A545" t="s">
        <v>9015</v>
      </c>
      <c r="B545">
        <v>7.1920000000000002</v>
      </c>
      <c r="C545" t="s">
        <v>9016</v>
      </c>
      <c r="D545" t="s">
        <v>385</v>
      </c>
      <c r="E545" t="s">
        <v>8985</v>
      </c>
      <c r="F545" t="s">
        <v>7672</v>
      </c>
      <c r="G545" t="s">
        <v>8986</v>
      </c>
      <c r="H545" t="s">
        <v>7674</v>
      </c>
      <c r="I545" t="s">
        <v>9017</v>
      </c>
      <c r="J545" t="s">
        <v>8293</v>
      </c>
    </row>
    <row r="546" spans="1:10" x14ac:dyDescent="0.25">
      <c r="A546" t="s">
        <v>9018</v>
      </c>
      <c r="B546">
        <v>7.1920000000000002</v>
      </c>
      <c r="C546" t="s">
        <v>9019</v>
      </c>
      <c r="D546" t="s">
        <v>576</v>
      </c>
      <c r="E546" t="s">
        <v>8985</v>
      </c>
      <c r="F546" t="s">
        <v>7672</v>
      </c>
      <c r="G546" t="s">
        <v>8986</v>
      </c>
      <c r="H546" t="s">
        <v>7674</v>
      </c>
      <c r="I546" t="s">
        <v>9020</v>
      </c>
      <c r="J546" t="s">
        <v>8293</v>
      </c>
    </row>
    <row r="547" spans="1:10" x14ac:dyDescent="0.25">
      <c r="A547" t="s">
        <v>9021</v>
      </c>
      <c r="B547">
        <v>7.1920000000000002</v>
      </c>
      <c r="C547" t="s">
        <v>9022</v>
      </c>
      <c r="D547" t="s">
        <v>2056</v>
      </c>
      <c r="E547" t="s">
        <v>8985</v>
      </c>
      <c r="F547" t="s">
        <v>7672</v>
      </c>
      <c r="G547" t="s">
        <v>8986</v>
      </c>
      <c r="H547" t="s">
        <v>7674</v>
      </c>
      <c r="I547" t="s">
        <v>8990</v>
      </c>
      <c r="J547" t="s">
        <v>9023</v>
      </c>
    </row>
    <row r="548" spans="1:10" x14ac:dyDescent="0.25">
      <c r="A548" t="s">
        <v>9024</v>
      </c>
      <c r="B548">
        <v>7.1920000000000002</v>
      </c>
      <c r="C548" t="s">
        <v>9025</v>
      </c>
      <c r="D548" t="s">
        <v>2056</v>
      </c>
      <c r="E548" t="s">
        <v>8985</v>
      </c>
      <c r="F548" t="s">
        <v>7672</v>
      </c>
      <c r="G548" t="s">
        <v>8986</v>
      </c>
      <c r="H548" t="s">
        <v>7674</v>
      </c>
      <c r="I548" t="s">
        <v>8987</v>
      </c>
      <c r="J548" t="s">
        <v>9023</v>
      </c>
    </row>
    <row r="549" spans="1:10" x14ac:dyDescent="0.25">
      <c r="A549" t="s">
        <v>9026</v>
      </c>
      <c r="B549">
        <v>7.1920000000000002</v>
      </c>
      <c r="C549" t="s">
        <v>9027</v>
      </c>
      <c r="D549" t="s">
        <v>2787</v>
      </c>
      <c r="E549" t="s">
        <v>8985</v>
      </c>
      <c r="F549" t="s">
        <v>7672</v>
      </c>
      <c r="G549" t="s">
        <v>8986</v>
      </c>
      <c r="H549" t="s">
        <v>7674</v>
      </c>
      <c r="I549" t="s">
        <v>8996</v>
      </c>
      <c r="J549" t="s">
        <v>9023</v>
      </c>
    </row>
    <row r="550" spans="1:10" x14ac:dyDescent="0.25">
      <c r="A550" t="s">
        <v>9028</v>
      </c>
      <c r="B550">
        <v>7.1920000000000002</v>
      </c>
      <c r="C550" t="s">
        <v>9029</v>
      </c>
      <c r="D550" t="s">
        <v>4584</v>
      </c>
      <c r="E550" t="s">
        <v>8985</v>
      </c>
      <c r="F550" t="s">
        <v>7672</v>
      </c>
      <c r="G550" t="s">
        <v>8986</v>
      </c>
      <c r="H550" t="s">
        <v>7674</v>
      </c>
      <c r="I550" t="s">
        <v>9002</v>
      </c>
      <c r="J550" t="s">
        <v>9023</v>
      </c>
    </row>
    <row r="551" spans="1:10" x14ac:dyDescent="0.25">
      <c r="A551" t="s">
        <v>9030</v>
      </c>
      <c r="B551">
        <v>7.1920000000000002</v>
      </c>
      <c r="C551" t="s">
        <v>9031</v>
      </c>
      <c r="D551" t="s">
        <v>8618</v>
      </c>
      <c r="E551" t="s">
        <v>8985</v>
      </c>
      <c r="F551" t="s">
        <v>7672</v>
      </c>
      <c r="G551" t="s">
        <v>8986</v>
      </c>
      <c r="H551" t="s">
        <v>7674</v>
      </c>
      <c r="I551" t="s">
        <v>9005</v>
      </c>
      <c r="J551" t="s">
        <v>9023</v>
      </c>
    </row>
    <row r="552" spans="1:10" x14ac:dyDescent="0.25">
      <c r="A552" t="s">
        <v>9032</v>
      </c>
      <c r="B552">
        <v>7.1920000000000002</v>
      </c>
      <c r="C552" t="s">
        <v>9033</v>
      </c>
      <c r="D552" t="s">
        <v>8759</v>
      </c>
      <c r="E552" t="s">
        <v>8985</v>
      </c>
      <c r="F552" t="s">
        <v>7672</v>
      </c>
      <c r="G552" t="s">
        <v>8986</v>
      </c>
      <c r="H552" t="s">
        <v>7674</v>
      </c>
      <c r="I552" t="s">
        <v>8999</v>
      </c>
      <c r="J552" t="s">
        <v>9023</v>
      </c>
    </row>
    <row r="553" spans="1:10" x14ac:dyDescent="0.25">
      <c r="A553" t="s">
        <v>9034</v>
      </c>
      <c r="B553">
        <v>7.1920000000000002</v>
      </c>
      <c r="C553" t="s">
        <v>9035</v>
      </c>
      <c r="D553" t="s">
        <v>1949</v>
      </c>
      <c r="E553" t="s">
        <v>8985</v>
      </c>
      <c r="F553" t="s">
        <v>7672</v>
      </c>
      <c r="G553" t="s">
        <v>8986</v>
      </c>
      <c r="H553" t="s">
        <v>7674</v>
      </c>
      <c r="I553" t="s">
        <v>9008</v>
      </c>
      <c r="J553" t="s">
        <v>9023</v>
      </c>
    </row>
    <row r="554" spans="1:10" x14ac:dyDescent="0.25">
      <c r="A554" t="s">
        <v>9036</v>
      </c>
      <c r="B554">
        <v>7.1920000000000002</v>
      </c>
      <c r="C554" t="s">
        <v>9037</v>
      </c>
      <c r="D554" t="s">
        <v>3253</v>
      </c>
      <c r="E554" t="s">
        <v>8985</v>
      </c>
      <c r="F554" t="s">
        <v>7672</v>
      </c>
      <c r="G554" t="s">
        <v>8986</v>
      </c>
      <c r="H554" t="s">
        <v>7674</v>
      </c>
      <c r="I554" t="s">
        <v>9011</v>
      </c>
      <c r="J554" t="s">
        <v>9023</v>
      </c>
    </row>
    <row r="555" spans="1:10" x14ac:dyDescent="0.25">
      <c r="A555" t="s">
        <v>9038</v>
      </c>
      <c r="B555">
        <v>7.1920000000000002</v>
      </c>
      <c r="C555" t="s">
        <v>9039</v>
      </c>
      <c r="D555" t="s">
        <v>3827</v>
      </c>
      <c r="E555" t="s">
        <v>8985</v>
      </c>
      <c r="F555" t="s">
        <v>7672</v>
      </c>
      <c r="G555" t="s">
        <v>8986</v>
      </c>
      <c r="H555" t="s">
        <v>7674</v>
      </c>
      <c r="I555" t="s">
        <v>9014</v>
      </c>
      <c r="J555" t="s">
        <v>9023</v>
      </c>
    </row>
    <row r="556" spans="1:10" x14ac:dyDescent="0.25">
      <c r="A556" t="s">
        <v>9040</v>
      </c>
      <c r="B556">
        <v>7.1920000000000002</v>
      </c>
      <c r="C556" t="s">
        <v>9041</v>
      </c>
      <c r="D556" t="s">
        <v>613</v>
      </c>
      <c r="E556" t="s">
        <v>8985</v>
      </c>
      <c r="F556" t="s">
        <v>7672</v>
      </c>
      <c r="G556" t="s">
        <v>8986</v>
      </c>
      <c r="H556" t="s">
        <v>7674</v>
      </c>
      <c r="I556" t="s">
        <v>9017</v>
      </c>
      <c r="J556" t="s">
        <v>9023</v>
      </c>
    </row>
    <row r="557" spans="1:10" x14ac:dyDescent="0.25">
      <c r="A557" t="s">
        <v>9042</v>
      </c>
      <c r="B557">
        <v>7.1920000000000002</v>
      </c>
      <c r="C557" t="s">
        <v>9043</v>
      </c>
      <c r="D557" t="s">
        <v>131</v>
      </c>
      <c r="E557" t="s">
        <v>8985</v>
      </c>
      <c r="F557" t="s">
        <v>7672</v>
      </c>
      <c r="G557" t="s">
        <v>8986</v>
      </c>
      <c r="H557" t="s">
        <v>7674</v>
      </c>
      <c r="I557" t="s">
        <v>8987</v>
      </c>
      <c r="J557" t="s">
        <v>8883</v>
      </c>
    </row>
    <row r="558" spans="1:10" x14ac:dyDescent="0.25">
      <c r="A558" t="s">
        <v>9044</v>
      </c>
      <c r="B558">
        <v>7.1920000000000002</v>
      </c>
      <c r="C558" t="s">
        <v>9045</v>
      </c>
      <c r="D558" t="s">
        <v>53</v>
      </c>
      <c r="E558" t="s">
        <v>8985</v>
      </c>
      <c r="F558" t="s">
        <v>7672</v>
      </c>
      <c r="G558" t="s">
        <v>8986</v>
      </c>
      <c r="H558" t="s">
        <v>7674</v>
      </c>
      <c r="I558" t="s">
        <v>9002</v>
      </c>
      <c r="J558" t="s">
        <v>8883</v>
      </c>
    </row>
    <row r="559" spans="1:10" x14ac:dyDescent="0.25">
      <c r="A559" t="s">
        <v>9046</v>
      </c>
      <c r="B559">
        <v>7.1920000000000002</v>
      </c>
      <c r="C559" t="s">
        <v>9047</v>
      </c>
      <c r="D559" t="s">
        <v>1512</v>
      </c>
      <c r="E559" t="s">
        <v>8985</v>
      </c>
      <c r="F559" t="s">
        <v>7672</v>
      </c>
      <c r="G559" t="s">
        <v>8986</v>
      </c>
      <c r="H559" t="s">
        <v>7674</v>
      </c>
      <c r="I559" t="s">
        <v>9011</v>
      </c>
      <c r="J559" t="s">
        <v>8883</v>
      </c>
    </row>
    <row r="560" spans="1:10" x14ac:dyDescent="0.25">
      <c r="A560" t="s">
        <v>9048</v>
      </c>
      <c r="B560">
        <v>7.1920000000000002</v>
      </c>
      <c r="C560" t="s">
        <v>9049</v>
      </c>
      <c r="D560" t="s">
        <v>277</v>
      </c>
      <c r="E560" t="s">
        <v>8985</v>
      </c>
      <c r="F560" t="s">
        <v>7672</v>
      </c>
      <c r="G560" t="s">
        <v>8986</v>
      </c>
      <c r="H560" t="s">
        <v>7674</v>
      </c>
      <c r="I560" t="s">
        <v>8987</v>
      </c>
      <c r="J560" t="s">
        <v>8885</v>
      </c>
    </row>
    <row r="561" spans="1:10" x14ac:dyDescent="0.25">
      <c r="A561" t="s">
        <v>9050</v>
      </c>
      <c r="B561">
        <v>7.1920000000000002</v>
      </c>
      <c r="C561" t="s">
        <v>9051</v>
      </c>
      <c r="D561" t="s">
        <v>342</v>
      </c>
      <c r="E561" t="s">
        <v>8985</v>
      </c>
      <c r="F561" t="s">
        <v>7672</v>
      </c>
      <c r="G561" t="s">
        <v>8986</v>
      </c>
      <c r="H561" t="s">
        <v>7674</v>
      </c>
      <c r="I561" t="s">
        <v>9002</v>
      </c>
      <c r="J561" t="s">
        <v>8885</v>
      </c>
    </row>
    <row r="562" spans="1:10" x14ac:dyDescent="0.25">
      <c r="A562" t="s">
        <v>9052</v>
      </c>
      <c r="B562">
        <v>7.1920000000000002</v>
      </c>
      <c r="C562" t="s">
        <v>9053</v>
      </c>
      <c r="D562" t="s">
        <v>269</v>
      </c>
      <c r="E562" t="s">
        <v>8985</v>
      </c>
      <c r="F562" t="s">
        <v>7672</v>
      </c>
      <c r="G562" t="s">
        <v>8986</v>
      </c>
      <c r="H562" t="s">
        <v>7674</v>
      </c>
      <c r="I562" t="s">
        <v>9002</v>
      </c>
      <c r="J562" t="s">
        <v>9054</v>
      </c>
    </row>
    <row r="563" spans="1:10" x14ac:dyDescent="0.25">
      <c r="A563" t="s">
        <v>9055</v>
      </c>
      <c r="B563">
        <v>7.1920000000000002</v>
      </c>
      <c r="C563" t="s">
        <v>9056</v>
      </c>
      <c r="D563" t="s">
        <v>1097</v>
      </c>
      <c r="E563" t="s">
        <v>8985</v>
      </c>
      <c r="F563" t="s">
        <v>7672</v>
      </c>
      <c r="G563" t="s">
        <v>8986</v>
      </c>
      <c r="H563" t="s">
        <v>7674</v>
      </c>
      <c r="I563" t="s">
        <v>9011</v>
      </c>
      <c r="J563" t="s">
        <v>9054</v>
      </c>
    </row>
    <row r="564" spans="1:10" x14ac:dyDescent="0.25">
      <c r="A564" t="s">
        <v>9057</v>
      </c>
      <c r="B564">
        <v>7.1920000000000002</v>
      </c>
      <c r="C564" t="s">
        <v>9058</v>
      </c>
      <c r="D564" t="s">
        <v>53</v>
      </c>
      <c r="E564" t="s">
        <v>8985</v>
      </c>
      <c r="F564" t="s">
        <v>7672</v>
      </c>
      <c r="G564" t="s">
        <v>8986</v>
      </c>
      <c r="H564" t="s">
        <v>7674</v>
      </c>
      <c r="I564" t="s">
        <v>8987</v>
      </c>
      <c r="J564" t="s">
        <v>9054</v>
      </c>
    </row>
    <row r="565" spans="1:10" x14ac:dyDescent="0.25">
      <c r="A565" t="s">
        <v>9059</v>
      </c>
      <c r="B565">
        <v>7.1920000000000002</v>
      </c>
      <c r="C565" t="s">
        <v>9060</v>
      </c>
      <c r="D565" t="s">
        <v>2149</v>
      </c>
      <c r="E565" t="s">
        <v>8985</v>
      </c>
      <c r="F565" t="s">
        <v>7672</v>
      </c>
      <c r="G565" t="s">
        <v>8986</v>
      </c>
      <c r="H565" t="s">
        <v>7674</v>
      </c>
      <c r="I565" t="s">
        <v>9002</v>
      </c>
      <c r="J565" t="s">
        <v>9061</v>
      </c>
    </row>
    <row r="566" spans="1:10" x14ac:dyDescent="0.25">
      <c r="A566" t="s">
        <v>9062</v>
      </c>
      <c r="B566">
        <v>7.1920000000000002</v>
      </c>
      <c r="C566" t="s">
        <v>9063</v>
      </c>
      <c r="D566" t="s">
        <v>46</v>
      </c>
      <c r="E566" t="s">
        <v>8985</v>
      </c>
      <c r="F566" t="s">
        <v>7672</v>
      </c>
      <c r="G566" t="s">
        <v>8986</v>
      </c>
      <c r="H566" t="s">
        <v>7674</v>
      </c>
      <c r="I566" t="s">
        <v>9002</v>
      </c>
      <c r="J566" t="s">
        <v>9064</v>
      </c>
    </row>
    <row r="567" spans="1:10" x14ac:dyDescent="0.25">
      <c r="A567" t="s">
        <v>9065</v>
      </c>
      <c r="B567">
        <v>7.1920000000000002</v>
      </c>
      <c r="C567" t="s">
        <v>9066</v>
      </c>
      <c r="D567" t="s">
        <v>996</v>
      </c>
      <c r="E567" t="s">
        <v>8985</v>
      </c>
      <c r="F567" t="s">
        <v>7672</v>
      </c>
      <c r="G567" t="s">
        <v>8986</v>
      </c>
      <c r="H567" t="s">
        <v>7674</v>
      </c>
      <c r="I567" t="s">
        <v>9008</v>
      </c>
      <c r="J567" t="s">
        <v>9064</v>
      </c>
    </row>
    <row r="568" spans="1:10" x14ac:dyDescent="0.25">
      <c r="A568" t="s">
        <v>9067</v>
      </c>
      <c r="B568">
        <v>7.1920000000000002</v>
      </c>
      <c r="C568" t="s">
        <v>9068</v>
      </c>
      <c r="D568" t="s">
        <v>5145</v>
      </c>
      <c r="E568" t="s">
        <v>8985</v>
      </c>
      <c r="F568" t="s">
        <v>7672</v>
      </c>
      <c r="G568" t="s">
        <v>8986</v>
      </c>
      <c r="H568" t="s">
        <v>7674</v>
      </c>
      <c r="I568" t="s">
        <v>9011</v>
      </c>
      <c r="J568" t="s">
        <v>9064</v>
      </c>
    </row>
    <row r="569" spans="1:10" x14ac:dyDescent="0.25">
      <c r="A569" t="s">
        <v>9069</v>
      </c>
      <c r="B569">
        <v>7.1920000000000002</v>
      </c>
      <c r="C569" t="s">
        <v>9070</v>
      </c>
      <c r="D569" t="s">
        <v>964</v>
      </c>
      <c r="E569" t="s">
        <v>8985</v>
      </c>
      <c r="F569" t="s">
        <v>7672</v>
      </c>
      <c r="G569" t="s">
        <v>8986</v>
      </c>
      <c r="H569" t="s">
        <v>7674</v>
      </c>
      <c r="I569" t="s">
        <v>9014</v>
      </c>
      <c r="J569" t="s">
        <v>9064</v>
      </c>
    </row>
    <row r="570" spans="1:10" x14ac:dyDescent="0.25">
      <c r="A570" t="s">
        <v>9071</v>
      </c>
      <c r="B570">
        <v>7.1920000000000002</v>
      </c>
      <c r="C570" t="s">
        <v>9072</v>
      </c>
      <c r="D570" t="s">
        <v>255</v>
      </c>
      <c r="E570" t="s">
        <v>8985</v>
      </c>
      <c r="F570" t="s">
        <v>7672</v>
      </c>
      <c r="G570" t="s">
        <v>8986</v>
      </c>
      <c r="H570" t="s">
        <v>7674</v>
      </c>
      <c r="I570" t="s">
        <v>8999</v>
      </c>
      <c r="J570" t="s">
        <v>9064</v>
      </c>
    </row>
    <row r="571" spans="1:10" x14ac:dyDescent="0.25">
      <c r="A571" t="s">
        <v>9073</v>
      </c>
      <c r="B571">
        <v>7.1920000000000002</v>
      </c>
      <c r="C571" t="s">
        <v>9074</v>
      </c>
      <c r="D571" t="s">
        <v>3577</v>
      </c>
      <c r="E571" t="s">
        <v>8985</v>
      </c>
      <c r="F571" t="s">
        <v>7672</v>
      </c>
      <c r="G571" t="s">
        <v>8986</v>
      </c>
      <c r="H571" t="s">
        <v>7674</v>
      </c>
      <c r="I571" t="s">
        <v>8987</v>
      </c>
      <c r="J571" t="s">
        <v>9064</v>
      </c>
    </row>
    <row r="572" spans="1:10" x14ac:dyDescent="0.25">
      <c r="A572" t="s">
        <v>9075</v>
      </c>
      <c r="B572">
        <v>7.1920000000000002</v>
      </c>
      <c r="C572" t="s">
        <v>9076</v>
      </c>
      <c r="D572" t="s">
        <v>1822</v>
      </c>
      <c r="E572" t="s">
        <v>8985</v>
      </c>
      <c r="F572" t="s">
        <v>7672</v>
      </c>
      <c r="G572" t="s">
        <v>8986</v>
      </c>
      <c r="H572" t="s">
        <v>7674</v>
      </c>
      <c r="I572" t="s">
        <v>8990</v>
      </c>
      <c r="J572" t="s">
        <v>9064</v>
      </c>
    </row>
    <row r="573" spans="1:10" x14ac:dyDescent="0.25">
      <c r="A573" t="s">
        <v>9077</v>
      </c>
      <c r="B573">
        <v>7.1920000000000002</v>
      </c>
      <c r="C573" t="s">
        <v>9078</v>
      </c>
      <c r="D573" t="s">
        <v>908</v>
      </c>
      <c r="E573" t="s">
        <v>8985</v>
      </c>
      <c r="F573" t="s">
        <v>7672</v>
      </c>
      <c r="G573" t="s">
        <v>8986</v>
      </c>
      <c r="H573" t="s">
        <v>7674</v>
      </c>
      <c r="I573" t="s">
        <v>9008</v>
      </c>
      <c r="J573" t="s">
        <v>9079</v>
      </c>
    </row>
    <row r="574" spans="1:10" x14ac:dyDescent="0.25">
      <c r="A574" t="s">
        <v>9080</v>
      </c>
      <c r="B574">
        <v>7.1920000000000002</v>
      </c>
      <c r="C574" t="s">
        <v>9081</v>
      </c>
      <c r="D574" t="s">
        <v>255</v>
      </c>
      <c r="E574" t="s">
        <v>8985</v>
      </c>
      <c r="F574" t="s">
        <v>7672</v>
      </c>
      <c r="G574" t="s">
        <v>8986</v>
      </c>
      <c r="H574" t="s">
        <v>7674</v>
      </c>
      <c r="I574" t="s">
        <v>9082</v>
      </c>
      <c r="J574" t="s">
        <v>9079</v>
      </c>
    </row>
    <row r="575" spans="1:10" x14ac:dyDescent="0.25">
      <c r="A575" t="s">
        <v>9083</v>
      </c>
      <c r="B575">
        <v>7.1920000000000002</v>
      </c>
      <c r="C575" t="s">
        <v>9084</v>
      </c>
      <c r="D575" t="s">
        <v>996</v>
      </c>
      <c r="E575" t="s">
        <v>8985</v>
      </c>
      <c r="F575" t="s">
        <v>7672</v>
      </c>
      <c r="G575" t="s">
        <v>8986</v>
      </c>
      <c r="H575" t="s">
        <v>7674</v>
      </c>
      <c r="I575" t="s">
        <v>9002</v>
      </c>
      <c r="J575" t="s">
        <v>9079</v>
      </c>
    </row>
    <row r="576" spans="1:10" x14ac:dyDescent="0.25">
      <c r="A576" t="s">
        <v>9085</v>
      </c>
      <c r="B576">
        <v>7.1920000000000002</v>
      </c>
      <c r="C576" t="s">
        <v>9086</v>
      </c>
      <c r="D576" t="s">
        <v>870</v>
      </c>
      <c r="E576" t="s">
        <v>8985</v>
      </c>
      <c r="F576" t="s">
        <v>7672</v>
      </c>
      <c r="G576" t="s">
        <v>8986</v>
      </c>
      <c r="H576" t="s">
        <v>7674</v>
      </c>
      <c r="I576" t="s">
        <v>9017</v>
      </c>
      <c r="J576" t="s">
        <v>9079</v>
      </c>
    </row>
    <row r="577" spans="1:10" x14ac:dyDescent="0.25">
      <c r="A577" t="s">
        <v>9087</v>
      </c>
      <c r="B577">
        <v>7.1920000000000002</v>
      </c>
      <c r="C577" t="s">
        <v>9088</v>
      </c>
      <c r="D577" t="s">
        <v>8618</v>
      </c>
      <c r="E577" t="s">
        <v>8985</v>
      </c>
      <c r="F577" t="s">
        <v>7672</v>
      </c>
      <c r="G577" t="s">
        <v>8986</v>
      </c>
      <c r="H577" t="s">
        <v>7674</v>
      </c>
      <c r="I577" t="s">
        <v>9011</v>
      </c>
      <c r="J577" t="s">
        <v>9079</v>
      </c>
    </row>
    <row r="578" spans="1:10" x14ac:dyDescent="0.25">
      <c r="A578" t="s">
        <v>9089</v>
      </c>
      <c r="B578">
        <v>7.1920000000000002</v>
      </c>
      <c r="C578" t="s">
        <v>9090</v>
      </c>
      <c r="D578" t="s">
        <v>113</v>
      </c>
      <c r="E578" t="s">
        <v>8985</v>
      </c>
      <c r="F578" t="s">
        <v>7672</v>
      </c>
      <c r="G578" t="s">
        <v>8986</v>
      </c>
      <c r="H578" t="s">
        <v>7674</v>
      </c>
      <c r="I578" t="s">
        <v>9020</v>
      </c>
      <c r="J578" t="s">
        <v>9079</v>
      </c>
    </row>
    <row r="579" spans="1:10" x14ac:dyDescent="0.25">
      <c r="A579" t="s">
        <v>9091</v>
      </c>
      <c r="B579">
        <v>7.1920000000000002</v>
      </c>
      <c r="C579" t="s">
        <v>9092</v>
      </c>
      <c r="D579" t="s">
        <v>450</v>
      </c>
      <c r="E579" t="s">
        <v>8985</v>
      </c>
      <c r="F579" t="s">
        <v>7672</v>
      </c>
      <c r="G579" t="s">
        <v>8986</v>
      </c>
      <c r="H579" t="s">
        <v>7674</v>
      </c>
      <c r="I579" t="s">
        <v>9014</v>
      </c>
      <c r="J579" t="s">
        <v>9079</v>
      </c>
    </row>
    <row r="580" spans="1:10" x14ac:dyDescent="0.25">
      <c r="A580" t="s">
        <v>9093</v>
      </c>
      <c r="B580">
        <v>7.1920000000000002</v>
      </c>
      <c r="C580" t="s">
        <v>9094</v>
      </c>
      <c r="D580" t="s">
        <v>2652</v>
      </c>
      <c r="E580" t="s">
        <v>8985</v>
      </c>
      <c r="F580" t="s">
        <v>7672</v>
      </c>
      <c r="G580" t="s">
        <v>8986</v>
      </c>
      <c r="H580" t="s">
        <v>7674</v>
      </c>
      <c r="I580" t="s">
        <v>8999</v>
      </c>
      <c r="J580" t="s">
        <v>9079</v>
      </c>
    </row>
    <row r="581" spans="1:10" x14ac:dyDescent="0.25">
      <c r="A581" t="s">
        <v>9095</v>
      </c>
      <c r="B581">
        <v>7.1920000000000002</v>
      </c>
      <c r="C581" t="s">
        <v>9096</v>
      </c>
      <c r="D581" t="s">
        <v>776</v>
      </c>
      <c r="E581" t="s">
        <v>8985</v>
      </c>
      <c r="F581" t="s">
        <v>7672</v>
      </c>
      <c r="G581" t="s">
        <v>8986</v>
      </c>
      <c r="H581" t="s">
        <v>7674</v>
      </c>
      <c r="I581" t="s">
        <v>8996</v>
      </c>
      <c r="J581" t="s">
        <v>9079</v>
      </c>
    </row>
    <row r="582" spans="1:10" x14ac:dyDescent="0.25">
      <c r="A582" t="s">
        <v>9097</v>
      </c>
      <c r="B582">
        <v>7.1920000000000002</v>
      </c>
      <c r="C582" t="s">
        <v>9098</v>
      </c>
      <c r="D582" t="s">
        <v>1097</v>
      </c>
      <c r="E582" t="s">
        <v>8985</v>
      </c>
      <c r="F582" t="s">
        <v>7672</v>
      </c>
      <c r="G582" t="s">
        <v>8986</v>
      </c>
      <c r="H582" t="s">
        <v>7674</v>
      </c>
      <c r="I582" t="s">
        <v>8993</v>
      </c>
      <c r="J582" t="s">
        <v>9079</v>
      </c>
    </row>
    <row r="583" spans="1:10" x14ac:dyDescent="0.25">
      <c r="A583" t="s">
        <v>9099</v>
      </c>
      <c r="B583">
        <v>7.1920000000000002</v>
      </c>
      <c r="C583" t="s">
        <v>9100</v>
      </c>
      <c r="D583" t="s">
        <v>865</v>
      </c>
      <c r="E583" t="s">
        <v>8985</v>
      </c>
      <c r="F583" t="s">
        <v>7672</v>
      </c>
      <c r="G583" t="s">
        <v>8986</v>
      </c>
      <c r="H583" t="s">
        <v>7674</v>
      </c>
      <c r="I583" t="s">
        <v>8987</v>
      </c>
      <c r="J583" t="s">
        <v>9079</v>
      </c>
    </row>
    <row r="584" spans="1:10" x14ac:dyDescent="0.25">
      <c r="A584" t="s">
        <v>9101</v>
      </c>
      <c r="B584">
        <v>7.1920000000000002</v>
      </c>
      <c r="C584" t="s">
        <v>9102</v>
      </c>
      <c r="D584" t="s">
        <v>913</v>
      </c>
      <c r="E584" t="s">
        <v>8985</v>
      </c>
      <c r="F584" t="s">
        <v>7672</v>
      </c>
      <c r="G584" t="s">
        <v>8986</v>
      </c>
      <c r="H584" t="s">
        <v>7674</v>
      </c>
      <c r="I584" t="s">
        <v>8990</v>
      </c>
      <c r="J584" t="s">
        <v>9079</v>
      </c>
    </row>
    <row r="585" spans="1:10" x14ac:dyDescent="0.25">
      <c r="A585" t="s">
        <v>9103</v>
      </c>
      <c r="B585">
        <v>11.192</v>
      </c>
      <c r="C585" t="s">
        <v>9104</v>
      </c>
      <c r="D585" t="s">
        <v>379</v>
      </c>
      <c r="E585" t="s">
        <v>9105</v>
      </c>
      <c r="F585" t="s">
        <v>7672</v>
      </c>
      <c r="G585" t="s">
        <v>9106</v>
      </c>
      <c r="H585" t="s">
        <v>7674</v>
      </c>
      <c r="I585" t="s">
        <v>1413</v>
      </c>
      <c r="J585" t="s">
        <v>9107</v>
      </c>
    </row>
    <row r="586" spans="1:10" x14ac:dyDescent="0.25">
      <c r="A586" t="s">
        <v>9108</v>
      </c>
      <c r="B586">
        <v>11.192</v>
      </c>
      <c r="C586" t="s">
        <v>9109</v>
      </c>
      <c r="D586" t="s">
        <v>296</v>
      </c>
      <c r="E586" t="s">
        <v>9105</v>
      </c>
      <c r="F586" t="s">
        <v>7672</v>
      </c>
      <c r="G586" t="s">
        <v>9106</v>
      </c>
      <c r="H586" t="s">
        <v>7674</v>
      </c>
      <c r="I586" t="s">
        <v>1413</v>
      </c>
      <c r="J586" t="s">
        <v>9110</v>
      </c>
    </row>
    <row r="587" spans="1:10" x14ac:dyDescent="0.25">
      <c r="A587" t="s">
        <v>9111</v>
      </c>
      <c r="B587">
        <v>11.192</v>
      </c>
      <c r="C587" t="s">
        <v>9112</v>
      </c>
      <c r="D587" t="s">
        <v>290</v>
      </c>
      <c r="E587" t="s">
        <v>9105</v>
      </c>
      <c r="F587" t="s">
        <v>7672</v>
      </c>
      <c r="G587" t="s">
        <v>9106</v>
      </c>
      <c r="H587" t="s">
        <v>7674</v>
      </c>
      <c r="I587" t="s">
        <v>9113</v>
      </c>
      <c r="J587" t="s">
        <v>9114</v>
      </c>
    </row>
    <row r="588" spans="1:10" x14ac:dyDescent="0.25">
      <c r="A588" t="s">
        <v>2170</v>
      </c>
      <c r="B588">
        <v>15.4</v>
      </c>
      <c r="C588" t="s">
        <v>2172</v>
      </c>
      <c r="D588" t="s">
        <v>843</v>
      </c>
      <c r="E588" t="s">
        <v>2173</v>
      </c>
      <c r="F588" t="s">
        <v>7672</v>
      </c>
      <c r="G588" t="s">
        <v>9115</v>
      </c>
      <c r="H588" t="s">
        <v>7954</v>
      </c>
      <c r="I588" t="s">
        <v>9116</v>
      </c>
      <c r="J588" t="s">
        <v>7675</v>
      </c>
    </row>
    <row r="589" spans="1:10" x14ac:dyDescent="0.25">
      <c r="A589" t="s">
        <v>2176</v>
      </c>
      <c r="B589">
        <v>15.4</v>
      </c>
      <c r="C589" t="s">
        <v>2178</v>
      </c>
      <c r="D589" t="s">
        <v>321</v>
      </c>
      <c r="E589" t="s">
        <v>2173</v>
      </c>
      <c r="F589" t="s">
        <v>7672</v>
      </c>
      <c r="G589" t="s">
        <v>9115</v>
      </c>
      <c r="H589" t="s">
        <v>7954</v>
      </c>
      <c r="I589" t="s">
        <v>9117</v>
      </c>
      <c r="J589" t="s">
        <v>7675</v>
      </c>
    </row>
    <row r="590" spans="1:10" x14ac:dyDescent="0.25">
      <c r="A590" t="s">
        <v>9118</v>
      </c>
      <c r="B590">
        <v>15.4</v>
      </c>
      <c r="C590" t="s">
        <v>9119</v>
      </c>
      <c r="D590" t="s">
        <v>277</v>
      </c>
      <c r="E590" t="s">
        <v>2173</v>
      </c>
      <c r="F590" t="s">
        <v>7672</v>
      </c>
      <c r="G590" t="s">
        <v>9115</v>
      </c>
      <c r="H590" t="s">
        <v>7954</v>
      </c>
      <c r="I590" t="s">
        <v>9120</v>
      </c>
      <c r="J590" t="s">
        <v>7675</v>
      </c>
    </row>
    <row r="591" spans="1:10" x14ac:dyDescent="0.25">
      <c r="A591" t="s">
        <v>2181</v>
      </c>
      <c r="B591">
        <v>15.4</v>
      </c>
      <c r="C591" t="s">
        <v>2183</v>
      </c>
      <c r="D591" t="s">
        <v>385</v>
      </c>
      <c r="E591" t="s">
        <v>2173</v>
      </c>
      <c r="F591" t="s">
        <v>7672</v>
      </c>
      <c r="G591" t="s">
        <v>9115</v>
      </c>
      <c r="H591" t="s">
        <v>7954</v>
      </c>
      <c r="I591" t="s">
        <v>9121</v>
      </c>
      <c r="J591" t="s">
        <v>7675</v>
      </c>
    </row>
    <row r="592" spans="1:10" x14ac:dyDescent="0.25">
      <c r="A592" t="s">
        <v>2186</v>
      </c>
      <c r="B592">
        <v>15.4</v>
      </c>
      <c r="C592" t="s">
        <v>2188</v>
      </c>
      <c r="D592" t="s">
        <v>53</v>
      </c>
      <c r="E592" t="s">
        <v>2173</v>
      </c>
      <c r="F592" t="s">
        <v>7672</v>
      </c>
      <c r="G592" t="s">
        <v>9115</v>
      </c>
      <c r="H592" t="s">
        <v>7954</v>
      </c>
      <c r="I592" t="s">
        <v>9116</v>
      </c>
      <c r="J592" t="s">
        <v>7703</v>
      </c>
    </row>
    <row r="593" spans="1:10" x14ac:dyDescent="0.25">
      <c r="A593" t="s">
        <v>2190</v>
      </c>
      <c r="B593">
        <v>15.4</v>
      </c>
      <c r="C593" t="s">
        <v>2192</v>
      </c>
      <c r="D593" t="s">
        <v>613</v>
      </c>
      <c r="E593" t="s">
        <v>2173</v>
      </c>
      <c r="F593" t="s">
        <v>7672</v>
      </c>
      <c r="G593" t="s">
        <v>9115</v>
      </c>
      <c r="H593" t="s">
        <v>7954</v>
      </c>
      <c r="I593" t="s">
        <v>9116</v>
      </c>
      <c r="J593" t="s">
        <v>7713</v>
      </c>
    </row>
    <row r="594" spans="1:10" x14ac:dyDescent="0.25">
      <c r="A594" t="s">
        <v>2194</v>
      </c>
      <c r="B594">
        <v>15.4</v>
      </c>
      <c r="C594" t="s">
        <v>2196</v>
      </c>
      <c r="D594" t="s">
        <v>2198</v>
      </c>
      <c r="E594" t="s">
        <v>2173</v>
      </c>
      <c r="F594" t="s">
        <v>7672</v>
      </c>
      <c r="G594" t="s">
        <v>9115</v>
      </c>
      <c r="H594" t="s">
        <v>7954</v>
      </c>
      <c r="I594" t="s">
        <v>9116</v>
      </c>
      <c r="J594" t="s">
        <v>7719</v>
      </c>
    </row>
    <row r="595" spans="1:10" x14ac:dyDescent="0.25">
      <c r="A595" t="s">
        <v>9122</v>
      </c>
      <c r="B595">
        <v>16.792000000000002</v>
      </c>
      <c r="C595" t="s">
        <v>9123</v>
      </c>
      <c r="D595" t="s">
        <v>9124</v>
      </c>
      <c r="E595" t="s">
        <v>9125</v>
      </c>
      <c r="F595" t="s">
        <v>7672</v>
      </c>
      <c r="G595" t="s">
        <v>9126</v>
      </c>
      <c r="H595" t="s">
        <v>9127</v>
      </c>
      <c r="I595" t="s">
        <v>9128</v>
      </c>
      <c r="J595" t="s">
        <v>7942</v>
      </c>
    </row>
    <row r="596" spans="1:10" x14ac:dyDescent="0.25">
      <c r="A596" t="s">
        <v>9129</v>
      </c>
      <c r="B596">
        <v>16.792000000000002</v>
      </c>
      <c r="C596" t="s">
        <v>9130</v>
      </c>
      <c r="D596" t="s">
        <v>9131</v>
      </c>
      <c r="E596" t="s">
        <v>9125</v>
      </c>
      <c r="F596" t="s">
        <v>7672</v>
      </c>
      <c r="G596" t="s">
        <v>9126</v>
      </c>
      <c r="H596" t="s">
        <v>9127</v>
      </c>
      <c r="I596" t="s">
        <v>9128</v>
      </c>
      <c r="J596" t="s">
        <v>7981</v>
      </c>
    </row>
    <row r="597" spans="1:10" x14ac:dyDescent="0.25">
      <c r="A597" t="s">
        <v>9132</v>
      </c>
      <c r="B597">
        <v>16.792000000000002</v>
      </c>
      <c r="C597" t="s">
        <v>9133</v>
      </c>
      <c r="D597" t="s">
        <v>9134</v>
      </c>
      <c r="E597" t="s">
        <v>9125</v>
      </c>
      <c r="F597" t="s">
        <v>7672</v>
      </c>
      <c r="G597" t="s">
        <v>9126</v>
      </c>
      <c r="H597" t="s">
        <v>9127</v>
      </c>
      <c r="I597" t="s">
        <v>9128</v>
      </c>
      <c r="J597" t="s">
        <v>7984</v>
      </c>
    </row>
    <row r="598" spans="1:10" x14ac:dyDescent="0.25">
      <c r="A598" t="s">
        <v>9135</v>
      </c>
      <c r="B598">
        <v>16.792000000000002</v>
      </c>
      <c r="C598" t="s">
        <v>9136</v>
      </c>
      <c r="D598" t="s">
        <v>88</v>
      </c>
      <c r="E598" t="s">
        <v>9125</v>
      </c>
      <c r="F598" t="s">
        <v>7672</v>
      </c>
      <c r="G598" t="s">
        <v>9126</v>
      </c>
      <c r="H598" t="s">
        <v>9127</v>
      </c>
      <c r="I598" t="s">
        <v>9128</v>
      </c>
      <c r="J598" t="s">
        <v>7987</v>
      </c>
    </row>
    <row r="599" spans="1:10" x14ac:dyDescent="0.25">
      <c r="A599" t="s">
        <v>9137</v>
      </c>
      <c r="B599">
        <v>16.792000000000002</v>
      </c>
      <c r="C599" t="s">
        <v>9138</v>
      </c>
      <c r="D599" t="s">
        <v>245</v>
      </c>
      <c r="E599" t="s">
        <v>9125</v>
      </c>
      <c r="F599" t="s">
        <v>7672</v>
      </c>
      <c r="G599" t="s">
        <v>9126</v>
      </c>
      <c r="H599" t="s">
        <v>9127</v>
      </c>
      <c r="I599" t="s">
        <v>9128</v>
      </c>
      <c r="J599" t="s">
        <v>8001</v>
      </c>
    </row>
    <row r="600" spans="1:10" x14ac:dyDescent="0.25">
      <c r="A600" t="s">
        <v>9139</v>
      </c>
      <c r="B600">
        <v>16.792000000000002</v>
      </c>
      <c r="C600" t="s">
        <v>9140</v>
      </c>
      <c r="D600" t="s">
        <v>588</v>
      </c>
      <c r="E600" t="s">
        <v>9125</v>
      </c>
      <c r="F600" t="s">
        <v>7672</v>
      </c>
      <c r="G600" t="s">
        <v>9126</v>
      </c>
      <c r="H600" t="s">
        <v>9127</v>
      </c>
      <c r="I600" t="s">
        <v>9128</v>
      </c>
      <c r="J600" t="s">
        <v>8013</v>
      </c>
    </row>
    <row r="601" spans="1:10" x14ac:dyDescent="0.25">
      <c r="A601" t="s">
        <v>9141</v>
      </c>
      <c r="B601">
        <v>7.4960000000000004</v>
      </c>
      <c r="C601" t="s">
        <v>9142</v>
      </c>
      <c r="D601" t="s">
        <v>1254</v>
      </c>
      <c r="E601" t="s">
        <v>9143</v>
      </c>
      <c r="F601" t="s">
        <v>7672</v>
      </c>
      <c r="G601" t="s">
        <v>9144</v>
      </c>
      <c r="H601" t="s">
        <v>7674</v>
      </c>
      <c r="I601" t="s">
        <v>9145</v>
      </c>
      <c r="J601" t="s">
        <v>131</v>
      </c>
    </row>
    <row r="602" spans="1:10" x14ac:dyDescent="0.25">
      <c r="A602" t="s">
        <v>9146</v>
      </c>
      <c r="B602">
        <v>7.4960000000000004</v>
      </c>
      <c r="C602" t="s">
        <v>9147</v>
      </c>
      <c r="D602" t="s">
        <v>9148</v>
      </c>
      <c r="E602" t="s">
        <v>9143</v>
      </c>
      <c r="F602" t="s">
        <v>7672</v>
      </c>
      <c r="G602" t="s">
        <v>9144</v>
      </c>
      <c r="H602" t="s">
        <v>7674</v>
      </c>
      <c r="I602" t="s">
        <v>9149</v>
      </c>
      <c r="J602" t="s">
        <v>131</v>
      </c>
    </row>
    <row r="603" spans="1:10" x14ac:dyDescent="0.25">
      <c r="A603" t="s">
        <v>9150</v>
      </c>
      <c r="B603">
        <v>7.4960000000000004</v>
      </c>
      <c r="C603" t="s">
        <v>9151</v>
      </c>
      <c r="D603" t="s">
        <v>598</v>
      </c>
      <c r="E603" t="s">
        <v>9143</v>
      </c>
      <c r="F603" t="s">
        <v>7672</v>
      </c>
      <c r="G603" t="s">
        <v>9144</v>
      </c>
      <c r="H603" t="s">
        <v>7674</v>
      </c>
      <c r="I603" t="s">
        <v>1675</v>
      </c>
      <c r="J603" t="s">
        <v>131</v>
      </c>
    </row>
    <row r="604" spans="1:10" x14ac:dyDescent="0.25">
      <c r="A604" t="s">
        <v>9152</v>
      </c>
      <c r="B604">
        <v>7.4960000000000004</v>
      </c>
      <c r="C604" t="s">
        <v>9153</v>
      </c>
      <c r="D604" t="s">
        <v>870</v>
      </c>
      <c r="E604" t="s">
        <v>9143</v>
      </c>
      <c r="F604" t="s">
        <v>7672</v>
      </c>
      <c r="G604" t="s">
        <v>9144</v>
      </c>
      <c r="H604" t="s">
        <v>7674</v>
      </c>
      <c r="I604" t="s">
        <v>9145</v>
      </c>
      <c r="J604" t="s">
        <v>269</v>
      </c>
    </row>
    <row r="605" spans="1:10" x14ac:dyDescent="0.25">
      <c r="A605" t="s">
        <v>9154</v>
      </c>
      <c r="B605">
        <v>7.4960000000000004</v>
      </c>
      <c r="C605" t="s">
        <v>9155</v>
      </c>
      <c r="D605" t="s">
        <v>9156</v>
      </c>
      <c r="E605" t="s">
        <v>9143</v>
      </c>
      <c r="F605" t="s">
        <v>7672</v>
      </c>
      <c r="G605" t="s">
        <v>9144</v>
      </c>
      <c r="H605" t="s">
        <v>7674</v>
      </c>
      <c r="I605" t="s">
        <v>9149</v>
      </c>
      <c r="J605" t="s">
        <v>269</v>
      </c>
    </row>
    <row r="606" spans="1:10" x14ac:dyDescent="0.25">
      <c r="A606" t="s">
        <v>9157</v>
      </c>
      <c r="B606">
        <v>7.4960000000000004</v>
      </c>
      <c r="C606" t="s">
        <v>9158</v>
      </c>
      <c r="D606" t="s">
        <v>1097</v>
      </c>
      <c r="E606" t="s">
        <v>9143</v>
      </c>
      <c r="F606" t="s">
        <v>7672</v>
      </c>
      <c r="G606" t="s">
        <v>9144</v>
      </c>
      <c r="H606" t="s">
        <v>7674</v>
      </c>
      <c r="I606" t="s">
        <v>1675</v>
      </c>
      <c r="J606" t="s">
        <v>269</v>
      </c>
    </row>
    <row r="607" spans="1:10" x14ac:dyDescent="0.25">
      <c r="A607" t="s">
        <v>9159</v>
      </c>
      <c r="B607">
        <v>7.4960000000000004</v>
      </c>
      <c r="C607" t="s">
        <v>9160</v>
      </c>
      <c r="D607" t="s">
        <v>9161</v>
      </c>
      <c r="E607" t="s">
        <v>9143</v>
      </c>
      <c r="F607" t="s">
        <v>7672</v>
      </c>
      <c r="G607" t="s">
        <v>9144</v>
      </c>
      <c r="H607" t="s">
        <v>7674</v>
      </c>
      <c r="I607" t="s">
        <v>9149</v>
      </c>
      <c r="J607" t="s">
        <v>255</v>
      </c>
    </row>
    <row r="608" spans="1:10" x14ac:dyDescent="0.25">
      <c r="A608" t="s">
        <v>9162</v>
      </c>
      <c r="B608">
        <v>7.4960000000000004</v>
      </c>
      <c r="C608" t="s">
        <v>9163</v>
      </c>
      <c r="D608" t="s">
        <v>9164</v>
      </c>
      <c r="E608" t="s">
        <v>9143</v>
      </c>
      <c r="F608" t="s">
        <v>7672</v>
      </c>
      <c r="G608" t="s">
        <v>9144</v>
      </c>
      <c r="H608" t="s">
        <v>7674</v>
      </c>
      <c r="I608" t="s">
        <v>9149</v>
      </c>
      <c r="J608" t="s">
        <v>277</v>
      </c>
    </row>
    <row r="609" spans="1:10" x14ac:dyDescent="0.25">
      <c r="A609" t="s">
        <v>9165</v>
      </c>
      <c r="B609">
        <v>7.4960000000000004</v>
      </c>
      <c r="C609" t="s">
        <v>9166</v>
      </c>
      <c r="D609" t="s">
        <v>9167</v>
      </c>
      <c r="E609" t="s">
        <v>9143</v>
      </c>
      <c r="F609" t="s">
        <v>7672</v>
      </c>
      <c r="G609" t="s">
        <v>9144</v>
      </c>
      <c r="H609" t="s">
        <v>7674</v>
      </c>
      <c r="I609" t="s">
        <v>9149</v>
      </c>
      <c r="J609" t="s">
        <v>164</v>
      </c>
    </row>
    <row r="610" spans="1:10" x14ac:dyDescent="0.25">
      <c r="A610" t="s">
        <v>9168</v>
      </c>
      <c r="B610">
        <v>7.4960000000000004</v>
      </c>
      <c r="C610" t="s">
        <v>9169</v>
      </c>
      <c r="D610" t="s">
        <v>9170</v>
      </c>
      <c r="E610" t="s">
        <v>9143</v>
      </c>
      <c r="F610" t="s">
        <v>7672</v>
      </c>
      <c r="G610" t="s">
        <v>9144</v>
      </c>
      <c r="H610" t="s">
        <v>7674</v>
      </c>
      <c r="I610" t="s">
        <v>9149</v>
      </c>
      <c r="J610" t="s">
        <v>290</v>
      </c>
    </row>
    <row r="611" spans="1:10" x14ac:dyDescent="0.25">
      <c r="A611" t="s">
        <v>9171</v>
      </c>
      <c r="B611">
        <v>7.4960000000000004</v>
      </c>
      <c r="C611" t="s">
        <v>9172</v>
      </c>
      <c r="D611" t="s">
        <v>9173</v>
      </c>
      <c r="E611" t="s">
        <v>9143</v>
      </c>
      <c r="F611" t="s">
        <v>7672</v>
      </c>
      <c r="G611" t="s">
        <v>9144</v>
      </c>
      <c r="H611" t="s">
        <v>7674</v>
      </c>
      <c r="I611" t="s">
        <v>9149</v>
      </c>
      <c r="J611" t="s">
        <v>199</v>
      </c>
    </row>
    <row r="612" spans="1:10" x14ac:dyDescent="0.25">
      <c r="A612" t="s">
        <v>9174</v>
      </c>
      <c r="B612">
        <v>7.4960000000000004</v>
      </c>
      <c r="C612" t="s">
        <v>9175</v>
      </c>
      <c r="D612" t="s">
        <v>1884</v>
      </c>
      <c r="E612" t="s">
        <v>9143</v>
      </c>
      <c r="F612" t="s">
        <v>7672</v>
      </c>
      <c r="G612" t="s">
        <v>9144</v>
      </c>
      <c r="H612" t="s">
        <v>7674</v>
      </c>
      <c r="I612" t="s">
        <v>9149</v>
      </c>
      <c r="J612" t="s">
        <v>95</v>
      </c>
    </row>
    <row r="613" spans="1:10" x14ac:dyDescent="0.25">
      <c r="A613" t="s">
        <v>9176</v>
      </c>
      <c r="B613">
        <v>7.4960000000000004</v>
      </c>
      <c r="C613" t="s">
        <v>9177</v>
      </c>
      <c r="D613" t="s">
        <v>352</v>
      </c>
      <c r="E613" t="s">
        <v>9143</v>
      </c>
      <c r="F613" t="s">
        <v>7672</v>
      </c>
      <c r="G613" t="s">
        <v>9144</v>
      </c>
      <c r="H613" t="s">
        <v>7674</v>
      </c>
      <c r="I613" t="s">
        <v>9145</v>
      </c>
      <c r="J613" t="s">
        <v>95</v>
      </c>
    </row>
    <row r="614" spans="1:10" x14ac:dyDescent="0.25">
      <c r="A614" t="s">
        <v>9178</v>
      </c>
      <c r="B614">
        <v>7.4960000000000004</v>
      </c>
      <c r="C614" t="s">
        <v>9179</v>
      </c>
      <c r="D614" t="s">
        <v>576</v>
      </c>
      <c r="E614" t="s">
        <v>9143</v>
      </c>
      <c r="F614" t="s">
        <v>7672</v>
      </c>
      <c r="G614" t="s">
        <v>9144</v>
      </c>
      <c r="H614" t="s">
        <v>7674</v>
      </c>
      <c r="I614" t="s">
        <v>1675</v>
      </c>
      <c r="J614" t="s">
        <v>95</v>
      </c>
    </row>
    <row r="615" spans="1:10" x14ac:dyDescent="0.25">
      <c r="A615" t="s">
        <v>9180</v>
      </c>
      <c r="B615">
        <v>7.4960000000000004</v>
      </c>
      <c r="C615" t="s">
        <v>9181</v>
      </c>
      <c r="D615" t="s">
        <v>53</v>
      </c>
      <c r="E615" t="s">
        <v>9143</v>
      </c>
      <c r="F615" t="s">
        <v>7672</v>
      </c>
      <c r="G615" t="s">
        <v>9144</v>
      </c>
      <c r="H615" t="s">
        <v>7674</v>
      </c>
      <c r="I615" t="s">
        <v>9182</v>
      </c>
      <c r="J615" t="s">
        <v>9183</v>
      </c>
    </row>
    <row r="616" spans="1:10" x14ac:dyDescent="0.25">
      <c r="A616" t="s">
        <v>9184</v>
      </c>
      <c r="B616">
        <v>7.4960000000000004</v>
      </c>
      <c r="C616" t="s">
        <v>9185</v>
      </c>
      <c r="D616" t="s">
        <v>229</v>
      </c>
      <c r="E616" t="s">
        <v>9143</v>
      </c>
      <c r="F616" t="s">
        <v>7672</v>
      </c>
      <c r="G616" t="s">
        <v>9144</v>
      </c>
      <c r="H616" t="s">
        <v>7674</v>
      </c>
      <c r="I616" t="s">
        <v>9149</v>
      </c>
      <c r="J616" t="s">
        <v>9183</v>
      </c>
    </row>
    <row r="617" spans="1:10" x14ac:dyDescent="0.25">
      <c r="A617" t="s">
        <v>9186</v>
      </c>
      <c r="B617">
        <v>7.4960000000000004</v>
      </c>
      <c r="C617" t="s">
        <v>9187</v>
      </c>
      <c r="D617" t="s">
        <v>2022</v>
      </c>
      <c r="E617" t="s">
        <v>9143</v>
      </c>
      <c r="F617" t="s">
        <v>7672</v>
      </c>
      <c r="G617" t="s">
        <v>9144</v>
      </c>
      <c r="H617" t="s">
        <v>7674</v>
      </c>
      <c r="I617" t="s">
        <v>1675</v>
      </c>
      <c r="J617" t="s">
        <v>9183</v>
      </c>
    </row>
    <row r="618" spans="1:10" x14ac:dyDescent="0.25">
      <c r="A618" t="s">
        <v>9188</v>
      </c>
      <c r="B618">
        <v>7.4960000000000004</v>
      </c>
      <c r="C618" t="s">
        <v>9189</v>
      </c>
      <c r="D618" t="s">
        <v>240</v>
      </c>
      <c r="E618" t="s">
        <v>9143</v>
      </c>
      <c r="F618" t="s">
        <v>7672</v>
      </c>
      <c r="G618" t="s">
        <v>9144</v>
      </c>
      <c r="H618" t="s">
        <v>7674</v>
      </c>
      <c r="I618" t="s">
        <v>9145</v>
      </c>
      <c r="J618" t="s">
        <v>9183</v>
      </c>
    </row>
    <row r="619" spans="1:10" x14ac:dyDescent="0.25">
      <c r="A619" t="s">
        <v>9190</v>
      </c>
      <c r="B619">
        <v>7.4960000000000004</v>
      </c>
      <c r="C619" t="s">
        <v>9191</v>
      </c>
      <c r="D619" t="s">
        <v>588</v>
      </c>
      <c r="E619" t="s">
        <v>9143</v>
      </c>
      <c r="F619" t="s">
        <v>7672</v>
      </c>
      <c r="G619" t="s">
        <v>9144</v>
      </c>
      <c r="H619" t="s">
        <v>7674</v>
      </c>
      <c r="I619" t="s">
        <v>8158</v>
      </c>
      <c r="J619" t="s">
        <v>9183</v>
      </c>
    </row>
    <row r="620" spans="1:10" x14ac:dyDescent="0.25">
      <c r="A620" t="s">
        <v>9192</v>
      </c>
      <c r="B620">
        <v>7.4960000000000004</v>
      </c>
      <c r="C620" t="s">
        <v>9193</v>
      </c>
      <c r="D620" t="s">
        <v>1143</v>
      </c>
      <c r="E620" t="s">
        <v>9143</v>
      </c>
      <c r="F620" t="s">
        <v>7672</v>
      </c>
      <c r="G620" t="s">
        <v>9144</v>
      </c>
      <c r="H620" t="s">
        <v>7674</v>
      </c>
      <c r="I620" t="s">
        <v>1675</v>
      </c>
      <c r="J620" t="s">
        <v>9194</v>
      </c>
    </row>
    <row r="621" spans="1:10" x14ac:dyDescent="0.25">
      <c r="A621" t="s">
        <v>9195</v>
      </c>
      <c r="B621">
        <v>7.4960000000000004</v>
      </c>
      <c r="C621" t="s">
        <v>9196</v>
      </c>
      <c r="D621" t="s">
        <v>342</v>
      </c>
      <c r="E621" t="s">
        <v>9143</v>
      </c>
      <c r="F621" t="s">
        <v>7672</v>
      </c>
      <c r="G621" t="s">
        <v>9144</v>
      </c>
      <c r="H621" t="s">
        <v>7674</v>
      </c>
      <c r="I621" t="s">
        <v>9145</v>
      </c>
      <c r="J621" t="s">
        <v>9194</v>
      </c>
    </row>
    <row r="622" spans="1:10" x14ac:dyDescent="0.25">
      <c r="A622" t="s">
        <v>9197</v>
      </c>
      <c r="B622">
        <v>7.4960000000000004</v>
      </c>
      <c r="C622" t="s">
        <v>9198</v>
      </c>
      <c r="D622" t="s">
        <v>330</v>
      </c>
      <c r="E622" t="s">
        <v>9143</v>
      </c>
      <c r="F622" t="s">
        <v>7672</v>
      </c>
      <c r="G622" t="s">
        <v>9144</v>
      </c>
      <c r="H622" t="s">
        <v>7674</v>
      </c>
      <c r="I622" t="s">
        <v>9182</v>
      </c>
      <c r="J622" t="s">
        <v>9194</v>
      </c>
    </row>
    <row r="623" spans="1:10" x14ac:dyDescent="0.25">
      <c r="A623" t="s">
        <v>9199</v>
      </c>
      <c r="B623">
        <v>7.4960000000000004</v>
      </c>
      <c r="C623" t="s">
        <v>9200</v>
      </c>
      <c r="D623" t="s">
        <v>576</v>
      </c>
      <c r="E623" t="s">
        <v>9143</v>
      </c>
      <c r="F623" t="s">
        <v>7672</v>
      </c>
      <c r="G623" t="s">
        <v>9144</v>
      </c>
      <c r="H623" t="s">
        <v>7674</v>
      </c>
      <c r="I623" t="s">
        <v>9149</v>
      </c>
      <c r="J623" t="s">
        <v>9194</v>
      </c>
    </row>
    <row r="624" spans="1:10" x14ac:dyDescent="0.25">
      <c r="A624" t="s">
        <v>9201</v>
      </c>
      <c r="B624">
        <v>7.4960000000000004</v>
      </c>
      <c r="C624" t="s">
        <v>9202</v>
      </c>
      <c r="D624" t="s">
        <v>436</v>
      </c>
      <c r="E624" t="s">
        <v>9143</v>
      </c>
      <c r="F624" t="s">
        <v>7672</v>
      </c>
      <c r="G624" t="s">
        <v>9144</v>
      </c>
      <c r="H624" t="s">
        <v>7674</v>
      </c>
      <c r="I624" t="s">
        <v>9149</v>
      </c>
      <c r="J624" t="s">
        <v>9203</v>
      </c>
    </row>
    <row r="625" spans="1:10" x14ac:dyDescent="0.25">
      <c r="A625" t="s">
        <v>9204</v>
      </c>
      <c r="B625">
        <v>7.4960000000000004</v>
      </c>
      <c r="C625" t="s">
        <v>9205</v>
      </c>
      <c r="D625" t="s">
        <v>385</v>
      </c>
      <c r="E625" t="s">
        <v>9143</v>
      </c>
      <c r="F625" t="s">
        <v>7672</v>
      </c>
      <c r="G625" t="s">
        <v>9144</v>
      </c>
      <c r="H625" t="s">
        <v>7674</v>
      </c>
      <c r="I625" t="s">
        <v>9145</v>
      </c>
      <c r="J625" t="s">
        <v>9203</v>
      </c>
    </row>
    <row r="626" spans="1:10" x14ac:dyDescent="0.25">
      <c r="A626" t="s">
        <v>9206</v>
      </c>
      <c r="B626">
        <v>7.4960000000000004</v>
      </c>
      <c r="C626" t="s">
        <v>9207</v>
      </c>
      <c r="D626" t="s">
        <v>240</v>
      </c>
      <c r="E626" t="s">
        <v>9143</v>
      </c>
      <c r="F626" t="s">
        <v>7672</v>
      </c>
      <c r="G626" t="s">
        <v>9144</v>
      </c>
      <c r="H626" t="s">
        <v>7674</v>
      </c>
      <c r="I626" t="s">
        <v>1675</v>
      </c>
      <c r="J626" t="s">
        <v>9203</v>
      </c>
    </row>
    <row r="627" spans="1:10" x14ac:dyDescent="0.25">
      <c r="A627" t="s">
        <v>9208</v>
      </c>
      <c r="B627">
        <v>7.4960000000000004</v>
      </c>
      <c r="C627" t="s">
        <v>9209</v>
      </c>
      <c r="D627" t="s">
        <v>53</v>
      </c>
      <c r="E627" t="s">
        <v>9143</v>
      </c>
      <c r="F627" t="s">
        <v>7672</v>
      </c>
      <c r="G627" t="s">
        <v>9144</v>
      </c>
      <c r="H627" t="s">
        <v>7674</v>
      </c>
      <c r="I627" t="s">
        <v>9182</v>
      </c>
      <c r="J627" t="s">
        <v>9210</v>
      </c>
    </row>
    <row r="628" spans="1:10" x14ac:dyDescent="0.25">
      <c r="A628" t="s">
        <v>9211</v>
      </c>
      <c r="B628">
        <v>7.4960000000000004</v>
      </c>
      <c r="C628" t="s">
        <v>9212</v>
      </c>
      <c r="D628" t="s">
        <v>60</v>
      </c>
      <c r="E628" t="s">
        <v>9143</v>
      </c>
      <c r="F628" t="s">
        <v>7672</v>
      </c>
      <c r="G628" t="s">
        <v>9144</v>
      </c>
      <c r="H628" t="s">
        <v>7674</v>
      </c>
      <c r="I628" t="s">
        <v>1675</v>
      </c>
      <c r="J628" t="s">
        <v>9210</v>
      </c>
    </row>
    <row r="629" spans="1:10" x14ac:dyDescent="0.25">
      <c r="A629" t="s">
        <v>9213</v>
      </c>
      <c r="B629">
        <v>7.4960000000000004</v>
      </c>
      <c r="C629" t="s">
        <v>9214</v>
      </c>
      <c r="D629" t="s">
        <v>199</v>
      </c>
      <c r="E629" t="s">
        <v>9143</v>
      </c>
      <c r="F629" t="s">
        <v>7672</v>
      </c>
      <c r="G629" t="s">
        <v>9144</v>
      </c>
      <c r="H629" t="s">
        <v>7674</v>
      </c>
      <c r="I629" t="s">
        <v>9145</v>
      </c>
      <c r="J629" t="s">
        <v>9210</v>
      </c>
    </row>
    <row r="630" spans="1:10" x14ac:dyDescent="0.25">
      <c r="A630" t="s">
        <v>9215</v>
      </c>
      <c r="B630">
        <v>7.4960000000000004</v>
      </c>
      <c r="C630" t="s">
        <v>9216</v>
      </c>
      <c r="D630" t="s">
        <v>2697</v>
      </c>
      <c r="E630" t="s">
        <v>9143</v>
      </c>
      <c r="F630" t="s">
        <v>7672</v>
      </c>
      <c r="G630" t="s">
        <v>9144</v>
      </c>
      <c r="H630" t="s">
        <v>7674</v>
      </c>
      <c r="I630" t="s">
        <v>1675</v>
      </c>
      <c r="J630" t="s">
        <v>9217</v>
      </c>
    </row>
    <row r="631" spans="1:10" x14ac:dyDescent="0.25">
      <c r="A631" t="s">
        <v>9218</v>
      </c>
      <c r="B631">
        <v>7.4960000000000004</v>
      </c>
      <c r="C631" t="s">
        <v>9219</v>
      </c>
      <c r="D631" t="s">
        <v>60</v>
      </c>
      <c r="E631" t="s">
        <v>9143</v>
      </c>
      <c r="F631" t="s">
        <v>7672</v>
      </c>
      <c r="G631" t="s">
        <v>9144</v>
      </c>
      <c r="H631" t="s">
        <v>7674</v>
      </c>
      <c r="I631" t="s">
        <v>9145</v>
      </c>
      <c r="J631" t="s">
        <v>9217</v>
      </c>
    </row>
    <row r="632" spans="1:10" x14ac:dyDescent="0.25">
      <c r="A632" t="s">
        <v>9220</v>
      </c>
      <c r="B632">
        <v>7.4960000000000004</v>
      </c>
      <c r="C632" t="s">
        <v>9221</v>
      </c>
      <c r="D632" t="s">
        <v>113</v>
      </c>
      <c r="E632" t="s">
        <v>9143</v>
      </c>
      <c r="F632" t="s">
        <v>7672</v>
      </c>
      <c r="G632" t="s">
        <v>9144</v>
      </c>
      <c r="H632" t="s">
        <v>7674</v>
      </c>
      <c r="I632" t="s">
        <v>1675</v>
      </c>
      <c r="J632" t="s">
        <v>9222</v>
      </c>
    </row>
    <row r="633" spans="1:10" x14ac:dyDescent="0.25">
      <c r="A633" t="s">
        <v>9223</v>
      </c>
      <c r="B633">
        <v>7.4960000000000004</v>
      </c>
      <c r="C633" t="s">
        <v>9224</v>
      </c>
      <c r="D633" t="s">
        <v>113</v>
      </c>
      <c r="E633" t="s">
        <v>9143</v>
      </c>
      <c r="F633" t="s">
        <v>7672</v>
      </c>
      <c r="G633" t="s">
        <v>9144</v>
      </c>
      <c r="H633" t="s">
        <v>7674</v>
      </c>
      <c r="I633" t="s">
        <v>9145</v>
      </c>
      <c r="J633" t="s">
        <v>9222</v>
      </c>
    </row>
    <row r="634" spans="1:10" x14ac:dyDescent="0.25">
      <c r="A634" t="s">
        <v>9225</v>
      </c>
      <c r="B634">
        <v>7.4960000000000004</v>
      </c>
      <c r="C634" t="s">
        <v>9226</v>
      </c>
      <c r="D634" t="s">
        <v>290</v>
      </c>
      <c r="E634" t="s">
        <v>9143</v>
      </c>
      <c r="F634" t="s">
        <v>7672</v>
      </c>
      <c r="G634" t="s">
        <v>9144</v>
      </c>
      <c r="H634" t="s">
        <v>7674</v>
      </c>
      <c r="I634" t="s">
        <v>9182</v>
      </c>
      <c r="J634" t="s">
        <v>9222</v>
      </c>
    </row>
    <row r="635" spans="1:10" x14ac:dyDescent="0.25">
      <c r="A635" t="s">
        <v>9227</v>
      </c>
      <c r="B635">
        <v>7.4960000000000004</v>
      </c>
      <c r="C635" t="s">
        <v>9228</v>
      </c>
      <c r="D635" t="s">
        <v>290</v>
      </c>
      <c r="E635" t="s">
        <v>9143</v>
      </c>
      <c r="F635" t="s">
        <v>7672</v>
      </c>
      <c r="G635" t="s">
        <v>9144</v>
      </c>
      <c r="H635" t="s">
        <v>7674</v>
      </c>
      <c r="I635" t="s">
        <v>1675</v>
      </c>
      <c r="J635" t="s">
        <v>9229</v>
      </c>
    </row>
    <row r="636" spans="1:10" x14ac:dyDescent="0.25">
      <c r="A636" t="s">
        <v>2199</v>
      </c>
      <c r="B636">
        <v>7</v>
      </c>
      <c r="C636" t="s">
        <v>2201</v>
      </c>
      <c r="D636" t="s">
        <v>2204</v>
      </c>
      <c r="E636" t="s">
        <v>2202</v>
      </c>
      <c r="F636" t="s">
        <v>7672</v>
      </c>
      <c r="G636" t="s">
        <v>9230</v>
      </c>
      <c r="H636" t="s">
        <v>8078</v>
      </c>
      <c r="I636" t="s">
        <v>8982</v>
      </c>
      <c r="J636" t="s">
        <v>7675</v>
      </c>
    </row>
    <row r="637" spans="1:10" x14ac:dyDescent="0.25">
      <c r="A637" t="s">
        <v>2207</v>
      </c>
      <c r="B637">
        <v>52.8</v>
      </c>
      <c r="C637" t="s">
        <v>2209</v>
      </c>
      <c r="D637" t="s">
        <v>321</v>
      </c>
      <c r="E637" t="s">
        <v>2210</v>
      </c>
      <c r="F637" t="s">
        <v>7672</v>
      </c>
      <c r="G637" t="s">
        <v>9231</v>
      </c>
      <c r="H637" t="s">
        <v>9232</v>
      </c>
      <c r="I637" t="s">
        <v>2213</v>
      </c>
      <c r="J637" t="s">
        <v>7675</v>
      </c>
    </row>
    <row r="638" spans="1:10" x14ac:dyDescent="0.25">
      <c r="A638" t="s">
        <v>2214</v>
      </c>
      <c r="B638">
        <v>52.8</v>
      </c>
      <c r="C638" t="s">
        <v>2216</v>
      </c>
      <c r="D638" t="s">
        <v>781</v>
      </c>
      <c r="E638" t="s">
        <v>2210</v>
      </c>
      <c r="F638" t="s">
        <v>7672</v>
      </c>
      <c r="G638" t="s">
        <v>9231</v>
      </c>
      <c r="H638" t="s">
        <v>9232</v>
      </c>
      <c r="I638" t="s">
        <v>1406</v>
      </c>
      <c r="J638" t="s">
        <v>7675</v>
      </c>
    </row>
    <row r="639" spans="1:10" x14ac:dyDescent="0.25">
      <c r="A639" t="s">
        <v>2218</v>
      </c>
      <c r="B639">
        <v>52.8</v>
      </c>
      <c r="C639" t="s">
        <v>2220</v>
      </c>
      <c r="D639" t="s">
        <v>664</v>
      </c>
      <c r="E639" t="s">
        <v>2210</v>
      </c>
      <c r="F639" t="s">
        <v>7672</v>
      </c>
      <c r="G639" t="s">
        <v>9231</v>
      </c>
      <c r="H639" t="s">
        <v>9232</v>
      </c>
      <c r="I639" t="s">
        <v>1211</v>
      </c>
      <c r="J639" t="s">
        <v>7675</v>
      </c>
    </row>
    <row r="640" spans="1:10" x14ac:dyDescent="0.25">
      <c r="A640" t="s">
        <v>2222</v>
      </c>
      <c r="B640">
        <v>52.8</v>
      </c>
      <c r="C640" t="s">
        <v>2224</v>
      </c>
      <c r="D640" t="s">
        <v>981</v>
      </c>
      <c r="E640" t="s">
        <v>2210</v>
      </c>
      <c r="F640" t="s">
        <v>7672</v>
      </c>
      <c r="G640" t="s">
        <v>9231</v>
      </c>
      <c r="H640" t="s">
        <v>9232</v>
      </c>
      <c r="I640" t="s">
        <v>76</v>
      </c>
      <c r="J640" t="s">
        <v>7675</v>
      </c>
    </row>
    <row r="641" spans="1:10" x14ac:dyDescent="0.25">
      <c r="A641" t="s">
        <v>2226</v>
      </c>
      <c r="B641">
        <v>52.8</v>
      </c>
      <c r="C641" t="s">
        <v>2228</v>
      </c>
      <c r="D641" t="s">
        <v>144</v>
      </c>
      <c r="E641" t="s">
        <v>2210</v>
      </c>
      <c r="F641" t="s">
        <v>7672</v>
      </c>
      <c r="G641" t="s">
        <v>9231</v>
      </c>
      <c r="H641" t="s">
        <v>9232</v>
      </c>
      <c r="I641" t="s">
        <v>2213</v>
      </c>
      <c r="J641" t="s">
        <v>7686</v>
      </c>
    </row>
    <row r="642" spans="1:10" x14ac:dyDescent="0.25">
      <c r="A642" t="s">
        <v>2230</v>
      </c>
      <c r="B642">
        <v>52.8</v>
      </c>
      <c r="C642" t="s">
        <v>2232</v>
      </c>
      <c r="D642" t="s">
        <v>250</v>
      </c>
      <c r="E642" t="s">
        <v>2210</v>
      </c>
      <c r="F642" t="s">
        <v>7672</v>
      </c>
      <c r="G642" t="s">
        <v>9231</v>
      </c>
      <c r="H642" t="s">
        <v>9232</v>
      </c>
      <c r="I642" t="s">
        <v>1406</v>
      </c>
      <c r="J642" t="s">
        <v>7686</v>
      </c>
    </row>
    <row r="643" spans="1:10" x14ac:dyDescent="0.25">
      <c r="A643" t="s">
        <v>2234</v>
      </c>
      <c r="B643">
        <v>52.8</v>
      </c>
      <c r="C643" t="s">
        <v>2236</v>
      </c>
      <c r="D643" t="s">
        <v>2238</v>
      </c>
      <c r="E643" t="s">
        <v>2210</v>
      </c>
      <c r="F643" t="s">
        <v>7672</v>
      </c>
      <c r="G643" t="s">
        <v>9231</v>
      </c>
      <c r="H643" t="s">
        <v>9232</v>
      </c>
      <c r="I643" t="s">
        <v>1211</v>
      </c>
      <c r="J643" t="s">
        <v>7686</v>
      </c>
    </row>
    <row r="644" spans="1:10" x14ac:dyDescent="0.25">
      <c r="A644" t="s">
        <v>2239</v>
      </c>
      <c r="B644">
        <v>52.8</v>
      </c>
      <c r="C644" t="s">
        <v>2241</v>
      </c>
      <c r="D644" t="s">
        <v>2243</v>
      </c>
      <c r="E644" t="s">
        <v>2210</v>
      </c>
      <c r="F644" t="s">
        <v>7672</v>
      </c>
      <c r="G644" t="s">
        <v>9231</v>
      </c>
      <c r="H644" t="s">
        <v>9232</v>
      </c>
      <c r="I644" t="s">
        <v>2213</v>
      </c>
      <c r="J644" t="s">
        <v>7703</v>
      </c>
    </row>
    <row r="645" spans="1:10" x14ac:dyDescent="0.25">
      <c r="A645" t="s">
        <v>2244</v>
      </c>
      <c r="B645">
        <v>52.8</v>
      </c>
      <c r="C645" t="s">
        <v>2246</v>
      </c>
      <c r="D645" t="s">
        <v>2248</v>
      </c>
      <c r="E645" t="s">
        <v>2210</v>
      </c>
      <c r="F645" t="s">
        <v>7672</v>
      </c>
      <c r="G645" t="s">
        <v>9231</v>
      </c>
      <c r="H645" t="s">
        <v>9232</v>
      </c>
      <c r="I645" t="s">
        <v>1211</v>
      </c>
      <c r="J645" t="s">
        <v>7703</v>
      </c>
    </row>
    <row r="646" spans="1:10" x14ac:dyDescent="0.25">
      <c r="A646" t="s">
        <v>2249</v>
      </c>
      <c r="B646">
        <v>52.8</v>
      </c>
      <c r="C646" t="s">
        <v>2251</v>
      </c>
      <c r="D646" t="s">
        <v>2253</v>
      </c>
      <c r="E646" t="s">
        <v>2210</v>
      </c>
      <c r="F646" t="s">
        <v>7672</v>
      </c>
      <c r="G646" t="s">
        <v>9231</v>
      </c>
      <c r="H646" t="s">
        <v>9232</v>
      </c>
      <c r="I646" t="s">
        <v>1406</v>
      </c>
      <c r="J646" t="s">
        <v>7703</v>
      </c>
    </row>
    <row r="647" spans="1:10" x14ac:dyDescent="0.25">
      <c r="A647" t="s">
        <v>2254</v>
      </c>
      <c r="B647">
        <v>52.8</v>
      </c>
      <c r="C647" t="s">
        <v>2256</v>
      </c>
      <c r="D647" t="s">
        <v>2138</v>
      </c>
      <c r="E647" t="s">
        <v>2210</v>
      </c>
      <c r="F647" t="s">
        <v>7672</v>
      </c>
      <c r="G647" t="s">
        <v>9231</v>
      </c>
      <c r="H647" t="s">
        <v>9232</v>
      </c>
      <c r="I647" t="s">
        <v>2213</v>
      </c>
      <c r="J647" t="s">
        <v>7713</v>
      </c>
    </row>
    <row r="648" spans="1:10" x14ac:dyDescent="0.25">
      <c r="A648" t="s">
        <v>2258</v>
      </c>
      <c r="B648">
        <v>52.8</v>
      </c>
      <c r="C648" t="s">
        <v>2260</v>
      </c>
      <c r="D648" t="s">
        <v>2262</v>
      </c>
      <c r="E648" t="s">
        <v>2210</v>
      </c>
      <c r="F648" t="s">
        <v>7672</v>
      </c>
      <c r="G648" t="s">
        <v>9231</v>
      </c>
      <c r="H648" t="s">
        <v>9232</v>
      </c>
      <c r="I648" t="s">
        <v>1211</v>
      </c>
      <c r="J648" t="s">
        <v>7713</v>
      </c>
    </row>
    <row r="649" spans="1:10" x14ac:dyDescent="0.25">
      <c r="A649" t="s">
        <v>2263</v>
      </c>
      <c r="B649">
        <v>52.8</v>
      </c>
      <c r="C649" t="s">
        <v>2265</v>
      </c>
      <c r="D649" t="s">
        <v>342</v>
      </c>
      <c r="E649" t="s">
        <v>2210</v>
      </c>
      <c r="F649" t="s">
        <v>7672</v>
      </c>
      <c r="G649" t="s">
        <v>9231</v>
      </c>
      <c r="H649" t="s">
        <v>9232</v>
      </c>
      <c r="I649" t="s">
        <v>76</v>
      </c>
      <c r="J649" t="s">
        <v>7713</v>
      </c>
    </row>
    <row r="650" spans="1:10" x14ac:dyDescent="0.25">
      <c r="A650" t="s">
        <v>2267</v>
      </c>
      <c r="B650">
        <v>52.8</v>
      </c>
      <c r="C650" t="s">
        <v>2269</v>
      </c>
      <c r="D650" t="s">
        <v>1134</v>
      </c>
      <c r="E650" t="s">
        <v>2210</v>
      </c>
      <c r="F650" t="s">
        <v>7672</v>
      </c>
      <c r="G650" t="s">
        <v>9231</v>
      </c>
      <c r="H650" t="s">
        <v>9232</v>
      </c>
      <c r="I650" t="s">
        <v>1406</v>
      </c>
      <c r="J650" t="s">
        <v>7713</v>
      </c>
    </row>
    <row r="651" spans="1:10" x14ac:dyDescent="0.25">
      <c r="A651" t="s">
        <v>2271</v>
      </c>
      <c r="B651">
        <v>52.8</v>
      </c>
      <c r="C651" t="s">
        <v>2273</v>
      </c>
      <c r="D651" t="s">
        <v>255</v>
      </c>
      <c r="E651" t="s">
        <v>2210</v>
      </c>
      <c r="F651" t="s">
        <v>7672</v>
      </c>
      <c r="G651" t="s">
        <v>9231</v>
      </c>
      <c r="H651" t="s">
        <v>9232</v>
      </c>
      <c r="I651" t="s">
        <v>76</v>
      </c>
      <c r="J651" t="s">
        <v>7719</v>
      </c>
    </row>
    <row r="652" spans="1:10" x14ac:dyDescent="0.25">
      <c r="A652" t="s">
        <v>2275</v>
      </c>
      <c r="B652">
        <v>52.8</v>
      </c>
      <c r="C652" t="s">
        <v>2277</v>
      </c>
      <c r="D652" t="s">
        <v>2099</v>
      </c>
      <c r="E652" t="s">
        <v>2210</v>
      </c>
      <c r="F652" t="s">
        <v>7672</v>
      </c>
      <c r="G652" t="s">
        <v>9231</v>
      </c>
      <c r="H652" t="s">
        <v>9232</v>
      </c>
      <c r="I652" t="s">
        <v>2213</v>
      </c>
      <c r="J652" t="s">
        <v>7719</v>
      </c>
    </row>
    <row r="653" spans="1:10" x14ac:dyDescent="0.25">
      <c r="A653" t="s">
        <v>2279</v>
      </c>
      <c r="B653">
        <v>52.8</v>
      </c>
      <c r="C653" t="s">
        <v>2281</v>
      </c>
      <c r="D653" t="s">
        <v>269</v>
      </c>
      <c r="E653" t="s">
        <v>2210</v>
      </c>
      <c r="F653" t="s">
        <v>7672</v>
      </c>
      <c r="G653" t="s">
        <v>9231</v>
      </c>
      <c r="H653" t="s">
        <v>9232</v>
      </c>
      <c r="I653" t="s">
        <v>1406</v>
      </c>
      <c r="J653" t="s">
        <v>7719</v>
      </c>
    </row>
    <row r="654" spans="1:10" x14ac:dyDescent="0.25">
      <c r="A654" t="s">
        <v>2283</v>
      </c>
      <c r="B654">
        <v>52.8</v>
      </c>
      <c r="C654" t="s">
        <v>2285</v>
      </c>
      <c r="D654" t="s">
        <v>865</v>
      </c>
      <c r="E654" t="s">
        <v>2210</v>
      </c>
      <c r="F654" t="s">
        <v>7672</v>
      </c>
      <c r="G654" t="s">
        <v>9231</v>
      </c>
      <c r="H654" t="s">
        <v>9232</v>
      </c>
      <c r="I654" t="s">
        <v>1211</v>
      </c>
      <c r="J654" t="s">
        <v>7719</v>
      </c>
    </row>
    <row r="655" spans="1:10" x14ac:dyDescent="0.25">
      <c r="A655" t="s">
        <v>9233</v>
      </c>
      <c r="B655">
        <v>6.9920000000000009</v>
      </c>
      <c r="C655" t="s">
        <v>9234</v>
      </c>
      <c r="D655" t="s">
        <v>4270</v>
      </c>
      <c r="E655" t="s">
        <v>9235</v>
      </c>
      <c r="F655" t="s">
        <v>7672</v>
      </c>
      <c r="G655" t="s">
        <v>9236</v>
      </c>
      <c r="H655" t="s">
        <v>7974</v>
      </c>
      <c r="I655" t="s">
        <v>8600</v>
      </c>
      <c r="J655" t="s">
        <v>9237</v>
      </c>
    </row>
    <row r="656" spans="1:10" x14ac:dyDescent="0.25">
      <c r="A656" t="s">
        <v>9238</v>
      </c>
      <c r="B656">
        <v>6.9920000000000009</v>
      </c>
      <c r="C656" t="s">
        <v>9239</v>
      </c>
      <c r="D656" t="s">
        <v>9240</v>
      </c>
      <c r="E656" t="s">
        <v>9235</v>
      </c>
      <c r="F656" t="s">
        <v>7672</v>
      </c>
      <c r="G656" t="s">
        <v>9236</v>
      </c>
      <c r="H656" t="s">
        <v>7974</v>
      </c>
      <c r="I656" t="s">
        <v>1413</v>
      </c>
      <c r="J656" t="s">
        <v>9241</v>
      </c>
    </row>
    <row r="657" spans="1:10" x14ac:dyDescent="0.25">
      <c r="A657" t="s">
        <v>9242</v>
      </c>
      <c r="B657">
        <v>6.9920000000000009</v>
      </c>
      <c r="C657" t="s">
        <v>9243</v>
      </c>
      <c r="D657" t="s">
        <v>9244</v>
      </c>
      <c r="E657" t="s">
        <v>9235</v>
      </c>
      <c r="F657" t="s">
        <v>7672</v>
      </c>
      <c r="G657" t="s">
        <v>9236</v>
      </c>
      <c r="H657" t="s">
        <v>7974</v>
      </c>
      <c r="I657" t="s">
        <v>9245</v>
      </c>
      <c r="J657" t="s">
        <v>9241</v>
      </c>
    </row>
    <row r="658" spans="1:10" x14ac:dyDescent="0.25">
      <c r="A658" t="s">
        <v>9246</v>
      </c>
      <c r="B658">
        <v>6.9920000000000009</v>
      </c>
      <c r="C658" t="s">
        <v>9247</v>
      </c>
      <c r="D658" t="s">
        <v>40</v>
      </c>
      <c r="E658" t="s">
        <v>9235</v>
      </c>
      <c r="F658" t="s">
        <v>7672</v>
      </c>
      <c r="G658" t="s">
        <v>9236</v>
      </c>
      <c r="H658" t="s">
        <v>7974</v>
      </c>
      <c r="I658" t="s">
        <v>9245</v>
      </c>
      <c r="J658" t="s">
        <v>9248</v>
      </c>
    </row>
    <row r="659" spans="1:10" x14ac:dyDescent="0.25">
      <c r="A659" t="s">
        <v>9249</v>
      </c>
      <c r="B659">
        <v>6.9920000000000009</v>
      </c>
      <c r="C659" t="s">
        <v>9250</v>
      </c>
      <c r="D659" t="s">
        <v>1995</v>
      </c>
      <c r="E659" t="s">
        <v>9235</v>
      </c>
      <c r="F659" t="s">
        <v>7672</v>
      </c>
      <c r="G659" t="s">
        <v>9236</v>
      </c>
      <c r="H659" t="s">
        <v>7974</v>
      </c>
      <c r="I659" t="s">
        <v>9245</v>
      </c>
      <c r="J659" t="s">
        <v>9251</v>
      </c>
    </row>
    <row r="660" spans="1:10" x14ac:dyDescent="0.25">
      <c r="A660" t="s">
        <v>9252</v>
      </c>
      <c r="B660">
        <v>6.9920000000000009</v>
      </c>
      <c r="C660" t="s">
        <v>9253</v>
      </c>
      <c r="D660" t="s">
        <v>9254</v>
      </c>
      <c r="E660" t="s">
        <v>9235</v>
      </c>
      <c r="F660" t="s">
        <v>7672</v>
      </c>
      <c r="G660" t="s">
        <v>9236</v>
      </c>
      <c r="H660" t="s">
        <v>7974</v>
      </c>
      <c r="I660" t="s">
        <v>9245</v>
      </c>
      <c r="J660" t="s">
        <v>9255</v>
      </c>
    </row>
    <row r="661" spans="1:10" x14ac:dyDescent="0.25">
      <c r="A661" t="s">
        <v>9256</v>
      </c>
      <c r="B661">
        <v>6.9920000000000009</v>
      </c>
      <c r="C661" t="s">
        <v>9257</v>
      </c>
      <c r="D661" t="s">
        <v>1254</v>
      </c>
      <c r="E661" t="s">
        <v>9235</v>
      </c>
      <c r="F661" t="s">
        <v>7672</v>
      </c>
      <c r="G661" t="s">
        <v>9236</v>
      </c>
      <c r="H661" t="s">
        <v>7974</v>
      </c>
      <c r="I661" t="s">
        <v>9245</v>
      </c>
      <c r="J661" t="s">
        <v>9258</v>
      </c>
    </row>
    <row r="662" spans="1:10" x14ac:dyDescent="0.25">
      <c r="A662" t="s">
        <v>9259</v>
      </c>
      <c r="B662">
        <v>6.9920000000000009</v>
      </c>
      <c r="C662" t="s">
        <v>9260</v>
      </c>
      <c r="D662" t="s">
        <v>450</v>
      </c>
      <c r="E662" t="s">
        <v>9235</v>
      </c>
      <c r="F662" t="s">
        <v>7672</v>
      </c>
      <c r="G662" t="s">
        <v>9236</v>
      </c>
      <c r="H662" t="s">
        <v>7974</v>
      </c>
      <c r="I662" t="s">
        <v>8600</v>
      </c>
      <c r="J662" t="s">
        <v>9258</v>
      </c>
    </row>
    <row r="663" spans="1:10" x14ac:dyDescent="0.25">
      <c r="A663" t="s">
        <v>9261</v>
      </c>
      <c r="B663">
        <v>6.9920000000000009</v>
      </c>
      <c r="C663" t="s">
        <v>9262</v>
      </c>
      <c r="D663" t="s">
        <v>124</v>
      </c>
      <c r="E663" t="s">
        <v>9235</v>
      </c>
      <c r="F663" t="s">
        <v>7672</v>
      </c>
      <c r="G663" t="s">
        <v>9236</v>
      </c>
      <c r="H663" t="s">
        <v>7974</v>
      </c>
      <c r="I663" t="s">
        <v>1413</v>
      </c>
      <c r="J663" t="s">
        <v>9258</v>
      </c>
    </row>
    <row r="664" spans="1:10" x14ac:dyDescent="0.25">
      <c r="A664" t="s">
        <v>9263</v>
      </c>
      <c r="B664">
        <v>6.9920000000000009</v>
      </c>
      <c r="C664" t="s">
        <v>9264</v>
      </c>
      <c r="D664" t="s">
        <v>359</v>
      </c>
      <c r="E664" t="s">
        <v>9235</v>
      </c>
      <c r="F664" t="s">
        <v>7672</v>
      </c>
      <c r="G664" t="s">
        <v>9236</v>
      </c>
      <c r="H664" t="s">
        <v>7974</v>
      </c>
      <c r="I664" t="s">
        <v>9245</v>
      </c>
      <c r="J664" t="s">
        <v>9265</v>
      </c>
    </row>
    <row r="665" spans="1:10" x14ac:dyDescent="0.25">
      <c r="A665" t="s">
        <v>9266</v>
      </c>
      <c r="B665">
        <v>6.9920000000000009</v>
      </c>
      <c r="C665" t="s">
        <v>9267</v>
      </c>
      <c r="D665" t="s">
        <v>436</v>
      </c>
      <c r="E665" t="s">
        <v>9235</v>
      </c>
      <c r="F665" t="s">
        <v>7672</v>
      </c>
      <c r="G665" t="s">
        <v>9236</v>
      </c>
      <c r="H665" t="s">
        <v>7974</v>
      </c>
      <c r="I665" t="s">
        <v>8600</v>
      </c>
      <c r="J665" t="s">
        <v>9268</v>
      </c>
    </row>
    <row r="666" spans="1:10" x14ac:dyDescent="0.25">
      <c r="A666" t="s">
        <v>9269</v>
      </c>
      <c r="B666">
        <v>6.9920000000000009</v>
      </c>
      <c r="C666" t="s">
        <v>9270</v>
      </c>
      <c r="D666" t="s">
        <v>106</v>
      </c>
      <c r="E666" t="s">
        <v>9235</v>
      </c>
      <c r="F666" t="s">
        <v>7672</v>
      </c>
      <c r="G666" t="s">
        <v>9236</v>
      </c>
      <c r="H666" t="s">
        <v>7974</v>
      </c>
      <c r="I666" t="s">
        <v>9245</v>
      </c>
      <c r="J666" t="s">
        <v>9268</v>
      </c>
    </row>
    <row r="667" spans="1:10" x14ac:dyDescent="0.25">
      <c r="A667" t="s">
        <v>9271</v>
      </c>
      <c r="B667">
        <v>6.9920000000000009</v>
      </c>
      <c r="C667" t="s">
        <v>9272</v>
      </c>
      <c r="D667" t="s">
        <v>269</v>
      </c>
      <c r="E667" t="s">
        <v>9235</v>
      </c>
      <c r="F667" t="s">
        <v>7672</v>
      </c>
      <c r="G667" t="s">
        <v>9236</v>
      </c>
      <c r="H667" t="s">
        <v>7974</v>
      </c>
      <c r="I667" t="s">
        <v>1413</v>
      </c>
      <c r="J667" t="s">
        <v>9268</v>
      </c>
    </row>
    <row r="668" spans="1:10" x14ac:dyDescent="0.25">
      <c r="A668" t="s">
        <v>9273</v>
      </c>
      <c r="B668">
        <v>8</v>
      </c>
      <c r="C668" t="s">
        <v>9274</v>
      </c>
      <c r="D668" t="s">
        <v>9275</v>
      </c>
      <c r="E668" t="s">
        <v>9276</v>
      </c>
      <c r="F668" t="s">
        <v>7672</v>
      </c>
      <c r="G668" t="s">
        <v>9277</v>
      </c>
      <c r="H668" t="s">
        <v>8673</v>
      </c>
      <c r="I668" t="s">
        <v>8158</v>
      </c>
      <c r="J668" t="s">
        <v>7675</v>
      </c>
    </row>
    <row r="669" spans="1:10" x14ac:dyDescent="0.25">
      <c r="A669" t="s">
        <v>9278</v>
      </c>
      <c r="B669">
        <v>8</v>
      </c>
      <c r="C669" t="s">
        <v>9279</v>
      </c>
      <c r="D669" t="s">
        <v>5105</v>
      </c>
      <c r="E669" t="s">
        <v>9276</v>
      </c>
      <c r="F669" t="s">
        <v>7672</v>
      </c>
      <c r="G669" t="s">
        <v>9277</v>
      </c>
      <c r="H669" t="s">
        <v>8673</v>
      </c>
      <c r="I669" t="s">
        <v>8914</v>
      </c>
      <c r="J669" t="s">
        <v>7675</v>
      </c>
    </row>
    <row r="670" spans="1:10" x14ac:dyDescent="0.25">
      <c r="A670" t="s">
        <v>9280</v>
      </c>
      <c r="B670">
        <v>8</v>
      </c>
      <c r="C670" t="s">
        <v>9281</v>
      </c>
      <c r="D670" t="s">
        <v>791</v>
      </c>
      <c r="E670" t="s">
        <v>9276</v>
      </c>
      <c r="F670" t="s">
        <v>7672</v>
      </c>
      <c r="G670" t="s">
        <v>9277</v>
      </c>
      <c r="H670" t="s">
        <v>8673</v>
      </c>
      <c r="I670" t="s">
        <v>9282</v>
      </c>
      <c r="J670" t="s">
        <v>7675</v>
      </c>
    </row>
    <row r="671" spans="1:10" x14ac:dyDescent="0.25">
      <c r="A671" t="s">
        <v>9283</v>
      </c>
      <c r="B671">
        <v>8</v>
      </c>
      <c r="C671" t="s">
        <v>9284</v>
      </c>
      <c r="D671" t="s">
        <v>9285</v>
      </c>
      <c r="E671" t="s">
        <v>9276</v>
      </c>
      <c r="F671" t="s">
        <v>7672</v>
      </c>
      <c r="G671" t="s">
        <v>9277</v>
      </c>
      <c r="H671" t="s">
        <v>8673</v>
      </c>
      <c r="I671" t="s">
        <v>9282</v>
      </c>
      <c r="J671" t="s">
        <v>7686</v>
      </c>
    </row>
    <row r="672" spans="1:10" x14ac:dyDescent="0.25">
      <c r="A672" t="s">
        <v>9286</v>
      </c>
      <c r="B672">
        <v>8</v>
      </c>
      <c r="C672" t="s">
        <v>9287</v>
      </c>
      <c r="D672" t="s">
        <v>9288</v>
      </c>
      <c r="E672" t="s">
        <v>9276</v>
      </c>
      <c r="F672" t="s">
        <v>7672</v>
      </c>
      <c r="G672" t="s">
        <v>9277</v>
      </c>
      <c r="H672" t="s">
        <v>8673</v>
      </c>
      <c r="I672" t="s">
        <v>8158</v>
      </c>
      <c r="J672" t="s">
        <v>7686</v>
      </c>
    </row>
    <row r="673" spans="1:10" x14ac:dyDescent="0.25">
      <c r="A673" t="s">
        <v>9289</v>
      </c>
      <c r="B673">
        <v>8</v>
      </c>
      <c r="C673" t="s">
        <v>9290</v>
      </c>
      <c r="D673" t="s">
        <v>9291</v>
      </c>
      <c r="E673" t="s">
        <v>9276</v>
      </c>
      <c r="F673" t="s">
        <v>7672</v>
      </c>
      <c r="G673" t="s">
        <v>9277</v>
      </c>
      <c r="H673" t="s">
        <v>8673</v>
      </c>
      <c r="I673" t="s">
        <v>8914</v>
      </c>
      <c r="J673" t="s">
        <v>7686</v>
      </c>
    </row>
    <row r="674" spans="1:10" x14ac:dyDescent="0.25">
      <c r="A674" t="s">
        <v>9292</v>
      </c>
      <c r="B674">
        <v>8</v>
      </c>
      <c r="C674" t="s">
        <v>9293</v>
      </c>
      <c r="D674" t="s">
        <v>9294</v>
      </c>
      <c r="E674" t="s">
        <v>9276</v>
      </c>
      <c r="F674" t="s">
        <v>7672</v>
      </c>
      <c r="G674" t="s">
        <v>9277</v>
      </c>
      <c r="H674" t="s">
        <v>8673</v>
      </c>
      <c r="I674" t="s">
        <v>9282</v>
      </c>
      <c r="J674" t="s">
        <v>7703</v>
      </c>
    </row>
    <row r="675" spans="1:10" x14ac:dyDescent="0.25">
      <c r="A675" t="s">
        <v>9295</v>
      </c>
      <c r="B675">
        <v>8</v>
      </c>
      <c r="C675" t="s">
        <v>9296</v>
      </c>
      <c r="D675" t="s">
        <v>9297</v>
      </c>
      <c r="E675" t="s">
        <v>9276</v>
      </c>
      <c r="F675" t="s">
        <v>7672</v>
      </c>
      <c r="G675" t="s">
        <v>9277</v>
      </c>
      <c r="H675" t="s">
        <v>8673</v>
      </c>
      <c r="I675" t="s">
        <v>8914</v>
      </c>
      <c r="J675" t="s">
        <v>7703</v>
      </c>
    </row>
    <row r="676" spans="1:10" x14ac:dyDescent="0.25">
      <c r="A676" t="s">
        <v>9298</v>
      </c>
      <c r="B676">
        <v>8</v>
      </c>
      <c r="C676" t="s">
        <v>9299</v>
      </c>
      <c r="D676" t="s">
        <v>9300</v>
      </c>
      <c r="E676" t="s">
        <v>9276</v>
      </c>
      <c r="F676" t="s">
        <v>7672</v>
      </c>
      <c r="G676" t="s">
        <v>9277</v>
      </c>
      <c r="H676" t="s">
        <v>8673</v>
      </c>
      <c r="I676" t="s">
        <v>8158</v>
      </c>
      <c r="J676" t="s">
        <v>7703</v>
      </c>
    </row>
    <row r="677" spans="1:10" x14ac:dyDescent="0.25">
      <c r="A677" t="s">
        <v>9301</v>
      </c>
      <c r="B677">
        <v>8</v>
      </c>
      <c r="C677" t="s">
        <v>9302</v>
      </c>
      <c r="D677" t="s">
        <v>4322</v>
      </c>
      <c r="E677" t="s">
        <v>9276</v>
      </c>
      <c r="F677" t="s">
        <v>7672</v>
      </c>
      <c r="G677" t="s">
        <v>9277</v>
      </c>
      <c r="H677" t="s">
        <v>8673</v>
      </c>
      <c r="I677" t="s">
        <v>9282</v>
      </c>
      <c r="J677" t="s">
        <v>7713</v>
      </c>
    </row>
    <row r="678" spans="1:10" x14ac:dyDescent="0.25">
      <c r="A678" t="s">
        <v>9303</v>
      </c>
      <c r="B678">
        <v>8</v>
      </c>
      <c r="C678" t="s">
        <v>9304</v>
      </c>
      <c r="D678" t="s">
        <v>9305</v>
      </c>
      <c r="E678" t="s">
        <v>9276</v>
      </c>
      <c r="F678" t="s">
        <v>7672</v>
      </c>
      <c r="G678" t="s">
        <v>9277</v>
      </c>
      <c r="H678" t="s">
        <v>8673</v>
      </c>
      <c r="I678" t="s">
        <v>8158</v>
      </c>
      <c r="J678" t="s">
        <v>7713</v>
      </c>
    </row>
    <row r="679" spans="1:10" x14ac:dyDescent="0.25">
      <c r="A679" t="s">
        <v>9306</v>
      </c>
      <c r="B679">
        <v>8</v>
      </c>
      <c r="C679" t="s">
        <v>9307</v>
      </c>
      <c r="D679" t="s">
        <v>7993</v>
      </c>
      <c r="E679" t="s">
        <v>9276</v>
      </c>
      <c r="F679" t="s">
        <v>7672</v>
      </c>
      <c r="G679" t="s">
        <v>9277</v>
      </c>
      <c r="H679" t="s">
        <v>8673</v>
      </c>
      <c r="I679" t="s">
        <v>8914</v>
      </c>
      <c r="J679" t="s">
        <v>7713</v>
      </c>
    </row>
    <row r="680" spans="1:10" x14ac:dyDescent="0.25">
      <c r="A680" t="s">
        <v>9308</v>
      </c>
      <c r="B680">
        <v>8</v>
      </c>
      <c r="C680" t="s">
        <v>9309</v>
      </c>
      <c r="D680" t="s">
        <v>53</v>
      </c>
      <c r="E680" t="s">
        <v>9276</v>
      </c>
      <c r="F680" t="s">
        <v>7672</v>
      </c>
      <c r="G680" t="s">
        <v>9277</v>
      </c>
      <c r="H680" t="s">
        <v>8673</v>
      </c>
      <c r="I680" t="s">
        <v>9282</v>
      </c>
      <c r="J680" t="s">
        <v>7719</v>
      </c>
    </row>
    <row r="681" spans="1:10" x14ac:dyDescent="0.25">
      <c r="A681" t="s">
        <v>9310</v>
      </c>
      <c r="B681">
        <v>8</v>
      </c>
      <c r="C681" t="s">
        <v>9311</v>
      </c>
      <c r="D681" t="s">
        <v>9312</v>
      </c>
      <c r="E681" t="s">
        <v>9276</v>
      </c>
      <c r="F681" t="s">
        <v>7672</v>
      </c>
      <c r="G681" t="s">
        <v>9277</v>
      </c>
      <c r="H681" t="s">
        <v>8673</v>
      </c>
      <c r="I681" t="s">
        <v>8158</v>
      </c>
      <c r="J681" t="s">
        <v>7719</v>
      </c>
    </row>
    <row r="682" spans="1:10" x14ac:dyDescent="0.25">
      <c r="A682" t="s">
        <v>9313</v>
      </c>
      <c r="B682">
        <v>8</v>
      </c>
      <c r="C682" t="s">
        <v>9314</v>
      </c>
      <c r="D682" t="s">
        <v>2149</v>
      </c>
      <c r="E682" t="s">
        <v>9276</v>
      </c>
      <c r="F682" t="s">
        <v>7672</v>
      </c>
      <c r="G682" t="s">
        <v>9277</v>
      </c>
      <c r="H682" t="s">
        <v>8673</v>
      </c>
      <c r="I682" t="s">
        <v>8914</v>
      </c>
      <c r="J682" t="s">
        <v>7719</v>
      </c>
    </row>
    <row r="683" spans="1:10" x14ac:dyDescent="0.25">
      <c r="A683" t="s">
        <v>9315</v>
      </c>
      <c r="B683">
        <v>3.96</v>
      </c>
      <c r="C683" t="s">
        <v>9316</v>
      </c>
      <c r="D683" t="s">
        <v>342</v>
      </c>
      <c r="E683" t="s">
        <v>9317</v>
      </c>
      <c r="F683" t="s">
        <v>7672</v>
      </c>
      <c r="G683" t="s">
        <v>9318</v>
      </c>
      <c r="H683" t="s">
        <v>9127</v>
      </c>
      <c r="I683" t="s">
        <v>5202</v>
      </c>
      <c r="J683" t="s">
        <v>7942</v>
      </c>
    </row>
    <row r="684" spans="1:10" x14ac:dyDescent="0.25">
      <c r="A684" t="s">
        <v>9319</v>
      </c>
      <c r="B684">
        <v>3.96</v>
      </c>
      <c r="C684" t="s">
        <v>9320</v>
      </c>
      <c r="D684" t="s">
        <v>330</v>
      </c>
      <c r="E684" t="s">
        <v>9317</v>
      </c>
      <c r="F684" t="s">
        <v>7672</v>
      </c>
      <c r="G684" t="s">
        <v>9318</v>
      </c>
      <c r="H684" t="s">
        <v>9127</v>
      </c>
      <c r="I684" t="s">
        <v>76</v>
      </c>
      <c r="J684" t="s">
        <v>7942</v>
      </c>
    </row>
    <row r="685" spans="1:10" x14ac:dyDescent="0.25">
      <c r="A685" t="s">
        <v>9321</v>
      </c>
      <c r="B685">
        <v>3.96</v>
      </c>
      <c r="C685" t="s">
        <v>9322</v>
      </c>
      <c r="D685" t="s">
        <v>53</v>
      </c>
      <c r="E685" t="s">
        <v>9317</v>
      </c>
      <c r="F685" t="s">
        <v>7672</v>
      </c>
      <c r="G685" t="s">
        <v>9318</v>
      </c>
      <c r="H685" t="s">
        <v>9127</v>
      </c>
      <c r="I685" t="s">
        <v>76</v>
      </c>
      <c r="J685" t="s">
        <v>8001</v>
      </c>
    </row>
    <row r="686" spans="1:10" x14ac:dyDescent="0.25">
      <c r="A686" t="s">
        <v>9323</v>
      </c>
      <c r="B686">
        <v>3.96</v>
      </c>
      <c r="C686" t="s">
        <v>9324</v>
      </c>
      <c r="D686" t="s">
        <v>9325</v>
      </c>
      <c r="E686" t="s">
        <v>9317</v>
      </c>
      <c r="F686" t="s">
        <v>7672</v>
      </c>
      <c r="G686" t="s">
        <v>9318</v>
      </c>
      <c r="H686" t="s">
        <v>9127</v>
      </c>
      <c r="I686" t="s">
        <v>9326</v>
      </c>
      <c r="J686" t="s">
        <v>8013</v>
      </c>
    </row>
    <row r="687" spans="1:10" x14ac:dyDescent="0.25">
      <c r="A687" t="s">
        <v>9327</v>
      </c>
      <c r="B687">
        <v>3.96</v>
      </c>
      <c r="C687" t="s">
        <v>9328</v>
      </c>
      <c r="D687" t="s">
        <v>3872</v>
      </c>
      <c r="E687" t="s">
        <v>9317</v>
      </c>
      <c r="F687" t="s">
        <v>7672</v>
      </c>
      <c r="G687" t="s">
        <v>9318</v>
      </c>
      <c r="H687" t="s">
        <v>9127</v>
      </c>
      <c r="I687" t="s">
        <v>5202</v>
      </c>
      <c r="J687" t="s">
        <v>8013</v>
      </c>
    </row>
    <row r="688" spans="1:10" x14ac:dyDescent="0.25">
      <c r="A688" t="s">
        <v>9329</v>
      </c>
      <c r="B688">
        <v>3.96</v>
      </c>
      <c r="C688" t="s">
        <v>9330</v>
      </c>
      <c r="D688" t="s">
        <v>3409</v>
      </c>
      <c r="E688" t="s">
        <v>9317</v>
      </c>
      <c r="F688" t="s">
        <v>7672</v>
      </c>
      <c r="G688" t="s">
        <v>9318</v>
      </c>
      <c r="H688" t="s">
        <v>9127</v>
      </c>
      <c r="I688" t="s">
        <v>76</v>
      </c>
      <c r="J688" t="s">
        <v>8013</v>
      </c>
    </row>
    <row r="689" spans="1:10" x14ac:dyDescent="0.25">
      <c r="A689" t="s">
        <v>9331</v>
      </c>
      <c r="B689">
        <v>5.5920000000000014</v>
      </c>
      <c r="C689" t="s">
        <v>9332</v>
      </c>
      <c r="D689" t="s">
        <v>3974</v>
      </c>
      <c r="E689" t="s">
        <v>9333</v>
      </c>
      <c r="F689" t="s">
        <v>7672</v>
      </c>
      <c r="G689" t="s">
        <v>9334</v>
      </c>
      <c r="H689" t="s">
        <v>7674</v>
      </c>
      <c r="I689" t="s">
        <v>9335</v>
      </c>
      <c r="J689" t="s">
        <v>7942</v>
      </c>
    </row>
    <row r="690" spans="1:10" x14ac:dyDescent="0.25">
      <c r="A690" t="s">
        <v>9336</v>
      </c>
      <c r="B690">
        <v>5.5920000000000014</v>
      </c>
      <c r="C690" t="s">
        <v>9337</v>
      </c>
      <c r="D690" t="s">
        <v>1954</v>
      </c>
      <c r="E690" t="s">
        <v>9333</v>
      </c>
      <c r="F690" t="s">
        <v>7672</v>
      </c>
      <c r="G690" t="s">
        <v>9334</v>
      </c>
      <c r="H690" t="s">
        <v>7674</v>
      </c>
      <c r="I690" t="s">
        <v>9338</v>
      </c>
      <c r="J690" t="s">
        <v>7942</v>
      </c>
    </row>
    <row r="691" spans="1:10" x14ac:dyDescent="0.25">
      <c r="A691" t="s">
        <v>9339</v>
      </c>
      <c r="B691">
        <v>5.5920000000000014</v>
      </c>
      <c r="C691" t="s">
        <v>9340</v>
      </c>
      <c r="D691" t="s">
        <v>4218</v>
      </c>
      <c r="E691" t="s">
        <v>9333</v>
      </c>
      <c r="F691" t="s">
        <v>7672</v>
      </c>
      <c r="G691" t="s">
        <v>9334</v>
      </c>
      <c r="H691" t="s">
        <v>7674</v>
      </c>
      <c r="I691" t="s">
        <v>9341</v>
      </c>
      <c r="J691" t="s">
        <v>7942</v>
      </c>
    </row>
    <row r="692" spans="1:10" x14ac:dyDescent="0.25">
      <c r="A692" t="s">
        <v>9342</v>
      </c>
      <c r="B692">
        <v>5.5920000000000014</v>
      </c>
      <c r="C692" t="s">
        <v>9343</v>
      </c>
      <c r="D692" t="s">
        <v>1512</v>
      </c>
      <c r="E692" t="s">
        <v>9333</v>
      </c>
      <c r="F692" t="s">
        <v>7672</v>
      </c>
      <c r="G692" t="s">
        <v>9334</v>
      </c>
      <c r="H692" t="s">
        <v>7674</v>
      </c>
      <c r="I692" t="s">
        <v>9335</v>
      </c>
      <c r="J692" t="s">
        <v>7981</v>
      </c>
    </row>
    <row r="693" spans="1:10" x14ac:dyDescent="0.25">
      <c r="A693" t="s">
        <v>9344</v>
      </c>
      <c r="B693">
        <v>5.5920000000000014</v>
      </c>
      <c r="C693" t="s">
        <v>9345</v>
      </c>
      <c r="D693" t="s">
        <v>9346</v>
      </c>
      <c r="E693" t="s">
        <v>9333</v>
      </c>
      <c r="F693" t="s">
        <v>7672</v>
      </c>
      <c r="G693" t="s">
        <v>9334</v>
      </c>
      <c r="H693" t="s">
        <v>7674</v>
      </c>
      <c r="I693" t="s">
        <v>9338</v>
      </c>
      <c r="J693" t="s">
        <v>7981</v>
      </c>
    </row>
    <row r="694" spans="1:10" x14ac:dyDescent="0.25">
      <c r="A694" t="s">
        <v>9347</v>
      </c>
      <c r="B694">
        <v>5.5920000000000014</v>
      </c>
      <c r="C694" t="s">
        <v>9348</v>
      </c>
      <c r="D694" t="s">
        <v>9349</v>
      </c>
      <c r="E694" t="s">
        <v>9333</v>
      </c>
      <c r="F694" t="s">
        <v>7672</v>
      </c>
      <c r="G694" t="s">
        <v>9334</v>
      </c>
      <c r="H694" t="s">
        <v>7674</v>
      </c>
      <c r="I694" t="s">
        <v>9341</v>
      </c>
      <c r="J694" t="s">
        <v>7981</v>
      </c>
    </row>
    <row r="695" spans="1:10" x14ac:dyDescent="0.25">
      <c r="A695" t="s">
        <v>9350</v>
      </c>
      <c r="B695">
        <v>5.5920000000000014</v>
      </c>
      <c r="C695" t="s">
        <v>9351</v>
      </c>
      <c r="D695" t="s">
        <v>3023</v>
      </c>
      <c r="E695" t="s">
        <v>9333</v>
      </c>
      <c r="F695" t="s">
        <v>7672</v>
      </c>
      <c r="G695" t="s">
        <v>9334</v>
      </c>
      <c r="H695" t="s">
        <v>7674</v>
      </c>
      <c r="I695" t="s">
        <v>9335</v>
      </c>
      <c r="J695" t="s">
        <v>7984</v>
      </c>
    </row>
    <row r="696" spans="1:10" x14ac:dyDescent="0.25">
      <c r="A696" t="s">
        <v>9352</v>
      </c>
      <c r="B696">
        <v>5.5920000000000014</v>
      </c>
      <c r="C696" t="s">
        <v>9353</v>
      </c>
      <c r="D696" t="s">
        <v>9354</v>
      </c>
      <c r="E696" t="s">
        <v>9333</v>
      </c>
      <c r="F696" t="s">
        <v>7672</v>
      </c>
      <c r="G696" t="s">
        <v>9334</v>
      </c>
      <c r="H696" t="s">
        <v>7674</v>
      </c>
      <c r="I696" t="s">
        <v>9338</v>
      </c>
      <c r="J696" t="s">
        <v>7984</v>
      </c>
    </row>
    <row r="697" spans="1:10" x14ac:dyDescent="0.25">
      <c r="A697" t="s">
        <v>9355</v>
      </c>
      <c r="B697">
        <v>5.5920000000000014</v>
      </c>
      <c r="C697" t="s">
        <v>9356</v>
      </c>
      <c r="D697" t="s">
        <v>9357</v>
      </c>
      <c r="E697" t="s">
        <v>9333</v>
      </c>
      <c r="F697" t="s">
        <v>7672</v>
      </c>
      <c r="G697" t="s">
        <v>9334</v>
      </c>
      <c r="H697" t="s">
        <v>7674</v>
      </c>
      <c r="I697" t="s">
        <v>9341</v>
      </c>
      <c r="J697" t="s">
        <v>7984</v>
      </c>
    </row>
    <row r="698" spans="1:10" x14ac:dyDescent="0.25">
      <c r="A698" t="s">
        <v>9358</v>
      </c>
      <c r="B698">
        <v>5.5920000000000014</v>
      </c>
      <c r="C698" t="s">
        <v>9359</v>
      </c>
      <c r="D698" t="s">
        <v>5119</v>
      </c>
      <c r="E698" t="s">
        <v>9333</v>
      </c>
      <c r="F698" t="s">
        <v>7672</v>
      </c>
      <c r="G698" t="s">
        <v>9334</v>
      </c>
      <c r="H698" t="s">
        <v>7674</v>
      </c>
      <c r="I698" t="s">
        <v>9335</v>
      </c>
      <c r="J698" t="s">
        <v>7987</v>
      </c>
    </row>
    <row r="699" spans="1:10" x14ac:dyDescent="0.25">
      <c r="A699" t="s">
        <v>9360</v>
      </c>
      <c r="B699">
        <v>5.5920000000000014</v>
      </c>
      <c r="C699" t="s">
        <v>9361</v>
      </c>
      <c r="D699" t="s">
        <v>9362</v>
      </c>
      <c r="E699" t="s">
        <v>9333</v>
      </c>
      <c r="F699" t="s">
        <v>7672</v>
      </c>
      <c r="G699" t="s">
        <v>9334</v>
      </c>
      <c r="H699" t="s">
        <v>7674</v>
      </c>
      <c r="I699" t="s">
        <v>9338</v>
      </c>
      <c r="J699" t="s">
        <v>7987</v>
      </c>
    </row>
    <row r="700" spans="1:10" x14ac:dyDescent="0.25">
      <c r="A700" t="s">
        <v>9363</v>
      </c>
      <c r="B700">
        <v>5.5920000000000014</v>
      </c>
      <c r="C700" t="s">
        <v>9364</v>
      </c>
      <c r="D700" t="s">
        <v>9365</v>
      </c>
      <c r="E700" t="s">
        <v>9333</v>
      </c>
      <c r="F700" t="s">
        <v>7672</v>
      </c>
      <c r="G700" t="s">
        <v>9334</v>
      </c>
      <c r="H700" t="s">
        <v>7674</v>
      </c>
      <c r="I700" t="s">
        <v>9341</v>
      </c>
      <c r="J700" t="s">
        <v>7987</v>
      </c>
    </row>
    <row r="701" spans="1:10" x14ac:dyDescent="0.25">
      <c r="A701" t="s">
        <v>9366</v>
      </c>
      <c r="B701">
        <v>5.5920000000000014</v>
      </c>
      <c r="C701" t="s">
        <v>9367</v>
      </c>
      <c r="D701" t="s">
        <v>9368</v>
      </c>
      <c r="E701" t="s">
        <v>9333</v>
      </c>
      <c r="F701" t="s">
        <v>7672</v>
      </c>
      <c r="G701" t="s">
        <v>9334</v>
      </c>
      <c r="H701" t="s">
        <v>7674</v>
      </c>
      <c r="I701" t="s">
        <v>9335</v>
      </c>
      <c r="J701" t="s">
        <v>8001</v>
      </c>
    </row>
    <row r="702" spans="1:10" x14ac:dyDescent="0.25">
      <c r="A702" t="s">
        <v>9369</v>
      </c>
      <c r="B702">
        <v>5.5920000000000014</v>
      </c>
      <c r="C702" t="s">
        <v>9370</v>
      </c>
      <c r="D702" t="s">
        <v>5611</v>
      </c>
      <c r="E702" t="s">
        <v>9333</v>
      </c>
      <c r="F702" t="s">
        <v>7672</v>
      </c>
      <c r="G702" t="s">
        <v>9334</v>
      </c>
      <c r="H702" t="s">
        <v>7674</v>
      </c>
      <c r="I702" t="s">
        <v>9338</v>
      </c>
      <c r="J702" t="s">
        <v>8001</v>
      </c>
    </row>
    <row r="703" spans="1:10" x14ac:dyDescent="0.25">
      <c r="A703" t="s">
        <v>9371</v>
      </c>
      <c r="B703">
        <v>5.5920000000000014</v>
      </c>
      <c r="C703" t="s">
        <v>9372</v>
      </c>
      <c r="D703" t="s">
        <v>9373</v>
      </c>
      <c r="E703" t="s">
        <v>9333</v>
      </c>
      <c r="F703" t="s">
        <v>7672</v>
      </c>
      <c r="G703" t="s">
        <v>9334</v>
      </c>
      <c r="H703" t="s">
        <v>7674</v>
      </c>
      <c r="I703" t="s">
        <v>9341</v>
      </c>
      <c r="J703" t="s">
        <v>8001</v>
      </c>
    </row>
    <row r="704" spans="1:10" x14ac:dyDescent="0.25">
      <c r="A704" t="s">
        <v>9374</v>
      </c>
      <c r="B704">
        <v>5.5920000000000014</v>
      </c>
      <c r="C704" t="s">
        <v>9375</v>
      </c>
      <c r="D704" t="s">
        <v>9376</v>
      </c>
      <c r="E704" t="s">
        <v>9333</v>
      </c>
      <c r="F704" t="s">
        <v>7672</v>
      </c>
      <c r="G704" t="s">
        <v>9334</v>
      </c>
      <c r="H704" t="s">
        <v>7674</v>
      </c>
      <c r="I704" t="s">
        <v>9335</v>
      </c>
      <c r="J704" t="s">
        <v>8013</v>
      </c>
    </row>
    <row r="705" spans="1:10" x14ac:dyDescent="0.25">
      <c r="A705" t="s">
        <v>9377</v>
      </c>
      <c r="B705">
        <v>5.5920000000000014</v>
      </c>
      <c r="C705" t="s">
        <v>9378</v>
      </c>
      <c r="D705" t="s">
        <v>9379</v>
      </c>
      <c r="E705" t="s">
        <v>9333</v>
      </c>
      <c r="F705" t="s">
        <v>7672</v>
      </c>
      <c r="G705" t="s">
        <v>9334</v>
      </c>
      <c r="H705" t="s">
        <v>7674</v>
      </c>
      <c r="I705" t="s">
        <v>9338</v>
      </c>
      <c r="J705" t="s">
        <v>8013</v>
      </c>
    </row>
    <row r="706" spans="1:10" x14ac:dyDescent="0.25">
      <c r="A706" t="s">
        <v>9380</v>
      </c>
      <c r="B706">
        <v>5.5920000000000014</v>
      </c>
      <c r="C706" t="s">
        <v>9381</v>
      </c>
      <c r="D706" t="s">
        <v>9382</v>
      </c>
      <c r="E706" t="s">
        <v>9333</v>
      </c>
      <c r="F706" t="s">
        <v>7672</v>
      </c>
      <c r="G706" t="s">
        <v>9334</v>
      </c>
      <c r="H706" t="s">
        <v>7674</v>
      </c>
      <c r="I706" t="s">
        <v>9341</v>
      </c>
      <c r="J706" t="s">
        <v>8013</v>
      </c>
    </row>
    <row r="707" spans="1:10" x14ac:dyDescent="0.25">
      <c r="A707" t="s">
        <v>9383</v>
      </c>
      <c r="B707">
        <v>5.2720000000000002</v>
      </c>
      <c r="C707" t="s">
        <v>9384</v>
      </c>
      <c r="D707" t="s">
        <v>9385</v>
      </c>
      <c r="E707" t="s">
        <v>9386</v>
      </c>
      <c r="F707" t="s">
        <v>7672</v>
      </c>
      <c r="G707" t="s">
        <v>9387</v>
      </c>
      <c r="H707" t="s">
        <v>8027</v>
      </c>
      <c r="I707" t="s">
        <v>8158</v>
      </c>
      <c r="J707" t="s">
        <v>8891</v>
      </c>
    </row>
    <row r="708" spans="1:10" x14ac:dyDescent="0.25">
      <c r="A708" t="s">
        <v>9388</v>
      </c>
      <c r="B708">
        <v>5.2720000000000002</v>
      </c>
      <c r="C708" t="s">
        <v>9389</v>
      </c>
      <c r="D708" t="s">
        <v>9390</v>
      </c>
      <c r="E708" t="s">
        <v>9386</v>
      </c>
      <c r="F708" t="s">
        <v>7672</v>
      </c>
      <c r="G708" t="s">
        <v>9387</v>
      </c>
      <c r="H708" t="s">
        <v>8027</v>
      </c>
      <c r="I708" t="s">
        <v>9391</v>
      </c>
      <c r="J708" t="s">
        <v>8891</v>
      </c>
    </row>
    <row r="709" spans="1:10" x14ac:dyDescent="0.25">
      <c r="A709" t="s">
        <v>9392</v>
      </c>
      <c r="B709">
        <v>5.2720000000000002</v>
      </c>
      <c r="C709" t="s">
        <v>9393</v>
      </c>
      <c r="D709" t="s">
        <v>9394</v>
      </c>
      <c r="E709" t="s">
        <v>9386</v>
      </c>
      <c r="F709" t="s">
        <v>7672</v>
      </c>
      <c r="G709" t="s">
        <v>9387</v>
      </c>
      <c r="H709" t="s">
        <v>8027</v>
      </c>
      <c r="I709" t="s">
        <v>8158</v>
      </c>
      <c r="J709" t="s">
        <v>8896</v>
      </c>
    </row>
    <row r="710" spans="1:10" x14ac:dyDescent="0.25">
      <c r="A710" t="s">
        <v>9395</v>
      </c>
      <c r="B710">
        <v>5.2720000000000002</v>
      </c>
      <c r="C710" t="s">
        <v>9396</v>
      </c>
      <c r="D710" t="s">
        <v>530</v>
      </c>
      <c r="E710" t="s">
        <v>9386</v>
      </c>
      <c r="F710" t="s">
        <v>7672</v>
      </c>
      <c r="G710" t="s">
        <v>9387</v>
      </c>
      <c r="H710" t="s">
        <v>8027</v>
      </c>
      <c r="I710" t="s">
        <v>9391</v>
      </c>
      <c r="J710" t="s">
        <v>8896</v>
      </c>
    </row>
    <row r="711" spans="1:10" x14ac:dyDescent="0.25">
      <c r="A711" t="s">
        <v>9397</v>
      </c>
      <c r="B711">
        <v>5.2720000000000002</v>
      </c>
      <c r="C711" t="s">
        <v>9398</v>
      </c>
      <c r="D711" t="s">
        <v>9399</v>
      </c>
      <c r="E711" t="s">
        <v>9386</v>
      </c>
      <c r="F711" t="s">
        <v>7672</v>
      </c>
      <c r="G711" t="s">
        <v>9387</v>
      </c>
      <c r="H711" t="s">
        <v>8027</v>
      </c>
      <c r="I711" t="s">
        <v>9391</v>
      </c>
      <c r="J711" t="s">
        <v>9400</v>
      </c>
    </row>
    <row r="712" spans="1:10" x14ac:dyDescent="0.25">
      <c r="A712" t="s">
        <v>9401</v>
      </c>
      <c r="B712">
        <v>5.2720000000000002</v>
      </c>
      <c r="C712" t="s">
        <v>9402</v>
      </c>
      <c r="D712" t="s">
        <v>3076</v>
      </c>
      <c r="E712" t="s">
        <v>9386</v>
      </c>
      <c r="F712" t="s">
        <v>7672</v>
      </c>
      <c r="G712" t="s">
        <v>9387</v>
      </c>
      <c r="H712" t="s">
        <v>8027</v>
      </c>
      <c r="I712" t="s">
        <v>8158</v>
      </c>
      <c r="J712" t="s">
        <v>9400</v>
      </c>
    </row>
    <row r="713" spans="1:10" x14ac:dyDescent="0.25">
      <c r="A713" t="s">
        <v>9403</v>
      </c>
      <c r="B713">
        <v>5.2720000000000002</v>
      </c>
      <c r="C713" t="s">
        <v>9404</v>
      </c>
      <c r="D713" t="s">
        <v>1134</v>
      </c>
      <c r="E713" t="s">
        <v>9386</v>
      </c>
      <c r="F713" t="s">
        <v>7672</v>
      </c>
      <c r="G713" t="s">
        <v>9387</v>
      </c>
      <c r="H713" t="s">
        <v>8027</v>
      </c>
      <c r="I713" t="s">
        <v>8158</v>
      </c>
      <c r="J713" t="s">
        <v>9405</v>
      </c>
    </row>
    <row r="714" spans="1:10" x14ac:dyDescent="0.25">
      <c r="A714" t="s">
        <v>9406</v>
      </c>
      <c r="B714">
        <v>5.9920000000000009</v>
      </c>
      <c r="C714" t="s">
        <v>9407</v>
      </c>
      <c r="D714" t="s">
        <v>352</v>
      </c>
      <c r="E714" t="s">
        <v>9408</v>
      </c>
      <c r="F714" t="s">
        <v>7672</v>
      </c>
      <c r="G714" t="s">
        <v>9409</v>
      </c>
      <c r="H714" t="s">
        <v>7674</v>
      </c>
      <c r="I714" t="s">
        <v>805</v>
      </c>
      <c r="J714" t="s">
        <v>7675</v>
      </c>
    </row>
    <row r="715" spans="1:10" x14ac:dyDescent="0.25">
      <c r="A715" t="s">
        <v>9410</v>
      </c>
      <c r="B715">
        <v>5.9920000000000009</v>
      </c>
      <c r="C715" t="s">
        <v>9411</v>
      </c>
      <c r="D715" t="s">
        <v>2787</v>
      </c>
      <c r="E715" t="s">
        <v>9408</v>
      </c>
      <c r="F715" t="s">
        <v>7672</v>
      </c>
      <c r="G715" t="s">
        <v>9409</v>
      </c>
      <c r="H715" t="s">
        <v>7674</v>
      </c>
      <c r="I715" t="s">
        <v>805</v>
      </c>
      <c r="J715" t="s">
        <v>7686</v>
      </c>
    </row>
    <row r="716" spans="1:10" x14ac:dyDescent="0.25">
      <c r="A716" t="s">
        <v>9412</v>
      </c>
      <c r="B716">
        <v>5.9920000000000009</v>
      </c>
      <c r="C716" t="s">
        <v>9413</v>
      </c>
      <c r="D716" t="s">
        <v>3974</v>
      </c>
      <c r="E716" t="s">
        <v>9408</v>
      </c>
      <c r="F716" t="s">
        <v>7672</v>
      </c>
      <c r="G716" t="s">
        <v>9409</v>
      </c>
      <c r="H716" t="s">
        <v>7674</v>
      </c>
      <c r="I716" t="s">
        <v>805</v>
      </c>
      <c r="J716" t="s">
        <v>7703</v>
      </c>
    </row>
    <row r="717" spans="1:10" x14ac:dyDescent="0.25">
      <c r="A717" t="s">
        <v>9414</v>
      </c>
      <c r="B717">
        <v>5.9920000000000009</v>
      </c>
      <c r="C717" t="s">
        <v>9415</v>
      </c>
      <c r="D717" t="s">
        <v>2078</v>
      </c>
      <c r="E717" t="s">
        <v>9408</v>
      </c>
      <c r="F717" t="s">
        <v>7672</v>
      </c>
      <c r="G717" t="s">
        <v>9409</v>
      </c>
      <c r="H717" t="s">
        <v>7674</v>
      </c>
      <c r="I717" t="s">
        <v>805</v>
      </c>
      <c r="J717" t="s">
        <v>7713</v>
      </c>
    </row>
    <row r="718" spans="1:10" x14ac:dyDescent="0.25">
      <c r="A718" t="s">
        <v>9416</v>
      </c>
      <c r="B718">
        <v>5.9920000000000009</v>
      </c>
      <c r="C718" t="s">
        <v>9417</v>
      </c>
      <c r="D718" t="s">
        <v>3258</v>
      </c>
      <c r="E718" t="s">
        <v>9408</v>
      </c>
      <c r="F718" t="s">
        <v>7672</v>
      </c>
      <c r="G718" t="s">
        <v>9409</v>
      </c>
      <c r="H718" t="s">
        <v>7674</v>
      </c>
      <c r="I718" t="s">
        <v>805</v>
      </c>
      <c r="J718" t="s">
        <v>7719</v>
      </c>
    </row>
    <row r="719" spans="1:10" x14ac:dyDescent="0.25">
      <c r="A719" t="s">
        <v>9418</v>
      </c>
      <c r="B719">
        <v>7</v>
      </c>
      <c r="C719" t="s">
        <v>9419</v>
      </c>
      <c r="D719" t="s">
        <v>4799</v>
      </c>
      <c r="E719" t="s">
        <v>9420</v>
      </c>
      <c r="F719" t="s">
        <v>7672</v>
      </c>
      <c r="G719" t="s">
        <v>9421</v>
      </c>
      <c r="H719" t="s">
        <v>7947</v>
      </c>
      <c r="I719" t="s">
        <v>9422</v>
      </c>
      <c r="J719" t="s">
        <v>9423</v>
      </c>
    </row>
    <row r="720" spans="1:10" x14ac:dyDescent="0.25">
      <c r="A720" t="s">
        <v>9424</v>
      </c>
      <c r="B720">
        <v>7</v>
      </c>
      <c r="C720" t="s">
        <v>9425</v>
      </c>
      <c r="D720" t="s">
        <v>8865</v>
      </c>
      <c r="E720" t="s">
        <v>9420</v>
      </c>
      <c r="F720" t="s">
        <v>7672</v>
      </c>
      <c r="G720" t="s">
        <v>9421</v>
      </c>
      <c r="H720" t="s">
        <v>7947</v>
      </c>
      <c r="I720" t="s">
        <v>9422</v>
      </c>
      <c r="J720" t="s">
        <v>9426</v>
      </c>
    </row>
    <row r="721" spans="1:10" x14ac:dyDescent="0.25">
      <c r="A721" t="s">
        <v>9427</v>
      </c>
      <c r="B721">
        <v>7.1920000000000002</v>
      </c>
      <c r="C721" t="s">
        <v>9428</v>
      </c>
      <c r="D721" t="s">
        <v>359</v>
      </c>
      <c r="E721" t="s">
        <v>9429</v>
      </c>
      <c r="F721" t="s">
        <v>7672</v>
      </c>
      <c r="G721" t="s">
        <v>9430</v>
      </c>
      <c r="H721" t="s">
        <v>8301</v>
      </c>
      <c r="I721" t="s">
        <v>8158</v>
      </c>
      <c r="J721" t="s">
        <v>7981</v>
      </c>
    </row>
    <row r="722" spans="1:10" x14ac:dyDescent="0.25">
      <c r="A722" t="s">
        <v>9431</v>
      </c>
      <c r="B722">
        <v>7.1920000000000002</v>
      </c>
      <c r="C722" t="s">
        <v>9432</v>
      </c>
      <c r="D722" t="s">
        <v>1143</v>
      </c>
      <c r="E722" t="s">
        <v>9429</v>
      </c>
      <c r="F722" t="s">
        <v>7672</v>
      </c>
      <c r="G722" t="s">
        <v>9430</v>
      </c>
      <c r="H722" t="s">
        <v>8301</v>
      </c>
      <c r="I722" t="s">
        <v>9433</v>
      </c>
      <c r="J722" t="s">
        <v>7981</v>
      </c>
    </row>
    <row r="723" spans="1:10" x14ac:dyDescent="0.25">
      <c r="A723" t="s">
        <v>9434</v>
      </c>
      <c r="B723">
        <v>7.1920000000000002</v>
      </c>
      <c r="C723" t="s">
        <v>9435</v>
      </c>
      <c r="D723" t="s">
        <v>2022</v>
      </c>
      <c r="E723" t="s">
        <v>9429</v>
      </c>
      <c r="F723" t="s">
        <v>7672</v>
      </c>
      <c r="G723" t="s">
        <v>9430</v>
      </c>
      <c r="H723" t="s">
        <v>8301</v>
      </c>
      <c r="I723" t="s">
        <v>8158</v>
      </c>
      <c r="J723" t="s">
        <v>7984</v>
      </c>
    </row>
    <row r="724" spans="1:10" x14ac:dyDescent="0.25">
      <c r="A724" t="s">
        <v>9436</v>
      </c>
      <c r="B724">
        <v>7.1920000000000002</v>
      </c>
      <c r="C724" t="s">
        <v>9437</v>
      </c>
      <c r="D724" t="s">
        <v>2036</v>
      </c>
      <c r="E724" t="s">
        <v>9429</v>
      </c>
      <c r="F724" t="s">
        <v>7672</v>
      </c>
      <c r="G724" t="s">
        <v>9430</v>
      </c>
      <c r="H724" t="s">
        <v>8301</v>
      </c>
      <c r="I724" t="s">
        <v>9433</v>
      </c>
      <c r="J724" t="s">
        <v>7984</v>
      </c>
    </row>
    <row r="725" spans="1:10" x14ac:dyDescent="0.25">
      <c r="A725" t="s">
        <v>9438</v>
      </c>
      <c r="B725">
        <v>7.1920000000000002</v>
      </c>
      <c r="C725" t="s">
        <v>9439</v>
      </c>
      <c r="D725" t="s">
        <v>1254</v>
      </c>
      <c r="E725" t="s">
        <v>9429</v>
      </c>
      <c r="F725" t="s">
        <v>7672</v>
      </c>
      <c r="G725" t="s">
        <v>9430</v>
      </c>
      <c r="H725" t="s">
        <v>8301</v>
      </c>
      <c r="I725" t="s">
        <v>8158</v>
      </c>
      <c r="J725" t="s">
        <v>7987</v>
      </c>
    </row>
    <row r="726" spans="1:10" x14ac:dyDescent="0.25">
      <c r="A726" t="s">
        <v>9440</v>
      </c>
      <c r="B726">
        <v>7.1920000000000002</v>
      </c>
      <c r="C726" t="s">
        <v>9441</v>
      </c>
      <c r="D726" t="s">
        <v>3023</v>
      </c>
      <c r="E726" t="s">
        <v>9429</v>
      </c>
      <c r="F726" t="s">
        <v>7672</v>
      </c>
      <c r="G726" t="s">
        <v>9430</v>
      </c>
      <c r="H726" t="s">
        <v>8301</v>
      </c>
      <c r="I726" t="s">
        <v>9433</v>
      </c>
      <c r="J726" t="s">
        <v>7987</v>
      </c>
    </row>
    <row r="727" spans="1:10" x14ac:dyDescent="0.25">
      <c r="A727" t="s">
        <v>9442</v>
      </c>
      <c r="B727">
        <v>7.1920000000000002</v>
      </c>
      <c r="C727" t="s">
        <v>9443</v>
      </c>
      <c r="D727" t="s">
        <v>359</v>
      </c>
      <c r="E727" t="s">
        <v>9429</v>
      </c>
      <c r="F727" t="s">
        <v>7672</v>
      </c>
      <c r="G727" t="s">
        <v>9430</v>
      </c>
      <c r="H727" t="s">
        <v>8301</v>
      </c>
      <c r="I727" t="s">
        <v>8158</v>
      </c>
      <c r="J727" t="s">
        <v>8001</v>
      </c>
    </row>
    <row r="728" spans="1:10" x14ac:dyDescent="0.25">
      <c r="A728" t="s">
        <v>9444</v>
      </c>
      <c r="B728">
        <v>7.1920000000000002</v>
      </c>
      <c r="C728" t="s">
        <v>9445</v>
      </c>
      <c r="D728" t="s">
        <v>720</v>
      </c>
      <c r="E728" t="s">
        <v>9429</v>
      </c>
      <c r="F728" t="s">
        <v>7672</v>
      </c>
      <c r="G728" t="s">
        <v>9430</v>
      </c>
      <c r="H728" t="s">
        <v>8301</v>
      </c>
      <c r="I728" t="s">
        <v>9433</v>
      </c>
      <c r="J728" t="s">
        <v>8001</v>
      </c>
    </row>
    <row r="729" spans="1:10" x14ac:dyDescent="0.25">
      <c r="A729" t="s">
        <v>9446</v>
      </c>
      <c r="B729">
        <v>12.592000000000001</v>
      </c>
      <c r="C729" t="s">
        <v>9447</v>
      </c>
      <c r="D729" t="s">
        <v>576</v>
      </c>
      <c r="E729" t="s">
        <v>9448</v>
      </c>
      <c r="F729" t="s">
        <v>7672</v>
      </c>
      <c r="G729" t="s">
        <v>9449</v>
      </c>
      <c r="H729" t="s">
        <v>9127</v>
      </c>
      <c r="I729" t="s">
        <v>9450</v>
      </c>
      <c r="J729" t="s">
        <v>9451</v>
      </c>
    </row>
    <row r="730" spans="1:10" x14ac:dyDescent="0.25">
      <c r="A730" t="s">
        <v>9452</v>
      </c>
      <c r="B730">
        <v>12.592000000000001</v>
      </c>
      <c r="C730" t="s">
        <v>9453</v>
      </c>
      <c r="D730" t="s">
        <v>385</v>
      </c>
      <c r="E730" t="s">
        <v>9448</v>
      </c>
      <c r="F730" t="s">
        <v>7672</v>
      </c>
      <c r="G730" t="s">
        <v>9449</v>
      </c>
      <c r="H730" t="s">
        <v>9127</v>
      </c>
      <c r="I730" t="s">
        <v>9454</v>
      </c>
      <c r="J730" t="s">
        <v>9451</v>
      </c>
    </row>
    <row r="731" spans="1:10" x14ac:dyDescent="0.25">
      <c r="A731" t="s">
        <v>9455</v>
      </c>
      <c r="B731">
        <v>12.592000000000001</v>
      </c>
      <c r="C731" t="s">
        <v>9456</v>
      </c>
      <c r="D731" t="s">
        <v>1143</v>
      </c>
      <c r="E731" t="s">
        <v>9448</v>
      </c>
      <c r="F731" t="s">
        <v>7672</v>
      </c>
      <c r="G731" t="s">
        <v>9449</v>
      </c>
      <c r="H731" t="s">
        <v>9127</v>
      </c>
      <c r="I731" t="s">
        <v>9450</v>
      </c>
      <c r="J731" t="s">
        <v>9457</v>
      </c>
    </row>
    <row r="732" spans="1:10" x14ac:dyDescent="0.25">
      <c r="A732" t="s">
        <v>9458</v>
      </c>
      <c r="B732">
        <v>12.592000000000001</v>
      </c>
      <c r="C732" t="s">
        <v>9459</v>
      </c>
      <c r="D732" t="s">
        <v>234</v>
      </c>
      <c r="E732" t="s">
        <v>9448</v>
      </c>
      <c r="F732" t="s">
        <v>7672</v>
      </c>
      <c r="G732" t="s">
        <v>9449</v>
      </c>
      <c r="H732" t="s">
        <v>9127</v>
      </c>
      <c r="I732" t="s">
        <v>9454</v>
      </c>
      <c r="J732" t="s">
        <v>9457</v>
      </c>
    </row>
    <row r="733" spans="1:10" x14ac:dyDescent="0.25">
      <c r="A733" t="s">
        <v>9460</v>
      </c>
      <c r="B733">
        <v>12.592000000000001</v>
      </c>
      <c r="C733" t="s">
        <v>9461</v>
      </c>
      <c r="D733" t="s">
        <v>835</v>
      </c>
      <c r="E733" t="s">
        <v>9448</v>
      </c>
      <c r="F733" t="s">
        <v>7672</v>
      </c>
      <c r="G733" t="s">
        <v>9449</v>
      </c>
      <c r="H733" t="s">
        <v>9127</v>
      </c>
      <c r="I733" t="s">
        <v>9454</v>
      </c>
      <c r="J733" t="s">
        <v>277</v>
      </c>
    </row>
    <row r="734" spans="1:10" x14ac:dyDescent="0.25">
      <c r="A734" t="s">
        <v>9462</v>
      </c>
      <c r="B734">
        <v>12.592000000000001</v>
      </c>
      <c r="C734" t="s">
        <v>9463</v>
      </c>
      <c r="D734" t="s">
        <v>100</v>
      </c>
      <c r="E734" t="s">
        <v>9448</v>
      </c>
      <c r="F734" t="s">
        <v>7672</v>
      </c>
      <c r="G734" t="s">
        <v>9449</v>
      </c>
      <c r="H734" t="s">
        <v>9127</v>
      </c>
      <c r="I734" t="s">
        <v>9450</v>
      </c>
      <c r="J734" t="s">
        <v>277</v>
      </c>
    </row>
    <row r="735" spans="1:10" x14ac:dyDescent="0.25">
      <c r="A735" t="s">
        <v>9464</v>
      </c>
      <c r="B735">
        <v>12.592000000000001</v>
      </c>
      <c r="C735" t="s">
        <v>9465</v>
      </c>
      <c r="D735" t="s">
        <v>588</v>
      </c>
      <c r="E735" t="s">
        <v>9448</v>
      </c>
      <c r="F735" t="s">
        <v>7672</v>
      </c>
      <c r="G735" t="s">
        <v>9449</v>
      </c>
      <c r="H735" t="s">
        <v>9127</v>
      </c>
      <c r="I735" t="s">
        <v>9450</v>
      </c>
      <c r="J735" t="s">
        <v>9466</v>
      </c>
    </row>
    <row r="736" spans="1:10" x14ac:dyDescent="0.25">
      <c r="A736" t="s">
        <v>9467</v>
      </c>
      <c r="B736">
        <v>12.592000000000001</v>
      </c>
      <c r="C736" t="s">
        <v>9468</v>
      </c>
      <c r="D736" t="s">
        <v>835</v>
      </c>
      <c r="E736" t="s">
        <v>9448</v>
      </c>
      <c r="F736" t="s">
        <v>7672</v>
      </c>
      <c r="G736" t="s">
        <v>9449</v>
      </c>
      <c r="H736" t="s">
        <v>9127</v>
      </c>
      <c r="I736" t="s">
        <v>9454</v>
      </c>
      <c r="J736" t="s">
        <v>9466</v>
      </c>
    </row>
    <row r="737" spans="1:10" x14ac:dyDescent="0.25">
      <c r="A737" t="s">
        <v>9469</v>
      </c>
      <c r="B737">
        <v>12.592000000000001</v>
      </c>
      <c r="C737" t="s">
        <v>9470</v>
      </c>
      <c r="D737" t="s">
        <v>240</v>
      </c>
      <c r="E737" t="s">
        <v>9448</v>
      </c>
      <c r="F737" t="s">
        <v>7672</v>
      </c>
      <c r="G737" t="s">
        <v>9449</v>
      </c>
      <c r="H737" t="s">
        <v>9127</v>
      </c>
      <c r="I737" t="s">
        <v>9454</v>
      </c>
      <c r="J737" t="s">
        <v>164</v>
      </c>
    </row>
    <row r="738" spans="1:10" x14ac:dyDescent="0.25">
      <c r="A738" t="s">
        <v>9471</v>
      </c>
      <c r="B738">
        <v>12.592000000000001</v>
      </c>
      <c r="C738" t="s">
        <v>9472</v>
      </c>
      <c r="D738" t="s">
        <v>1143</v>
      </c>
      <c r="E738" t="s">
        <v>9448</v>
      </c>
      <c r="F738" t="s">
        <v>7672</v>
      </c>
      <c r="G738" t="s">
        <v>9449</v>
      </c>
      <c r="H738" t="s">
        <v>9127</v>
      </c>
      <c r="I738" t="s">
        <v>9450</v>
      </c>
      <c r="J738" t="s">
        <v>9473</v>
      </c>
    </row>
    <row r="739" spans="1:10" x14ac:dyDescent="0.25">
      <c r="A739" t="s">
        <v>9474</v>
      </c>
      <c r="B739">
        <v>12.592000000000001</v>
      </c>
      <c r="C739" t="s">
        <v>9475</v>
      </c>
      <c r="D739" t="s">
        <v>229</v>
      </c>
      <c r="E739" t="s">
        <v>9448</v>
      </c>
      <c r="F739" t="s">
        <v>7672</v>
      </c>
      <c r="G739" t="s">
        <v>9449</v>
      </c>
      <c r="H739" t="s">
        <v>9127</v>
      </c>
      <c r="I739" t="s">
        <v>9454</v>
      </c>
      <c r="J739" t="s">
        <v>9473</v>
      </c>
    </row>
    <row r="740" spans="1:10" x14ac:dyDescent="0.25">
      <c r="A740" t="s">
        <v>9476</v>
      </c>
      <c r="B740">
        <v>12.592000000000001</v>
      </c>
      <c r="C740" t="s">
        <v>9477</v>
      </c>
      <c r="D740" t="s">
        <v>88</v>
      </c>
      <c r="E740" t="s">
        <v>9448</v>
      </c>
      <c r="F740" t="s">
        <v>7672</v>
      </c>
      <c r="G740" t="s">
        <v>9449</v>
      </c>
      <c r="H740" t="s">
        <v>9127</v>
      </c>
      <c r="I740" t="s">
        <v>9454</v>
      </c>
      <c r="J740" t="s">
        <v>290</v>
      </c>
    </row>
    <row r="741" spans="1:10" x14ac:dyDescent="0.25">
      <c r="A741" t="s">
        <v>9478</v>
      </c>
      <c r="B741">
        <v>12.592000000000001</v>
      </c>
      <c r="C741" t="s">
        <v>9479</v>
      </c>
      <c r="D741" t="s">
        <v>2879</v>
      </c>
      <c r="E741" t="s">
        <v>9448</v>
      </c>
      <c r="F741" t="s">
        <v>7672</v>
      </c>
      <c r="G741" t="s">
        <v>9449</v>
      </c>
      <c r="H741" t="s">
        <v>9127</v>
      </c>
      <c r="I741" t="s">
        <v>9450</v>
      </c>
      <c r="J741" t="s">
        <v>9480</v>
      </c>
    </row>
    <row r="742" spans="1:10" x14ac:dyDescent="0.25">
      <c r="A742" t="s">
        <v>9481</v>
      </c>
      <c r="B742">
        <v>12.592000000000001</v>
      </c>
      <c r="C742" t="s">
        <v>9482</v>
      </c>
      <c r="D742" t="s">
        <v>118</v>
      </c>
      <c r="E742" t="s">
        <v>9448</v>
      </c>
      <c r="F742" t="s">
        <v>7672</v>
      </c>
      <c r="G742" t="s">
        <v>9449</v>
      </c>
      <c r="H742" t="s">
        <v>9127</v>
      </c>
      <c r="I742" t="s">
        <v>9454</v>
      </c>
      <c r="J742" t="s">
        <v>9480</v>
      </c>
    </row>
    <row r="743" spans="1:10" x14ac:dyDescent="0.25">
      <c r="A743" t="s">
        <v>9483</v>
      </c>
      <c r="B743">
        <v>12.592000000000001</v>
      </c>
      <c r="C743" t="s">
        <v>9484</v>
      </c>
      <c r="D743" t="s">
        <v>359</v>
      </c>
      <c r="E743" t="s">
        <v>9448</v>
      </c>
      <c r="F743" t="s">
        <v>7672</v>
      </c>
      <c r="G743" t="s">
        <v>9449</v>
      </c>
      <c r="H743" t="s">
        <v>9127</v>
      </c>
      <c r="I743" t="s">
        <v>9450</v>
      </c>
      <c r="J743" t="s">
        <v>199</v>
      </c>
    </row>
    <row r="744" spans="1:10" x14ac:dyDescent="0.25">
      <c r="A744" t="s">
        <v>9485</v>
      </c>
      <c r="B744">
        <v>12.592000000000001</v>
      </c>
      <c r="C744" t="s">
        <v>9486</v>
      </c>
      <c r="D744" t="s">
        <v>250</v>
      </c>
      <c r="E744" t="s">
        <v>9448</v>
      </c>
      <c r="F744" t="s">
        <v>7672</v>
      </c>
      <c r="G744" t="s">
        <v>9449</v>
      </c>
      <c r="H744" t="s">
        <v>9127</v>
      </c>
      <c r="I744" t="s">
        <v>9454</v>
      </c>
      <c r="J744" t="s">
        <v>199</v>
      </c>
    </row>
    <row r="745" spans="1:10" x14ac:dyDescent="0.25">
      <c r="A745" t="s">
        <v>9487</v>
      </c>
      <c r="B745">
        <v>12.592000000000001</v>
      </c>
      <c r="C745" t="s">
        <v>9488</v>
      </c>
      <c r="D745" t="s">
        <v>199</v>
      </c>
      <c r="E745" t="s">
        <v>9448</v>
      </c>
      <c r="F745" t="s">
        <v>7672</v>
      </c>
      <c r="G745" t="s">
        <v>9449</v>
      </c>
      <c r="H745" t="s">
        <v>9127</v>
      </c>
      <c r="I745" t="s">
        <v>9450</v>
      </c>
      <c r="J745" t="s">
        <v>9489</v>
      </c>
    </row>
    <row r="746" spans="1:10" x14ac:dyDescent="0.25">
      <c r="A746" t="s">
        <v>9490</v>
      </c>
      <c r="B746">
        <v>12.592000000000001</v>
      </c>
      <c r="C746" t="s">
        <v>9491</v>
      </c>
      <c r="D746" t="s">
        <v>95</v>
      </c>
      <c r="E746" t="s">
        <v>9448</v>
      </c>
      <c r="F746" t="s">
        <v>7672</v>
      </c>
      <c r="G746" t="s">
        <v>9449</v>
      </c>
      <c r="H746" t="s">
        <v>9127</v>
      </c>
      <c r="I746" t="s">
        <v>9454</v>
      </c>
      <c r="J746" t="s">
        <v>9489</v>
      </c>
    </row>
    <row r="747" spans="1:10" x14ac:dyDescent="0.25">
      <c r="A747" t="s">
        <v>9492</v>
      </c>
      <c r="B747">
        <v>3.592000000000001</v>
      </c>
      <c r="C747" t="s">
        <v>9493</v>
      </c>
      <c r="D747" t="s">
        <v>359</v>
      </c>
      <c r="E747" t="s">
        <v>9494</v>
      </c>
      <c r="F747" t="s">
        <v>7672</v>
      </c>
      <c r="G747" t="s">
        <v>9495</v>
      </c>
      <c r="H747" t="s">
        <v>8515</v>
      </c>
      <c r="I747" t="s">
        <v>7945</v>
      </c>
      <c r="J747" t="s">
        <v>100</v>
      </c>
    </row>
    <row r="748" spans="1:10" x14ac:dyDescent="0.25">
      <c r="A748" t="s">
        <v>9496</v>
      </c>
      <c r="B748">
        <v>3.592000000000001</v>
      </c>
      <c r="C748" t="s">
        <v>9497</v>
      </c>
      <c r="D748" t="s">
        <v>1811</v>
      </c>
      <c r="E748" t="s">
        <v>9494</v>
      </c>
      <c r="F748" t="s">
        <v>7672</v>
      </c>
      <c r="G748" t="s">
        <v>9495</v>
      </c>
      <c r="H748" t="s">
        <v>8515</v>
      </c>
      <c r="I748" t="s">
        <v>9498</v>
      </c>
      <c r="J748" t="s">
        <v>100</v>
      </c>
    </row>
    <row r="749" spans="1:10" x14ac:dyDescent="0.25">
      <c r="A749" t="s">
        <v>9499</v>
      </c>
      <c r="B749">
        <v>3.592000000000001</v>
      </c>
      <c r="C749" t="s">
        <v>9500</v>
      </c>
      <c r="D749" t="s">
        <v>1536</v>
      </c>
      <c r="E749" t="s">
        <v>9494</v>
      </c>
      <c r="F749" t="s">
        <v>7672</v>
      </c>
      <c r="G749" t="s">
        <v>9495</v>
      </c>
      <c r="H749" t="s">
        <v>8515</v>
      </c>
      <c r="I749" t="s">
        <v>1413</v>
      </c>
      <c r="J749" t="s">
        <v>100</v>
      </c>
    </row>
    <row r="750" spans="1:10" x14ac:dyDescent="0.25">
      <c r="A750" t="s">
        <v>9501</v>
      </c>
      <c r="B750">
        <v>3.592000000000001</v>
      </c>
      <c r="C750" t="s">
        <v>9502</v>
      </c>
      <c r="D750" t="s">
        <v>9503</v>
      </c>
      <c r="E750" t="s">
        <v>9494</v>
      </c>
      <c r="F750" t="s">
        <v>7672</v>
      </c>
      <c r="G750" t="s">
        <v>9495</v>
      </c>
      <c r="H750" t="s">
        <v>8515</v>
      </c>
      <c r="I750" t="s">
        <v>7945</v>
      </c>
      <c r="J750" t="s">
        <v>106</v>
      </c>
    </row>
    <row r="751" spans="1:10" x14ac:dyDescent="0.25">
      <c r="A751" t="s">
        <v>9504</v>
      </c>
      <c r="B751">
        <v>3.592000000000001</v>
      </c>
      <c r="C751" t="s">
        <v>9505</v>
      </c>
      <c r="D751" t="s">
        <v>9506</v>
      </c>
      <c r="E751" t="s">
        <v>9494</v>
      </c>
      <c r="F751" t="s">
        <v>7672</v>
      </c>
      <c r="G751" t="s">
        <v>9495</v>
      </c>
      <c r="H751" t="s">
        <v>8515</v>
      </c>
      <c r="I751" t="s">
        <v>9498</v>
      </c>
      <c r="J751" t="s">
        <v>106</v>
      </c>
    </row>
    <row r="752" spans="1:10" x14ac:dyDescent="0.25">
      <c r="A752" t="s">
        <v>9507</v>
      </c>
      <c r="B752">
        <v>3.592000000000001</v>
      </c>
      <c r="C752" t="s">
        <v>9508</v>
      </c>
      <c r="D752" t="s">
        <v>9509</v>
      </c>
      <c r="E752" t="s">
        <v>9494</v>
      </c>
      <c r="F752" t="s">
        <v>7672</v>
      </c>
      <c r="G752" t="s">
        <v>9495</v>
      </c>
      <c r="H752" t="s">
        <v>8515</v>
      </c>
      <c r="I752" t="s">
        <v>1413</v>
      </c>
      <c r="J752" t="s">
        <v>106</v>
      </c>
    </row>
    <row r="753" spans="1:10" x14ac:dyDescent="0.25">
      <c r="A753" t="s">
        <v>9510</v>
      </c>
      <c r="B753">
        <v>3.592000000000001</v>
      </c>
      <c r="C753" t="s">
        <v>9511</v>
      </c>
      <c r="D753" t="s">
        <v>8190</v>
      </c>
      <c r="E753" t="s">
        <v>9494</v>
      </c>
      <c r="F753" t="s">
        <v>7672</v>
      </c>
      <c r="G753" t="s">
        <v>9495</v>
      </c>
      <c r="H753" t="s">
        <v>8515</v>
      </c>
      <c r="I753" t="s">
        <v>7945</v>
      </c>
      <c r="J753" t="s">
        <v>88</v>
      </c>
    </row>
    <row r="754" spans="1:10" x14ac:dyDescent="0.25">
      <c r="A754" t="s">
        <v>9512</v>
      </c>
      <c r="B754">
        <v>3.592000000000001</v>
      </c>
      <c r="C754" t="s">
        <v>9513</v>
      </c>
      <c r="D754" t="s">
        <v>7841</v>
      </c>
      <c r="E754" t="s">
        <v>9494</v>
      </c>
      <c r="F754" t="s">
        <v>7672</v>
      </c>
      <c r="G754" t="s">
        <v>9495</v>
      </c>
      <c r="H754" t="s">
        <v>8515</v>
      </c>
      <c r="I754" t="s">
        <v>9498</v>
      </c>
      <c r="J754" t="s">
        <v>88</v>
      </c>
    </row>
    <row r="755" spans="1:10" x14ac:dyDescent="0.25">
      <c r="A755" t="s">
        <v>9514</v>
      </c>
      <c r="B755">
        <v>3.592000000000001</v>
      </c>
      <c r="C755" t="s">
        <v>9515</v>
      </c>
      <c r="D755" t="s">
        <v>3905</v>
      </c>
      <c r="E755" t="s">
        <v>9494</v>
      </c>
      <c r="F755" t="s">
        <v>7672</v>
      </c>
      <c r="G755" t="s">
        <v>9495</v>
      </c>
      <c r="H755" t="s">
        <v>8515</v>
      </c>
      <c r="I755" t="s">
        <v>1413</v>
      </c>
      <c r="J755" t="s">
        <v>88</v>
      </c>
    </row>
    <row r="756" spans="1:10" x14ac:dyDescent="0.25">
      <c r="A756" t="s">
        <v>9516</v>
      </c>
      <c r="B756">
        <v>3.592000000000001</v>
      </c>
      <c r="C756" t="s">
        <v>9517</v>
      </c>
      <c r="D756" t="s">
        <v>2488</v>
      </c>
      <c r="E756" t="s">
        <v>9494</v>
      </c>
      <c r="F756" t="s">
        <v>7672</v>
      </c>
      <c r="G756" t="s">
        <v>9495</v>
      </c>
      <c r="H756" t="s">
        <v>8515</v>
      </c>
      <c r="I756" t="s">
        <v>7945</v>
      </c>
      <c r="J756" t="s">
        <v>131</v>
      </c>
    </row>
    <row r="757" spans="1:10" x14ac:dyDescent="0.25">
      <c r="A757" t="s">
        <v>9518</v>
      </c>
      <c r="B757">
        <v>3.592000000000001</v>
      </c>
      <c r="C757" t="s">
        <v>9519</v>
      </c>
      <c r="D757" t="s">
        <v>803</v>
      </c>
      <c r="E757" t="s">
        <v>9494</v>
      </c>
      <c r="F757" t="s">
        <v>7672</v>
      </c>
      <c r="G757" t="s">
        <v>9495</v>
      </c>
      <c r="H757" t="s">
        <v>8515</v>
      </c>
      <c r="I757" t="s">
        <v>9498</v>
      </c>
      <c r="J757" t="s">
        <v>131</v>
      </c>
    </row>
    <row r="758" spans="1:10" x14ac:dyDescent="0.25">
      <c r="A758" t="s">
        <v>9520</v>
      </c>
      <c r="B758">
        <v>3.592000000000001</v>
      </c>
      <c r="C758" t="s">
        <v>9521</v>
      </c>
      <c r="D758" t="s">
        <v>4136</v>
      </c>
      <c r="E758" t="s">
        <v>9494</v>
      </c>
      <c r="F758" t="s">
        <v>7672</v>
      </c>
      <c r="G758" t="s">
        <v>9495</v>
      </c>
      <c r="H758" t="s">
        <v>8515</v>
      </c>
      <c r="I758" t="s">
        <v>1413</v>
      </c>
      <c r="J758" t="s">
        <v>131</v>
      </c>
    </row>
    <row r="759" spans="1:10" x14ac:dyDescent="0.25">
      <c r="A759" t="s">
        <v>9522</v>
      </c>
      <c r="B759">
        <v>3.592000000000001</v>
      </c>
      <c r="C759" t="s">
        <v>9523</v>
      </c>
      <c r="D759" t="s">
        <v>379</v>
      </c>
      <c r="E759" t="s">
        <v>9494</v>
      </c>
      <c r="F759" t="s">
        <v>7672</v>
      </c>
      <c r="G759" t="s">
        <v>9495</v>
      </c>
      <c r="H759" t="s">
        <v>8515</v>
      </c>
      <c r="I759" t="s">
        <v>9498</v>
      </c>
      <c r="J759" t="s">
        <v>269</v>
      </c>
    </row>
    <row r="760" spans="1:10" x14ac:dyDescent="0.25">
      <c r="A760" t="s">
        <v>9524</v>
      </c>
      <c r="B760">
        <v>3.592000000000001</v>
      </c>
      <c r="C760" t="s">
        <v>9525</v>
      </c>
      <c r="D760" t="s">
        <v>865</v>
      </c>
      <c r="E760" t="s">
        <v>9494</v>
      </c>
      <c r="F760" t="s">
        <v>7672</v>
      </c>
      <c r="G760" t="s">
        <v>9495</v>
      </c>
      <c r="H760" t="s">
        <v>8515</v>
      </c>
      <c r="I760" t="s">
        <v>7945</v>
      </c>
      <c r="J760" t="s">
        <v>269</v>
      </c>
    </row>
    <row r="761" spans="1:10" x14ac:dyDescent="0.25">
      <c r="A761" t="s">
        <v>9526</v>
      </c>
      <c r="B761">
        <v>4</v>
      </c>
      <c r="C761" t="s">
        <v>9527</v>
      </c>
      <c r="D761" t="s">
        <v>5966</v>
      </c>
      <c r="E761" t="s">
        <v>9528</v>
      </c>
      <c r="F761" t="s">
        <v>7672</v>
      </c>
      <c r="G761" t="s">
        <v>9529</v>
      </c>
      <c r="H761" t="s">
        <v>8515</v>
      </c>
      <c r="I761" t="s">
        <v>9530</v>
      </c>
      <c r="J761" t="s">
        <v>106</v>
      </c>
    </row>
    <row r="762" spans="1:10" x14ac:dyDescent="0.25">
      <c r="A762" t="s">
        <v>9531</v>
      </c>
      <c r="B762">
        <v>4</v>
      </c>
      <c r="C762" t="s">
        <v>9532</v>
      </c>
      <c r="D762" t="s">
        <v>3430</v>
      </c>
      <c r="E762" t="s">
        <v>9528</v>
      </c>
      <c r="F762" t="s">
        <v>7672</v>
      </c>
      <c r="G762" t="s">
        <v>9529</v>
      </c>
      <c r="H762" t="s">
        <v>8515</v>
      </c>
      <c r="I762" t="s">
        <v>9530</v>
      </c>
      <c r="J762" t="s">
        <v>88</v>
      </c>
    </row>
    <row r="763" spans="1:10" x14ac:dyDescent="0.25">
      <c r="A763" t="s">
        <v>2287</v>
      </c>
      <c r="B763">
        <v>15.4</v>
      </c>
      <c r="C763" t="s">
        <v>2289</v>
      </c>
      <c r="D763" t="s">
        <v>2292</v>
      </c>
      <c r="E763" t="s">
        <v>2290</v>
      </c>
      <c r="F763" t="s">
        <v>7672</v>
      </c>
      <c r="G763" t="s">
        <v>9533</v>
      </c>
      <c r="H763" t="s">
        <v>8078</v>
      </c>
      <c r="I763" t="s">
        <v>8079</v>
      </c>
      <c r="J763" t="s">
        <v>7675</v>
      </c>
    </row>
    <row r="764" spans="1:10" x14ac:dyDescent="0.25">
      <c r="A764" t="s">
        <v>2294</v>
      </c>
      <c r="B764">
        <v>15.4</v>
      </c>
      <c r="C764" t="s">
        <v>2296</v>
      </c>
      <c r="D764" t="s">
        <v>530</v>
      </c>
      <c r="E764" t="s">
        <v>2290</v>
      </c>
      <c r="F764" t="s">
        <v>7672</v>
      </c>
      <c r="G764" t="s">
        <v>9533</v>
      </c>
      <c r="H764" t="s">
        <v>8078</v>
      </c>
      <c r="I764" t="s">
        <v>76</v>
      </c>
      <c r="J764" t="s">
        <v>7675</v>
      </c>
    </row>
    <row r="765" spans="1:10" x14ac:dyDescent="0.25">
      <c r="A765" t="s">
        <v>2298</v>
      </c>
      <c r="B765">
        <v>15.4</v>
      </c>
      <c r="C765" t="s">
        <v>2300</v>
      </c>
      <c r="D765" t="s">
        <v>2302</v>
      </c>
      <c r="E765" t="s">
        <v>2290</v>
      </c>
      <c r="F765" t="s">
        <v>7672</v>
      </c>
      <c r="G765" t="s">
        <v>9533</v>
      </c>
      <c r="H765" t="s">
        <v>8078</v>
      </c>
      <c r="I765" t="s">
        <v>76</v>
      </c>
      <c r="J765" t="s">
        <v>7686</v>
      </c>
    </row>
    <row r="766" spans="1:10" x14ac:dyDescent="0.25">
      <c r="A766" t="s">
        <v>2303</v>
      </c>
      <c r="B766">
        <v>15.4</v>
      </c>
      <c r="C766" t="s">
        <v>2305</v>
      </c>
      <c r="D766" t="s">
        <v>2307</v>
      </c>
      <c r="E766" t="s">
        <v>2290</v>
      </c>
      <c r="F766" t="s">
        <v>7672</v>
      </c>
      <c r="G766" t="s">
        <v>9533</v>
      </c>
      <c r="H766" t="s">
        <v>8078</v>
      </c>
      <c r="I766" t="s">
        <v>8079</v>
      </c>
      <c r="J766" t="s">
        <v>7686</v>
      </c>
    </row>
    <row r="767" spans="1:10" x14ac:dyDescent="0.25">
      <c r="A767" t="s">
        <v>2308</v>
      </c>
      <c r="B767">
        <v>15.4</v>
      </c>
      <c r="C767" t="s">
        <v>2310</v>
      </c>
      <c r="D767" t="s">
        <v>2312</v>
      </c>
      <c r="E767" t="s">
        <v>2290</v>
      </c>
      <c r="F767" t="s">
        <v>7672</v>
      </c>
      <c r="G767" t="s">
        <v>9533</v>
      </c>
      <c r="H767" t="s">
        <v>8078</v>
      </c>
      <c r="I767" t="s">
        <v>8079</v>
      </c>
      <c r="J767" t="s">
        <v>7703</v>
      </c>
    </row>
    <row r="768" spans="1:10" x14ac:dyDescent="0.25">
      <c r="A768" t="s">
        <v>2313</v>
      </c>
      <c r="B768">
        <v>15.4</v>
      </c>
      <c r="C768" t="s">
        <v>2315</v>
      </c>
      <c r="D768" t="s">
        <v>2317</v>
      </c>
      <c r="E768" t="s">
        <v>2290</v>
      </c>
      <c r="F768" t="s">
        <v>7672</v>
      </c>
      <c r="G768" t="s">
        <v>9533</v>
      </c>
      <c r="H768" t="s">
        <v>8078</v>
      </c>
      <c r="I768" t="s">
        <v>8079</v>
      </c>
      <c r="J768" t="s">
        <v>7713</v>
      </c>
    </row>
    <row r="769" spans="1:10" x14ac:dyDescent="0.25">
      <c r="A769" t="s">
        <v>2318</v>
      </c>
      <c r="B769">
        <v>15.4</v>
      </c>
      <c r="C769" t="s">
        <v>2320</v>
      </c>
      <c r="D769" t="s">
        <v>2322</v>
      </c>
      <c r="E769" t="s">
        <v>2290</v>
      </c>
      <c r="F769" t="s">
        <v>7672</v>
      </c>
      <c r="G769" t="s">
        <v>9533</v>
      </c>
      <c r="H769" t="s">
        <v>8078</v>
      </c>
      <c r="I769" t="s">
        <v>8079</v>
      </c>
      <c r="J769" t="s">
        <v>7719</v>
      </c>
    </row>
    <row r="770" spans="1:10" x14ac:dyDescent="0.25">
      <c r="A770" t="s">
        <v>2323</v>
      </c>
      <c r="B770">
        <v>10.8</v>
      </c>
      <c r="C770" t="s">
        <v>2325</v>
      </c>
      <c r="D770" t="s">
        <v>959</v>
      </c>
      <c r="E770" t="s">
        <v>2326</v>
      </c>
      <c r="F770" t="s">
        <v>7672</v>
      </c>
      <c r="G770" t="s">
        <v>9534</v>
      </c>
      <c r="H770" t="s">
        <v>9535</v>
      </c>
      <c r="I770" t="s">
        <v>76</v>
      </c>
      <c r="J770" t="s">
        <v>9536</v>
      </c>
    </row>
    <row r="771" spans="1:10" x14ac:dyDescent="0.25">
      <c r="A771" t="s">
        <v>2329</v>
      </c>
      <c r="B771">
        <v>10.8</v>
      </c>
      <c r="C771" t="s">
        <v>2331</v>
      </c>
      <c r="D771" t="s">
        <v>698</v>
      </c>
      <c r="E771" t="s">
        <v>2326</v>
      </c>
      <c r="F771" t="s">
        <v>7672</v>
      </c>
      <c r="G771" t="s">
        <v>9534</v>
      </c>
      <c r="H771" t="s">
        <v>9535</v>
      </c>
      <c r="I771" t="s">
        <v>9537</v>
      </c>
      <c r="J771" t="s">
        <v>9536</v>
      </c>
    </row>
    <row r="772" spans="1:10" x14ac:dyDescent="0.25">
      <c r="A772" t="s">
        <v>2335</v>
      </c>
      <c r="B772">
        <v>10.8</v>
      </c>
      <c r="C772" t="s">
        <v>2337</v>
      </c>
      <c r="D772" t="s">
        <v>1852</v>
      </c>
      <c r="E772" t="s">
        <v>2326</v>
      </c>
      <c r="F772" t="s">
        <v>7672</v>
      </c>
      <c r="G772" t="s">
        <v>9534</v>
      </c>
      <c r="H772" t="s">
        <v>9535</v>
      </c>
      <c r="I772" t="s">
        <v>76</v>
      </c>
      <c r="J772" t="s">
        <v>8687</v>
      </c>
    </row>
    <row r="773" spans="1:10" x14ac:dyDescent="0.25">
      <c r="A773" t="s">
        <v>2339</v>
      </c>
      <c r="B773">
        <v>10.8</v>
      </c>
      <c r="C773" t="s">
        <v>2341</v>
      </c>
      <c r="D773" t="s">
        <v>113</v>
      </c>
      <c r="E773" t="s">
        <v>2326</v>
      </c>
      <c r="F773" t="s">
        <v>7672</v>
      </c>
      <c r="G773" t="s">
        <v>9534</v>
      </c>
      <c r="H773" t="s">
        <v>9535</v>
      </c>
      <c r="I773" t="s">
        <v>76</v>
      </c>
      <c r="J773" t="s">
        <v>8692</v>
      </c>
    </row>
    <row r="774" spans="1:10" x14ac:dyDescent="0.25">
      <c r="A774" t="s">
        <v>2343</v>
      </c>
      <c r="B774">
        <v>10.8</v>
      </c>
      <c r="C774" t="s">
        <v>2345</v>
      </c>
      <c r="D774" t="s">
        <v>2347</v>
      </c>
      <c r="E774" t="s">
        <v>2326</v>
      </c>
      <c r="F774" t="s">
        <v>7672</v>
      </c>
      <c r="G774" t="s">
        <v>9534</v>
      </c>
      <c r="H774" t="s">
        <v>9535</v>
      </c>
      <c r="I774" t="s">
        <v>76</v>
      </c>
      <c r="J774" t="s">
        <v>8712</v>
      </c>
    </row>
    <row r="775" spans="1:10" x14ac:dyDescent="0.25">
      <c r="A775" t="s">
        <v>2348</v>
      </c>
      <c r="B775">
        <v>10.8</v>
      </c>
      <c r="C775" t="s">
        <v>2350</v>
      </c>
      <c r="D775" t="s">
        <v>124</v>
      </c>
      <c r="E775" t="s">
        <v>2326</v>
      </c>
      <c r="F775" t="s">
        <v>7672</v>
      </c>
      <c r="G775" t="s">
        <v>9534</v>
      </c>
      <c r="H775" t="s">
        <v>9535</v>
      </c>
      <c r="I775" t="s">
        <v>76</v>
      </c>
      <c r="J775" t="s">
        <v>8725</v>
      </c>
    </row>
    <row r="776" spans="1:10" x14ac:dyDescent="0.25">
      <c r="A776" t="s">
        <v>9538</v>
      </c>
      <c r="B776">
        <v>10.8</v>
      </c>
      <c r="C776" t="s">
        <v>9539</v>
      </c>
      <c r="D776" t="s">
        <v>8744</v>
      </c>
      <c r="E776" t="s">
        <v>2326</v>
      </c>
      <c r="F776" t="s">
        <v>7672</v>
      </c>
      <c r="G776" t="s">
        <v>9534</v>
      </c>
      <c r="H776" t="s">
        <v>9535</v>
      </c>
      <c r="I776" t="s">
        <v>278</v>
      </c>
      <c r="J776" t="s">
        <v>9540</v>
      </c>
    </row>
    <row r="777" spans="1:10" x14ac:dyDescent="0.25">
      <c r="A777" t="s">
        <v>9541</v>
      </c>
      <c r="B777">
        <v>10.8</v>
      </c>
      <c r="C777" t="s">
        <v>9542</v>
      </c>
      <c r="D777" t="s">
        <v>290</v>
      </c>
      <c r="E777" t="s">
        <v>2326</v>
      </c>
      <c r="F777" t="s">
        <v>7672</v>
      </c>
      <c r="G777" t="s">
        <v>9534</v>
      </c>
      <c r="H777" t="s">
        <v>9535</v>
      </c>
      <c r="I777" t="s">
        <v>76</v>
      </c>
      <c r="J777" t="s">
        <v>9540</v>
      </c>
    </row>
    <row r="778" spans="1:10" x14ac:dyDescent="0.25">
      <c r="A778" t="s">
        <v>9543</v>
      </c>
      <c r="B778">
        <v>10.8</v>
      </c>
      <c r="C778" t="s">
        <v>9544</v>
      </c>
      <c r="D778" t="s">
        <v>2262</v>
      </c>
      <c r="E778" t="s">
        <v>2326</v>
      </c>
      <c r="F778" t="s">
        <v>7672</v>
      </c>
      <c r="G778" t="s">
        <v>9534</v>
      </c>
      <c r="H778" t="s">
        <v>9535</v>
      </c>
      <c r="I778" t="s">
        <v>9537</v>
      </c>
      <c r="J778" t="s">
        <v>9540</v>
      </c>
    </row>
    <row r="779" spans="1:10" x14ac:dyDescent="0.25">
      <c r="A779" t="s">
        <v>9545</v>
      </c>
      <c r="B779">
        <v>10.8</v>
      </c>
      <c r="C779" t="s">
        <v>9546</v>
      </c>
      <c r="D779" t="s">
        <v>6155</v>
      </c>
      <c r="E779" t="s">
        <v>2326</v>
      </c>
      <c r="F779" t="s">
        <v>7672</v>
      </c>
      <c r="G779" t="s">
        <v>9534</v>
      </c>
      <c r="H779" t="s">
        <v>9535</v>
      </c>
      <c r="I779" t="s">
        <v>278</v>
      </c>
      <c r="J779" t="s">
        <v>9547</v>
      </c>
    </row>
    <row r="780" spans="1:10" x14ac:dyDescent="0.25">
      <c r="A780" t="s">
        <v>9548</v>
      </c>
      <c r="B780">
        <v>10.8</v>
      </c>
      <c r="C780" t="s">
        <v>9549</v>
      </c>
      <c r="D780" t="s">
        <v>598</v>
      </c>
      <c r="E780" t="s">
        <v>2326</v>
      </c>
      <c r="F780" t="s">
        <v>7672</v>
      </c>
      <c r="G780" t="s">
        <v>9534</v>
      </c>
      <c r="H780" t="s">
        <v>9535</v>
      </c>
      <c r="I780" t="s">
        <v>76</v>
      </c>
      <c r="J780" t="s">
        <v>9547</v>
      </c>
    </row>
    <row r="781" spans="1:10" x14ac:dyDescent="0.25">
      <c r="A781" t="s">
        <v>9550</v>
      </c>
      <c r="B781">
        <v>10.8</v>
      </c>
      <c r="C781" t="s">
        <v>9551</v>
      </c>
      <c r="D781" t="s">
        <v>9254</v>
      </c>
      <c r="E781" t="s">
        <v>2326</v>
      </c>
      <c r="F781" t="s">
        <v>7672</v>
      </c>
      <c r="G781" t="s">
        <v>9534</v>
      </c>
      <c r="H781" t="s">
        <v>9535</v>
      </c>
      <c r="I781" t="s">
        <v>9537</v>
      </c>
      <c r="J781" t="s">
        <v>9547</v>
      </c>
    </row>
    <row r="782" spans="1:10" x14ac:dyDescent="0.25">
      <c r="A782" t="s">
        <v>9552</v>
      </c>
      <c r="B782">
        <v>5.9920000000000009</v>
      </c>
      <c r="C782" t="s">
        <v>9553</v>
      </c>
      <c r="D782" t="s">
        <v>4270</v>
      </c>
      <c r="E782" t="s">
        <v>9554</v>
      </c>
      <c r="F782" t="s">
        <v>7672</v>
      </c>
      <c r="G782" t="s">
        <v>9555</v>
      </c>
      <c r="H782" t="s">
        <v>7674</v>
      </c>
      <c r="I782" t="s">
        <v>7945</v>
      </c>
      <c r="J782" t="s">
        <v>9556</v>
      </c>
    </row>
    <row r="783" spans="1:10" x14ac:dyDescent="0.25">
      <c r="A783" t="s">
        <v>9557</v>
      </c>
      <c r="B783">
        <v>5.9920000000000009</v>
      </c>
      <c r="C783" t="s">
        <v>9558</v>
      </c>
      <c r="D783" t="s">
        <v>9559</v>
      </c>
      <c r="E783" t="s">
        <v>9554</v>
      </c>
      <c r="F783" t="s">
        <v>7672</v>
      </c>
      <c r="G783" t="s">
        <v>9555</v>
      </c>
      <c r="H783" t="s">
        <v>7674</v>
      </c>
      <c r="I783" t="s">
        <v>9560</v>
      </c>
      <c r="J783" t="s">
        <v>269</v>
      </c>
    </row>
    <row r="784" spans="1:10" x14ac:dyDescent="0.25">
      <c r="A784" t="s">
        <v>9561</v>
      </c>
      <c r="B784">
        <v>5.9920000000000009</v>
      </c>
      <c r="C784" t="s">
        <v>9562</v>
      </c>
      <c r="D784" t="s">
        <v>9563</v>
      </c>
      <c r="E784" t="s">
        <v>9554</v>
      </c>
      <c r="F784" t="s">
        <v>7672</v>
      </c>
      <c r="G784" t="s">
        <v>9555</v>
      </c>
      <c r="H784" t="s">
        <v>7674</v>
      </c>
      <c r="I784" t="s">
        <v>7945</v>
      </c>
      <c r="J784" t="s">
        <v>269</v>
      </c>
    </row>
    <row r="785" spans="1:10" x14ac:dyDescent="0.25">
      <c r="A785" t="s">
        <v>9564</v>
      </c>
      <c r="B785">
        <v>5.9920000000000009</v>
      </c>
      <c r="C785" t="s">
        <v>9565</v>
      </c>
      <c r="D785" t="s">
        <v>9566</v>
      </c>
      <c r="E785" t="s">
        <v>9554</v>
      </c>
      <c r="F785" t="s">
        <v>7672</v>
      </c>
      <c r="G785" t="s">
        <v>9555</v>
      </c>
      <c r="H785" t="s">
        <v>7674</v>
      </c>
      <c r="I785" t="s">
        <v>76</v>
      </c>
      <c r="J785" t="s">
        <v>255</v>
      </c>
    </row>
    <row r="786" spans="1:10" x14ac:dyDescent="0.25">
      <c r="A786" t="s">
        <v>9567</v>
      </c>
      <c r="B786">
        <v>5.9920000000000009</v>
      </c>
      <c r="C786" t="s">
        <v>9568</v>
      </c>
      <c r="D786" t="s">
        <v>7057</v>
      </c>
      <c r="E786" t="s">
        <v>9554</v>
      </c>
      <c r="F786" t="s">
        <v>7672</v>
      </c>
      <c r="G786" t="s">
        <v>9555</v>
      </c>
      <c r="H786" t="s">
        <v>7674</v>
      </c>
      <c r="I786" t="s">
        <v>7945</v>
      </c>
      <c r="J786" t="s">
        <v>255</v>
      </c>
    </row>
    <row r="787" spans="1:10" x14ac:dyDescent="0.25">
      <c r="A787" t="s">
        <v>9569</v>
      </c>
      <c r="B787">
        <v>5.9920000000000009</v>
      </c>
      <c r="C787" t="s">
        <v>9570</v>
      </c>
      <c r="D787" t="s">
        <v>9571</v>
      </c>
      <c r="E787" t="s">
        <v>9554</v>
      </c>
      <c r="F787" t="s">
        <v>7672</v>
      </c>
      <c r="G787" t="s">
        <v>9555</v>
      </c>
      <c r="H787" t="s">
        <v>7674</v>
      </c>
      <c r="I787" t="s">
        <v>7945</v>
      </c>
      <c r="J787" t="s">
        <v>277</v>
      </c>
    </row>
    <row r="788" spans="1:10" x14ac:dyDescent="0.25">
      <c r="A788" t="s">
        <v>9572</v>
      </c>
      <c r="B788">
        <v>5.9920000000000009</v>
      </c>
      <c r="C788" t="s">
        <v>9573</v>
      </c>
      <c r="D788" t="s">
        <v>9574</v>
      </c>
      <c r="E788" t="s">
        <v>9554</v>
      </c>
      <c r="F788" t="s">
        <v>7672</v>
      </c>
      <c r="G788" t="s">
        <v>9555</v>
      </c>
      <c r="H788" t="s">
        <v>7674</v>
      </c>
      <c r="I788" t="s">
        <v>7945</v>
      </c>
      <c r="J788" t="s">
        <v>164</v>
      </c>
    </row>
    <row r="789" spans="1:10" x14ac:dyDescent="0.25">
      <c r="A789" t="s">
        <v>9575</v>
      </c>
      <c r="B789">
        <v>5.9920000000000009</v>
      </c>
      <c r="C789" t="s">
        <v>9576</v>
      </c>
      <c r="D789" t="s">
        <v>67</v>
      </c>
      <c r="E789" t="s">
        <v>9554</v>
      </c>
      <c r="F789" t="s">
        <v>7672</v>
      </c>
      <c r="G789" t="s">
        <v>9555</v>
      </c>
      <c r="H789" t="s">
        <v>7674</v>
      </c>
      <c r="I789" t="s">
        <v>7945</v>
      </c>
      <c r="J789" t="s">
        <v>199</v>
      </c>
    </row>
    <row r="790" spans="1:10" x14ac:dyDescent="0.25">
      <c r="A790" t="s">
        <v>9577</v>
      </c>
      <c r="B790">
        <v>5.9920000000000009</v>
      </c>
      <c r="C790" t="s">
        <v>9578</v>
      </c>
      <c r="D790" t="s">
        <v>705</v>
      </c>
      <c r="E790" t="s">
        <v>9554</v>
      </c>
      <c r="F790" t="s">
        <v>7672</v>
      </c>
      <c r="G790" t="s">
        <v>9555</v>
      </c>
      <c r="H790" t="s">
        <v>7674</v>
      </c>
      <c r="I790" t="s">
        <v>7945</v>
      </c>
      <c r="J790" t="s">
        <v>95</v>
      </c>
    </row>
    <row r="791" spans="1:10" x14ac:dyDescent="0.25">
      <c r="A791" t="s">
        <v>9579</v>
      </c>
      <c r="B791">
        <v>5.9920000000000009</v>
      </c>
      <c r="C791" t="s">
        <v>9580</v>
      </c>
      <c r="D791" t="s">
        <v>2879</v>
      </c>
      <c r="E791" t="s">
        <v>9554</v>
      </c>
      <c r="F791" t="s">
        <v>7672</v>
      </c>
      <c r="G791" t="s">
        <v>9555</v>
      </c>
      <c r="H791" t="s">
        <v>7674</v>
      </c>
      <c r="I791" t="s">
        <v>9560</v>
      </c>
      <c r="J791" t="s">
        <v>9183</v>
      </c>
    </row>
    <row r="792" spans="1:10" x14ac:dyDescent="0.25">
      <c r="A792" t="s">
        <v>9581</v>
      </c>
      <c r="B792">
        <v>5.9920000000000009</v>
      </c>
      <c r="C792" t="s">
        <v>9582</v>
      </c>
      <c r="D792" t="s">
        <v>9583</v>
      </c>
      <c r="E792" t="s">
        <v>9554</v>
      </c>
      <c r="F792" t="s">
        <v>7672</v>
      </c>
      <c r="G792" t="s">
        <v>9555</v>
      </c>
      <c r="H792" t="s">
        <v>7674</v>
      </c>
      <c r="I792" t="s">
        <v>7945</v>
      </c>
      <c r="J792" t="s">
        <v>9183</v>
      </c>
    </row>
    <row r="793" spans="1:10" x14ac:dyDescent="0.25">
      <c r="A793" t="s">
        <v>9584</v>
      </c>
      <c r="B793">
        <v>5.9920000000000009</v>
      </c>
      <c r="C793" t="s">
        <v>9585</v>
      </c>
      <c r="D793" t="s">
        <v>60</v>
      </c>
      <c r="E793" t="s">
        <v>9554</v>
      </c>
      <c r="F793" t="s">
        <v>7672</v>
      </c>
      <c r="G793" t="s">
        <v>9555</v>
      </c>
      <c r="H793" t="s">
        <v>7674</v>
      </c>
      <c r="I793" t="s">
        <v>9586</v>
      </c>
      <c r="J793" t="s">
        <v>9183</v>
      </c>
    </row>
    <row r="794" spans="1:10" x14ac:dyDescent="0.25">
      <c r="A794" t="s">
        <v>9587</v>
      </c>
      <c r="B794">
        <v>5.9920000000000009</v>
      </c>
      <c r="C794" t="s">
        <v>9588</v>
      </c>
      <c r="D794" t="s">
        <v>9589</v>
      </c>
      <c r="E794" t="s">
        <v>9554</v>
      </c>
      <c r="F794" t="s">
        <v>7672</v>
      </c>
      <c r="G794" t="s">
        <v>9555</v>
      </c>
      <c r="H794" t="s">
        <v>7674</v>
      </c>
      <c r="I794" t="s">
        <v>7945</v>
      </c>
      <c r="J794" t="s">
        <v>9217</v>
      </c>
    </row>
    <row r="795" spans="1:10" x14ac:dyDescent="0.25">
      <c r="A795" t="s">
        <v>9590</v>
      </c>
      <c r="B795">
        <v>5.9920000000000009</v>
      </c>
      <c r="C795" t="s">
        <v>9591</v>
      </c>
      <c r="D795" t="s">
        <v>9592</v>
      </c>
      <c r="E795" t="s">
        <v>9554</v>
      </c>
      <c r="F795" t="s">
        <v>7672</v>
      </c>
      <c r="G795" t="s">
        <v>9555</v>
      </c>
      <c r="H795" t="s">
        <v>7674</v>
      </c>
      <c r="I795" t="s">
        <v>7945</v>
      </c>
      <c r="J795" t="s">
        <v>9222</v>
      </c>
    </row>
    <row r="796" spans="1:10" x14ac:dyDescent="0.25">
      <c r="A796" t="s">
        <v>9593</v>
      </c>
      <c r="B796">
        <v>5.9920000000000009</v>
      </c>
      <c r="C796" t="s">
        <v>9594</v>
      </c>
      <c r="D796" t="s">
        <v>9595</v>
      </c>
      <c r="E796" t="s">
        <v>9554</v>
      </c>
      <c r="F796" t="s">
        <v>7672</v>
      </c>
      <c r="G796" t="s">
        <v>9555</v>
      </c>
      <c r="H796" t="s">
        <v>7674</v>
      </c>
      <c r="I796" t="s">
        <v>7945</v>
      </c>
      <c r="J796" t="s">
        <v>9229</v>
      </c>
    </row>
    <row r="797" spans="1:10" x14ac:dyDescent="0.25">
      <c r="A797" t="s">
        <v>9596</v>
      </c>
      <c r="B797">
        <v>16</v>
      </c>
      <c r="C797" t="s">
        <v>9597</v>
      </c>
      <c r="D797" t="s">
        <v>124</v>
      </c>
      <c r="E797" t="s">
        <v>9598</v>
      </c>
      <c r="F797" t="s">
        <v>7672</v>
      </c>
      <c r="G797" t="s">
        <v>9599</v>
      </c>
      <c r="H797" t="s">
        <v>8779</v>
      </c>
      <c r="I797" t="s">
        <v>9600</v>
      </c>
      <c r="J797" t="s">
        <v>7675</v>
      </c>
    </row>
    <row r="798" spans="1:10" x14ac:dyDescent="0.25">
      <c r="A798" t="s">
        <v>9601</v>
      </c>
      <c r="B798">
        <v>16</v>
      </c>
      <c r="C798" t="s">
        <v>9602</v>
      </c>
      <c r="D798" t="s">
        <v>1579</v>
      </c>
      <c r="E798" t="s">
        <v>9598</v>
      </c>
      <c r="F798" t="s">
        <v>7672</v>
      </c>
      <c r="G798" t="s">
        <v>9599</v>
      </c>
      <c r="H798" t="s">
        <v>8779</v>
      </c>
      <c r="I798" t="s">
        <v>9603</v>
      </c>
      <c r="J798" t="s">
        <v>7675</v>
      </c>
    </row>
    <row r="799" spans="1:10" x14ac:dyDescent="0.25">
      <c r="A799" t="s">
        <v>9604</v>
      </c>
      <c r="B799">
        <v>16</v>
      </c>
      <c r="C799" t="s">
        <v>9605</v>
      </c>
      <c r="D799" t="s">
        <v>7997</v>
      </c>
      <c r="E799" t="s">
        <v>9598</v>
      </c>
      <c r="F799" t="s">
        <v>7672</v>
      </c>
      <c r="G799" t="s">
        <v>9599</v>
      </c>
      <c r="H799" t="s">
        <v>8779</v>
      </c>
      <c r="I799" t="s">
        <v>9606</v>
      </c>
      <c r="J799" t="s">
        <v>7675</v>
      </c>
    </row>
    <row r="800" spans="1:10" x14ac:dyDescent="0.25">
      <c r="A800" t="s">
        <v>9607</v>
      </c>
      <c r="B800">
        <v>16</v>
      </c>
      <c r="C800" t="s">
        <v>9608</v>
      </c>
      <c r="D800" t="s">
        <v>9609</v>
      </c>
      <c r="E800" t="s">
        <v>9598</v>
      </c>
      <c r="F800" t="s">
        <v>7672</v>
      </c>
      <c r="G800" t="s">
        <v>9599</v>
      </c>
      <c r="H800" t="s">
        <v>8779</v>
      </c>
      <c r="I800" t="s">
        <v>76</v>
      </c>
      <c r="J800" t="s">
        <v>7675</v>
      </c>
    </row>
    <row r="801" spans="1:10" x14ac:dyDescent="0.25">
      <c r="A801" t="s">
        <v>9610</v>
      </c>
      <c r="B801">
        <v>16</v>
      </c>
      <c r="C801" t="s">
        <v>9611</v>
      </c>
      <c r="D801" t="s">
        <v>626</v>
      </c>
      <c r="E801" t="s">
        <v>9598</v>
      </c>
      <c r="F801" t="s">
        <v>7672</v>
      </c>
      <c r="G801" t="s">
        <v>9599</v>
      </c>
      <c r="H801" t="s">
        <v>8779</v>
      </c>
      <c r="I801" t="s">
        <v>9612</v>
      </c>
      <c r="J801" t="s">
        <v>7675</v>
      </c>
    </row>
    <row r="802" spans="1:10" x14ac:dyDescent="0.25">
      <c r="A802" t="s">
        <v>9613</v>
      </c>
      <c r="B802">
        <v>16</v>
      </c>
      <c r="C802" t="s">
        <v>9614</v>
      </c>
      <c r="D802" t="s">
        <v>9615</v>
      </c>
      <c r="E802" t="s">
        <v>9598</v>
      </c>
      <c r="F802" t="s">
        <v>7672</v>
      </c>
      <c r="G802" t="s">
        <v>9599</v>
      </c>
      <c r="H802" t="s">
        <v>8779</v>
      </c>
      <c r="I802" t="s">
        <v>1490</v>
      </c>
      <c r="J802" t="s">
        <v>7675</v>
      </c>
    </row>
    <row r="803" spans="1:10" x14ac:dyDescent="0.25">
      <c r="A803" t="s">
        <v>9616</v>
      </c>
      <c r="B803">
        <v>16</v>
      </c>
      <c r="C803" t="s">
        <v>9617</v>
      </c>
      <c r="D803" t="s">
        <v>316</v>
      </c>
      <c r="E803" t="s">
        <v>9598</v>
      </c>
      <c r="F803" t="s">
        <v>7672</v>
      </c>
      <c r="G803" t="s">
        <v>9599</v>
      </c>
      <c r="H803" t="s">
        <v>8779</v>
      </c>
      <c r="I803" t="s">
        <v>9618</v>
      </c>
      <c r="J803" t="s">
        <v>7675</v>
      </c>
    </row>
    <row r="804" spans="1:10" x14ac:dyDescent="0.25">
      <c r="A804" t="s">
        <v>9619</v>
      </c>
      <c r="B804">
        <v>16</v>
      </c>
      <c r="C804" t="s">
        <v>9620</v>
      </c>
      <c r="D804" t="s">
        <v>3153</v>
      </c>
      <c r="E804" t="s">
        <v>9598</v>
      </c>
      <c r="F804" t="s">
        <v>7672</v>
      </c>
      <c r="G804" t="s">
        <v>9599</v>
      </c>
      <c r="H804" t="s">
        <v>8779</v>
      </c>
      <c r="I804" t="s">
        <v>9600</v>
      </c>
      <c r="J804" t="s">
        <v>7686</v>
      </c>
    </row>
    <row r="805" spans="1:10" x14ac:dyDescent="0.25">
      <c r="A805" t="s">
        <v>9621</v>
      </c>
      <c r="B805">
        <v>16</v>
      </c>
      <c r="C805" t="s">
        <v>9622</v>
      </c>
      <c r="D805" t="s">
        <v>9623</v>
      </c>
      <c r="E805" t="s">
        <v>9598</v>
      </c>
      <c r="F805" t="s">
        <v>7672</v>
      </c>
      <c r="G805" t="s">
        <v>9599</v>
      </c>
      <c r="H805" t="s">
        <v>8779</v>
      </c>
      <c r="I805" t="s">
        <v>76</v>
      </c>
      <c r="J805" t="s">
        <v>7686</v>
      </c>
    </row>
    <row r="806" spans="1:10" x14ac:dyDescent="0.25">
      <c r="A806" t="s">
        <v>9624</v>
      </c>
      <c r="B806">
        <v>16</v>
      </c>
      <c r="C806" t="s">
        <v>9625</v>
      </c>
      <c r="D806" t="s">
        <v>933</v>
      </c>
      <c r="E806" t="s">
        <v>9598</v>
      </c>
      <c r="F806" t="s">
        <v>7672</v>
      </c>
      <c r="G806" t="s">
        <v>9599</v>
      </c>
      <c r="H806" t="s">
        <v>8779</v>
      </c>
      <c r="I806" t="s">
        <v>9603</v>
      </c>
      <c r="J806" t="s">
        <v>7686</v>
      </c>
    </row>
    <row r="807" spans="1:10" x14ac:dyDescent="0.25">
      <c r="A807" t="s">
        <v>9626</v>
      </c>
      <c r="B807">
        <v>16</v>
      </c>
      <c r="C807" t="s">
        <v>9627</v>
      </c>
      <c r="D807" t="s">
        <v>9628</v>
      </c>
      <c r="E807" t="s">
        <v>9598</v>
      </c>
      <c r="F807" t="s">
        <v>7672</v>
      </c>
      <c r="G807" t="s">
        <v>9599</v>
      </c>
      <c r="H807" t="s">
        <v>8779</v>
      </c>
      <c r="I807" t="s">
        <v>9606</v>
      </c>
      <c r="J807" t="s">
        <v>7686</v>
      </c>
    </row>
    <row r="808" spans="1:10" x14ac:dyDescent="0.25">
      <c r="A808" t="s">
        <v>9629</v>
      </c>
      <c r="B808">
        <v>16</v>
      </c>
      <c r="C808" t="s">
        <v>9630</v>
      </c>
      <c r="D808" t="s">
        <v>2322</v>
      </c>
      <c r="E808" t="s">
        <v>9598</v>
      </c>
      <c r="F808" t="s">
        <v>7672</v>
      </c>
      <c r="G808" t="s">
        <v>9599</v>
      </c>
      <c r="H808" t="s">
        <v>8779</v>
      </c>
      <c r="I808" t="s">
        <v>9612</v>
      </c>
      <c r="J808" t="s">
        <v>7686</v>
      </c>
    </row>
    <row r="809" spans="1:10" x14ac:dyDescent="0.25">
      <c r="A809" t="s">
        <v>9631</v>
      </c>
      <c r="B809">
        <v>16</v>
      </c>
      <c r="C809" t="s">
        <v>9632</v>
      </c>
      <c r="D809" t="s">
        <v>9633</v>
      </c>
      <c r="E809" t="s">
        <v>9598</v>
      </c>
      <c r="F809" t="s">
        <v>7672</v>
      </c>
      <c r="G809" t="s">
        <v>9599</v>
      </c>
      <c r="H809" t="s">
        <v>8779</v>
      </c>
      <c r="I809" t="s">
        <v>1490</v>
      </c>
      <c r="J809" t="s">
        <v>7686</v>
      </c>
    </row>
    <row r="810" spans="1:10" x14ac:dyDescent="0.25">
      <c r="A810" t="s">
        <v>9634</v>
      </c>
      <c r="B810">
        <v>16</v>
      </c>
      <c r="C810" t="s">
        <v>9635</v>
      </c>
      <c r="D810" t="s">
        <v>8803</v>
      </c>
      <c r="E810" t="s">
        <v>9598</v>
      </c>
      <c r="F810" t="s">
        <v>7672</v>
      </c>
      <c r="G810" t="s">
        <v>9599</v>
      </c>
      <c r="H810" t="s">
        <v>8779</v>
      </c>
      <c r="I810" t="s">
        <v>9618</v>
      </c>
      <c r="J810" t="s">
        <v>7686</v>
      </c>
    </row>
    <row r="811" spans="1:10" x14ac:dyDescent="0.25">
      <c r="A811" t="s">
        <v>9636</v>
      </c>
      <c r="B811">
        <v>16</v>
      </c>
      <c r="C811" t="s">
        <v>9637</v>
      </c>
      <c r="D811" t="s">
        <v>9638</v>
      </c>
      <c r="E811" t="s">
        <v>9598</v>
      </c>
      <c r="F811" t="s">
        <v>7672</v>
      </c>
      <c r="G811" t="s">
        <v>9599</v>
      </c>
      <c r="H811" t="s">
        <v>8779</v>
      </c>
      <c r="I811" t="s">
        <v>9606</v>
      </c>
      <c r="J811" t="s">
        <v>7703</v>
      </c>
    </row>
    <row r="812" spans="1:10" x14ac:dyDescent="0.25">
      <c r="A812" t="s">
        <v>9639</v>
      </c>
      <c r="B812">
        <v>16</v>
      </c>
      <c r="C812" t="s">
        <v>9640</v>
      </c>
      <c r="D812" t="s">
        <v>9641</v>
      </c>
      <c r="E812" t="s">
        <v>9598</v>
      </c>
      <c r="F812" t="s">
        <v>7672</v>
      </c>
      <c r="G812" t="s">
        <v>9599</v>
      </c>
      <c r="H812" t="s">
        <v>8779</v>
      </c>
      <c r="I812" t="s">
        <v>76</v>
      </c>
      <c r="J812" t="s">
        <v>7703</v>
      </c>
    </row>
    <row r="813" spans="1:10" x14ac:dyDescent="0.25">
      <c r="A813" t="s">
        <v>9642</v>
      </c>
      <c r="B813">
        <v>16</v>
      </c>
      <c r="C813" t="s">
        <v>9643</v>
      </c>
      <c r="D813" t="s">
        <v>4141</v>
      </c>
      <c r="E813" t="s">
        <v>9598</v>
      </c>
      <c r="F813" t="s">
        <v>7672</v>
      </c>
      <c r="G813" t="s">
        <v>9599</v>
      </c>
      <c r="H813" t="s">
        <v>8779</v>
      </c>
      <c r="I813" t="s">
        <v>9600</v>
      </c>
      <c r="J813" t="s">
        <v>7703</v>
      </c>
    </row>
    <row r="814" spans="1:10" x14ac:dyDescent="0.25">
      <c r="A814" t="s">
        <v>9644</v>
      </c>
      <c r="B814">
        <v>16</v>
      </c>
      <c r="C814" t="s">
        <v>9645</v>
      </c>
      <c r="D814" t="s">
        <v>3665</v>
      </c>
      <c r="E814" t="s">
        <v>9598</v>
      </c>
      <c r="F814" t="s">
        <v>7672</v>
      </c>
      <c r="G814" t="s">
        <v>9599</v>
      </c>
      <c r="H814" t="s">
        <v>8779</v>
      </c>
      <c r="I814" t="s">
        <v>9603</v>
      </c>
      <c r="J814" t="s">
        <v>7703</v>
      </c>
    </row>
    <row r="815" spans="1:10" x14ac:dyDescent="0.25">
      <c r="A815" t="s">
        <v>9646</v>
      </c>
      <c r="B815">
        <v>16</v>
      </c>
      <c r="C815" t="s">
        <v>9647</v>
      </c>
      <c r="D815" t="s">
        <v>9648</v>
      </c>
      <c r="E815" t="s">
        <v>9598</v>
      </c>
      <c r="F815" t="s">
        <v>7672</v>
      </c>
      <c r="G815" t="s">
        <v>9599</v>
      </c>
      <c r="H815" t="s">
        <v>8779</v>
      </c>
      <c r="I815" t="s">
        <v>9612</v>
      </c>
      <c r="J815" t="s">
        <v>7703</v>
      </c>
    </row>
    <row r="816" spans="1:10" x14ac:dyDescent="0.25">
      <c r="A816" t="s">
        <v>9649</v>
      </c>
      <c r="B816">
        <v>16</v>
      </c>
      <c r="C816" t="s">
        <v>9650</v>
      </c>
      <c r="D816" t="s">
        <v>8520</v>
      </c>
      <c r="E816" t="s">
        <v>9598</v>
      </c>
      <c r="F816" t="s">
        <v>7672</v>
      </c>
      <c r="G816" t="s">
        <v>9599</v>
      </c>
      <c r="H816" t="s">
        <v>8779</v>
      </c>
      <c r="I816" t="s">
        <v>1490</v>
      </c>
      <c r="J816" t="s">
        <v>7703</v>
      </c>
    </row>
    <row r="817" spans="1:10" x14ac:dyDescent="0.25">
      <c r="A817" t="s">
        <v>9651</v>
      </c>
      <c r="B817">
        <v>16</v>
      </c>
      <c r="C817" t="s">
        <v>9652</v>
      </c>
      <c r="D817" t="s">
        <v>9653</v>
      </c>
      <c r="E817" t="s">
        <v>9598</v>
      </c>
      <c r="F817" t="s">
        <v>7672</v>
      </c>
      <c r="G817" t="s">
        <v>9599</v>
      </c>
      <c r="H817" t="s">
        <v>8779</v>
      </c>
      <c r="I817" t="s">
        <v>9618</v>
      </c>
      <c r="J817" t="s">
        <v>7703</v>
      </c>
    </row>
    <row r="818" spans="1:10" x14ac:dyDescent="0.25">
      <c r="A818" t="s">
        <v>9654</v>
      </c>
      <c r="B818">
        <v>16</v>
      </c>
      <c r="C818" t="s">
        <v>9655</v>
      </c>
      <c r="D818" t="s">
        <v>2596</v>
      </c>
      <c r="E818" t="s">
        <v>9598</v>
      </c>
      <c r="F818" t="s">
        <v>7672</v>
      </c>
      <c r="G818" t="s">
        <v>9599</v>
      </c>
      <c r="H818" t="s">
        <v>8779</v>
      </c>
      <c r="I818" t="s">
        <v>9603</v>
      </c>
      <c r="J818" t="s">
        <v>7713</v>
      </c>
    </row>
    <row r="819" spans="1:10" x14ac:dyDescent="0.25">
      <c r="A819" t="s">
        <v>9656</v>
      </c>
      <c r="B819">
        <v>16</v>
      </c>
      <c r="C819" t="s">
        <v>9657</v>
      </c>
      <c r="D819" t="s">
        <v>9658</v>
      </c>
      <c r="E819" t="s">
        <v>9598</v>
      </c>
      <c r="F819" t="s">
        <v>7672</v>
      </c>
      <c r="G819" t="s">
        <v>9599</v>
      </c>
      <c r="H819" t="s">
        <v>8779</v>
      </c>
      <c r="I819" t="s">
        <v>9606</v>
      </c>
      <c r="J819" t="s">
        <v>7713</v>
      </c>
    </row>
    <row r="820" spans="1:10" x14ac:dyDescent="0.25">
      <c r="A820" t="s">
        <v>9659</v>
      </c>
      <c r="B820">
        <v>16</v>
      </c>
      <c r="C820" t="s">
        <v>9660</v>
      </c>
      <c r="D820" t="s">
        <v>9661</v>
      </c>
      <c r="E820" t="s">
        <v>9598</v>
      </c>
      <c r="F820" t="s">
        <v>7672</v>
      </c>
      <c r="G820" t="s">
        <v>9599</v>
      </c>
      <c r="H820" t="s">
        <v>8779</v>
      </c>
      <c r="I820" t="s">
        <v>76</v>
      </c>
      <c r="J820" t="s">
        <v>7713</v>
      </c>
    </row>
    <row r="821" spans="1:10" x14ac:dyDescent="0.25">
      <c r="A821" t="s">
        <v>9662</v>
      </c>
      <c r="B821">
        <v>16</v>
      </c>
      <c r="C821" t="s">
        <v>9663</v>
      </c>
      <c r="D821" t="s">
        <v>2056</v>
      </c>
      <c r="E821" t="s">
        <v>9598</v>
      </c>
      <c r="F821" t="s">
        <v>7672</v>
      </c>
      <c r="G821" t="s">
        <v>9599</v>
      </c>
      <c r="H821" t="s">
        <v>8779</v>
      </c>
      <c r="I821" t="s">
        <v>9600</v>
      </c>
      <c r="J821" t="s">
        <v>7713</v>
      </c>
    </row>
    <row r="822" spans="1:10" x14ac:dyDescent="0.25">
      <c r="A822" t="s">
        <v>9664</v>
      </c>
      <c r="B822">
        <v>16</v>
      </c>
      <c r="C822" t="s">
        <v>9665</v>
      </c>
      <c r="D822" t="s">
        <v>8816</v>
      </c>
      <c r="E822" t="s">
        <v>9598</v>
      </c>
      <c r="F822" t="s">
        <v>7672</v>
      </c>
      <c r="G822" t="s">
        <v>9599</v>
      </c>
      <c r="H822" t="s">
        <v>8779</v>
      </c>
      <c r="I822" t="s">
        <v>9612</v>
      </c>
      <c r="J822" t="s">
        <v>7713</v>
      </c>
    </row>
    <row r="823" spans="1:10" x14ac:dyDescent="0.25">
      <c r="A823" t="s">
        <v>9666</v>
      </c>
      <c r="B823">
        <v>16</v>
      </c>
      <c r="C823" t="s">
        <v>9667</v>
      </c>
      <c r="D823" t="s">
        <v>9668</v>
      </c>
      <c r="E823" t="s">
        <v>9598</v>
      </c>
      <c r="F823" t="s">
        <v>7672</v>
      </c>
      <c r="G823" t="s">
        <v>9599</v>
      </c>
      <c r="H823" t="s">
        <v>8779</v>
      </c>
      <c r="I823" t="s">
        <v>1490</v>
      </c>
      <c r="J823" t="s">
        <v>7713</v>
      </c>
    </row>
    <row r="824" spans="1:10" x14ac:dyDescent="0.25">
      <c r="A824" t="s">
        <v>9669</v>
      </c>
      <c r="B824">
        <v>16</v>
      </c>
      <c r="C824" t="s">
        <v>9670</v>
      </c>
      <c r="D824" t="s">
        <v>9671</v>
      </c>
      <c r="E824" t="s">
        <v>9598</v>
      </c>
      <c r="F824" t="s">
        <v>7672</v>
      </c>
      <c r="G824" t="s">
        <v>9599</v>
      </c>
      <c r="H824" t="s">
        <v>8779</v>
      </c>
      <c r="I824" t="s">
        <v>9618</v>
      </c>
      <c r="J824" t="s">
        <v>7713</v>
      </c>
    </row>
    <row r="825" spans="1:10" x14ac:dyDescent="0.25">
      <c r="A825" t="s">
        <v>9672</v>
      </c>
      <c r="B825">
        <v>16</v>
      </c>
      <c r="C825" t="s">
        <v>9673</v>
      </c>
      <c r="D825" t="s">
        <v>698</v>
      </c>
      <c r="E825" t="s">
        <v>9598</v>
      </c>
      <c r="F825" t="s">
        <v>7672</v>
      </c>
      <c r="G825" t="s">
        <v>9599</v>
      </c>
      <c r="H825" t="s">
        <v>8779</v>
      </c>
      <c r="I825" t="s">
        <v>9600</v>
      </c>
      <c r="J825" t="s">
        <v>7719</v>
      </c>
    </row>
    <row r="826" spans="1:10" x14ac:dyDescent="0.25">
      <c r="A826" t="s">
        <v>9674</v>
      </c>
      <c r="B826">
        <v>16</v>
      </c>
      <c r="C826" t="s">
        <v>9675</v>
      </c>
      <c r="D826" t="s">
        <v>2855</v>
      </c>
      <c r="E826" t="s">
        <v>9598</v>
      </c>
      <c r="F826" t="s">
        <v>7672</v>
      </c>
      <c r="G826" t="s">
        <v>9599</v>
      </c>
      <c r="H826" t="s">
        <v>8779</v>
      </c>
      <c r="I826" t="s">
        <v>9603</v>
      </c>
      <c r="J826" t="s">
        <v>7719</v>
      </c>
    </row>
    <row r="827" spans="1:10" x14ac:dyDescent="0.25">
      <c r="A827" t="s">
        <v>9676</v>
      </c>
      <c r="B827">
        <v>16</v>
      </c>
      <c r="C827" t="s">
        <v>9677</v>
      </c>
      <c r="D827" t="s">
        <v>9678</v>
      </c>
      <c r="E827" t="s">
        <v>9598</v>
      </c>
      <c r="F827" t="s">
        <v>7672</v>
      </c>
      <c r="G827" t="s">
        <v>9599</v>
      </c>
      <c r="H827" t="s">
        <v>8779</v>
      </c>
      <c r="I827" t="s">
        <v>9606</v>
      </c>
      <c r="J827" t="s">
        <v>7719</v>
      </c>
    </row>
    <row r="828" spans="1:10" x14ac:dyDescent="0.25">
      <c r="A828" t="s">
        <v>9679</v>
      </c>
      <c r="B828">
        <v>16</v>
      </c>
      <c r="C828" t="s">
        <v>9680</v>
      </c>
      <c r="D828" t="s">
        <v>9681</v>
      </c>
      <c r="E828" t="s">
        <v>9598</v>
      </c>
      <c r="F828" t="s">
        <v>7672</v>
      </c>
      <c r="G828" t="s">
        <v>9599</v>
      </c>
      <c r="H828" t="s">
        <v>8779</v>
      </c>
      <c r="I828" t="s">
        <v>76</v>
      </c>
      <c r="J828" t="s">
        <v>7719</v>
      </c>
    </row>
    <row r="829" spans="1:10" x14ac:dyDescent="0.25">
      <c r="A829" t="s">
        <v>9682</v>
      </c>
      <c r="B829">
        <v>16</v>
      </c>
      <c r="C829" t="s">
        <v>9683</v>
      </c>
      <c r="D829" t="s">
        <v>1852</v>
      </c>
      <c r="E829" t="s">
        <v>9598</v>
      </c>
      <c r="F829" t="s">
        <v>7672</v>
      </c>
      <c r="G829" t="s">
        <v>9599</v>
      </c>
      <c r="H829" t="s">
        <v>8779</v>
      </c>
      <c r="I829" t="s">
        <v>9612</v>
      </c>
      <c r="J829" t="s">
        <v>7719</v>
      </c>
    </row>
    <row r="830" spans="1:10" x14ac:dyDescent="0.25">
      <c r="A830" t="s">
        <v>9684</v>
      </c>
      <c r="B830">
        <v>16</v>
      </c>
      <c r="C830" t="s">
        <v>9685</v>
      </c>
      <c r="D830" t="s">
        <v>1864</v>
      </c>
      <c r="E830" t="s">
        <v>9598</v>
      </c>
      <c r="F830" t="s">
        <v>7672</v>
      </c>
      <c r="G830" t="s">
        <v>9599</v>
      </c>
      <c r="H830" t="s">
        <v>8779</v>
      </c>
      <c r="I830" t="s">
        <v>1490</v>
      </c>
      <c r="J830" t="s">
        <v>7719</v>
      </c>
    </row>
    <row r="831" spans="1:10" x14ac:dyDescent="0.25">
      <c r="A831" t="s">
        <v>9686</v>
      </c>
      <c r="B831">
        <v>16</v>
      </c>
      <c r="C831" t="s">
        <v>9687</v>
      </c>
      <c r="D831" t="s">
        <v>1852</v>
      </c>
      <c r="E831" t="s">
        <v>9598</v>
      </c>
      <c r="F831" t="s">
        <v>7672</v>
      </c>
      <c r="G831" t="s">
        <v>9599</v>
      </c>
      <c r="H831" t="s">
        <v>8779</v>
      </c>
      <c r="I831" t="s">
        <v>9618</v>
      </c>
      <c r="J831" t="s">
        <v>7719</v>
      </c>
    </row>
    <row r="832" spans="1:10" x14ac:dyDescent="0.25">
      <c r="A832" t="s">
        <v>9688</v>
      </c>
      <c r="B832">
        <v>7.1920000000000002</v>
      </c>
      <c r="C832" t="s">
        <v>9689</v>
      </c>
      <c r="D832" t="s">
        <v>9690</v>
      </c>
      <c r="E832" t="s">
        <v>9691</v>
      </c>
      <c r="F832" t="s">
        <v>7672</v>
      </c>
      <c r="G832" t="s">
        <v>9692</v>
      </c>
      <c r="H832" t="s">
        <v>9693</v>
      </c>
      <c r="I832" t="s">
        <v>497</v>
      </c>
      <c r="J832" t="s">
        <v>9694</v>
      </c>
    </row>
    <row r="833" spans="1:10" x14ac:dyDescent="0.25">
      <c r="A833" t="s">
        <v>9695</v>
      </c>
      <c r="B833">
        <v>23.792000000000002</v>
      </c>
      <c r="C833" t="s">
        <v>9696</v>
      </c>
      <c r="D833" t="s">
        <v>53</v>
      </c>
      <c r="E833" t="s">
        <v>9697</v>
      </c>
      <c r="F833" t="s">
        <v>7672</v>
      </c>
      <c r="G833" t="s">
        <v>9698</v>
      </c>
      <c r="H833" t="s">
        <v>7965</v>
      </c>
      <c r="I833" t="s">
        <v>235</v>
      </c>
      <c r="J833" t="s">
        <v>131</v>
      </c>
    </row>
    <row r="834" spans="1:10" x14ac:dyDescent="0.25">
      <c r="A834" t="s">
        <v>9699</v>
      </c>
      <c r="B834">
        <v>23.792000000000002</v>
      </c>
      <c r="C834" t="s">
        <v>9700</v>
      </c>
      <c r="D834" t="s">
        <v>301</v>
      </c>
      <c r="E834" t="s">
        <v>9697</v>
      </c>
      <c r="F834" t="s">
        <v>7672</v>
      </c>
      <c r="G834" t="s">
        <v>9698</v>
      </c>
      <c r="H834" t="s">
        <v>7965</v>
      </c>
      <c r="I834" t="s">
        <v>235</v>
      </c>
      <c r="J834" t="s">
        <v>7967</v>
      </c>
    </row>
    <row r="835" spans="1:10" x14ac:dyDescent="0.25">
      <c r="A835" t="s">
        <v>9701</v>
      </c>
      <c r="B835">
        <v>23.792000000000002</v>
      </c>
      <c r="C835" t="s">
        <v>9702</v>
      </c>
      <c r="D835" t="s">
        <v>240</v>
      </c>
      <c r="E835" t="s">
        <v>9697</v>
      </c>
      <c r="F835" t="s">
        <v>7672</v>
      </c>
      <c r="G835" t="s">
        <v>9698</v>
      </c>
      <c r="H835" t="s">
        <v>7965</v>
      </c>
      <c r="I835" t="s">
        <v>235</v>
      </c>
      <c r="J835" t="s">
        <v>269</v>
      </c>
    </row>
    <row r="836" spans="1:10" x14ac:dyDescent="0.25">
      <c r="A836" t="s">
        <v>9703</v>
      </c>
      <c r="B836">
        <v>23.792000000000002</v>
      </c>
      <c r="C836" t="s">
        <v>9704</v>
      </c>
      <c r="D836" t="s">
        <v>60</v>
      </c>
      <c r="E836" t="s">
        <v>9697</v>
      </c>
      <c r="F836" t="s">
        <v>7672</v>
      </c>
      <c r="G836" t="s">
        <v>9698</v>
      </c>
      <c r="H836" t="s">
        <v>7965</v>
      </c>
      <c r="I836" t="s">
        <v>235</v>
      </c>
      <c r="J836" t="s">
        <v>9705</v>
      </c>
    </row>
    <row r="837" spans="1:10" x14ac:dyDescent="0.25">
      <c r="A837" t="s">
        <v>9706</v>
      </c>
      <c r="B837">
        <v>3.592000000000001</v>
      </c>
      <c r="C837" t="s">
        <v>9707</v>
      </c>
      <c r="D837" t="s">
        <v>100</v>
      </c>
      <c r="E837" t="s">
        <v>9708</v>
      </c>
      <c r="F837" t="s">
        <v>7672</v>
      </c>
      <c r="G837" t="s">
        <v>9709</v>
      </c>
      <c r="H837" t="s">
        <v>8515</v>
      </c>
      <c r="I837" t="s">
        <v>9710</v>
      </c>
      <c r="J837" t="s">
        <v>100</v>
      </c>
    </row>
    <row r="838" spans="1:10" x14ac:dyDescent="0.25">
      <c r="A838" t="s">
        <v>9711</v>
      </c>
      <c r="B838">
        <v>3.592000000000001</v>
      </c>
      <c r="C838" t="s">
        <v>9712</v>
      </c>
      <c r="D838" t="s">
        <v>342</v>
      </c>
      <c r="E838" t="s">
        <v>9708</v>
      </c>
      <c r="F838" t="s">
        <v>7672</v>
      </c>
      <c r="G838" t="s">
        <v>9709</v>
      </c>
      <c r="H838" t="s">
        <v>8515</v>
      </c>
      <c r="I838" t="s">
        <v>7945</v>
      </c>
      <c r="J838" t="s">
        <v>106</v>
      </c>
    </row>
    <row r="839" spans="1:10" x14ac:dyDescent="0.25">
      <c r="A839" t="s">
        <v>9713</v>
      </c>
      <c r="B839">
        <v>7.9200000000000008</v>
      </c>
      <c r="C839" t="s">
        <v>9714</v>
      </c>
      <c r="D839" t="s">
        <v>6194</v>
      </c>
      <c r="E839" t="s">
        <v>9715</v>
      </c>
      <c r="F839" t="s">
        <v>7672</v>
      </c>
      <c r="G839" t="s">
        <v>9716</v>
      </c>
      <c r="H839" t="s">
        <v>7674</v>
      </c>
      <c r="I839" t="s">
        <v>8577</v>
      </c>
      <c r="J839" t="s">
        <v>7981</v>
      </c>
    </row>
    <row r="840" spans="1:10" x14ac:dyDescent="0.25">
      <c r="A840" t="s">
        <v>9717</v>
      </c>
      <c r="B840">
        <v>7.9200000000000008</v>
      </c>
      <c r="C840" t="s">
        <v>9718</v>
      </c>
      <c r="D840" t="s">
        <v>5832</v>
      </c>
      <c r="E840" t="s">
        <v>9715</v>
      </c>
      <c r="F840" t="s">
        <v>7672</v>
      </c>
      <c r="G840" t="s">
        <v>9716</v>
      </c>
      <c r="H840" t="s">
        <v>7674</v>
      </c>
      <c r="I840" t="s">
        <v>8577</v>
      </c>
      <c r="J840" t="s">
        <v>7984</v>
      </c>
    </row>
    <row r="841" spans="1:10" x14ac:dyDescent="0.25">
      <c r="A841" t="s">
        <v>9719</v>
      </c>
      <c r="B841">
        <v>7.9200000000000008</v>
      </c>
      <c r="C841" t="s">
        <v>9720</v>
      </c>
      <c r="D841" t="s">
        <v>9721</v>
      </c>
      <c r="E841" t="s">
        <v>9715</v>
      </c>
      <c r="F841" t="s">
        <v>7672</v>
      </c>
      <c r="G841" t="s">
        <v>9716</v>
      </c>
      <c r="H841" t="s">
        <v>7674</v>
      </c>
      <c r="I841" t="s">
        <v>8577</v>
      </c>
      <c r="J841" t="s">
        <v>7987</v>
      </c>
    </row>
    <row r="842" spans="1:10" x14ac:dyDescent="0.25">
      <c r="A842" t="s">
        <v>9722</v>
      </c>
      <c r="B842">
        <v>7.9200000000000008</v>
      </c>
      <c r="C842" t="s">
        <v>9723</v>
      </c>
      <c r="D842" t="s">
        <v>3599</v>
      </c>
      <c r="E842" t="s">
        <v>9715</v>
      </c>
      <c r="F842" t="s">
        <v>7672</v>
      </c>
      <c r="G842" t="s">
        <v>9716</v>
      </c>
      <c r="H842" t="s">
        <v>7674</v>
      </c>
      <c r="I842" t="s">
        <v>8577</v>
      </c>
      <c r="J842" t="s">
        <v>8001</v>
      </c>
    </row>
    <row r="843" spans="1:10" x14ac:dyDescent="0.25">
      <c r="A843" t="s">
        <v>9724</v>
      </c>
      <c r="B843">
        <v>7.9200000000000008</v>
      </c>
      <c r="C843" t="s">
        <v>9725</v>
      </c>
      <c r="D843" t="s">
        <v>250</v>
      </c>
      <c r="E843" t="s">
        <v>9715</v>
      </c>
      <c r="F843" t="s">
        <v>7672</v>
      </c>
      <c r="G843" t="s">
        <v>9716</v>
      </c>
      <c r="H843" t="s">
        <v>7674</v>
      </c>
      <c r="I843" t="s">
        <v>8577</v>
      </c>
      <c r="J843" t="s">
        <v>8013</v>
      </c>
    </row>
    <row r="844" spans="1:10" x14ac:dyDescent="0.25">
      <c r="A844" t="s">
        <v>9726</v>
      </c>
      <c r="B844">
        <v>10.08</v>
      </c>
      <c r="C844" t="s">
        <v>9727</v>
      </c>
      <c r="D844" t="s">
        <v>2099</v>
      </c>
      <c r="E844" t="s">
        <v>9728</v>
      </c>
      <c r="F844" t="s">
        <v>7672</v>
      </c>
      <c r="G844" t="s">
        <v>9729</v>
      </c>
      <c r="H844" t="s">
        <v>8301</v>
      </c>
      <c r="I844" t="s">
        <v>76</v>
      </c>
      <c r="J844" t="s">
        <v>9730</v>
      </c>
    </row>
    <row r="845" spans="1:10" x14ac:dyDescent="0.25">
      <c r="A845" t="s">
        <v>9731</v>
      </c>
      <c r="B845">
        <v>10.08</v>
      </c>
      <c r="C845" t="s">
        <v>9732</v>
      </c>
      <c r="D845" t="s">
        <v>1852</v>
      </c>
      <c r="E845" t="s">
        <v>9728</v>
      </c>
      <c r="F845" t="s">
        <v>7672</v>
      </c>
      <c r="G845" t="s">
        <v>9729</v>
      </c>
      <c r="H845" t="s">
        <v>8301</v>
      </c>
      <c r="I845" t="s">
        <v>9733</v>
      </c>
      <c r="J845" t="s">
        <v>9730</v>
      </c>
    </row>
    <row r="846" spans="1:10" x14ac:dyDescent="0.25">
      <c r="A846" t="s">
        <v>9734</v>
      </c>
      <c r="B846">
        <v>10.08</v>
      </c>
      <c r="C846" t="s">
        <v>9735</v>
      </c>
      <c r="D846" t="s">
        <v>843</v>
      </c>
      <c r="E846" t="s">
        <v>9728</v>
      </c>
      <c r="F846" t="s">
        <v>7672</v>
      </c>
      <c r="G846" t="s">
        <v>9729</v>
      </c>
      <c r="H846" t="s">
        <v>8301</v>
      </c>
      <c r="I846" t="s">
        <v>9736</v>
      </c>
      <c r="J846" t="s">
        <v>9730</v>
      </c>
    </row>
    <row r="847" spans="1:10" x14ac:dyDescent="0.25">
      <c r="A847" t="s">
        <v>9737</v>
      </c>
      <c r="B847">
        <v>10.08</v>
      </c>
      <c r="C847" t="s">
        <v>9738</v>
      </c>
      <c r="D847" t="s">
        <v>3184</v>
      </c>
      <c r="E847" t="s">
        <v>9728</v>
      </c>
      <c r="F847" t="s">
        <v>7672</v>
      </c>
      <c r="G847" t="s">
        <v>9729</v>
      </c>
      <c r="H847" t="s">
        <v>8301</v>
      </c>
      <c r="I847" t="s">
        <v>76</v>
      </c>
      <c r="J847" t="s">
        <v>9739</v>
      </c>
    </row>
    <row r="848" spans="1:10" x14ac:dyDescent="0.25">
      <c r="A848" t="s">
        <v>9740</v>
      </c>
      <c r="B848">
        <v>10.08</v>
      </c>
      <c r="C848" t="s">
        <v>9741</v>
      </c>
      <c r="D848" t="s">
        <v>2099</v>
      </c>
      <c r="E848" t="s">
        <v>9728</v>
      </c>
      <c r="F848" t="s">
        <v>7672</v>
      </c>
      <c r="G848" t="s">
        <v>9729</v>
      </c>
      <c r="H848" t="s">
        <v>8301</v>
      </c>
      <c r="I848" t="s">
        <v>9733</v>
      </c>
      <c r="J848" t="s">
        <v>9739</v>
      </c>
    </row>
    <row r="849" spans="1:10" x14ac:dyDescent="0.25">
      <c r="A849" t="s">
        <v>9742</v>
      </c>
      <c r="B849">
        <v>10.08</v>
      </c>
      <c r="C849" t="s">
        <v>9743</v>
      </c>
      <c r="D849" t="s">
        <v>2879</v>
      </c>
      <c r="E849" t="s">
        <v>9728</v>
      </c>
      <c r="F849" t="s">
        <v>7672</v>
      </c>
      <c r="G849" t="s">
        <v>9729</v>
      </c>
      <c r="H849" t="s">
        <v>8301</v>
      </c>
      <c r="I849" t="s">
        <v>9736</v>
      </c>
      <c r="J849" t="s">
        <v>9739</v>
      </c>
    </row>
    <row r="850" spans="1:10" x14ac:dyDescent="0.25">
      <c r="A850" t="s">
        <v>9744</v>
      </c>
      <c r="B850">
        <v>10.08</v>
      </c>
      <c r="C850" t="s">
        <v>9745</v>
      </c>
      <c r="D850" t="s">
        <v>2910</v>
      </c>
      <c r="E850" t="s">
        <v>9728</v>
      </c>
      <c r="F850" t="s">
        <v>7672</v>
      </c>
      <c r="G850" t="s">
        <v>9729</v>
      </c>
      <c r="H850" t="s">
        <v>8301</v>
      </c>
      <c r="I850" t="s">
        <v>9733</v>
      </c>
      <c r="J850" t="s">
        <v>9746</v>
      </c>
    </row>
    <row r="851" spans="1:10" x14ac:dyDescent="0.25">
      <c r="A851" t="s">
        <v>9747</v>
      </c>
      <c r="B851">
        <v>10.08</v>
      </c>
      <c r="C851" t="s">
        <v>9748</v>
      </c>
      <c r="D851" t="s">
        <v>229</v>
      </c>
      <c r="E851" t="s">
        <v>9728</v>
      </c>
      <c r="F851" t="s">
        <v>7672</v>
      </c>
      <c r="G851" t="s">
        <v>9729</v>
      </c>
      <c r="H851" t="s">
        <v>8301</v>
      </c>
      <c r="I851" t="s">
        <v>76</v>
      </c>
      <c r="J851" t="s">
        <v>9746</v>
      </c>
    </row>
    <row r="852" spans="1:10" x14ac:dyDescent="0.25">
      <c r="A852" t="s">
        <v>9749</v>
      </c>
      <c r="B852">
        <v>10.08</v>
      </c>
      <c r="C852" t="s">
        <v>9750</v>
      </c>
      <c r="D852" t="s">
        <v>964</v>
      </c>
      <c r="E852" t="s">
        <v>9728</v>
      </c>
      <c r="F852" t="s">
        <v>7672</v>
      </c>
      <c r="G852" t="s">
        <v>9729</v>
      </c>
      <c r="H852" t="s">
        <v>8301</v>
      </c>
      <c r="I852" t="s">
        <v>9736</v>
      </c>
      <c r="J852" t="s">
        <v>9746</v>
      </c>
    </row>
    <row r="853" spans="1:10" x14ac:dyDescent="0.25">
      <c r="A853" t="s">
        <v>9751</v>
      </c>
      <c r="B853">
        <v>10.08</v>
      </c>
      <c r="C853" t="s">
        <v>9752</v>
      </c>
      <c r="D853" t="s">
        <v>2253</v>
      </c>
      <c r="E853" t="s">
        <v>9728</v>
      </c>
      <c r="F853" t="s">
        <v>7672</v>
      </c>
      <c r="G853" t="s">
        <v>9729</v>
      </c>
      <c r="H853" t="s">
        <v>8301</v>
      </c>
      <c r="I853" t="s">
        <v>9733</v>
      </c>
      <c r="J853" t="s">
        <v>9753</v>
      </c>
    </row>
    <row r="854" spans="1:10" x14ac:dyDescent="0.25">
      <c r="A854" t="s">
        <v>9754</v>
      </c>
      <c r="B854">
        <v>10.08</v>
      </c>
      <c r="C854" t="s">
        <v>9755</v>
      </c>
      <c r="D854" t="s">
        <v>436</v>
      </c>
      <c r="E854" t="s">
        <v>9728</v>
      </c>
      <c r="F854" t="s">
        <v>7672</v>
      </c>
      <c r="G854" t="s">
        <v>9729</v>
      </c>
      <c r="H854" t="s">
        <v>8301</v>
      </c>
      <c r="I854" t="s">
        <v>76</v>
      </c>
      <c r="J854" t="s">
        <v>9753</v>
      </c>
    </row>
    <row r="855" spans="1:10" x14ac:dyDescent="0.25">
      <c r="A855" t="s">
        <v>9756</v>
      </c>
      <c r="B855">
        <v>10.08</v>
      </c>
      <c r="C855" t="s">
        <v>9757</v>
      </c>
      <c r="D855" t="s">
        <v>843</v>
      </c>
      <c r="E855" t="s">
        <v>9728</v>
      </c>
      <c r="F855" t="s">
        <v>7672</v>
      </c>
      <c r="G855" t="s">
        <v>9729</v>
      </c>
      <c r="H855" t="s">
        <v>8301</v>
      </c>
      <c r="I855" t="s">
        <v>9736</v>
      </c>
      <c r="J855" t="s">
        <v>9753</v>
      </c>
    </row>
    <row r="856" spans="1:10" x14ac:dyDescent="0.25">
      <c r="A856" t="s">
        <v>9758</v>
      </c>
      <c r="B856">
        <v>10.08</v>
      </c>
      <c r="C856" t="s">
        <v>9759</v>
      </c>
      <c r="D856" t="s">
        <v>234</v>
      </c>
      <c r="E856" t="s">
        <v>9728</v>
      </c>
      <c r="F856" t="s">
        <v>7672</v>
      </c>
      <c r="G856" t="s">
        <v>9729</v>
      </c>
      <c r="H856" t="s">
        <v>8301</v>
      </c>
      <c r="I856" t="s">
        <v>9733</v>
      </c>
      <c r="J856" t="s">
        <v>9760</v>
      </c>
    </row>
    <row r="857" spans="1:10" x14ac:dyDescent="0.25">
      <c r="A857" t="s">
        <v>9761</v>
      </c>
      <c r="B857">
        <v>10.08</v>
      </c>
      <c r="C857" t="s">
        <v>9762</v>
      </c>
      <c r="D857" t="s">
        <v>53</v>
      </c>
      <c r="E857" t="s">
        <v>9728</v>
      </c>
      <c r="F857" t="s">
        <v>7672</v>
      </c>
      <c r="G857" t="s">
        <v>9729</v>
      </c>
      <c r="H857" t="s">
        <v>8301</v>
      </c>
      <c r="I857" t="s">
        <v>9763</v>
      </c>
      <c r="J857" t="s">
        <v>9760</v>
      </c>
    </row>
    <row r="858" spans="1:10" x14ac:dyDescent="0.25">
      <c r="A858" t="s">
        <v>9764</v>
      </c>
      <c r="B858">
        <v>10.08</v>
      </c>
      <c r="C858" t="s">
        <v>9765</v>
      </c>
      <c r="D858" t="s">
        <v>2879</v>
      </c>
      <c r="E858" t="s">
        <v>9728</v>
      </c>
      <c r="F858" t="s">
        <v>7672</v>
      </c>
      <c r="G858" t="s">
        <v>9729</v>
      </c>
      <c r="H858" t="s">
        <v>8301</v>
      </c>
      <c r="I858" t="s">
        <v>76</v>
      </c>
      <c r="J858" t="s">
        <v>9760</v>
      </c>
    </row>
    <row r="859" spans="1:10" x14ac:dyDescent="0.25">
      <c r="A859" t="s">
        <v>9766</v>
      </c>
      <c r="B859">
        <v>10.08</v>
      </c>
      <c r="C859" t="s">
        <v>9767</v>
      </c>
      <c r="D859" t="s">
        <v>671</v>
      </c>
      <c r="E859" t="s">
        <v>9728</v>
      </c>
      <c r="F859" t="s">
        <v>7672</v>
      </c>
      <c r="G859" t="s">
        <v>9729</v>
      </c>
      <c r="H859" t="s">
        <v>8301</v>
      </c>
      <c r="I859" t="s">
        <v>9736</v>
      </c>
      <c r="J859" t="s">
        <v>9760</v>
      </c>
    </row>
    <row r="860" spans="1:10" x14ac:dyDescent="0.25">
      <c r="A860" t="s">
        <v>9768</v>
      </c>
      <c r="B860">
        <v>10.08</v>
      </c>
      <c r="C860" t="s">
        <v>9769</v>
      </c>
      <c r="D860" t="s">
        <v>164</v>
      </c>
      <c r="E860" t="s">
        <v>9728</v>
      </c>
      <c r="F860" t="s">
        <v>7672</v>
      </c>
      <c r="G860" t="s">
        <v>9729</v>
      </c>
      <c r="H860" t="s">
        <v>8301</v>
      </c>
      <c r="I860" t="s">
        <v>9736</v>
      </c>
      <c r="J860" t="s">
        <v>9770</v>
      </c>
    </row>
    <row r="861" spans="1:10" x14ac:dyDescent="0.25">
      <c r="A861" t="s">
        <v>9771</v>
      </c>
      <c r="B861">
        <v>10.08</v>
      </c>
      <c r="C861" t="s">
        <v>9772</v>
      </c>
      <c r="D861" t="s">
        <v>742</v>
      </c>
      <c r="E861" t="s">
        <v>9728</v>
      </c>
      <c r="F861" t="s">
        <v>7672</v>
      </c>
      <c r="G861" t="s">
        <v>9729</v>
      </c>
      <c r="H861" t="s">
        <v>8301</v>
      </c>
      <c r="I861" t="s">
        <v>76</v>
      </c>
      <c r="J861" t="s">
        <v>9770</v>
      </c>
    </row>
    <row r="862" spans="1:10" x14ac:dyDescent="0.25">
      <c r="A862" t="s">
        <v>9773</v>
      </c>
      <c r="B862">
        <v>10.08</v>
      </c>
      <c r="C862" t="s">
        <v>9774</v>
      </c>
      <c r="D862" t="s">
        <v>342</v>
      </c>
      <c r="E862" t="s">
        <v>9728</v>
      </c>
      <c r="F862" t="s">
        <v>7672</v>
      </c>
      <c r="G862" t="s">
        <v>9729</v>
      </c>
      <c r="H862" t="s">
        <v>8301</v>
      </c>
      <c r="I862" t="s">
        <v>76</v>
      </c>
      <c r="J862" t="s">
        <v>9775</v>
      </c>
    </row>
    <row r="863" spans="1:10" x14ac:dyDescent="0.25">
      <c r="A863" t="s">
        <v>9776</v>
      </c>
      <c r="B863">
        <v>10.08</v>
      </c>
      <c r="C863" t="s">
        <v>9777</v>
      </c>
      <c r="D863" t="s">
        <v>53</v>
      </c>
      <c r="E863" t="s">
        <v>9728</v>
      </c>
      <c r="F863" t="s">
        <v>7672</v>
      </c>
      <c r="G863" t="s">
        <v>9729</v>
      </c>
      <c r="H863" t="s">
        <v>8301</v>
      </c>
      <c r="I863" t="s">
        <v>9736</v>
      </c>
      <c r="J863" t="s">
        <v>9778</v>
      </c>
    </row>
    <row r="864" spans="1:10" x14ac:dyDescent="0.25">
      <c r="A864" t="s">
        <v>9779</v>
      </c>
      <c r="B864">
        <v>10.08</v>
      </c>
      <c r="C864" t="s">
        <v>9780</v>
      </c>
      <c r="D864" t="s">
        <v>88</v>
      </c>
      <c r="E864" t="s">
        <v>9728</v>
      </c>
      <c r="F864" t="s">
        <v>7672</v>
      </c>
      <c r="G864" t="s">
        <v>9729</v>
      </c>
      <c r="H864" t="s">
        <v>8301</v>
      </c>
      <c r="I864" t="s">
        <v>9733</v>
      </c>
      <c r="J864" t="s">
        <v>9781</v>
      </c>
    </row>
    <row r="865" spans="1:10" x14ac:dyDescent="0.25">
      <c r="A865" t="s">
        <v>9782</v>
      </c>
      <c r="B865">
        <v>10.08</v>
      </c>
      <c r="C865" t="s">
        <v>9783</v>
      </c>
      <c r="D865" t="s">
        <v>53</v>
      </c>
      <c r="E865" t="s">
        <v>9728</v>
      </c>
      <c r="F865" t="s">
        <v>7672</v>
      </c>
      <c r="G865" t="s">
        <v>9729</v>
      </c>
      <c r="H865" t="s">
        <v>8301</v>
      </c>
      <c r="I865" t="s">
        <v>9736</v>
      </c>
      <c r="J865" t="s">
        <v>9781</v>
      </c>
    </row>
    <row r="866" spans="1:10" x14ac:dyDescent="0.25">
      <c r="A866" t="s">
        <v>9784</v>
      </c>
      <c r="B866">
        <v>10.08</v>
      </c>
      <c r="C866" t="s">
        <v>9785</v>
      </c>
      <c r="D866" t="s">
        <v>100</v>
      </c>
      <c r="E866" t="s">
        <v>9728</v>
      </c>
      <c r="F866" t="s">
        <v>7672</v>
      </c>
      <c r="G866" t="s">
        <v>9729</v>
      </c>
      <c r="H866" t="s">
        <v>8301</v>
      </c>
      <c r="I866" t="s">
        <v>9763</v>
      </c>
      <c r="J866" t="s">
        <v>9786</v>
      </c>
    </row>
    <row r="867" spans="1:10" x14ac:dyDescent="0.25">
      <c r="A867" t="s">
        <v>9787</v>
      </c>
      <c r="B867">
        <v>10.08</v>
      </c>
      <c r="C867" t="s">
        <v>9788</v>
      </c>
      <c r="D867" t="s">
        <v>282</v>
      </c>
      <c r="E867" t="s">
        <v>9728</v>
      </c>
      <c r="F867" t="s">
        <v>7672</v>
      </c>
      <c r="G867" t="s">
        <v>9729</v>
      </c>
      <c r="H867" t="s">
        <v>8301</v>
      </c>
      <c r="I867" t="s">
        <v>9736</v>
      </c>
      <c r="J867" t="s">
        <v>9786</v>
      </c>
    </row>
    <row r="868" spans="1:10" x14ac:dyDescent="0.25">
      <c r="A868" t="s">
        <v>9789</v>
      </c>
      <c r="B868">
        <v>16.8</v>
      </c>
      <c r="C868" t="s">
        <v>9790</v>
      </c>
      <c r="D868" t="s">
        <v>1236</v>
      </c>
      <c r="E868" t="s">
        <v>9791</v>
      </c>
      <c r="F868" t="s">
        <v>7672</v>
      </c>
      <c r="G868" t="s">
        <v>9792</v>
      </c>
      <c r="H868" t="s">
        <v>7674</v>
      </c>
      <c r="I868" t="s">
        <v>9793</v>
      </c>
      <c r="J868" t="s">
        <v>7942</v>
      </c>
    </row>
    <row r="869" spans="1:10" x14ac:dyDescent="0.25">
      <c r="A869" t="s">
        <v>9794</v>
      </c>
      <c r="B869">
        <v>16.8</v>
      </c>
      <c r="C869" t="s">
        <v>9795</v>
      </c>
      <c r="D869" t="s">
        <v>843</v>
      </c>
      <c r="E869" t="s">
        <v>9791</v>
      </c>
      <c r="F869" t="s">
        <v>7672</v>
      </c>
      <c r="G869" t="s">
        <v>9792</v>
      </c>
      <c r="H869" t="s">
        <v>7674</v>
      </c>
      <c r="I869" t="s">
        <v>9793</v>
      </c>
      <c r="J869" t="s">
        <v>7981</v>
      </c>
    </row>
    <row r="870" spans="1:10" x14ac:dyDescent="0.25">
      <c r="A870" t="s">
        <v>9796</v>
      </c>
      <c r="B870">
        <v>16.8</v>
      </c>
      <c r="C870" t="s">
        <v>9797</v>
      </c>
      <c r="D870" t="s">
        <v>3444</v>
      </c>
      <c r="E870" t="s">
        <v>9791</v>
      </c>
      <c r="F870" t="s">
        <v>7672</v>
      </c>
      <c r="G870" t="s">
        <v>9792</v>
      </c>
      <c r="H870" t="s">
        <v>7674</v>
      </c>
      <c r="I870" t="s">
        <v>9793</v>
      </c>
      <c r="J870" t="s">
        <v>7984</v>
      </c>
    </row>
    <row r="871" spans="1:10" x14ac:dyDescent="0.25">
      <c r="A871" t="s">
        <v>9798</v>
      </c>
      <c r="B871">
        <v>16.8</v>
      </c>
      <c r="C871" t="s">
        <v>9799</v>
      </c>
      <c r="D871" t="s">
        <v>9800</v>
      </c>
      <c r="E871" t="s">
        <v>9791</v>
      </c>
      <c r="F871" t="s">
        <v>7672</v>
      </c>
      <c r="G871" t="s">
        <v>9792</v>
      </c>
      <c r="H871" t="s">
        <v>7674</v>
      </c>
      <c r="I871" t="s">
        <v>9793</v>
      </c>
      <c r="J871" t="s">
        <v>7987</v>
      </c>
    </row>
    <row r="872" spans="1:10" x14ac:dyDescent="0.25">
      <c r="A872" t="s">
        <v>9801</v>
      </c>
      <c r="B872">
        <v>16.8</v>
      </c>
      <c r="C872" t="s">
        <v>9802</v>
      </c>
      <c r="D872" t="s">
        <v>7937</v>
      </c>
      <c r="E872" t="s">
        <v>9791</v>
      </c>
      <c r="F872" t="s">
        <v>7672</v>
      </c>
      <c r="G872" t="s">
        <v>9792</v>
      </c>
      <c r="H872" t="s">
        <v>7674</v>
      </c>
      <c r="I872" t="s">
        <v>9793</v>
      </c>
      <c r="J872" t="s">
        <v>8001</v>
      </c>
    </row>
    <row r="873" spans="1:10" x14ac:dyDescent="0.25">
      <c r="A873" t="s">
        <v>9803</v>
      </c>
      <c r="B873">
        <v>16.8</v>
      </c>
      <c r="C873" t="s">
        <v>9804</v>
      </c>
      <c r="D873" t="s">
        <v>5716</v>
      </c>
      <c r="E873" t="s">
        <v>9791</v>
      </c>
      <c r="F873" t="s">
        <v>7672</v>
      </c>
      <c r="G873" t="s">
        <v>9792</v>
      </c>
      <c r="H873" t="s">
        <v>7674</v>
      </c>
      <c r="I873" t="s">
        <v>8357</v>
      </c>
      <c r="J873" t="s">
        <v>8001</v>
      </c>
    </row>
    <row r="874" spans="1:10" x14ac:dyDescent="0.25">
      <c r="A874" t="s">
        <v>9805</v>
      </c>
      <c r="B874">
        <v>16.8</v>
      </c>
      <c r="C874" t="s">
        <v>9806</v>
      </c>
      <c r="D874" t="s">
        <v>250</v>
      </c>
      <c r="E874" t="s">
        <v>9791</v>
      </c>
      <c r="F874" t="s">
        <v>7672</v>
      </c>
      <c r="G874" t="s">
        <v>9792</v>
      </c>
      <c r="H874" t="s">
        <v>7674</v>
      </c>
      <c r="I874" t="s">
        <v>9807</v>
      </c>
      <c r="J874" t="s">
        <v>8001</v>
      </c>
    </row>
    <row r="875" spans="1:10" x14ac:dyDescent="0.25">
      <c r="A875" t="s">
        <v>9808</v>
      </c>
      <c r="B875">
        <v>16.8</v>
      </c>
      <c r="C875" t="s">
        <v>9809</v>
      </c>
      <c r="D875" t="s">
        <v>9810</v>
      </c>
      <c r="E875" t="s">
        <v>9791</v>
      </c>
      <c r="F875" t="s">
        <v>7672</v>
      </c>
      <c r="G875" t="s">
        <v>9792</v>
      </c>
      <c r="H875" t="s">
        <v>7674</v>
      </c>
      <c r="I875" t="s">
        <v>9793</v>
      </c>
      <c r="J875" t="s">
        <v>8013</v>
      </c>
    </row>
    <row r="876" spans="1:10" x14ac:dyDescent="0.25">
      <c r="A876" t="s">
        <v>9811</v>
      </c>
      <c r="B876">
        <v>16.8</v>
      </c>
      <c r="C876" t="s">
        <v>9812</v>
      </c>
      <c r="D876" t="s">
        <v>8888</v>
      </c>
      <c r="E876" t="s">
        <v>9791</v>
      </c>
      <c r="F876" t="s">
        <v>7672</v>
      </c>
      <c r="G876" t="s">
        <v>9792</v>
      </c>
      <c r="H876" t="s">
        <v>7674</v>
      </c>
      <c r="I876" t="s">
        <v>8357</v>
      </c>
      <c r="J876" t="s">
        <v>8013</v>
      </c>
    </row>
    <row r="877" spans="1:10" x14ac:dyDescent="0.25">
      <c r="A877" t="s">
        <v>9813</v>
      </c>
      <c r="B877">
        <v>16.8</v>
      </c>
      <c r="C877" t="s">
        <v>9814</v>
      </c>
      <c r="D877" t="s">
        <v>2879</v>
      </c>
      <c r="E877" t="s">
        <v>9791</v>
      </c>
      <c r="F877" t="s">
        <v>7672</v>
      </c>
      <c r="G877" t="s">
        <v>9792</v>
      </c>
      <c r="H877" t="s">
        <v>7674</v>
      </c>
      <c r="I877" t="s">
        <v>9807</v>
      </c>
      <c r="J877" t="s">
        <v>8013</v>
      </c>
    </row>
    <row r="878" spans="1:10" x14ac:dyDescent="0.25">
      <c r="A878" t="s">
        <v>9815</v>
      </c>
      <c r="B878">
        <v>18.2</v>
      </c>
      <c r="C878" t="s">
        <v>9816</v>
      </c>
      <c r="D878" t="s">
        <v>53</v>
      </c>
      <c r="E878" t="s">
        <v>9817</v>
      </c>
      <c r="F878" t="s">
        <v>7672</v>
      </c>
      <c r="G878" t="s">
        <v>9818</v>
      </c>
      <c r="H878" t="s">
        <v>7947</v>
      </c>
      <c r="I878" t="s">
        <v>9819</v>
      </c>
      <c r="J878" t="s">
        <v>8883</v>
      </c>
    </row>
    <row r="879" spans="1:10" x14ac:dyDescent="0.25">
      <c r="A879" t="s">
        <v>9820</v>
      </c>
      <c r="B879">
        <v>16</v>
      </c>
      <c r="C879" t="s">
        <v>9821</v>
      </c>
      <c r="D879" t="s">
        <v>9822</v>
      </c>
      <c r="E879" t="s">
        <v>9823</v>
      </c>
      <c r="F879" t="s">
        <v>7672</v>
      </c>
      <c r="G879" t="s">
        <v>9824</v>
      </c>
      <c r="H879" t="s">
        <v>8779</v>
      </c>
      <c r="I879" t="s">
        <v>9606</v>
      </c>
      <c r="J879" t="s">
        <v>7686</v>
      </c>
    </row>
    <row r="880" spans="1:10" x14ac:dyDescent="0.25">
      <c r="A880" t="s">
        <v>9825</v>
      </c>
      <c r="B880">
        <v>16</v>
      </c>
      <c r="C880" t="s">
        <v>9826</v>
      </c>
      <c r="D880" t="s">
        <v>598</v>
      </c>
      <c r="E880" t="s">
        <v>9823</v>
      </c>
      <c r="F880" t="s">
        <v>7672</v>
      </c>
      <c r="G880" t="s">
        <v>9824</v>
      </c>
      <c r="H880" t="s">
        <v>8779</v>
      </c>
      <c r="I880" t="s">
        <v>2073</v>
      </c>
      <c r="J880" t="s">
        <v>7686</v>
      </c>
    </row>
    <row r="881" spans="1:10" x14ac:dyDescent="0.25">
      <c r="A881" t="s">
        <v>9827</v>
      </c>
      <c r="B881">
        <v>16</v>
      </c>
      <c r="C881" t="s">
        <v>9828</v>
      </c>
      <c r="D881" t="s">
        <v>7725</v>
      </c>
      <c r="E881" t="s">
        <v>9823</v>
      </c>
      <c r="F881" t="s">
        <v>7672</v>
      </c>
      <c r="G881" t="s">
        <v>9824</v>
      </c>
      <c r="H881" t="s">
        <v>8779</v>
      </c>
      <c r="I881" t="s">
        <v>9606</v>
      </c>
      <c r="J881" t="s">
        <v>7703</v>
      </c>
    </row>
    <row r="882" spans="1:10" x14ac:dyDescent="0.25">
      <c r="A882" t="s">
        <v>9829</v>
      </c>
      <c r="B882">
        <v>16</v>
      </c>
      <c r="C882" t="s">
        <v>9830</v>
      </c>
      <c r="D882" t="s">
        <v>7993</v>
      </c>
      <c r="E882" t="s">
        <v>9823</v>
      </c>
      <c r="F882" t="s">
        <v>7672</v>
      </c>
      <c r="G882" t="s">
        <v>9824</v>
      </c>
      <c r="H882" t="s">
        <v>8779</v>
      </c>
      <c r="I882" t="s">
        <v>76</v>
      </c>
      <c r="J882" t="s">
        <v>7703</v>
      </c>
    </row>
    <row r="883" spans="1:10" x14ac:dyDescent="0.25">
      <c r="A883" t="s">
        <v>9831</v>
      </c>
      <c r="B883">
        <v>16</v>
      </c>
      <c r="C883" t="s">
        <v>9832</v>
      </c>
      <c r="D883" t="s">
        <v>6155</v>
      </c>
      <c r="E883" t="s">
        <v>9823</v>
      </c>
      <c r="F883" t="s">
        <v>7672</v>
      </c>
      <c r="G883" t="s">
        <v>9824</v>
      </c>
      <c r="H883" t="s">
        <v>8779</v>
      </c>
      <c r="I883" t="s">
        <v>2073</v>
      </c>
      <c r="J883" t="s">
        <v>7703</v>
      </c>
    </row>
    <row r="884" spans="1:10" x14ac:dyDescent="0.25">
      <c r="A884" t="s">
        <v>9833</v>
      </c>
      <c r="B884">
        <v>16</v>
      </c>
      <c r="C884" t="s">
        <v>9834</v>
      </c>
      <c r="D884" t="s">
        <v>671</v>
      </c>
      <c r="E884" t="s">
        <v>9823</v>
      </c>
      <c r="F884" t="s">
        <v>7672</v>
      </c>
      <c r="G884" t="s">
        <v>9824</v>
      </c>
      <c r="H884" t="s">
        <v>8779</v>
      </c>
      <c r="I884" t="s">
        <v>9612</v>
      </c>
      <c r="J884" t="s">
        <v>7703</v>
      </c>
    </row>
    <row r="885" spans="1:10" x14ac:dyDescent="0.25">
      <c r="A885" t="s">
        <v>9835</v>
      </c>
      <c r="B885">
        <v>16</v>
      </c>
      <c r="C885" t="s">
        <v>9836</v>
      </c>
      <c r="D885" t="s">
        <v>359</v>
      </c>
      <c r="E885" t="s">
        <v>9823</v>
      </c>
      <c r="F885" t="s">
        <v>7672</v>
      </c>
      <c r="G885" t="s">
        <v>9824</v>
      </c>
      <c r="H885" t="s">
        <v>8779</v>
      </c>
      <c r="I885" t="s">
        <v>9618</v>
      </c>
      <c r="J885" t="s">
        <v>7703</v>
      </c>
    </row>
    <row r="886" spans="1:10" x14ac:dyDescent="0.25">
      <c r="A886" t="s">
        <v>9837</v>
      </c>
      <c r="B886">
        <v>16</v>
      </c>
      <c r="C886" t="s">
        <v>9838</v>
      </c>
      <c r="D886" t="s">
        <v>3110</v>
      </c>
      <c r="E886" t="s">
        <v>9823</v>
      </c>
      <c r="F886" t="s">
        <v>7672</v>
      </c>
      <c r="G886" t="s">
        <v>9824</v>
      </c>
      <c r="H886" t="s">
        <v>8779</v>
      </c>
      <c r="I886" t="s">
        <v>9839</v>
      </c>
      <c r="J886" t="s">
        <v>7703</v>
      </c>
    </row>
    <row r="887" spans="1:10" x14ac:dyDescent="0.25">
      <c r="A887" t="s">
        <v>9840</v>
      </c>
      <c r="B887">
        <v>16</v>
      </c>
      <c r="C887" t="s">
        <v>9841</v>
      </c>
      <c r="D887" t="s">
        <v>9842</v>
      </c>
      <c r="E887" t="s">
        <v>9823</v>
      </c>
      <c r="F887" t="s">
        <v>7672</v>
      </c>
      <c r="G887" t="s">
        <v>9824</v>
      </c>
      <c r="H887" t="s">
        <v>8779</v>
      </c>
      <c r="I887" t="s">
        <v>76</v>
      </c>
      <c r="J887" t="s">
        <v>7713</v>
      </c>
    </row>
    <row r="888" spans="1:10" x14ac:dyDescent="0.25">
      <c r="A888" t="s">
        <v>9843</v>
      </c>
      <c r="B888">
        <v>16</v>
      </c>
      <c r="C888" t="s">
        <v>9844</v>
      </c>
      <c r="D888" t="s">
        <v>1596</v>
      </c>
      <c r="E888" t="s">
        <v>9823</v>
      </c>
      <c r="F888" t="s">
        <v>7672</v>
      </c>
      <c r="G888" t="s">
        <v>9824</v>
      </c>
      <c r="H888" t="s">
        <v>8779</v>
      </c>
      <c r="I888" t="s">
        <v>9606</v>
      </c>
      <c r="J888" t="s">
        <v>7713</v>
      </c>
    </row>
    <row r="889" spans="1:10" x14ac:dyDescent="0.25">
      <c r="A889" t="s">
        <v>9845</v>
      </c>
      <c r="B889">
        <v>16</v>
      </c>
      <c r="C889" t="s">
        <v>9846</v>
      </c>
      <c r="D889" t="s">
        <v>3974</v>
      </c>
      <c r="E889" t="s">
        <v>9823</v>
      </c>
      <c r="F889" t="s">
        <v>7672</v>
      </c>
      <c r="G889" t="s">
        <v>9824</v>
      </c>
      <c r="H889" t="s">
        <v>8779</v>
      </c>
      <c r="I889" t="s">
        <v>2073</v>
      </c>
      <c r="J889" t="s">
        <v>7713</v>
      </c>
    </row>
    <row r="890" spans="1:10" x14ac:dyDescent="0.25">
      <c r="A890" t="s">
        <v>9847</v>
      </c>
      <c r="B890">
        <v>16</v>
      </c>
      <c r="C890" t="s">
        <v>9848</v>
      </c>
      <c r="D890" t="s">
        <v>2381</v>
      </c>
      <c r="E890" t="s">
        <v>9823</v>
      </c>
      <c r="F890" t="s">
        <v>7672</v>
      </c>
      <c r="G890" t="s">
        <v>9824</v>
      </c>
      <c r="H890" t="s">
        <v>8779</v>
      </c>
      <c r="I890" t="s">
        <v>9839</v>
      </c>
      <c r="J890" t="s">
        <v>7713</v>
      </c>
    </row>
    <row r="891" spans="1:10" x14ac:dyDescent="0.25">
      <c r="A891" t="s">
        <v>9849</v>
      </c>
      <c r="B891">
        <v>16</v>
      </c>
      <c r="C891" t="s">
        <v>9850</v>
      </c>
      <c r="D891" t="s">
        <v>1143</v>
      </c>
      <c r="E891" t="s">
        <v>9823</v>
      </c>
      <c r="F891" t="s">
        <v>7672</v>
      </c>
      <c r="G891" t="s">
        <v>9824</v>
      </c>
      <c r="H891" t="s">
        <v>8779</v>
      </c>
      <c r="I891" t="s">
        <v>9618</v>
      </c>
      <c r="J891" t="s">
        <v>7713</v>
      </c>
    </row>
    <row r="892" spans="1:10" x14ac:dyDescent="0.25">
      <c r="A892" t="s">
        <v>9851</v>
      </c>
      <c r="B892">
        <v>16</v>
      </c>
      <c r="C892" t="s">
        <v>9852</v>
      </c>
      <c r="D892" t="s">
        <v>2072</v>
      </c>
      <c r="E892" t="s">
        <v>9823</v>
      </c>
      <c r="F892" t="s">
        <v>7672</v>
      </c>
      <c r="G892" t="s">
        <v>9824</v>
      </c>
      <c r="H892" t="s">
        <v>8779</v>
      </c>
      <c r="I892" t="s">
        <v>9612</v>
      </c>
      <c r="J892" t="s">
        <v>7713</v>
      </c>
    </row>
    <row r="893" spans="1:10" x14ac:dyDescent="0.25">
      <c r="A893" t="s">
        <v>9853</v>
      </c>
      <c r="B893">
        <v>16</v>
      </c>
      <c r="C893" t="s">
        <v>9854</v>
      </c>
      <c r="D893" t="s">
        <v>649</v>
      </c>
      <c r="E893" t="s">
        <v>9823</v>
      </c>
      <c r="F893" t="s">
        <v>7672</v>
      </c>
      <c r="G893" t="s">
        <v>9824</v>
      </c>
      <c r="H893" t="s">
        <v>8779</v>
      </c>
      <c r="I893" t="s">
        <v>76</v>
      </c>
      <c r="J893" t="s">
        <v>7719</v>
      </c>
    </row>
    <row r="894" spans="1:10" x14ac:dyDescent="0.25">
      <c r="A894" t="s">
        <v>9855</v>
      </c>
      <c r="B894">
        <v>16</v>
      </c>
      <c r="C894" t="s">
        <v>9856</v>
      </c>
      <c r="D894" t="s">
        <v>9857</v>
      </c>
      <c r="E894" t="s">
        <v>9823</v>
      </c>
      <c r="F894" t="s">
        <v>7672</v>
      </c>
      <c r="G894" t="s">
        <v>9824</v>
      </c>
      <c r="H894" t="s">
        <v>8779</v>
      </c>
      <c r="I894" t="s">
        <v>9606</v>
      </c>
      <c r="J894" t="s">
        <v>7719</v>
      </c>
    </row>
    <row r="895" spans="1:10" x14ac:dyDescent="0.25">
      <c r="A895" t="s">
        <v>9858</v>
      </c>
      <c r="B895">
        <v>16</v>
      </c>
      <c r="C895" t="s">
        <v>9859</v>
      </c>
      <c r="D895" t="s">
        <v>4141</v>
      </c>
      <c r="E895" t="s">
        <v>9823</v>
      </c>
      <c r="F895" t="s">
        <v>7672</v>
      </c>
      <c r="G895" t="s">
        <v>9824</v>
      </c>
      <c r="H895" t="s">
        <v>8779</v>
      </c>
      <c r="I895" t="s">
        <v>2073</v>
      </c>
      <c r="J895" t="s">
        <v>7719</v>
      </c>
    </row>
    <row r="896" spans="1:10" x14ac:dyDescent="0.25">
      <c r="A896" t="s">
        <v>9860</v>
      </c>
      <c r="B896">
        <v>16</v>
      </c>
      <c r="C896" t="s">
        <v>9861</v>
      </c>
      <c r="D896" t="s">
        <v>633</v>
      </c>
      <c r="E896" t="s">
        <v>9823</v>
      </c>
      <c r="F896" t="s">
        <v>7672</v>
      </c>
      <c r="G896" t="s">
        <v>9824</v>
      </c>
      <c r="H896" t="s">
        <v>8779</v>
      </c>
      <c r="I896" t="s">
        <v>9839</v>
      </c>
      <c r="J896" t="s">
        <v>7719</v>
      </c>
    </row>
    <row r="897" spans="1:10" x14ac:dyDescent="0.25">
      <c r="A897" t="s">
        <v>9862</v>
      </c>
      <c r="B897">
        <v>16</v>
      </c>
      <c r="C897" t="s">
        <v>9863</v>
      </c>
      <c r="D897" t="s">
        <v>875</v>
      </c>
      <c r="E897" t="s">
        <v>9823</v>
      </c>
      <c r="F897" t="s">
        <v>7672</v>
      </c>
      <c r="G897" t="s">
        <v>9824</v>
      </c>
      <c r="H897" t="s">
        <v>8779</v>
      </c>
      <c r="I897" t="s">
        <v>9612</v>
      </c>
      <c r="J897" t="s">
        <v>7719</v>
      </c>
    </row>
    <row r="898" spans="1:10" x14ac:dyDescent="0.25">
      <c r="A898" t="s">
        <v>9864</v>
      </c>
      <c r="B898">
        <v>3.9119999999999999</v>
      </c>
      <c r="C898" t="s">
        <v>9865</v>
      </c>
      <c r="D898" t="s">
        <v>2804</v>
      </c>
      <c r="E898" t="s">
        <v>9866</v>
      </c>
      <c r="F898" t="s">
        <v>7672</v>
      </c>
      <c r="G898" t="s">
        <v>9867</v>
      </c>
      <c r="H898" t="s">
        <v>7974</v>
      </c>
      <c r="I898" t="s">
        <v>145</v>
      </c>
      <c r="J898" t="s">
        <v>9237</v>
      </c>
    </row>
    <row r="899" spans="1:10" x14ac:dyDescent="0.25">
      <c r="A899" t="s">
        <v>9868</v>
      </c>
      <c r="B899">
        <v>3.9119999999999999</v>
      </c>
      <c r="C899" t="s">
        <v>9869</v>
      </c>
      <c r="D899" t="s">
        <v>2138</v>
      </c>
      <c r="E899" t="s">
        <v>9866</v>
      </c>
      <c r="F899" t="s">
        <v>7672</v>
      </c>
      <c r="G899" t="s">
        <v>9867</v>
      </c>
      <c r="H899" t="s">
        <v>7974</v>
      </c>
      <c r="I899" t="s">
        <v>76</v>
      </c>
      <c r="J899" t="s">
        <v>9237</v>
      </c>
    </row>
    <row r="900" spans="1:10" x14ac:dyDescent="0.25">
      <c r="A900" t="s">
        <v>9870</v>
      </c>
      <c r="B900">
        <v>3.9119999999999999</v>
      </c>
      <c r="C900" t="s">
        <v>9871</v>
      </c>
      <c r="D900" t="s">
        <v>9399</v>
      </c>
      <c r="E900" t="s">
        <v>9866</v>
      </c>
      <c r="F900" t="s">
        <v>7672</v>
      </c>
      <c r="G900" t="s">
        <v>9867</v>
      </c>
      <c r="H900" t="s">
        <v>7974</v>
      </c>
      <c r="I900" t="s">
        <v>278</v>
      </c>
      <c r="J900" t="s">
        <v>9237</v>
      </c>
    </row>
    <row r="901" spans="1:10" x14ac:dyDescent="0.25">
      <c r="A901" t="s">
        <v>9872</v>
      </c>
      <c r="B901">
        <v>3.9119999999999999</v>
      </c>
      <c r="C901" t="s">
        <v>9873</v>
      </c>
      <c r="D901" t="s">
        <v>664</v>
      </c>
      <c r="E901" t="s">
        <v>9866</v>
      </c>
      <c r="F901" t="s">
        <v>7672</v>
      </c>
      <c r="G901" t="s">
        <v>9867</v>
      </c>
      <c r="H901" t="s">
        <v>7974</v>
      </c>
      <c r="I901" t="s">
        <v>9874</v>
      </c>
      <c r="J901" t="s">
        <v>9237</v>
      </c>
    </row>
    <row r="902" spans="1:10" x14ac:dyDescent="0.25">
      <c r="A902" t="s">
        <v>9875</v>
      </c>
      <c r="B902">
        <v>3.9119999999999999</v>
      </c>
      <c r="C902" t="s">
        <v>9876</v>
      </c>
      <c r="D902" t="s">
        <v>4127</v>
      </c>
      <c r="E902" t="s">
        <v>9866</v>
      </c>
      <c r="F902" t="s">
        <v>7672</v>
      </c>
      <c r="G902" t="s">
        <v>9867</v>
      </c>
      <c r="H902" t="s">
        <v>7974</v>
      </c>
      <c r="I902" t="s">
        <v>9877</v>
      </c>
      <c r="J902" t="s">
        <v>9237</v>
      </c>
    </row>
    <row r="903" spans="1:10" x14ac:dyDescent="0.25">
      <c r="A903" t="s">
        <v>9878</v>
      </c>
      <c r="B903">
        <v>3.9119999999999999</v>
      </c>
      <c r="C903" t="s">
        <v>9879</v>
      </c>
      <c r="D903" t="s">
        <v>908</v>
      </c>
      <c r="E903" t="s">
        <v>9866</v>
      </c>
      <c r="F903" t="s">
        <v>7672</v>
      </c>
      <c r="G903" t="s">
        <v>9867</v>
      </c>
      <c r="H903" t="s">
        <v>7974</v>
      </c>
      <c r="I903" t="s">
        <v>9880</v>
      </c>
      <c r="J903" t="s">
        <v>9237</v>
      </c>
    </row>
    <row r="904" spans="1:10" x14ac:dyDescent="0.25">
      <c r="A904" t="s">
        <v>9881</v>
      </c>
      <c r="B904">
        <v>3.9119999999999999</v>
      </c>
      <c r="C904" t="s">
        <v>9882</v>
      </c>
      <c r="D904" t="s">
        <v>269</v>
      </c>
      <c r="E904" t="s">
        <v>9866</v>
      </c>
      <c r="F904" t="s">
        <v>7672</v>
      </c>
      <c r="G904" t="s">
        <v>9867</v>
      </c>
      <c r="H904" t="s">
        <v>7974</v>
      </c>
      <c r="I904" t="s">
        <v>9883</v>
      </c>
      <c r="J904" t="s">
        <v>9237</v>
      </c>
    </row>
    <row r="905" spans="1:10" x14ac:dyDescent="0.25">
      <c r="A905" t="s">
        <v>9884</v>
      </c>
      <c r="B905">
        <v>3.9119999999999999</v>
      </c>
      <c r="C905" t="s">
        <v>9885</v>
      </c>
      <c r="D905" t="s">
        <v>1621</v>
      </c>
      <c r="E905" t="s">
        <v>9866</v>
      </c>
      <c r="F905" t="s">
        <v>7672</v>
      </c>
      <c r="G905" t="s">
        <v>9867</v>
      </c>
      <c r="H905" t="s">
        <v>7974</v>
      </c>
      <c r="I905" t="s">
        <v>9886</v>
      </c>
      <c r="J905" t="s">
        <v>9237</v>
      </c>
    </row>
    <row r="906" spans="1:10" x14ac:dyDescent="0.25">
      <c r="A906" t="s">
        <v>9887</v>
      </c>
      <c r="B906">
        <v>3.9119999999999999</v>
      </c>
      <c r="C906" t="s">
        <v>9888</v>
      </c>
      <c r="D906" t="s">
        <v>2620</v>
      </c>
      <c r="E906" t="s">
        <v>9866</v>
      </c>
      <c r="F906" t="s">
        <v>7672</v>
      </c>
      <c r="G906" t="s">
        <v>9867</v>
      </c>
      <c r="H906" t="s">
        <v>7974</v>
      </c>
      <c r="I906" t="s">
        <v>9889</v>
      </c>
      <c r="J906" t="s">
        <v>9237</v>
      </c>
    </row>
    <row r="907" spans="1:10" x14ac:dyDescent="0.25">
      <c r="A907" t="s">
        <v>9890</v>
      </c>
      <c r="B907">
        <v>3.9119999999999999</v>
      </c>
      <c r="C907" t="s">
        <v>9891</v>
      </c>
      <c r="D907" t="s">
        <v>975</v>
      </c>
      <c r="E907" t="s">
        <v>9866</v>
      </c>
      <c r="F907" t="s">
        <v>7672</v>
      </c>
      <c r="G907" t="s">
        <v>9867</v>
      </c>
      <c r="H907" t="s">
        <v>7974</v>
      </c>
      <c r="I907" t="s">
        <v>9892</v>
      </c>
      <c r="J907" t="s">
        <v>9237</v>
      </c>
    </row>
    <row r="908" spans="1:10" x14ac:dyDescent="0.25">
      <c r="A908" t="s">
        <v>9893</v>
      </c>
      <c r="B908">
        <v>3.9119999999999999</v>
      </c>
      <c r="C908" t="s">
        <v>9894</v>
      </c>
      <c r="D908" t="s">
        <v>720</v>
      </c>
      <c r="E908" t="s">
        <v>9866</v>
      </c>
      <c r="F908" t="s">
        <v>7672</v>
      </c>
      <c r="G908" t="s">
        <v>9867</v>
      </c>
      <c r="H908" t="s">
        <v>7974</v>
      </c>
      <c r="I908" t="s">
        <v>935</v>
      </c>
      <c r="J908" t="s">
        <v>9237</v>
      </c>
    </row>
    <row r="909" spans="1:10" x14ac:dyDescent="0.25">
      <c r="A909" t="s">
        <v>9895</v>
      </c>
      <c r="B909">
        <v>3.9119999999999999</v>
      </c>
      <c r="C909" t="s">
        <v>9896</v>
      </c>
      <c r="D909" t="s">
        <v>9897</v>
      </c>
      <c r="E909" t="s">
        <v>9866</v>
      </c>
      <c r="F909" t="s">
        <v>7672</v>
      </c>
      <c r="G909" t="s">
        <v>9867</v>
      </c>
      <c r="H909" t="s">
        <v>7974</v>
      </c>
      <c r="I909" t="s">
        <v>76</v>
      </c>
      <c r="J909" t="s">
        <v>8427</v>
      </c>
    </row>
    <row r="910" spans="1:10" x14ac:dyDescent="0.25">
      <c r="A910" t="s">
        <v>9898</v>
      </c>
      <c r="B910">
        <v>3.9119999999999999</v>
      </c>
      <c r="C910" t="s">
        <v>9899</v>
      </c>
      <c r="D910" t="s">
        <v>2787</v>
      </c>
      <c r="E910" t="s">
        <v>9866</v>
      </c>
      <c r="F910" t="s">
        <v>7672</v>
      </c>
      <c r="G910" t="s">
        <v>9867</v>
      </c>
      <c r="H910" t="s">
        <v>7974</v>
      </c>
      <c r="I910" t="s">
        <v>9874</v>
      </c>
      <c r="J910" t="s">
        <v>8427</v>
      </c>
    </row>
    <row r="911" spans="1:10" x14ac:dyDescent="0.25">
      <c r="A911" t="s">
        <v>9900</v>
      </c>
      <c r="B911">
        <v>3.9119999999999999</v>
      </c>
      <c r="C911" t="s">
        <v>9901</v>
      </c>
      <c r="D911" t="s">
        <v>9902</v>
      </c>
      <c r="E911" t="s">
        <v>9866</v>
      </c>
      <c r="F911" t="s">
        <v>7672</v>
      </c>
      <c r="G911" t="s">
        <v>9867</v>
      </c>
      <c r="H911" t="s">
        <v>7974</v>
      </c>
      <c r="I911" t="s">
        <v>278</v>
      </c>
      <c r="J911" t="s">
        <v>8427</v>
      </c>
    </row>
    <row r="912" spans="1:10" x14ac:dyDescent="0.25">
      <c r="A912" t="s">
        <v>9903</v>
      </c>
      <c r="B912">
        <v>3.9119999999999999</v>
      </c>
      <c r="C912" t="s">
        <v>9904</v>
      </c>
      <c r="D912" t="s">
        <v>9905</v>
      </c>
      <c r="E912" t="s">
        <v>9866</v>
      </c>
      <c r="F912" t="s">
        <v>7672</v>
      </c>
      <c r="G912" t="s">
        <v>9867</v>
      </c>
      <c r="H912" t="s">
        <v>7974</v>
      </c>
      <c r="I912" t="s">
        <v>145</v>
      </c>
      <c r="J912" t="s">
        <v>8427</v>
      </c>
    </row>
    <row r="913" spans="1:10" x14ac:dyDescent="0.25">
      <c r="A913" t="s">
        <v>9906</v>
      </c>
      <c r="B913">
        <v>3.9119999999999999</v>
      </c>
      <c r="C913" t="s">
        <v>9907</v>
      </c>
      <c r="D913" t="s">
        <v>9908</v>
      </c>
      <c r="E913" t="s">
        <v>9866</v>
      </c>
      <c r="F913" t="s">
        <v>7672</v>
      </c>
      <c r="G913" t="s">
        <v>9867</v>
      </c>
      <c r="H913" t="s">
        <v>7974</v>
      </c>
      <c r="I913" t="s">
        <v>9877</v>
      </c>
      <c r="J913" t="s">
        <v>8427</v>
      </c>
    </row>
    <row r="914" spans="1:10" x14ac:dyDescent="0.25">
      <c r="A914" t="s">
        <v>9909</v>
      </c>
      <c r="B914">
        <v>3.9119999999999999</v>
      </c>
      <c r="C914" t="s">
        <v>9910</v>
      </c>
      <c r="D914" t="s">
        <v>3599</v>
      </c>
      <c r="E914" t="s">
        <v>9866</v>
      </c>
      <c r="F914" t="s">
        <v>7672</v>
      </c>
      <c r="G914" t="s">
        <v>9867</v>
      </c>
      <c r="H914" t="s">
        <v>7974</v>
      </c>
      <c r="I914" t="s">
        <v>9880</v>
      </c>
      <c r="J914" t="s">
        <v>8427</v>
      </c>
    </row>
    <row r="915" spans="1:10" x14ac:dyDescent="0.25">
      <c r="A915" t="s">
        <v>9911</v>
      </c>
      <c r="B915">
        <v>3.9119999999999999</v>
      </c>
      <c r="C915" t="s">
        <v>9912</v>
      </c>
      <c r="D915" t="s">
        <v>9913</v>
      </c>
      <c r="E915" t="s">
        <v>9866</v>
      </c>
      <c r="F915" t="s">
        <v>7672</v>
      </c>
      <c r="G915" t="s">
        <v>9867</v>
      </c>
      <c r="H915" t="s">
        <v>7974</v>
      </c>
      <c r="I915" t="s">
        <v>9892</v>
      </c>
      <c r="J915" t="s">
        <v>8427</v>
      </c>
    </row>
    <row r="916" spans="1:10" x14ac:dyDescent="0.25">
      <c r="A916" t="s">
        <v>9914</v>
      </c>
      <c r="B916">
        <v>3.9119999999999999</v>
      </c>
      <c r="C916" t="s">
        <v>9915</v>
      </c>
      <c r="D916" t="s">
        <v>9916</v>
      </c>
      <c r="E916" t="s">
        <v>9866</v>
      </c>
      <c r="F916" t="s">
        <v>7672</v>
      </c>
      <c r="G916" t="s">
        <v>9867</v>
      </c>
      <c r="H916" t="s">
        <v>7974</v>
      </c>
      <c r="I916" t="s">
        <v>9889</v>
      </c>
      <c r="J916" t="s">
        <v>8427</v>
      </c>
    </row>
    <row r="917" spans="1:10" x14ac:dyDescent="0.25">
      <c r="A917" t="s">
        <v>9917</v>
      </c>
      <c r="B917">
        <v>3.9119999999999999</v>
      </c>
      <c r="C917" t="s">
        <v>9918</v>
      </c>
      <c r="D917" t="s">
        <v>9919</v>
      </c>
      <c r="E917" t="s">
        <v>9866</v>
      </c>
      <c r="F917" t="s">
        <v>7672</v>
      </c>
      <c r="G917" t="s">
        <v>9867</v>
      </c>
      <c r="H917" t="s">
        <v>7974</v>
      </c>
      <c r="I917" t="s">
        <v>935</v>
      </c>
      <c r="J917" t="s">
        <v>8427</v>
      </c>
    </row>
    <row r="918" spans="1:10" x14ac:dyDescent="0.25">
      <c r="A918" t="s">
        <v>9920</v>
      </c>
      <c r="B918">
        <v>3.9119999999999999</v>
      </c>
      <c r="C918" t="s">
        <v>9921</v>
      </c>
      <c r="D918" t="s">
        <v>9922</v>
      </c>
      <c r="E918" t="s">
        <v>9866</v>
      </c>
      <c r="F918" t="s">
        <v>7672</v>
      </c>
      <c r="G918" t="s">
        <v>9867</v>
      </c>
      <c r="H918" t="s">
        <v>7974</v>
      </c>
      <c r="I918" t="s">
        <v>76</v>
      </c>
      <c r="J918" t="s">
        <v>8439</v>
      </c>
    </row>
    <row r="919" spans="1:10" x14ac:dyDescent="0.25">
      <c r="A919" t="s">
        <v>9923</v>
      </c>
      <c r="B919">
        <v>3.9119999999999999</v>
      </c>
      <c r="C919" t="s">
        <v>9924</v>
      </c>
      <c r="D919" t="s">
        <v>8816</v>
      </c>
      <c r="E919" t="s">
        <v>9866</v>
      </c>
      <c r="F919" t="s">
        <v>7672</v>
      </c>
      <c r="G919" t="s">
        <v>9867</v>
      </c>
      <c r="H919" t="s">
        <v>7974</v>
      </c>
      <c r="I919" t="s">
        <v>9874</v>
      </c>
      <c r="J919" t="s">
        <v>8439</v>
      </c>
    </row>
    <row r="920" spans="1:10" x14ac:dyDescent="0.25">
      <c r="A920" t="s">
        <v>9925</v>
      </c>
      <c r="B920">
        <v>3.9119999999999999</v>
      </c>
      <c r="C920" t="s">
        <v>9926</v>
      </c>
      <c r="D920" t="s">
        <v>9927</v>
      </c>
      <c r="E920" t="s">
        <v>9866</v>
      </c>
      <c r="F920" t="s">
        <v>7672</v>
      </c>
      <c r="G920" t="s">
        <v>9867</v>
      </c>
      <c r="H920" t="s">
        <v>7974</v>
      </c>
      <c r="I920" t="s">
        <v>145</v>
      </c>
      <c r="J920" t="s">
        <v>8439</v>
      </c>
    </row>
    <row r="921" spans="1:10" x14ac:dyDescent="0.25">
      <c r="A921" t="s">
        <v>9928</v>
      </c>
      <c r="B921">
        <v>3.9119999999999999</v>
      </c>
      <c r="C921" t="s">
        <v>9929</v>
      </c>
      <c r="D921" t="s">
        <v>9930</v>
      </c>
      <c r="E921" t="s">
        <v>9866</v>
      </c>
      <c r="F921" t="s">
        <v>7672</v>
      </c>
      <c r="G921" t="s">
        <v>9867</v>
      </c>
      <c r="H921" t="s">
        <v>7974</v>
      </c>
      <c r="I921" t="s">
        <v>278</v>
      </c>
      <c r="J921" t="s">
        <v>8439</v>
      </c>
    </row>
    <row r="922" spans="1:10" x14ac:dyDescent="0.25">
      <c r="A922" t="s">
        <v>9931</v>
      </c>
      <c r="B922">
        <v>3.9119999999999999</v>
      </c>
      <c r="C922" t="s">
        <v>9932</v>
      </c>
      <c r="D922" t="s">
        <v>9933</v>
      </c>
      <c r="E922" t="s">
        <v>9866</v>
      </c>
      <c r="F922" t="s">
        <v>7672</v>
      </c>
      <c r="G922" t="s">
        <v>9867</v>
      </c>
      <c r="H922" t="s">
        <v>7974</v>
      </c>
      <c r="I922" t="s">
        <v>9877</v>
      </c>
      <c r="J922" t="s">
        <v>8439</v>
      </c>
    </row>
    <row r="923" spans="1:10" x14ac:dyDescent="0.25">
      <c r="A923" t="s">
        <v>9934</v>
      </c>
      <c r="B923">
        <v>3.9119999999999999</v>
      </c>
      <c r="C923" t="s">
        <v>9935</v>
      </c>
      <c r="D923" t="s">
        <v>9936</v>
      </c>
      <c r="E923" t="s">
        <v>9866</v>
      </c>
      <c r="F923" t="s">
        <v>7672</v>
      </c>
      <c r="G923" t="s">
        <v>9867</v>
      </c>
      <c r="H923" t="s">
        <v>7974</v>
      </c>
      <c r="I923" t="s">
        <v>9880</v>
      </c>
      <c r="J923" t="s">
        <v>8439</v>
      </c>
    </row>
    <row r="924" spans="1:10" x14ac:dyDescent="0.25">
      <c r="A924" t="s">
        <v>9937</v>
      </c>
      <c r="B924">
        <v>3.9119999999999999</v>
      </c>
      <c r="C924" t="s">
        <v>9938</v>
      </c>
      <c r="D924" t="s">
        <v>9939</v>
      </c>
      <c r="E924" t="s">
        <v>9866</v>
      </c>
      <c r="F924" t="s">
        <v>7672</v>
      </c>
      <c r="G924" t="s">
        <v>9867</v>
      </c>
      <c r="H924" t="s">
        <v>7974</v>
      </c>
      <c r="I924" t="s">
        <v>935</v>
      </c>
      <c r="J924" t="s">
        <v>8439</v>
      </c>
    </row>
    <row r="925" spans="1:10" x14ac:dyDescent="0.25">
      <c r="A925" t="s">
        <v>9940</v>
      </c>
      <c r="B925">
        <v>3.9119999999999999</v>
      </c>
      <c r="C925" t="s">
        <v>9941</v>
      </c>
      <c r="D925" t="s">
        <v>9942</v>
      </c>
      <c r="E925" t="s">
        <v>9866</v>
      </c>
      <c r="F925" t="s">
        <v>7672</v>
      </c>
      <c r="G925" t="s">
        <v>9867</v>
      </c>
      <c r="H925" t="s">
        <v>7974</v>
      </c>
      <c r="I925" t="s">
        <v>9889</v>
      </c>
      <c r="J925" t="s">
        <v>8439</v>
      </c>
    </row>
    <row r="926" spans="1:10" x14ac:dyDescent="0.25">
      <c r="A926" t="s">
        <v>9943</v>
      </c>
      <c r="B926">
        <v>3.9119999999999999</v>
      </c>
      <c r="C926" t="s">
        <v>9944</v>
      </c>
      <c r="D926" t="s">
        <v>9945</v>
      </c>
      <c r="E926" t="s">
        <v>9866</v>
      </c>
      <c r="F926" t="s">
        <v>7672</v>
      </c>
      <c r="G926" t="s">
        <v>9867</v>
      </c>
      <c r="H926" t="s">
        <v>7974</v>
      </c>
      <c r="I926" t="s">
        <v>9892</v>
      </c>
      <c r="J926" t="s">
        <v>8439</v>
      </c>
    </row>
    <row r="927" spans="1:10" x14ac:dyDescent="0.25">
      <c r="A927" t="s">
        <v>9946</v>
      </c>
      <c r="B927">
        <v>3.9119999999999999</v>
      </c>
      <c r="C927" t="s">
        <v>9947</v>
      </c>
      <c r="D927" t="s">
        <v>9948</v>
      </c>
      <c r="E927" t="s">
        <v>9866</v>
      </c>
      <c r="F927" t="s">
        <v>7672</v>
      </c>
      <c r="G927" t="s">
        <v>9867</v>
      </c>
      <c r="H927" t="s">
        <v>7974</v>
      </c>
      <c r="I927" t="s">
        <v>76</v>
      </c>
      <c r="J927" t="s">
        <v>8451</v>
      </c>
    </row>
    <row r="928" spans="1:10" x14ac:dyDescent="0.25">
      <c r="A928" t="s">
        <v>9949</v>
      </c>
      <c r="B928">
        <v>3.9119999999999999</v>
      </c>
      <c r="C928" t="s">
        <v>9950</v>
      </c>
      <c r="D928" t="s">
        <v>9951</v>
      </c>
      <c r="E928" t="s">
        <v>9866</v>
      </c>
      <c r="F928" t="s">
        <v>7672</v>
      </c>
      <c r="G928" t="s">
        <v>9867</v>
      </c>
      <c r="H928" t="s">
        <v>7974</v>
      </c>
      <c r="I928" t="s">
        <v>9874</v>
      </c>
      <c r="J928" t="s">
        <v>8451</v>
      </c>
    </row>
    <row r="929" spans="1:10" x14ac:dyDescent="0.25">
      <c r="A929" t="s">
        <v>9952</v>
      </c>
      <c r="B929">
        <v>3.9119999999999999</v>
      </c>
      <c r="C929" t="s">
        <v>9953</v>
      </c>
      <c r="D929" t="s">
        <v>7779</v>
      </c>
      <c r="E929" t="s">
        <v>9866</v>
      </c>
      <c r="F929" t="s">
        <v>7672</v>
      </c>
      <c r="G929" t="s">
        <v>9867</v>
      </c>
      <c r="H929" t="s">
        <v>7974</v>
      </c>
      <c r="I929" t="s">
        <v>145</v>
      </c>
      <c r="J929" t="s">
        <v>8451</v>
      </c>
    </row>
    <row r="930" spans="1:10" x14ac:dyDescent="0.25">
      <c r="A930" t="s">
        <v>9954</v>
      </c>
      <c r="B930">
        <v>3.9119999999999999</v>
      </c>
      <c r="C930" t="s">
        <v>9955</v>
      </c>
      <c r="D930" t="s">
        <v>9956</v>
      </c>
      <c r="E930" t="s">
        <v>9866</v>
      </c>
      <c r="F930" t="s">
        <v>7672</v>
      </c>
      <c r="G930" t="s">
        <v>9867</v>
      </c>
      <c r="H930" t="s">
        <v>7974</v>
      </c>
      <c r="I930" t="s">
        <v>278</v>
      </c>
      <c r="J930" t="s">
        <v>8451</v>
      </c>
    </row>
    <row r="931" spans="1:10" x14ac:dyDescent="0.25">
      <c r="A931" t="s">
        <v>9957</v>
      </c>
      <c r="B931">
        <v>3.9119999999999999</v>
      </c>
      <c r="C931" t="s">
        <v>9958</v>
      </c>
      <c r="D931" t="s">
        <v>9959</v>
      </c>
      <c r="E931" t="s">
        <v>9866</v>
      </c>
      <c r="F931" t="s">
        <v>7672</v>
      </c>
      <c r="G931" t="s">
        <v>9867</v>
      </c>
      <c r="H931" t="s">
        <v>7974</v>
      </c>
      <c r="I931" t="s">
        <v>9877</v>
      </c>
      <c r="J931" t="s">
        <v>8451</v>
      </c>
    </row>
    <row r="932" spans="1:10" x14ac:dyDescent="0.25">
      <c r="A932" t="s">
        <v>9960</v>
      </c>
      <c r="B932">
        <v>3.9119999999999999</v>
      </c>
      <c r="C932" t="s">
        <v>9961</v>
      </c>
      <c r="D932" t="s">
        <v>1932</v>
      </c>
      <c r="E932" t="s">
        <v>9866</v>
      </c>
      <c r="F932" t="s">
        <v>7672</v>
      </c>
      <c r="G932" t="s">
        <v>9867</v>
      </c>
      <c r="H932" t="s">
        <v>7974</v>
      </c>
      <c r="I932" t="s">
        <v>9880</v>
      </c>
      <c r="J932" t="s">
        <v>8451</v>
      </c>
    </row>
    <row r="933" spans="1:10" x14ac:dyDescent="0.25">
      <c r="A933" t="s">
        <v>9962</v>
      </c>
      <c r="B933">
        <v>3.9119999999999999</v>
      </c>
      <c r="C933" t="s">
        <v>9963</v>
      </c>
      <c r="D933" t="s">
        <v>9964</v>
      </c>
      <c r="E933" t="s">
        <v>9866</v>
      </c>
      <c r="F933" t="s">
        <v>7672</v>
      </c>
      <c r="G933" t="s">
        <v>9867</v>
      </c>
      <c r="H933" t="s">
        <v>7974</v>
      </c>
      <c r="I933" t="s">
        <v>935</v>
      </c>
      <c r="J933" t="s">
        <v>8451</v>
      </c>
    </row>
    <row r="934" spans="1:10" x14ac:dyDescent="0.25">
      <c r="A934" t="s">
        <v>9965</v>
      </c>
      <c r="B934">
        <v>3.9119999999999999</v>
      </c>
      <c r="C934" t="s">
        <v>9966</v>
      </c>
      <c r="D934" t="s">
        <v>240</v>
      </c>
      <c r="E934" t="s">
        <v>9866</v>
      </c>
      <c r="F934" t="s">
        <v>7672</v>
      </c>
      <c r="G934" t="s">
        <v>9867</v>
      </c>
      <c r="H934" t="s">
        <v>7974</v>
      </c>
      <c r="I934" t="s">
        <v>9883</v>
      </c>
      <c r="J934" t="s">
        <v>8451</v>
      </c>
    </row>
    <row r="935" spans="1:10" x14ac:dyDescent="0.25">
      <c r="A935" t="s">
        <v>9967</v>
      </c>
      <c r="B935">
        <v>3.9119999999999999</v>
      </c>
      <c r="C935" t="s">
        <v>9968</v>
      </c>
      <c r="D935" t="s">
        <v>9969</v>
      </c>
      <c r="E935" t="s">
        <v>9866</v>
      </c>
      <c r="F935" t="s">
        <v>7672</v>
      </c>
      <c r="G935" t="s">
        <v>9867</v>
      </c>
      <c r="H935" t="s">
        <v>7974</v>
      </c>
      <c r="I935" t="s">
        <v>9889</v>
      </c>
      <c r="J935" t="s">
        <v>8451</v>
      </c>
    </row>
    <row r="936" spans="1:10" x14ac:dyDescent="0.25">
      <c r="A936" t="s">
        <v>9970</v>
      </c>
      <c r="B936">
        <v>3.9119999999999999</v>
      </c>
      <c r="C936" t="s">
        <v>9971</v>
      </c>
      <c r="D936" t="s">
        <v>9972</v>
      </c>
      <c r="E936" t="s">
        <v>9866</v>
      </c>
      <c r="F936" t="s">
        <v>7672</v>
      </c>
      <c r="G936" t="s">
        <v>9867</v>
      </c>
      <c r="H936" t="s">
        <v>7974</v>
      </c>
      <c r="I936" t="s">
        <v>9892</v>
      </c>
      <c r="J936" t="s">
        <v>8451</v>
      </c>
    </row>
    <row r="937" spans="1:10" x14ac:dyDescent="0.25">
      <c r="A937" t="s">
        <v>9973</v>
      </c>
      <c r="B937">
        <v>3.9119999999999999</v>
      </c>
      <c r="C937" t="s">
        <v>9974</v>
      </c>
      <c r="D937" t="s">
        <v>199</v>
      </c>
      <c r="E937" t="s">
        <v>9866</v>
      </c>
      <c r="F937" t="s">
        <v>7672</v>
      </c>
      <c r="G937" t="s">
        <v>9867</v>
      </c>
      <c r="H937" t="s">
        <v>7974</v>
      </c>
      <c r="I937" t="s">
        <v>278</v>
      </c>
      <c r="J937" t="s">
        <v>8462</v>
      </c>
    </row>
    <row r="938" spans="1:10" x14ac:dyDescent="0.25">
      <c r="A938" t="s">
        <v>9975</v>
      </c>
      <c r="B938">
        <v>3.9119999999999999</v>
      </c>
      <c r="C938" t="s">
        <v>9976</v>
      </c>
      <c r="D938" t="s">
        <v>9566</v>
      </c>
      <c r="E938" t="s">
        <v>9866</v>
      </c>
      <c r="F938" t="s">
        <v>7672</v>
      </c>
      <c r="G938" t="s">
        <v>9867</v>
      </c>
      <c r="H938" t="s">
        <v>7974</v>
      </c>
      <c r="I938" t="s">
        <v>76</v>
      </c>
      <c r="J938" t="s">
        <v>8462</v>
      </c>
    </row>
    <row r="939" spans="1:10" x14ac:dyDescent="0.25">
      <c r="A939" t="s">
        <v>9977</v>
      </c>
      <c r="B939">
        <v>3.9119999999999999</v>
      </c>
      <c r="C939" t="s">
        <v>9978</v>
      </c>
      <c r="D939" t="s">
        <v>4924</v>
      </c>
      <c r="E939" t="s">
        <v>9866</v>
      </c>
      <c r="F939" t="s">
        <v>7672</v>
      </c>
      <c r="G939" t="s">
        <v>9867</v>
      </c>
      <c r="H939" t="s">
        <v>7974</v>
      </c>
      <c r="I939" t="s">
        <v>9874</v>
      </c>
      <c r="J939" t="s">
        <v>8462</v>
      </c>
    </row>
    <row r="940" spans="1:10" x14ac:dyDescent="0.25">
      <c r="A940" t="s">
        <v>9979</v>
      </c>
      <c r="B940">
        <v>3.9119999999999999</v>
      </c>
      <c r="C940" t="s">
        <v>9980</v>
      </c>
      <c r="D940" t="s">
        <v>7993</v>
      </c>
      <c r="E940" t="s">
        <v>9866</v>
      </c>
      <c r="F940" t="s">
        <v>7672</v>
      </c>
      <c r="G940" t="s">
        <v>9867</v>
      </c>
      <c r="H940" t="s">
        <v>7974</v>
      </c>
      <c r="I940" t="s">
        <v>145</v>
      </c>
      <c r="J940" t="s">
        <v>8462</v>
      </c>
    </row>
    <row r="941" spans="1:10" x14ac:dyDescent="0.25">
      <c r="A941" t="s">
        <v>9981</v>
      </c>
      <c r="B941">
        <v>3.9119999999999999</v>
      </c>
      <c r="C941" t="s">
        <v>9982</v>
      </c>
      <c r="D941" t="s">
        <v>9983</v>
      </c>
      <c r="E941" t="s">
        <v>9866</v>
      </c>
      <c r="F941" t="s">
        <v>7672</v>
      </c>
      <c r="G941" t="s">
        <v>9867</v>
      </c>
      <c r="H941" t="s">
        <v>7974</v>
      </c>
      <c r="I941" t="s">
        <v>278</v>
      </c>
      <c r="J941" t="s">
        <v>8462</v>
      </c>
    </row>
    <row r="942" spans="1:10" x14ac:dyDescent="0.25">
      <c r="A942" t="s">
        <v>9984</v>
      </c>
      <c r="B942">
        <v>3.9119999999999999</v>
      </c>
      <c r="C942" t="s">
        <v>9985</v>
      </c>
      <c r="D942" t="s">
        <v>2578</v>
      </c>
      <c r="E942" t="s">
        <v>9866</v>
      </c>
      <c r="F942" t="s">
        <v>7672</v>
      </c>
      <c r="G942" t="s">
        <v>9867</v>
      </c>
      <c r="H942" t="s">
        <v>7974</v>
      </c>
      <c r="I942" t="s">
        <v>9877</v>
      </c>
      <c r="J942" t="s">
        <v>8462</v>
      </c>
    </row>
    <row r="943" spans="1:10" x14ac:dyDescent="0.25">
      <c r="A943" t="s">
        <v>9986</v>
      </c>
      <c r="B943">
        <v>3.9119999999999999</v>
      </c>
      <c r="C943" t="s">
        <v>9987</v>
      </c>
      <c r="D943" t="s">
        <v>3832</v>
      </c>
      <c r="E943" t="s">
        <v>9866</v>
      </c>
      <c r="F943" t="s">
        <v>7672</v>
      </c>
      <c r="G943" t="s">
        <v>9867</v>
      </c>
      <c r="H943" t="s">
        <v>7974</v>
      </c>
      <c r="I943" t="s">
        <v>9880</v>
      </c>
      <c r="J943" t="s">
        <v>8462</v>
      </c>
    </row>
    <row r="944" spans="1:10" x14ac:dyDescent="0.25">
      <c r="A944" t="s">
        <v>9988</v>
      </c>
      <c r="B944">
        <v>3.9119999999999999</v>
      </c>
      <c r="C944" t="s">
        <v>9989</v>
      </c>
      <c r="D944" t="s">
        <v>2879</v>
      </c>
      <c r="E944" t="s">
        <v>9866</v>
      </c>
      <c r="F944" t="s">
        <v>7672</v>
      </c>
      <c r="G944" t="s">
        <v>9867</v>
      </c>
      <c r="H944" t="s">
        <v>7974</v>
      </c>
      <c r="I944" t="s">
        <v>9883</v>
      </c>
      <c r="J944" t="s">
        <v>8462</v>
      </c>
    </row>
    <row r="945" spans="1:10" x14ac:dyDescent="0.25">
      <c r="A945" t="s">
        <v>9990</v>
      </c>
      <c r="B945">
        <v>3.9119999999999999</v>
      </c>
      <c r="C945" t="s">
        <v>9991</v>
      </c>
      <c r="D945" t="s">
        <v>2036</v>
      </c>
      <c r="E945" t="s">
        <v>9866</v>
      </c>
      <c r="F945" t="s">
        <v>7672</v>
      </c>
      <c r="G945" t="s">
        <v>9867</v>
      </c>
      <c r="H945" t="s">
        <v>7974</v>
      </c>
      <c r="I945" t="s">
        <v>9892</v>
      </c>
      <c r="J945" t="s">
        <v>8462</v>
      </c>
    </row>
    <row r="946" spans="1:10" x14ac:dyDescent="0.25">
      <c r="A946" t="s">
        <v>9992</v>
      </c>
      <c r="B946">
        <v>3.9119999999999999</v>
      </c>
      <c r="C946" t="s">
        <v>9993</v>
      </c>
      <c r="D946" t="s">
        <v>2072</v>
      </c>
      <c r="E946" t="s">
        <v>9866</v>
      </c>
      <c r="F946" t="s">
        <v>7672</v>
      </c>
      <c r="G946" t="s">
        <v>9867</v>
      </c>
      <c r="H946" t="s">
        <v>7974</v>
      </c>
      <c r="I946" t="s">
        <v>9889</v>
      </c>
      <c r="J946" t="s">
        <v>8462</v>
      </c>
    </row>
    <row r="947" spans="1:10" x14ac:dyDescent="0.25">
      <c r="A947" t="s">
        <v>9994</v>
      </c>
      <c r="B947">
        <v>3.9119999999999999</v>
      </c>
      <c r="C947" t="s">
        <v>9995</v>
      </c>
      <c r="D947" t="s">
        <v>4127</v>
      </c>
      <c r="E947" t="s">
        <v>9866</v>
      </c>
      <c r="F947" t="s">
        <v>7672</v>
      </c>
      <c r="G947" t="s">
        <v>9867</v>
      </c>
      <c r="H947" t="s">
        <v>7974</v>
      </c>
      <c r="I947" t="s">
        <v>935</v>
      </c>
      <c r="J947" t="s">
        <v>8462</v>
      </c>
    </row>
    <row r="948" spans="1:10" x14ac:dyDescent="0.25">
      <c r="A948" t="s">
        <v>9996</v>
      </c>
      <c r="B948">
        <v>3.9119999999999999</v>
      </c>
      <c r="C948" t="s">
        <v>9997</v>
      </c>
      <c r="D948" t="s">
        <v>7850</v>
      </c>
      <c r="E948" t="s">
        <v>9866</v>
      </c>
      <c r="F948" t="s">
        <v>7672</v>
      </c>
      <c r="G948" t="s">
        <v>9867</v>
      </c>
      <c r="H948" t="s">
        <v>7974</v>
      </c>
      <c r="I948" t="s">
        <v>278</v>
      </c>
      <c r="J948" t="s">
        <v>9998</v>
      </c>
    </row>
    <row r="949" spans="1:10" x14ac:dyDescent="0.25">
      <c r="A949" t="s">
        <v>9999</v>
      </c>
      <c r="B949">
        <v>3.9119999999999999</v>
      </c>
      <c r="C949" t="s">
        <v>10000</v>
      </c>
      <c r="D949" t="s">
        <v>9905</v>
      </c>
      <c r="E949" t="s">
        <v>9866</v>
      </c>
      <c r="F949" t="s">
        <v>7672</v>
      </c>
      <c r="G949" t="s">
        <v>9867</v>
      </c>
      <c r="H949" t="s">
        <v>7974</v>
      </c>
      <c r="I949" t="s">
        <v>76</v>
      </c>
      <c r="J949" t="s">
        <v>9998</v>
      </c>
    </row>
    <row r="950" spans="1:10" x14ac:dyDescent="0.25">
      <c r="A950" t="s">
        <v>10001</v>
      </c>
      <c r="B950">
        <v>3.9119999999999999</v>
      </c>
      <c r="C950" t="s">
        <v>10002</v>
      </c>
      <c r="D950" t="s">
        <v>10003</v>
      </c>
      <c r="E950" t="s">
        <v>9866</v>
      </c>
      <c r="F950" t="s">
        <v>7672</v>
      </c>
      <c r="G950" t="s">
        <v>9867</v>
      </c>
      <c r="H950" t="s">
        <v>7974</v>
      </c>
      <c r="I950" t="s">
        <v>278</v>
      </c>
      <c r="J950" t="s">
        <v>9998</v>
      </c>
    </row>
    <row r="951" spans="1:10" x14ac:dyDescent="0.25">
      <c r="A951" t="s">
        <v>10004</v>
      </c>
      <c r="B951">
        <v>3.9119999999999999</v>
      </c>
      <c r="C951" t="s">
        <v>10005</v>
      </c>
      <c r="D951" t="s">
        <v>10006</v>
      </c>
      <c r="E951" t="s">
        <v>9866</v>
      </c>
      <c r="F951" t="s">
        <v>7672</v>
      </c>
      <c r="G951" t="s">
        <v>9867</v>
      </c>
      <c r="H951" t="s">
        <v>7974</v>
      </c>
      <c r="I951" t="s">
        <v>145</v>
      </c>
      <c r="J951" t="s">
        <v>9998</v>
      </c>
    </row>
    <row r="952" spans="1:10" x14ac:dyDescent="0.25">
      <c r="A952" t="s">
        <v>10007</v>
      </c>
      <c r="B952">
        <v>3.9119999999999999</v>
      </c>
      <c r="C952" t="s">
        <v>10008</v>
      </c>
      <c r="D952" t="s">
        <v>3613</v>
      </c>
      <c r="E952" t="s">
        <v>9866</v>
      </c>
      <c r="F952" t="s">
        <v>7672</v>
      </c>
      <c r="G952" t="s">
        <v>9867</v>
      </c>
      <c r="H952" t="s">
        <v>7974</v>
      </c>
      <c r="I952" t="s">
        <v>76</v>
      </c>
      <c r="J952" t="s">
        <v>9998</v>
      </c>
    </row>
    <row r="953" spans="1:10" x14ac:dyDescent="0.25">
      <c r="A953" t="s">
        <v>10009</v>
      </c>
      <c r="B953">
        <v>3.9119999999999999</v>
      </c>
      <c r="C953" t="s">
        <v>10010</v>
      </c>
      <c r="D953" t="s">
        <v>1949</v>
      </c>
      <c r="E953" t="s">
        <v>9866</v>
      </c>
      <c r="F953" t="s">
        <v>7672</v>
      </c>
      <c r="G953" t="s">
        <v>9867</v>
      </c>
      <c r="H953" t="s">
        <v>7974</v>
      </c>
      <c r="I953" t="s">
        <v>9874</v>
      </c>
      <c r="J953" t="s">
        <v>9998</v>
      </c>
    </row>
    <row r="954" spans="1:10" x14ac:dyDescent="0.25">
      <c r="A954" t="s">
        <v>10011</v>
      </c>
      <c r="B954">
        <v>3.9119999999999999</v>
      </c>
      <c r="C954" t="s">
        <v>10012</v>
      </c>
      <c r="D954" t="s">
        <v>3999</v>
      </c>
      <c r="E954" t="s">
        <v>9866</v>
      </c>
      <c r="F954" t="s">
        <v>7672</v>
      </c>
      <c r="G954" t="s">
        <v>9867</v>
      </c>
      <c r="H954" t="s">
        <v>7974</v>
      </c>
      <c r="I954" t="s">
        <v>145</v>
      </c>
      <c r="J954" t="s">
        <v>9998</v>
      </c>
    </row>
    <row r="955" spans="1:10" x14ac:dyDescent="0.25">
      <c r="A955" t="s">
        <v>10013</v>
      </c>
      <c r="B955">
        <v>3.9119999999999999</v>
      </c>
      <c r="C955" t="s">
        <v>10014</v>
      </c>
      <c r="D955" t="s">
        <v>10015</v>
      </c>
      <c r="E955" t="s">
        <v>9866</v>
      </c>
      <c r="F955" t="s">
        <v>7672</v>
      </c>
      <c r="G955" t="s">
        <v>9867</v>
      </c>
      <c r="H955" t="s">
        <v>7974</v>
      </c>
      <c r="I955" t="s">
        <v>278</v>
      </c>
      <c r="J955" t="s">
        <v>9998</v>
      </c>
    </row>
    <row r="956" spans="1:10" x14ac:dyDescent="0.25">
      <c r="A956" t="s">
        <v>10016</v>
      </c>
      <c r="B956">
        <v>3.9119999999999999</v>
      </c>
      <c r="C956" t="s">
        <v>10017</v>
      </c>
      <c r="D956" t="s">
        <v>720</v>
      </c>
      <c r="E956" t="s">
        <v>9866</v>
      </c>
      <c r="F956" t="s">
        <v>7672</v>
      </c>
      <c r="G956" t="s">
        <v>9867</v>
      </c>
      <c r="H956" t="s">
        <v>7974</v>
      </c>
      <c r="I956" t="s">
        <v>9877</v>
      </c>
      <c r="J956" t="s">
        <v>9998</v>
      </c>
    </row>
    <row r="957" spans="1:10" x14ac:dyDescent="0.25">
      <c r="A957" t="s">
        <v>10018</v>
      </c>
      <c r="B957">
        <v>3.9119999999999999</v>
      </c>
      <c r="C957" t="s">
        <v>10019</v>
      </c>
      <c r="D957" t="s">
        <v>598</v>
      </c>
      <c r="E957" t="s">
        <v>9866</v>
      </c>
      <c r="F957" t="s">
        <v>7672</v>
      </c>
      <c r="G957" t="s">
        <v>9867</v>
      </c>
      <c r="H957" t="s">
        <v>7974</v>
      </c>
      <c r="I957" t="s">
        <v>9880</v>
      </c>
      <c r="J957" t="s">
        <v>9998</v>
      </c>
    </row>
    <row r="958" spans="1:10" x14ac:dyDescent="0.25">
      <c r="A958" t="s">
        <v>10020</v>
      </c>
      <c r="B958">
        <v>3.9119999999999999</v>
      </c>
      <c r="C958" t="s">
        <v>10021</v>
      </c>
      <c r="D958" t="s">
        <v>199</v>
      </c>
      <c r="E958" t="s">
        <v>9866</v>
      </c>
      <c r="F958" t="s">
        <v>7672</v>
      </c>
      <c r="G958" t="s">
        <v>9867</v>
      </c>
      <c r="H958" t="s">
        <v>7974</v>
      </c>
      <c r="I958" t="s">
        <v>10022</v>
      </c>
      <c r="J958" t="s">
        <v>9998</v>
      </c>
    </row>
    <row r="959" spans="1:10" x14ac:dyDescent="0.25">
      <c r="A959" t="s">
        <v>10023</v>
      </c>
      <c r="B959">
        <v>3.9119999999999999</v>
      </c>
      <c r="C959" t="s">
        <v>10024</v>
      </c>
      <c r="D959" t="s">
        <v>296</v>
      </c>
      <c r="E959" t="s">
        <v>9866</v>
      </c>
      <c r="F959" t="s">
        <v>7672</v>
      </c>
      <c r="G959" t="s">
        <v>9867</v>
      </c>
      <c r="H959" t="s">
        <v>7974</v>
      </c>
      <c r="I959" t="s">
        <v>935</v>
      </c>
      <c r="J959" t="s">
        <v>9998</v>
      </c>
    </row>
    <row r="960" spans="1:10" x14ac:dyDescent="0.25">
      <c r="A960" t="s">
        <v>10025</v>
      </c>
      <c r="B960">
        <v>3.9119999999999999</v>
      </c>
      <c r="C960" t="s">
        <v>10026</v>
      </c>
      <c r="D960" t="s">
        <v>106</v>
      </c>
      <c r="E960" t="s">
        <v>9866</v>
      </c>
      <c r="F960" t="s">
        <v>7672</v>
      </c>
      <c r="G960" t="s">
        <v>9867</v>
      </c>
      <c r="H960" t="s">
        <v>7974</v>
      </c>
      <c r="I960" t="s">
        <v>9886</v>
      </c>
      <c r="J960" t="s">
        <v>9998</v>
      </c>
    </row>
    <row r="961" spans="1:10" x14ac:dyDescent="0.25">
      <c r="A961" t="s">
        <v>10027</v>
      </c>
      <c r="B961">
        <v>3.9119999999999999</v>
      </c>
      <c r="C961" t="s">
        <v>10028</v>
      </c>
      <c r="D961" t="s">
        <v>290</v>
      </c>
      <c r="E961" t="s">
        <v>9866</v>
      </c>
      <c r="F961" t="s">
        <v>7672</v>
      </c>
      <c r="G961" t="s">
        <v>9867</v>
      </c>
      <c r="H961" t="s">
        <v>7974</v>
      </c>
      <c r="I961" t="s">
        <v>9883</v>
      </c>
      <c r="J961" t="s">
        <v>9998</v>
      </c>
    </row>
    <row r="962" spans="1:10" x14ac:dyDescent="0.25">
      <c r="A962" t="s">
        <v>10029</v>
      </c>
      <c r="B962">
        <v>3.9119999999999999</v>
      </c>
      <c r="C962" t="s">
        <v>10030</v>
      </c>
      <c r="D962" t="s">
        <v>1236</v>
      </c>
      <c r="E962" t="s">
        <v>9866</v>
      </c>
      <c r="F962" t="s">
        <v>7672</v>
      </c>
      <c r="G962" t="s">
        <v>9867</v>
      </c>
      <c r="H962" t="s">
        <v>7974</v>
      </c>
      <c r="I962" t="s">
        <v>9892</v>
      </c>
      <c r="J962" t="s">
        <v>9998</v>
      </c>
    </row>
    <row r="963" spans="1:10" x14ac:dyDescent="0.25">
      <c r="A963" t="s">
        <v>10031</v>
      </c>
      <c r="B963">
        <v>3.9119999999999999</v>
      </c>
      <c r="C963" t="s">
        <v>10032</v>
      </c>
      <c r="D963" t="s">
        <v>240</v>
      </c>
      <c r="E963" t="s">
        <v>9866</v>
      </c>
      <c r="F963" t="s">
        <v>7672</v>
      </c>
      <c r="G963" t="s">
        <v>9867</v>
      </c>
      <c r="H963" t="s">
        <v>7974</v>
      </c>
      <c r="I963" t="s">
        <v>9889</v>
      </c>
      <c r="J963" t="s">
        <v>9998</v>
      </c>
    </row>
    <row r="964" spans="1:10" x14ac:dyDescent="0.25">
      <c r="A964" t="s">
        <v>2352</v>
      </c>
      <c r="B964">
        <v>13.496</v>
      </c>
      <c r="C964" t="s">
        <v>2354</v>
      </c>
      <c r="D964" t="s">
        <v>436</v>
      </c>
      <c r="E964" t="s">
        <v>2355</v>
      </c>
      <c r="F964" t="s">
        <v>7672</v>
      </c>
      <c r="G964" t="s">
        <v>10033</v>
      </c>
      <c r="H964" t="s">
        <v>7954</v>
      </c>
      <c r="I964" t="s">
        <v>2358</v>
      </c>
      <c r="J964" t="s">
        <v>8001</v>
      </c>
    </row>
    <row r="965" spans="1:10" x14ac:dyDescent="0.25">
      <c r="A965" t="s">
        <v>10034</v>
      </c>
      <c r="B965">
        <v>10</v>
      </c>
      <c r="C965" t="s">
        <v>10035</v>
      </c>
      <c r="D965" t="s">
        <v>10036</v>
      </c>
      <c r="E965" t="s">
        <v>10037</v>
      </c>
      <c r="F965" t="s">
        <v>7672</v>
      </c>
      <c r="G965" t="s">
        <v>10038</v>
      </c>
      <c r="H965" t="s">
        <v>8027</v>
      </c>
      <c r="I965" t="s">
        <v>1675</v>
      </c>
      <c r="J965" t="s">
        <v>7942</v>
      </c>
    </row>
    <row r="966" spans="1:10" x14ac:dyDescent="0.25">
      <c r="A966" t="s">
        <v>10039</v>
      </c>
      <c r="B966">
        <v>10</v>
      </c>
      <c r="C966" t="s">
        <v>10040</v>
      </c>
      <c r="D966" t="s">
        <v>10041</v>
      </c>
      <c r="E966" t="s">
        <v>10037</v>
      </c>
      <c r="F966" t="s">
        <v>7672</v>
      </c>
      <c r="G966" t="s">
        <v>10038</v>
      </c>
      <c r="H966" t="s">
        <v>8027</v>
      </c>
      <c r="I966" t="s">
        <v>1675</v>
      </c>
      <c r="J966" t="s">
        <v>7981</v>
      </c>
    </row>
    <row r="967" spans="1:10" x14ac:dyDescent="0.25">
      <c r="A967" t="s">
        <v>10042</v>
      </c>
      <c r="B967">
        <v>10</v>
      </c>
      <c r="C967" t="s">
        <v>10043</v>
      </c>
      <c r="D967" t="s">
        <v>10044</v>
      </c>
      <c r="E967" t="s">
        <v>10037</v>
      </c>
      <c r="F967" t="s">
        <v>7672</v>
      </c>
      <c r="G967" t="s">
        <v>10038</v>
      </c>
      <c r="H967" t="s">
        <v>8027</v>
      </c>
      <c r="I967" t="s">
        <v>1675</v>
      </c>
      <c r="J967" t="s">
        <v>7984</v>
      </c>
    </row>
    <row r="968" spans="1:10" x14ac:dyDescent="0.25">
      <c r="A968" t="s">
        <v>10045</v>
      </c>
      <c r="B968">
        <v>10</v>
      </c>
      <c r="C968" t="s">
        <v>10046</v>
      </c>
      <c r="D968" t="s">
        <v>10047</v>
      </c>
      <c r="E968" t="s">
        <v>10037</v>
      </c>
      <c r="F968" t="s">
        <v>7672</v>
      </c>
      <c r="G968" t="s">
        <v>10038</v>
      </c>
      <c r="H968" t="s">
        <v>8027</v>
      </c>
      <c r="I968" t="s">
        <v>1675</v>
      </c>
      <c r="J968" t="s">
        <v>7987</v>
      </c>
    </row>
    <row r="969" spans="1:10" x14ac:dyDescent="0.25">
      <c r="A969" t="s">
        <v>10048</v>
      </c>
      <c r="B969">
        <v>10</v>
      </c>
      <c r="C969" t="s">
        <v>10049</v>
      </c>
      <c r="D969" t="s">
        <v>10050</v>
      </c>
      <c r="E969" t="s">
        <v>10037</v>
      </c>
      <c r="F969" t="s">
        <v>7672</v>
      </c>
      <c r="G969" t="s">
        <v>10038</v>
      </c>
      <c r="H969" t="s">
        <v>8027</v>
      </c>
      <c r="I969" t="s">
        <v>1675</v>
      </c>
      <c r="J969" t="s">
        <v>8001</v>
      </c>
    </row>
    <row r="970" spans="1:10" x14ac:dyDescent="0.25">
      <c r="A970" t="s">
        <v>10051</v>
      </c>
      <c r="B970">
        <v>10</v>
      </c>
      <c r="C970" t="s">
        <v>10052</v>
      </c>
      <c r="D970" t="s">
        <v>10053</v>
      </c>
      <c r="E970" t="s">
        <v>10037</v>
      </c>
      <c r="F970" t="s">
        <v>7672</v>
      </c>
      <c r="G970" t="s">
        <v>10038</v>
      </c>
      <c r="H970" t="s">
        <v>8027</v>
      </c>
      <c r="I970" t="s">
        <v>1675</v>
      </c>
      <c r="J970" t="s">
        <v>8013</v>
      </c>
    </row>
    <row r="971" spans="1:10" x14ac:dyDescent="0.25">
      <c r="A971" t="s">
        <v>10054</v>
      </c>
      <c r="B971">
        <v>4.16</v>
      </c>
      <c r="C971" t="s">
        <v>10055</v>
      </c>
      <c r="D971" t="s">
        <v>835</v>
      </c>
      <c r="E971" t="s">
        <v>10056</v>
      </c>
      <c r="F971" t="s">
        <v>7672</v>
      </c>
      <c r="G971" t="s">
        <v>10057</v>
      </c>
      <c r="H971" t="s">
        <v>7674</v>
      </c>
      <c r="I971" t="s">
        <v>3799</v>
      </c>
      <c r="J971" t="s">
        <v>7981</v>
      </c>
    </row>
    <row r="972" spans="1:10" x14ac:dyDescent="0.25">
      <c r="A972" t="s">
        <v>10058</v>
      </c>
      <c r="B972">
        <v>4.16</v>
      </c>
      <c r="C972" t="s">
        <v>10059</v>
      </c>
      <c r="D972" t="s">
        <v>786</v>
      </c>
      <c r="E972" t="s">
        <v>10056</v>
      </c>
      <c r="F972" t="s">
        <v>7672</v>
      </c>
      <c r="G972" t="s">
        <v>10057</v>
      </c>
      <c r="H972" t="s">
        <v>7674</v>
      </c>
      <c r="I972" t="s">
        <v>76</v>
      </c>
      <c r="J972" t="s">
        <v>7981</v>
      </c>
    </row>
    <row r="973" spans="1:10" x14ac:dyDescent="0.25">
      <c r="A973" t="s">
        <v>10060</v>
      </c>
      <c r="B973">
        <v>4.16</v>
      </c>
      <c r="C973" t="s">
        <v>10061</v>
      </c>
      <c r="D973" t="s">
        <v>10062</v>
      </c>
      <c r="E973" t="s">
        <v>10056</v>
      </c>
      <c r="F973" t="s">
        <v>7672</v>
      </c>
      <c r="G973" t="s">
        <v>10057</v>
      </c>
      <c r="H973" t="s">
        <v>7674</v>
      </c>
      <c r="I973" t="s">
        <v>235</v>
      </c>
      <c r="J973" t="s">
        <v>7981</v>
      </c>
    </row>
    <row r="974" spans="1:10" x14ac:dyDescent="0.25">
      <c r="A974" t="s">
        <v>10063</v>
      </c>
      <c r="B974">
        <v>4.16</v>
      </c>
      <c r="C974" t="s">
        <v>10064</v>
      </c>
      <c r="D974" t="s">
        <v>986</v>
      </c>
      <c r="E974" t="s">
        <v>10056</v>
      </c>
      <c r="F974" t="s">
        <v>7672</v>
      </c>
      <c r="G974" t="s">
        <v>10057</v>
      </c>
      <c r="H974" t="s">
        <v>7674</v>
      </c>
      <c r="I974" t="s">
        <v>76</v>
      </c>
      <c r="J974" t="s">
        <v>7984</v>
      </c>
    </row>
    <row r="975" spans="1:10" x14ac:dyDescent="0.25">
      <c r="A975" t="s">
        <v>10065</v>
      </c>
      <c r="B975">
        <v>4.16</v>
      </c>
      <c r="C975" t="s">
        <v>10066</v>
      </c>
      <c r="D975" t="s">
        <v>10067</v>
      </c>
      <c r="E975" t="s">
        <v>10056</v>
      </c>
      <c r="F975" t="s">
        <v>7672</v>
      </c>
      <c r="G975" t="s">
        <v>10057</v>
      </c>
      <c r="H975" t="s">
        <v>7674</v>
      </c>
      <c r="I975" t="s">
        <v>235</v>
      </c>
      <c r="J975" t="s">
        <v>7984</v>
      </c>
    </row>
    <row r="976" spans="1:10" x14ac:dyDescent="0.25">
      <c r="A976" t="s">
        <v>10068</v>
      </c>
      <c r="B976">
        <v>4.16</v>
      </c>
      <c r="C976" t="s">
        <v>10069</v>
      </c>
      <c r="D976" t="s">
        <v>10070</v>
      </c>
      <c r="E976" t="s">
        <v>10056</v>
      </c>
      <c r="F976" t="s">
        <v>7672</v>
      </c>
      <c r="G976" t="s">
        <v>10057</v>
      </c>
      <c r="H976" t="s">
        <v>7674</v>
      </c>
      <c r="I976" t="s">
        <v>3799</v>
      </c>
      <c r="J976" t="s">
        <v>7987</v>
      </c>
    </row>
    <row r="977" spans="1:10" x14ac:dyDescent="0.25">
      <c r="A977" t="s">
        <v>10071</v>
      </c>
      <c r="B977">
        <v>4.16</v>
      </c>
      <c r="C977" t="s">
        <v>10072</v>
      </c>
      <c r="D977" t="s">
        <v>9671</v>
      </c>
      <c r="E977" t="s">
        <v>10056</v>
      </c>
      <c r="F977" t="s">
        <v>7672</v>
      </c>
      <c r="G977" t="s">
        <v>10057</v>
      </c>
      <c r="H977" t="s">
        <v>7674</v>
      </c>
      <c r="I977" t="s">
        <v>76</v>
      </c>
      <c r="J977" t="s">
        <v>7987</v>
      </c>
    </row>
    <row r="978" spans="1:10" x14ac:dyDescent="0.25">
      <c r="A978" t="s">
        <v>10073</v>
      </c>
      <c r="B978">
        <v>4.16</v>
      </c>
      <c r="C978" t="s">
        <v>10074</v>
      </c>
      <c r="D978" t="s">
        <v>981</v>
      </c>
      <c r="E978" t="s">
        <v>10056</v>
      </c>
      <c r="F978" t="s">
        <v>7672</v>
      </c>
      <c r="G978" t="s">
        <v>10057</v>
      </c>
      <c r="H978" t="s">
        <v>7674</v>
      </c>
      <c r="I978" t="s">
        <v>1243</v>
      </c>
      <c r="J978" t="s">
        <v>7987</v>
      </c>
    </row>
    <row r="979" spans="1:10" x14ac:dyDescent="0.25">
      <c r="A979" t="s">
        <v>10075</v>
      </c>
      <c r="B979">
        <v>4.16</v>
      </c>
      <c r="C979" t="s">
        <v>10076</v>
      </c>
      <c r="D979" t="s">
        <v>10077</v>
      </c>
      <c r="E979" t="s">
        <v>10056</v>
      </c>
      <c r="F979" t="s">
        <v>7672</v>
      </c>
      <c r="G979" t="s">
        <v>10057</v>
      </c>
      <c r="H979" t="s">
        <v>7674</v>
      </c>
      <c r="I979" t="s">
        <v>235</v>
      </c>
      <c r="J979" t="s">
        <v>7987</v>
      </c>
    </row>
    <row r="980" spans="1:10" x14ac:dyDescent="0.25">
      <c r="A980" t="s">
        <v>10078</v>
      </c>
      <c r="B980">
        <v>4.16</v>
      </c>
      <c r="C980" t="s">
        <v>10079</v>
      </c>
      <c r="D980" t="s">
        <v>4794</v>
      </c>
      <c r="E980" t="s">
        <v>10056</v>
      </c>
      <c r="F980" t="s">
        <v>7672</v>
      </c>
      <c r="G980" t="s">
        <v>10057</v>
      </c>
      <c r="H980" t="s">
        <v>7674</v>
      </c>
      <c r="I980" t="s">
        <v>3799</v>
      </c>
      <c r="J980" t="s">
        <v>8001</v>
      </c>
    </row>
    <row r="981" spans="1:10" x14ac:dyDescent="0.25">
      <c r="A981" t="s">
        <v>10080</v>
      </c>
      <c r="B981">
        <v>4.16</v>
      </c>
      <c r="C981" t="s">
        <v>10081</v>
      </c>
      <c r="D981" t="s">
        <v>2910</v>
      </c>
      <c r="E981" t="s">
        <v>10056</v>
      </c>
      <c r="F981" t="s">
        <v>7672</v>
      </c>
      <c r="G981" t="s">
        <v>10057</v>
      </c>
      <c r="H981" t="s">
        <v>7674</v>
      </c>
      <c r="I981" t="s">
        <v>1243</v>
      </c>
      <c r="J981" t="s">
        <v>8001</v>
      </c>
    </row>
    <row r="982" spans="1:10" x14ac:dyDescent="0.25">
      <c r="A982" t="s">
        <v>10082</v>
      </c>
      <c r="B982">
        <v>4.16</v>
      </c>
      <c r="C982" t="s">
        <v>10083</v>
      </c>
      <c r="D982" t="s">
        <v>10084</v>
      </c>
      <c r="E982" t="s">
        <v>10056</v>
      </c>
      <c r="F982" t="s">
        <v>7672</v>
      </c>
      <c r="G982" t="s">
        <v>10057</v>
      </c>
      <c r="H982" t="s">
        <v>7674</v>
      </c>
      <c r="I982" t="s">
        <v>235</v>
      </c>
      <c r="J982" t="s">
        <v>8001</v>
      </c>
    </row>
    <row r="983" spans="1:10" x14ac:dyDescent="0.25">
      <c r="A983" t="s">
        <v>10085</v>
      </c>
      <c r="B983">
        <v>4.16</v>
      </c>
      <c r="C983" t="s">
        <v>10086</v>
      </c>
      <c r="D983" t="s">
        <v>311</v>
      </c>
      <c r="E983" t="s">
        <v>10056</v>
      </c>
      <c r="F983" t="s">
        <v>7672</v>
      </c>
      <c r="G983" t="s">
        <v>10057</v>
      </c>
      <c r="H983" t="s">
        <v>7674</v>
      </c>
      <c r="I983" t="s">
        <v>76</v>
      </c>
      <c r="J983" t="s">
        <v>8418</v>
      </c>
    </row>
    <row r="984" spans="1:10" x14ac:dyDescent="0.25">
      <c r="A984" t="s">
        <v>10087</v>
      </c>
      <c r="B984">
        <v>4.16</v>
      </c>
      <c r="C984" t="s">
        <v>10088</v>
      </c>
      <c r="D984" t="s">
        <v>88</v>
      </c>
      <c r="E984" t="s">
        <v>10056</v>
      </c>
      <c r="F984" t="s">
        <v>7672</v>
      </c>
      <c r="G984" t="s">
        <v>10057</v>
      </c>
      <c r="H984" t="s">
        <v>7674</v>
      </c>
      <c r="I984" t="s">
        <v>9807</v>
      </c>
      <c r="J984" t="s">
        <v>8418</v>
      </c>
    </row>
    <row r="985" spans="1:10" x14ac:dyDescent="0.25">
      <c r="A985" t="s">
        <v>10089</v>
      </c>
      <c r="B985">
        <v>4.16</v>
      </c>
      <c r="C985" t="s">
        <v>10090</v>
      </c>
      <c r="D985" t="s">
        <v>588</v>
      </c>
      <c r="E985" t="s">
        <v>10056</v>
      </c>
      <c r="F985" t="s">
        <v>7672</v>
      </c>
      <c r="G985" t="s">
        <v>10057</v>
      </c>
      <c r="H985" t="s">
        <v>7674</v>
      </c>
      <c r="I985" t="s">
        <v>3799</v>
      </c>
      <c r="J985" t="s">
        <v>8418</v>
      </c>
    </row>
    <row r="986" spans="1:10" x14ac:dyDescent="0.25">
      <c r="A986" t="s">
        <v>10091</v>
      </c>
      <c r="B986">
        <v>4.16</v>
      </c>
      <c r="C986" t="s">
        <v>10092</v>
      </c>
      <c r="D986" t="s">
        <v>95</v>
      </c>
      <c r="E986" t="s">
        <v>10056</v>
      </c>
      <c r="F986" t="s">
        <v>7672</v>
      </c>
      <c r="G986" t="s">
        <v>10057</v>
      </c>
      <c r="H986" t="s">
        <v>7674</v>
      </c>
      <c r="I986" t="s">
        <v>1243</v>
      </c>
      <c r="J986" t="s">
        <v>8418</v>
      </c>
    </row>
    <row r="987" spans="1:10" x14ac:dyDescent="0.25">
      <c r="A987" t="s">
        <v>10093</v>
      </c>
      <c r="B987">
        <v>4.16</v>
      </c>
      <c r="C987" t="s">
        <v>10094</v>
      </c>
      <c r="D987" t="s">
        <v>1236</v>
      </c>
      <c r="E987" t="s">
        <v>10056</v>
      </c>
      <c r="F987" t="s">
        <v>7672</v>
      </c>
      <c r="G987" t="s">
        <v>10057</v>
      </c>
      <c r="H987" t="s">
        <v>7674</v>
      </c>
      <c r="I987" t="s">
        <v>235</v>
      </c>
      <c r="J987" t="s">
        <v>8418</v>
      </c>
    </row>
    <row r="988" spans="1:10" x14ac:dyDescent="0.25">
      <c r="A988" t="s">
        <v>10095</v>
      </c>
      <c r="B988">
        <v>4.16</v>
      </c>
      <c r="C988" t="s">
        <v>10096</v>
      </c>
      <c r="D988" t="s">
        <v>1134</v>
      </c>
      <c r="E988" t="s">
        <v>10056</v>
      </c>
      <c r="F988" t="s">
        <v>7672</v>
      </c>
      <c r="G988" t="s">
        <v>10057</v>
      </c>
      <c r="H988" t="s">
        <v>7674</v>
      </c>
      <c r="I988" t="s">
        <v>235</v>
      </c>
      <c r="J988" t="s">
        <v>8422</v>
      </c>
    </row>
    <row r="989" spans="1:10" x14ac:dyDescent="0.25">
      <c r="A989" t="s">
        <v>10097</v>
      </c>
      <c r="B989">
        <v>9</v>
      </c>
      <c r="C989" t="s">
        <v>10098</v>
      </c>
      <c r="D989" t="s">
        <v>4141</v>
      </c>
      <c r="E989" t="s">
        <v>10099</v>
      </c>
      <c r="F989" t="s">
        <v>7672</v>
      </c>
      <c r="G989" t="s">
        <v>10100</v>
      </c>
      <c r="H989" t="s">
        <v>8027</v>
      </c>
      <c r="I989" t="s">
        <v>10101</v>
      </c>
      <c r="J989" t="s">
        <v>7981</v>
      </c>
    </row>
    <row r="990" spans="1:10" x14ac:dyDescent="0.25">
      <c r="A990" t="s">
        <v>10102</v>
      </c>
      <c r="B990">
        <v>9</v>
      </c>
      <c r="C990" t="s">
        <v>10103</v>
      </c>
      <c r="D990" t="s">
        <v>3590</v>
      </c>
      <c r="E990" t="s">
        <v>10099</v>
      </c>
      <c r="F990" t="s">
        <v>7672</v>
      </c>
      <c r="G990" t="s">
        <v>10100</v>
      </c>
      <c r="H990" t="s">
        <v>8027</v>
      </c>
      <c r="I990" t="s">
        <v>10101</v>
      </c>
      <c r="J990" t="s">
        <v>7984</v>
      </c>
    </row>
    <row r="991" spans="1:10" x14ac:dyDescent="0.25">
      <c r="A991" t="s">
        <v>10104</v>
      </c>
      <c r="B991">
        <v>9</v>
      </c>
      <c r="C991" t="s">
        <v>10105</v>
      </c>
      <c r="D991" t="s">
        <v>4011</v>
      </c>
      <c r="E991" t="s">
        <v>10099</v>
      </c>
      <c r="F991" t="s">
        <v>7672</v>
      </c>
      <c r="G991" t="s">
        <v>10100</v>
      </c>
      <c r="H991" t="s">
        <v>8027</v>
      </c>
      <c r="I991" t="s">
        <v>10101</v>
      </c>
      <c r="J991" t="s">
        <v>7987</v>
      </c>
    </row>
    <row r="992" spans="1:10" x14ac:dyDescent="0.25">
      <c r="A992" t="s">
        <v>10106</v>
      </c>
      <c r="B992">
        <v>9</v>
      </c>
      <c r="C992" t="s">
        <v>10107</v>
      </c>
      <c r="D992" t="s">
        <v>8530</v>
      </c>
      <c r="E992" t="s">
        <v>10099</v>
      </c>
      <c r="F992" t="s">
        <v>7672</v>
      </c>
      <c r="G992" t="s">
        <v>10100</v>
      </c>
      <c r="H992" t="s">
        <v>8027</v>
      </c>
      <c r="I992" t="s">
        <v>10101</v>
      </c>
      <c r="J992" t="s">
        <v>8001</v>
      </c>
    </row>
    <row r="993" spans="1:10" x14ac:dyDescent="0.25">
      <c r="A993" t="s">
        <v>10108</v>
      </c>
      <c r="B993">
        <v>9</v>
      </c>
      <c r="C993" t="s">
        <v>10109</v>
      </c>
      <c r="D993" t="s">
        <v>991</v>
      </c>
      <c r="E993" t="s">
        <v>10099</v>
      </c>
      <c r="F993" t="s">
        <v>7672</v>
      </c>
      <c r="G993" t="s">
        <v>10100</v>
      </c>
      <c r="H993" t="s">
        <v>8027</v>
      </c>
      <c r="I993" t="s">
        <v>10101</v>
      </c>
      <c r="J993" t="s">
        <v>8013</v>
      </c>
    </row>
    <row r="994" spans="1:10" x14ac:dyDescent="0.25">
      <c r="A994" t="s">
        <v>10110</v>
      </c>
      <c r="B994">
        <v>11.192</v>
      </c>
      <c r="C994" t="s">
        <v>10111</v>
      </c>
      <c r="D994" t="s">
        <v>705</v>
      </c>
      <c r="E994" t="s">
        <v>10112</v>
      </c>
      <c r="F994" t="s">
        <v>7672</v>
      </c>
      <c r="G994" t="s">
        <v>10113</v>
      </c>
      <c r="H994" t="s">
        <v>9127</v>
      </c>
      <c r="I994" t="s">
        <v>10114</v>
      </c>
      <c r="J994" t="s">
        <v>7987</v>
      </c>
    </row>
    <row r="995" spans="1:10" x14ac:dyDescent="0.25">
      <c r="A995" t="s">
        <v>10115</v>
      </c>
      <c r="B995">
        <v>11.192</v>
      </c>
      <c r="C995" t="s">
        <v>10116</v>
      </c>
      <c r="D995" t="s">
        <v>286</v>
      </c>
      <c r="E995" t="s">
        <v>10112</v>
      </c>
      <c r="F995" t="s">
        <v>7672</v>
      </c>
      <c r="G995" t="s">
        <v>10113</v>
      </c>
      <c r="H995" t="s">
        <v>9127</v>
      </c>
      <c r="I995" t="s">
        <v>10117</v>
      </c>
      <c r="J995" t="s">
        <v>7987</v>
      </c>
    </row>
    <row r="996" spans="1:10" x14ac:dyDescent="0.25">
      <c r="A996" t="s">
        <v>10118</v>
      </c>
      <c r="B996">
        <v>11.192</v>
      </c>
      <c r="C996" t="s">
        <v>10119</v>
      </c>
      <c r="D996" t="s">
        <v>2697</v>
      </c>
      <c r="E996" t="s">
        <v>10112</v>
      </c>
      <c r="F996" t="s">
        <v>7672</v>
      </c>
      <c r="G996" t="s">
        <v>10113</v>
      </c>
      <c r="H996" t="s">
        <v>9127</v>
      </c>
      <c r="I996" t="s">
        <v>10117</v>
      </c>
      <c r="J996" t="s">
        <v>8001</v>
      </c>
    </row>
    <row r="997" spans="1:10" x14ac:dyDescent="0.25">
      <c r="A997" t="s">
        <v>10120</v>
      </c>
      <c r="B997">
        <v>11.192</v>
      </c>
      <c r="C997" t="s">
        <v>10121</v>
      </c>
      <c r="D997" t="s">
        <v>705</v>
      </c>
      <c r="E997" t="s">
        <v>10112</v>
      </c>
      <c r="F997" t="s">
        <v>7672</v>
      </c>
      <c r="G997" t="s">
        <v>10113</v>
      </c>
      <c r="H997" t="s">
        <v>9127</v>
      </c>
      <c r="I997" t="s">
        <v>10114</v>
      </c>
      <c r="J997" t="s">
        <v>8001</v>
      </c>
    </row>
    <row r="998" spans="1:10" x14ac:dyDescent="0.25">
      <c r="A998" t="s">
        <v>10122</v>
      </c>
      <c r="B998">
        <v>11.192</v>
      </c>
      <c r="C998" t="s">
        <v>10123</v>
      </c>
      <c r="D998" t="s">
        <v>1134</v>
      </c>
      <c r="E998" t="s">
        <v>10112</v>
      </c>
      <c r="F998" t="s">
        <v>7672</v>
      </c>
      <c r="G998" t="s">
        <v>10113</v>
      </c>
      <c r="H998" t="s">
        <v>9127</v>
      </c>
      <c r="I998" t="s">
        <v>10117</v>
      </c>
      <c r="J998" t="s">
        <v>8013</v>
      </c>
    </row>
    <row r="999" spans="1:10" x14ac:dyDescent="0.25">
      <c r="A999" t="s">
        <v>10124</v>
      </c>
      <c r="B999">
        <v>11.192</v>
      </c>
      <c r="C999" t="s">
        <v>10125</v>
      </c>
      <c r="D999" t="s">
        <v>2072</v>
      </c>
      <c r="E999" t="s">
        <v>10112</v>
      </c>
      <c r="F999" t="s">
        <v>7672</v>
      </c>
      <c r="G999" t="s">
        <v>10113</v>
      </c>
      <c r="H999" t="s">
        <v>9127</v>
      </c>
      <c r="I999" t="s">
        <v>10114</v>
      </c>
      <c r="J999" t="s">
        <v>8013</v>
      </c>
    </row>
    <row r="1000" spans="1:10" x14ac:dyDescent="0.25">
      <c r="A1000" t="s">
        <v>2359</v>
      </c>
      <c r="B1000">
        <v>15.4</v>
      </c>
      <c r="C1000" t="s">
        <v>2361</v>
      </c>
      <c r="D1000" t="s">
        <v>2364</v>
      </c>
      <c r="E1000" t="s">
        <v>2362</v>
      </c>
      <c r="F1000" t="s">
        <v>7672</v>
      </c>
      <c r="G1000" t="s">
        <v>10126</v>
      </c>
      <c r="H1000" t="s">
        <v>7954</v>
      </c>
      <c r="I1000" t="s">
        <v>7955</v>
      </c>
      <c r="J1000" t="s">
        <v>7675</v>
      </c>
    </row>
    <row r="1001" spans="1:10" x14ac:dyDescent="0.25">
      <c r="A1001" t="s">
        <v>2367</v>
      </c>
      <c r="B1001">
        <v>15.4</v>
      </c>
      <c r="C1001" t="s">
        <v>2369</v>
      </c>
      <c r="D1001" t="s">
        <v>2371</v>
      </c>
      <c r="E1001" t="s">
        <v>2362</v>
      </c>
      <c r="F1001" t="s">
        <v>7672</v>
      </c>
      <c r="G1001" t="s">
        <v>10126</v>
      </c>
      <c r="H1001" t="s">
        <v>7954</v>
      </c>
      <c r="I1001" t="s">
        <v>7955</v>
      </c>
      <c r="J1001" t="s">
        <v>7686</v>
      </c>
    </row>
    <row r="1002" spans="1:10" x14ac:dyDescent="0.25">
      <c r="A1002" t="s">
        <v>2372</v>
      </c>
      <c r="B1002">
        <v>15.4</v>
      </c>
      <c r="C1002" t="s">
        <v>2374</v>
      </c>
      <c r="D1002" t="s">
        <v>2376</v>
      </c>
      <c r="E1002" t="s">
        <v>2362</v>
      </c>
      <c r="F1002" t="s">
        <v>7672</v>
      </c>
      <c r="G1002" t="s">
        <v>10126</v>
      </c>
      <c r="H1002" t="s">
        <v>7954</v>
      </c>
      <c r="I1002" t="s">
        <v>7955</v>
      </c>
      <c r="J1002" t="s">
        <v>7703</v>
      </c>
    </row>
    <row r="1003" spans="1:10" x14ac:dyDescent="0.25">
      <c r="A1003" t="s">
        <v>2377</v>
      </c>
      <c r="B1003">
        <v>15.4</v>
      </c>
      <c r="C1003" t="s">
        <v>2379</v>
      </c>
      <c r="D1003" t="s">
        <v>2381</v>
      </c>
      <c r="E1003" t="s">
        <v>2362</v>
      </c>
      <c r="F1003" t="s">
        <v>7672</v>
      </c>
      <c r="G1003" t="s">
        <v>10126</v>
      </c>
      <c r="H1003" t="s">
        <v>7954</v>
      </c>
      <c r="I1003" t="s">
        <v>7955</v>
      </c>
      <c r="J1003" t="s">
        <v>7713</v>
      </c>
    </row>
    <row r="1004" spans="1:10" x14ac:dyDescent="0.25">
      <c r="A1004" t="s">
        <v>2382</v>
      </c>
      <c r="B1004">
        <v>15.4</v>
      </c>
      <c r="C1004" t="s">
        <v>2384</v>
      </c>
      <c r="D1004" t="s">
        <v>1512</v>
      </c>
      <c r="E1004" t="s">
        <v>2362</v>
      </c>
      <c r="F1004" t="s">
        <v>7672</v>
      </c>
      <c r="G1004" t="s">
        <v>10126</v>
      </c>
      <c r="H1004" t="s">
        <v>7954</v>
      </c>
      <c r="I1004" t="s">
        <v>7955</v>
      </c>
      <c r="J1004" t="s">
        <v>7719</v>
      </c>
    </row>
    <row r="1005" spans="1:10" x14ac:dyDescent="0.25">
      <c r="A1005" t="s">
        <v>10127</v>
      </c>
      <c r="B1005">
        <v>14.4</v>
      </c>
      <c r="C1005" t="s">
        <v>10128</v>
      </c>
      <c r="D1005" t="s">
        <v>1795</v>
      </c>
      <c r="E1005" t="s">
        <v>10129</v>
      </c>
      <c r="F1005" t="s">
        <v>7672</v>
      </c>
      <c r="G1005" t="s">
        <v>10130</v>
      </c>
      <c r="H1005" t="s">
        <v>8779</v>
      </c>
      <c r="I1005" t="s">
        <v>935</v>
      </c>
      <c r="J1005" t="s">
        <v>10131</v>
      </c>
    </row>
    <row r="1006" spans="1:10" x14ac:dyDescent="0.25">
      <c r="A1006" t="s">
        <v>10132</v>
      </c>
      <c r="B1006">
        <v>14.4</v>
      </c>
      <c r="C1006" t="s">
        <v>10133</v>
      </c>
      <c r="D1006" t="s">
        <v>715</v>
      </c>
      <c r="E1006" t="s">
        <v>10129</v>
      </c>
      <c r="F1006" t="s">
        <v>7672</v>
      </c>
      <c r="G1006" t="s">
        <v>10130</v>
      </c>
      <c r="H1006" t="s">
        <v>8779</v>
      </c>
      <c r="I1006" t="s">
        <v>3636</v>
      </c>
      <c r="J1006" t="s">
        <v>10131</v>
      </c>
    </row>
    <row r="1007" spans="1:10" x14ac:dyDescent="0.25">
      <c r="A1007" t="s">
        <v>10134</v>
      </c>
      <c r="B1007">
        <v>14.4</v>
      </c>
      <c r="C1007" t="s">
        <v>10135</v>
      </c>
      <c r="D1007" t="s">
        <v>10136</v>
      </c>
      <c r="E1007" t="s">
        <v>10129</v>
      </c>
      <c r="F1007" t="s">
        <v>7672</v>
      </c>
      <c r="G1007" t="s">
        <v>10130</v>
      </c>
      <c r="H1007" t="s">
        <v>8779</v>
      </c>
      <c r="I1007" t="s">
        <v>935</v>
      </c>
      <c r="J1007" t="s">
        <v>10137</v>
      </c>
    </row>
    <row r="1008" spans="1:10" x14ac:dyDescent="0.25">
      <c r="A1008" t="s">
        <v>10138</v>
      </c>
      <c r="B1008">
        <v>14.4</v>
      </c>
      <c r="C1008" t="s">
        <v>10139</v>
      </c>
      <c r="D1008" t="s">
        <v>7771</v>
      </c>
      <c r="E1008" t="s">
        <v>10129</v>
      </c>
      <c r="F1008" t="s">
        <v>7672</v>
      </c>
      <c r="G1008" t="s">
        <v>10130</v>
      </c>
      <c r="H1008" t="s">
        <v>8779</v>
      </c>
      <c r="I1008" t="s">
        <v>10140</v>
      </c>
      <c r="J1008" t="s">
        <v>10137</v>
      </c>
    </row>
    <row r="1009" spans="1:10" x14ac:dyDescent="0.25">
      <c r="A1009" t="s">
        <v>10141</v>
      </c>
      <c r="B1009">
        <v>14.4</v>
      </c>
      <c r="C1009" t="s">
        <v>10142</v>
      </c>
      <c r="D1009" t="s">
        <v>4794</v>
      </c>
      <c r="E1009" t="s">
        <v>10129</v>
      </c>
      <c r="F1009" t="s">
        <v>7672</v>
      </c>
      <c r="G1009" t="s">
        <v>10130</v>
      </c>
      <c r="H1009" t="s">
        <v>8779</v>
      </c>
      <c r="I1009" t="s">
        <v>1243</v>
      </c>
      <c r="J1009" t="s">
        <v>10137</v>
      </c>
    </row>
    <row r="1010" spans="1:10" x14ac:dyDescent="0.25">
      <c r="A1010" t="s">
        <v>10143</v>
      </c>
      <c r="B1010">
        <v>14.4</v>
      </c>
      <c r="C1010" t="s">
        <v>10144</v>
      </c>
      <c r="D1010" t="s">
        <v>10145</v>
      </c>
      <c r="E1010" t="s">
        <v>10129</v>
      </c>
      <c r="F1010" t="s">
        <v>7672</v>
      </c>
      <c r="G1010" t="s">
        <v>10130</v>
      </c>
      <c r="H1010" t="s">
        <v>8779</v>
      </c>
      <c r="I1010" t="s">
        <v>3636</v>
      </c>
      <c r="J1010" t="s">
        <v>10137</v>
      </c>
    </row>
    <row r="1011" spans="1:10" x14ac:dyDescent="0.25">
      <c r="A1011" t="s">
        <v>10146</v>
      </c>
      <c r="B1011">
        <v>14.4</v>
      </c>
      <c r="C1011" t="s">
        <v>10147</v>
      </c>
      <c r="D1011" t="s">
        <v>95</v>
      </c>
      <c r="E1011" t="s">
        <v>10129</v>
      </c>
      <c r="F1011" t="s">
        <v>7672</v>
      </c>
      <c r="G1011" t="s">
        <v>10130</v>
      </c>
      <c r="H1011" t="s">
        <v>8779</v>
      </c>
      <c r="I1011" t="s">
        <v>10140</v>
      </c>
      <c r="J1011" t="s">
        <v>10131</v>
      </c>
    </row>
    <row r="1012" spans="1:10" x14ac:dyDescent="0.25">
      <c r="A1012" t="s">
        <v>10148</v>
      </c>
      <c r="B1012">
        <v>14.4</v>
      </c>
      <c r="C1012" t="s">
        <v>10149</v>
      </c>
      <c r="D1012" t="s">
        <v>4136</v>
      </c>
      <c r="E1012" t="s">
        <v>10129</v>
      </c>
      <c r="F1012" t="s">
        <v>7672</v>
      </c>
      <c r="G1012" t="s">
        <v>10130</v>
      </c>
      <c r="H1012" t="s">
        <v>8779</v>
      </c>
      <c r="I1012" t="s">
        <v>3636</v>
      </c>
      <c r="J1012" t="s">
        <v>10150</v>
      </c>
    </row>
    <row r="1013" spans="1:10" x14ac:dyDescent="0.25">
      <c r="A1013" t="s">
        <v>10151</v>
      </c>
      <c r="B1013">
        <v>14.4</v>
      </c>
      <c r="C1013" t="s">
        <v>10152</v>
      </c>
      <c r="D1013" t="s">
        <v>53</v>
      </c>
      <c r="E1013" t="s">
        <v>10129</v>
      </c>
      <c r="F1013" t="s">
        <v>7672</v>
      </c>
      <c r="G1013" t="s">
        <v>10130</v>
      </c>
      <c r="H1013" t="s">
        <v>8779</v>
      </c>
      <c r="I1013" t="s">
        <v>10153</v>
      </c>
      <c r="J1013" t="s">
        <v>10150</v>
      </c>
    </row>
    <row r="1014" spans="1:10" x14ac:dyDescent="0.25">
      <c r="A1014" t="s">
        <v>10154</v>
      </c>
      <c r="B1014">
        <v>14.4</v>
      </c>
      <c r="C1014" t="s">
        <v>10155</v>
      </c>
      <c r="D1014" t="s">
        <v>60</v>
      </c>
      <c r="E1014" t="s">
        <v>10129</v>
      </c>
      <c r="F1014" t="s">
        <v>7672</v>
      </c>
      <c r="G1014" t="s">
        <v>10130</v>
      </c>
      <c r="H1014" t="s">
        <v>8779</v>
      </c>
      <c r="I1014" t="s">
        <v>935</v>
      </c>
      <c r="J1014" t="s">
        <v>10150</v>
      </c>
    </row>
    <row r="1015" spans="1:10" x14ac:dyDescent="0.25">
      <c r="A1015" t="s">
        <v>10156</v>
      </c>
      <c r="B1015">
        <v>3.592000000000001</v>
      </c>
      <c r="C1015" t="s">
        <v>10157</v>
      </c>
      <c r="D1015" t="s">
        <v>870</v>
      </c>
      <c r="E1015" t="s">
        <v>10158</v>
      </c>
      <c r="F1015" t="s">
        <v>7672</v>
      </c>
      <c r="G1015" t="s">
        <v>9709</v>
      </c>
      <c r="H1015" t="s">
        <v>8515</v>
      </c>
      <c r="I1015" t="s">
        <v>7945</v>
      </c>
      <c r="J1015" t="s">
        <v>106</v>
      </c>
    </row>
    <row r="1016" spans="1:10" x14ac:dyDescent="0.25">
      <c r="A1016" t="s">
        <v>10159</v>
      </c>
      <c r="B1016">
        <v>3.592000000000001</v>
      </c>
      <c r="C1016" t="s">
        <v>10160</v>
      </c>
      <c r="D1016" t="s">
        <v>3378</v>
      </c>
      <c r="E1016" t="s">
        <v>10158</v>
      </c>
      <c r="F1016" t="s">
        <v>7672</v>
      </c>
      <c r="G1016" t="s">
        <v>9709</v>
      </c>
      <c r="H1016" t="s">
        <v>8515</v>
      </c>
      <c r="I1016" t="s">
        <v>10161</v>
      </c>
      <c r="J1016" t="s">
        <v>106</v>
      </c>
    </row>
    <row r="1017" spans="1:10" x14ac:dyDescent="0.25">
      <c r="A1017" t="s">
        <v>10162</v>
      </c>
      <c r="B1017">
        <v>3.592000000000001</v>
      </c>
      <c r="C1017" t="s">
        <v>10163</v>
      </c>
      <c r="D1017" t="s">
        <v>240</v>
      </c>
      <c r="E1017" t="s">
        <v>10158</v>
      </c>
      <c r="F1017" t="s">
        <v>7672</v>
      </c>
      <c r="G1017" t="s">
        <v>9709</v>
      </c>
      <c r="H1017" t="s">
        <v>8515</v>
      </c>
      <c r="I1017" t="s">
        <v>7945</v>
      </c>
      <c r="J1017" t="s">
        <v>88</v>
      </c>
    </row>
    <row r="1018" spans="1:10" x14ac:dyDescent="0.25">
      <c r="A1018" t="s">
        <v>10164</v>
      </c>
      <c r="B1018">
        <v>3.592000000000001</v>
      </c>
      <c r="C1018" t="s">
        <v>10165</v>
      </c>
      <c r="D1018" t="s">
        <v>3577</v>
      </c>
      <c r="E1018" t="s">
        <v>10158</v>
      </c>
      <c r="F1018" t="s">
        <v>7672</v>
      </c>
      <c r="G1018" t="s">
        <v>9709</v>
      </c>
      <c r="H1018" t="s">
        <v>8515</v>
      </c>
      <c r="I1018" t="s">
        <v>10161</v>
      </c>
      <c r="J1018" t="s">
        <v>88</v>
      </c>
    </row>
    <row r="1019" spans="1:10" x14ac:dyDescent="0.25">
      <c r="A1019" t="s">
        <v>10166</v>
      </c>
      <c r="B1019">
        <v>3.592000000000001</v>
      </c>
      <c r="C1019" t="s">
        <v>10167</v>
      </c>
      <c r="D1019" t="s">
        <v>60</v>
      </c>
      <c r="E1019" t="s">
        <v>10158</v>
      </c>
      <c r="F1019" t="s">
        <v>7672</v>
      </c>
      <c r="G1019" t="s">
        <v>9709</v>
      </c>
      <c r="H1019" t="s">
        <v>8515</v>
      </c>
      <c r="I1019" t="s">
        <v>10161</v>
      </c>
      <c r="J1019" t="s">
        <v>131</v>
      </c>
    </row>
    <row r="1020" spans="1:10" x14ac:dyDescent="0.25">
      <c r="A1020" t="s">
        <v>10168</v>
      </c>
      <c r="B1020">
        <v>17.696000000000002</v>
      </c>
      <c r="C1020" t="s">
        <v>10169</v>
      </c>
      <c r="D1020" t="s">
        <v>100</v>
      </c>
      <c r="E1020" t="s">
        <v>10170</v>
      </c>
      <c r="F1020" t="s">
        <v>7672</v>
      </c>
      <c r="G1020" t="s">
        <v>10171</v>
      </c>
      <c r="H1020" t="s">
        <v>10172</v>
      </c>
      <c r="I1020" t="s">
        <v>10173</v>
      </c>
      <c r="J1020" t="s">
        <v>10174</v>
      </c>
    </row>
    <row r="1021" spans="1:10" x14ac:dyDescent="0.25">
      <c r="A1021" t="s">
        <v>10175</v>
      </c>
      <c r="B1021">
        <v>17.696000000000002</v>
      </c>
      <c r="C1021" t="s">
        <v>10176</v>
      </c>
      <c r="D1021" t="s">
        <v>964</v>
      </c>
      <c r="E1021" t="s">
        <v>10170</v>
      </c>
      <c r="F1021" t="s">
        <v>7672</v>
      </c>
      <c r="G1021" t="s">
        <v>10171</v>
      </c>
      <c r="H1021" t="s">
        <v>10172</v>
      </c>
      <c r="I1021" t="s">
        <v>10177</v>
      </c>
      <c r="J1021" t="s">
        <v>10174</v>
      </c>
    </row>
    <row r="1022" spans="1:10" x14ac:dyDescent="0.25">
      <c r="A1022" t="s">
        <v>10178</v>
      </c>
      <c r="B1022">
        <v>17.696000000000002</v>
      </c>
      <c r="C1022" t="s">
        <v>10179</v>
      </c>
      <c r="D1022" t="s">
        <v>199</v>
      </c>
      <c r="E1022" t="s">
        <v>10170</v>
      </c>
      <c r="F1022" t="s">
        <v>7672</v>
      </c>
      <c r="G1022" t="s">
        <v>10171</v>
      </c>
      <c r="H1022" t="s">
        <v>10172</v>
      </c>
      <c r="I1022" t="s">
        <v>10180</v>
      </c>
      <c r="J1022" t="s">
        <v>10174</v>
      </c>
    </row>
    <row r="1023" spans="1:10" x14ac:dyDescent="0.25">
      <c r="A1023" t="s">
        <v>10181</v>
      </c>
      <c r="B1023">
        <v>17.696000000000002</v>
      </c>
      <c r="C1023" t="s">
        <v>10182</v>
      </c>
      <c r="D1023" t="s">
        <v>576</v>
      </c>
      <c r="E1023" t="s">
        <v>10170</v>
      </c>
      <c r="F1023" t="s">
        <v>7672</v>
      </c>
      <c r="G1023" t="s">
        <v>10171</v>
      </c>
      <c r="H1023" t="s">
        <v>10172</v>
      </c>
      <c r="I1023" t="s">
        <v>5986</v>
      </c>
      <c r="J1023" t="s">
        <v>10174</v>
      </c>
    </row>
    <row r="1024" spans="1:10" x14ac:dyDescent="0.25">
      <c r="A1024" t="s">
        <v>10183</v>
      </c>
      <c r="B1024">
        <v>17.696000000000002</v>
      </c>
      <c r="C1024" t="s">
        <v>10184</v>
      </c>
      <c r="D1024" t="s">
        <v>250</v>
      </c>
      <c r="E1024" t="s">
        <v>10170</v>
      </c>
      <c r="F1024" t="s">
        <v>7672</v>
      </c>
      <c r="G1024" t="s">
        <v>10171</v>
      </c>
      <c r="H1024" t="s">
        <v>10172</v>
      </c>
      <c r="I1024" t="s">
        <v>10177</v>
      </c>
      <c r="J1024" t="s">
        <v>10185</v>
      </c>
    </row>
    <row r="1025" spans="1:10" x14ac:dyDescent="0.25">
      <c r="A1025" t="s">
        <v>10186</v>
      </c>
      <c r="B1025">
        <v>17.696000000000002</v>
      </c>
      <c r="C1025" t="s">
        <v>10187</v>
      </c>
      <c r="D1025" t="s">
        <v>959</v>
      </c>
      <c r="E1025" t="s">
        <v>10170</v>
      </c>
      <c r="F1025" t="s">
        <v>7672</v>
      </c>
      <c r="G1025" t="s">
        <v>10171</v>
      </c>
      <c r="H1025" t="s">
        <v>10172</v>
      </c>
      <c r="I1025" t="s">
        <v>10173</v>
      </c>
      <c r="J1025" t="s">
        <v>10185</v>
      </c>
    </row>
    <row r="1026" spans="1:10" x14ac:dyDescent="0.25">
      <c r="A1026" t="s">
        <v>10188</v>
      </c>
      <c r="B1026">
        <v>17.696000000000002</v>
      </c>
      <c r="C1026" t="s">
        <v>10189</v>
      </c>
      <c r="D1026" t="s">
        <v>359</v>
      </c>
      <c r="E1026" t="s">
        <v>10170</v>
      </c>
      <c r="F1026" t="s">
        <v>7672</v>
      </c>
      <c r="G1026" t="s">
        <v>10171</v>
      </c>
      <c r="H1026" t="s">
        <v>10172</v>
      </c>
      <c r="I1026" t="s">
        <v>10180</v>
      </c>
      <c r="J1026" t="s">
        <v>10185</v>
      </c>
    </row>
    <row r="1027" spans="1:10" x14ac:dyDescent="0.25">
      <c r="A1027" t="s">
        <v>10190</v>
      </c>
      <c r="B1027">
        <v>17.696000000000002</v>
      </c>
      <c r="C1027" t="s">
        <v>10191</v>
      </c>
      <c r="D1027" t="s">
        <v>959</v>
      </c>
      <c r="E1027" t="s">
        <v>10170</v>
      </c>
      <c r="F1027" t="s">
        <v>7672</v>
      </c>
      <c r="G1027" t="s">
        <v>10171</v>
      </c>
      <c r="H1027" t="s">
        <v>10172</v>
      </c>
      <c r="I1027" t="s">
        <v>5986</v>
      </c>
      <c r="J1027" t="s">
        <v>10185</v>
      </c>
    </row>
    <row r="1028" spans="1:10" x14ac:dyDescent="0.25">
      <c r="A1028" t="s">
        <v>10192</v>
      </c>
      <c r="B1028">
        <v>17.696000000000002</v>
      </c>
      <c r="C1028" t="s">
        <v>10193</v>
      </c>
      <c r="D1028" t="s">
        <v>164</v>
      </c>
      <c r="E1028" t="s">
        <v>10170</v>
      </c>
      <c r="F1028" t="s">
        <v>7672</v>
      </c>
      <c r="G1028" t="s">
        <v>10171</v>
      </c>
      <c r="H1028" t="s">
        <v>10172</v>
      </c>
      <c r="I1028" t="s">
        <v>10194</v>
      </c>
      <c r="J1028" t="s">
        <v>10195</v>
      </c>
    </row>
    <row r="1029" spans="1:10" x14ac:dyDescent="0.25">
      <c r="A1029" t="s">
        <v>10196</v>
      </c>
      <c r="B1029">
        <v>17.696000000000002</v>
      </c>
      <c r="C1029" t="s">
        <v>10197</v>
      </c>
      <c r="D1029" t="s">
        <v>301</v>
      </c>
      <c r="E1029" t="s">
        <v>10170</v>
      </c>
      <c r="F1029" t="s">
        <v>7672</v>
      </c>
      <c r="G1029" t="s">
        <v>10171</v>
      </c>
      <c r="H1029" t="s">
        <v>10172</v>
      </c>
      <c r="I1029" t="s">
        <v>10177</v>
      </c>
      <c r="J1029" t="s">
        <v>10195</v>
      </c>
    </row>
    <row r="1030" spans="1:10" x14ac:dyDescent="0.25">
      <c r="A1030" t="s">
        <v>10198</v>
      </c>
      <c r="B1030">
        <v>17.696000000000002</v>
      </c>
      <c r="C1030" t="s">
        <v>10199</v>
      </c>
      <c r="D1030" t="s">
        <v>199</v>
      </c>
      <c r="E1030" t="s">
        <v>10170</v>
      </c>
      <c r="F1030" t="s">
        <v>7672</v>
      </c>
      <c r="G1030" t="s">
        <v>10171</v>
      </c>
      <c r="H1030" t="s">
        <v>10172</v>
      </c>
      <c r="I1030" t="s">
        <v>10173</v>
      </c>
      <c r="J1030" t="s">
        <v>10195</v>
      </c>
    </row>
    <row r="1031" spans="1:10" x14ac:dyDescent="0.25">
      <c r="A1031" t="s">
        <v>10200</v>
      </c>
      <c r="B1031">
        <v>17.696000000000002</v>
      </c>
      <c r="C1031" t="s">
        <v>10201</v>
      </c>
      <c r="D1031" t="s">
        <v>240</v>
      </c>
      <c r="E1031" t="s">
        <v>10170</v>
      </c>
      <c r="F1031" t="s">
        <v>7672</v>
      </c>
      <c r="G1031" t="s">
        <v>10171</v>
      </c>
      <c r="H1031" t="s">
        <v>10172</v>
      </c>
      <c r="I1031" t="s">
        <v>10180</v>
      </c>
      <c r="J1031" t="s">
        <v>10195</v>
      </c>
    </row>
    <row r="1032" spans="1:10" x14ac:dyDescent="0.25">
      <c r="A1032" t="s">
        <v>10202</v>
      </c>
      <c r="B1032">
        <v>17.696000000000002</v>
      </c>
      <c r="C1032" t="s">
        <v>10203</v>
      </c>
      <c r="D1032" t="s">
        <v>436</v>
      </c>
      <c r="E1032" t="s">
        <v>10170</v>
      </c>
      <c r="F1032" t="s">
        <v>7672</v>
      </c>
      <c r="G1032" t="s">
        <v>10171</v>
      </c>
      <c r="H1032" t="s">
        <v>10172</v>
      </c>
      <c r="I1032" t="s">
        <v>5986</v>
      </c>
      <c r="J1032" t="s">
        <v>10195</v>
      </c>
    </row>
    <row r="1033" spans="1:10" x14ac:dyDescent="0.25">
      <c r="A1033" t="s">
        <v>10204</v>
      </c>
      <c r="B1033">
        <v>17.696000000000002</v>
      </c>
      <c r="C1033" t="s">
        <v>10205</v>
      </c>
      <c r="D1033" t="s">
        <v>366</v>
      </c>
      <c r="E1033" t="s">
        <v>10170</v>
      </c>
      <c r="F1033" t="s">
        <v>7672</v>
      </c>
      <c r="G1033" t="s">
        <v>10171</v>
      </c>
      <c r="H1033" t="s">
        <v>10172</v>
      </c>
      <c r="I1033" t="s">
        <v>10180</v>
      </c>
      <c r="J1033" t="s">
        <v>10206</v>
      </c>
    </row>
    <row r="1034" spans="1:10" x14ac:dyDescent="0.25">
      <c r="A1034" t="s">
        <v>10207</v>
      </c>
      <c r="B1034">
        <v>17.696000000000002</v>
      </c>
      <c r="C1034" t="s">
        <v>10208</v>
      </c>
      <c r="D1034" t="s">
        <v>290</v>
      </c>
      <c r="E1034" t="s">
        <v>10170</v>
      </c>
      <c r="F1034" t="s">
        <v>7672</v>
      </c>
      <c r="G1034" t="s">
        <v>10171</v>
      </c>
      <c r="H1034" t="s">
        <v>10172</v>
      </c>
      <c r="I1034" t="s">
        <v>10177</v>
      </c>
      <c r="J1034" t="s">
        <v>10206</v>
      </c>
    </row>
    <row r="1035" spans="1:10" x14ac:dyDescent="0.25">
      <c r="A1035" t="s">
        <v>10209</v>
      </c>
      <c r="B1035">
        <v>17.696000000000002</v>
      </c>
      <c r="C1035" t="s">
        <v>10210</v>
      </c>
      <c r="D1035" t="s">
        <v>582</v>
      </c>
      <c r="E1035" t="s">
        <v>10170</v>
      </c>
      <c r="F1035" t="s">
        <v>7672</v>
      </c>
      <c r="G1035" t="s">
        <v>10171</v>
      </c>
      <c r="H1035" t="s">
        <v>10172</v>
      </c>
      <c r="I1035" t="s">
        <v>10180</v>
      </c>
      <c r="J1035" t="s">
        <v>10211</v>
      </c>
    </row>
    <row r="1036" spans="1:10" x14ac:dyDescent="0.25">
      <c r="A1036" t="s">
        <v>10212</v>
      </c>
      <c r="B1036">
        <v>17.696000000000002</v>
      </c>
      <c r="C1036" t="s">
        <v>10213</v>
      </c>
      <c r="D1036" t="s">
        <v>53</v>
      </c>
      <c r="E1036" t="s">
        <v>10170</v>
      </c>
      <c r="F1036" t="s">
        <v>7672</v>
      </c>
      <c r="G1036" t="s">
        <v>10171</v>
      </c>
      <c r="H1036" t="s">
        <v>10172</v>
      </c>
      <c r="I1036" t="s">
        <v>10194</v>
      </c>
      <c r="J1036" t="s">
        <v>10211</v>
      </c>
    </row>
    <row r="1037" spans="1:10" x14ac:dyDescent="0.25">
      <c r="A1037" t="s">
        <v>10214</v>
      </c>
      <c r="B1037">
        <v>17.696000000000002</v>
      </c>
      <c r="C1037" t="s">
        <v>10215</v>
      </c>
      <c r="D1037" t="s">
        <v>698</v>
      </c>
      <c r="E1037" t="s">
        <v>10170</v>
      </c>
      <c r="F1037" t="s">
        <v>7672</v>
      </c>
      <c r="G1037" t="s">
        <v>10171</v>
      </c>
      <c r="H1037" t="s">
        <v>10172</v>
      </c>
      <c r="I1037" t="s">
        <v>10177</v>
      </c>
      <c r="J1037" t="s">
        <v>10211</v>
      </c>
    </row>
    <row r="1038" spans="1:10" x14ac:dyDescent="0.25">
      <c r="A1038" t="s">
        <v>10216</v>
      </c>
      <c r="B1038">
        <v>17.696000000000002</v>
      </c>
      <c r="C1038" t="s">
        <v>10217</v>
      </c>
      <c r="D1038" t="s">
        <v>53</v>
      </c>
      <c r="E1038" t="s">
        <v>10170</v>
      </c>
      <c r="F1038" t="s">
        <v>7672</v>
      </c>
      <c r="G1038" t="s">
        <v>10171</v>
      </c>
      <c r="H1038" t="s">
        <v>10172</v>
      </c>
      <c r="I1038" t="s">
        <v>10173</v>
      </c>
      <c r="J1038" t="s">
        <v>10211</v>
      </c>
    </row>
    <row r="1039" spans="1:10" x14ac:dyDescent="0.25">
      <c r="A1039" t="s">
        <v>10218</v>
      </c>
      <c r="B1039">
        <v>17.696000000000002</v>
      </c>
      <c r="C1039" t="s">
        <v>10219</v>
      </c>
      <c r="D1039" t="s">
        <v>131</v>
      </c>
      <c r="E1039" t="s">
        <v>10170</v>
      </c>
      <c r="F1039" t="s">
        <v>7672</v>
      </c>
      <c r="G1039" t="s">
        <v>10171</v>
      </c>
      <c r="H1039" t="s">
        <v>10172</v>
      </c>
      <c r="I1039" t="s">
        <v>5986</v>
      </c>
      <c r="J1039" t="s">
        <v>10211</v>
      </c>
    </row>
    <row r="1040" spans="1:10" x14ac:dyDescent="0.25">
      <c r="A1040" t="s">
        <v>10220</v>
      </c>
      <c r="B1040">
        <v>17.696000000000002</v>
      </c>
      <c r="C1040" t="s">
        <v>10221</v>
      </c>
      <c r="D1040" t="s">
        <v>875</v>
      </c>
      <c r="E1040" t="s">
        <v>10170</v>
      </c>
      <c r="F1040" t="s">
        <v>7672</v>
      </c>
      <c r="G1040" t="s">
        <v>10171</v>
      </c>
      <c r="H1040" t="s">
        <v>10172</v>
      </c>
      <c r="I1040" t="s">
        <v>10180</v>
      </c>
      <c r="J1040" t="s">
        <v>10222</v>
      </c>
    </row>
    <row r="1041" spans="1:10" x14ac:dyDescent="0.25">
      <c r="A1041" t="s">
        <v>10223</v>
      </c>
      <c r="B1041">
        <v>17.696000000000002</v>
      </c>
      <c r="C1041" t="s">
        <v>10224</v>
      </c>
      <c r="D1041" t="s">
        <v>1822</v>
      </c>
      <c r="E1041" t="s">
        <v>10170</v>
      </c>
      <c r="F1041" t="s">
        <v>7672</v>
      </c>
      <c r="G1041" t="s">
        <v>10171</v>
      </c>
      <c r="H1041" t="s">
        <v>10172</v>
      </c>
      <c r="I1041" t="s">
        <v>10194</v>
      </c>
      <c r="J1041" t="s">
        <v>10222</v>
      </c>
    </row>
    <row r="1042" spans="1:10" x14ac:dyDescent="0.25">
      <c r="A1042" t="s">
        <v>10225</v>
      </c>
      <c r="B1042">
        <v>17.696000000000002</v>
      </c>
      <c r="C1042" t="s">
        <v>10226</v>
      </c>
      <c r="D1042" t="s">
        <v>2697</v>
      </c>
      <c r="E1042" t="s">
        <v>10170</v>
      </c>
      <c r="F1042" t="s">
        <v>7672</v>
      </c>
      <c r="G1042" t="s">
        <v>10171</v>
      </c>
      <c r="H1042" t="s">
        <v>10172</v>
      </c>
      <c r="I1042" t="s">
        <v>10173</v>
      </c>
      <c r="J1042" t="s">
        <v>10222</v>
      </c>
    </row>
    <row r="1043" spans="1:10" x14ac:dyDescent="0.25">
      <c r="A1043" t="s">
        <v>10227</v>
      </c>
      <c r="B1043">
        <v>17.696000000000002</v>
      </c>
      <c r="C1043" t="s">
        <v>10228</v>
      </c>
      <c r="D1043" t="s">
        <v>379</v>
      </c>
      <c r="E1043" t="s">
        <v>10170</v>
      </c>
      <c r="F1043" t="s">
        <v>7672</v>
      </c>
      <c r="G1043" t="s">
        <v>10171</v>
      </c>
      <c r="H1043" t="s">
        <v>10172</v>
      </c>
      <c r="I1043" t="s">
        <v>10177</v>
      </c>
      <c r="J1043" t="s">
        <v>10222</v>
      </c>
    </row>
    <row r="1044" spans="1:10" x14ac:dyDescent="0.25">
      <c r="A1044" t="s">
        <v>10229</v>
      </c>
      <c r="B1044">
        <v>17.696000000000002</v>
      </c>
      <c r="C1044" t="s">
        <v>10230</v>
      </c>
      <c r="D1044" t="s">
        <v>959</v>
      </c>
      <c r="E1044" t="s">
        <v>10170</v>
      </c>
      <c r="F1044" t="s">
        <v>7672</v>
      </c>
      <c r="G1044" t="s">
        <v>10171</v>
      </c>
      <c r="H1044" t="s">
        <v>10172</v>
      </c>
      <c r="I1044" t="s">
        <v>5986</v>
      </c>
      <c r="J1044" t="s">
        <v>10222</v>
      </c>
    </row>
    <row r="1045" spans="1:10" x14ac:dyDescent="0.25">
      <c r="A1045" t="s">
        <v>10231</v>
      </c>
      <c r="B1045">
        <v>17.696000000000002</v>
      </c>
      <c r="C1045" t="s">
        <v>10232</v>
      </c>
      <c r="D1045" t="s">
        <v>964</v>
      </c>
      <c r="E1045" t="s">
        <v>10170</v>
      </c>
      <c r="F1045" t="s">
        <v>7672</v>
      </c>
      <c r="G1045" t="s">
        <v>10171</v>
      </c>
      <c r="H1045" t="s">
        <v>10172</v>
      </c>
      <c r="I1045" t="s">
        <v>10180</v>
      </c>
      <c r="J1045" t="s">
        <v>10233</v>
      </c>
    </row>
    <row r="1046" spans="1:10" x14ac:dyDescent="0.25">
      <c r="A1046" t="s">
        <v>10234</v>
      </c>
      <c r="B1046">
        <v>17.696000000000002</v>
      </c>
      <c r="C1046" t="s">
        <v>10235</v>
      </c>
      <c r="D1046" t="s">
        <v>255</v>
      </c>
      <c r="E1046" t="s">
        <v>10170</v>
      </c>
      <c r="F1046" t="s">
        <v>7672</v>
      </c>
      <c r="G1046" t="s">
        <v>10171</v>
      </c>
      <c r="H1046" t="s">
        <v>10172</v>
      </c>
      <c r="I1046" t="s">
        <v>10173</v>
      </c>
      <c r="J1046" t="s">
        <v>10233</v>
      </c>
    </row>
    <row r="1047" spans="1:10" x14ac:dyDescent="0.25">
      <c r="A1047" t="s">
        <v>10236</v>
      </c>
      <c r="B1047">
        <v>17.696000000000002</v>
      </c>
      <c r="C1047" t="s">
        <v>10237</v>
      </c>
      <c r="D1047" t="s">
        <v>2697</v>
      </c>
      <c r="E1047" t="s">
        <v>10170</v>
      </c>
      <c r="F1047" t="s">
        <v>7672</v>
      </c>
      <c r="G1047" t="s">
        <v>10171</v>
      </c>
      <c r="H1047" t="s">
        <v>10172</v>
      </c>
      <c r="I1047" t="s">
        <v>10177</v>
      </c>
      <c r="J1047" t="s">
        <v>10233</v>
      </c>
    </row>
    <row r="1048" spans="1:10" x14ac:dyDescent="0.25">
      <c r="A1048" t="s">
        <v>10238</v>
      </c>
      <c r="B1048">
        <v>17.696000000000002</v>
      </c>
      <c r="C1048" t="s">
        <v>10239</v>
      </c>
      <c r="D1048" t="s">
        <v>698</v>
      </c>
      <c r="E1048" t="s">
        <v>10170</v>
      </c>
      <c r="F1048" t="s">
        <v>7672</v>
      </c>
      <c r="G1048" t="s">
        <v>10171</v>
      </c>
      <c r="H1048" t="s">
        <v>10172</v>
      </c>
      <c r="I1048" t="s">
        <v>10180</v>
      </c>
      <c r="J1048" t="s">
        <v>10240</v>
      </c>
    </row>
    <row r="1049" spans="1:10" x14ac:dyDescent="0.25">
      <c r="A1049" t="s">
        <v>10241</v>
      </c>
      <c r="B1049">
        <v>17.696000000000002</v>
      </c>
      <c r="C1049" t="s">
        <v>10242</v>
      </c>
      <c r="D1049" t="s">
        <v>282</v>
      </c>
      <c r="E1049" t="s">
        <v>10170</v>
      </c>
      <c r="F1049" t="s">
        <v>7672</v>
      </c>
      <c r="G1049" t="s">
        <v>10171</v>
      </c>
      <c r="H1049" t="s">
        <v>10172</v>
      </c>
      <c r="I1049" t="s">
        <v>10173</v>
      </c>
      <c r="J1049" t="s">
        <v>10240</v>
      </c>
    </row>
    <row r="1050" spans="1:10" x14ac:dyDescent="0.25">
      <c r="A1050" t="s">
        <v>10243</v>
      </c>
      <c r="B1050">
        <v>17.696000000000002</v>
      </c>
      <c r="C1050" t="s">
        <v>10244</v>
      </c>
      <c r="D1050" t="s">
        <v>286</v>
      </c>
      <c r="E1050" t="s">
        <v>10170</v>
      </c>
      <c r="F1050" t="s">
        <v>7672</v>
      </c>
      <c r="G1050" t="s">
        <v>10171</v>
      </c>
      <c r="H1050" t="s">
        <v>10172</v>
      </c>
      <c r="I1050" t="s">
        <v>10194</v>
      </c>
      <c r="J1050" t="s">
        <v>10240</v>
      </c>
    </row>
    <row r="1051" spans="1:10" x14ac:dyDescent="0.25">
      <c r="A1051" t="s">
        <v>10245</v>
      </c>
      <c r="B1051">
        <v>17.696000000000002</v>
      </c>
      <c r="C1051" t="s">
        <v>10246</v>
      </c>
      <c r="D1051" t="s">
        <v>613</v>
      </c>
      <c r="E1051" t="s">
        <v>10170</v>
      </c>
      <c r="F1051" t="s">
        <v>7672</v>
      </c>
      <c r="G1051" t="s">
        <v>10171</v>
      </c>
      <c r="H1051" t="s">
        <v>10172</v>
      </c>
      <c r="I1051" t="s">
        <v>10177</v>
      </c>
      <c r="J1051" t="s">
        <v>10240</v>
      </c>
    </row>
    <row r="1052" spans="1:10" x14ac:dyDescent="0.25">
      <c r="A1052" t="s">
        <v>10247</v>
      </c>
      <c r="B1052">
        <v>17.696000000000002</v>
      </c>
      <c r="C1052" t="s">
        <v>10248</v>
      </c>
      <c r="D1052" t="s">
        <v>88</v>
      </c>
      <c r="E1052" t="s">
        <v>10170</v>
      </c>
      <c r="F1052" t="s">
        <v>7672</v>
      </c>
      <c r="G1052" t="s">
        <v>10171</v>
      </c>
      <c r="H1052" t="s">
        <v>10172</v>
      </c>
      <c r="I1052" t="s">
        <v>5986</v>
      </c>
      <c r="J1052" t="s">
        <v>10240</v>
      </c>
    </row>
    <row r="1053" spans="1:10" x14ac:dyDescent="0.25">
      <c r="A1053" t="s">
        <v>10249</v>
      </c>
      <c r="B1053">
        <v>17.696000000000002</v>
      </c>
      <c r="C1053" t="s">
        <v>10250</v>
      </c>
      <c r="D1053" t="s">
        <v>1143</v>
      </c>
      <c r="E1053" t="s">
        <v>10170</v>
      </c>
      <c r="F1053" t="s">
        <v>7672</v>
      </c>
      <c r="G1053" t="s">
        <v>10171</v>
      </c>
      <c r="H1053" t="s">
        <v>10172</v>
      </c>
      <c r="I1053" t="s">
        <v>10180</v>
      </c>
      <c r="J1053" t="s">
        <v>10251</v>
      </c>
    </row>
    <row r="1054" spans="1:10" x14ac:dyDescent="0.25">
      <c r="A1054" t="s">
        <v>10252</v>
      </c>
      <c r="B1054">
        <v>17.696000000000002</v>
      </c>
      <c r="C1054" t="s">
        <v>10253</v>
      </c>
      <c r="D1054" t="s">
        <v>164</v>
      </c>
      <c r="E1054" t="s">
        <v>10170</v>
      </c>
      <c r="F1054" t="s">
        <v>7672</v>
      </c>
      <c r="G1054" t="s">
        <v>10171</v>
      </c>
      <c r="H1054" t="s">
        <v>10172</v>
      </c>
      <c r="I1054" t="s">
        <v>10173</v>
      </c>
      <c r="J1054" t="s">
        <v>10251</v>
      </c>
    </row>
    <row r="1055" spans="1:10" x14ac:dyDescent="0.25">
      <c r="A1055" t="s">
        <v>10254</v>
      </c>
      <c r="B1055">
        <v>17.696000000000002</v>
      </c>
      <c r="C1055" t="s">
        <v>10255</v>
      </c>
      <c r="D1055" t="s">
        <v>582</v>
      </c>
      <c r="E1055" t="s">
        <v>10170</v>
      </c>
      <c r="F1055" t="s">
        <v>7672</v>
      </c>
      <c r="G1055" t="s">
        <v>10171</v>
      </c>
      <c r="H1055" t="s">
        <v>10172</v>
      </c>
      <c r="I1055" t="s">
        <v>10177</v>
      </c>
      <c r="J1055" t="s">
        <v>10251</v>
      </c>
    </row>
    <row r="1056" spans="1:10" x14ac:dyDescent="0.25">
      <c r="A1056" t="s">
        <v>10256</v>
      </c>
      <c r="B1056">
        <v>17.696000000000002</v>
      </c>
      <c r="C1056" t="s">
        <v>10257</v>
      </c>
      <c r="D1056" t="s">
        <v>199</v>
      </c>
      <c r="E1056" t="s">
        <v>10170</v>
      </c>
      <c r="F1056" t="s">
        <v>7672</v>
      </c>
      <c r="G1056" t="s">
        <v>10171</v>
      </c>
      <c r="H1056" t="s">
        <v>10172</v>
      </c>
      <c r="I1056" t="s">
        <v>10194</v>
      </c>
      <c r="J1056" t="s">
        <v>10251</v>
      </c>
    </row>
    <row r="1057" spans="1:10" x14ac:dyDescent="0.25">
      <c r="A1057" t="s">
        <v>10258</v>
      </c>
      <c r="B1057">
        <v>17.696000000000002</v>
      </c>
      <c r="C1057" t="s">
        <v>10259</v>
      </c>
      <c r="D1057" t="s">
        <v>255</v>
      </c>
      <c r="E1057" t="s">
        <v>10170</v>
      </c>
      <c r="F1057" t="s">
        <v>7672</v>
      </c>
      <c r="G1057" t="s">
        <v>10171</v>
      </c>
      <c r="H1057" t="s">
        <v>10172</v>
      </c>
      <c r="I1057" t="s">
        <v>5986</v>
      </c>
      <c r="J1057" t="s">
        <v>10251</v>
      </c>
    </row>
    <row r="1058" spans="1:10" x14ac:dyDescent="0.25">
      <c r="A1058" t="s">
        <v>10260</v>
      </c>
      <c r="B1058">
        <v>17.696000000000002</v>
      </c>
      <c r="C1058" t="s">
        <v>10261</v>
      </c>
      <c r="D1058" t="s">
        <v>352</v>
      </c>
      <c r="E1058" t="s">
        <v>10170</v>
      </c>
      <c r="F1058" t="s">
        <v>7672</v>
      </c>
      <c r="G1058" t="s">
        <v>10171</v>
      </c>
      <c r="H1058" t="s">
        <v>10172</v>
      </c>
      <c r="I1058" t="s">
        <v>10173</v>
      </c>
      <c r="J1058" t="s">
        <v>10262</v>
      </c>
    </row>
    <row r="1059" spans="1:10" x14ac:dyDescent="0.25">
      <c r="A1059" t="s">
        <v>10263</v>
      </c>
      <c r="B1059">
        <v>17.696000000000002</v>
      </c>
      <c r="C1059" t="s">
        <v>10264</v>
      </c>
      <c r="D1059" t="s">
        <v>113</v>
      </c>
      <c r="E1059" t="s">
        <v>10170</v>
      </c>
      <c r="F1059" t="s">
        <v>7672</v>
      </c>
      <c r="G1059" t="s">
        <v>10171</v>
      </c>
      <c r="H1059" t="s">
        <v>10172</v>
      </c>
      <c r="I1059" t="s">
        <v>10180</v>
      </c>
      <c r="J1059" t="s">
        <v>10262</v>
      </c>
    </row>
    <row r="1060" spans="1:10" x14ac:dyDescent="0.25">
      <c r="A1060" t="s">
        <v>10265</v>
      </c>
      <c r="B1060">
        <v>17.696000000000002</v>
      </c>
      <c r="C1060" t="s">
        <v>10266</v>
      </c>
      <c r="D1060" t="s">
        <v>366</v>
      </c>
      <c r="E1060" t="s">
        <v>10170</v>
      </c>
      <c r="F1060" t="s">
        <v>7672</v>
      </c>
      <c r="G1060" t="s">
        <v>10171</v>
      </c>
      <c r="H1060" t="s">
        <v>10172</v>
      </c>
      <c r="I1060" t="s">
        <v>10177</v>
      </c>
      <c r="J1060" t="s">
        <v>10262</v>
      </c>
    </row>
    <row r="1061" spans="1:10" x14ac:dyDescent="0.25">
      <c r="A1061" t="s">
        <v>10267</v>
      </c>
      <c r="B1061">
        <v>17.696000000000002</v>
      </c>
      <c r="C1061" t="s">
        <v>10268</v>
      </c>
      <c r="D1061" t="s">
        <v>277</v>
      </c>
      <c r="E1061" t="s">
        <v>10170</v>
      </c>
      <c r="F1061" t="s">
        <v>7672</v>
      </c>
      <c r="G1061" t="s">
        <v>10171</v>
      </c>
      <c r="H1061" t="s">
        <v>10172</v>
      </c>
      <c r="I1061" t="s">
        <v>10194</v>
      </c>
      <c r="J1061" t="s">
        <v>10262</v>
      </c>
    </row>
    <row r="1062" spans="1:10" x14ac:dyDescent="0.25">
      <c r="A1062" t="s">
        <v>10269</v>
      </c>
      <c r="B1062">
        <v>17.696000000000002</v>
      </c>
      <c r="C1062" t="s">
        <v>10270</v>
      </c>
      <c r="D1062" t="s">
        <v>436</v>
      </c>
      <c r="E1062" t="s">
        <v>10170</v>
      </c>
      <c r="F1062" t="s">
        <v>7672</v>
      </c>
      <c r="G1062" t="s">
        <v>10171</v>
      </c>
      <c r="H1062" t="s">
        <v>10172</v>
      </c>
      <c r="I1062" t="s">
        <v>5986</v>
      </c>
      <c r="J1062" t="s">
        <v>10262</v>
      </c>
    </row>
    <row r="1063" spans="1:10" x14ac:dyDescent="0.25">
      <c r="A1063" t="s">
        <v>10271</v>
      </c>
      <c r="B1063">
        <v>17.696000000000002</v>
      </c>
      <c r="C1063" t="s">
        <v>10272</v>
      </c>
      <c r="D1063" t="s">
        <v>113</v>
      </c>
      <c r="E1063" t="s">
        <v>10170</v>
      </c>
      <c r="F1063" t="s">
        <v>7672</v>
      </c>
      <c r="G1063" t="s">
        <v>10171</v>
      </c>
      <c r="H1063" t="s">
        <v>10172</v>
      </c>
      <c r="I1063" t="s">
        <v>10173</v>
      </c>
      <c r="J1063" t="s">
        <v>8658</v>
      </c>
    </row>
    <row r="1064" spans="1:10" x14ac:dyDescent="0.25">
      <c r="A1064" t="s">
        <v>10273</v>
      </c>
      <c r="B1064">
        <v>17.696000000000002</v>
      </c>
      <c r="C1064" t="s">
        <v>10274</v>
      </c>
      <c r="D1064" t="s">
        <v>671</v>
      </c>
      <c r="E1064" t="s">
        <v>10170</v>
      </c>
      <c r="F1064" t="s">
        <v>7672</v>
      </c>
      <c r="G1064" t="s">
        <v>10171</v>
      </c>
      <c r="H1064" t="s">
        <v>10172</v>
      </c>
      <c r="I1064" t="s">
        <v>10180</v>
      </c>
      <c r="J1064" t="s">
        <v>8658</v>
      </c>
    </row>
    <row r="1065" spans="1:10" x14ac:dyDescent="0.25">
      <c r="A1065" t="s">
        <v>10275</v>
      </c>
      <c r="B1065">
        <v>17.696000000000002</v>
      </c>
      <c r="C1065" t="s">
        <v>10276</v>
      </c>
      <c r="D1065" t="s">
        <v>1143</v>
      </c>
      <c r="E1065" t="s">
        <v>10170</v>
      </c>
      <c r="F1065" t="s">
        <v>7672</v>
      </c>
      <c r="G1065" t="s">
        <v>10171</v>
      </c>
      <c r="H1065" t="s">
        <v>10172</v>
      </c>
      <c r="I1065" t="s">
        <v>10177</v>
      </c>
      <c r="J1065" t="s">
        <v>8658</v>
      </c>
    </row>
    <row r="1066" spans="1:10" x14ac:dyDescent="0.25">
      <c r="A1066" t="s">
        <v>10277</v>
      </c>
      <c r="B1066">
        <v>17.696000000000002</v>
      </c>
      <c r="C1066" t="s">
        <v>10278</v>
      </c>
      <c r="D1066" t="s">
        <v>95</v>
      </c>
      <c r="E1066" t="s">
        <v>10170</v>
      </c>
      <c r="F1066" t="s">
        <v>7672</v>
      </c>
      <c r="G1066" t="s">
        <v>10171</v>
      </c>
      <c r="H1066" t="s">
        <v>10172</v>
      </c>
      <c r="I1066" t="s">
        <v>10194</v>
      </c>
      <c r="J1066" t="s">
        <v>8658</v>
      </c>
    </row>
    <row r="1067" spans="1:10" x14ac:dyDescent="0.25">
      <c r="A1067" t="s">
        <v>10279</v>
      </c>
      <c r="B1067">
        <v>17.696000000000002</v>
      </c>
      <c r="C1067" t="s">
        <v>10280</v>
      </c>
      <c r="D1067" t="s">
        <v>164</v>
      </c>
      <c r="E1067" t="s">
        <v>10170</v>
      </c>
      <c r="F1067" t="s">
        <v>7672</v>
      </c>
      <c r="G1067" t="s">
        <v>10171</v>
      </c>
      <c r="H1067" t="s">
        <v>10172</v>
      </c>
      <c r="I1067" t="s">
        <v>5986</v>
      </c>
      <c r="J1067" t="s">
        <v>8658</v>
      </c>
    </row>
    <row r="1068" spans="1:10" x14ac:dyDescent="0.25">
      <c r="A1068" t="s">
        <v>10281</v>
      </c>
      <c r="B1068">
        <v>17.696000000000002</v>
      </c>
      <c r="C1068" t="s">
        <v>10282</v>
      </c>
      <c r="D1068" t="s">
        <v>286</v>
      </c>
      <c r="E1068" t="s">
        <v>10170</v>
      </c>
      <c r="F1068" t="s">
        <v>7672</v>
      </c>
      <c r="G1068" t="s">
        <v>10171</v>
      </c>
      <c r="H1068" t="s">
        <v>10172</v>
      </c>
      <c r="I1068" t="s">
        <v>10180</v>
      </c>
      <c r="J1068" t="s">
        <v>10283</v>
      </c>
    </row>
    <row r="1069" spans="1:10" x14ac:dyDescent="0.25">
      <c r="A1069" t="s">
        <v>10284</v>
      </c>
      <c r="B1069">
        <v>17.696000000000002</v>
      </c>
      <c r="C1069" t="s">
        <v>10285</v>
      </c>
      <c r="D1069" t="s">
        <v>269</v>
      </c>
      <c r="E1069" t="s">
        <v>10170</v>
      </c>
      <c r="F1069" t="s">
        <v>7672</v>
      </c>
      <c r="G1069" t="s">
        <v>10171</v>
      </c>
      <c r="H1069" t="s">
        <v>10172</v>
      </c>
      <c r="I1069" t="s">
        <v>10173</v>
      </c>
      <c r="J1069" t="s">
        <v>10283</v>
      </c>
    </row>
    <row r="1070" spans="1:10" x14ac:dyDescent="0.25">
      <c r="A1070" t="s">
        <v>10286</v>
      </c>
      <c r="B1070">
        <v>17.696000000000002</v>
      </c>
      <c r="C1070" t="s">
        <v>10287</v>
      </c>
      <c r="D1070" t="s">
        <v>1143</v>
      </c>
      <c r="E1070" t="s">
        <v>10170</v>
      </c>
      <c r="F1070" t="s">
        <v>7672</v>
      </c>
      <c r="G1070" t="s">
        <v>10171</v>
      </c>
      <c r="H1070" t="s">
        <v>10172</v>
      </c>
      <c r="I1070" t="s">
        <v>10177</v>
      </c>
      <c r="J1070" t="s">
        <v>10283</v>
      </c>
    </row>
    <row r="1071" spans="1:10" x14ac:dyDescent="0.25">
      <c r="A1071" t="s">
        <v>10288</v>
      </c>
      <c r="B1071">
        <v>17.696000000000002</v>
      </c>
      <c r="C1071" t="s">
        <v>10289</v>
      </c>
      <c r="D1071" t="s">
        <v>342</v>
      </c>
      <c r="E1071" t="s">
        <v>10170</v>
      </c>
      <c r="F1071" t="s">
        <v>7672</v>
      </c>
      <c r="G1071" t="s">
        <v>10171</v>
      </c>
      <c r="H1071" t="s">
        <v>10172</v>
      </c>
      <c r="I1071" t="s">
        <v>5986</v>
      </c>
      <c r="J1071" t="s">
        <v>10283</v>
      </c>
    </row>
    <row r="1072" spans="1:10" x14ac:dyDescent="0.25">
      <c r="A1072" t="s">
        <v>10290</v>
      </c>
      <c r="B1072">
        <v>17.696000000000002</v>
      </c>
      <c r="C1072" t="s">
        <v>10291</v>
      </c>
      <c r="D1072" t="s">
        <v>53</v>
      </c>
      <c r="E1072" t="s">
        <v>10170</v>
      </c>
      <c r="F1072" t="s">
        <v>7672</v>
      </c>
      <c r="G1072" t="s">
        <v>10171</v>
      </c>
      <c r="H1072" t="s">
        <v>10172</v>
      </c>
      <c r="I1072" t="s">
        <v>10180</v>
      </c>
      <c r="J1072" t="s">
        <v>10292</v>
      </c>
    </row>
    <row r="1073" spans="1:10" x14ac:dyDescent="0.25">
      <c r="A1073" t="s">
        <v>10293</v>
      </c>
      <c r="B1073">
        <v>3.592000000000001</v>
      </c>
      <c r="C1073" t="s">
        <v>10294</v>
      </c>
      <c r="D1073" t="s">
        <v>10295</v>
      </c>
      <c r="E1073" t="s">
        <v>10296</v>
      </c>
      <c r="F1073" t="s">
        <v>7672</v>
      </c>
      <c r="G1073" t="s">
        <v>10297</v>
      </c>
      <c r="H1073" t="s">
        <v>10298</v>
      </c>
      <c r="I1073" t="s">
        <v>10299</v>
      </c>
      <c r="J1073" t="s">
        <v>7942</v>
      </c>
    </row>
    <row r="1074" spans="1:10" x14ac:dyDescent="0.25">
      <c r="A1074" t="s">
        <v>10300</v>
      </c>
      <c r="B1074">
        <v>3.592000000000001</v>
      </c>
      <c r="C1074" t="s">
        <v>10301</v>
      </c>
      <c r="D1074" t="s">
        <v>10302</v>
      </c>
      <c r="E1074" t="s">
        <v>10296</v>
      </c>
      <c r="F1074" t="s">
        <v>7672</v>
      </c>
      <c r="G1074" t="s">
        <v>10297</v>
      </c>
      <c r="H1074" t="s">
        <v>10298</v>
      </c>
      <c r="I1074" t="s">
        <v>10299</v>
      </c>
      <c r="J1074" t="s">
        <v>7981</v>
      </c>
    </row>
    <row r="1075" spans="1:10" x14ac:dyDescent="0.25">
      <c r="A1075" t="s">
        <v>10303</v>
      </c>
      <c r="B1075">
        <v>3.592000000000001</v>
      </c>
      <c r="C1075" t="s">
        <v>10304</v>
      </c>
      <c r="D1075" t="s">
        <v>10305</v>
      </c>
      <c r="E1075" t="s">
        <v>10296</v>
      </c>
      <c r="F1075" t="s">
        <v>7672</v>
      </c>
      <c r="G1075" t="s">
        <v>10297</v>
      </c>
      <c r="H1075" t="s">
        <v>10298</v>
      </c>
      <c r="I1075" t="s">
        <v>10299</v>
      </c>
      <c r="J1075" t="s">
        <v>7984</v>
      </c>
    </row>
    <row r="1076" spans="1:10" x14ac:dyDescent="0.25">
      <c r="A1076" t="s">
        <v>10306</v>
      </c>
      <c r="B1076">
        <v>3.592000000000001</v>
      </c>
      <c r="C1076" t="s">
        <v>10307</v>
      </c>
      <c r="D1076" t="s">
        <v>870</v>
      </c>
      <c r="E1076" t="s">
        <v>10296</v>
      </c>
      <c r="F1076" t="s">
        <v>7672</v>
      </c>
      <c r="G1076" t="s">
        <v>10297</v>
      </c>
      <c r="H1076" t="s">
        <v>10298</v>
      </c>
      <c r="I1076" t="s">
        <v>10299</v>
      </c>
      <c r="J1076" t="s">
        <v>7987</v>
      </c>
    </row>
    <row r="1077" spans="1:10" x14ac:dyDescent="0.25">
      <c r="A1077" t="s">
        <v>10308</v>
      </c>
      <c r="B1077">
        <v>3.592000000000001</v>
      </c>
      <c r="C1077" t="s">
        <v>10309</v>
      </c>
      <c r="D1077" t="s">
        <v>1236</v>
      </c>
      <c r="E1077" t="s">
        <v>10296</v>
      </c>
      <c r="F1077" t="s">
        <v>7672</v>
      </c>
      <c r="G1077" t="s">
        <v>10297</v>
      </c>
      <c r="H1077" t="s">
        <v>10298</v>
      </c>
      <c r="I1077" t="s">
        <v>10299</v>
      </c>
      <c r="J1077" t="s">
        <v>8001</v>
      </c>
    </row>
    <row r="1078" spans="1:10" x14ac:dyDescent="0.25">
      <c r="A1078" t="s">
        <v>10310</v>
      </c>
      <c r="B1078">
        <v>59.991999999999997</v>
      </c>
      <c r="C1078" t="s">
        <v>10311</v>
      </c>
      <c r="D1078" t="s">
        <v>5611</v>
      </c>
      <c r="E1078" t="s">
        <v>10312</v>
      </c>
      <c r="F1078" t="s">
        <v>7672</v>
      </c>
      <c r="G1078" t="s">
        <v>10313</v>
      </c>
      <c r="H1078" t="s">
        <v>10314</v>
      </c>
      <c r="I1078" t="s">
        <v>10315</v>
      </c>
      <c r="J1078" t="s">
        <v>9694</v>
      </c>
    </row>
    <row r="1079" spans="1:10" x14ac:dyDescent="0.25">
      <c r="A1079" t="s">
        <v>2386</v>
      </c>
      <c r="B1079">
        <v>17.992000000000001</v>
      </c>
      <c r="C1079" t="s">
        <v>2388</v>
      </c>
      <c r="D1079" t="s">
        <v>342</v>
      </c>
      <c r="E1079" t="s">
        <v>2389</v>
      </c>
      <c r="F1079" t="s">
        <v>7672</v>
      </c>
      <c r="G1079" t="s">
        <v>10316</v>
      </c>
      <c r="H1079" t="s">
        <v>10317</v>
      </c>
      <c r="I1079" t="s">
        <v>497</v>
      </c>
      <c r="J1079" t="s">
        <v>9694</v>
      </c>
    </row>
    <row r="1080" spans="1:10" x14ac:dyDescent="0.25">
      <c r="A1080" t="s">
        <v>10318</v>
      </c>
      <c r="B1080">
        <v>10.4</v>
      </c>
      <c r="C1080" t="s">
        <v>10319</v>
      </c>
      <c r="D1080" t="s">
        <v>113</v>
      </c>
      <c r="E1080" t="s">
        <v>2395</v>
      </c>
      <c r="F1080" t="s">
        <v>7672</v>
      </c>
      <c r="G1080" t="s">
        <v>10320</v>
      </c>
      <c r="H1080" t="s">
        <v>10321</v>
      </c>
      <c r="I1080" t="s">
        <v>10322</v>
      </c>
      <c r="J1080" t="s">
        <v>7981</v>
      </c>
    </row>
    <row r="1081" spans="1:10" x14ac:dyDescent="0.25">
      <c r="A1081" t="s">
        <v>10323</v>
      </c>
      <c r="B1081">
        <v>10.4</v>
      </c>
      <c r="C1081" t="s">
        <v>10324</v>
      </c>
      <c r="D1081" t="s">
        <v>875</v>
      </c>
      <c r="E1081" t="s">
        <v>2395</v>
      </c>
      <c r="F1081" t="s">
        <v>7672</v>
      </c>
      <c r="G1081" t="s">
        <v>10320</v>
      </c>
      <c r="H1081" t="s">
        <v>10321</v>
      </c>
      <c r="I1081" t="s">
        <v>1243</v>
      </c>
      <c r="J1081" t="s">
        <v>7981</v>
      </c>
    </row>
    <row r="1082" spans="1:10" x14ac:dyDescent="0.25">
      <c r="A1082" t="s">
        <v>10325</v>
      </c>
      <c r="B1082">
        <v>10.4</v>
      </c>
      <c r="C1082" t="s">
        <v>10326</v>
      </c>
      <c r="D1082" t="s">
        <v>671</v>
      </c>
      <c r="E1082" t="s">
        <v>2395</v>
      </c>
      <c r="F1082" t="s">
        <v>7672</v>
      </c>
      <c r="G1082" t="s">
        <v>10320</v>
      </c>
      <c r="H1082" t="s">
        <v>10321</v>
      </c>
      <c r="I1082" t="s">
        <v>10327</v>
      </c>
      <c r="J1082" t="s">
        <v>7981</v>
      </c>
    </row>
    <row r="1083" spans="1:10" x14ac:dyDescent="0.25">
      <c r="A1083" t="s">
        <v>10328</v>
      </c>
      <c r="B1083">
        <v>10.4</v>
      </c>
      <c r="C1083" t="s">
        <v>10329</v>
      </c>
      <c r="D1083" t="s">
        <v>626</v>
      </c>
      <c r="E1083" t="s">
        <v>2395</v>
      </c>
      <c r="F1083" t="s">
        <v>7672</v>
      </c>
      <c r="G1083" t="s">
        <v>10320</v>
      </c>
      <c r="H1083" t="s">
        <v>10321</v>
      </c>
      <c r="I1083" t="s">
        <v>145</v>
      </c>
      <c r="J1083" t="s">
        <v>7981</v>
      </c>
    </row>
    <row r="1084" spans="1:10" x14ac:dyDescent="0.25">
      <c r="A1084" t="s">
        <v>2392</v>
      </c>
      <c r="B1084">
        <v>10.4</v>
      </c>
      <c r="C1084" t="s">
        <v>2394</v>
      </c>
      <c r="D1084" t="s">
        <v>100</v>
      </c>
      <c r="E1084" t="s">
        <v>2395</v>
      </c>
      <c r="F1084" t="s">
        <v>7672</v>
      </c>
      <c r="G1084" t="s">
        <v>10320</v>
      </c>
      <c r="H1084" t="s">
        <v>10321</v>
      </c>
      <c r="I1084" t="s">
        <v>10330</v>
      </c>
      <c r="J1084" t="s">
        <v>7981</v>
      </c>
    </row>
    <row r="1085" spans="1:10" x14ac:dyDescent="0.25">
      <c r="A1085" t="s">
        <v>10331</v>
      </c>
      <c r="B1085">
        <v>10.4</v>
      </c>
      <c r="C1085" t="s">
        <v>10332</v>
      </c>
      <c r="D1085" t="s">
        <v>342</v>
      </c>
      <c r="E1085" t="s">
        <v>2395</v>
      </c>
      <c r="F1085" t="s">
        <v>7672</v>
      </c>
      <c r="G1085" t="s">
        <v>10320</v>
      </c>
      <c r="H1085" t="s">
        <v>10321</v>
      </c>
      <c r="I1085" t="s">
        <v>481</v>
      </c>
      <c r="J1085" t="s">
        <v>7981</v>
      </c>
    </row>
    <row r="1086" spans="1:10" x14ac:dyDescent="0.25">
      <c r="A1086" t="s">
        <v>10333</v>
      </c>
      <c r="B1086">
        <v>10.4</v>
      </c>
      <c r="C1086" t="s">
        <v>10334</v>
      </c>
      <c r="D1086" t="s">
        <v>106</v>
      </c>
      <c r="E1086" t="s">
        <v>2395</v>
      </c>
      <c r="F1086" t="s">
        <v>7672</v>
      </c>
      <c r="G1086" t="s">
        <v>10320</v>
      </c>
      <c r="H1086" t="s">
        <v>10321</v>
      </c>
      <c r="I1086" t="s">
        <v>10335</v>
      </c>
      <c r="J1086" t="s">
        <v>7981</v>
      </c>
    </row>
    <row r="1087" spans="1:10" x14ac:dyDescent="0.25">
      <c r="A1087" t="s">
        <v>10336</v>
      </c>
      <c r="B1087">
        <v>10.4</v>
      </c>
      <c r="C1087" t="s">
        <v>10337</v>
      </c>
      <c r="D1087" t="s">
        <v>576</v>
      </c>
      <c r="E1087" t="s">
        <v>2395</v>
      </c>
      <c r="F1087" t="s">
        <v>7672</v>
      </c>
      <c r="G1087" t="s">
        <v>10320</v>
      </c>
      <c r="H1087" t="s">
        <v>10321</v>
      </c>
      <c r="I1087" t="s">
        <v>10335</v>
      </c>
      <c r="J1087" t="s">
        <v>7984</v>
      </c>
    </row>
    <row r="1088" spans="1:10" x14ac:dyDescent="0.25">
      <c r="A1088" t="s">
        <v>2397</v>
      </c>
      <c r="B1088">
        <v>10.4</v>
      </c>
      <c r="C1088" t="s">
        <v>2399</v>
      </c>
      <c r="D1088" t="s">
        <v>875</v>
      </c>
      <c r="E1088" t="s">
        <v>2395</v>
      </c>
      <c r="F1088" t="s">
        <v>7672</v>
      </c>
      <c r="G1088" t="s">
        <v>10320</v>
      </c>
      <c r="H1088" t="s">
        <v>10321</v>
      </c>
      <c r="I1088" t="s">
        <v>10338</v>
      </c>
      <c r="J1088" t="s">
        <v>7984</v>
      </c>
    </row>
    <row r="1089" spans="1:10" x14ac:dyDescent="0.25">
      <c r="A1089" t="s">
        <v>10339</v>
      </c>
      <c r="B1089">
        <v>10.4</v>
      </c>
      <c r="C1089" t="s">
        <v>10340</v>
      </c>
      <c r="D1089" t="s">
        <v>199</v>
      </c>
      <c r="E1089" t="s">
        <v>2395</v>
      </c>
      <c r="F1089" t="s">
        <v>7672</v>
      </c>
      <c r="G1089" t="s">
        <v>10320</v>
      </c>
      <c r="H1089" t="s">
        <v>10321</v>
      </c>
      <c r="I1089" t="s">
        <v>10322</v>
      </c>
      <c r="J1089" t="s">
        <v>7984</v>
      </c>
    </row>
    <row r="1090" spans="1:10" x14ac:dyDescent="0.25">
      <c r="A1090" t="s">
        <v>10341</v>
      </c>
      <c r="B1090">
        <v>10.4</v>
      </c>
      <c r="C1090" t="s">
        <v>10342</v>
      </c>
      <c r="D1090" t="s">
        <v>633</v>
      </c>
      <c r="E1090" t="s">
        <v>2395</v>
      </c>
      <c r="F1090" t="s">
        <v>7672</v>
      </c>
      <c r="G1090" t="s">
        <v>10320</v>
      </c>
      <c r="H1090" t="s">
        <v>10321</v>
      </c>
      <c r="I1090" t="s">
        <v>145</v>
      </c>
      <c r="J1090" t="s">
        <v>7984</v>
      </c>
    </row>
    <row r="1091" spans="1:10" x14ac:dyDescent="0.25">
      <c r="A1091" t="s">
        <v>10343</v>
      </c>
      <c r="B1091">
        <v>10.4</v>
      </c>
      <c r="C1091" t="s">
        <v>10344</v>
      </c>
      <c r="D1091" t="s">
        <v>1143</v>
      </c>
      <c r="E1091" t="s">
        <v>2395</v>
      </c>
      <c r="F1091" t="s">
        <v>7672</v>
      </c>
      <c r="G1091" t="s">
        <v>10320</v>
      </c>
      <c r="H1091" t="s">
        <v>10321</v>
      </c>
      <c r="I1091" t="s">
        <v>10327</v>
      </c>
      <c r="J1091" t="s">
        <v>7984</v>
      </c>
    </row>
    <row r="1092" spans="1:10" x14ac:dyDescent="0.25">
      <c r="A1092" t="s">
        <v>10345</v>
      </c>
      <c r="B1092">
        <v>10.4</v>
      </c>
      <c r="C1092" t="s">
        <v>10346</v>
      </c>
      <c r="D1092" t="s">
        <v>250</v>
      </c>
      <c r="E1092" t="s">
        <v>2395</v>
      </c>
      <c r="F1092" t="s">
        <v>7672</v>
      </c>
      <c r="G1092" t="s">
        <v>10320</v>
      </c>
      <c r="H1092" t="s">
        <v>10321</v>
      </c>
      <c r="I1092" t="s">
        <v>10330</v>
      </c>
      <c r="J1092" t="s">
        <v>7984</v>
      </c>
    </row>
    <row r="1093" spans="1:10" x14ac:dyDescent="0.25">
      <c r="A1093" t="s">
        <v>2402</v>
      </c>
      <c r="B1093">
        <v>10.4</v>
      </c>
      <c r="C1093" t="s">
        <v>2404</v>
      </c>
      <c r="D1093" t="s">
        <v>742</v>
      </c>
      <c r="E1093" t="s">
        <v>2395</v>
      </c>
      <c r="F1093" t="s">
        <v>7672</v>
      </c>
      <c r="G1093" t="s">
        <v>10320</v>
      </c>
      <c r="H1093" t="s">
        <v>10321</v>
      </c>
      <c r="I1093" t="s">
        <v>481</v>
      </c>
      <c r="J1093" t="s">
        <v>7984</v>
      </c>
    </row>
    <row r="1094" spans="1:10" x14ac:dyDescent="0.25">
      <c r="A1094" t="s">
        <v>10347</v>
      </c>
      <c r="B1094">
        <v>10.4</v>
      </c>
      <c r="C1094" t="s">
        <v>10348</v>
      </c>
      <c r="D1094" t="s">
        <v>436</v>
      </c>
      <c r="E1094" t="s">
        <v>2395</v>
      </c>
      <c r="F1094" t="s">
        <v>7672</v>
      </c>
      <c r="G1094" t="s">
        <v>10320</v>
      </c>
      <c r="H1094" t="s">
        <v>10321</v>
      </c>
      <c r="I1094" t="s">
        <v>10349</v>
      </c>
      <c r="J1094" t="s">
        <v>7984</v>
      </c>
    </row>
    <row r="1095" spans="1:10" x14ac:dyDescent="0.25">
      <c r="A1095" t="s">
        <v>10350</v>
      </c>
      <c r="B1095">
        <v>10.4</v>
      </c>
      <c r="C1095" t="s">
        <v>10351</v>
      </c>
      <c r="D1095" t="s">
        <v>2879</v>
      </c>
      <c r="E1095" t="s">
        <v>2395</v>
      </c>
      <c r="F1095" t="s">
        <v>7672</v>
      </c>
      <c r="G1095" t="s">
        <v>10320</v>
      </c>
      <c r="H1095" t="s">
        <v>10321</v>
      </c>
      <c r="I1095" t="s">
        <v>1243</v>
      </c>
      <c r="J1095" t="s">
        <v>7984</v>
      </c>
    </row>
    <row r="1096" spans="1:10" x14ac:dyDescent="0.25">
      <c r="A1096" t="s">
        <v>2407</v>
      </c>
      <c r="B1096">
        <v>10.4</v>
      </c>
      <c r="C1096" t="s">
        <v>2409</v>
      </c>
      <c r="D1096" t="s">
        <v>742</v>
      </c>
      <c r="E1096" t="s">
        <v>2395</v>
      </c>
      <c r="F1096" t="s">
        <v>7672</v>
      </c>
      <c r="G1096" t="s">
        <v>10320</v>
      </c>
      <c r="H1096" t="s">
        <v>10321</v>
      </c>
      <c r="I1096" t="s">
        <v>481</v>
      </c>
      <c r="J1096" t="s">
        <v>7987</v>
      </c>
    </row>
    <row r="1097" spans="1:10" x14ac:dyDescent="0.25">
      <c r="A1097" t="s">
        <v>10352</v>
      </c>
      <c r="B1097">
        <v>10.4</v>
      </c>
      <c r="C1097" t="s">
        <v>10353</v>
      </c>
      <c r="D1097" t="s">
        <v>379</v>
      </c>
      <c r="E1097" t="s">
        <v>2395</v>
      </c>
      <c r="F1097" t="s">
        <v>7672</v>
      </c>
      <c r="G1097" t="s">
        <v>10320</v>
      </c>
      <c r="H1097" t="s">
        <v>10321</v>
      </c>
      <c r="I1097" t="s">
        <v>10338</v>
      </c>
      <c r="J1097" t="s">
        <v>7987</v>
      </c>
    </row>
    <row r="1098" spans="1:10" x14ac:dyDescent="0.25">
      <c r="A1098" t="s">
        <v>10354</v>
      </c>
      <c r="B1098">
        <v>10.4</v>
      </c>
      <c r="C1098" t="s">
        <v>10355</v>
      </c>
      <c r="D1098" t="s">
        <v>991</v>
      </c>
      <c r="E1098" t="s">
        <v>2395</v>
      </c>
      <c r="F1098" t="s">
        <v>7672</v>
      </c>
      <c r="G1098" t="s">
        <v>10320</v>
      </c>
      <c r="H1098" t="s">
        <v>10321</v>
      </c>
      <c r="I1098" t="s">
        <v>145</v>
      </c>
      <c r="J1098" t="s">
        <v>7987</v>
      </c>
    </row>
    <row r="1099" spans="1:10" x14ac:dyDescent="0.25">
      <c r="A1099" t="s">
        <v>2411</v>
      </c>
      <c r="B1099">
        <v>10.4</v>
      </c>
      <c r="C1099" t="s">
        <v>2413</v>
      </c>
      <c r="D1099" t="s">
        <v>385</v>
      </c>
      <c r="E1099" t="s">
        <v>2395</v>
      </c>
      <c r="F1099" t="s">
        <v>7672</v>
      </c>
      <c r="G1099" t="s">
        <v>10320</v>
      </c>
      <c r="H1099" t="s">
        <v>10321</v>
      </c>
      <c r="I1099" t="s">
        <v>10330</v>
      </c>
      <c r="J1099" t="s">
        <v>7987</v>
      </c>
    </row>
    <row r="1100" spans="1:10" x14ac:dyDescent="0.25">
      <c r="A1100" t="s">
        <v>10356</v>
      </c>
      <c r="B1100">
        <v>10.4</v>
      </c>
      <c r="C1100" t="s">
        <v>10357</v>
      </c>
      <c r="D1100" t="s">
        <v>255</v>
      </c>
      <c r="E1100" t="s">
        <v>2395</v>
      </c>
      <c r="F1100" t="s">
        <v>7672</v>
      </c>
      <c r="G1100" t="s">
        <v>10320</v>
      </c>
      <c r="H1100" t="s">
        <v>10321</v>
      </c>
      <c r="I1100" t="s">
        <v>1243</v>
      </c>
      <c r="J1100" t="s">
        <v>7987</v>
      </c>
    </row>
    <row r="1101" spans="1:10" x14ac:dyDescent="0.25">
      <c r="A1101" t="s">
        <v>2416</v>
      </c>
      <c r="B1101">
        <v>10.4</v>
      </c>
      <c r="C1101" t="s">
        <v>2418</v>
      </c>
      <c r="D1101" t="s">
        <v>282</v>
      </c>
      <c r="E1101" t="s">
        <v>2395</v>
      </c>
      <c r="F1101" t="s">
        <v>7672</v>
      </c>
      <c r="G1101" t="s">
        <v>10320</v>
      </c>
      <c r="H1101" t="s">
        <v>10321</v>
      </c>
      <c r="I1101" t="s">
        <v>481</v>
      </c>
      <c r="J1101" t="s">
        <v>8001</v>
      </c>
    </row>
    <row r="1102" spans="1:10" x14ac:dyDescent="0.25">
      <c r="A1102" t="s">
        <v>10358</v>
      </c>
      <c r="B1102">
        <v>10.4</v>
      </c>
      <c r="C1102" t="s">
        <v>10359</v>
      </c>
      <c r="D1102" t="s">
        <v>250</v>
      </c>
      <c r="E1102" t="s">
        <v>2395</v>
      </c>
      <c r="F1102" t="s">
        <v>7672</v>
      </c>
      <c r="G1102" t="s">
        <v>10320</v>
      </c>
      <c r="H1102" t="s">
        <v>10321</v>
      </c>
      <c r="I1102" t="s">
        <v>10338</v>
      </c>
      <c r="J1102" t="s">
        <v>8001</v>
      </c>
    </row>
    <row r="1103" spans="1:10" x14ac:dyDescent="0.25">
      <c r="A1103" t="s">
        <v>2420</v>
      </c>
      <c r="B1103">
        <v>10.4</v>
      </c>
      <c r="C1103" t="s">
        <v>2422</v>
      </c>
      <c r="D1103" t="s">
        <v>1097</v>
      </c>
      <c r="E1103" t="s">
        <v>2395</v>
      </c>
      <c r="F1103" t="s">
        <v>7672</v>
      </c>
      <c r="G1103" t="s">
        <v>10320</v>
      </c>
      <c r="H1103" t="s">
        <v>10321</v>
      </c>
      <c r="I1103" t="s">
        <v>10330</v>
      </c>
      <c r="J1103" t="s">
        <v>8001</v>
      </c>
    </row>
    <row r="1104" spans="1:10" x14ac:dyDescent="0.25">
      <c r="A1104" t="s">
        <v>10360</v>
      </c>
      <c r="B1104">
        <v>10.4</v>
      </c>
      <c r="C1104" t="s">
        <v>10361</v>
      </c>
      <c r="D1104" t="s">
        <v>269</v>
      </c>
      <c r="E1104" t="s">
        <v>2395</v>
      </c>
      <c r="F1104" t="s">
        <v>7672</v>
      </c>
      <c r="G1104" t="s">
        <v>10320</v>
      </c>
      <c r="H1104" t="s">
        <v>10321</v>
      </c>
      <c r="I1104" t="s">
        <v>1243</v>
      </c>
      <c r="J1104" t="s">
        <v>8001</v>
      </c>
    </row>
    <row r="1105" spans="1:10" x14ac:dyDescent="0.25">
      <c r="A1105" t="s">
        <v>10362</v>
      </c>
      <c r="B1105">
        <v>10.4</v>
      </c>
      <c r="C1105" t="s">
        <v>10363</v>
      </c>
      <c r="D1105" t="s">
        <v>715</v>
      </c>
      <c r="E1105" t="s">
        <v>2395</v>
      </c>
      <c r="F1105" t="s">
        <v>7672</v>
      </c>
      <c r="G1105" t="s">
        <v>10320</v>
      </c>
      <c r="H1105" t="s">
        <v>10321</v>
      </c>
      <c r="I1105" t="s">
        <v>145</v>
      </c>
      <c r="J1105" t="s">
        <v>8001</v>
      </c>
    </row>
    <row r="1106" spans="1:10" x14ac:dyDescent="0.25">
      <c r="A1106" t="s">
        <v>10364</v>
      </c>
      <c r="B1106">
        <v>8.32</v>
      </c>
      <c r="C1106" t="s">
        <v>10365</v>
      </c>
      <c r="D1106" t="s">
        <v>1020</v>
      </c>
      <c r="E1106" t="s">
        <v>10366</v>
      </c>
      <c r="F1106" t="s">
        <v>7672</v>
      </c>
      <c r="G1106" t="s">
        <v>10367</v>
      </c>
      <c r="H1106" t="s">
        <v>10368</v>
      </c>
      <c r="I1106" t="s">
        <v>145</v>
      </c>
      <c r="J1106" t="s">
        <v>10369</v>
      </c>
    </row>
    <row r="1107" spans="1:10" x14ac:dyDescent="0.25">
      <c r="A1107" t="s">
        <v>10370</v>
      </c>
      <c r="B1107">
        <v>9</v>
      </c>
      <c r="C1107" t="s">
        <v>10371</v>
      </c>
      <c r="D1107" t="s">
        <v>255</v>
      </c>
      <c r="E1107" t="s">
        <v>10372</v>
      </c>
      <c r="F1107" t="s">
        <v>7672</v>
      </c>
      <c r="G1107" t="s">
        <v>10373</v>
      </c>
      <c r="H1107" t="s">
        <v>8673</v>
      </c>
      <c r="I1107" t="s">
        <v>10374</v>
      </c>
      <c r="J1107" t="s">
        <v>10375</v>
      </c>
    </row>
    <row r="1108" spans="1:10" x14ac:dyDescent="0.25">
      <c r="A1108" t="s">
        <v>10376</v>
      </c>
      <c r="B1108">
        <v>9</v>
      </c>
      <c r="C1108" t="s">
        <v>10377</v>
      </c>
      <c r="D1108" t="s">
        <v>53</v>
      </c>
      <c r="E1108" t="s">
        <v>10372</v>
      </c>
      <c r="F1108" t="s">
        <v>7672</v>
      </c>
      <c r="G1108" t="s">
        <v>10373</v>
      </c>
      <c r="H1108" t="s">
        <v>8673</v>
      </c>
      <c r="I1108" t="s">
        <v>8709</v>
      </c>
      <c r="J1108" t="s">
        <v>10375</v>
      </c>
    </row>
    <row r="1109" spans="1:10" x14ac:dyDescent="0.25">
      <c r="A1109" t="s">
        <v>10378</v>
      </c>
      <c r="B1109">
        <v>9</v>
      </c>
      <c r="C1109" t="s">
        <v>10379</v>
      </c>
      <c r="D1109" t="s">
        <v>255</v>
      </c>
      <c r="E1109" t="s">
        <v>10372</v>
      </c>
      <c r="F1109" t="s">
        <v>7672</v>
      </c>
      <c r="G1109" t="s">
        <v>10373</v>
      </c>
      <c r="H1109" t="s">
        <v>8673</v>
      </c>
      <c r="I1109" t="s">
        <v>10380</v>
      </c>
      <c r="J1109" t="s">
        <v>10381</v>
      </c>
    </row>
    <row r="1110" spans="1:10" x14ac:dyDescent="0.25">
      <c r="A1110" t="s">
        <v>10382</v>
      </c>
      <c r="B1110">
        <v>9</v>
      </c>
      <c r="C1110" t="s">
        <v>10383</v>
      </c>
      <c r="D1110" t="s">
        <v>366</v>
      </c>
      <c r="E1110" t="s">
        <v>10372</v>
      </c>
      <c r="F1110" t="s">
        <v>7672</v>
      </c>
      <c r="G1110" t="s">
        <v>10373</v>
      </c>
      <c r="H1110" t="s">
        <v>8673</v>
      </c>
      <c r="I1110" t="s">
        <v>10384</v>
      </c>
      <c r="J1110" t="s">
        <v>10381</v>
      </c>
    </row>
    <row r="1111" spans="1:10" x14ac:dyDescent="0.25">
      <c r="A1111" t="s">
        <v>10385</v>
      </c>
      <c r="B1111">
        <v>9</v>
      </c>
      <c r="C1111" t="s">
        <v>10386</v>
      </c>
      <c r="D1111" t="s">
        <v>359</v>
      </c>
      <c r="E1111" t="s">
        <v>10372</v>
      </c>
      <c r="F1111" t="s">
        <v>7672</v>
      </c>
      <c r="G1111" t="s">
        <v>10373</v>
      </c>
      <c r="H1111" t="s">
        <v>8673</v>
      </c>
      <c r="I1111" t="s">
        <v>10387</v>
      </c>
      <c r="J1111" t="s">
        <v>10381</v>
      </c>
    </row>
    <row r="1112" spans="1:10" x14ac:dyDescent="0.25">
      <c r="A1112" t="s">
        <v>10388</v>
      </c>
      <c r="B1112">
        <v>9</v>
      </c>
      <c r="C1112" t="s">
        <v>10389</v>
      </c>
      <c r="D1112" t="s">
        <v>199</v>
      </c>
      <c r="E1112" t="s">
        <v>10372</v>
      </c>
      <c r="F1112" t="s">
        <v>7672</v>
      </c>
      <c r="G1112" t="s">
        <v>10373</v>
      </c>
      <c r="H1112" t="s">
        <v>8673</v>
      </c>
      <c r="I1112" t="s">
        <v>8709</v>
      </c>
      <c r="J1112" t="s">
        <v>10381</v>
      </c>
    </row>
    <row r="1113" spans="1:10" x14ac:dyDescent="0.25">
      <c r="A1113" t="s">
        <v>10390</v>
      </c>
      <c r="B1113">
        <v>9</v>
      </c>
      <c r="C1113" t="s">
        <v>10391</v>
      </c>
      <c r="D1113" t="s">
        <v>359</v>
      </c>
      <c r="E1113" t="s">
        <v>10372</v>
      </c>
      <c r="F1113" t="s">
        <v>7672</v>
      </c>
      <c r="G1113" t="s">
        <v>10373</v>
      </c>
      <c r="H1113" t="s">
        <v>8673</v>
      </c>
      <c r="I1113" t="s">
        <v>10374</v>
      </c>
      <c r="J1113" t="s">
        <v>10381</v>
      </c>
    </row>
    <row r="1114" spans="1:10" x14ac:dyDescent="0.25">
      <c r="A1114" t="s">
        <v>10392</v>
      </c>
      <c r="B1114">
        <v>9</v>
      </c>
      <c r="C1114" t="s">
        <v>10393</v>
      </c>
      <c r="D1114" t="s">
        <v>164</v>
      </c>
      <c r="E1114" t="s">
        <v>10372</v>
      </c>
      <c r="F1114" t="s">
        <v>7672</v>
      </c>
      <c r="G1114" t="s">
        <v>10373</v>
      </c>
      <c r="H1114" t="s">
        <v>8673</v>
      </c>
      <c r="I1114" t="s">
        <v>10394</v>
      </c>
      <c r="J1114" t="s">
        <v>10381</v>
      </c>
    </row>
    <row r="1115" spans="1:10" x14ac:dyDescent="0.25">
      <c r="A1115" t="s">
        <v>10395</v>
      </c>
      <c r="B1115">
        <v>9</v>
      </c>
      <c r="C1115" t="s">
        <v>10396</v>
      </c>
      <c r="D1115" t="s">
        <v>199</v>
      </c>
      <c r="E1115" t="s">
        <v>10372</v>
      </c>
      <c r="F1115" t="s">
        <v>7672</v>
      </c>
      <c r="G1115" t="s">
        <v>10373</v>
      </c>
      <c r="H1115" t="s">
        <v>8673</v>
      </c>
      <c r="I1115" t="s">
        <v>10384</v>
      </c>
      <c r="J1115" t="s">
        <v>10397</v>
      </c>
    </row>
    <row r="1116" spans="1:10" x14ac:dyDescent="0.25">
      <c r="A1116" t="s">
        <v>10398</v>
      </c>
      <c r="B1116">
        <v>9</v>
      </c>
      <c r="C1116" t="s">
        <v>10399</v>
      </c>
      <c r="D1116" t="s">
        <v>330</v>
      </c>
      <c r="E1116" t="s">
        <v>10372</v>
      </c>
      <c r="F1116" t="s">
        <v>7672</v>
      </c>
      <c r="G1116" t="s">
        <v>10373</v>
      </c>
      <c r="H1116" t="s">
        <v>8673</v>
      </c>
      <c r="I1116" t="s">
        <v>10387</v>
      </c>
      <c r="J1116" t="s">
        <v>10397</v>
      </c>
    </row>
    <row r="1117" spans="1:10" x14ac:dyDescent="0.25">
      <c r="A1117" t="s">
        <v>10400</v>
      </c>
      <c r="B1117">
        <v>9</v>
      </c>
      <c r="C1117" t="s">
        <v>10401</v>
      </c>
      <c r="D1117" t="s">
        <v>981</v>
      </c>
      <c r="E1117" t="s">
        <v>10372</v>
      </c>
      <c r="F1117" t="s">
        <v>7672</v>
      </c>
      <c r="G1117" t="s">
        <v>10373</v>
      </c>
      <c r="H1117" t="s">
        <v>8673</v>
      </c>
      <c r="I1117" t="s">
        <v>10374</v>
      </c>
      <c r="J1117" t="s">
        <v>10397</v>
      </c>
    </row>
    <row r="1118" spans="1:10" x14ac:dyDescent="0.25">
      <c r="A1118" t="s">
        <v>10402</v>
      </c>
      <c r="B1118">
        <v>9</v>
      </c>
      <c r="C1118" t="s">
        <v>10403</v>
      </c>
      <c r="D1118" t="s">
        <v>875</v>
      </c>
      <c r="E1118" t="s">
        <v>10372</v>
      </c>
      <c r="F1118" t="s">
        <v>7672</v>
      </c>
      <c r="G1118" t="s">
        <v>10373</v>
      </c>
      <c r="H1118" t="s">
        <v>8673</v>
      </c>
      <c r="I1118" t="s">
        <v>8709</v>
      </c>
      <c r="J1118" t="s">
        <v>10397</v>
      </c>
    </row>
    <row r="1119" spans="1:10" x14ac:dyDescent="0.25">
      <c r="A1119" t="s">
        <v>10404</v>
      </c>
      <c r="B1119">
        <v>9</v>
      </c>
      <c r="C1119" t="s">
        <v>10405</v>
      </c>
      <c r="D1119" t="s">
        <v>100</v>
      </c>
      <c r="E1119" t="s">
        <v>10372</v>
      </c>
      <c r="F1119" t="s">
        <v>7672</v>
      </c>
      <c r="G1119" t="s">
        <v>10373</v>
      </c>
      <c r="H1119" t="s">
        <v>8673</v>
      </c>
      <c r="I1119" t="s">
        <v>10394</v>
      </c>
      <c r="J1119" t="s">
        <v>10397</v>
      </c>
    </row>
    <row r="1120" spans="1:10" x14ac:dyDescent="0.25">
      <c r="A1120" t="s">
        <v>10406</v>
      </c>
      <c r="B1120">
        <v>9</v>
      </c>
      <c r="C1120" t="s">
        <v>10407</v>
      </c>
      <c r="D1120" t="s">
        <v>2371</v>
      </c>
      <c r="E1120" t="s">
        <v>10372</v>
      </c>
      <c r="F1120" t="s">
        <v>7672</v>
      </c>
      <c r="G1120" t="s">
        <v>10373</v>
      </c>
      <c r="H1120" t="s">
        <v>8673</v>
      </c>
      <c r="I1120" t="s">
        <v>10387</v>
      </c>
      <c r="J1120" t="s">
        <v>10408</v>
      </c>
    </row>
    <row r="1121" spans="1:10" x14ac:dyDescent="0.25">
      <c r="A1121" t="s">
        <v>10409</v>
      </c>
      <c r="B1121">
        <v>9</v>
      </c>
      <c r="C1121" t="s">
        <v>10410</v>
      </c>
      <c r="D1121" t="s">
        <v>975</v>
      </c>
      <c r="E1121" t="s">
        <v>10372</v>
      </c>
      <c r="F1121" t="s">
        <v>7672</v>
      </c>
      <c r="G1121" t="s">
        <v>10373</v>
      </c>
      <c r="H1121" t="s">
        <v>8673</v>
      </c>
      <c r="I1121" t="s">
        <v>10384</v>
      </c>
      <c r="J1121" t="s">
        <v>10408</v>
      </c>
    </row>
    <row r="1122" spans="1:10" x14ac:dyDescent="0.25">
      <c r="A1122" t="s">
        <v>10411</v>
      </c>
      <c r="B1122">
        <v>9</v>
      </c>
      <c r="C1122" t="s">
        <v>10412</v>
      </c>
      <c r="D1122" t="s">
        <v>359</v>
      </c>
      <c r="E1122" t="s">
        <v>10372</v>
      </c>
      <c r="F1122" t="s">
        <v>7672</v>
      </c>
      <c r="G1122" t="s">
        <v>10373</v>
      </c>
      <c r="H1122" t="s">
        <v>8673</v>
      </c>
      <c r="I1122" t="s">
        <v>278</v>
      </c>
      <c r="J1122" t="s">
        <v>10408</v>
      </c>
    </row>
    <row r="1123" spans="1:10" x14ac:dyDescent="0.25">
      <c r="A1123" t="s">
        <v>10413</v>
      </c>
      <c r="B1123">
        <v>9</v>
      </c>
      <c r="C1123" t="s">
        <v>10414</v>
      </c>
      <c r="D1123" t="s">
        <v>4270</v>
      </c>
      <c r="E1123" t="s">
        <v>10372</v>
      </c>
      <c r="F1123" t="s">
        <v>7672</v>
      </c>
      <c r="G1123" t="s">
        <v>10373</v>
      </c>
      <c r="H1123" t="s">
        <v>8673</v>
      </c>
      <c r="I1123" t="s">
        <v>10415</v>
      </c>
      <c r="J1123" t="s">
        <v>10408</v>
      </c>
    </row>
    <row r="1124" spans="1:10" x14ac:dyDescent="0.25">
      <c r="A1124" t="s">
        <v>10416</v>
      </c>
      <c r="B1124">
        <v>9</v>
      </c>
      <c r="C1124" t="s">
        <v>10417</v>
      </c>
      <c r="D1124" t="s">
        <v>1852</v>
      </c>
      <c r="E1124" t="s">
        <v>10372</v>
      </c>
      <c r="F1124" t="s">
        <v>7672</v>
      </c>
      <c r="G1124" t="s">
        <v>10373</v>
      </c>
      <c r="H1124" t="s">
        <v>8673</v>
      </c>
      <c r="I1124" t="s">
        <v>8709</v>
      </c>
      <c r="J1124" t="s">
        <v>10408</v>
      </c>
    </row>
    <row r="1125" spans="1:10" x14ac:dyDescent="0.25">
      <c r="A1125" t="s">
        <v>10418</v>
      </c>
      <c r="B1125">
        <v>9</v>
      </c>
      <c r="C1125" t="s">
        <v>10419</v>
      </c>
      <c r="D1125" t="s">
        <v>144</v>
      </c>
      <c r="E1125" t="s">
        <v>10372</v>
      </c>
      <c r="F1125" t="s">
        <v>7672</v>
      </c>
      <c r="G1125" t="s">
        <v>10373</v>
      </c>
      <c r="H1125" t="s">
        <v>8673</v>
      </c>
      <c r="I1125" t="s">
        <v>10374</v>
      </c>
      <c r="J1125" t="s">
        <v>10408</v>
      </c>
    </row>
    <row r="1126" spans="1:10" x14ac:dyDescent="0.25">
      <c r="A1126" t="s">
        <v>10420</v>
      </c>
      <c r="B1126">
        <v>9</v>
      </c>
      <c r="C1126" t="s">
        <v>10421</v>
      </c>
      <c r="D1126" t="s">
        <v>2787</v>
      </c>
      <c r="E1126" t="s">
        <v>10372</v>
      </c>
      <c r="F1126" t="s">
        <v>7672</v>
      </c>
      <c r="G1126" t="s">
        <v>10373</v>
      </c>
      <c r="H1126" t="s">
        <v>8673</v>
      </c>
      <c r="I1126" t="s">
        <v>10394</v>
      </c>
      <c r="J1126" t="s">
        <v>10408</v>
      </c>
    </row>
    <row r="1127" spans="1:10" x14ac:dyDescent="0.25">
      <c r="A1127" t="s">
        <v>10422</v>
      </c>
      <c r="B1127">
        <v>9</v>
      </c>
      <c r="C1127" t="s">
        <v>10423</v>
      </c>
      <c r="D1127" t="s">
        <v>269</v>
      </c>
      <c r="E1127" t="s">
        <v>10372</v>
      </c>
      <c r="F1127" t="s">
        <v>7672</v>
      </c>
      <c r="G1127" t="s">
        <v>10373</v>
      </c>
      <c r="H1127" t="s">
        <v>8673</v>
      </c>
      <c r="I1127" t="s">
        <v>8709</v>
      </c>
      <c r="J1127" t="s">
        <v>10424</v>
      </c>
    </row>
    <row r="1128" spans="1:10" x14ac:dyDescent="0.25">
      <c r="A1128" t="s">
        <v>10425</v>
      </c>
      <c r="B1128">
        <v>9</v>
      </c>
      <c r="C1128" t="s">
        <v>10426</v>
      </c>
      <c r="D1128" t="s">
        <v>1236</v>
      </c>
      <c r="E1128" t="s">
        <v>10372</v>
      </c>
      <c r="F1128" t="s">
        <v>7672</v>
      </c>
      <c r="G1128" t="s">
        <v>10373</v>
      </c>
      <c r="H1128" t="s">
        <v>8673</v>
      </c>
      <c r="I1128" t="s">
        <v>10374</v>
      </c>
      <c r="J1128" t="s">
        <v>10424</v>
      </c>
    </row>
    <row r="1129" spans="1:10" x14ac:dyDescent="0.25">
      <c r="A1129" t="s">
        <v>10427</v>
      </c>
      <c r="B1129">
        <v>9</v>
      </c>
      <c r="C1129" t="s">
        <v>10428</v>
      </c>
      <c r="D1129" t="s">
        <v>2578</v>
      </c>
      <c r="E1129" t="s">
        <v>10372</v>
      </c>
      <c r="F1129" t="s">
        <v>7672</v>
      </c>
      <c r="G1129" t="s">
        <v>10373</v>
      </c>
      <c r="H1129" t="s">
        <v>8673</v>
      </c>
      <c r="I1129" t="s">
        <v>278</v>
      </c>
      <c r="J1129" t="s">
        <v>10429</v>
      </c>
    </row>
    <row r="1130" spans="1:10" x14ac:dyDescent="0.25">
      <c r="A1130" t="s">
        <v>10430</v>
      </c>
      <c r="B1130">
        <v>9</v>
      </c>
      <c r="C1130" t="s">
        <v>10431</v>
      </c>
      <c r="D1130" t="s">
        <v>10432</v>
      </c>
      <c r="E1130" t="s">
        <v>10372</v>
      </c>
      <c r="F1130" t="s">
        <v>7672</v>
      </c>
      <c r="G1130" t="s">
        <v>10373</v>
      </c>
      <c r="H1130" t="s">
        <v>8673</v>
      </c>
      <c r="I1130" t="s">
        <v>10433</v>
      </c>
      <c r="J1130" t="s">
        <v>10429</v>
      </c>
    </row>
    <row r="1131" spans="1:10" x14ac:dyDescent="0.25">
      <c r="A1131" t="s">
        <v>10434</v>
      </c>
      <c r="B1131">
        <v>9</v>
      </c>
      <c r="C1131" t="s">
        <v>10435</v>
      </c>
      <c r="D1131" t="s">
        <v>10436</v>
      </c>
      <c r="E1131" t="s">
        <v>10372</v>
      </c>
      <c r="F1131" t="s">
        <v>7672</v>
      </c>
      <c r="G1131" t="s">
        <v>10373</v>
      </c>
      <c r="H1131" t="s">
        <v>8673</v>
      </c>
      <c r="I1131" t="s">
        <v>10387</v>
      </c>
      <c r="J1131" t="s">
        <v>10429</v>
      </c>
    </row>
    <row r="1132" spans="1:10" x14ac:dyDescent="0.25">
      <c r="A1132" t="s">
        <v>10437</v>
      </c>
      <c r="B1132">
        <v>9</v>
      </c>
      <c r="C1132" t="s">
        <v>10438</v>
      </c>
      <c r="D1132" t="s">
        <v>10439</v>
      </c>
      <c r="E1132" t="s">
        <v>10372</v>
      </c>
      <c r="F1132" t="s">
        <v>7672</v>
      </c>
      <c r="G1132" t="s">
        <v>10373</v>
      </c>
      <c r="H1132" t="s">
        <v>8673</v>
      </c>
      <c r="I1132" t="s">
        <v>10415</v>
      </c>
      <c r="J1132" t="s">
        <v>10429</v>
      </c>
    </row>
    <row r="1133" spans="1:10" x14ac:dyDescent="0.25">
      <c r="A1133" t="s">
        <v>10440</v>
      </c>
      <c r="B1133">
        <v>9</v>
      </c>
      <c r="C1133" t="s">
        <v>10441</v>
      </c>
      <c r="D1133" t="s">
        <v>10442</v>
      </c>
      <c r="E1133" t="s">
        <v>10372</v>
      </c>
      <c r="F1133" t="s">
        <v>7672</v>
      </c>
      <c r="G1133" t="s">
        <v>10373</v>
      </c>
      <c r="H1133" t="s">
        <v>8673</v>
      </c>
      <c r="I1133" t="s">
        <v>8709</v>
      </c>
      <c r="J1133" t="s">
        <v>10429</v>
      </c>
    </row>
    <row r="1134" spans="1:10" x14ac:dyDescent="0.25">
      <c r="A1134" t="s">
        <v>10443</v>
      </c>
      <c r="B1134">
        <v>9</v>
      </c>
      <c r="C1134" t="s">
        <v>10444</v>
      </c>
      <c r="D1134" t="s">
        <v>4679</v>
      </c>
      <c r="E1134" t="s">
        <v>10372</v>
      </c>
      <c r="F1134" t="s">
        <v>7672</v>
      </c>
      <c r="G1134" t="s">
        <v>10373</v>
      </c>
      <c r="H1134" t="s">
        <v>8673</v>
      </c>
      <c r="I1134" t="s">
        <v>10384</v>
      </c>
      <c r="J1134" t="s">
        <v>10429</v>
      </c>
    </row>
    <row r="1135" spans="1:10" x14ac:dyDescent="0.25">
      <c r="A1135" t="s">
        <v>10445</v>
      </c>
      <c r="B1135">
        <v>9</v>
      </c>
      <c r="C1135" t="s">
        <v>10446</v>
      </c>
      <c r="D1135" t="s">
        <v>7926</v>
      </c>
      <c r="E1135" t="s">
        <v>10372</v>
      </c>
      <c r="F1135" t="s">
        <v>7672</v>
      </c>
      <c r="G1135" t="s">
        <v>10373</v>
      </c>
      <c r="H1135" t="s">
        <v>8673</v>
      </c>
      <c r="I1135" t="s">
        <v>10374</v>
      </c>
      <c r="J1135" t="s">
        <v>10429</v>
      </c>
    </row>
    <row r="1136" spans="1:10" x14ac:dyDescent="0.25">
      <c r="A1136" t="s">
        <v>10447</v>
      </c>
      <c r="B1136">
        <v>9</v>
      </c>
      <c r="C1136" t="s">
        <v>10448</v>
      </c>
      <c r="D1136" t="s">
        <v>10449</v>
      </c>
      <c r="E1136" t="s">
        <v>10372</v>
      </c>
      <c r="F1136" t="s">
        <v>7672</v>
      </c>
      <c r="G1136" t="s">
        <v>10373</v>
      </c>
      <c r="H1136" t="s">
        <v>8673</v>
      </c>
      <c r="I1136" t="s">
        <v>10394</v>
      </c>
      <c r="J1136" t="s">
        <v>10429</v>
      </c>
    </row>
    <row r="1137" spans="1:10" x14ac:dyDescent="0.25">
      <c r="A1137" t="s">
        <v>10450</v>
      </c>
      <c r="B1137">
        <v>9</v>
      </c>
      <c r="C1137" t="s">
        <v>10451</v>
      </c>
      <c r="D1137" t="s">
        <v>3954</v>
      </c>
      <c r="E1137" t="s">
        <v>10372</v>
      </c>
      <c r="F1137" t="s">
        <v>7672</v>
      </c>
      <c r="G1137" t="s">
        <v>10373</v>
      </c>
      <c r="H1137" t="s">
        <v>8673</v>
      </c>
      <c r="I1137" t="s">
        <v>278</v>
      </c>
      <c r="J1137" t="s">
        <v>10452</v>
      </c>
    </row>
    <row r="1138" spans="1:10" x14ac:dyDescent="0.25">
      <c r="A1138" t="s">
        <v>10453</v>
      </c>
      <c r="B1138">
        <v>9</v>
      </c>
      <c r="C1138" t="s">
        <v>10454</v>
      </c>
      <c r="D1138" t="s">
        <v>7735</v>
      </c>
      <c r="E1138" t="s">
        <v>10372</v>
      </c>
      <c r="F1138" t="s">
        <v>7672</v>
      </c>
      <c r="G1138" t="s">
        <v>10373</v>
      </c>
      <c r="H1138" t="s">
        <v>8673</v>
      </c>
      <c r="I1138" t="s">
        <v>10433</v>
      </c>
      <c r="J1138" t="s">
        <v>10452</v>
      </c>
    </row>
    <row r="1139" spans="1:10" x14ac:dyDescent="0.25">
      <c r="A1139" t="s">
        <v>10455</v>
      </c>
      <c r="B1139">
        <v>9</v>
      </c>
      <c r="C1139" t="s">
        <v>10456</v>
      </c>
      <c r="D1139" t="s">
        <v>10457</v>
      </c>
      <c r="E1139" t="s">
        <v>10372</v>
      </c>
      <c r="F1139" t="s">
        <v>7672</v>
      </c>
      <c r="G1139" t="s">
        <v>10373</v>
      </c>
      <c r="H1139" t="s">
        <v>8673</v>
      </c>
      <c r="I1139" t="s">
        <v>10387</v>
      </c>
      <c r="J1139" t="s">
        <v>10452</v>
      </c>
    </row>
    <row r="1140" spans="1:10" x14ac:dyDescent="0.25">
      <c r="A1140" t="s">
        <v>10458</v>
      </c>
      <c r="B1140">
        <v>9</v>
      </c>
      <c r="C1140" t="s">
        <v>10459</v>
      </c>
      <c r="D1140" t="s">
        <v>10457</v>
      </c>
      <c r="E1140" t="s">
        <v>10372</v>
      </c>
      <c r="F1140" t="s">
        <v>7672</v>
      </c>
      <c r="G1140" t="s">
        <v>10373</v>
      </c>
      <c r="H1140" t="s">
        <v>8673</v>
      </c>
      <c r="I1140" t="s">
        <v>10415</v>
      </c>
      <c r="J1140" t="s">
        <v>10452</v>
      </c>
    </row>
    <row r="1141" spans="1:10" x14ac:dyDescent="0.25">
      <c r="A1141" t="s">
        <v>10460</v>
      </c>
      <c r="B1141">
        <v>9</v>
      </c>
      <c r="C1141" t="s">
        <v>10461</v>
      </c>
      <c r="D1141" t="s">
        <v>10070</v>
      </c>
      <c r="E1141" t="s">
        <v>10372</v>
      </c>
      <c r="F1141" t="s">
        <v>7672</v>
      </c>
      <c r="G1141" t="s">
        <v>10373</v>
      </c>
      <c r="H1141" t="s">
        <v>8673</v>
      </c>
      <c r="I1141" t="s">
        <v>8709</v>
      </c>
      <c r="J1141" t="s">
        <v>10452</v>
      </c>
    </row>
    <row r="1142" spans="1:10" x14ac:dyDescent="0.25">
      <c r="A1142" t="s">
        <v>10462</v>
      </c>
      <c r="B1142">
        <v>9</v>
      </c>
      <c r="C1142" t="s">
        <v>10463</v>
      </c>
      <c r="D1142" t="s">
        <v>10464</v>
      </c>
      <c r="E1142" t="s">
        <v>10372</v>
      </c>
      <c r="F1142" t="s">
        <v>7672</v>
      </c>
      <c r="G1142" t="s">
        <v>10373</v>
      </c>
      <c r="H1142" t="s">
        <v>8673</v>
      </c>
      <c r="I1142" t="s">
        <v>10384</v>
      </c>
      <c r="J1142" t="s">
        <v>10452</v>
      </c>
    </row>
    <row r="1143" spans="1:10" x14ac:dyDescent="0.25">
      <c r="A1143" t="s">
        <v>10465</v>
      </c>
      <c r="B1143">
        <v>9</v>
      </c>
      <c r="C1143" t="s">
        <v>10466</v>
      </c>
      <c r="D1143" t="s">
        <v>10467</v>
      </c>
      <c r="E1143" t="s">
        <v>10372</v>
      </c>
      <c r="F1143" t="s">
        <v>7672</v>
      </c>
      <c r="G1143" t="s">
        <v>10373</v>
      </c>
      <c r="H1143" t="s">
        <v>8673</v>
      </c>
      <c r="I1143" t="s">
        <v>10394</v>
      </c>
      <c r="J1143" t="s">
        <v>10452</v>
      </c>
    </row>
    <row r="1144" spans="1:10" x14ac:dyDescent="0.25">
      <c r="A1144" t="s">
        <v>10468</v>
      </c>
      <c r="B1144">
        <v>9</v>
      </c>
      <c r="C1144" t="s">
        <v>10469</v>
      </c>
      <c r="D1144" t="s">
        <v>8336</v>
      </c>
      <c r="E1144" t="s">
        <v>10372</v>
      </c>
      <c r="F1144" t="s">
        <v>7672</v>
      </c>
      <c r="G1144" t="s">
        <v>10373</v>
      </c>
      <c r="H1144" t="s">
        <v>8673</v>
      </c>
      <c r="I1144" t="s">
        <v>10374</v>
      </c>
      <c r="J1144" t="s">
        <v>10452</v>
      </c>
    </row>
    <row r="1145" spans="1:10" x14ac:dyDescent="0.25">
      <c r="A1145" t="s">
        <v>10470</v>
      </c>
      <c r="B1145">
        <v>9</v>
      </c>
      <c r="C1145" t="s">
        <v>10471</v>
      </c>
      <c r="D1145" t="s">
        <v>3184</v>
      </c>
      <c r="E1145" t="s">
        <v>10372</v>
      </c>
      <c r="F1145" t="s">
        <v>7672</v>
      </c>
      <c r="G1145" t="s">
        <v>10373</v>
      </c>
      <c r="H1145" t="s">
        <v>8673</v>
      </c>
      <c r="I1145" t="s">
        <v>8709</v>
      </c>
      <c r="J1145" t="s">
        <v>10472</v>
      </c>
    </row>
    <row r="1146" spans="1:10" x14ac:dyDescent="0.25">
      <c r="A1146" t="s">
        <v>10473</v>
      </c>
      <c r="B1146">
        <v>9</v>
      </c>
      <c r="C1146" t="s">
        <v>10474</v>
      </c>
      <c r="D1146" t="s">
        <v>903</v>
      </c>
      <c r="E1146" t="s">
        <v>10372</v>
      </c>
      <c r="F1146" t="s">
        <v>7672</v>
      </c>
      <c r="G1146" t="s">
        <v>10373</v>
      </c>
      <c r="H1146" t="s">
        <v>8673</v>
      </c>
      <c r="I1146" t="s">
        <v>10374</v>
      </c>
      <c r="J1146" t="s">
        <v>10472</v>
      </c>
    </row>
    <row r="1147" spans="1:10" x14ac:dyDescent="0.25">
      <c r="A1147" t="s">
        <v>10475</v>
      </c>
      <c r="B1147">
        <v>9</v>
      </c>
      <c r="C1147" t="s">
        <v>10476</v>
      </c>
      <c r="D1147" t="s">
        <v>991</v>
      </c>
      <c r="E1147" t="s">
        <v>10372</v>
      </c>
      <c r="F1147" t="s">
        <v>7672</v>
      </c>
      <c r="G1147" t="s">
        <v>10373</v>
      </c>
      <c r="H1147" t="s">
        <v>8673</v>
      </c>
      <c r="I1147" t="s">
        <v>10387</v>
      </c>
      <c r="J1147" t="s">
        <v>10477</v>
      </c>
    </row>
    <row r="1148" spans="1:10" x14ac:dyDescent="0.25">
      <c r="A1148" t="s">
        <v>10478</v>
      </c>
      <c r="B1148">
        <v>9</v>
      </c>
      <c r="C1148" t="s">
        <v>10479</v>
      </c>
      <c r="D1148" t="s">
        <v>1236</v>
      </c>
      <c r="E1148" t="s">
        <v>10372</v>
      </c>
      <c r="F1148" t="s">
        <v>7672</v>
      </c>
      <c r="G1148" t="s">
        <v>10373</v>
      </c>
      <c r="H1148" t="s">
        <v>8673</v>
      </c>
      <c r="I1148" t="s">
        <v>10394</v>
      </c>
      <c r="J1148" t="s">
        <v>10477</v>
      </c>
    </row>
    <row r="1149" spans="1:10" x14ac:dyDescent="0.25">
      <c r="A1149" t="s">
        <v>10480</v>
      </c>
      <c r="B1149">
        <v>9</v>
      </c>
      <c r="C1149" t="s">
        <v>10481</v>
      </c>
      <c r="D1149" t="s">
        <v>8786</v>
      </c>
      <c r="E1149" t="s">
        <v>10372</v>
      </c>
      <c r="F1149" t="s">
        <v>7672</v>
      </c>
      <c r="G1149" t="s">
        <v>10373</v>
      </c>
      <c r="H1149" t="s">
        <v>8673</v>
      </c>
      <c r="I1149" t="s">
        <v>8709</v>
      </c>
      <c r="J1149" t="s">
        <v>10477</v>
      </c>
    </row>
    <row r="1150" spans="1:10" x14ac:dyDescent="0.25">
      <c r="A1150" t="s">
        <v>10482</v>
      </c>
      <c r="B1150">
        <v>9</v>
      </c>
      <c r="C1150" t="s">
        <v>10483</v>
      </c>
      <c r="D1150" t="s">
        <v>306</v>
      </c>
      <c r="E1150" t="s">
        <v>10372</v>
      </c>
      <c r="F1150" t="s">
        <v>7672</v>
      </c>
      <c r="G1150" t="s">
        <v>10373</v>
      </c>
      <c r="H1150" t="s">
        <v>8673</v>
      </c>
      <c r="I1150" t="s">
        <v>10384</v>
      </c>
      <c r="J1150" t="s">
        <v>10477</v>
      </c>
    </row>
    <row r="1151" spans="1:10" x14ac:dyDescent="0.25">
      <c r="A1151" t="s">
        <v>10484</v>
      </c>
      <c r="B1151">
        <v>9</v>
      </c>
      <c r="C1151" t="s">
        <v>10485</v>
      </c>
      <c r="D1151" t="s">
        <v>1822</v>
      </c>
      <c r="E1151" t="s">
        <v>10372</v>
      </c>
      <c r="F1151" t="s">
        <v>7672</v>
      </c>
      <c r="G1151" t="s">
        <v>10373</v>
      </c>
      <c r="H1151" t="s">
        <v>8673</v>
      </c>
      <c r="I1151" t="s">
        <v>10415</v>
      </c>
      <c r="J1151" t="s">
        <v>10477</v>
      </c>
    </row>
    <row r="1152" spans="1:10" x14ac:dyDescent="0.25">
      <c r="A1152" t="s">
        <v>10486</v>
      </c>
      <c r="B1152">
        <v>9</v>
      </c>
      <c r="C1152" t="s">
        <v>10487</v>
      </c>
      <c r="D1152" t="s">
        <v>3253</v>
      </c>
      <c r="E1152" t="s">
        <v>10372</v>
      </c>
      <c r="F1152" t="s">
        <v>7672</v>
      </c>
      <c r="G1152" t="s">
        <v>10373</v>
      </c>
      <c r="H1152" t="s">
        <v>8673</v>
      </c>
      <c r="I1152" t="s">
        <v>10374</v>
      </c>
      <c r="J1152" t="s">
        <v>10477</v>
      </c>
    </row>
    <row r="1153" spans="1:10" x14ac:dyDescent="0.25">
      <c r="A1153" t="s">
        <v>10488</v>
      </c>
      <c r="B1153">
        <v>9</v>
      </c>
      <c r="C1153" t="s">
        <v>10489</v>
      </c>
      <c r="D1153" t="s">
        <v>286</v>
      </c>
      <c r="E1153" t="s">
        <v>10372</v>
      </c>
      <c r="F1153" t="s">
        <v>7672</v>
      </c>
      <c r="G1153" t="s">
        <v>10373</v>
      </c>
      <c r="H1153" t="s">
        <v>8673</v>
      </c>
      <c r="I1153" t="s">
        <v>10387</v>
      </c>
      <c r="J1153" t="s">
        <v>10490</v>
      </c>
    </row>
    <row r="1154" spans="1:10" x14ac:dyDescent="0.25">
      <c r="A1154" t="s">
        <v>10491</v>
      </c>
      <c r="B1154">
        <v>9</v>
      </c>
      <c r="C1154" t="s">
        <v>10492</v>
      </c>
      <c r="D1154" t="s">
        <v>781</v>
      </c>
      <c r="E1154" t="s">
        <v>10372</v>
      </c>
      <c r="F1154" t="s">
        <v>7672</v>
      </c>
      <c r="G1154" t="s">
        <v>10373</v>
      </c>
      <c r="H1154" t="s">
        <v>8673</v>
      </c>
      <c r="I1154" t="s">
        <v>8709</v>
      </c>
      <c r="J1154" t="s">
        <v>10490</v>
      </c>
    </row>
    <row r="1155" spans="1:10" x14ac:dyDescent="0.25">
      <c r="A1155" t="s">
        <v>10493</v>
      </c>
      <c r="B1155">
        <v>9</v>
      </c>
      <c r="C1155" t="s">
        <v>10494</v>
      </c>
      <c r="D1155" t="s">
        <v>964</v>
      </c>
      <c r="E1155" t="s">
        <v>10372</v>
      </c>
      <c r="F1155" t="s">
        <v>7672</v>
      </c>
      <c r="G1155" t="s">
        <v>10373</v>
      </c>
      <c r="H1155" t="s">
        <v>8673</v>
      </c>
      <c r="I1155" t="s">
        <v>10384</v>
      </c>
      <c r="J1155" t="s">
        <v>10490</v>
      </c>
    </row>
    <row r="1156" spans="1:10" x14ac:dyDescent="0.25">
      <c r="A1156" t="s">
        <v>10495</v>
      </c>
      <c r="B1156">
        <v>9</v>
      </c>
      <c r="C1156" t="s">
        <v>10496</v>
      </c>
      <c r="D1156" t="s">
        <v>229</v>
      </c>
      <c r="E1156" t="s">
        <v>10372</v>
      </c>
      <c r="F1156" t="s">
        <v>7672</v>
      </c>
      <c r="G1156" t="s">
        <v>10373</v>
      </c>
      <c r="H1156" t="s">
        <v>8673</v>
      </c>
      <c r="I1156" t="s">
        <v>10415</v>
      </c>
      <c r="J1156" t="s">
        <v>10490</v>
      </c>
    </row>
    <row r="1157" spans="1:10" x14ac:dyDescent="0.25">
      <c r="A1157" t="s">
        <v>10497</v>
      </c>
      <c r="B1157">
        <v>9</v>
      </c>
      <c r="C1157" t="s">
        <v>10498</v>
      </c>
      <c r="D1157" t="s">
        <v>4270</v>
      </c>
      <c r="E1157" t="s">
        <v>10372</v>
      </c>
      <c r="F1157" t="s">
        <v>7672</v>
      </c>
      <c r="G1157" t="s">
        <v>10373</v>
      </c>
      <c r="H1157" t="s">
        <v>8673</v>
      </c>
      <c r="I1157" t="s">
        <v>10374</v>
      </c>
      <c r="J1157" t="s">
        <v>10490</v>
      </c>
    </row>
    <row r="1158" spans="1:10" x14ac:dyDescent="0.25">
      <c r="A1158" t="s">
        <v>10499</v>
      </c>
      <c r="B1158">
        <v>9</v>
      </c>
      <c r="C1158" t="s">
        <v>10500</v>
      </c>
      <c r="D1158" t="s">
        <v>282</v>
      </c>
      <c r="E1158" t="s">
        <v>10372</v>
      </c>
      <c r="F1158" t="s">
        <v>7672</v>
      </c>
      <c r="G1158" t="s">
        <v>10373</v>
      </c>
      <c r="H1158" t="s">
        <v>8673</v>
      </c>
      <c r="I1158" t="s">
        <v>10387</v>
      </c>
      <c r="J1158" t="s">
        <v>10501</v>
      </c>
    </row>
    <row r="1159" spans="1:10" x14ac:dyDescent="0.25">
      <c r="A1159" t="s">
        <v>10502</v>
      </c>
      <c r="B1159">
        <v>9</v>
      </c>
      <c r="C1159" t="s">
        <v>10503</v>
      </c>
      <c r="D1159" t="s">
        <v>1621</v>
      </c>
      <c r="E1159" t="s">
        <v>10372</v>
      </c>
      <c r="F1159" t="s">
        <v>7672</v>
      </c>
      <c r="G1159" t="s">
        <v>10373</v>
      </c>
      <c r="H1159" t="s">
        <v>8673</v>
      </c>
      <c r="I1159" t="s">
        <v>8709</v>
      </c>
      <c r="J1159" t="s">
        <v>10501</v>
      </c>
    </row>
    <row r="1160" spans="1:10" x14ac:dyDescent="0.25">
      <c r="A1160" t="s">
        <v>10504</v>
      </c>
      <c r="B1160">
        <v>9</v>
      </c>
      <c r="C1160" t="s">
        <v>10505</v>
      </c>
      <c r="D1160" t="s">
        <v>330</v>
      </c>
      <c r="E1160" t="s">
        <v>10372</v>
      </c>
      <c r="F1160" t="s">
        <v>7672</v>
      </c>
      <c r="G1160" t="s">
        <v>10373</v>
      </c>
      <c r="H1160" t="s">
        <v>8673</v>
      </c>
      <c r="I1160" t="s">
        <v>10384</v>
      </c>
      <c r="J1160" t="s">
        <v>10501</v>
      </c>
    </row>
    <row r="1161" spans="1:10" x14ac:dyDescent="0.25">
      <c r="A1161" t="s">
        <v>10506</v>
      </c>
      <c r="B1161">
        <v>9</v>
      </c>
      <c r="C1161" t="s">
        <v>10507</v>
      </c>
      <c r="D1161" t="s">
        <v>975</v>
      </c>
      <c r="E1161" t="s">
        <v>10372</v>
      </c>
      <c r="F1161" t="s">
        <v>7672</v>
      </c>
      <c r="G1161" t="s">
        <v>10373</v>
      </c>
      <c r="H1161" t="s">
        <v>8673</v>
      </c>
      <c r="I1161" t="s">
        <v>10374</v>
      </c>
      <c r="J1161" t="s">
        <v>10501</v>
      </c>
    </row>
    <row r="1162" spans="1:10" x14ac:dyDescent="0.25">
      <c r="A1162" t="s">
        <v>10508</v>
      </c>
      <c r="B1162">
        <v>9.7920000000000016</v>
      </c>
      <c r="C1162" t="s">
        <v>10509</v>
      </c>
      <c r="D1162" t="s">
        <v>664</v>
      </c>
      <c r="E1162" t="s">
        <v>10510</v>
      </c>
      <c r="F1162" t="s">
        <v>7672</v>
      </c>
      <c r="G1162" t="s">
        <v>10511</v>
      </c>
      <c r="H1162" t="s">
        <v>7674</v>
      </c>
      <c r="I1162" t="s">
        <v>10512</v>
      </c>
      <c r="J1162" t="s">
        <v>8001</v>
      </c>
    </row>
    <row r="1163" spans="1:10" x14ac:dyDescent="0.25">
      <c r="A1163" t="s">
        <v>10513</v>
      </c>
      <c r="B1163">
        <v>9.7920000000000016</v>
      </c>
      <c r="C1163" t="s">
        <v>10514</v>
      </c>
      <c r="D1163" t="s">
        <v>626</v>
      </c>
      <c r="E1163" t="s">
        <v>10510</v>
      </c>
      <c r="F1163" t="s">
        <v>7672</v>
      </c>
      <c r="G1163" t="s">
        <v>10511</v>
      </c>
      <c r="H1163" t="s">
        <v>7674</v>
      </c>
      <c r="I1163" t="s">
        <v>10515</v>
      </c>
      <c r="J1163" t="s">
        <v>8001</v>
      </c>
    </row>
    <row r="1164" spans="1:10" x14ac:dyDescent="0.25">
      <c r="A1164" t="s">
        <v>10516</v>
      </c>
      <c r="B1164">
        <v>9.7920000000000016</v>
      </c>
      <c r="C1164" t="s">
        <v>10517</v>
      </c>
      <c r="D1164" t="s">
        <v>875</v>
      </c>
      <c r="E1164" t="s">
        <v>10510</v>
      </c>
      <c r="F1164" t="s">
        <v>7672</v>
      </c>
      <c r="G1164" t="s">
        <v>10511</v>
      </c>
      <c r="H1164" t="s">
        <v>7674</v>
      </c>
      <c r="I1164" t="s">
        <v>10518</v>
      </c>
      <c r="J1164" t="s">
        <v>8001</v>
      </c>
    </row>
    <row r="1165" spans="1:10" x14ac:dyDescent="0.25">
      <c r="A1165" t="s">
        <v>10519</v>
      </c>
      <c r="B1165">
        <v>9.7920000000000016</v>
      </c>
      <c r="C1165" t="s">
        <v>10520</v>
      </c>
      <c r="D1165" t="s">
        <v>1254</v>
      </c>
      <c r="E1165" t="s">
        <v>10510</v>
      </c>
      <c r="F1165" t="s">
        <v>7672</v>
      </c>
      <c r="G1165" t="s">
        <v>10511</v>
      </c>
      <c r="H1165" t="s">
        <v>7674</v>
      </c>
      <c r="I1165" t="s">
        <v>10521</v>
      </c>
      <c r="J1165" t="s">
        <v>8001</v>
      </c>
    </row>
    <row r="1166" spans="1:10" x14ac:dyDescent="0.25">
      <c r="A1166" t="s">
        <v>10522</v>
      </c>
      <c r="B1166">
        <v>9.7920000000000016</v>
      </c>
      <c r="C1166" t="s">
        <v>10523</v>
      </c>
      <c r="D1166" t="s">
        <v>4924</v>
      </c>
      <c r="E1166" t="s">
        <v>10510</v>
      </c>
      <c r="F1166" t="s">
        <v>7672</v>
      </c>
      <c r="G1166" t="s">
        <v>10511</v>
      </c>
      <c r="H1166" t="s">
        <v>7674</v>
      </c>
      <c r="I1166" t="s">
        <v>10512</v>
      </c>
      <c r="J1166" t="s">
        <v>8013</v>
      </c>
    </row>
    <row r="1167" spans="1:10" x14ac:dyDescent="0.25">
      <c r="A1167" t="s">
        <v>10524</v>
      </c>
      <c r="B1167">
        <v>9.7920000000000016</v>
      </c>
      <c r="C1167" t="s">
        <v>10525</v>
      </c>
      <c r="D1167" t="s">
        <v>321</v>
      </c>
      <c r="E1167" t="s">
        <v>10510</v>
      </c>
      <c r="F1167" t="s">
        <v>7672</v>
      </c>
      <c r="G1167" t="s">
        <v>10511</v>
      </c>
      <c r="H1167" t="s">
        <v>7674</v>
      </c>
      <c r="I1167" t="s">
        <v>10515</v>
      </c>
      <c r="J1167" t="s">
        <v>8013</v>
      </c>
    </row>
    <row r="1168" spans="1:10" x14ac:dyDescent="0.25">
      <c r="A1168" t="s">
        <v>10526</v>
      </c>
      <c r="B1168">
        <v>9.7920000000000016</v>
      </c>
      <c r="C1168" t="s">
        <v>10527</v>
      </c>
      <c r="D1168" t="s">
        <v>964</v>
      </c>
      <c r="E1168" t="s">
        <v>10510</v>
      </c>
      <c r="F1168" t="s">
        <v>7672</v>
      </c>
      <c r="G1168" t="s">
        <v>10511</v>
      </c>
      <c r="H1168" t="s">
        <v>7674</v>
      </c>
      <c r="I1168" t="s">
        <v>10518</v>
      </c>
      <c r="J1168" t="s">
        <v>8013</v>
      </c>
    </row>
    <row r="1169" spans="1:10" x14ac:dyDescent="0.25">
      <c r="A1169" t="s">
        <v>10528</v>
      </c>
      <c r="B1169">
        <v>9.7920000000000016</v>
      </c>
      <c r="C1169" t="s">
        <v>10529</v>
      </c>
      <c r="D1169" t="s">
        <v>306</v>
      </c>
      <c r="E1169" t="s">
        <v>10510</v>
      </c>
      <c r="F1169" t="s">
        <v>7672</v>
      </c>
      <c r="G1169" t="s">
        <v>10511</v>
      </c>
      <c r="H1169" t="s">
        <v>7674</v>
      </c>
      <c r="I1169" t="s">
        <v>10521</v>
      </c>
      <c r="J1169" t="s">
        <v>8013</v>
      </c>
    </row>
    <row r="1170" spans="1:10" x14ac:dyDescent="0.25">
      <c r="A1170" t="s">
        <v>10530</v>
      </c>
      <c r="B1170">
        <v>20.992000000000001</v>
      </c>
      <c r="C1170" t="s">
        <v>10531</v>
      </c>
      <c r="D1170" t="s">
        <v>255</v>
      </c>
      <c r="E1170" t="s">
        <v>10532</v>
      </c>
      <c r="F1170" t="s">
        <v>7672</v>
      </c>
      <c r="G1170" t="s">
        <v>10533</v>
      </c>
      <c r="H1170" t="s">
        <v>7965</v>
      </c>
      <c r="I1170" t="s">
        <v>10534</v>
      </c>
      <c r="J1170" t="s">
        <v>131</v>
      </c>
    </row>
    <row r="1171" spans="1:10" x14ac:dyDescent="0.25">
      <c r="A1171" t="s">
        <v>10535</v>
      </c>
      <c r="B1171">
        <v>20.992000000000001</v>
      </c>
      <c r="C1171" t="s">
        <v>10536</v>
      </c>
      <c r="D1171" t="s">
        <v>1134</v>
      </c>
      <c r="E1171" t="s">
        <v>10532</v>
      </c>
      <c r="F1171" t="s">
        <v>7672</v>
      </c>
      <c r="G1171" t="s">
        <v>10533</v>
      </c>
      <c r="H1171" t="s">
        <v>7965</v>
      </c>
      <c r="I1171" t="s">
        <v>10534</v>
      </c>
      <c r="J1171" t="s">
        <v>7967</v>
      </c>
    </row>
    <row r="1172" spans="1:10" x14ac:dyDescent="0.25">
      <c r="A1172" t="s">
        <v>10537</v>
      </c>
      <c r="B1172">
        <v>20.992000000000001</v>
      </c>
      <c r="C1172" t="s">
        <v>10538</v>
      </c>
      <c r="D1172" t="s">
        <v>613</v>
      </c>
      <c r="E1172" t="s">
        <v>10532</v>
      </c>
      <c r="F1172" t="s">
        <v>7672</v>
      </c>
      <c r="G1172" t="s">
        <v>10533</v>
      </c>
      <c r="H1172" t="s">
        <v>7965</v>
      </c>
      <c r="I1172" t="s">
        <v>10534</v>
      </c>
      <c r="J1172" t="s">
        <v>269</v>
      </c>
    </row>
    <row r="1173" spans="1:10" x14ac:dyDescent="0.25">
      <c r="A1173" t="s">
        <v>10539</v>
      </c>
      <c r="B1173">
        <v>20.992000000000001</v>
      </c>
      <c r="C1173" t="s">
        <v>10540</v>
      </c>
      <c r="D1173" t="s">
        <v>301</v>
      </c>
      <c r="E1173" t="s">
        <v>10532</v>
      </c>
      <c r="F1173" t="s">
        <v>7672</v>
      </c>
      <c r="G1173" t="s">
        <v>10533</v>
      </c>
      <c r="H1173" t="s">
        <v>7965</v>
      </c>
      <c r="I1173" t="s">
        <v>10534</v>
      </c>
      <c r="J1173" t="s">
        <v>7968</v>
      </c>
    </row>
    <row r="1174" spans="1:10" x14ac:dyDescent="0.25">
      <c r="A1174" t="s">
        <v>10541</v>
      </c>
      <c r="B1174">
        <v>20.992000000000001</v>
      </c>
      <c r="C1174" t="s">
        <v>10542</v>
      </c>
      <c r="D1174" t="s">
        <v>576</v>
      </c>
      <c r="E1174" t="s">
        <v>10532</v>
      </c>
      <c r="F1174" t="s">
        <v>7672</v>
      </c>
      <c r="G1174" t="s">
        <v>10533</v>
      </c>
      <c r="H1174" t="s">
        <v>7965</v>
      </c>
      <c r="I1174" t="s">
        <v>10534</v>
      </c>
      <c r="J1174" t="s">
        <v>576</v>
      </c>
    </row>
    <row r="1175" spans="1:10" x14ac:dyDescent="0.25">
      <c r="A1175" t="s">
        <v>10543</v>
      </c>
      <c r="B1175">
        <v>20.992000000000001</v>
      </c>
      <c r="C1175" t="s">
        <v>10544</v>
      </c>
      <c r="D1175" t="s">
        <v>199</v>
      </c>
      <c r="E1175" t="s">
        <v>10532</v>
      </c>
      <c r="F1175" t="s">
        <v>7672</v>
      </c>
      <c r="G1175" t="s">
        <v>10533</v>
      </c>
      <c r="H1175" t="s">
        <v>7965</v>
      </c>
      <c r="I1175" t="s">
        <v>10534</v>
      </c>
      <c r="J1175" t="s">
        <v>7969</v>
      </c>
    </row>
    <row r="1176" spans="1:10" x14ac:dyDescent="0.25">
      <c r="A1176" t="s">
        <v>10545</v>
      </c>
      <c r="B1176">
        <v>20.992000000000001</v>
      </c>
      <c r="C1176" t="s">
        <v>10546</v>
      </c>
      <c r="D1176" t="s">
        <v>366</v>
      </c>
      <c r="E1176" t="s">
        <v>10532</v>
      </c>
      <c r="F1176" t="s">
        <v>7672</v>
      </c>
      <c r="G1176" t="s">
        <v>10533</v>
      </c>
      <c r="H1176" t="s">
        <v>7965</v>
      </c>
      <c r="I1176" t="s">
        <v>10534</v>
      </c>
      <c r="J1176" t="s">
        <v>255</v>
      </c>
    </row>
    <row r="1177" spans="1:10" x14ac:dyDescent="0.25">
      <c r="A1177" t="s">
        <v>10547</v>
      </c>
      <c r="B1177">
        <v>20.992000000000001</v>
      </c>
      <c r="C1177" t="s">
        <v>10548</v>
      </c>
      <c r="D1177" t="s">
        <v>113</v>
      </c>
      <c r="E1177" t="s">
        <v>10532</v>
      </c>
      <c r="F1177" t="s">
        <v>7672</v>
      </c>
      <c r="G1177" t="s">
        <v>10533</v>
      </c>
      <c r="H1177" t="s">
        <v>7965</v>
      </c>
      <c r="I1177" t="s">
        <v>10534</v>
      </c>
      <c r="J1177" t="s">
        <v>10549</v>
      </c>
    </row>
    <row r="1178" spans="1:10" x14ac:dyDescent="0.25">
      <c r="A1178" t="s">
        <v>10550</v>
      </c>
      <c r="B1178">
        <v>20.992000000000001</v>
      </c>
      <c r="C1178" t="s">
        <v>10551</v>
      </c>
      <c r="D1178" t="s">
        <v>3184</v>
      </c>
      <c r="E1178" t="s">
        <v>10532</v>
      </c>
      <c r="F1178" t="s">
        <v>7672</v>
      </c>
      <c r="G1178" t="s">
        <v>10533</v>
      </c>
      <c r="H1178" t="s">
        <v>7965</v>
      </c>
      <c r="I1178" t="s">
        <v>10534</v>
      </c>
      <c r="J1178" t="s">
        <v>282</v>
      </c>
    </row>
    <row r="1179" spans="1:10" x14ac:dyDescent="0.25">
      <c r="A1179" t="s">
        <v>10552</v>
      </c>
      <c r="B1179">
        <v>20.992000000000001</v>
      </c>
      <c r="C1179" t="s">
        <v>10553</v>
      </c>
      <c r="D1179" t="s">
        <v>118</v>
      </c>
      <c r="E1179" t="s">
        <v>10532</v>
      </c>
      <c r="F1179" t="s">
        <v>7672</v>
      </c>
      <c r="G1179" t="s">
        <v>10533</v>
      </c>
      <c r="H1179" t="s">
        <v>7965</v>
      </c>
      <c r="I1179" t="s">
        <v>10534</v>
      </c>
      <c r="J1179" t="s">
        <v>9705</v>
      </c>
    </row>
    <row r="1180" spans="1:10" x14ac:dyDescent="0.25">
      <c r="A1180" t="s">
        <v>10554</v>
      </c>
      <c r="B1180">
        <v>6.2960000000000003</v>
      </c>
      <c r="C1180" t="s">
        <v>10555</v>
      </c>
      <c r="D1180" t="s">
        <v>2910</v>
      </c>
      <c r="E1180" t="s">
        <v>10556</v>
      </c>
      <c r="F1180" t="s">
        <v>7672</v>
      </c>
      <c r="G1180" t="s">
        <v>10557</v>
      </c>
      <c r="H1180" t="s">
        <v>10298</v>
      </c>
      <c r="I1180" t="s">
        <v>10558</v>
      </c>
      <c r="J1180" t="s">
        <v>277</v>
      </c>
    </row>
    <row r="1181" spans="1:10" x14ac:dyDescent="0.25">
      <c r="A1181" t="s">
        <v>10559</v>
      </c>
      <c r="B1181">
        <v>6.2960000000000003</v>
      </c>
      <c r="C1181" t="s">
        <v>10560</v>
      </c>
      <c r="D1181" t="s">
        <v>941</v>
      </c>
      <c r="E1181" t="s">
        <v>10556</v>
      </c>
      <c r="F1181" t="s">
        <v>7672</v>
      </c>
      <c r="G1181" t="s">
        <v>10557</v>
      </c>
      <c r="H1181" t="s">
        <v>10298</v>
      </c>
      <c r="I1181" t="s">
        <v>10558</v>
      </c>
      <c r="J1181" t="s">
        <v>436</v>
      </c>
    </row>
    <row r="1182" spans="1:10" x14ac:dyDescent="0.25">
      <c r="A1182" t="s">
        <v>10561</v>
      </c>
      <c r="B1182">
        <v>6.2960000000000003</v>
      </c>
      <c r="C1182" t="s">
        <v>10562</v>
      </c>
      <c r="D1182" t="s">
        <v>316</v>
      </c>
      <c r="E1182" t="s">
        <v>10556</v>
      </c>
      <c r="F1182" t="s">
        <v>7672</v>
      </c>
      <c r="G1182" t="s">
        <v>10557</v>
      </c>
      <c r="H1182" t="s">
        <v>10298</v>
      </c>
      <c r="I1182" t="s">
        <v>10558</v>
      </c>
      <c r="J1182" t="s">
        <v>53</v>
      </c>
    </row>
    <row r="1183" spans="1:10" x14ac:dyDescent="0.25">
      <c r="A1183" t="s">
        <v>10563</v>
      </c>
      <c r="B1183">
        <v>6.2960000000000003</v>
      </c>
      <c r="C1183" t="s">
        <v>10564</v>
      </c>
      <c r="D1183" t="s">
        <v>53</v>
      </c>
      <c r="E1183" t="s">
        <v>10556</v>
      </c>
      <c r="F1183" t="s">
        <v>7672</v>
      </c>
      <c r="G1183" t="s">
        <v>10557</v>
      </c>
      <c r="H1183" t="s">
        <v>10298</v>
      </c>
      <c r="I1183" t="s">
        <v>10565</v>
      </c>
      <c r="J1183" t="s">
        <v>53</v>
      </c>
    </row>
    <row r="1184" spans="1:10" x14ac:dyDescent="0.25">
      <c r="A1184" t="s">
        <v>10566</v>
      </c>
      <c r="B1184">
        <v>6.2960000000000003</v>
      </c>
      <c r="C1184" t="s">
        <v>10567</v>
      </c>
      <c r="D1184" t="s">
        <v>926</v>
      </c>
      <c r="E1184" t="s">
        <v>10556</v>
      </c>
      <c r="F1184" t="s">
        <v>7672</v>
      </c>
      <c r="G1184" t="s">
        <v>10557</v>
      </c>
      <c r="H1184" t="s">
        <v>10298</v>
      </c>
      <c r="I1184" t="s">
        <v>10558</v>
      </c>
      <c r="J1184" t="s">
        <v>60</v>
      </c>
    </row>
    <row r="1185" spans="1:10" x14ac:dyDescent="0.25">
      <c r="A1185" t="s">
        <v>10568</v>
      </c>
      <c r="B1185">
        <v>6.2960000000000003</v>
      </c>
      <c r="C1185" t="s">
        <v>10569</v>
      </c>
      <c r="D1185" t="s">
        <v>100</v>
      </c>
      <c r="E1185" t="s">
        <v>10556</v>
      </c>
      <c r="F1185" t="s">
        <v>7672</v>
      </c>
      <c r="G1185" t="s">
        <v>10557</v>
      </c>
      <c r="H1185" t="s">
        <v>10298</v>
      </c>
      <c r="I1185" t="s">
        <v>10570</v>
      </c>
      <c r="J1185" t="s">
        <v>60</v>
      </c>
    </row>
    <row r="1186" spans="1:10" x14ac:dyDescent="0.25">
      <c r="A1186" t="s">
        <v>10571</v>
      </c>
      <c r="B1186">
        <v>6.2960000000000003</v>
      </c>
      <c r="C1186" t="s">
        <v>10572</v>
      </c>
      <c r="D1186" t="s">
        <v>742</v>
      </c>
      <c r="E1186" t="s">
        <v>10556</v>
      </c>
      <c r="F1186" t="s">
        <v>7672</v>
      </c>
      <c r="G1186" t="s">
        <v>10557</v>
      </c>
      <c r="H1186" t="s">
        <v>10298</v>
      </c>
      <c r="I1186" t="s">
        <v>10558</v>
      </c>
      <c r="J1186" t="s">
        <v>342</v>
      </c>
    </row>
    <row r="1187" spans="1:10" x14ac:dyDescent="0.25">
      <c r="A1187" t="s">
        <v>10573</v>
      </c>
      <c r="B1187">
        <v>6.2960000000000003</v>
      </c>
      <c r="C1187" t="s">
        <v>10574</v>
      </c>
      <c r="D1187" t="s">
        <v>53</v>
      </c>
      <c r="E1187" t="s">
        <v>10556</v>
      </c>
      <c r="F1187" t="s">
        <v>7672</v>
      </c>
      <c r="G1187" t="s">
        <v>10557</v>
      </c>
      <c r="H1187" t="s">
        <v>10298</v>
      </c>
      <c r="I1187" t="s">
        <v>10558</v>
      </c>
      <c r="J1187" t="s">
        <v>100</v>
      </c>
    </row>
    <row r="1188" spans="1:10" x14ac:dyDescent="0.25">
      <c r="A1188" t="s">
        <v>10575</v>
      </c>
      <c r="B1188">
        <v>6.2960000000000003</v>
      </c>
      <c r="C1188" t="s">
        <v>10576</v>
      </c>
      <c r="D1188" t="s">
        <v>88</v>
      </c>
      <c r="E1188" t="s">
        <v>10556</v>
      </c>
      <c r="F1188" t="s">
        <v>7672</v>
      </c>
      <c r="G1188" t="s">
        <v>10557</v>
      </c>
      <c r="H1188" t="s">
        <v>10298</v>
      </c>
      <c r="I1188" t="s">
        <v>10565</v>
      </c>
      <c r="J1188" t="s">
        <v>100</v>
      </c>
    </row>
    <row r="1189" spans="1:10" x14ac:dyDescent="0.25">
      <c r="A1189" t="s">
        <v>10577</v>
      </c>
      <c r="B1189">
        <v>8</v>
      </c>
      <c r="C1189" t="s">
        <v>10578</v>
      </c>
      <c r="D1189" t="s">
        <v>282</v>
      </c>
      <c r="E1189" t="s">
        <v>10579</v>
      </c>
      <c r="F1189" t="s">
        <v>7672</v>
      </c>
      <c r="G1189" t="s">
        <v>10580</v>
      </c>
      <c r="H1189" t="s">
        <v>8301</v>
      </c>
      <c r="I1189" t="s">
        <v>8158</v>
      </c>
      <c r="J1189" t="s">
        <v>7981</v>
      </c>
    </row>
    <row r="1190" spans="1:10" x14ac:dyDescent="0.25">
      <c r="A1190" t="s">
        <v>10581</v>
      </c>
      <c r="B1190">
        <v>8</v>
      </c>
      <c r="C1190" t="s">
        <v>10582</v>
      </c>
      <c r="D1190" t="s">
        <v>1386</v>
      </c>
      <c r="E1190" t="s">
        <v>10579</v>
      </c>
      <c r="F1190" t="s">
        <v>7672</v>
      </c>
      <c r="G1190" t="s">
        <v>10580</v>
      </c>
      <c r="H1190" t="s">
        <v>8301</v>
      </c>
      <c r="I1190" t="s">
        <v>8158</v>
      </c>
      <c r="J1190" t="s">
        <v>7984</v>
      </c>
    </row>
    <row r="1191" spans="1:10" x14ac:dyDescent="0.25">
      <c r="A1191" t="s">
        <v>10583</v>
      </c>
      <c r="B1191">
        <v>8</v>
      </c>
      <c r="C1191" t="s">
        <v>10584</v>
      </c>
      <c r="D1191" t="s">
        <v>3110</v>
      </c>
      <c r="E1191" t="s">
        <v>10579</v>
      </c>
      <c r="F1191" t="s">
        <v>7672</v>
      </c>
      <c r="G1191" t="s">
        <v>10580</v>
      </c>
      <c r="H1191" t="s">
        <v>8301</v>
      </c>
      <c r="I1191" t="s">
        <v>8158</v>
      </c>
      <c r="J1191" t="s">
        <v>7987</v>
      </c>
    </row>
    <row r="1192" spans="1:10" x14ac:dyDescent="0.25">
      <c r="A1192" t="s">
        <v>10585</v>
      </c>
      <c r="B1192">
        <v>8</v>
      </c>
      <c r="C1192" t="s">
        <v>10586</v>
      </c>
      <c r="D1192" t="s">
        <v>2364</v>
      </c>
      <c r="E1192" t="s">
        <v>10579</v>
      </c>
      <c r="F1192" t="s">
        <v>7672</v>
      </c>
      <c r="G1192" t="s">
        <v>10580</v>
      </c>
      <c r="H1192" t="s">
        <v>8301</v>
      </c>
      <c r="I1192" t="s">
        <v>10587</v>
      </c>
      <c r="J1192" t="s">
        <v>7987</v>
      </c>
    </row>
    <row r="1193" spans="1:10" x14ac:dyDescent="0.25">
      <c r="A1193" t="s">
        <v>10588</v>
      </c>
      <c r="B1193">
        <v>8</v>
      </c>
      <c r="C1193" t="s">
        <v>10589</v>
      </c>
      <c r="D1193" t="s">
        <v>1852</v>
      </c>
      <c r="E1193" t="s">
        <v>10579</v>
      </c>
      <c r="F1193" t="s">
        <v>7672</v>
      </c>
      <c r="G1193" t="s">
        <v>10580</v>
      </c>
      <c r="H1193" t="s">
        <v>8301</v>
      </c>
      <c r="I1193" t="s">
        <v>8158</v>
      </c>
      <c r="J1193" t="s">
        <v>8001</v>
      </c>
    </row>
    <row r="1194" spans="1:10" x14ac:dyDescent="0.25">
      <c r="A1194" t="s">
        <v>10590</v>
      </c>
      <c r="B1194">
        <v>8</v>
      </c>
      <c r="C1194" t="s">
        <v>10591</v>
      </c>
      <c r="D1194" t="s">
        <v>649</v>
      </c>
      <c r="E1194" t="s">
        <v>10579</v>
      </c>
      <c r="F1194" t="s">
        <v>7672</v>
      </c>
      <c r="G1194" t="s">
        <v>10580</v>
      </c>
      <c r="H1194" t="s">
        <v>8301</v>
      </c>
      <c r="I1194" t="s">
        <v>10587</v>
      </c>
      <c r="J1194" t="s">
        <v>8001</v>
      </c>
    </row>
    <row r="1195" spans="1:10" x14ac:dyDescent="0.25">
      <c r="A1195" t="s">
        <v>10592</v>
      </c>
      <c r="B1195">
        <v>8</v>
      </c>
      <c r="C1195" t="s">
        <v>10593</v>
      </c>
      <c r="D1195" t="s">
        <v>53</v>
      </c>
      <c r="E1195" t="s">
        <v>10579</v>
      </c>
      <c r="F1195" t="s">
        <v>7672</v>
      </c>
      <c r="G1195" t="s">
        <v>10580</v>
      </c>
      <c r="H1195" t="s">
        <v>8301</v>
      </c>
      <c r="I1195" t="s">
        <v>10587</v>
      </c>
      <c r="J1195" t="s">
        <v>8013</v>
      </c>
    </row>
    <row r="1196" spans="1:10" x14ac:dyDescent="0.25">
      <c r="A1196" t="s">
        <v>10594</v>
      </c>
      <c r="B1196">
        <v>3.9119999999999999</v>
      </c>
      <c r="C1196" t="s">
        <v>10595</v>
      </c>
      <c r="D1196" t="s">
        <v>1143</v>
      </c>
      <c r="E1196" t="s">
        <v>10596</v>
      </c>
      <c r="F1196" t="s">
        <v>7672</v>
      </c>
      <c r="G1196" t="s">
        <v>10597</v>
      </c>
      <c r="H1196" t="s">
        <v>7974</v>
      </c>
      <c r="I1196" t="s">
        <v>10598</v>
      </c>
      <c r="J1196" t="s">
        <v>7942</v>
      </c>
    </row>
    <row r="1197" spans="1:10" x14ac:dyDescent="0.25">
      <c r="A1197" t="s">
        <v>10599</v>
      </c>
      <c r="B1197">
        <v>3.9119999999999999</v>
      </c>
      <c r="C1197" t="s">
        <v>10600</v>
      </c>
      <c r="D1197" t="s">
        <v>330</v>
      </c>
      <c r="E1197" t="s">
        <v>10596</v>
      </c>
      <c r="F1197" t="s">
        <v>7672</v>
      </c>
      <c r="G1197" t="s">
        <v>10597</v>
      </c>
      <c r="H1197" t="s">
        <v>7974</v>
      </c>
      <c r="I1197" t="s">
        <v>935</v>
      </c>
      <c r="J1197" t="s">
        <v>7942</v>
      </c>
    </row>
    <row r="1198" spans="1:10" x14ac:dyDescent="0.25">
      <c r="A1198" t="s">
        <v>10601</v>
      </c>
      <c r="B1198">
        <v>3.9119999999999999</v>
      </c>
      <c r="C1198" t="s">
        <v>10602</v>
      </c>
      <c r="D1198" t="s">
        <v>306</v>
      </c>
      <c r="E1198" t="s">
        <v>10596</v>
      </c>
      <c r="F1198" t="s">
        <v>7672</v>
      </c>
      <c r="G1198" t="s">
        <v>10597</v>
      </c>
      <c r="H1198" t="s">
        <v>7974</v>
      </c>
      <c r="I1198" t="s">
        <v>10603</v>
      </c>
      <c r="J1198" t="s">
        <v>7942</v>
      </c>
    </row>
    <row r="1199" spans="1:10" x14ac:dyDescent="0.25">
      <c r="A1199" t="s">
        <v>10604</v>
      </c>
      <c r="B1199">
        <v>3.9119999999999999</v>
      </c>
      <c r="C1199" t="s">
        <v>10605</v>
      </c>
      <c r="D1199" t="s">
        <v>9671</v>
      </c>
      <c r="E1199" t="s">
        <v>10596</v>
      </c>
      <c r="F1199" t="s">
        <v>7672</v>
      </c>
      <c r="G1199" t="s">
        <v>10597</v>
      </c>
      <c r="H1199" t="s">
        <v>7974</v>
      </c>
      <c r="I1199" t="s">
        <v>10598</v>
      </c>
      <c r="J1199" t="s">
        <v>7981</v>
      </c>
    </row>
    <row r="1200" spans="1:10" x14ac:dyDescent="0.25">
      <c r="A1200" t="s">
        <v>10606</v>
      </c>
      <c r="B1200">
        <v>3.9119999999999999</v>
      </c>
      <c r="C1200" t="s">
        <v>10607</v>
      </c>
      <c r="D1200" t="s">
        <v>10608</v>
      </c>
      <c r="E1200" t="s">
        <v>10596</v>
      </c>
      <c r="F1200" t="s">
        <v>7672</v>
      </c>
      <c r="G1200" t="s">
        <v>10597</v>
      </c>
      <c r="H1200" t="s">
        <v>7974</v>
      </c>
      <c r="I1200" t="s">
        <v>10603</v>
      </c>
      <c r="J1200" t="s">
        <v>7981</v>
      </c>
    </row>
    <row r="1201" spans="1:10" x14ac:dyDescent="0.25">
      <c r="A1201" t="s">
        <v>10609</v>
      </c>
      <c r="B1201">
        <v>3.9119999999999999</v>
      </c>
      <c r="C1201" t="s">
        <v>10610</v>
      </c>
      <c r="D1201" t="s">
        <v>3023</v>
      </c>
      <c r="E1201" t="s">
        <v>10596</v>
      </c>
      <c r="F1201" t="s">
        <v>7672</v>
      </c>
      <c r="G1201" t="s">
        <v>10597</v>
      </c>
      <c r="H1201" t="s">
        <v>7974</v>
      </c>
      <c r="I1201" t="s">
        <v>935</v>
      </c>
      <c r="J1201" t="s">
        <v>7981</v>
      </c>
    </row>
    <row r="1202" spans="1:10" x14ac:dyDescent="0.25">
      <c r="A1202" t="s">
        <v>10611</v>
      </c>
      <c r="B1202">
        <v>3.9119999999999999</v>
      </c>
      <c r="C1202" t="s">
        <v>10612</v>
      </c>
      <c r="D1202" t="s">
        <v>53</v>
      </c>
      <c r="E1202" t="s">
        <v>10596</v>
      </c>
      <c r="F1202" t="s">
        <v>7672</v>
      </c>
      <c r="G1202" t="s">
        <v>10597</v>
      </c>
      <c r="H1202" t="s">
        <v>7974</v>
      </c>
      <c r="I1202" t="s">
        <v>10613</v>
      </c>
      <c r="J1202" t="s">
        <v>7981</v>
      </c>
    </row>
    <row r="1203" spans="1:10" x14ac:dyDescent="0.25">
      <c r="A1203" t="s">
        <v>10614</v>
      </c>
      <c r="B1203">
        <v>3.9119999999999999</v>
      </c>
      <c r="C1203" t="s">
        <v>10615</v>
      </c>
      <c r="D1203" t="s">
        <v>10616</v>
      </c>
      <c r="E1203" t="s">
        <v>10596</v>
      </c>
      <c r="F1203" t="s">
        <v>7672</v>
      </c>
      <c r="G1203" t="s">
        <v>10597</v>
      </c>
      <c r="H1203" t="s">
        <v>7974</v>
      </c>
      <c r="I1203" t="s">
        <v>10603</v>
      </c>
      <c r="J1203" t="s">
        <v>7984</v>
      </c>
    </row>
    <row r="1204" spans="1:10" x14ac:dyDescent="0.25">
      <c r="A1204" t="s">
        <v>10617</v>
      </c>
      <c r="B1204">
        <v>3.9119999999999999</v>
      </c>
      <c r="C1204" t="s">
        <v>10618</v>
      </c>
      <c r="D1204" t="s">
        <v>4187</v>
      </c>
      <c r="E1204" t="s">
        <v>10596</v>
      </c>
      <c r="F1204" t="s">
        <v>7672</v>
      </c>
      <c r="G1204" t="s">
        <v>10597</v>
      </c>
      <c r="H1204" t="s">
        <v>7974</v>
      </c>
      <c r="I1204" t="s">
        <v>10598</v>
      </c>
      <c r="J1204" t="s">
        <v>7984</v>
      </c>
    </row>
    <row r="1205" spans="1:10" x14ac:dyDescent="0.25">
      <c r="A1205" t="s">
        <v>10619</v>
      </c>
      <c r="B1205">
        <v>3.9119999999999999</v>
      </c>
      <c r="C1205" t="s">
        <v>10620</v>
      </c>
      <c r="D1205" t="s">
        <v>3832</v>
      </c>
      <c r="E1205" t="s">
        <v>10596</v>
      </c>
      <c r="F1205" t="s">
        <v>7672</v>
      </c>
      <c r="G1205" t="s">
        <v>10597</v>
      </c>
      <c r="H1205" t="s">
        <v>7974</v>
      </c>
      <c r="I1205" t="s">
        <v>935</v>
      </c>
      <c r="J1205" t="s">
        <v>7984</v>
      </c>
    </row>
    <row r="1206" spans="1:10" x14ac:dyDescent="0.25">
      <c r="A1206" t="s">
        <v>10621</v>
      </c>
      <c r="B1206">
        <v>3.9119999999999999</v>
      </c>
      <c r="C1206" t="s">
        <v>10622</v>
      </c>
      <c r="D1206" t="s">
        <v>10623</v>
      </c>
      <c r="E1206" t="s">
        <v>10596</v>
      </c>
      <c r="F1206" t="s">
        <v>7672</v>
      </c>
      <c r="G1206" t="s">
        <v>10597</v>
      </c>
      <c r="H1206" t="s">
        <v>7974</v>
      </c>
      <c r="I1206" t="s">
        <v>10598</v>
      </c>
      <c r="J1206" t="s">
        <v>7987</v>
      </c>
    </row>
    <row r="1207" spans="1:10" x14ac:dyDescent="0.25">
      <c r="A1207" t="s">
        <v>10624</v>
      </c>
      <c r="B1207">
        <v>3.9119999999999999</v>
      </c>
      <c r="C1207" t="s">
        <v>10625</v>
      </c>
      <c r="D1207" t="s">
        <v>6194</v>
      </c>
      <c r="E1207" t="s">
        <v>10596</v>
      </c>
      <c r="F1207" t="s">
        <v>7672</v>
      </c>
      <c r="G1207" t="s">
        <v>10597</v>
      </c>
      <c r="H1207" t="s">
        <v>7974</v>
      </c>
      <c r="I1207" t="s">
        <v>935</v>
      </c>
      <c r="J1207" t="s">
        <v>7987</v>
      </c>
    </row>
    <row r="1208" spans="1:10" x14ac:dyDescent="0.25">
      <c r="A1208" t="s">
        <v>10626</v>
      </c>
      <c r="B1208">
        <v>3.9119999999999999</v>
      </c>
      <c r="C1208" t="s">
        <v>10627</v>
      </c>
      <c r="D1208" t="s">
        <v>6155</v>
      </c>
      <c r="E1208" t="s">
        <v>10596</v>
      </c>
      <c r="F1208" t="s">
        <v>7672</v>
      </c>
      <c r="G1208" t="s">
        <v>10597</v>
      </c>
      <c r="H1208" t="s">
        <v>7974</v>
      </c>
      <c r="I1208" t="s">
        <v>278</v>
      </c>
      <c r="J1208" t="s">
        <v>7987</v>
      </c>
    </row>
    <row r="1209" spans="1:10" x14ac:dyDescent="0.25">
      <c r="A1209" t="s">
        <v>10628</v>
      </c>
      <c r="B1209">
        <v>3.9119999999999999</v>
      </c>
      <c r="C1209" t="s">
        <v>10629</v>
      </c>
      <c r="D1209" t="s">
        <v>10630</v>
      </c>
      <c r="E1209" t="s">
        <v>10596</v>
      </c>
      <c r="F1209" t="s">
        <v>7672</v>
      </c>
      <c r="G1209" t="s">
        <v>10597</v>
      </c>
      <c r="H1209" t="s">
        <v>7974</v>
      </c>
      <c r="I1209" t="s">
        <v>10603</v>
      </c>
      <c r="J1209" t="s">
        <v>7987</v>
      </c>
    </row>
    <row r="1210" spans="1:10" x14ac:dyDescent="0.25">
      <c r="A1210" t="s">
        <v>10631</v>
      </c>
      <c r="B1210">
        <v>3.9119999999999999</v>
      </c>
      <c r="C1210" t="s">
        <v>10632</v>
      </c>
      <c r="D1210" t="s">
        <v>10633</v>
      </c>
      <c r="E1210" t="s">
        <v>10596</v>
      </c>
      <c r="F1210" t="s">
        <v>7672</v>
      </c>
      <c r="G1210" t="s">
        <v>10597</v>
      </c>
      <c r="H1210" t="s">
        <v>7974</v>
      </c>
      <c r="I1210" t="s">
        <v>10598</v>
      </c>
      <c r="J1210" t="s">
        <v>8001</v>
      </c>
    </row>
    <row r="1211" spans="1:10" x14ac:dyDescent="0.25">
      <c r="A1211" t="s">
        <v>10634</v>
      </c>
      <c r="B1211">
        <v>3.9119999999999999</v>
      </c>
      <c r="C1211" t="s">
        <v>10635</v>
      </c>
      <c r="D1211" t="s">
        <v>3289</v>
      </c>
      <c r="E1211" t="s">
        <v>10596</v>
      </c>
      <c r="F1211" t="s">
        <v>7672</v>
      </c>
      <c r="G1211" t="s">
        <v>10597</v>
      </c>
      <c r="H1211" t="s">
        <v>7974</v>
      </c>
      <c r="I1211" t="s">
        <v>935</v>
      </c>
      <c r="J1211" t="s">
        <v>8001</v>
      </c>
    </row>
    <row r="1212" spans="1:10" x14ac:dyDescent="0.25">
      <c r="A1212" t="s">
        <v>10636</v>
      </c>
      <c r="B1212">
        <v>3.9119999999999999</v>
      </c>
      <c r="C1212" t="s">
        <v>10637</v>
      </c>
      <c r="D1212" t="s">
        <v>5110</v>
      </c>
      <c r="E1212" t="s">
        <v>10596</v>
      </c>
      <c r="F1212" t="s">
        <v>7672</v>
      </c>
      <c r="G1212" t="s">
        <v>10597</v>
      </c>
      <c r="H1212" t="s">
        <v>7974</v>
      </c>
      <c r="I1212" t="s">
        <v>278</v>
      </c>
      <c r="J1212" t="s">
        <v>8001</v>
      </c>
    </row>
    <row r="1213" spans="1:10" x14ac:dyDescent="0.25">
      <c r="A1213" t="s">
        <v>10638</v>
      </c>
      <c r="B1213">
        <v>3.9119999999999999</v>
      </c>
      <c r="C1213" t="s">
        <v>10639</v>
      </c>
      <c r="D1213" t="s">
        <v>3841</v>
      </c>
      <c r="E1213" t="s">
        <v>10596</v>
      </c>
      <c r="F1213" t="s">
        <v>7672</v>
      </c>
      <c r="G1213" t="s">
        <v>10597</v>
      </c>
      <c r="H1213" t="s">
        <v>7974</v>
      </c>
      <c r="I1213" t="s">
        <v>10603</v>
      </c>
      <c r="J1213" t="s">
        <v>8001</v>
      </c>
    </row>
    <row r="1214" spans="1:10" x14ac:dyDescent="0.25">
      <c r="A1214" t="s">
        <v>10640</v>
      </c>
      <c r="B1214">
        <v>3.9119999999999999</v>
      </c>
      <c r="C1214" t="s">
        <v>10641</v>
      </c>
      <c r="D1214" t="s">
        <v>4270</v>
      </c>
      <c r="E1214" t="s">
        <v>10596</v>
      </c>
      <c r="F1214" t="s">
        <v>7672</v>
      </c>
      <c r="G1214" t="s">
        <v>10597</v>
      </c>
      <c r="H1214" t="s">
        <v>7974</v>
      </c>
      <c r="I1214" t="s">
        <v>935</v>
      </c>
      <c r="J1214" t="s">
        <v>8013</v>
      </c>
    </row>
    <row r="1215" spans="1:10" x14ac:dyDescent="0.25">
      <c r="A1215" t="s">
        <v>10642</v>
      </c>
      <c r="B1215">
        <v>3.9119999999999999</v>
      </c>
      <c r="C1215" t="s">
        <v>10643</v>
      </c>
      <c r="D1215" t="s">
        <v>1954</v>
      </c>
      <c r="E1215" t="s">
        <v>10596</v>
      </c>
      <c r="F1215" t="s">
        <v>7672</v>
      </c>
      <c r="G1215" t="s">
        <v>10597</v>
      </c>
      <c r="H1215" t="s">
        <v>7974</v>
      </c>
      <c r="I1215" t="s">
        <v>10598</v>
      </c>
      <c r="J1215" t="s">
        <v>8013</v>
      </c>
    </row>
    <row r="1216" spans="1:10" x14ac:dyDescent="0.25">
      <c r="A1216" t="s">
        <v>10644</v>
      </c>
      <c r="B1216">
        <v>3.9119999999999999</v>
      </c>
      <c r="C1216" t="s">
        <v>10645</v>
      </c>
      <c r="D1216" t="s">
        <v>229</v>
      </c>
      <c r="E1216" t="s">
        <v>10596</v>
      </c>
      <c r="F1216" t="s">
        <v>7672</v>
      </c>
      <c r="G1216" t="s">
        <v>10597</v>
      </c>
      <c r="H1216" t="s">
        <v>7974</v>
      </c>
      <c r="I1216" t="s">
        <v>10613</v>
      </c>
      <c r="J1216" t="s">
        <v>8013</v>
      </c>
    </row>
    <row r="1217" spans="1:10" x14ac:dyDescent="0.25">
      <c r="A1217" t="s">
        <v>10646</v>
      </c>
      <c r="B1217">
        <v>3.9119999999999999</v>
      </c>
      <c r="C1217" t="s">
        <v>10647</v>
      </c>
      <c r="D1217" t="s">
        <v>4685</v>
      </c>
      <c r="E1217" t="s">
        <v>10596</v>
      </c>
      <c r="F1217" t="s">
        <v>7672</v>
      </c>
      <c r="G1217" t="s">
        <v>10597</v>
      </c>
      <c r="H1217" t="s">
        <v>7974</v>
      </c>
      <c r="I1217" t="s">
        <v>278</v>
      </c>
      <c r="J1217" t="s">
        <v>8013</v>
      </c>
    </row>
    <row r="1218" spans="1:10" x14ac:dyDescent="0.25">
      <c r="A1218" t="s">
        <v>10648</v>
      </c>
      <c r="B1218">
        <v>3.9119999999999999</v>
      </c>
      <c r="C1218" t="s">
        <v>10649</v>
      </c>
      <c r="D1218" t="s">
        <v>124</v>
      </c>
      <c r="E1218" t="s">
        <v>10596</v>
      </c>
      <c r="F1218" t="s">
        <v>7672</v>
      </c>
      <c r="G1218" t="s">
        <v>10597</v>
      </c>
      <c r="H1218" t="s">
        <v>7974</v>
      </c>
      <c r="I1218" t="s">
        <v>10603</v>
      </c>
      <c r="J1218" t="s">
        <v>8013</v>
      </c>
    </row>
    <row r="1219" spans="1:10" x14ac:dyDescent="0.25">
      <c r="A1219" t="s">
        <v>10650</v>
      </c>
      <c r="B1219">
        <v>7</v>
      </c>
      <c r="C1219" t="s">
        <v>10651</v>
      </c>
      <c r="D1219" t="s">
        <v>10652</v>
      </c>
      <c r="E1219" t="s">
        <v>10653</v>
      </c>
      <c r="F1219" t="s">
        <v>7672</v>
      </c>
      <c r="G1219" t="s">
        <v>10654</v>
      </c>
      <c r="H1219" t="s">
        <v>8027</v>
      </c>
      <c r="I1219" t="s">
        <v>10655</v>
      </c>
      <c r="J1219" t="s">
        <v>7675</v>
      </c>
    </row>
    <row r="1220" spans="1:10" x14ac:dyDescent="0.25">
      <c r="A1220" t="s">
        <v>10656</v>
      </c>
      <c r="B1220">
        <v>7</v>
      </c>
      <c r="C1220" t="s">
        <v>10657</v>
      </c>
      <c r="D1220" t="s">
        <v>8063</v>
      </c>
      <c r="E1220" t="s">
        <v>10653</v>
      </c>
      <c r="F1220" t="s">
        <v>7672</v>
      </c>
      <c r="G1220" t="s">
        <v>10654</v>
      </c>
      <c r="H1220" t="s">
        <v>8027</v>
      </c>
      <c r="I1220" t="s">
        <v>10655</v>
      </c>
      <c r="J1220" t="s">
        <v>7686</v>
      </c>
    </row>
    <row r="1221" spans="1:10" x14ac:dyDescent="0.25">
      <c r="A1221" t="s">
        <v>10658</v>
      </c>
      <c r="B1221">
        <v>7</v>
      </c>
      <c r="C1221" t="s">
        <v>10659</v>
      </c>
      <c r="D1221" t="s">
        <v>9509</v>
      </c>
      <c r="E1221" t="s">
        <v>10653</v>
      </c>
      <c r="F1221" t="s">
        <v>7672</v>
      </c>
      <c r="G1221" t="s">
        <v>10654</v>
      </c>
      <c r="H1221" t="s">
        <v>8027</v>
      </c>
      <c r="I1221" t="s">
        <v>10655</v>
      </c>
      <c r="J1221" t="s">
        <v>7719</v>
      </c>
    </row>
    <row r="1222" spans="1:10" x14ac:dyDescent="0.25">
      <c r="A1222" t="s">
        <v>10660</v>
      </c>
      <c r="B1222">
        <v>5.3120000000000003</v>
      </c>
      <c r="C1222" t="s">
        <v>10661</v>
      </c>
      <c r="D1222" t="s">
        <v>330</v>
      </c>
      <c r="E1222" t="s">
        <v>10662</v>
      </c>
      <c r="F1222" t="s">
        <v>7672</v>
      </c>
      <c r="G1222" t="s">
        <v>10663</v>
      </c>
      <c r="H1222" t="s">
        <v>8515</v>
      </c>
      <c r="I1222" t="s">
        <v>10664</v>
      </c>
      <c r="J1222" t="s">
        <v>100</v>
      </c>
    </row>
    <row r="1223" spans="1:10" x14ac:dyDescent="0.25">
      <c r="A1223" t="s">
        <v>10665</v>
      </c>
      <c r="B1223">
        <v>5.3120000000000003</v>
      </c>
      <c r="C1223" t="s">
        <v>10666</v>
      </c>
      <c r="D1223" t="s">
        <v>88</v>
      </c>
      <c r="E1223" t="s">
        <v>10662</v>
      </c>
      <c r="F1223" t="s">
        <v>7672</v>
      </c>
      <c r="G1223" t="s">
        <v>10663</v>
      </c>
      <c r="H1223" t="s">
        <v>8515</v>
      </c>
      <c r="I1223" t="s">
        <v>9245</v>
      </c>
      <c r="J1223" t="s">
        <v>100</v>
      </c>
    </row>
    <row r="1224" spans="1:10" x14ac:dyDescent="0.25">
      <c r="A1224" t="s">
        <v>10667</v>
      </c>
      <c r="B1224">
        <v>5.3120000000000003</v>
      </c>
      <c r="C1224" t="s">
        <v>10668</v>
      </c>
      <c r="D1224" t="s">
        <v>301</v>
      </c>
      <c r="E1224" t="s">
        <v>10662</v>
      </c>
      <c r="F1224" t="s">
        <v>7672</v>
      </c>
      <c r="G1224" t="s">
        <v>10663</v>
      </c>
      <c r="H1224" t="s">
        <v>8515</v>
      </c>
      <c r="I1224" t="s">
        <v>1413</v>
      </c>
      <c r="J1224" t="s">
        <v>100</v>
      </c>
    </row>
    <row r="1225" spans="1:10" x14ac:dyDescent="0.25">
      <c r="A1225" t="s">
        <v>10669</v>
      </c>
      <c r="B1225">
        <v>5.3120000000000003</v>
      </c>
      <c r="C1225" t="s">
        <v>10670</v>
      </c>
      <c r="D1225" t="s">
        <v>342</v>
      </c>
      <c r="E1225" t="s">
        <v>10662</v>
      </c>
      <c r="F1225" t="s">
        <v>7672</v>
      </c>
      <c r="G1225" t="s">
        <v>10663</v>
      </c>
      <c r="H1225" t="s">
        <v>8515</v>
      </c>
      <c r="I1225" t="s">
        <v>9245</v>
      </c>
      <c r="J1225" t="s">
        <v>100</v>
      </c>
    </row>
    <row r="1226" spans="1:10" x14ac:dyDescent="0.25">
      <c r="A1226" t="s">
        <v>10671</v>
      </c>
      <c r="B1226">
        <v>5.3120000000000003</v>
      </c>
      <c r="C1226" t="s">
        <v>10672</v>
      </c>
      <c r="D1226" t="s">
        <v>199</v>
      </c>
      <c r="E1226" t="s">
        <v>10662</v>
      </c>
      <c r="F1226" t="s">
        <v>7672</v>
      </c>
      <c r="G1226" t="s">
        <v>10663</v>
      </c>
      <c r="H1226" t="s">
        <v>8515</v>
      </c>
      <c r="I1226" t="s">
        <v>10673</v>
      </c>
      <c r="J1226" t="s">
        <v>100</v>
      </c>
    </row>
    <row r="1227" spans="1:10" x14ac:dyDescent="0.25">
      <c r="A1227" t="s">
        <v>10674</v>
      </c>
      <c r="B1227">
        <v>5.3120000000000003</v>
      </c>
      <c r="C1227" t="s">
        <v>10675</v>
      </c>
      <c r="D1227" t="s">
        <v>53</v>
      </c>
      <c r="E1227" t="s">
        <v>10662</v>
      </c>
      <c r="F1227" t="s">
        <v>7672</v>
      </c>
      <c r="G1227" t="s">
        <v>10663</v>
      </c>
      <c r="H1227" t="s">
        <v>8515</v>
      </c>
      <c r="I1227" t="s">
        <v>1413</v>
      </c>
      <c r="J1227" t="s">
        <v>100</v>
      </c>
    </row>
    <row r="1228" spans="1:10" x14ac:dyDescent="0.25">
      <c r="A1228" t="s">
        <v>10676</v>
      </c>
      <c r="B1228">
        <v>5.3120000000000003</v>
      </c>
      <c r="C1228" t="s">
        <v>10677</v>
      </c>
      <c r="D1228" t="s">
        <v>53</v>
      </c>
      <c r="E1228" t="s">
        <v>10662</v>
      </c>
      <c r="F1228" t="s">
        <v>7672</v>
      </c>
      <c r="G1228" t="s">
        <v>10663</v>
      </c>
      <c r="H1228" t="s">
        <v>8515</v>
      </c>
      <c r="I1228" t="s">
        <v>10394</v>
      </c>
      <c r="J1228" t="s">
        <v>100</v>
      </c>
    </row>
    <row r="1229" spans="1:10" x14ac:dyDescent="0.25">
      <c r="A1229" t="s">
        <v>10678</v>
      </c>
      <c r="B1229">
        <v>5.3120000000000003</v>
      </c>
      <c r="C1229" t="s">
        <v>10679</v>
      </c>
      <c r="D1229" t="s">
        <v>849</v>
      </c>
      <c r="E1229" t="s">
        <v>10662</v>
      </c>
      <c r="F1229" t="s">
        <v>7672</v>
      </c>
      <c r="G1229" t="s">
        <v>10663</v>
      </c>
      <c r="H1229" t="s">
        <v>8515</v>
      </c>
      <c r="I1229" t="s">
        <v>10664</v>
      </c>
      <c r="J1229" t="s">
        <v>100</v>
      </c>
    </row>
    <row r="1230" spans="1:10" x14ac:dyDescent="0.25">
      <c r="A1230" t="s">
        <v>10680</v>
      </c>
      <c r="B1230">
        <v>5.3120000000000003</v>
      </c>
      <c r="C1230" t="s">
        <v>10681</v>
      </c>
      <c r="D1230" t="s">
        <v>131</v>
      </c>
      <c r="E1230" t="s">
        <v>10662</v>
      </c>
      <c r="F1230" t="s">
        <v>7672</v>
      </c>
      <c r="G1230" t="s">
        <v>10663</v>
      </c>
      <c r="H1230" t="s">
        <v>8515</v>
      </c>
      <c r="I1230" t="s">
        <v>10673</v>
      </c>
      <c r="J1230" t="s">
        <v>100</v>
      </c>
    </row>
    <row r="1231" spans="1:10" x14ac:dyDescent="0.25">
      <c r="A1231" t="s">
        <v>10682</v>
      </c>
      <c r="B1231">
        <v>5.3120000000000003</v>
      </c>
      <c r="C1231" t="s">
        <v>10683</v>
      </c>
      <c r="D1231" t="s">
        <v>781</v>
      </c>
      <c r="E1231" t="s">
        <v>10662</v>
      </c>
      <c r="F1231" t="s">
        <v>7672</v>
      </c>
      <c r="G1231" t="s">
        <v>10663</v>
      </c>
      <c r="H1231" t="s">
        <v>8515</v>
      </c>
      <c r="I1231" t="s">
        <v>1413</v>
      </c>
      <c r="J1231" t="s">
        <v>106</v>
      </c>
    </row>
    <row r="1232" spans="1:10" x14ac:dyDescent="0.25">
      <c r="A1232" t="s">
        <v>10684</v>
      </c>
      <c r="B1232">
        <v>5.3120000000000003</v>
      </c>
      <c r="C1232" t="s">
        <v>10685</v>
      </c>
      <c r="D1232" t="s">
        <v>240</v>
      </c>
      <c r="E1232" t="s">
        <v>10662</v>
      </c>
      <c r="F1232" t="s">
        <v>7672</v>
      </c>
      <c r="G1232" t="s">
        <v>10663</v>
      </c>
      <c r="H1232" t="s">
        <v>8515</v>
      </c>
      <c r="I1232" t="s">
        <v>10664</v>
      </c>
      <c r="J1232" t="s">
        <v>106</v>
      </c>
    </row>
    <row r="1233" spans="1:10" x14ac:dyDescent="0.25">
      <c r="A1233" t="s">
        <v>10686</v>
      </c>
      <c r="B1233">
        <v>5.3120000000000003</v>
      </c>
      <c r="C1233" t="s">
        <v>10687</v>
      </c>
      <c r="D1233" t="s">
        <v>282</v>
      </c>
      <c r="E1233" t="s">
        <v>10662</v>
      </c>
      <c r="F1233" t="s">
        <v>7672</v>
      </c>
      <c r="G1233" t="s">
        <v>10663</v>
      </c>
      <c r="H1233" t="s">
        <v>8515</v>
      </c>
      <c r="I1233" t="s">
        <v>10394</v>
      </c>
      <c r="J1233" t="s">
        <v>106</v>
      </c>
    </row>
    <row r="1234" spans="1:10" x14ac:dyDescent="0.25">
      <c r="A1234" t="s">
        <v>10688</v>
      </c>
      <c r="B1234">
        <v>5.3120000000000003</v>
      </c>
      <c r="C1234" t="s">
        <v>10689</v>
      </c>
      <c r="D1234" t="s">
        <v>705</v>
      </c>
      <c r="E1234" t="s">
        <v>10662</v>
      </c>
      <c r="F1234" t="s">
        <v>7672</v>
      </c>
      <c r="G1234" t="s">
        <v>10663</v>
      </c>
      <c r="H1234" t="s">
        <v>8515</v>
      </c>
      <c r="I1234" t="s">
        <v>1413</v>
      </c>
      <c r="J1234" t="s">
        <v>106</v>
      </c>
    </row>
    <row r="1235" spans="1:10" x14ac:dyDescent="0.25">
      <c r="A1235" t="s">
        <v>10690</v>
      </c>
      <c r="B1235">
        <v>5.3120000000000003</v>
      </c>
      <c r="C1235" t="s">
        <v>10691</v>
      </c>
      <c r="D1235" t="s">
        <v>2253</v>
      </c>
      <c r="E1235" t="s">
        <v>10662</v>
      </c>
      <c r="F1235" t="s">
        <v>7672</v>
      </c>
      <c r="G1235" t="s">
        <v>10663</v>
      </c>
      <c r="H1235" t="s">
        <v>8515</v>
      </c>
      <c r="I1235" t="s">
        <v>10673</v>
      </c>
      <c r="J1235" t="s">
        <v>106</v>
      </c>
    </row>
    <row r="1236" spans="1:10" x14ac:dyDescent="0.25">
      <c r="A1236" t="s">
        <v>10692</v>
      </c>
      <c r="B1236">
        <v>5.3120000000000003</v>
      </c>
      <c r="C1236" t="s">
        <v>10693</v>
      </c>
      <c r="D1236" t="s">
        <v>588</v>
      </c>
      <c r="E1236" t="s">
        <v>10662</v>
      </c>
      <c r="F1236" t="s">
        <v>7672</v>
      </c>
      <c r="G1236" t="s">
        <v>10663</v>
      </c>
      <c r="H1236" t="s">
        <v>8515</v>
      </c>
      <c r="I1236" t="s">
        <v>10664</v>
      </c>
      <c r="J1236" t="s">
        <v>106</v>
      </c>
    </row>
    <row r="1237" spans="1:10" x14ac:dyDescent="0.25">
      <c r="A1237" t="s">
        <v>10694</v>
      </c>
      <c r="B1237">
        <v>5.3120000000000003</v>
      </c>
      <c r="C1237" t="s">
        <v>10695</v>
      </c>
      <c r="D1237" t="s">
        <v>1143</v>
      </c>
      <c r="E1237" t="s">
        <v>10662</v>
      </c>
      <c r="F1237" t="s">
        <v>7672</v>
      </c>
      <c r="G1237" t="s">
        <v>10663</v>
      </c>
      <c r="H1237" t="s">
        <v>8515</v>
      </c>
      <c r="I1237" t="s">
        <v>9245</v>
      </c>
      <c r="J1237" t="s">
        <v>106</v>
      </c>
    </row>
    <row r="1238" spans="1:10" x14ac:dyDescent="0.25">
      <c r="A1238" t="s">
        <v>10696</v>
      </c>
      <c r="B1238">
        <v>5.3120000000000003</v>
      </c>
      <c r="C1238" t="s">
        <v>10697</v>
      </c>
      <c r="D1238" t="s">
        <v>131</v>
      </c>
      <c r="E1238" t="s">
        <v>10662</v>
      </c>
      <c r="F1238" t="s">
        <v>7672</v>
      </c>
      <c r="G1238" t="s">
        <v>10663</v>
      </c>
      <c r="H1238" t="s">
        <v>8515</v>
      </c>
      <c r="I1238" t="s">
        <v>10673</v>
      </c>
      <c r="J1238" t="s">
        <v>106</v>
      </c>
    </row>
    <row r="1239" spans="1:10" x14ac:dyDescent="0.25">
      <c r="A1239" t="s">
        <v>10698</v>
      </c>
      <c r="B1239">
        <v>5.3120000000000003</v>
      </c>
      <c r="C1239" t="s">
        <v>10699</v>
      </c>
      <c r="D1239" t="s">
        <v>131</v>
      </c>
      <c r="E1239" t="s">
        <v>10662</v>
      </c>
      <c r="F1239" t="s">
        <v>7672</v>
      </c>
      <c r="G1239" t="s">
        <v>10663</v>
      </c>
      <c r="H1239" t="s">
        <v>8515</v>
      </c>
      <c r="I1239" t="s">
        <v>1413</v>
      </c>
      <c r="J1239" t="s">
        <v>88</v>
      </c>
    </row>
    <row r="1240" spans="1:10" x14ac:dyDescent="0.25">
      <c r="A1240" t="s">
        <v>10700</v>
      </c>
      <c r="B1240">
        <v>5.3120000000000003</v>
      </c>
      <c r="C1240" t="s">
        <v>10701</v>
      </c>
      <c r="D1240" t="s">
        <v>95</v>
      </c>
      <c r="E1240" t="s">
        <v>10662</v>
      </c>
      <c r="F1240" t="s">
        <v>7672</v>
      </c>
      <c r="G1240" t="s">
        <v>10663</v>
      </c>
      <c r="H1240" t="s">
        <v>8515</v>
      </c>
      <c r="I1240" t="s">
        <v>10664</v>
      </c>
      <c r="J1240" t="s">
        <v>88</v>
      </c>
    </row>
    <row r="1241" spans="1:10" x14ac:dyDescent="0.25">
      <c r="A1241" t="s">
        <v>10702</v>
      </c>
      <c r="B1241">
        <v>5.3120000000000003</v>
      </c>
      <c r="C1241" t="s">
        <v>10703</v>
      </c>
      <c r="D1241" t="s">
        <v>1811</v>
      </c>
      <c r="E1241" t="s">
        <v>10662</v>
      </c>
      <c r="F1241" t="s">
        <v>7672</v>
      </c>
      <c r="G1241" t="s">
        <v>10663</v>
      </c>
      <c r="H1241" t="s">
        <v>8515</v>
      </c>
      <c r="I1241" t="s">
        <v>10673</v>
      </c>
      <c r="J1241" t="s">
        <v>88</v>
      </c>
    </row>
    <row r="1242" spans="1:10" x14ac:dyDescent="0.25">
      <c r="A1242" t="s">
        <v>10704</v>
      </c>
      <c r="B1242">
        <v>5.3120000000000003</v>
      </c>
      <c r="C1242" t="s">
        <v>10705</v>
      </c>
      <c r="D1242" t="s">
        <v>2879</v>
      </c>
      <c r="E1242" t="s">
        <v>10662</v>
      </c>
      <c r="F1242" t="s">
        <v>7672</v>
      </c>
      <c r="G1242" t="s">
        <v>10663</v>
      </c>
      <c r="H1242" t="s">
        <v>8515</v>
      </c>
      <c r="I1242" t="s">
        <v>1413</v>
      </c>
      <c r="J1242" t="s">
        <v>8531</v>
      </c>
    </row>
    <row r="1243" spans="1:10" x14ac:dyDescent="0.25">
      <c r="A1243" t="s">
        <v>10706</v>
      </c>
      <c r="B1243">
        <v>5.3120000000000003</v>
      </c>
      <c r="C1243" t="s">
        <v>10707</v>
      </c>
      <c r="D1243" t="s">
        <v>240</v>
      </c>
      <c r="E1243" t="s">
        <v>10662</v>
      </c>
      <c r="F1243" t="s">
        <v>7672</v>
      </c>
      <c r="G1243" t="s">
        <v>10663</v>
      </c>
      <c r="H1243" t="s">
        <v>8515</v>
      </c>
      <c r="I1243" t="s">
        <v>10664</v>
      </c>
      <c r="J1243" t="s">
        <v>8531</v>
      </c>
    </row>
    <row r="1244" spans="1:10" x14ac:dyDescent="0.25">
      <c r="A1244" t="s">
        <v>10708</v>
      </c>
      <c r="B1244">
        <v>5.3120000000000003</v>
      </c>
      <c r="C1244" t="s">
        <v>10709</v>
      </c>
      <c r="D1244" t="s">
        <v>321</v>
      </c>
      <c r="E1244" t="s">
        <v>10662</v>
      </c>
      <c r="F1244" t="s">
        <v>7672</v>
      </c>
      <c r="G1244" t="s">
        <v>10663</v>
      </c>
      <c r="H1244" t="s">
        <v>8515</v>
      </c>
      <c r="I1244" t="s">
        <v>1413</v>
      </c>
      <c r="J1244" t="s">
        <v>8531</v>
      </c>
    </row>
    <row r="1245" spans="1:10" x14ac:dyDescent="0.25">
      <c r="A1245" t="s">
        <v>10710</v>
      </c>
      <c r="B1245">
        <v>5.3120000000000003</v>
      </c>
      <c r="C1245" t="s">
        <v>10711</v>
      </c>
      <c r="D1245" t="s">
        <v>113</v>
      </c>
      <c r="E1245" t="s">
        <v>10662</v>
      </c>
      <c r="F1245" t="s">
        <v>7672</v>
      </c>
      <c r="G1245" t="s">
        <v>10663</v>
      </c>
      <c r="H1245" t="s">
        <v>8515</v>
      </c>
      <c r="I1245" t="s">
        <v>10394</v>
      </c>
      <c r="J1245" t="s">
        <v>8531</v>
      </c>
    </row>
    <row r="1246" spans="1:10" x14ac:dyDescent="0.25">
      <c r="A1246" t="s">
        <v>10712</v>
      </c>
      <c r="B1246">
        <v>5.3120000000000003</v>
      </c>
      <c r="C1246" t="s">
        <v>10713</v>
      </c>
      <c r="D1246" t="s">
        <v>1143</v>
      </c>
      <c r="E1246" t="s">
        <v>10662</v>
      </c>
      <c r="F1246" t="s">
        <v>7672</v>
      </c>
      <c r="G1246" t="s">
        <v>10663</v>
      </c>
      <c r="H1246" t="s">
        <v>8515</v>
      </c>
      <c r="I1246" t="s">
        <v>9245</v>
      </c>
      <c r="J1246" t="s">
        <v>8531</v>
      </c>
    </row>
    <row r="1247" spans="1:10" x14ac:dyDescent="0.25">
      <c r="A1247" t="s">
        <v>10714</v>
      </c>
      <c r="B1247">
        <v>5.3120000000000003</v>
      </c>
      <c r="C1247" t="s">
        <v>10715</v>
      </c>
      <c r="D1247" t="s">
        <v>671</v>
      </c>
      <c r="E1247" t="s">
        <v>10662</v>
      </c>
      <c r="F1247" t="s">
        <v>7672</v>
      </c>
      <c r="G1247" t="s">
        <v>10663</v>
      </c>
      <c r="H1247" t="s">
        <v>8515</v>
      </c>
      <c r="I1247" t="s">
        <v>10664</v>
      </c>
      <c r="J1247" t="s">
        <v>8531</v>
      </c>
    </row>
    <row r="1248" spans="1:10" x14ac:dyDescent="0.25">
      <c r="A1248" t="s">
        <v>10716</v>
      </c>
      <c r="B1248">
        <v>5.3120000000000003</v>
      </c>
      <c r="C1248" t="s">
        <v>10717</v>
      </c>
      <c r="D1248" t="s">
        <v>1236</v>
      </c>
      <c r="E1248" t="s">
        <v>10662</v>
      </c>
      <c r="F1248" t="s">
        <v>7672</v>
      </c>
      <c r="G1248" t="s">
        <v>10663</v>
      </c>
      <c r="H1248" t="s">
        <v>8515</v>
      </c>
      <c r="I1248" t="s">
        <v>10673</v>
      </c>
      <c r="J1248" t="s">
        <v>8531</v>
      </c>
    </row>
    <row r="1249" spans="1:10" x14ac:dyDescent="0.25">
      <c r="A1249" t="s">
        <v>10718</v>
      </c>
      <c r="B1249">
        <v>5.3120000000000003</v>
      </c>
      <c r="C1249" t="s">
        <v>10719</v>
      </c>
      <c r="D1249" t="s">
        <v>53</v>
      </c>
      <c r="E1249" t="s">
        <v>10662</v>
      </c>
      <c r="F1249" t="s">
        <v>7672</v>
      </c>
      <c r="G1249" t="s">
        <v>10663</v>
      </c>
      <c r="H1249" t="s">
        <v>8515</v>
      </c>
      <c r="I1249" t="s">
        <v>10673</v>
      </c>
      <c r="J1249" t="s">
        <v>8531</v>
      </c>
    </row>
    <row r="1250" spans="1:10" x14ac:dyDescent="0.25">
      <c r="A1250" t="s">
        <v>10720</v>
      </c>
      <c r="B1250">
        <v>5.3120000000000003</v>
      </c>
      <c r="C1250" t="s">
        <v>10721</v>
      </c>
      <c r="D1250" t="s">
        <v>835</v>
      </c>
      <c r="E1250" t="s">
        <v>10662</v>
      </c>
      <c r="F1250" t="s">
        <v>7672</v>
      </c>
      <c r="G1250" t="s">
        <v>10663</v>
      </c>
      <c r="H1250" t="s">
        <v>8515</v>
      </c>
      <c r="I1250" t="s">
        <v>1413</v>
      </c>
      <c r="J1250" t="s">
        <v>131</v>
      </c>
    </row>
    <row r="1251" spans="1:10" x14ac:dyDescent="0.25">
      <c r="A1251" t="s">
        <v>10722</v>
      </c>
      <c r="B1251">
        <v>5.3120000000000003</v>
      </c>
      <c r="C1251" t="s">
        <v>10723</v>
      </c>
      <c r="D1251" t="s">
        <v>1536</v>
      </c>
      <c r="E1251" t="s">
        <v>10662</v>
      </c>
      <c r="F1251" t="s">
        <v>7672</v>
      </c>
      <c r="G1251" t="s">
        <v>10663</v>
      </c>
      <c r="H1251" t="s">
        <v>8515</v>
      </c>
      <c r="I1251" t="s">
        <v>1413</v>
      </c>
      <c r="J1251" t="s">
        <v>131</v>
      </c>
    </row>
    <row r="1252" spans="1:10" x14ac:dyDescent="0.25">
      <c r="A1252" t="s">
        <v>10724</v>
      </c>
      <c r="B1252">
        <v>5.3120000000000003</v>
      </c>
      <c r="C1252" t="s">
        <v>10725</v>
      </c>
      <c r="D1252" t="s">
        <v>1134</v>
      </c>
      <c r="E1252" t="s">
        <v>10662</v>
      </c>
      <c r="F1252" t="s">
        <v>7672</v>
      </c>
      <c r="G1252" t="s">
        <v>10663</v>
      </c>
      <c r="H1252" t="s">
        <v>8515</v>
      </c>
      <c r="I1252" t="s">
        <v>10673</v>
      </c>
      <c r="J1252" t="s">
        <v>131</v>
      </c>
    </row>
    <row r="1253" spans="1:10" x14ac:dyDescent="0.25">
      <c r="A1253" t="s">
        <v>10726</v>
      </c>
      <c r="B1253">
        <v>5.3120000000000003</v>
      </c>
      <c r="C1253" t="s">
        <v>10727</v>
      </c>
      <c r="D1253" t="s">
        <v>2022</v>
      </c>
      <c r="E1253" t="s">
        <v>10662</v>
      </c>
      <c r="F1253" t="s">
        <v>7672</v>
      </c>
      <c r="G1253" t="s">
        <v>10663</v>
      </c>
      <c r="H1253" t="s">
        <v>8515</v>
      </c>
      <c r="I1253" t="s">
        <v>10664</v>
      </c>
      <c r="J1253" t="s">
        <v>131</v>
      </c>
    </row>
    <row r="1254" spans="1:10" x14ac:dyDescent="0.25">
      <c r="A1254" t="s">
        <v>10728</v>
      </c>
      <c r="B1254">
        <v>5.3120000000000003</v>
      </c>
      <c r="C1254" t="s">
        <v>10729</v>
      </c>
      <c r="D1254" t="s">
        <v>582</v>
      </c>
      <c r="E1254" t="s">
        <v>10662</v>
      </c>
      <c r="F1254" t="s">
        <v>7672</v>
      </c>
      <c r="G1254" t="s">
        <v>10663</v>
      </c>
      <c r="H1254" t="s">
        <v>8515</v>
      </c>
      <c r="I1254" t="s">
        <v>10664</v>
      </c>
      <c r="J1254" t="s">
        <v>131</v>
      </c>
    </row>
    <row r="1255" spans="1:10" x14ac:dyDescent="0.25">
      <c r="A1255" t="s">
        <v>10730</v>
      </c>
      <c r="B1255">
        <v>5.3120000000000003</v>
      </c>
      <c r="C1255" t="s">
        <v>10731</v>
      </c>
      <c r="D1255" t="s">
        <v>53</v>
      </c>
      <c r="E1255" t="s">
        <v>10662</v>
      </c>
      <c r="F1255" t="s">
        <v>7672</v>
      </c>
      <c r="G1255" t="s">
        <v>10663</v>
      </c>
      <c r="H1255" t="s">
        <v>8515</v>
      </c>
      <c r="I1255" t="s">
        <v>10394</v>
      </c>
      <c r="J1255" t="s">
        <v>269</v>
      </c>
    </row>
    <row r="1256" spans="1:10" x14ac:dyDescent="0.25">
      <c r="A1256" t="s">
        <v>10732</v>
      </c>
      <c r="B1256">
        <v>5.3120000000000003</v>
      </c>
      <c r="C1256" t="s">
        <v>10733</v>
      </c>
      <c r="D1256" t="s">
        <v>2322</v>
      </c>
      <c r="E1256" t="s">
        <v>10662</v>
      </c>
      <c r="F1256" t="s">
        <v>7672</v>
      </c>
      <c r="G1256" t="s">
        <v>10663</v>
      </c>
      <c r="H1256" t="s">
        <v>8515</v>
      </c>
      <c r="I1256" t="s">
        <v>1413</v>
      </c>
      <c r="J1256" t="s">
        <v>269</v>
      </c>
    </row>
    <row r="1257" spans="1:10" x14ac:dyDescent="0.25">
      <c r="A1257" t="s">
        <v>10734</v>
      </c>
      <c r="B1257">
        <v>5.3120000000000003</v>
      </c>
      <c r="C1257" t="s">
        <v>10735</v>
      </c>
      <c r="D1257" t="s">
        <v>277</v>
      </c>
      <c r="E1257" t="s">
        <v>10662</v>
      </c>
      <c r="F1257" t="s">
        <v>7672</v>
      </c>
      <c r="G1257" t="s">
        <v>10663</v>
      </c>
      <c r="H1257" t="s">
        <v>8515</v>
      </c>
      <c r="I1257" t="s">
        <v>9245</v>
      </c>
      <c r="J1257" t="s">
        <v>269</v>
      </c>
    </row>
    <row r="1258" spans="1:10" x14ac:dyDescent="0.25">
      <c r="A1258" t="s">
        <v>10736</v>
      </c>
      <c r="B1258">
        <v>5.3120000000000003</v>
      </c>
      <c r="C1258" t="s">
        <v>10737</v>
      </c>
      <c r="D1258" t="s">
        <v>1236</v>
      </c>
      <c r="E1258" t="s">
        <v>10662</v>
      </c>
      <c r="F1258" t="s">
        <v>7672</v>
      </c>
      <c r="G1258" t="s">
        <v>10663</v>
      </c>
      <c r="H1258" t="s">
        <v>8515</v>
      </c>
      <c r="I1258" t="s">
        <v>9245</v>
      </c>
      <c r="J1258" t="s">
        <v>269</v>
      </c>
    </row>
    <row r="1259" spans="1:10" x14ac:dyDescent="0.25">
      <c r="A1259" t="s">
        <v>10738</v>
      </c>
      <c r="B1259">
        <v>5.3120000000000003</v>
      </c>
      <c r="C1259" t="s">
        <v>10739</v>
      </c>
      <c r="D1259" t="s">
        <v>450</v>
      </c>
      <c r="E1259" t="s">
        <v>10662</v>
      </c>
      <c r="F1259" t="s">
        <v>7672</v>
      </c>
      <c r="G1259" t="s">
        <v>10663</v>
      </c>
      <c r="H1259" t="s">
        <v>8515</v>
      </c>
      <c r="I1259" t="s">
        <v>10664</v>
      </c>
      <c r="J1259" t="s">
        <v>269</v>
      </c>
    </row>
    <row r="1260" spans="1:10" x14ac:dyDescent="0.25">
      <c r="A1260" t="s">
        <v>10740</v>
      </c>
      <c r="B1260">
        <v>5.3120000000000003</v>
      </c>
      <c r="C1260" t="s">
        <v>10741</v>
      </c>
      <c r="D1260" t="s">
        <v>903</v>
      </c>
      <c r="E1260" t="s">
        <v>10662</v>
      </c>
      <c r="F1260" t="s">
        <v>7672</v>
      </c>
      <c r="G1260" t="s">
        <v>10663</v>
      </c>
      <c r="H1260" t="s">
        <v>8515</v>
      </c>
      <c r="I1260" t="s">
        <v>10673</v>
      </c>
      <c r="J1260" t="s">
        <v>269</v>
      </c>
    </row>
    <row r="1261" spans="1:10" x14ac:dyDescent="0.25">
      <c r="A1261" t="s">
        <v>10742</v>
      </c>
      <c r="B1261">
        <v>5.3120000000000003</v>
      </c>
      <c r="C1261" t="s">
        <v>10743</v>
      </c>
      <c r="D1261" t="s">
        <v>144</v>
      </c>
      <c r="E1261" t="s">
        <v>10662</v>
      </c>
      <c r="F1261" t="s">
        <v>7672</v>
      </c>
      <c r="G1261" t="s">
        <v>10663</v>
      </c>
      <c r="H1261" t="s">
        <v>8515</v>
      </c>
      <c r="I1261" t="s">
        <v>10664</v>
      </c>
      <c r="J1261" t="s">
        <v>269</v>
      </c>
    </row>
    <row r="1262" spans="1:10" x14ac:dyDescent="0.25">
      <c r="A1262" t="s">
        <v>10744</v>
      </c>
      <c r="B1262">
        <v>5.3120000000000003</v>
      </c>
      <c r="C1262" t="s">
        <v>10745</v>
      </c>
      <c r="D1262" t="s">
        <v>776</v>
      </c>
      <c r="E1262" t="s">
        <v>10662</v>
      </c>
      <c r="F1262" t="s">
        <v>7672</v>
      </c>
      <c r="G1262" t="s">
        <v>10663</v>
      </c>
      <c r="H1262" t="s">
        <v>8515</v>
      </c>
      <c r="I1262" t="s">
        <v>1413</v>
      </c>
      <c r="J1262" t="s">
        <v>269</v>
      </c>
    </row>
    <row r="1263" spans="1:10" x14ac:dyDescent="0.25">
      <c r="A1263" t="s">
        <v>10746</v>
      </c>
      <c r="B1263">
        <v>5.3120000000000003</v>
      </c>
      <c r="C1263" t="s">
        <v>10747</v>
      </c>
      <c r="D1263" t="s">
        <v>8618</v>
      </c>
      <c r="E1263" t="s">
        <v>10662</v>
      </c>
      <c r="F1263" t="s">
        <v>7672</v>
      </c>
      <c r="G1263" t="s">
        <v>10663</v>
      </c>
      <c r="H1263" t="s">
        <v>8515</v>
      </c>
      <c r="I1263" t="s">
        <v>10394</v>
      </c>
      <c r="J1263" t="s">
        <v>255</v>
      </c>
    </row>
    <row r="1264" spans="1:10" x14ac:dyDescent="0.25">
      <c r="A1264" t="s">
        <v>10748</v>
      </c>
      <c r="B1264">
        <v>5.3120000000000003</v>
      </c>
      <c r="C1264" t="s">
        <v>10749</v>
      </c>
      <c r="D1264" t="s">
        <v>1837</v>
      </c>
      <c r="E1264" t="s">
        <v>10662</v>
      </c>
      <c r="F1264" t="s">
        <v>7672</v>
      </c>
      <c r="G1264" t="s">
        <v>10663</v>
      </c>
      <c r="H1264" t="s">
        <v>8515</v>
      </c>
      <c r="I1264" t="s">
        <v>1413</v>
      </c>
      <c r="J1264" t="s">
        <v>255</v>
      </c>
    </row>
    <row r="1265" spans="1:10" x14ac:dyDescent="0.25">
      <c r="A1265" t="s">
        <v>10750</v>
      </c>
      <c r="B1265">
        <v>5.3120000000000003</v>
      </c>
      <c r="C1265" t="s">
        <v>10751</v>
      </c>
      <c r="D1265" t="s">
        <v>964</v>
      </c>
      <c r="E1265" t="s">
        <v>10662</v>
      </c>
      <c r="F1265" t="s">
        <v>7672</v>
      </c>
      <c r="G1265" t="s">
        <v>10663</v>
      </c>
      <c r="H1265" t="s">
        <v>8515</v>
      </c>
      <c r="I1265" t="s">
        <v>10394</v>
      </c>
      <c r="J1265" t="s">
        <v>255</v>
      </c>
    </row>
    <row r="1266" spans="1:10" x14ac:dyDescent="0.25">
      <c r="A1266" t="s">
        <v>10752</v>
      </c>
      <c r="B1266">
        <v>5.3120000000000003</v>
      </c>
      <c r="C1266" t="s">
        <v>10753</v>
      </c>
      <c r="D1266" t="s">
        <v>1795</v>
      </c>
      <c r="E1266" t="s">
        <v>10662</v>
      </c>
      <c r="F1266" t="s">
        <v>7672</v>
      </c>
      <c r="G1266" t="s">
        <v>10663</v>
      </c>
      <c r="H1266" t="s">
        <v>8515</v>
      </c>
      <c r="I1266" t="s">
        <v>10664</v>
      </c>
      <c r="J1266" t="s">
        <v>255</v>
      </c>
    </row>
    <row r="1267" spans="1:10" x14ac:dyDescent="0.25">
      <c r="A1267" t="s">
        <v>10754</v>
      </c>
      <c r="B1267">
        <v>5.3120000000000003</v>
      </c>
      <c r="C1267" t="s">
        <v>10755</v>
      </c>
      <c r="D1267" t="s">
        <v>3827</v>
      </c>
      <c r="E1267" t="s">
        <v>10662</v>
      </c>
      <c r="F1267" t="s">
        <v>7672</v>
      </c>
      <c r="G1267" t="s">
        <v>10663</v>
      </c>
      <c r="H1267" t="s">
        <v>8515</v>
      </c>
      <c r="I1267" t="s">
        <v>9245</v>
      </c>
      <c r="J1267" t="s">
        <v>255</v>
      </c>
    </row>
    <row r="1268" spans="1:10" x14ac:dyDescent="0.25">
      <c r="A1268" t="s">
        <v>10756</v>
      </c>
      <c r="B1268">
        <v>5.3120000000000003</v>
      </c>
      <c r="C1268" t="s">
        <v>10757</v>
      </c>
      <c r="D1268" t="s">
        <v>2149</v>
      </c>
      <c r="E1268" t="s">
        <v>10662</v>
      </c>
      <c r="F1268" t="s">
        <v>7672</v>
      </c>
      <c r="G1268" t="s">
        <v>10663</v>
      </c>
      <c r="H1268" t="s">
        <v>8515</v>
      </c>
      <c r="I1268" t="s">
        <v>10673</v>
      </c>
      <c r="J1268" t="s">
        <v>255</v>
      </c>
    </row>
    <row r="1269" spans="1:10" x14ac:dyDescent="0.25">
      <c r="A1269" t="s">
        <v>10758</v>
      </c>
      <c r="B1269">
        <v>5.3120000000000003</v>
      </c>
      <c r="C1269" t="s">
        <v>10759</v>
      </c>
      <c r="D1269" t="s">
        <v>2248</v>
      </c>
      <c r="E1269" t="s">
        <v>10662</v>
      </c>
      <c r="F1269" t="s">
        <v>7672</v>
      </c>
      <c r="G1269" t="s">
        <v>10663</v>
      </c>
      <c r="H1269" t="s">
        <v>8515</v>
      </c>
      <c r="I1269" t="s">
        <v>1413</v>
      </c>
      <c r="J1269" t="s">
        <v>255</v>
      </c>
    </row>
    <row r="1270" spans="1:10" x14ac:dyDescent="0.25">
      <c r="A1270" t="s">
        <v>10760</v>
      </c>
      <c r="B1270">
        <v>5.3120000000000003</v>
      </c>
      <c r="C1270" t="s">
        <v>10761</v>
      </c>
      <c r="D1270" t="s">
        <v>1014</v>
      </c>
      <c r="E1270" t="s">
        <v>10662</v>
      </c>
      <c r="F1270" t="s">
        <v>7672</v>
      </c>
      <c r="G1270" t="s">
        <v>10663</v>
      </c>
      <c r="H1270" t="s">
        <v>8515</v>
      </c>
      <c r="I1270" t="s">
        <v>9245</v>
      </c>
      <c r="J1270" t="s">
        <v>255</v>
      </c>
    </row>
    <row r="1271" spans="1:10" x14ac:dyDescent="0.25">
      <c r="A1271" t="s">
        <v>10762</v>
      </c>
      <c r="B1271">
        <v>5.3120000000000003</v>
      </c>
      <c r="C1271" t="s">
        <v>10763</v>
      </c>
      <c r="D1271" t="s">
        <v>10764</v>
      </c>
      <c r="E1271" t="s">
        <v>10662</v>
      </c>
      <c r="F1271" t="s">
        <v>7672</v>
      </c>
      <c r="G1271" t="s">
        <v>10663</v>
      </c>
      <c r="H1271" t="s">
        <v>8515</v>
      </c>
      <c r="I1271" t="s">
        <v>10664</v>
      </c>
      <c r="J1271" t="s">
        <v>255</v>
      </c>
    </row>
    <row r="1272" spans="1:10" x14ac:dyDescent="0.25">
      <c r="A1272" t="s">
        <v>10765</v>
      </c>
      <c r="B1272">
        <v>5.3120000000000003</v>
      </c>
      <c r="C1272" t="s">
        <v>10766</v>
      </c>
      <c r="D1272" t="s">
        <v>913</v>
      </c>
      <c r="E1272" t="s">
        <v>10662</v>
      </c>
      <c r="F1272" t="s">
        <v>7672</v>
      </c>
      <c r="G1272" t="s">
        <v>10663</v>
      </c>
      <c r="H1272" t="s">
        <v>8515</v>
      </c>
      <c r="I1272" t="s">
        <v>10673</v>
      </c>
      <c r="J1272" t="s">
        <v>255</v>
      </c>
    </row>
    <row r="1273" spans="1:10" x14ac:dyDescent="0.25">
      <c r="A1273" t="s">
        <v>10767</v>
      </c>
      <c r="B1273">
        <v>5.3120000000000003</v>
      </c>
      <c r="C1273" t="s">
        <v>10768</v>
      </c>
      <c r="D1273" t="s">
        <v>981</v>
      </c>
      <c r="E1273" t="s">
        <v>10662</v>
      </c>
      <c r="F1273" t="s">
        <v>7672</v>
      </c>
      <c r="G1273" t="s">
        <v>10663</v>
      </c>
      <c r="H1273" t="s">
        <v>8515</v>
      </c>
      <c r="I1273" t="s">
        <v>7945</v>
      </c>
      <c r="J1273" t="s">
        <v>277</v>
      </c>
    </row>
    <row r="1274" spans="1:10" x14ac:dyDescent="0.25">
      <c r="A1274" t="s">
        <v>10769</v>
      </c>
      <c r="B1274">
        <v>5.3120000000000003</v>
      </c>
      <c r="C1274" t="s">
        <v>10770</v>
      </c>
      <c r="D1274" t="s">
        <v>10771</v>
      </c>
      <c r="E1274" t="s">
        <v>10662</v>
      </c>
      <c r="F1274" t="s">
        <v>7672</v>
      </c>
      <c r="G1274" t="s">
        <v>10663</v>
      </c>
      <c r="H1274" t="s">
        <v>8515</v>
      </c>
      <c r="I1274" t="s">
        <v>1413</v>
      </c>
      <c r="J1274" t="s">
        <v>277</v>
      </c>
    </row>
    <row r="1275" spans="1:10" x14ac:dyDescent="0.25">
      <c r="A1275" t="s">
        <v>10772</v>
      </c>
      <c r="B1275">
        <v>5.3120000000000003</v>
      </c>
      <c r="C1275" t="s">
        <v>10773</v>
      </c>
      <c r="D1275" t="s">
        <v>10774</v>
      </c>
      <c r="E1275" t="s">
        <v>10662</v>
      </c>
      <c r="F1275" t="s">
        <v>7672</v>
      </c>
      <c r="G1275" t="s">
        <v>10663</v>
      </c>
      <c r="H1275" t="s">
        <v>8515</v>
      </c>
      <c r="I1275" t="s">
        <v>10664</v>
      </c>
      <c r="J1275" t="s">
        <v>277</v>
      </c>
    </row>
    <row r="1276" spans="1:10" x14ac:dyDescent="0.25">
      <c r="A1276" t="s">
        <v>10775</v>
      </c>
      <c r="B1276">
        <v>5.3120000000000003</v>
      </c>
      <c r="C1276" t="s">
        <v>10776</v>
      </c>
      <c r="D1276" t="s">
        <v>60</v>
      </c>
      <c r="E1276" t="s">
        <v>10662</v>
      </c>
      <c r="F1276" t="s">
        <v>7672</v>
      </c>
      <c r="G1276" t="s">
        <v>10663</v>
      </c>
      <c r="H1276" t="s">
        <v>8515</v>
      </c>
      <c r="I1276" t="s">
        <v>7945</v>
      </c>
      <c r="J1276" t="s">
        <v>277</v>
      </c>
    </row>
    <row r="1277" spans="1:10" x14ac:dyDescent="0.25">
      <c r="A1277" t="s">
        <v>10777</v>
      </c>
      <c r="B1277">
        <v>5.3120000000000003</v>
      </c>
      <c r="C1277" t="s">
        <v>10778</v>
      </c>
      <c r="D1277" t="s">
        <v>10774</v>
      </c>
      <c r="E1277" t="s">
        <v>10662</v>
      </c>
      <c r="F1277" t="s">
        <v>7672</v>
      </c>
      <c r="G1277" t="s">
        <v>10663</v>
      </c>
      <c r="H1277" t="s">
        <v>8515</v>
      </c>
      <c r="I1277" t="s">
        <v>9245</v>
      </c>
      <c r="J1277" t="s">
        <v>277</v>
      </c>
    </row>
    <row r="1278" spans="1:10" x14ac:dyDescent="0.25">
      <c r="A1278" t="s">
        <v>10779</v>
      </c>
      <c r="B1278">
        <v>5.3120000000000003</v>
      </c>
      <c r="C1278" t="s">
        <v>10780</v>
      </c>
      <c r="D1278" t="s">
        <v>2056</v>
      </c>
      <c r="E1278" t="s">
        <v>10662</v>
      </c>
      <c r="F1278" t="s">
        <v>7672</v>
      </c>
      <c r="G1278" t="s">
        <v>10663</v>
      </c>
      <c r="H1278" t="s">
        <v>8515</v>
      </c>
      <c r="I1278" t="s">
        <v>10673</v>
      </c>
      <c r="J1278" t="s">
        <v>277</v>
      </c>
    </row>
    <row r="1279" spans="1:10" x14ac:dyDescent="0.25">
      <c r="A1279" t="s">
        <v>10781</v>
      </c>
      <c r="B1279">
        <v>5.3120000000000003</v>
      </c>
      <c r="C1279" t="s">
        <v>10782</v>
      </c>
      <c r="D1279" t="s">
        <v>2762</v>
      </c>
      <c r="E1279" t="s">
        <v>10662</v>
      </c>
      <c r="F1279" t="s">
        <v>7672</v>
      </c>
      <c r="G1279" t="s">
        <v>10663</v>
      </c>
      <c r="H1279" t="s">
        <v>8515</v>
      </c>
      <c r="I1279" t="s">
        <v>9245</v>
      </c>
      <c r="J1279" t="s">
        <v>277</v>
      </c>
    </row>
    <row r="1280" spans="1:10" x14ac:dyDescent="0.25">
      <c r="A1280" t="s">
        <v>10783</v>
      </c>
      <c r="B1280">
        <v>5.3120000000000003</v>
      </c>
      <c r="C1280" t="s">
        <v>10784</v>
      </c>
      <c r="D1280" t="s">
        <v>10785</v>
      </c>
      <c r="E1280" t="s">
        <v>10662</v>
      </c>
      <c r="F1280" t="s">
        <v>7672</v>
      </c>
      <c r="G1280" t="s">
        <v>10663</v>
      </c>
      <c r="H1280" t="s">
        <v>8515</v>
      </c>
      <c r="I1280" t="s">
        <v>1413</v>
      </c>
      <c r="J1280" t="s">
        <v>277</v>
      </c>
    </row>
    <row r="1281" spans="1:10" x14ac:dyDescent="0.25">
      <c r="A1281" t="s">
        <v>10786</v>
      </c>
      <c r="B1281">
        <v>5.3120000000000003</v>
      </c>
      <c r="C1281" t="s">
        <v>10787</v>
      </c>
      <c r="D1281" t="s">
        <v>8786</v>
      </c>
      <c r="E1281" t="s">
        <v>10662</v>
      </c>
      <c r="F1281" t="s">
        <v>7672</v>
      </c>
      <c r="G1281" t="s">
        <v>10663</v>
      </c>
      <c r="H1281" t="s">
        <v>8515</v>
      </c>
      <c r="I1281" t="s">
        <v>10673</v>
      </c>
      <c r="J1281" t="s">
        <v>277</v>
      </c>
    </row>
    <row r="1282" spans="1:10" x14ac:dyDescent="0.25">
      <c r="A1282" t="s">
        <v>10788</v>
      </c>
      <c r="B1282">
        <v>5.3120000000000003</v>
      </c>
      <c r="C1282" t="s">
        <v>10789</v>
      </c>
      <c r="D1282" t="s">
        <v>4924</v>
      </c>
      <c r="E1282" t="s">
        <v>10662</v>
      </c>
      <c r="F1282" t="s">
        <v>7672</v>
      </c>
      <c r="G1282" t="s">
        <v>10663</v>
      </c>
      <c r="H1282" t="s">
        <v>8515</v>
      </c>
      <c r="I1282" t="s">
        <v>10394</v>
      </c>
      <c r="J1282" t="s">
        <v>277</v>
      </c>
    </row>
    <row r="1283" spans="1:10" x14ac:dyDescent="0.25">
      <c r="A1283" t="s">
        <v>10790</v>
      </c>
      <c r="B1283">
        <v>5.3120000000000003</v>
      </c>
      <c r="C1283" t="s">
        <v>10791</v>
      </c>
      <c r="D1283" t="s">
        <v>4109</v>
      </c>
      <c r="E1283" t="s">
        <v>10662</v>
      </c>
      <c r="F1283" t="s">
        <v>7672</v>
      </c>
      <c r="G1283" t="s">
        <v>10663</v>
      </c>
      <c r="H1283" t="s">
        <v>8515</v>
      </c>
      <c r="I1283" t="s">
        <v>10664</v>
      </c>
      <c r="J1283" t="s">
        <v>277</v>
      </c>
    </row>
    <row r="1284" spans="1:10" x14ac:dyDescent="0.25">
      <c r="A1284" t="s">
        <v>10792</v>
      </c>
      <c r="B1284">
        <v>5.3120000000000003</v>
      </c>
      <c r="C1284" t="s">
        <v>10793</v>
      </c>
      <c r="D1284" t="s">
        <v>843</v>
      </c>
      <c r="E1284" t="s">
        <v>10662</v>
      </c>
      <c r="F1284" t="s">
        <v>7672</v>
      </c>
      <c r="G1284" t="s">
        <v>10663</v>
      </c>
      <c r="H1284" t="s">
        <v>8515</v>
      </c>
      <c r="I1284" t="s">
        <v>10394</v>
      </c>
      <c r="J1284" t="s">
        <v>277</v>
      </c>
    </row>
    <row r="1285" spans="1:10" x14ac:dyDescent="0.25">
      <c r="A1285" t="s">
        <v>10794</v>
      </c>
      <c r="B1285">
        <v>11.192</v>
      </c>
      <c r="C1285" t="s">
        <v>10795</v>
      </c>
      <c r="D1285" t="s">
        <v>2697</v>
      </c>
      <c r="E1285" t="s">
        <v>10796</v>
      </c>
      <c r="F1285" t="s">
        <v>7672</v>
      </c>
      <c r="G1285" t="s">
        <v>10797</v>
      </c>
      <c r="H1285" t="s">
        <v>9127</v>
      </c>
      <c r="I1285" t="s">
        <v>235</v>
      </c>
      <c r="J1285" t="s">
        <v>7942</v>
      </c>
    </row>
    <row r="1286" spans="1:10" x14ac:dyDescent="0.25">
      <c r="A1286" t="s">
        <v>10798</v>
      </c>
      <c r="B1286">
        <v>11.192</v>
      </c>
      <c r="C1286" t="s">
        <v>10799</v>
      </c>
      <c r="D1286" t="s">
        <v>582</v>
      </c>
      <c r="E1286" t="s">
        <v>10796</v>
      </c>
      <c r="F1286" t="s">
        <v>7672</v>
      </c>
      <c r="G1286" t="s">
        <v>10797</v>
      </c>
      <c r="H1286" t="s">
        <v>9127</v>
      </c>
      <c r="I1286" t="s">
        <v>1490</v>
      </c>
      <c r="J1286" t="s">
        <v>7942</v>
      </c>
    </row>
    <row r="1287" spans="1:10" x14ac:dyDescent="0.25">
      <c r="A1287" t="s">
        <v>10800</v>
      </c>
      <c r="B1287">
        <v>11.192</v>
      </c>
      <c r="C1287" t="s">
        <v>10801</v>
      </c>
      <c r="D1287" t="s">
        <v>359</v>
      </c>
      <c r="E1287" t="s">
        <v>10796</v>
      </c>
      <c r="F1287" t="s">
        <v>7672</v>
      </c>
      <c r="G1287" t="s">
        <v>10797</v>
      </c>
      <c r="H1287" t="s">
        <v>9127</v>
      </c>
      <c r="I1287" t="s">
        <v>10802</v>
      </c>
      <c r="J1287" t="s">
        <v>7942</v>
      </c>
    </row>
    <row r="1288" spans="1:10" x14ac:dyDescent="0.25">
      <c r="A1288" t="s">
        <v>10803</v>
      </c>
      <c r="B1288">
        <v>11.192</v>
      </c>
      <c r="C1288" t="s">
        <v>10804</v>
      </c>
      <c r="D1288" t="s">
        <v>705</v>
      </c>
      <c r="E1288" t="s">
        <v>10796</v>
      </c>
      <c r="F1288" t="s">
        <v>7672</v>
      </c>
      <c r="G1288" t="s">
        <v>10797</v>
      </c>
      <c r="H1288" t="s">
        <v>9127</v>
      </c>
      <c r="I1288" t="s">
        <v>1490</v>
      </c>
      <c r="J1288" t="s">
        <v>7981</v>
      </c>
    </row>
    <row r="1289" spans="1:10" x14ac:dyDescent="0.25">
      <c r="A1289" t="s">
        <v>10805</v>
      </c>
      <c r="B1289">
        <v>11.192</v>
      </c>
      <c r="C1289" t="s">
        <v>10806</v>
      </c>
      <c r="D1289" t="s">
        <v>698</v>
      </c>
      <c r="E1289" t="s">
        <v>10796</v>
      </c>
      <c r="F1289" t="s">
        <v>7672</v>
      </c>
      <c r="G1289" t="s">
        <v>10797</v>
      </c>
      <c r="H1289" t="s">
        <v>9127</v>
      </c>
      <c r="I1289" t="s">
        <v>10802</v>
      </c>
      <c r="J1289" t="s">
        <v>7981</v>
      </c>
    </row>
    <row r="1290" spans="1:10" x14ac:dyDescent="0.25">
      <c r="A1290" t="s">
        <v>10807</v>
      </c>
      <c r="B1290">
        <v>11.192</v>
      </c>
      <c r="C1290" t="s">
        <v>10808</v>
      </c>
      <c r="D1290" t="s">
        <v>199</v>
      </c>
      <c r="E1290" t="s">
        <v>10796</v>
      </c>
      <c r="F1290" t="s">
        <v>7672</v>
      </c>
      <c r="G1290" t="s">
        <v>10797</v>
      </c>
      <c r="H1290" t="s">
        <v>9127</v>
      </c>
      <c r="I1290" t="s">
        <v>235</v>
      </c>
      <c r="J1290" t="s">
        <v>7981</v>
      </c>
    </row>
    <row r="1291" spans="1:10" x14ac:dyDescent="0.25">
      <c r="A1291" t="s">
        <v>10809</v>
      </c>
      <c r="B1291">
        <v>11.192</v>
      </c>
      <c r="C1291" t="s">
        <v>10810</v>
      </c>
      <c r="D1291" t="s">
        <v>1822</v>
      </c>
      <c r="E1291" t="s">
        <v>10796</v>
      </c>
      <c r="F1291" t="s">
        <v>7672</v>
      </c>
      <c r="G1291" t="s">
        <v>10797</v>
      </c>
      <c r="H1291" t="s">
        <v>9127</v>
      </c>
      <c r="I1291" t="s">
        <v>10802</v>
      </c>
      <c r="J1291" t="s">
        <v>7984</v>
      </c>
    </row>
    <row r="1292" spans="1:10" x14ac:dyDescent="0.25">
      <c r="A1292" t="s">
        <v>10811</v>
      </c>
      <c r="B1292">
        <v>11.192</v>
      </c>
      <c r="C1292" t="s">
        <v>10812</v>
      </c>
      <c r="D1292" t="s">
        <v>234</v>
      </c>
      <c r="E1292" t="s">
        <v>10796</v>
      </c>
      <c r="F1292" t="s">
        <v>7672</v>
      </c>
      <c r="G1292" t="s">
        <v>10797</v>
      </c>
      <c r="H1292" t="s">
        <v>9127</v>
      </c>
      <c r="I1292" t="s">
        <v>1490</v>
      </c>
      <c r="J1292" t="s">
        <v>7984</v>
      </c>
    </row>
    <row r="1293" spans="1:10" x14ac:dyDescent="0.25">
      <c r="A1293" t="s">
        <v>10813</v>
      </c>
      <c r="B1293">
        <v>11.192</v>
      </c>
      <c r="C1293" t="s">
        <v>10814</v>
      </c>
      <c r="D1293" t="s">
        <v>301</v>
      </c>
      <c r="E1293" t="s">
        <v>10796</v>
      </c>
      <c r="F1293" t="s">
        <v>7672</v>
      </c>
      <c r="G1293" t="s">
        <v>10797</v>
      </c>
      <c r="H1293" t="s">
        <v>9127</v>
      </c>
      <c r="I1293" t="s">
        <v>10802</v>
      </c>
      <c r="J1293" t="s">
        <v>7987</v>
      </c>
    </row>
    <row r="1294" spans="1:10" x14ac:dyDescent="0.25">
      <c r="A1294" t="s">
        <v>10815</v>
      </c>
      <c r="B1294">
        <v>11.192</v>
      </c>
      <c r="C1294" t="s">
        <v>10816</v>
      </c>
      <c r="D1294" t="s">
        <v>164</v>
      </c>
      <c r="E1294" t="s">
        <v>10796</v>
      </c>
      <c r="F1294" t="s">
        <v>7672</v>
      </c>
      <c r="G1294" t="s">
        <v>10797</v>
      </c>
      <c r="H1294" t="s">
        <v>9127</v>
      </c>
      <c r="I1294" t="s">
        <v>10802</v>
      </c>
      <c r="J1294" t="s">
        <v>8001</v>
      </c>
    </row>
    <row r="1295" spans="1:10" x14ac:dyDescent="0.25">
      <c r="A1295" t="s">
        <v>10817</v>
      </c>
      <c r="B1295">
        <v>11.192</v>
      </c>
      <c r="C1295" t="s">
        <v>10818</v>
      </c>
      <c r="D1295" t="s">
        <v>106</v>
      </c>
      <c r="E1295" t="s">
        <v>10796</v>
      </c>
      <c r="F1295" t="s">
        <v>7672</v>
      </c>
      <c r="G1295" t="s">
        <v>10797</v>
      </c>
      <c r="H1295" t="s">
        <v>9127</v>
      </c>
      <c r="I1295" t="s">
        <v>10802</v>
      </c>
      <c r="J1295" t="s">
        <v>8013</v>
      </c>
    </row>
    <row r="1296" spans="1:10" x14ac:dyDescent="0.25">
      <c r="A1296" t="s">
        <v>2424</v>
      </c>
      <c r="B1296">
        <v>33.6</v>
      </c>
      <c r="C1296" t="s">
        <v>2426</v>
      </c>
      <c r="D1296" t="s">
        <v>88</v>
      </c>
      <c r="E1296" t="s">
        <v>2427</v>
      </c>
      <c r="F1296" t="s">
        <v>7672</v>
      </c>
      <c r="G1296" t="s">
        <v>10819</v>
      </c>
      <c r="H1296" t="s">
        <v>10820</v>
      </c>
      <c r="I1296" t="s">
        <v>10821</v>
      </c>
      <c r="J1296" t="s">
        <v>7675</v>
      </c>
    </row>
    <row r="1297" spans="1:10" x14ac:dyDescent="0.25">
      <c r="A1297" t="s">
        <v>2431</v>
      </c>
      <c r="B1297">
        <v>33.6</v>
      </c>
      <c r="C1297" t="s">
        <v>2433</v>
      </c>
      <c r="D1297" t="s">
        <v>88</v>
      </c>
      <c r="E1297" t="s">
        <v>2427</v>
      </c>
      <c r="F1297" t="s">
        <v>7672</v>
      </c>
      <c r="G1297" t="s">
        <v>10819</v>
      </c>
      <c r="H1297" t="s">
        <v>10820</v>
      </c>
      <c r="I1297" t="s">
        <v>10822</v>
      </c>
      <c r="J1297" t="s">
        <v>7675</v>
      </c>
    </row>
    <row r="1298" spans="1:10" x14ac:dyDescent="0.25">
      <c r="A1298" t="s">
        <v>2440</v>
      </c>
      <c r="B1298">
        <v>33.6</v>
      </c>
      <c r="C1298" t="s">
        <v>2442</v>
      </c>
      <c r="D1298" t="s">
        <v>2444</v>
      </c>
      <c r="E1298" t="s">
        <v>2427</v>
      </c>
      <c r="F1298" t="s">
        <v>7672</v>
      </c>
      <c r="G1298" t="s">
        <v>10819</v>
      </c>
      <c r="H1298" t="s">
        <v>10820</v>
      </c>
      <c r="I1298" t="s">
        <v>10821</v>
      </c>
      <c r="J1298" t="s">
        <v>7686</v>
      </c>
    </row>
    <row r="1299" spans="1:10" x14ac:dyDescent="0.25">
      <c r="A1299" t="s">
        <v>2448</v>
      </c>
      <c r="B1299">
        <v>33.6</v>
      </c>
      <c r="C1299" t="s">
        <v>2450</v>
      </c>
      <c r="D1299" t="s">
        <v>2452</v>
      </c>
      <c r="E1299" t="s">
        <v>2427</v>
      </c>
      <c r="F1299" t="s">
        <v>7672</v>
      </c>
      <c r="G1299" t="s">
        <v>10819</v>
      </c>
      <c r="H1299" t="s">
        <v>10820</v>
      </c>
      <c r="I1299" t="s">
        <v>10822</v>
      </c>
      <c r="J1299" t="s">
        <v>7686</v>
      </c>
    </row>
    <row r="1300" spans="1:10" x14ac:dyDescent="0.25">
      <c r="A1300" t="s">
        <v>10823</v>
      </c>
      <c r="B1300">
        <v>32</v>
      </c>
      <c r="C1300" t="s">
        <v>10824</v>
      </c>
      <c r="D1300" t="s">
        <v>2072</v>
      </c>
      <c r="E1300" t="s">
        <v>2427</v>
      </c>
      <c r="F1300" t="s">
        <v>7672</v>
      </c>
      <c r="G1300" t="s">
        <v>10819</v>
      </c>
      <c r="H1300" t="s">
        <v>10820</v>
      </c>
      <c r="I1300" t="s">
        <v>10825</v>
      </c>
      <c r="J1300" t="s">
        <v>7686</v>
      </c>
    </row>
    <row r="1301" spans="1:10" x14ac:dyDescent="0.25">
      <c r="A1301" t="s">
        <v>2455</v>
      </c>
      <c r="B1301">
        <v>33.6</v>
      </c>
      <c r="C1301" t="s">
        <v>2457</v>
      </c>
      <c r="D1301" t="s">
        <v>2459</v>
      </c>
      <c r="E1301" t="s">
        <v>2427</v>
      </c>
      <c r="F1301" t="s">
        <v>7672</v>
      </c>
      <c r="G1301" t="s">
        <v>10819</v>
      </c>
      <c r="H1301" t="s">
        <v>10820</v>
      </c>
      <c r="I1301" t="s">
        <v>10821</v>
      </c>
      <c r="J1301" t="s">
        <v>7703</v>
      </c>
    </row>
    <row r="1302" spans="1:10" x14ac:dyDescent="0.25">
      <c r="A1302" t="s">
        <v>2462</v>
      </c>
      <c r="B1302">
        <v>33.6</v>
      </c>
      <c r="C1302" t="s">
        <v>2464</v>
      </c>
      <c r="D1302" t="s">
        <v>2466</v>
      </c>
      <c r="E1302" t="s">
        <v>2427</v>
      </c>
      <c r="F1302" t="s">
        <v>7672</v>
      </c>
      <c r="G1302" t="s">
        <v>10819</v>
      </c>
      <c r="H1302" t="s">
        <v>10820</v>
      </c>
      <c r="I1302" t="s">
        <v>10822</v>
      </c>
      <c r="J1302" t="s">
        <v>7703</v>
      </c>
    </row>
    <row r="1303" spans="1:10" x14ac:dyDescent="0.25">
      <c r="A1303" t="s">
        <v>10826</v>
      </c>
      <c r="B1303">
        <v>32</v>
      </c>
      <c r="C1303" t="s">
        <v>10827</v>
      </c>
      <c r="D1303" t="s">
        <v>359</v>
      </c>
      <c r="E1303" t="s">
        <v>2427</v>
      </c>
      <c r="F1303" t="s">
        <v>7672</v>
      </c>
      <c r="G1303" t="s">
        <v>10819</v>
      </c>
      <c r="H1303" t="s">
        <v>10820</v>
      </c>
      <c r="I1303" t="s">
        <v>10825</v>
      </c>
      <c r="J1303" t="s">
        <v>7703</v>
      </c>
    </row>
    <row r="1304" spans="1:10" x14ac:dyDescent="0.25">
      <c r="A1304" t="s">
        <v>2469</v>
      </c>
      <c r="B1304">
        <v>33.6</v>
      </c>
      <c r="C1304" t="s">
        <v>2471</v>
      </c>
      <c r="D1304" t="s">
        <v>2473</v>
      </c>
      <c r="E1304" t="s">
        <v>2427</v>
      </c>
      <c r="F1304" t="s">
        <v>7672</v>
      </c>
      <c r="G1304" t="s">
        <v>10819</v>
      </c>
      <c r="H1304" t="s">
        <v>10820</v>
      </c>
      <c r="I1304" t="s">
        <v>10821</v>
      </c>
      <c r="J1304" t="s">
        <v>7713</v>
      </c>
    </row>
    <row r="1305" spans="1:10" x14ac:dyDescent="0.25">
      <c r="A1305" t="s">
        <v>2476</v>
      </c>
      <c r="B1305">
        <v>33.6</v>
      </c>
      <c r="C1305" t="s">
        <v>2478</v>
      </c>
      <c r="D1305" t="s">
        <v>2480</v>
      </c>
      <c r="E1305" t="s">
        <v>2427</v>
      </c>
      <c r="F1305" t="s">
        <v>7672</v>
      </c>
      <c r="G1305" t="s">
        <v>10819</v>
      </c>
      <c r="H1305" t="s">
        <v>10820</v>
      </c>
      <c r="I1305" t="s">
        <v>10822</v>
      </c>
      <c r="J1305" t="s">
        <v>7713</v>
      </c>
    </row>
    <row r="1306" spans="1:10" x14ac:dyDescent="0.25">
      <c r="A1306" t="s">
        <v>10828</v>
      </c>
      <c r="B1306">
        <v>32</v>
      </c>
      <c r="C1306" t="s">
        <v>10829</v>
      </c>
      <c r="D1306" t="s">
        <v>53</v>
      </c>
      <c r="E1306" t="s">
        <v>2427</v>
      </c>
      <c r="F1306" t="s">
        <v>7672</v>
      </c>
      <c r="G1306" t="s">
        <v>10819</v>
      </c>
      <c r="H1306" t="s">
        <v>10820</v>
      </c>
      <c r="I1306" t="s">
        <v>10825</v>
      </c>
      <c r="J1306" t="s">
        <v>7713</v>
      </c>
    </row>
    <row r="1307" spans="1:10" x14ac:dyDescent="0.25">
      <c r="A1307" t="s">
        <v>10830</v>
      </c>
      <c r="B1307">
        <v>35.200000000000003</v>
      </c>
      <c r="C1307" t="s">
        <v>10831</v>
      </c>
      <c r="D1307" t="s">
        <v>60</v>
      </c>
      <c r="E1307" t="s">
        <v>2427</v>
      </c>
      <c r="F1307" t="s">
        <v>7672</v>
      </c>
      <c r="G1307" t="s">
        <v>10819</v>
      </c>
      <c r="H1307" t="s">
        <v>10820</v>
      </c>
      <c r="I1307" t="s">
        <v>10821</v>
      </c>
      <c r="J1307" t="s">
        <v>7719</v>
      </c>
    </row>
    <row r="1308" spans="1:10" x14ac:dyDescent="0.25">
      <c r="A1308" t="s">
        <v>10832</v>
      </c>
      <c r="B1308">
        <v>6.7200000000000006</v>
      </c>
      <c r="C1308" t="s">
        <v>10833</v>
      </c>
      <c r="D1308" t="s">
        <v>60</v>
      </c>
      <c r="E1308" t="s">
        <v>2427</v>
      </c>
      <c r="F1308" t="s">
        <v>7672</v>
      </c>
      <c r="G1308" t="s">
        <v>10819</v>
      </c>
      <c r="H1308" t="s">
        <v>10820</v>
      </c>
      <c r="I1308" t="s">
        <v>10822</v>
      </c>
      <c r="J1308" t="s">
        <v>7719</v>
      </c>
    </row>
    <row r="1309" spans="1:10" x14ac:dyDescent="0.25">
      <c r="A1309" t="s">
        <v>10834</v>
      </c>
      <c r="B1309">
        <v>35.200000000000003</v>
      </c>
      <c r="C1309" t="s">
        <v>10835</v>
      </c>
      <c r="D1309" t="s">
        <v>53</v>
      </c>
      <c r="E1309" t="s">
        <v>2427</v>
      </c>
      <c r="F1309" t="s">
        <v>7672</v>
      </c>
      <c r="G1309" t="s">
        <v>10819</v>
      </c>
      <c r="H1309" t="s">
        <v>10820</v>
      </c>
      <c r="I1309" t="s">
        <v>10825</v>
      </c>
      <c r="J1309" t="s">
        <v>7719</v>
      </c>
    </row>
    <row r="1310" spans="1:10" x14ac:dyDescent="0.25">
      <c r="A1310" t="s">
        <v>10836</v>
      </c>
      <c r="B1310">
        <v>10.08</v>
      </c>
      <c r="C1310" t="s">
        <v>10837</v>
      </c>
      <c r="D1310" t="s">
        <v>359</v>
      </c>
      <c r="E1310" t="s">
        <v>10838</v>
      </c>
      <c r="F1310" t="s">
        <v>7672</v>
      </c>
      <c r="G1310" t="s">
        <v>10839</v>
      </c>
      <c r="H1310" t="s">
        <v>7674</v>
      </c>
      <c r="I1310" t="s">
        <v>10840</v>
      </c>
      <c r="J1310" t="s">
        <v>7987</v>
      </c>
    </row>
    <row r="1311" spans="1:10" x14ac:dyDescent="0.25">
      <c r="A1311" t="s">
        <v>10841</v>
      </c>
      <c r="B1311">
        <v>10.08</v>
      </c>
      <c r="C1311" t="s">
        <v>10842</v>
      </c>
      <c r="D1311" t="s">
        <v>240</v>
      </c>
      <c r="E1311" t="s">
        <v>10838</v>
      </c>
      <c r="F1311" t="s">
        <v>7672</v>
      </c>
      <c r="G1311" t="s">
        <v>10839</v>
      </c>
      <c r="H1311" t="s">
        <v>7674</v>
      </c>
      <c r="I1311" t="s">
        <v>10843</v>
      </c>
      <c r="J1311" t="s">
        <v>7987</v>
      </c>
    </row>
    <row r="1312" spans="1:10" x14ac:dyDescent="0.25">
      <c r="A1312" t="s">
        <v>10844</v>
      </c>
      <c r="B1312">
        <v>10.08</v>
      </c>
      <c r="C1312" t="s">
        <v>10845</v>
      </c>
      <c r="D1312" t="s">
        <v>2243</v>
      </c>
      <c r="E1312" t="s">
        <v>10838</v>
      </c>
      <c r="F1312" t="s">
        <v>7672</v>
      </c>
      <c r="G1312" t="s">
        <v>10839</v>
      </c>
      <c r="H1312" t="s">
        <v>7674</v>
      </c>
      <c r="I1312" t="s">
        <v>10840</v>
      </c>
      <c r="J1312" t="s">
        <v>8001</v>
      </c>
    </row>
    <row r="1313" spans="1:10" x14ac:dyDescent="0.25">
      <c r="A1313" t="s">
        <v>10846</v>
      </c>
      <c r="B1313">
        <v>10.08</v>
      </c>
      <c r="C1313" t="s">
        <v>10847</v>
      </c>
      <c r="D1313" t="s">
        <v>2879</v>
      </c>
      <c r="E1313" t="s">
        <v>10838</v>
      </c>
      <c r="F1313" t="s">
        <v>7672</v>
      </c>
      <c r="G1313" t="s">
        <v>10839</v>
      </c>
      <c r="H1313" t="s">
        <v>7674</v>
      </c>
      <c r="I1313" t="s">
        <v>10848</v>
      </c>
      <c r="J1313" t="s">
        <v>8001</v>
      </c>
    </row>
    <row r="1314" spans="1:10" x14ac:dyDescent="0.25">
      <c r="A1314" t="s">
        <v>10849</v>
      </c>
      <c r="B1314">
        <v>10.08</v>
      </c>
      <c r="C1314" t="s">
        <v>10850</v>
      </c>
      <c r="D1314" t="s">
        <v>3258</v>
      </c>
      <c r="E1314" t="s">
        <v>10838</v>
      </c>
      <c r="F1314" t="s">
        <v>7672</v>
      </c>
      <c r="G1314" t="s">
        <v>10839</v>
      </c>
      <c r="H1314" t="s">
        <v>7674</v>
      </c>
      <c r="I1314" t="s">
        <v>10843</v>
      </c>
      <c r="J1314" t="s">
        <v>8001</v>
      </c>
    </row>
    <row r="1315" spans="1:10" x14ac:dyDescent="0.25">
      <c r="A1315" t="s">
        <v>10851</v>
      </c>
      <c r="B1315">
        <v>10.08</v>
      </c>
      <c r="C1315" t="s">
        <v>10852</v>
      </c>
      <c r="D1315" t="s">
        <v>366</v>
      </c>
      <c r="E1315" t="s">
        <v>10838</v>
      </c>
      <c r="F1315" t="s">
        <v>7672</v>
      </c>
      <c r="G1315" t="s">
        <v>10839</v>
      </c>
      <c r="H1315" t="s">
        <v>7674</v>
      </c>
      <c r="I1315" t="s">
        <v>10848</v>
      </c>
      <c r="J1315" t="s">
        <v>8013</v>
      </c>
    </row>
    <row r="1316" spans="1:10" x14ac:dyDescent="0.25">
      <c r="A1316" t="s">
        <v>10853</v>
      </c>
      <c r="B1316">
        <v>10.08</v>
      </c>
      <c r="C1316" t="s">
        <v>10854</v>
      </c>
      <c r="D1316" t="s">
        <v>396</v>
      </c>
      <c r="E1316" t="s">
        <v>10838</v>
      </c>
      <c r="F1316" t="s">
        <v>7672</v>
      </c>
      <c r="G1316" t="s">
        <v>10839</v>
      </c>
      <c r="H1316" t="s">
        <v>7674</v>
      </c>
      <c r="I1316" t="s">
        <v>10840</v>
      </c>
      <c r="J1316" t="s">
        <v>8013</v>
      </c>
    </row>
    <row r="1317" spans="1:10" x14ac:dyDescent="0.25">
      <c r="A1317" t="s">
        <v>10855</v>
      </c>
      <c r="B1317">
        <v>10.08</v>
      </c>
      <c r="C1317" t="s">
        <v>10856</v>
      </c>
      <c r="D1317" t="s">
        <v>352</v>
      </c>
      <c r="E1317" t="s">
        <v>10838</v>
      </c>
      <c r="F1317" t="s">
        <v>7672</v>
      </c>
      <c r="G1317" t="s">
        <v>10839</v>
      </c>
      <c r="H1317" t="s">
        <v>7674</v>
      </c>
      <c r="I1317" t="s">
        <v>10843</v>
      </c>
      <c r="J1317" t="s">
        <v>8013</v>
      </c>
    </row>
    <row r="1318" spans="1:10" x14ac:dyDescent="0.25">
      <c r="A1318" t="s">
        <v>10857</v>
      </c>
      <c r="B1318">
        <v>7</v>
      </c>
      <c r="C1318" t="s">
        <v>10858</v>
      </c>
      <c r="D1318" t="s">
        <v>8421</v>
      </c>
      <c r="E1318" t="s">
        <v>2486</v>
      </c>
      <c r="F1318" t="s">
        <v>7672</v>
      </c>
      <c r="G1318" t="s">
        <v>10859</v>
      </c>
      <c r="H1318" t="s">
        <v>7947</v>
      </c>
      <c r="I1318" t="s">
        <v>1243</v>
      </c>
      <c r="J1318" t="s">
        <v>9423</v>
      </c>
    </row>
    <row r="1319" spans="1:10" x14ac:dyDescent="0.25">
      <c r="A1319" t="s">
        <v>2483</v>
      </c>
      <c r="B1319">
        <v>7</v>
      </c>
      <c r="C1319" t="s">
        <v>2485</v>
      </c>
      <c r="D1319" t="s">
        <v>2488</v>
      </c>
      <c r="E1319" t="s">
        <v>2486</v>
      </c>
      <c r="F1319" t="s">
        <v>7672</v>
      </c>
      <c r="G1319" t="s">
        <v>10859</v>
      </c>
      <c r="H1319" t="s">
        <v>7947</v>
      </c>
      <c r="I1319" t="s">
        <v>1243</v>
      </c>
      <c r="J1319" t="s">
        <v>9426</v>
      </c>
    </row>
    <row r="1320" spans="1:10" x14ac:dyDescent="0.25">
      <c r="A1320" t="s">
        <v>10860</v>
      </c>
      <c r="B1320">
        <v>7</v>
      </c>
      <c r="C1320" t="s">
        <v>10861</v>
      </c>
      <c r="D1320" t="s">
        <v>1097</v>
      </c>
      <c r="E1320" t="s">
        <v>2486</v>
      </c>
      <c r="F1320" t="s">
        <v>7672</v>
      </c>
      <c r="G1320" t="s">
        <v>10859</v>
      </c>
      <c r="H1320" t="s">
        <v>7947</v>
      </c>
      <c r="I1320" t="s">
        <v>1243</v>
      </c>
      <c r="J1320" t="s">
        <v>10862</v>
      </c>
    </row>
    <row r="1321" spans="1:10" x14ac:dyDescent="0.25">
      <c r="A1321" t="s">
        <v>10863</v>
      </c>
      <c r="B1321">
        <v>7.1920000000000002</v>
      </c>
      <c r="C1321" t="s">
        <v>10864</v>
      </c>
      <c r="D1321" t="s">
        <v>659</v>
      </c>
      <c r="E1321" t="s">
        <v>10865</v>
      </c>
      <c r="F1321" t="s">
        <v>7672</v>
      </c>
      <c r="G1321" t="s">
        <v>10866</v>
      </c>
      <c r="H1321" t="s">
        <v>7674</v>
      </c>
      <c r="I1321" t="s">
        <v>10822</v>
      </c>
      <c r="J1321" t="s">
        <v>8293</v>
      </c>
    </row>
    <row r="1322" spans="1:10" x14ac:dyDescent="0.25">
      <c r="A1322" t="s">
        <v>10867</v>
      </c>
      <c r="B1322">
        <v>7.1920000000000002</v>
      </c>
      <c r="C1322" t="s">
        <v>10868</v>
      </c>
      <c r="D1322" t="s">
        <v>4100</v>
      </c>
      <c r="E1322" t="s">
        <v>10865</v>
      </c>
      <c r="F1322" t="s">
        <v>7672</v>
      </c>
      <c r="G1322" t="s">
        <v>10866</v>
      </c>
      <c r="H1322" t="s">
        <v>7674</v>
      </c>
      <c r="I1322" t="s">
        <v>10869</v>
      </c>
      <c r="J1322" t="s">
        <v>8293</v>
      </c>
    </row>
    <row r="1323" spans="1:10" x14ac:dyDescent="0.25">
      <c r="A1323" t="s">
        <v>10870</v>
      </c>
      <c r="B1323">
        <v>7.1920000000000002</v>
      </c>
      <c r="C1323" t="s">
        <v>10871</v>
      </c>
      <c r="D1323" t="s">
        <v>10872</v>
      </c>
      <c r="E1323" t="s">
        <v>10865</v>
      </c>
      <c r="F1323" t="s">
        <v>7672</v>
      </c>
      <c r="G1323" t="s">
        <v>10866</v>
      </c>
      <c r="H1323" t="s">
        <v>7674</v>
      </c>
      <c r="I1323" t="s">
        <v>10869</v>
      </c>
      <c r="J1323" t="s">
        <v>9023</v>
      </c>
    </row>
    <row r="1324" spans="1:10" x14ac:dyDescent="0.25">
      <c r="A1324" t="s">
        <v>10873</v>
      </c>
      <c r="B1324">
        <v>7.1920000000000002</v>
      </c>
      <c r="C1324" t="s">
        <v>10874</v>
      </c>
      <c r="D1324" t="s">
        <v>10875</v>
      </c>
      <c r="E1324" t="s">
        <v>10865</v>
      </c>
      <c r="F1324" t="s">
        <v>7672</v>
      </c>
      <c r="G1324" t="s">
        <v>10866</v>
      </c>
      <c r="H1324" t="s">
        <v>7674</v>
      </c>
      <c r="I1324" t="s">
        <v>2719</v>
      </c>
      <c r="J1324" t="s">
        <v>9023</v>
      </c>
    </row>
    <row r="1325" spans="1:10" x14ac:dyDescent="0.25">
      <c r="A1325" t="s">
        <v>10876</v>
      </c>
      <c r="B1325">
        <v>7.1920000000000002</v>
      </c>
      <c r="C1325" t="s">
        <v>10877</v>
      </c>
      <c r="D1325" t="s">
        <v>10878</v>
      </c>
      <c r="E1325" t="s">
        <v>10865</v>
      </c>
      <c r="F1325" t="s">
        <v>7672</v>
      </c>
      <c r="G1325" t="s">
        <v>10866</v>
      </c>
      <c r="H1325" t="s">
        <v>7674</v>
      </c>
      <c r="I1325" t="s">
        <v>10822</v>
      </c>
      <c r="J1325" t="s">
        <v>9023</v>
      </c>
    </row>
    <row r="1326" spans="1:10" x14ac:dyDescent="0.25">
      <c r="A1326" t="s">
        <v>10879</v>
      </c>
      <c r="B1326">
        <v>7.1920000000000002</v>
      </c>
      <c r="C1326" t="s">
        <v>10880</v>
      </c>
      <c r="D1326" t="s">
        <v>10881</v>
      </c>
      <c r="E1326" t="s">
        <v>10865</v>
      </c>
      <c r="F1326" t="s">
        <v>7672</v>
      </c>
      <c r="G1326" t="s">
        <v>10866</v>
      </c>
      <c r="H1326" t="s">
        <v>7674</v>
      </c>
      <c r="I1326" t="s">
        <v>10882</v>
      </c>
      <c r="J1326" t="s">
        <v>9023</v>
      </c>
    </row>
    <row r="1327" spans="1:10" x14ac:dyDescent="0.25">
      <c r="A1327" t="s">
        <v>10883</v>
      </c>
      <c r="B1327">
        <v>7.1920000000000002</v>
      </c>
      <c r="C1327" t="s">
        <v>10884</v>
      </c>
      <c r="D1327" t="s">
        <v>8054</v>
      </c>
      <c r="E1327" t="s">
        <v>10865</v>
      </c>
      <c r="F1327" t="s">
        <v>7672</v>
      </c>
      <c r="G1327" t="s">
        <v>10866</v>
      </c>
      <c r="H1327" t="s">
        <v>7674</v>
      </c>
      <c r="I1327" t="s">
        <v>10869</v>
      </c>
      <c r="J1327" t="s">
        <v>8883</v>
      </c>
    </row>
    <row r="1328" spans="1:10" x14ac:dyDescent="0.25">
      <c r="A1328" t="s">
        <v>10885</v>
      </c>
      <c r="B1328">
        <v>7.1920000000000002</v>
      </c>
      <c r="C1328" t="s">
        <v>10886</v>
      </c>
      <c r="D1328" t="s">
        <v>9161</v>
      </c>
      <c r="E1328" t="s">
        <v>10865</v>
      </c>
      <c r="F1328" t="s">
        <v>7672</v>
      </c>
      <c r="G1328" t="s">
        <v>10866</v>
      </c>
      <c r="H1328" t="s">
        <v>7674</v>
      </c>
      <c r="I1328" t="s">
        <v>2719</v>
      </c>
      <c r="J1328" t="s">
        <v>8883</v>
      </c>
    </row>
    <row r="1329" spans="1:10" x14ac:dyDescent="0.25">
      <c r="A1329" t="s">
        <v>10887</v>
      </c>
      <c r="B1329">
        <v>7.1920000000000002</v>
      </c>
      <c r="C1329" t="s">
        <v>10888</v>
      </c>
      <c r="D1329" t="s">
        <v>10889</v>
      </c>
      <c r="E1329" t="s">
        <v>10865</v>
      </c>
      <c r="F1329" t="s">
        <v>7672</v>
      </c>
      <c r="G1329" t="s">
        <v>10866</v>
      </c>
      <c r="H1329" t="s">
        <v>7674</v>
      </c>
      <c r="I1329" t="s">
        <v>10882</v>
      </c>
      <c r="J1329" t="s">
        <v>8883</v>
      </c>
    </row>
    <row r="1330" spans="1:10" x14ac:dyDescent="0.25">
      <c r="A1330" t="s">
        <v>10890</v>
      </c>
      <c r="B1330">
        <v>7.1920000000000002</v>
      </c>
      <c r="C1330" t="s">
        <v>10891</v>
      </c>
      <c r="D1330" t="s">
        <v>10892</v>
      </c>
      <c r="E1330" t="s">
        <v>10865</v>
      </c>
      <c r="F1330" t="s">
        <v>7672</v>
      </c>
      <c r="G1330" t="s">
        <v>10866</v>
      </c>
      <c r="H1330" t="s">
        <v>7674</v>
      </c>
      <c r="I1330" t="s">
        <v>10822</v>
      </c>
      <c r="J1330" t="s">
        <v>8883</v>
      </c>
    </row>
    <row r="1331" spans="1:10" x14ac:dyDescent="0.25">
      <c r="A1331" t="s">
        <v>10893</v>
      </c>
      <c r="B1331">
        <v>7.1920000000000002</v>
      </c>
      <c r="C1331" t="s">
        <v>10894</v>
      </c>
      <c r="D1331" t="s">
        <v>10895</v>
      </c>
      <c r="E1331" t="s">
        <v>10865</v>
      </c>
      <c r="F1331" t="s">
        <v>7672</v>
      </c>
      <c r="G1331" t="s">
        <v>10866</v>
      </c>
      <c r="H1331" t="s">
        <v>7674</v>
      </c>
      <c r="I1331" t="s">
        <v>10869</v>
      </c>
      <c r="J1331" t="s">
        <v>8885</v>
      </c>
    </row>
    <row r="1332" spans="1:10" x14ac:dyDescent="0.25">
      <c r="A1332" t="s">
        <v>10896</v>
      </c>
      <c r="B1332">
        <v>7.1920000000000002</v>
      </c>
      <c r="C1332" t="s">
        <v>10897</v>
      </c>
      <c r="D1332" t="s">
        <v>10898</v>
      </c>
      <c r="E1332" t="s">
        <v>10865</v>
      </c>
      <c r="F1332" t="s">
        <v>7672</v>
      </c>
      <c r="G1332" t="s">
        <v>10866</v>
      </c>
      <c r="H1332" t="s">
        <v>7674</v>
      </c>
      <c r="I1332" t="s">
        <v>10882</v>
      </c>
      <c r="J1332" t="s">
        <v>8885</v>
      </c>
    </row>
    <row r="1333" spans="1:10" x14ac:dyDescent="0.25">
      <c r="A1333" t="s">
        <v>10899</v>
      </c>
      <c r="B1333">
        <v>7.1920000000000002</v>
      </c>
      <c r="C1333" t="s">
        <v>10900</v>
      </c>
      <c r="D1333" t="s">
        <v>10901</v>
      </c>
      <c r="E1333" t="s">
        <v>10865</v>
      </c>
      <c r="F1333" t="s">
        <v>7672</v>
      </c>
      <c r="G1333" t="s">
        <v>10866</v>
      </c>
      <c r="H1333" t="s">
        <v>7674</v>
      </c>
      <c r="I1333" t="s">
        <v>10822</v>
      </c>
      <c r="J1333" t="s">
        <v>8885</v>
      </c>
    </row>
    <row r="1334" spans="1:10" x14ac:dyDescent="0.25">
      <c r="A1334" t="s">
        <v>10902</v>
      </c>
      <c r="B1334">
        <v>7.1920000000000002</v>
      </c>
      <c r="C1334" t="s">
        <v>10903</v>
      </c>
      <c r="D1334" t="s">
        <v>10904</v>
      </c>
      <c r="E1334" t="s">
        <v>10865</v>
      </c>
      <c r="F1334" t="s">
        <v>7672</v>
      </c>
      <c r="G1334" t="s">
        <v>10866</v>
      </c>
      <c r="H1334" t="s">
        <v>7674</v>
      </c>
      <c r="I1334" t="s">
        <v>2719</v>
      </c>
      <c r="J1334" t="s">
        <v>8885</v>
      </c>
    </row>
    <row r="1335" spans="1:10" x14ac:dyDescent="0.25">
      <c r="A1335" t="s">
        <v>10905</v>
      </c>
      <c r="B1335">
        <v>7.1920000000000002</v>
      </c>
      <c r="C1335" t="s">
        <v>10906</v>
      </c>
      <c r="D1335" t="s">
        <v>10907</v>
      </c>
      <c r="E1335" t="s">
        <v>10865</v>
      </c>
      <c r="F1335" t="s">
        <v>7672</v>
      </c>
      <c r="G1335" t="s">
        <v>10866</v>
      </c>
      <c r="H1335" t="s">
        <v>7674</v>
      </c>
      <c r="I1335" t="s">
        <v>10869</v>
      </c>
      <c r="J1335" t="s">
        <v>10908</v>
      </c>
    </row>
    <row r="1336" spans="1:10" x14ac:dyDescent="0.25">
      <c r="A1336" t="s">
        <v>10909</v>
      </c>
      <c r="B1336">
        <v>7.1920000000000002</v>
      </c>
      <c r="C1336" t="s">
        <v>10910</v>
      </c>
      <c r="D1336" t="s">
        <v>3879</v>
      </c>
      <c r="E1336" t="s">
        <v>10865</v>
      </c>
      <c r="F1336" t="s">
        <v>7672</v>
      </c>
      <c r="G1336" t="s">
        <v>10866</v>
      </c>
      <c r="H1336" t="s">
        <v>7674</v>
      </c>
      <c r="I1336" t="s">
        <v>10822</v>
      </c>
      <c r="J1336" t="s">
        <v>10908</v>
      </c>
    </row>
    <row r="1337" spans="1:10" x14ac:dyDescent="0.25">
      <c r="A1337" t="s">
        <v>10911</v>
      </c>
      <c r="B1337">
        <v>7.1920000000000002</v>
      </c>
      <c r="C1337" t="s">
        <v>10912</v>
      </c>
      <c r="D1337" t="s">
        <v>6480</v>
      </c>
      <c r="E1337" t="s">
        <v>10865</v>
      </c>
      <c r="F1337" t="s">
        <v>7672</v>
      </c>
      <c r="G1337" t="s">
        <v>10866</v>
      </c>
      <c r="H1337" t="s">
        <v>7674</v>
      </c>
      <c r="I1337" t="s">
        <v>2719</v>
      </c>
      <c r="J1337" t="s">
        <v>10908</v>
      </c>
    </row>
    <row r="1338" spans="1:10" x14ac:dyDescent="0.25">
      <c r="A1338" t="s">
        <v>10913</v>
      </c>
      <c r="B1338">
        <v>7.1920000000000002</v>
      </c>
      <c r="C1338" t="s">
        <v>10914</v>
      </c>
      <c r="D1338" t="s">
        <v>742</v>
      </c>
      <c r="E1338" t="s">
        <v>10865</v>
      </c>
      <c r="F1338" t="s">
        <v>7672</v>
      </c>
      <c r="G1338" t="s">
        <v>10866</v>
      </c>
      <c r="H1338" t="s">
        <v>7674</v>
      </c>
      <c r="I1338" t="s">
        <v>10882</v>
      </c>
      <c r="J1338" t="s">
        <v>10908</v>
      </c>
    </row>
    <row r="1339" spans="1:10" x14ac:dyDescent="0.25">
      <c r="A1339" t="s">
        <v>10915</v>
      </c>
      <c r="B1339">
        <v>7.1920000000000002</v>
      </c>
      <c r="C1339" t="s">
        <v>10916</v>
      </c>
      <c r="D1339" t="s">
        <v>10917</v>
      </c>
      <c r="E1339" t="s">
        <v>10865</v>
      </c>
      <c r="F1339" t="s">
        <v>7672</v>
      </c>
      <c r="G1339" t="s">
        <v>10866</v>
      </c>
      <c r="H1339" t="s">
        <v>7674</v>
      </c>
      <c r="I1339" t="s">
        <v>10869</v>
      </c>
      <c r="J1339" t="s">
        <v>10918</v>
      </c>
    </row>
    <row r="1340" spans="1:10" x14ac:dyDescent="0.25">
      <c r="A1340" t="s">
        <v>10919</v>
      </c>
      <c r="B1340">
        <v>7.1920000000000002</v>
      </c>
      <c r="C1340" t="s">
        <v>10920</v>
      </c>
      <c r="D1340" t="s">
        <v>9503</v>
      </c>
      <c r="E1340" t="s">
        <v>10865</v>
      </c>
      <c r="F1340" t="s">
        <v>7672</v>
      </c>
      <c r="G1340" t="s">
        <v>10866</v>
      </c>
      <c r="H1340" t="s">
        <v>7674</v>
      </c>
      <c r="I1340" t="s">
        <v>10882</v>
      </c>
      <c r="J1340" t="s">
        <v>10918</v>
      </c>
    </row>
    <row r="1341" spans="1:10" x14ac:dyDescent="0.25">
      <c r="A1341" t="s">
        <v>10921</v>
      </c>
      <c r="B1341">
        <v>7.1920000000000002</v>
      </c>
      <c r="C1341" t="s">
        <v>10922</v>
      </c>
      <c r="D1341" t="s">
        <v>10923</v>
      </c>
      <c r="E1341" t="s">
        <v>10865</v>
      </c>
      <c r="F1341" t="s">
        <v>7672</v>
      </c>
      <c r="G1341" t="s">
        <v>10866</v>
      </c>
      <c r="H1341" t="s">
        <v>7674</v>
      </c>
      <c r="I1341" t="s">
        <v>10822</v>
      </c>
      <c r="J1341" t="s">
        <v>10918</v>
      </c>
    </row>
    <row r="1342" spans="1:10" x14ac:dyDescent="0.25">
      <c r="A1342" t="s">
        <v>10924</v>
      </c>
      <c r="B1342">
        <v>7.1920000000000002</v>
      </c>
      <c r="C1342" t="s">
        <v>10925</v>
      </c>
      <c r="D1342" t="s">
        <v>3944</v>
      </c>
      <c r="E1342" t="s">
        <v>10865</v>
      </c>
      <c r="F1342" t="s">
        <v>7672</v>
      </c>
      <c r="G1342" t="s">
        <v>10866</v>
      </c>
      <c r="H1342" t="s">
        <v>7674</v>
      </c>
      <c r="I1342" t="s">
        <v>10869</v>
      </c>
      <c r="J1342" t="s">
        <v>10926</v>
      </c>
    </row>
    <row r="1343" spans="1:10" x14ac:dyDescent="0.25">
      <c r="A1343" t="s">
        <v>10927</v>
      </c>
      <c r="B1343">
        <v>7.1920000000000002</v>
      </c>
      <c r="C1343" t="s">
        <v>10928</v>
      </c>
      <c r="D1343" t="s">
        <v>1847</v>
      </c>
      <c r="E1343" t="s">
        <v>10865</v>
      </c>
      <c r="F1343" t="s">
        <v>7672</v>
      </c>
      <c r="G1343" t="s">
        <v>10866</v>
      </c>
      <c r="H1343" t="s">
        <v>7674</v>
      </c>
      <c r="I1343" t="s">
        <v>10822</v>
      </c>
      <c r="J1343" t="s">
        <v>10926</v>
      </c>
    </row>
    <row r="1344" spans="1:10" x14ac:dyDescent="0.25">
      <c r="A1344" t="s">
        <v>10929</v>
      </c>
      <c r="B1344">
        <v>7.1920000000000002</v>
      </c>
      <c r="C1344" t="s">
        <v>10930</v>
      </c>
      <c r="D1344" t="s">
        <v>88</v>
      </c>
      <c r="E1344" t="s">
        <v>10865</v>
      </c>
      <c r="F1344" t="s">
        <v>7672</v>
      </c>
      <c r="G1344" t="s">
        <v>10866</v>
      </c>
      <c r="H1344" t="s">
        <v>7674</v>
      </c>
      <c r="I1344" t="s">
        <v>10882</v>
      </c>
      <c r="J1344" t="s">
        <v>9054</v>
      </c>
    </row>
    <row r="1345" spans="1:10" x14ac:dyDescent="0.25">
      <c r="A1345" t="s">
        <v>10931</v>
      </c>
      <c r="B1345">
        <v>7.1920000000000002</v>
      </c>
      <c r="C1345" t="s">
        <v>10932</v>
      </c>
      <c r="D1345" t="s">
        <v>10933</v>
      </c>
      <c r="E1345" t="s">
        <v>10865</v>
      </c>
      <c r="F1345" t="s">
        <v>7672</v>
      </c>
      <c r="G1345" t="s">
        <v>10866</v>
      </c>
      <c r="H1345" t="s">
        <v>7674</v>
      </c>
      <c r="I1345" t="s">
        <v>10869</v>
      </c>
      <c r="J1345" t="s">
        <v>9061</v>
      </c>
    </row>
    <row r="1346" spans="1:10" x14ac:dyDescent="0.25">
      <c r="A1346" t="s">
        <v>10934</v>
      </c>
      <c r="B1346">
        <v>7.1920000000000002</v>
      </c>
      <c r="C1346" t="s">
        <v>10935</v>
      </c>
      <c r="D1346" t="s">
        <v>4114</v>
      </c>
      <c r="E1346" t="s">
        <v>10865</v>
      </c>
      <c r="F1346" t="s">
        <v>7672</v>
      </c>
      <c r="G1346" t="s">
        <v>10866</v>
      </c>
      <c r="H1346" t="s">
        <v>7674</v>
      </c>
      <c r="I1346" t="s">
        <v>10822</v>
      </c>
      <c r="J1346" t="s">
        <v>9061</v>
      </c>
    </row>
    <row r="1347" spans="1:10" x14ac:dyDescent="0.25">
      <c r="A1347" t="s">
        <v>10936</v>
      </c>
      <c r="B1347">
        <v>7.1920000000000002</v>
      </c>
      <c r="C1347" t="s">
        <v>10937</v>
      </c>
      <c r="D1347" t="s">
        <v>100</v>
      </c>
      <c r="E1347" t="s">
        <v>10865</v>
      </c>
      <c r="F1347" t="s">
        <v>7672</v>
      </c>
      <c r="G1347" t="s">
        <v>10866</v>
      </c>
      <c r="H1347" t="s">
        <v>7674</v>
      </c>
      <c r="I1347" t="s">
        <v>10882</v>
      </c>
      <c r="J1347" t="s">
        <v>9061</v>
      </c>
    </row>
    <row r="1348" spans="1:10" x14ac:dyDescent="0.25">
      <c r="A1348" t="s">
        <v>10938</v>
      </c>
      <c r="B1348">
        <v>7.1920000000000002</v>
      </c>
      <c r="C1348" t="s">
        <v>10939</v>
      </c>
      <c r="D1348" t="s">
        <v>53</v>
      </c>
      <c r="E1348" t="s">
        <v>10865</v>
      </c>
      <c r="F1348" t="s">
        <v>7672</v>
      </c>
      <c r="G1348" t="s">
        <v>10866</v>
      </c>
      <c r="H1348" t="s">
        <v>7674</v>
      </c>
      <c r="I1348" t="s">
        <v>10869</v>
      </c>
      <c r="J1348" t="s">
        <v>9064</v>
      </c>
    </row>
    <row r="1349" spans="1:10" x14ac:dyDescent="0.25">
      <c r="A1349" t="s">
        <v>10940</v>
      </c>
      <c r="B1349">
        <v>4.4800000000000004</v>
      </c>
      <c r="C1349" t="s">
        <v>10941</v>
      </c>
      <c r="D1349" t="s">
        <v>5119</v>
      </c>
      <c r="E1349" t="s">
        <v>10942</v>
      </c>
      <c r="F1349" t="s">
        <v>7672</v>
      </c>
      <c r="G1349" t="s">
        <v>10943</v>
      </c>
      <c r="H1349" t="s">
        <v>7674</v>
      </c>
      <c r="I1349" t="s">
        <v>7570</v>
      </c>
      <c r="J1349" t="s">
        <v>7987</v>
      </c>
    </row>
    <row r="1350" spans="1:10" x14ac:dyDescent="0.25">
      <c r="A1350" t="s">
        <v>10944</v>
      </c>
      <c r="B1350">
        <v>4.4800000000000004</v>
      </c>
      <c r="C1350" t="s">
        <v>10945</v>
      </c>
      <c r="D1350" t="s">
        <v>385</v>
      </c>
      <c r="E1350" t="s">
        <v>10942</v>
      </c>
      <c r="F1350" t="s">
        <v>7672</v>
      </c>
      <c r="G1350" t="s">
        <v>10943</v>
      </c>
      <c r="H1350" t="s">
        <v>7674</v>
      </c>
      <c r="I1350" t="s">
        <v>7570</v>
      </c>
      <c r="J1350" t="s">
        <v>8001</v>
      </c>
    </row>
    <row r="1351" spans="1:10" x14ac:dyDescent="0.25">
      <c r="A1351" t="s">
        <v>10946</v>
      </c>
      <c r="B1351">
        <v>4.4800000000000004</v>
      </c>
      <c r="C1351" t="s">
        <v>10947</v>
      </c>
      <c r="D1351" t="s">
        <v>290</v>
      </c>
      <c r="E1351" t="s">
        <v>10942</v>
      </c>
      <c r="F1351" t="s">
        <v>7672</v>
      </c>
      <c r="G1351" t="s">
        <v>10943</v>
      </c>
      <c r="H1351" t="s">
        <v>7674</v>
      </c>
      <c r="I1351" t="s">
        <v>7570</v>
      </c>
      <c r="J1351" t="s">
        <v>8418</v>
      </c>
    </row>
    <row r="1352" spans="1:10" x14ac:dyDescent="0.25">
      <c r="A1352" t="s">
        <v>10948</v>
      </c>
      <c r="B1352">
        <v>3.6320000000000001</v>
      </c>
      <c r="C1352" t="s">
        <v>10949</v>
      </c>
      <c r="D1352" t="s">
        <v>8544</v>
      </c>
      <c r="E1352" t="s">
        <v>10950</v>
      </c>
      <c r="F1352" t="s">
        <v>7672</v>
      </c>
      <c r="G1352" t="s">
        <v>10951</v>
      </c>
      <c r="H1352" t="s">
        <v>8515</v>
      </c>
      <c r="I1352" t="s">
        <v>10952</v>
      </c>
      <c r="J1352" t="s">
        <v>106</v>
      </c>
    </row>
    <row r="1353" spans="1:10" x14ac:dyDescent="0.25">
      <c r="A1353" t="s">
        <v>10953</v>
      </c>
      <c r="B1353">
        <v>3.6320000000000001</v>
      </c>
      <c r="C1353" t="s">
        <v>10954</v>
      </c>
      <c r="D1353" t="s">
        <v>865</v>
      </c>
      <c r="E1353" t="s">
        <v>10950</v>
      </c>
      <c r="F1353" t="s">
        <v>7672</v>
      </c>
      <c r="G1353" t="s">
        <v>10951</v>
      </c>
      <c r="H1353" t="s">
        <v>8515</v>
      </c>
      <c r="I1353" t="s">
        <v>1413</v>
      </c>
      <c r="J1353" t="s">
        <v>88</v>
      </c>
    </row>
    <row r="1354" spans="1:10" x14ac:dyDescent="0.25">
      <c r="A1354" t="s">
        <v>10955</v>
      </c>
      <c r="B1354">
        <v>3.6320000000000001</v>
      </c>
      <c r="C1354" t="s">
        <v>10956</v>
      </c>
      <c r="D1354" t="s">
        <v>10957</v>
      </c>
      <c r="E1354" t="s">
        <v>10950</v>
      </c>
      <c r="F1354" t="s">
        <v>7672</v>
      </c>
      <c r="G1354" t="s">
        <v>10951</v>
      </c>
      <c r="H1354" t="s">
        <v>8515</v>
      </c>
      <c r="I1354" t="s">
        <v>10958</v>
      </c>
      <c r="J1354" t="s">
        <v>88</v>
      </c>
    </row>
    <row r="1355" spans="1:10" x14ac:dyDescent="0.25">
      <c r="A1355" t="s">
        <v>10959</v>
      </c>
      <c r="B1355">
        <v>3.6320000000000001</v>
      </c>
      <c r="C1355" t="s">
        <v>10960</v>
      </c>
      <c r="D1355" t="s">
        <v>8520</v>
      </c>
      <c r="E1355" t="s">
        <v>10950</v>
      </c>
      <c r="F1355" t="s">
        <v>7672</v>
      </c>
      <c r="G1355" t="s">
        <v>10951</v>
      </c>
      <c r="H1355" t="s">
        <v>8515</v>
      </c>
      <c r="I1355" t="s">
        <v>10952</v>
      </c>
      <c r="J1355" t="s">
        <v>88</v>
      </c>
    </row>
    <row r="1356" spans="1:10" x14ac:dyDescent="0.25">
      <c r="A1356" t="s">
        <v>10961</v>
      </c>
      <c r="B1356">
        <v>3.6320000000000001</v>
      </c>
      <c r="C1356" t="s">
        <v>10962</v>
      </c>
      <c r="D1356" t="s">
        <v>10963</v>
      </c>
      <c r="E1356" t="s">
        <v>10950</v>
      </c>
      <c r="F1356" t="s">
        <v>7672</v>
      </c>
      <c r="G1356" t="s">
        <v>10951</v>
      </c>
      <c r="H1356" t="s">
        <v>8515</v>
      </c>
      <c r="I1356" t="s">
        <v>145</v>
      </c>
      <c r="J1356" t="s">
        <v>8531</v>
      </c>
    </row>
    <row r="1357" spans="1:10" x14ac:dyDescent="0.25">
      <c r="A1357" t="s">
        <v>10964</v>
      </c>
      <c r="B1357">
        <v>3.6320000000000001</v>
      </c>
      <c r="C1357" t="s">
        <v>10965</v>
      </c>
      <c r="D1357" t="s">
        <v>245</v>
      </c>
      <c r="E1357" t="s">
        <v>10950</v>
      </c>
      <c r="F1357" t="s">
        <v>7672</v>
      </c>
      <c r="G1357" t="s">
        <v>10951</v>
      </c>
      <c r="H1357" t="s">
        <v>8515</v>
      </c>
      <c r="I1357" t="s">
        <v>145</v>
      </c>
      <c r="J1357" t="s">
        <v>131</v>
      </c>
    </row>
    <row r="1358" spans="1:10" x14ac:dyDescent="0.25">
      <c r="A1358" t="s">
        <v>10966</v>
      </c>
      <c r="B1358">
        <v>32</v>
      </c>
      <c r="C1358" t="s">
        <v>10967</v>
      </c>
      <c r="D1358" t="s">
        <v>1134</v>
      </c>
      <c r="E1358" t="s">
        <v>10968</v>
      </c>
      <c r="F1358" t="s">
        <v>7672</v>
      </c>
      <c r="G1358" t="s">
        <v>10969</v>
      </c>
      <c r="H1358" t="s">
        <v>10970</v>
      </c>
      <c r="I1358" t="s">
        <v>76</v>
      </c>
      <c r="J1358" t="s">
        <v>7675</v>
      </c>
    </row>
    <row r="1359" spans="1:10" x14ac:dyDescent="0.25">
      <c r="A1359" t="s">
        <v>10971</v>
      </c>
      <c r="B1359">
        <v>32</v>
      </c>
      <c r="C1359" t="s">
        <v>10972</v>
      </c>
      <c r="D1359" t="s">
        <v>2652</v>
      </c>
      <c r="E1359" t="s">
        <v>10968</v>
      </c>
      <c r="F1359" t="s">
        <v>7672</v>
      </c>
      <c r="G1359" t="s">
        <v>10969</v>
      </c>
      <c r="H1359" t="s">
        <v>10970</v>
      </c>
      <c r="I1359" t="s">
        <v>76</v>
      </c>
      <c r="J1359" t="s">
        <v>7686</v>
      </c>
    </row>
    <row r="1360" spans="1:10" x14ac:dyDescent="0.25">
      <c r="A1360" t="s">
        <v>10973</v>
      </c>
      <c r="B1360">
        <v>32</v>
      </c>
      <c r="C1360" t="s">
        <v>10974</v>
      </c>
      <c r="D1360" t="s">
        <v>3944</v>
      </c>
      <c r="E1360" t="s">
        <v>10968</v>
      </c>
      <c r="F1360" t="s">
        <v>7672</v>
      </c>
      <c r="G1360" t="s">
        <v>10969</v>
      </c>
      <c r="H1360" t="s">
        <v>10970</v>
      </c>
      <c r="I1360" t="s">
        <v>76</v>
      </c>
      <c r="J1360" t="s">
        <v>7703</v>
      </c>
    </row>
    <row r="1361" spans="1:10" x14ac:dyDescent="0.25">
      <c r="A1361" t="s">
        <v>10975</v>
      </c>
      <c r="B1361">
        <v>32</v>
      </c>
      <c r="C1361" t="s">
        <v>10976</v>
      </c>
      <c r="D1361" t="s">
        <v>715</v>
      </c>
      <c r="E1361" t="s">
        <v>10968</v>
      </c>
      <c r="F1361" t="s">
        <v>7672</v>
      </c>
      <c r="G1361" t="s">
        <v>10969</v>
      </c>
      <c r="H1361" t="s">
        <v>10970</v>
      </c>
      <c r="I1361" t="s">
        <v>76</v>
      </c>
      <c r="J1361" t="s">
        <v>7713</v>
      </c>
    </row>
    <row r="1362" spans="1:10" x14ac:dyDescent="0.25">
      <c r="A1362" t="s">
        <v>10977</v>
      </c>
      <c r="B1362">
        <v>32</v>
      </c>
      <c r="C1362" t="s">
        <v>10978</v>
      </c>
      <c r="D1362" t="s">
        <v>698</v>
      </c>
      <c r="E1362" t="s">
        <v>10968</v>
      </c>
      <c r="F1362" t="s">
        <v>7672</v>
      </c>
      <c r="G1362" t="s">
        <v>10969</v>
      </c>
      <c r="H1362" t="s">
        <v>10970</v>
      </c>
      <c r="I1362" t="s">
        <v>76</v>
      </c>
      <c r="J1362" t="s">
        <v>7719</v>
      </c>
    </row>
    <row r="1363" spans="1:10" x14ac:dyDescent="0.25">
      <c r="A1363" t="s">
        <v>10979</v>
      </c>
      <c r="B1363">
        <v>16.8</v>
      </c>
      <c r="C1363" t="s">
        <v>10980</v>
      </c>
      <c r="D1363" t="s">
        <v>113</v>
      </c>
      <c r="E1363" t="s">
        <v>10981</v>
      </c>
      <c r="F1363" t="s">
        <v>7672</v>
      </c>
      <c r="G1363" t="s">
        <v>10982</v>
      </c>
      <c r="H1363" t="s">
        <v>7954</v>
      </c>
      <c r="I1363" t="s">
        <v>10983</v>
      </c>
      <c r="J1363" t="s">
        <v>240</v>
      </c>
    </row>
    <row r="1364" spans="1:10" x14ac:dyDescent="0.25">
      <c r="A1364" t="s">
        <v>10984</v>
      </c>
      <c r="B1364">
        <v>4.4800000000000004</v>
      </c>
      <c r="C1364" t="s">
        <v>10985</v>
      </c>
      <c r="D1364" t="s">
        <v>786</v>
      </c>
      <c r="E1364" t="s">
        <v>10986</v>
      </c>
      <c r="F1364" t="s">
        <v>7672</v>
      </c>
      <c r="G1364" t="s">
        <v>10987</v>
      </c>
      <c r="H1364" t="s">
        <v>7674</v>
      </c>
      <c r="I1364" t="s">
        <v>10988</v>
      </c>
      <c r="J1364" t="s">
        <v>7981</v>
      </c>
    </row>
    <row r="1365" spans="1:10" x14ac:dyDescent="0.25">
      <c r="A1365" t="s">
        <v>10989</v>
      </c>
      <c r="B1365">
        <v>4.4800000000000004</v>
      </c>
      <c r="C1365" t="s">
        <v>10990</v>
      </c>
      <c r="D1365" t="s">
        <v>2652</v>
      </c>
      <c r="E1365" t="s">
        <v>10986</v>
      </c>
      <c r="F1365" t="s">
        <v>7672</v>
      </c>
      <c r="G1365" t="s">
        <v>10987</v>
      </c>
      <c r="H1365" t="s">
        <v>7674</v>
      </c>
      <c r="I1365" t="s">
        <v>6036</v>
      </c>
      <c r="J1365" t="s">
        <v>7981</v>
      </c>
    </row>
    <row r="1366" spans="1:10" x14ac:dyDescent="0.25">
      <c r="A1366" t="s">
        <v>10991</v>
      </c>
      <c r="B1366">
        <v>4.4800000000000004</v>
      </c>
      <c r="C1366" t="s">
        <v>10992</v>
      </c>
      <c r="D1366" t="s">
        <v>870</v>
      </c>
      <c r="E1366" t="s">
        <v>10986</v>
      </c>
      <c r="F1366" t="s">
        <v>7672</v>
      </c>
      <c r="G1366" t="s">
        <v>10987</v>
      </c>
      <c r="H1366" t="s">
        <v>7674</v>
      </c>
      <c r="I1366" t="s">
        <v>108</v>
      </c>
      <c r="J1366" t="s">
        <v>7981</v>
      </c>
    </row>
    <row r="1367" spans="1:10" x14ac:dyDescent="0.25">
      <c r="A1367" t="s">
        <v>10993</v>
      </c>
      <c r="B1367">
        <v>4.4800000000000004</v>
      </c>
      <c r="C1367" t="s">
        <v>10994</v>
      </c>
      <c r="D1367" t="s">
        <v>4579</v>
      </c>
      <c r="E1367" t="s">
        <v>10986</v>
      </c>
      <c r="F1367" t="s">
        <v>7672</v>
      </c>
      <c r="G1367" t="s">
        <v>10987</v>
      </c>
      <c r="H1367" t="s">
        <v>7674</v>
      </c>
      <c r="I1367" t="s">
        <v>1243</v>
      </c>
      <c r="J1367" t="s">
        <v>7981</v>
      </c>
    </row>
    <row r="1368" spans="1:10" x14ac:dyDescent="0.25">
      <c r="A1368" t="s">
        <v>10995</v>
      </c>
      <c r="B1368">
        <v>4.4800000000000004</v>
      </c>
      <c r="C1368" t="s">
        <v>10996</v>
      </c>
      <c r="D1368" t="s">
        <v>4136</v>
      </c>
      <c r="E1368" t="s">
        <v>10986</v>
      </c>
      <c r="F1368" t="s">
        <v>7672</v>
      </c>
      <c r="G1368" t="s">
        <v>10987</v>
      </c>
      <c r="H1368" t="s">
        <v>7674</v>
      </c>
      <c r="I1368" t="s">
        <v>5202</v>
      </c>
      <c r="J1368" t="s">
        <v>7981</v>
      </c>
    </row>
    <row r="1369" spans="1:10" x14ac:dyDescent="0.25">
      <c r="A1369" t="s">
        <v>10997</v>
      </c>
      <c r="B1369">
        <v>4.4800000000000004</v>
      </c>
      <c r="C1369" t="s">
        <v>10998</v>
      </c>
      <c r="D1369" t="s">
        <v>2001</v>
      </c>
      <c r="E1369" t="s">
        <v>10986</v>
      </c>
      <c r="F1369" t="s">
        <v>7672</v>
      </c>
      <c r="G1369" t="s">
        <v>10987</v>
      </c>
      <c r="H1369" t="s">
        <v>7674</v>
      </c>
      <c r="I1369" t="s">
        <v>6036</v>
      </c>
      <c r="J1369" t="s">
        <v>7984</v>
      </c>
    </row>
    <row r="1370" spans="1:10" x14ac:dyDescent="0.25">
      <c r="A1370" t="s">
        <v>10999</v>
      </c>
      <c r="B1370">
        <v>4.4800000000000004</v>
      </c>
      <c r="C1370" t="s">
        <v>11000</v>
      </c>
      <c r="D1370" t="s">
        <v>5283</v>
      </c>
      <c r="E1370" t="s">
        <v>10986</v>
      </c>
      <c r="F1370" t="s">
        <v>7672</v>
      </c>
      <c r="G1370" t="s">
        <v>10987</v>
      </c>
      <c r="H1370" t="s">
        <v>7674</v>
      </c>
      <c r="I1370" t="s">
        <v>10988</v>
      </c>
      <c r="J1370" t="s">
        <v>7984</v>
      </c>
    </row>
    <row r="1371" spans="1:10" x14ac:dyDescent="0.25">
      <c r="A1371" t="s">
        <v>11001</v>
      </c>
      <c r="B1371">
        <v>4.4800000000000004</v>
      </c>
      <c r="C1371" t="s">
        <v>11002</v>
      </c>
      <c r="D1371" t="s">
        <v>74</v>
      </c>
      <c r="E1371" t="s">
        <v>10986</v>
      </c>
      <c r="F1371" t="s">
        <v>7672</v>
      </c>
      <c r="G1371" t="s">
        <v>10987</v>
      </c>
      <c r="H1371" t="s">
        <v>7674</v>
      </c>
      <c r="I1371" t="s">
        <v>1243</v>
      </c>
      <c r="J1371" t="s">
        <v>7984</v>
      </c>
    </row>
    <row r="1372" spans="1:10" x14ac:dyDescent="0.25">
      <c r="A1372" t="s">
        <v>11003</v>
      </c>
      <c r="B1372">
        <v>4.4800000000000004</v>
      </c>
      <c r="C1372" t="s">
        <v>11004</v>
      </c>
      <c r="D1372" t="s">
        <v>8803</v>
      </c>
      <c r="E1372" t="s">
        <v>10986</v>
      </c>
      <c r="F1372" t="s">
        <v>7672</v>
      </c>
      <c r="G1372" t="s">
        <v>10987</v>
      </c>
      <c r="H1372" t="s">
        <v>7674</v>
      </c>
      <c r="I1372" t="s">
        <v>5202</v>
      </c>
      <c r="J1372" t="s">
        <v>7984</v>
      </c>
    </row>
    <row r="1373" spans="1:10" x14ac:dyDescent="0.25">
      <c r="A1373" t="s">
        <v>11005</v>
      </c>
      <c r="B1373">
        <v>4.4800000000000004</v>
      </c>
      <c r="C1373" t="s">
        <v>11006</v>
      </c>
      <c r="D1373" t="s">
        <v>4799</v>
      </c>
      <c r="E1373" t="s">
        <v>10986</v>
      </c>
      <c r="F1373" t="s">
        <v>7672</v>
      </c>
      <c r="G1373" t="s">
        <v>10987</v>
      </c>
      <c r="H1373" t="s">
        <v>7674</v>
      </c>
      <c r="I1373" t="s">
        <v>6036</v>
      </c>
      <c r="J1373" t="s">
        <v>7987</v>
      </c>
    </row>
    <row r="1374" spans="1:10" x14ac:dyDescent="0.25">
      <c r="A1374" t="s">
        <v>11007</v>
      </c>
      <c r="B1374">
        <v>4.4800000000000004</v>
      </c>
      <c r="C1374" t="s">
        <v>11008</v>
      </c>
      <c r="D1374" t="s">
        <v>2138</v>
      </c>
      <c r="E1374" t="s">
        <v>10986</v>
      </c>
      <c r="F1374" t="s">
        <v>7672</v>
      </c>
      <c r="G1374" t="s">
        <v>10987</v>
      </c>
      <c r="H1374" t="s">
        <v>7674</v>
      </c>
      <c r="I1374" t="s">
        <v>10988</v>
      </c>
      <c r="J1374" t="s">
        <v>7987</v>
      </c>
    </row>
    <row r="1375" spans="1:10" x14ac:dyDescent="0.25">
      <c r="A1375" t="s">
        <v>11009</v>
      </c>
      <c r="B1375">
        <v>4.4800000000000004</v>
      </c>
      <c r="C1375" t="s">
        <v>11010</v>
      </c>
      <c r="D1375" t="s">
        <v>359</v>
      </c>
      <c r="E1375" t="s">
        <v>10986</v>
      </c>
      <c r="F1375" t="s">
        <v>7672</v>
      </c>
      <c r="G1375" t="s">
        <v>10987</v>
      </c>
      <c r="H1375" t="s">
        <v>7674</v>
      </c>
      <c r="I1375" t="s">
        <v>5202</v>
      </c>
      <c r="J1375" t="s">
        <v>7987</v>
      </c>
    </row>
    <row r="1376" spans="1:10" x14ac:dyDescent="0.25">
      <c r="A1376" t="s">
        <v>11011</v>
      </c>
      <c r="B1376">
        <v>4.4800000000000004</v>
      </c>
      <c r="C1376" t="s">
        <v>11012</v>
      </c>
      <c r="D1376" t="s">
        <v>250</v>
      </c>
      <c r="E1376" t="s">
        <v>10986</v>
      </c>
      <c r="F1376" t="s">
        <v>7672</v>
      </c>
      <c r="G1376" t="s">
        <v>10987</v>
      </c>
      <c r="H1376" t="s">
        <v>7674</v>
      </c>
      <c r="I1376" t="s">
        <v>6036</v>
      </c>
      <c r="J1376" t="s">
        <v>8001</v>
      </c>
    </row>
    <row r="1377" spans="1:10" x14ac:dyDescent="0.25">
      <c r="A1377" t="s">
        <v>11013</v>
      </c>
      <c r="B1377">
        <v>4.4800000000000004</v>
      </c>
      <c r="C1377" t="s">
        <v>11014</v>
      </c>
      <c r="D1377" t="s">
        <v>282</v>
      </c>
      <c r="E1377" t="s">
        <v>10986</v>
      </c>
      <c r="F1377" t="s">
        <v>7672</v>
      </c>
      <c r="G1377" t="s">
        <v>10987</v>
      </c>
      <c r="H1377" t="s">
        <v>7674</v>
      </c>
      <c r="I1377" t="s">
        <v>1243</v>
      </c>
      <c r="J1377" t="s">
        <v>8422</v>
      </c>
    </row>
    <row r="1378" spans="1:10" x14ac:dyDescent="0.25">
      <c r="A1378" t="s">
        <v>11015</v>
      </c>
      <c r="B1378">
        <v>4.4800000000000004</v>
      </c>
      <c r="C1378" t="s">
        <v>11016</v>
      </c>
      <c r="D1378" t="s">
        <v>330</v>
      </c>
      <c r="E1378" t="s">
        <v>10986</v>
      </c>
      <c r="F1378" t="s">
        <v>7672</v>
      </c>
      <c r="G1378" t="s">
        <v>10987</v>
      </c>
      <c r="H1378" t="s">
        <v>7674</v>
      </c>
      <c r="I1378" t="s">
        <v>10988</v>
      </c>
      <c r="J1378" t="s">
        <v>8422</v>
      </c>
    </row>
    <row r="1379" spans="1:10" x14ac:dyDescent="0.25">
      <c r="A1379" t="s">
        <v>11017</v>
      </c>
      <c r="B1379">
        <v>4.4800000000000004</v>
      </c>
      <c r="C1379" t="s">
        <v>11018</v>
      </c>
      <c r="D1379" t="s">
        <v>118</v>
      </c>
      <c r="E1379" t="s">
        <v>10986</v>
      </c>
      <c r="F1379" t="s">
        <v>7672</v>
      </c>
      <c r="G1379" t="s">
        <v>10987</v>
      </c>
      <c r="H1379" t="s">
        <v>7674</v>
      </c>
      <c r="I1379" t="s">
        <v>6036</v>
      </c>
      <c r="J1379" t="s">
        <v>8422</v>
      </c>
    </row>
    <row r="1380" spans="1:10" x14ac:dyDescent="0.25">
      <c r="A1380" t="s">
        <v>11019</v>
      </c>
      <c r="B1380">
        <v>4.4800000000000004</v>
      </c>
      <c r="C1380" t="s">
        <v>11020</v>
      </c>
      <c r="D1380" t="s">
        <v>2879</v>
      </c>
      <c r="E1380" t="s">
        <v>10986</v>
      </c>
      <c r="F1380" t="s">
        <v>7672</v>
      </c>
      <c r="G1380" t="s">
        <v>10987</v>
      </c>
      <c r="H1380" t="s">
        <v>7674</v>
      </c>
      <c r="I1380" t="s">
        <v>5202</v>
      </c>
      <c r="J1380" t="s">
        <v>8422</v>
      </c>
    </row>
    <row r="1381" spans="1:10" x14ac:dyDescent="0.25">
      <c r="A1381" t="s">
        <v>11021</v>
      </c>
      <c r="B1381">
        <v>4.4800000000000004</v>
      </c>
      <c r="C1381" t="s">
        <v>11022</v>
      </c>
      <c r="D1381" t="s">
        <v>849</v>
      </c>
      <c r="E1381" t="s">
        <v>10986</v>
      </c>
      <c r="F1381" t="s">
        <v>7672</v>
      </c>
      <c r="G1381" t="s">
        <v>10987</v>
      </c>
      <c r="H1381" t="s">
        <v>7674</v>
      </c>
      <c r="I1381" t="s">
        <v>10988</v>
      </c>
      <c r="J1381" t="s">
        <v>11023</v>
      </c>
    </row>
    <row r="1382" spans="1:10" x14ac:dyDescent="0.25">
      <c r="A1382" t="s">
        <v>11024</v>
      </c>
      <c r="B1382">
        <v>4.4800000000000004</v>
      </c>
      <c r="C1382" t="s">
        <v>11025</v>
      </c>
      <c r="D1382" t="s">
        <v>245</v>
      </c>
      <c r="E1382" t="s">
        <v>10986</v>
      </c>
      <c r="F1382" t="s">
        <v>7672</v>
      </c>
      <c r="G1382" t="s">
        <v>10987</v>
      </c>
      <c r="H1382" t="s">
        <v>7674</v>
      </c>
      <c r="I1382" t="s">
        <v>6036</v>
      </c>
      <c r="J1382" t="s">
        <v>11023</v>
      </c>
    </row>
    <row r="1383" spans="1:10" x14ac:dyDescent="0.25">
      <c r="A1383" t="s">
        <v>11026</v>
      </c>
      <c r="B1383">
        <v>4.4800000000000004</v>
      </c>
      <c r="C1383" t="s">
        <v>11027</v>
      </c>
      <c r="D1383" t="s">
        <v>53</v>
      </c>
      <c r="E1383" t="s">
        <v>10986</v>
      </c>
      <c r="F1383" t="s">
        <v>7672</v>
      </c>
      <c r="G1383" t="s">
        <v>10987</v>
      </c>
      <c r="H1383" t="s">
        <v>7674</v>
      </c>
      <c r="I1383" t="s">
        <v>5202</v>
      </c>
      <c r="J1383" t="s">
        <v>11023</v>
      </c>
    </row>
    <row r="1384" spans="1:10" x14ac:dyDescent="0.25">
      <c r="A1384" t="s">
        <v>11028</v>
      </c>
      <c r="B1384">
        <v>4.4800000000000004</v>
      </c>
      <c r="C1384" t="s">
        <v>11029</v>
      </c>
      <c r="D1384" t="s">
        <v>290</v>
      </c>
      <c r="E1384" t="s">
        <v>10986</v>
      </c>
      <c r="F1384" t="s">
        <v>7672</v>
      </c>
      <c r="G1384" t="s">
        <v>10987</v>
      </c>
      <c r="H1384" t="s">
        <v>7674</v>
      </c>
      <c r="I1384" t="s">
        <v>6036</v>
      </c>
      <c r="J1384" t="s">
        <v>11030</v>
      </c>
    </row>
    <row r="1385" spans="1:10" x14ac:dyDescent="0.25">
      <c r="A1385" t="s">
        <v>11031</v>
      </c>
      <c r="B1385">
        <v>4.4800000000000004</v>
      </c>
      <c r="C1385" t="s">
        <v>11032</v>
      </c>
      <c r="D1385" t="s">
        <v>53</v>
      </c>
      <c r="E1385" t="s">
        <v>10986</v>
      </c>
      <c r="F1385" t="s">
        <v>7672</v>
      </c>
      <c r="G1385" t="s">
        <v>10987</v>
      </c>
      <c r="H1385" t="s">
        <v>7674</v>
      </c>
      <c r="I1385" t="s">
        <v>5202</v>
      </c>
      <c r="J1385" t="s">
        <v>11030</v>
      </c>
    </row>
    <row r="1386" spans="1:10" x14ac:dyDescent="0.25">
      <c r="A1386" t="s">
        <v>11033</v>
      </c>
      <c r="B1386">
        <v>9.120000000000001</v>
      </c>
      <c r="C1386" t="s">
        <v>11034</v>
      </c>
      <c r="D1386" t="s">
        <v>2149</v>
      </c>
      <c r="E1386" t="s">
        <v>11035</v>
      </c>
      <c r="F1386" t="s">
        <v>7672</v>
      </c>
      <c r="G1386" t="s">
        <v>11036</v>
      </c>
      <c r="H1386" t="s">
        <v>11037</v>
      </c>
      <c r="I1386" t="s">
        <v>935</v>
      </c>
      <c r="J1386" t="s">
        <v>7942</v>
      </c>
    </row>
    <row r="1387" spans="1:10" x14ac:dyDescent="0.25">
      <c r="A1387" t="s">
        <v>11038</v>
      </c>
      <c r="B1387">
        <v>9.120000000000001</v>
      </c>
      <c r="C1387" t="s">
        <v>11039</v>
      </c>
      <c r="D1387" t="s">
        <v>4270</v>
      </c>
      <c r="E1387" t="s">
        <v>11035</v>
      </c>
      <c r="F1387" t="s">
        <v>7672</v>
      </c>
      <c r="G1387" t="s">
        <v>11036</v>
      </c>
      <c r="H1387" t="s">
        <v>11037</v>
      </c>
      <c r="I1387" t="s">
        <v>935</v>
      </c>
      <c r="J1387" t="s">
        <v>7981</v>
      </c>
    </row>
    <row r="1388" spans="1:10" x14ac:dyDescent="0.25">
      <c r="A1388" t="s">
        <v>11040</v>
      </c>
      <c r="B1388">
        <v>9.120000000000001</v>
      </c>
      <c r="C1388" t="s">
        <v>11041</v>
      </c>
      <c r="D1388" t="s">
        <v>2099</v>
      </c>
      <c r="E1388" t="s">
        <v>11035</v>
      </c>
      <c r="F1388" t="s">
        <v>7672</v>
      </c>
      <c r="G1388" t="s">
        <v>11036</v>
      </c>
      <c r="H1388" t="s">
        <v>11037</v>
      </c>
      <c r="I1388" t="s">
        <v>935</v>
      </c>
      <c r="J1388" t="s">
        <v>7984</v>
      </c>
    </row>
    <row r="1389" spans="1:10" x14ac:dyDescent="0.25">
      <c r="A1389" t="s">
        <v>11042</v>
      </c>
      <c r="B1389">
        <v>9.120000000000001</v>
      </c>
      <c r="C1389" t="s">
        <v>11043</v>
      </c>
      <c r="D1389" t="s">
        <v>1134</v>
      </c>
      <c r="E1389" t="s">
        <v>11035</v>
      </c>
      <c r="F1389" t="s">
        <v>7672</v>
      </c>
      <c r="G1389" t="s">
        <v>11036</v>
      </c>
      <c r="H1389" t="s">
        <v>11037</v>
      </c>
      <c r="I1389" t="s">
        <v>935</v>
      </c>
      <c r="J1389" t="s">
        <v>7987</v>
      </c>
    </row>
    <row r="1390" spans="1:10" x14ac:dyDescent="0.25">
      <c r="A1390" t="s">
        <v>11044</v>
      </c>
      <c r="B1390">
        <v>9.120000000000001</v>
      </c>
      <c r="C1390" t="s">
        <v>11045</v>
      </c>
      <c r="D1390" t="s">
        <v>588</v>
      </c>
      <c r="E1390" t="s">
        <v>11035</v>
      </c>
      <c r="F1390" t="s">
        <v>7672</v>
      </c>
      <c r="G1390" t="s">
        <v>11036</v>
      </c>
      <c r="H1390" t="s">
        <v>11037</v>
      </c>
      <c r="I1390" t="s">
        <v>935</v>
      </c>
      <c r="J1390" t="s">
        <v>8001</v>
      </c>
    </row>
    <row r="1391" spans="1:10" x14ac:dyDescent="0.25">
      <c r="A1391" t="s">
        <v>11046</v>
      </c>
      <c r="B1391">
        <v>9.120000000000001</v>
      </c>
      <c r="C1391" t="s">
        <v>11047</v>
      </c>
      <c r="D1391" t="s">
        <v>576</v>
      </c>
      <c r="E1391" t="s">
        <v>11035</v>
      </c>
      <c r="F1391" t="s">
        <v>7672</v>
      </c>
      <c r="G1391" t="s">
        <v>11036</v>
      </c>
      <c r="H1391" t="s">
        <v>11037</v>
      </c>
      <c r="I1391" t="s">
        <v>935</v>
      </c>
      <c r="J1391" t="s">
        <v>8013</v>
      </c>
    </row>
    <row r="1392" spans="1:10" x14ac:dyDescent="0.25">
      <c r="A1392" t="s">
        <v>11048</v>
      </c>
      <c r="B1392">
        <v>2.8719999999999999</v>
      </c>
      <c r="C1392" t="s">
        <v>11049</v>
      </c>
      <c r="D1392" t="s">
        <v>95</v>
      </c>
      <c r="E1392" t="s">
        <v>11050</v>
      </c>
      <c r="F1392" t="s">
        <v>7672</v>
      </c>
      <c r="G1392" t="s">
        <v>11051</v>
      </c>
      <c r="H1392" t="s">
        <v>7674</v>
      </c>
      <c r="I1392" t="s">
        <v>11052</v>
      </c>
      <c r="J1392" t="s">
        <v>7942</v>
      </c>
    </row>
    <row r="1393" spans="1:10" x14ac:dyDescent="0.25">
      <c r="A1393" t="s">
        <v>11053</v>
      </c>
      <c r="B1393">
        <v>2.8719999999999999</v>
      </c>
      <c r="C1393" t="s">
        <v>11054</v>
      </c>
      <c r="D1393" t="s">
        <v>903</v>
      </c>
      <c r="E1393" t="s">
        <v>11050</v>
      </c>
      <c r="F1393" t="s">
        <v>7672</v>
      </c>
      <c r="G1393" t="s">
        <v>11051</v>
      </c>
      <c r="H1393" t="s">
        <v>7674</v>
      </c>
      <c r="I1393" t="s">
        <v>11052</v>
      </c>
      <c r="J1393" t="s">
        <v>7981</v>
      </c>
    </row>
    <row r="1394" spans="1:10" x14ac:dyDescent="0.25">
      <c r="A1394" t="s">
        <v>11055</v>
      </c>
      <c r="B1394">
        <v>2.8719999999999999</v>
      </c>
      <c r="C1394" t="s">
        <v>11056</v>
      </c>
      <c r="D1394" t="s">
        <v>1965</v>
      </c>
      <c r="E1394" t="s">
        <v>11050</v>
      </c>
      <c r="F1394" t="s">
        <v>7672</v>
      </c>
      <c r="G1394" t="s">
        <v>11051</v>
      </c>
      <c r="H1394" t="s">
        <v>7674</v>
      </c>
      <c r="I1394" t="s">
        <v>8467</v>
      </c>
      <c r="J1394" t="s">
        <v>7987</v>
      </c>
    </row>
    <row r="1395" spans="1:10" x14ac:dyDescent="0.25">
      <c r="A1395" t="s">
        <v>11057</v>
      </c>
      <c r="B1395">
        <v>2.8719999999999999</v>
      </c>
      <c r="C1395" t="s">
        <v>11058</v>
      </c>
      <c r="D1395" t="s">
        <v>11059</v>
      </c>
      <c r="E1395" t="s">
        <v>11050</v>
      </c>
      <c r="F1395" t="s">
        <v>7672</v>
      </c>
      <c r="G1395" t="s">
        <v>11051</v>
      </c>
      <c r="H1395" t="s">
        <v>7674</v>
      </c>
      <c r="I1395" t="s">
        <v>8467</v>
      </c>
      <c r="J1395" t="s">
        <v>8001</v>
      </c>
    </row>
    <row r="1396" spans="1:10" x14ac:dyDescent="0.25">
      <c r="A1396" t="s">
        <v>11060</v>
      </c>
      <c r="B1396">
        <v>2.8719999999999999</v>
      </c>
      <c r="C1396" t="s">
        <v>11061</v>
      </c>
      <c r="D1396" t="s">
        <v>11062</v>
      </c>
      <c r="E1396" t="s">
        <v>11050</v>
      </c>
      <c r="F1396" t="s">
        <v>7672</v>
      </c>
      <c r="G1396" t="s">
        <v>11051</v>
      </c>
      <c r="H1396" t="s">
        <v>7674</v>
      </c>
      <c r="I1396" t="s">
        <v>8467</v>
      </c>
      <c r="J1396" t="s">
        <v>8013</v>
      </c>
    </row>
    <row r="1397" spans="1:10" x14ac:dyDescent="0.25">
      <c r="A1397" t="s">
        <v>11063</v>
      </c>
      <c r="B1397">
        <v>7.9120000000000008</v>
      </c>
      <c r="C1397" t="s">
        <v>11064</v>
      </c>
      <c r="D1397" t="s">
        <v>4109</v>
      </c>
      <c r="E1397" t="s">
        <v>11065</v>
      </c>
      <c r="F1397" t="s">
        <v>7672</v>
      </c>
      <c r="G1397" t="s">
        <v>11066</v>
      </c>
      <c r="H1397" t="s">
        <v>8673</v>
      </c>
      <c r="I1397" t="s">
        <v>11067</v>
      </c>
      <c r="J1397" t="s">
        <v>7675</v>
      </c>
    </row>
    <row r="1398" spans="1:10" x14ac:dyDescent="0.25">
      <c r="A1398" t="s">
        <v>11068</v>
      </c>
      <c r="B1398">
        <v>7.9120000000000008</v>
      </c>
      <c r="C1398" t="s">
        <v>11069</v>
      </c>
      <c r="D1398" t="s">
        <v>3435</v>
      </c>
      <c r="E1398" t="s">
        <v>11065</v>
      </c>
      <c r="F1398" t="s">
        <v>7672</v>
      </c>
      <c r="G1398" t="s">
        <v>11066</v>
      </c>
      <c r="H1398" t="s">
        <v>8673</v>
      </c>
      <c r="I1398" t="s">
        <v>11070</v>
      </c>
      <c r="J1398" t="s">
        <v>7675</v>
      </c>
    </row>
    <row r="1399" spans="1:10" x14ac:dyDescent="0.25">
      <c r="A1399" t="s">
        <v>11071</v>
      </c>
      <c r="B1399">
        <v>7.9120000000000008</v>
      </c>
      <c r="C1399" t="s">
        <v>11072</v>
      </c>
      <c r="D1399" t="s">
        <v>3435</v>
      </c>
      <c r="E1399" t="s">
        <v>11065</v>
      </c>
      <c r="F1399" t="s">
        <v>7672</v>
      </c>
      <c r="G1399" t="s">
        <v>11066</v>
      </c>
      <c r="H1399" t="s">
        <v>8673</v>
      </c>
      <c r="I1399" t="s">
        <v>11073</v>
      </c>
      <c r="J1399" t="s">
        <v>7675</v>
      </c>
    </row>
    <row r="1400" spans="1:10" x14ac:dyDescent="0.25">
      <c r="A1400" t="s">
        <v>11074</v>
      </c>
      <c r="B1400">
        <v>7.9120000000000008</v>
      </c>
      <c r="C1400" t="s">
        <v>11075</v>
      </c>
      <c r="D1400" t="s">
        <v>5145</v>
      </c>
      <c r="E1400" t="s">
        <v>11065</v>
      </c>
      <c r="F1400" t="s">
        <v>7672</v>
      </c>
      <c r="G1400" t="s">
        <v>11066</v>
      </c>
      <c r="H1400" t="s">
        <v>8673</v>
      </c>
      <c r="I1400" t="s">
        <v>11076</v>
      </c>
      <c r="J1400" t="s">
        <v>7675</v>
      </c>
    </row>
    <row r="1401" spans="1:10" x14ac:dyDescent="0.25">
      <c r="A1401" t="s">
        <v>11077</v>
      </c>
      <c r="B1401">
        <v>7.9120000000000008</v>
      </c>
      <c r="C1401" t="s">
        <v>11078</v>
      </c>
      <c r="D1401" t="s">
        <v>3599</v>
      </c>
      <c r="E1401" t="s">
        <v>11065</v>
      </c>
      <c r="F1401" t="s">
        <v>7672</v>
      </c>
      <c r="G1401" t="s">
        <v>11066</v>
      </c>
      <c r="H1401" t="s">
        <v>8673</v>
      </c>
      <c r="I1401" t="s">
        <v>11079</v>
      </c>
      <c r="J1401" t="s">
        <v>7675</v>
      </c>
    </row>
    <row r="1402" spans="1:10" x14ac:dyDescent="0.25">
      <c r="A1402" t="s">
        <v>11080</v>
      </c>
      <c r="B1402">
        <v>7.9120000000000008</v>
      </c>
      <c r="C1402" t="s">
        <v>11081</v>
      </c>
      <c r="D1402" t="s">
        <v>8881</v>
      </c>
      <c r="E1402" t="s">
        <v>11065</v>
      </c>
      <c r="F1402" t="s">
        <v>7672</v>
      </c>
      <c r="G1402" t="s">
        <v>11066</v>
      </c>
      <c r="H1402" t="s">
        <v>8673</v>
      </c>
      <c r="I1402" t="s">
        <v>11082</v>
      </c>
      <c r="J1402" t="s">
        <v>7675</v>
      </c>
    </row>
    <row r="1403" spans="1:10" x14ac:dyDescent="0.25">
      <c r="A1403" t="s">
        <v>11083</v>
      </c>
      <c r="B1403">
        <v>7.9120000000000008</v>
      </c>
      <c r="C1403" t="s">
        <v>11084</v>
      </c>
      <c r="D1403" t="s">
        <v>2804</v>
      </c>
      <c r="E1403" t="s">
        <v>11065</v>
      </c>
      <c r="F1403" t="s">
        <v>7672</v>
      </c>
      <c r="G1403" t="s">
        <v>11066</v>
      </c>
      <c r="H1403" t="s">
        <v>8673</v>
      </c>
      <c r="I1403" t="s">
        <v>11085</v>
      </c>
      <c r="J1403" t="s">
        <v>7675</v>
      </c>
    </row>
    <row r="1404" spans="1:10" x14ac:dyDescent="0.25">
      <c r="A1404" t="s">
        <v>11086</v>
      </c>
      <c r="B1404">
        <v>7.9120000000000008</v>
      </c>
      <c r="C1404" t="s">
        <v>11087</v>
      </c>
      <c r="D1404" t="s">
        <v>3999</v>
      </c>
      <c r="E1404" t="s">
        <v>11065</v>
      </c>
      <c r="F1404" t="s">
        <v>7672</v>
      </c>
      <c r="G1404" t="s">
        <v>11066</v>
      </c>
      <c r="H1404" t="s">
        <v>8673</v>
      </c>
      <c r="I1404" t="s">
        <v>11088</v>
      </c>
      <c r="J1404" t="s">
        <v>7675</v>
      </c>
    </row>
    <row r="1405" spans="1:10" x14ac:dyDescent="0.25">
      <c r="A1405" t="s">
        <v>11089</v>
      </c>
      <c r="B1405">
        <v>7.9120000000000008</v>
      </c>
      <c r="C1405" t="s">
        <v>11090</v>
      </c>
      <c r="D1405" t="s">
        <v>74</v>
      </c>
      <c r="E1405" t="s">
        <v>11065</v>
      </c>
      <c r="F1405" t="s">
        <v>7672</v>
      </c>
      <c r="G1405" t="s">
        <v>11066</v>
      </c>
      <c r="H1405" t="s">
        <v>8673</v>
      </c>
      <c r="I1405" t="s">
        <v>11091</v>
      </c>
      <c r="J1405" t="s">
        <v>7675</v>
      </c>
    </row>
    <row r="1406" spans="1:10" x14ac:dyDescent="0.25">
      <c r="A1406" t="s">
        <v>11092</v>
      </c>
      <c r="B1406">
        <v>7.9120000000000008</v>
      </c>
      <c r="C1406" t="s">
        <v>11093</v>
      </c>
      <c r="D1406" t="s">
        <v>250</v>
      </c>
      <c r="E1406" t="s">
        <v>11065</v>
      </c>
      <c r="F1406" t="s">
        <v>7672</v>
      </c>
      <c r="G1406" t="s">
        <v>11066</v>
      </c>
      <c r="H1406" t="s">
        <v>8673</v>
      </c>
      <c r="I1406" t="s">
        <v>11094</v>
      </c>
      <c r="J1406" t="s">
        <v>7675</v>
      </c>
    </row>
    <row r="1407" spans="1:10" x14ac:dyDescent="0.25">
      <c r="A1407" t="s">
        <v>11095</v>
      </c>
      <c r="B1407">
        <v>7.9120000000000008</v>
      </c>
      <c r="C1407" t="s">
        <v>11096</v>
      </c>
      <c r="D1407" t="s">
        <v>416</v>
      </c>
      <c r="E1407" t="s">
        <v>11065</v>
      </c>
      <c r="F1407" t="s">
        <v>7672</v>
      </c>
      <c r="G1407" t="s">
        <v>11066</v>
      </c>
      <c r="H1407" t="s">
        <v>8673</v>
      </c>
      <c r="I1407" t="s">
        <v>8911</v>
      </c>
      <c r="J1407" t="s">
        <v>7675</v>
      </c>
    </row>
    <row r="1408" spans="1:10" x14ac:dyDescent="0.25">
      <c r="A1408" t="s">
        <v>11097</v>
      </c>
      <c r="B1408">
        <v>7.9120000000000008</v>
      </c>
      <c r="C1408" t="s">
        <v>11098</v>
      </c>
      <c r="D1408" t="s">
        <v>2248</v>
      </c>
      <c r="E1408" t="s">
        <v>11065</v>
      </c>
      <c r="F1408" t="s">
        <v>7672</v>
      </c>
      <c r="G1408" t="s">
        <v>11066</v>
      </c>
      <c r="H1408" t="s">
        <v>8673</v>
      </c>
      <c r="I1408" t="s">
        <v>11088</v>
      </c>
      <c r="J1408" t="s">
        <v>7686</v>
      </c>
    </row>
    <row r="1409" spans="1:10" x14ac:dyDescent="0.25">
      <c r="A1409" t="s">
        <v>11099</v>
      </c>
      <c r="B1409">
        <v>7.9120000000000008</v>
      </c>
      <c r="C1409" t="s">
        <v>11100</v>
      </c>
      <c r="D1409" t="s">
        <v>6843</v>
      </c>
      <c r="E1409" t="s">
        <v>11065</v>
      </c>
      <c r="F1409" t="s">
        <v>7672</v>
      </c>
      <c r="G1409" t="s">
        <v>11066</v>
      </c>
      <c r="H1409" t="s">
        <v>8673</v>
      </c>
      <c r="I1409" t="s">
        <v>11067</v>
      </c>
      <c r="J1409" t="s">
        <v>7686</v>
      </c>
    </row>
    <row r="1410" spans="1:10" x14ac:dyDescent="0.25">
      <c r="A1410" t="s">
        <v>11101</v>
      </c>
      <c r="B1410">
        <v>7.9120000000000008</v>
      </c>
      <c r="C1410" t="s">
        <v>11102</v>
      </c>
      <c r="D1410" t="s">
        <v>3979</v>
      </c>
      <c r="E1410" t="s">
        <v>11065</v>
      </c>
      <c r="F1410" t="s">
        <v>7672</v>
      </c>
      <c r="G1410" t="s">
        <v>11066</v>
      </c>
      <c r="H1410" t="s">
        <v>8673</v>
      </c>
      <c r="I1410" t="s">
        <v>11070</v>
      </c>
      <c r="J1410" t="s">
        <v>7686</v>
      </c>
    </row>
    <row r="1411" spans="1:10" x14ac:dyDescent="0.25">
      <c r="A1411" t="s">
        <v>11103</v>
      </c>
      <c r="B1411">
        <v>7.9120000000000008</v>
      </c>
      <c r="C1411" t="s">
        <v>11104</v>
      </c>
      <c r="D1411" t="s">
        <v>5190</v>
      </c>
      <c r="E1411" t="s">
        <v>11065</v>
      </c>
      <c r="F1411" t="s">
        <v>7672</v>
      </c>
      <c r="G1411" t="s">
        <v>11066</v>
      </c>
      <c r="H1411" t="s">
        <v>8673</v>
      </c>
      <c r="I1411" t="s">
        <v>11079</v>
      </c>
      <c r="J1411" t="s">
        <v>7686</v>
      </c>
    </row>
    <row r="1412" spans="1:10" x14ac:dyDescent="0.25">
      <c r="A1412" t="s">
        <v>11105</v>
      </c>
      <c r="B1412">
        <v>7.9120000000000008</v>
      </c>
      <c r="C1412" t="s">
        <v>11106</v>
      </c>
      <c r="D1412" t="s">
        <v>6480</v>
      </c>
      <c r="E1412" t="s">
        <v>11065</v>
      </c>
      <c r="F1412" t="s">
        <v>7672</v>
      </c>
      <c r="G1412" t="s">
        <v>11066</v>
      </c>
      <c r="H1412" t="s">
        <v>8673</v>
      </c>
      <c r="I1412" t="s">
        <v>11085</v>
      </c>
      <c r="J1412" t="s">
        <v>7686</v>
      </c>
    </row>
    <row r="1413" spans="1:10" x14ac:dyDescent="0.25">
      <c r="A1413" t="s">
        <v>11107</v>
      </c>
      <c r="B1413">
        <v>7.9120000000000008</v>
      </c>
      <c r="C1413" t="s">
        <v>11108</v>
      </c>
      <c r="D1413" t="s">
        <v>3815</v>
      </c>
      <c r="E1413" t="s">
        <v>11065</v>
      </c>
      <c r="F1413" t="s">
        <v>7672</v>
      </c>
      <c r="G1413" t="s">
        <v>11066</v>
      </c>
      <c r="H1413" t="s">
        <v>8673</v>
      </c>
      <c r="I1413" t="s">
        <v>11076</v>
      </c>
      <c r="J1413" t="s">
        <v>7686</v>
      </c>
    </row>
    <row r="1414" spans="1:10" x14ac:dyDescent="0.25">
      <c r="A1414" t="s">
        <v>11109</v>
      </c>
      <c r="B1414">
        <v>7.9120000000000008</v>
      </c>
      <c r="C1414" t="s">
        <v>11110</v>
      </c>
      <c r="D1414" t="s">
        <v>3023</v>
      </c>
      <c r="E1414" t="s">
        <v>11065</v>
      </c>
      <c r="F1414" t="s">
        <v>7672</v>
      </c>
      <c r="G1414" t="s">
        <v>11066</v>
      </c>
      <c r="H1414" t="s">
        <v>8673</v>
      </c>
      <c r="I1414" t="s">
        <v>11073</v>
      </c>
      <c r="J1414" t="s">
        <v>7686</v>
      </c>
    </row>
    <row r="1415" spans="1:10" x14ac:dyDescent="0.25">
      <c r="A1415" t="s">
        <v>11111</v>
      </c>
      <c r="B1415">
        <v>7.9120000000000008</v>
      </c>
      <c r="C1415" t="s">
        <v>11112</v>
      </c>
      <c r="D1415" t="s">
        <v>11113</v>
      </c>
      <c r="E1415" t="s">
        <v>11065</v>
      </c>
      <c r="F1415" t="s">
        <v>7672</v>
      </c>
      <c r="G1415" t="s">
        <v>11066</v>
      </c>
      <c r="H1415" t="s">
        <v>8673</v>
      </c>
      <c r="I1415" t="s">
        <v>8911</v>
      </c>
      <c r="J1415" t="s">
        <v>7686</v>
      </c>
    </row>
    <row r="1416" spans="1:10" x14ac:dyDescent="0.25">
      <c r="A1416" t="s">
        <v>11114</v>
      </c>
      <c r="B1416">
        <v>7.9120000000000008</v>
      </c>
      <c r="C1416" t="s">
        <v>11115</v>
      </c>
      <c r="D1416" t="s">
        <v>7808</v>
      </c>
      <c r="E1416" t="s">
        <v>11065</v>
      </c>
      <c r="F1416" t="s">
        <v>7672</v>
      </c>
      <c r="G1416" t="s">
        <v>11066</v>
      </c>
      <c r="H1416" t="s">
        <v>8673</v>
      </c>
      <c r="I1416" t="s">
        <v>11082</v>
      </c>
      <c r="J1416" t="s">
        <v>7686</v>
      </c>
    </row>
    <row r="1417" spans="1:10" x14ac:dyDescent="0.25">
      <c r="A1417" t="s">
        <v>11116</v>
      </c>
      <c r="B1417">
        <v>7.9120000000000008</v>
      </c>
      <c r="C1417" t="s">
        <v>11117</v>
      </c>
      <c r="D1417" t="s">
        <v>1020</v>
      </c>
      <c r="E1417" t="s">
        <v>11065</v>
      </c>
      <c r="F1417" t="s">
        <v>7672</v>
      </c>
      <c r="G1417" t="s">
        <v>11066</v>
      </c>
      <c r="H1417" t="s">
        <v>8673</v>
      </c>
      <c r="I1417" t="s">
        <v>11091</v>
      </c>
      <c r="J1417" t="s">
        <v>7686</v>
      </c>
    </row>
    <row r="1418" spans="1:10" x14ac:dyDescent="0.25">
      <c r="A1418" t="s">
        <v>11118</v>
      </c>
      <c r="B1418">
        <v>7.9120000000000008</v>
      </c>
      <c r="C1418" t="s">
        <v>11119</v>
      </c>
      <c r="D1418" t="s">
        <v>240</v>
      </c>
      <c r="E1418" t="s">
        <v>11065</v>
      </c>
      <c r="F1418" t="s">
        <v>7672</v>
      </c>
      <c r="G1418" t="s">
        <v>11066</v>
      </c>
      <c r="H1418" t="s">
        <v>8673</v>
      </c>
      <c r="I1418" t="s">
        <v>11088</v>
      </c>
      <c r="J1418" t="s">
        <v>7703</v>
      </c>
    </row>
    <row r="1419" spans="1:10" x14ac:dyDescent="0.25">
      <c r="A1419" t="s">
        <v>11120</v>
      </c>
      <c r="B1419">
        <v>7.9120000000000008</v>
      </c>
      <c r="C1419" t="s">
        <v>11121</v>
      </c>
      <c r="D1419" t="s">
        <v>11122</v>
      </c>
      <c r="E1419" t="s">
        <v>11065</v>
      </c>
      <c r="F1419" t="s">
        <v>7672</v>
      </c>
      <c r="G1419" t="s">
        <v>11066</v>
      </c>
      <c r="H1419" t="s">
        <v>8673</v>
      </c>
      <c r="I1419" t="s">
        <v>11067</v>
      </c>
      <c r="J1419" t="s">
        <v>7703</v>
      </c>
    </row>
    <row r="1420" spans="1:10" x14ac:dyDescent="0.25">
      <c r="A1420" t="s">
        <v>11123</v>
      </c>
      <c r="B1420">
        <v>7.9120000000000008</v>
      </c>
      <c r="C1420" t="s">
        <v>11124</v>
      </c>
      <c r="D1420" t="s">
        <v>3905</v>
      </c>
      <c r="E1420" t="s">
        <v>11065</v>
      </c>
      <c r="F1420" t="s">
        <v>7672</v>
      </c>
      <c r="G1420" t="s">
        <v>11066</v>
      </c>
      <c r="H1420" t="s">
        <v>8673</v>
      </c>
      <c r="I1420" t="s">
        <v>11079</v>
      </c>
      <c r="J1420" t="s">
        <v>7703</v>
      </c>
    </row>
    <row r="1421" spans="1:10" x14ac:dyDescent="0.25">
      <c r="A1421" t="s">
        <v>11125</v>
      </c>
      <c r="B1421">
        <v>7.9120000000000008</v>
      </c>
      <c r="C1421" t="s">
        <v>11126</v>
      </c>
      <c r="D1421" t="s">
        <v>996</v>
      </c>
      <c r="E1421" t="s">
        <v>11065</v>
      </c>
      <c r="F1421" t="s">
        <v>7672</v>
      </c>
      <c r="G1421" t="s">
        <v>11066</v>
      </c>
      <c r="H1421" t="s">
        <v>8673</v>
      </c>
      <c r="I1421" t="s">
        <v>11076</v>
      </c>
      <c r="J1421" t="s">
        <v>7703</v>
      </c>
    </row>
    <row r="1422" spans="1:10" x14ac:dyDescent="0.25">
      <c r="A1422" t="s">
        <v>11127</v>
      </c>
      <c r="B1422">
        <v>7.9120000000000008</v>
      </c>
      <c r="C1422" t="s">
        <v>11128</v>
      </c>
      <c r="D1422" t="s">
        <v>2879</v>
      </c>
      <c r="E1422" t="s">
        <v>11065</v>
      </c>
      <c r="F1422" t="s">
        <v>7672</v>
      </c>
      <c r="G1422" t="s">
        <v>11066</v>
      </c>
      <c r="H1422" t="s">
        <v>8673</v>
      </c>
      <c r="I1422" t="s">
        <v>11085</v>
      </c>
      <c r="J1422" t="s">
        <v>7703</v>
      </c>
    </row>
    <row r="1423" spans="1:10" x14ac:dyDescent="0.25">
      <c r="A1423" t="s">
        <v>11129</v>
      </c>
      <c r="B1423">
        <v>7.9120000000000008</v>
      </c>
      <c r="C1423" t="s">
        <v>11130</v>
      </c>
      <c r="D1423" t="s">
        <v>6893</v>
      </c>
      <c r="E1423" t="s">
        <v>11065</v>
      </c>
      <c r="F1423" t="s">
        <v>7672</v>
      </c>
      <c r="G1423" t="s">
        <v>11066</v>
      </c>
      <c r="H1423" t="s">
        <v>8673</v>
      </c>
      <c r="I1423" t="s">
        <v>11082</v>
      </c>
      <c r="J1423" t="s">
        <v>7703</v>
      </c>
    </row>
    <row r="1424" spans="1:10" x14ac:dyDescent="0.25">
      <c r="A1424" t="s">
        <v>11131</v>
      </c>
      <c r="B1424">
        <v>7.9120000000000008</v>
      </c>
      <c r="C1424" t="s">
        <v>11132</v>
      </c>
      <c r="D1424" t="s">
        <v>11133</v>
      </c>
      <c r="E1424" t="s">
        <v>11065</v>
      </c>
      <c r="F1424" t="s">
        <v>7672</v>
      </c>
      <c r="G1424" t="s">
        <v>11066</v>
      </c>
      <c r="H1424" t="s">
        <v>8673</v>
      </c>
      <c r="I1424" t="s">
        <v>8911</v>
      </c>
      <c r="J1424" t="s">
        <v>7703</v>
      </c>
    </row>
    <row r="1425" spans="1:10" x14ac:dyDescent="0.25">
      <c r="A1425" t="s">
        <v>11134</v>
      </c>
      <c r="B1425">
        <v>7.9120000000000008</v>
      </c>
      <c r="C1425" t="s">
        <v>11135</v>
      </c>
      <c r="D1425" t="s">
        <v>8843</v>
      </c>
      <c r="E1425" t="s">
        <v>11065</v>
      </c>
      <c r="F1425" t="s">
        <v>7672</v>
      </c>
      <c r="G1425" t="s">
        <v>11066</v>
      </c>
      <c r="H1425" t="s">
        <v>8673</v>
      </c>
      <c r="I1425" t="s">
        <v>11070</v>
      </c>
      <c r="J1425" t="s">
        <v>7703</v>
      </c>
    </row>
    <row r="1426" spans="1:10" x14ac:dyDescent="0.25">
      <c r="A1426" t="s">
        <v>11136</v>
      </c>
      <c r="B1426">
        <v>7.9120000000000008</v>
      </c>
      <c r="C1426" t="s">
        <v>11137</v>
      </c>
      <c r="D1426" t="s">
        <v>996</v>
      </c>
      <c r="E1426" t="s">
        <v>11065</v>
      </c>
      <c r="F1426" t="s">
        <v>7672</v>
      </c>
      <c r="G1426" t="s">
        <v>11066</v>
      </c>
      <c r="H1426" t="s">
        <v>8673</v>
      </c>
      <c r="I1426" t="s">
        <v>11091</v>
      </c>
      <c r="J1426" t="s">
        <v>7703</v>
      </c>
    </row>
    <row r="1427" spans="1:10" x14ac:dyDescent="0.25">
      <c r="A1427" t="s">
        <v>11138</v>
      </c>
      <c r="B1427">
        <v>7.9120000000000008</v>
      </c>
      <c r="C1427" t="s">
        <v>11139</v>
      </c>
      <c r="D1427" t="s">
        <v>11140</v>
      </c>
      <c r="E1427" t="s">
        <v>11065</v>
      </c>
      <c r="F1427" t="s">
        <v>7672</v>
      </c>
      <c r="G1427" t="s">
        <v>11066</v>
      </c>
      <c r="H1427" t="s">
        <v>8673</v>
      </c>
      <c r="I1427" t="s">
        <v>11067</v>
      </c>
      <c r="J1427" t="s">
        <v>7713</v>
      </c>
    </row>
    <row r="1428" spans="1:10" x14ac:dyDescent="0.25">
      <c r="A1428" t="s">
        <v>11141</v>
      </c>
      <c r="B1428">
        <v>7.9120000000000008</v>
      </c>
      <c r="C1428" t="s">
        <v>11142</v>
      </c>
      <c r="D1428" t="s">
        <v>11143</v>
      </c>
      <c r="E1428" t="s">
        <v>11065</v>
      </c>
      <c r="F1428" t="s">
        <v>7672</v>
      </c>
      <c r="G1428" t="s">
        <v>11066</v>
      </c>
      <c r="H1428" t="s">
        <v>8673</v>
      </c>
      <c r="I1428" t="s">
        <v>8911</v>
      </c>
      <c r="J1428" t="s">
        <v>7713</v>
      </c>
    </row>
    <row r="1429" spans="1:10" x14ac:dyDescent="0.25">
      <c r="A1429" t="s">
        <v>11144</v>
      </c>
      <c r="B1429">
        <v>7.9120000000000008</v>
      </c>
      <c r="C1429" t="s">
        <v>11145</v>
      </c>
      <c r="D1429" t="s">
        <v>11146</v>
      </c>
      <c r="E1429" t="s">
        <v>11065</v>
      </c>
      <c r="F1429" t="s">
        <v>7672</v>
      </c>
      <c r="G1429" t="s">
        <v>11066</v>
      </c>
      <c r="H1429" t="s">
        <v>8673</v>
      </c>
      <c r="I1429" t="s">
        <v>11079</v>
      </c>
      <c r="J1429" t="s">
        <v>7713</v>
      </c>
    </row>
    <row r="1430" spans="1:10" x14ac:dyDescent="0.25">
      <c r="A1430" t="s">
        <v>11147</v>
      </c>
      <c r="B1430">
        <v>7.9120000000000008</v>
      </c>
      <c r="C1430" t="s">
        <v>11148</v>
      </c>
      <c r="D1430" t="s">
        <v>53</v>
      </c>
      <c r="E1430" t="s">
        <v>11065</v>
      </c>
      <c r="F1430" t="s">
        <v>7672</v>
      </c>
      <c r="G1430" t="s">
        <v>11066</v>
      </c>
      <c r="H1430" t="s">
        <v>8673</v>
      </c>
      <c r="I1430" t="s">
        <v>11076</v>
      </c>
      <c r="J1430" t="s">
        <v>7713</v>
      </c>
    </row>
    <row r="1431" spans="1:10" x14ac:dyDescent="0.25">
      <c r="A1431" t="s">
        <v>11149</v>
      </c>
      <c r="B1431">
        <v>7.9120000000000008</v>
      </c>
      <c r="C1431" t="s">
        <v>11150</v>
      </c>
      <c r="D1431" t="s">
        <v>6257</v>
      </c>
      <c r="E1431" t="s">
        <v>11065</v>
      </c>
      <c r="F1431" t="s">
        <v>7672</v>
      </c>
      <c r="G1431" t="s">
        <v>11066</v>
      </c>
      <c r="H1431" t="s">
        <v>8673</v>
      </c>
      <c r="I1431" t="s">
        <v>11082</v>
      </c>
      <c r="J1431" t="s">
        <v>7713</v>
      </c>
    </row>
    <row r="1432" spans="1:10" x14ac:dyDescent="0.25">
      <c r="A1432" t="s">
        <v>11151</v>
      </c>
      <c r="B1432">
        <v>7.9120000000000008</v>
      </c>
      <c r="C1432" t="s">
        <v>11152</v>
      </c>
      <c r="D1432" t="s">
        <v>8217</v>
      </c>
      <c r="E1432" t="s">
        <v>11065</v>
      </c>
      <c r="F1432" t="s">
        <v>7672</v>
      </c>
      <c r="G1432" t="s">
        <v>11066</v>
      </c>
      <c r="H1432" t="s">
        <v>8673</v>
      </c>
      <c r="I1432" t="s">
        <v>11070</v>
      </c>
      <c r="J1432" t="s">
        <v>7713</v>
      </c>
    </row>
    <row r="1433" spans="1:10" x14ac:dyDescent="0.25">
      <c r="A1433" t="s">
        <v>11153</v>
      </c>
      <c r="B1433">
        <v>7.9120000000000008</v>
      </c>
      <c r="C1433" t="s">
        <v>11154</v>
      </c>
      <c r="D1433" t="s">
        <v>613</v>
      </c>
      <c r="E1433" t="s">
        <v>11065</v>
      </c>
      <c r="F1433" t="s">
        <v>7672</v>
      </c>
      <c r="G1433" t="s">
        <v>11066</v>
      </c>
      <c r="H1433" t="s">
        <v>8673</v>
      </c>
      <c r="I1433" t="s">
        <v>11091</v>
      </c>
      <c r="J1433" t="s">
        <v>7713</v>
      </c>
    </row>
    <row r="1434" spans="1:10" x14ac:dyDescent="0.25">
      <c r="A1434" t="s">
        <v>11155</v>
      </c>
      <c r="B1434">
        <v>7.9120000000000008</v>
      </c>
      <c r="C1434" t="s">
        <v>11156</v>
      </c>
      <c r="D1434" t="s">
        <v>3577</v>
      </c>
      <c r="E1434" t="s">
        <v>11065</v>
      </c>
      <c r="F1434" t="s">
        <v>7672</v>
      </c>
      <c r="G1434" t="s">
        <v>11066</v>
      </c>
      <c r="H1434" t="s">
        <v>8673</v>
      </c>
      <c r="I1434" t="s">
        <v>11088</v>
      </c>
      <c r="J1434" t="s">
        <v>7719</v>
      </c>
    </row>
    <row r="1435" spans="1:10" x14ac:dyDescent="0.25">
      <c r="A1435" t="s">
        <v>11157</v>
      </c>
      <c r="B1435">
        <v>7.9120000000000008</v>
      </c>
      <c r="C1435" t="s">
        <v>11158</v>
      </c>
      <c r="D1435" t="s">
        <v>1800</v>
      </c>
      <c r="E1435" t="s">
        <v>11065</v>
      </c>
      <c r="F1435" t="s">
        <v>7672</v>
      </c>
      <c r="G1435" t="s">
        <v>11066</v>
      </c>
      <c r="H1435" t="s">
        <v>8673</v>
      </c>
      <c r="I1435" t="s">
        <v>11067</v>
      </c>
      <c r="J1435" t="s">
        <v>7719</v>
      </c>
    </row>
    <row r="1436" spans="1:10" x14ac:dyDescent="0.25">
      <c r="A1436" t="s">
        <v>11159</v>
      </c>
      <c r="B1436">
        <v>7.9120000000000008</v>
      </c>
      <c r="C1436" t="s">
        <v>11160</v>
      </c>
      <c r="D1436" t="s">
        <v>9254</v>
      </c>
      <c r="E1436" t="s">
        <v>11065</v>
      </c>
      <c r="F1436" t="s">
        <v>7672</v>
      </c>
      <c r="G1436" t="s">
        <v>11066</v>
      </c>
      <c r="H1436" t="s">
        <v>8673</v>
      </c>
      <c r="I1436" t="s">
        <v>8911</v>
      </c>
      <c r="J1436" t="s">
        <v>7719</v>
      </c>
    </row>
    <row r="1437" spans="1:10" x14ac:dyDescent="0.25">
      <c r="A1437" t="s">
        <v>11161</v>
      </c>
      <c r="B1437">
        <v>7.9120000000000008</v>
      </c>
      <c r="C1437" t="s">
        <v>11162</v>
      </c>
      <c r="D1437" t="s">
        <v>2587</v>
      </c>
      <c r="E1437" t="s">
        <v>11065</v>
      </c>
      <c r="F1437" t="s">
        <v>7672</v>
      </c>
      <c r="G1437" t="s">
        <v>11066</v>
      </c>
      <c r="H1437" t="s">
        <v>8673</v>
      </c>
      <c r="I1437" t="s">
        <v>11079</v>
      </c>
      <c r="J1437" t="s">
        <v>7719</v>
      </c>
    </row>
    <row r="1438" spans="1:10" x14ac:dyDescent="0.25">
      <c r="A1438" t="s">
        <v>11163</v>
      </c>
      <c r="B1438">
        <v>7.9120000000000008</v>
      </c>
      <c r="C1438" t="s">
        <v>11164</v>
      </c>
      <c r="D1438" t="s">
        <v>245</v>
      </c>
      <c r="E1438" t="s">
        <v>11065</v>
      </c>
      <c r="F1438" t="s">
        <v>7672</v>
      </c>
      <c r="G1438" t="s">
        <v>11066</v>
      </c>
      <c r="H1438" t="s">
        <v>8673</v>
      </c>
      <c r="I1438" t="s">
        <v>11076</v>
      </c>
      <c r="J1438" t="s">
        <v>7719</v>
      </c>
    </row>
    <row r="1439" spans="1:10" x14ac:dyDescent="0.25">
      <c r="A1439" t="s">
        <v>11165</v>
      </c>
      <c r="B1439">
        <v>7.9120000000000008</v>
      </c>
      <c r="C1439" t="s">
        <v>11166</v>
      </c>
      <c r="D1439" t="s">
        <v>2762</v>
      </c>
      <c r="E1439" t="s">
        <v>11065</v>
      </c>
      <c r="F1439" t="s">
        <v>7672</v>
      </c>
      <c r="G1439" t="s">
        <v>11066</v>
      </c>
      <c r="H1439" t="s">
        <v>8673</v>
      </c>
      <c r="I1439" t="s">
        <v>11082</v>
      </c>
      <c r="J1439" t="s">
        <v>7719</v>
      </c>
    </row>
    <row r="1440" spans="1:10" x14ac:dyDescent="0.25">
      <c r="A1440" t="s">
        <v>11167</v>
      </c>
      <c r="B1440">
        <v>7.9120000000000008</v>
      </c>
      <c r="C1440" t="s">
        <v>11168</v>
      </c>
      <c r="D1440" t="s">
        <v>8073</v>
      </c>
      <c r="E1440" t="s">
        <v>11065</v>
      </c>
      <c r="F1440" t="s">
        <v>7672</v>
      </c>
      <c r="G1440" t="s">
        <v>11066</v>
      </c>
      <c r="H1440" t="s">
        <v>8673</v>
      </c>
      <c r="I1440" t="s">
        <v>11070</v>
      </c>
      <c r="J1440" t="s">
        <v>7719</v>
      </c>
    </row>
    <row r="1441" spans="1:10" x14ac:dyDescent="0.25">
      <c r="A1441" t="s">
        <v>11169</v>
      </c>
      <c r="B1441">
        <v>7.9120000000000008</v>
      </c>
      <c r="C1441" t="s">
        <v>11170</v>
      </c>
      <c r="D1441" t="s">
        <v>379</v>
      </c>
      <c r="E1441" t="s">
        <v>11065</v>
      </c>
      <c r="F1441" t="s">
        <v>7672</v>
      </c>
      <c r="G1441" t="s">
        <v>11066</v>
      </c>
      <c r="H1441" t="s">
        <v>8673</v>
      </c>
      <c r="I1441" t="s">
        <v>11091</v>
      </c>
      <c r="J1441" t="s">
        <v>7719</v>
      </c>
    </row>
    <row r="1442" spans="1:10" x14ac:dyDescent="0.25">
      <c r="A1442" t="s">
        <v>11171</v>
      </c>
      <c r="B1442">
        <v>7.9120000000000008</v>
      </c>
      <c r="C1442" t="s">
        <v>11172</v>
      </c>
      <c r="D1442" t="s">
        <v>301</v>
      </c>
      <c r="E1442" t="s">
        <v>11065</v>
      </c>
      <c r="F1442" t="s">
        <v>7672</v>
      </c>
      <c r="G1442" t="s">
        <v>11066</v>
      </c>
      <c r="H1442" t="s">
        <v>8673</v>
      </c>
      <c r="I1442" t="s">
        <v>11073</v>
      </c>
      <c r="J1442" t="s">
        <v>7719</v>
      </c>
    </row>
    <row r="1443" spans="1:10" x14ac:dyDescent="0.25">
      <c r="A1443" t="s">
        <v>2490</v>
      </c>
      <c r="B1443">
        <v>14.992000000000001</v>
      </c>
      <c r="C1443" t="s">
        <v>2492</v>
      </c>
      <c r="D1443" t="s">
        <v>2495</v>
      </c>
      <c r="E1443" t="s">
        <v>2493</v>
      </c>
      <c r="F1443" t="s">
        <v>7672</v>
      </c>
      <c r="G1443" t="s">
        <v>11173</v>
      </c>
      <c r="H1443" t="s">
        <v>11174</v>
      </c>
      <c r="I1443" t="s">
        <v>11175</v>
      </c>
      <c r="J1443" t="s">
        <v>9694</v>
      </c>
    </row>
    <row r="1444" spans="1:10" x14ac:dyDescent="0.25">
      <c r="A1444" t="s">
        <v>11176</v>
      </c>
      <c r="B1444">
        <v>12.592000000000001</v>
      </c>
      <c r="C1444" t="s">
        <v>11177</v>
      </c>
      <c r="D1444" t="s">
        <v>53</v>
      </c>
      <c r="E1444" t="s">
        <v>11178</v>
      </c>
      <c r="F1444" t="s">
        <v>7672</v>
      </c>
      <c r="G1444" t="s">
        <v>11179</v>
      </c>
      <c r="H1444" t="s">
        <v>9127</v>
      </c>
      <c r="I1444" t="s">
        <v>11180</v>
      </c>
      <c r="J1444" t="s">
        <v>7942</v>
      </c>
    </row>
    <row r="1445" spans="1:10" x14ac:dyDescent="0.25">
      <c r="A1445" t="s">
        <v>11181</v>
      </c>
      <c r="B1445">
        <v>12.592000000000001</v>
      </c>
      <c r="C1445" t="s">
        <v>11182</v>
      </c>
      <c r="D1445" t="s">
        <v>366</v>
      </c>
      <c r="E1445" t="s">
        <v>11178</v>
      </c>
      <c r="F1445" t="s">
        <v>7672</v>
      </c>
      <c r="G1445" t="s">
        <v>11179</v>
      </c>
      <c r="H1445" t="s">
        <v>9127</v>
      </c>
      <c r="I1445" t="s">
        <v>11180</v>
      </c>
      <c r="J1445" t="s">
        <v>7984</v>
      </c>
    </row>
    <row r="1446" spans="1:10" x14ac:dyDescent="0.25">
      <c r="A1446" t="s">
        <v>11183</v>
      </c>
      <c r="B1446">
        <v>12.592000000000001</v>
      </c>
      <c r="C1446" t="s">
        <v>11184</v>
      </c>
      <c r="D1446" t="s">
        <v>113</v>
      </c>
      <c r="E1446" t="s">
        <v>11178</v>
      </c>
      <c r="F1446" t="s">
        <v>7672</v>
      </c>
      <c r="G1446" t="s">
        <v>11179</v>
      </c>
      <c r="H1446" t="s">
        <v>9127</v>
      </c>
      <c r="I1446" t="s">
        <v>11180</v>
      </c>
      <c r="J1446" t="s">
        <v>7987</v>
      </c>
    </row>
    <row r="1447" spans="1:10" x14ac:dyDescent="0.25">
      <c r="A1447" t="s">
        <v>11185</v>
      </c>
      <c r="B1447">
        <v>12.592000000000001</v>
      </c>
      <c r="C1447" t="s">
        <v>11186</v>
      </c>
      <c r="D1447" t="s">
        <v>436</v>
      </c>
      <c r="E1447" t="s">
        <v>11178</v>
      </c>
      <c r="F1447" t="s">
        <v>7672</v>
      </c>
      <c r="G1447" t="s">
        <v>11179</v>
      </c>
      <c r="H1447" t="s">
        <v>9127</v>
      </c>
      <c r="I1447" t="s">
        <v>11180</v>
      </c>
      <c r="J1447" t="s">
        <v>8001</v>
      </c>
    </row>
    <row r="1448" spans="1:10" x14ac:dyDescent="0.25">
      <c r="A1448" t="s">
        <v>11187</v>
      </c>
      <c r="B1448">
        <v>12.592000000000001</v>
      </c>
      <c r="C1448" t="s">
        <v>11188</v>
      </c>
      <c r="D1448" t="s">
        <v>776</v>
      </c>
      <c r="E1448" t="s">
        <v>11178</v>
      </c>
      <c r="F1448" t="s">
        <v>7672</v>
      </c>
      <c r="G1448" t="s">
        <v>11179</v>
      </c>
      <c r="H1448" t="s">
        <v>9127</v>
      </c>
      <c r="I1448" t="s">
        <v>11189</v>
      </c>
      <c r="J1448" t="s">
        <v>8001</v>
      </c>
    </row>
    <row r="1449" spans="1:10" x14ac:dyDescent="0.25">
      <c r="A1449" t="s">
        <v>11190</v>
      </c>
      <c r="B1449">
        <v>12.592000000000001</v>
      </c>
      <c r="C1449" t="s">
        <v>11191</v>
      </c>
      <c r="D1449" t="s">
        <v>113</v>
      </c>
      <c r="E1449" t="s">
        <v>11178</v>
      </c>
      <c r="F1449" t="s">
        <v>7672</v>
      </c>
      <c r="G1449" t="s">
        <v>11179</v>
      </c>
      <c r="H1449" t="s">
        <v>9127</v>
      </c>
      <c r="I1449" t="s">
        <v>11192</v>
      </c>
      <c r="J1449" t="s">
        <v>8001</v>
      </c>
    </row>
    <row r="1450" spans="1:10" x14ac:dyDescent="0.25">
      <c r="A1450" t="s">
        <v>11193</v>
      </c>
      <c r="B1450">
        <v>12.592000000000001</v>
      </c>
      <c r="C1450" t="s">
        <v>11194</v>
      </c>
      <c r="D1450" t="s">
        <v>671</v>
      </c>
      <c r="E1450" t="s">
        <v>11178</v>
      </c>
      <c r="F1450" t="s">
        <v>7672</v>
      </c>
      <c r="G1450" t="s">
        <v>11179</v>
      </c>
      <c r="H1450" t="s">
        <v>9127</v>
      </c>
      <c r="I1450" t="s">
        <v>11180</v>
      </c>
      <c r="J1450" t="s">
        <v>8013</v>
      </c>
    </row>
    <row r="1451" spans="1:10" x14ac:dyDescent="0.25">
      <c r="A1451" t="s">
        <v>11195</v>
      </c>
      <c r="B1451">
        <v>12.592000000000001</v>
      </c>
      <c r="C1451" t="s">
        <v>11196</v>
      </c>
      <c r="D1451" t="s">
        <v>95</v>
      </c>
      <c r="E1451" t="s">
        <v>11178</v>
      </c>
      <c r="F1451" t="s">
        <v>7672</v>
      </c>
      <c r="G1451" t="s">
        <v>11179</v>
      </c>
      <c r="H1451" t="s">
        <v>9127</v>
      </c>
      <c r="I1451" t="s">
        <v>11197</v>
      </c>
      <c r="J1451" t="s">
        <v>8013</v>
      </c>
    </row>
    <row r="1452" spans="1:10" x14ac:dyDescent="0.25">
      <c r="A1452" t="s">
        <v>11198</v>
      </c>
      <c r="B1452">
        <v>12.592000000000001</v>
      </c>
      <c r="C1452" t="s">
        <v>11199</v>
      </c>
      <c r="D1452" t="s">
        <v>124</v>
      </c>
      <c r="E1452" t="s">
        <v>11178</v>
      </c>
      <c r="F1452" t="s">
        <v>7672</v>
      </c>
      <c r="G1452" t="s">
        <v>11179</v>
      </c>
      <c r="H1452" t="s">
        <v>9127</v>
      </c>
      <c r="I1452" t="s">
        <v>11189</v>
      </c>
      <c r="J1452" t="s">
        <v>8013</v>
      </c>
    </row>
    <row r="1453" spans="1:10" x14ac:dyDescent="0.25">
      <c r="A1453" t="s">
        <v>11200</v>
      </c>
      <c r="B1453">
        <v>12.592000000000001</v>
      </c>
      <c r="C1453" t="s">
        <v>11201</v>
      </c>
      <c r="D1453" t="s">
        <v>124</v>
      </c>
      <c r="E1453" t="s">
        <v>11178</v>
      </c>
      <c r="F1453" t="s">
        <v>7672</v>
      </c>
      <c r="G1453" t="s">
        <v>11179</v>
      </c>
      <c r="H1453" t="s">
        <v>9127</v>
      </c>
      <c r="I1453" t="s">
        <v>11192</v>
      </c>
      <c r="J1453" t="s">
        <v>8013</v>
      </c>
    </row>
    <row r="1454" spans="1:10" x14ac:dyDescent="0.25">
      <c r="A1454" t="s">
        <v>11202</v>
      </c>
      <c r="B1454">
        <v>7.6959999999999997</v>
      </c>
      <c r="C1454" t="s">
        <v>11203</v>
      </c>
      <c r="D1454" t="s">
        <v>4679</v>
      </c>
      <c r="E1454" t="s">
        <v>11204</v>
      </c>
      <c r="F1454" t="s">
        <v>7672</v>
      </c>
      <c r="G1454" t="s">
        <v>11205</v>
      </c>
      <c r="H1454" t="s">
        <v>8027</v>
      </c>
      <c r="I1454" t="s">
        <v>11206</v>
      </c>
      <c r="J1454" t="s">
        <v>7942</v>
      </c>
    </row>
    <row r="1455" spans="1:10" x14ac:dyDescent="0.25">
      <c r="A1455" t="s">
        <v>11207</v>
      </c>
      <c r="B1455">
        <v>7.6959999999999997</v>
      </c>
      <c r="C1455" t="s">
        <v>11208</v>
      </c>
      <c r="D1455" t="s">
        <v>245</v>
      </c>
      <c r="E1455" t="s">
        <v>11204</v>
      </c>
      <c r="F1455" t="s">
        <v>7672</v>
      </c>
      <c r="G1455" t="s">
        <v>11205</v>
      </c>
      <c r="H1455" t="s">
        <v>8027</v>
      </c>
      <c r="I1455" t="s">
        <v>11209</v>
      </c>
      <c r="J1455" t="s">
        <v>7942</v>
      </c>
    </row>
    <row r="1456" spans="1:10" x14ac:dyDescent="0.25">
      <c r="A1456" t="s">
        <v>11210</v>
      </c>
      <c r="B1456">
        <v>7.6959999999999997</v>
      </c>
      <c r="C1456" t="s">
        <v>11211</v>
      </c>
      <c r="D1456" t="s">
        <v>2910</v>
      </c>
      <c r="E1456" t="s">
        <v>11204</v>
      </c>
      <c r="F1456" t="s">
        <v>7672</v>
      </c>
      <c r="G1456" t="s">
        <v>11205</v>
      </c>
      <c r="H1456" t="s">
        <v>8027</v>
      </c>
      <c r="I1456" t="s">
        <v>11212</v>
      </c>
      <c r="J1456" t="s">
        <v>7942</v>
      </c>
    </row>
    <row r="1457" spans="1:10" x14ac:dyDescent="0.25">
      <c r="A1457" t="s">
        <v>11213</v>
      </c>
      <c r="B1457">
        <v>7.6959999999999997</v>
      </c>
      <c r="C1457" t="s">
        <v>11214</v>
      </c>
      <c r="D1457" t="s">
        <v>926</v>
      </c>
      <c r="E1457" t="s">
        <v>11204</v>
      </c>
      <c r="F1457" t="s">
        <v>7672</v>
      </c>
      <c r="G1457" t="s">
        <v>11205</v>
      </c>
      <c r="H1457" t="s">
        <v>8027</v>
      </c>
      <c r="I1457" t="s">
        <v>11215</v>
      </c>
      <c r="J1457" t="s">
        <v>7942</v>
      </c>
    </row>
    <row r="1458" spans="1:10" x14ac:dyDescent="0.25">
      <c r="A1458" t="s">
        <v>11216</v>
      </c>
      <c r="B1458">
        <v>7.6959999999999997</v>
      </c>
      <c r="C1458" t="s">
        <v>11217</v>
      </c>
      <c r="D1458" t="s">
        <v>2697</v>
      </c>
      <c r="E1458" t="s">
        <v>11204</v>
      </c>
      <c r="F1458" t="s">
        <v>7672</v>
      </c>
      <c r="G1458" t="s">
        <v>11205</v>
      </c>
      <c r="H1458" t="s">
        <v>8027</v>
      </c>
      <c r="I1458" t="s">
        <v>8171</v>
      </c>
      <c r="J1458" t="s">
        <v>7942</v>
      </c>
    </row>
    <row r="1459" spans="1:10" x14ac:dyDescent="0.25">
      <c r="A1459" t="s">
        <v>11218</v>
      </c>
      <c r="B1459">
        <v>7.6959999999999997</v>
      </c>
      <c r="C1459" t="s">
        <v>11219</v>
      </c>
      <c r="D1459" t="s">
        <v>626</v>
      </c>
      <c r="E1459" t="s">
        <v>11204</v>
      </c>
      <c r="F1459" t="s">
        <v>7672</v>
      </c>
      <c r="G1459" t="s">
        <v>11205</v>
      </c>
      <c r="H1459" t="s">
        <v>8027</v>
      </c>
      <c r="I1459" t="s">
        <v>11220</v>
      </c>
      <c r="J1459" t="s">
        <v>7942</v>
      </c>
    </row>
    <row r="1460" spans="1:10" x14ac:dyDescent="0.25">
      <c r="A1460" t="s">
        <v>11221</v>
      </c>
      <c r="B1460">
        <v>7.6959999999999997</v>
      </c>
      <c r="C1460" t="s">
        <v>11222</v>
      </c>
      <c r="D1460" t="s">
        <v>3572</v>
      </c>
      <c r="E1460" t="s">
        <v>11204</v>
      </c>
      <c r="F1460" t="s">
        <v>7672</v>
      </c>
      <c r="G1460" t="s">
        <v>11205</v>
      </c>
      <c r="H1460" t="s">
        <v>8027</v>
      </c>
      <c r="I1460" t="s">
        <v>11223</v>
      </c>
      <c r="J1460" t="s">
        <v>7942</v>
      </c>
    </row>
    <row r="1461" spans="1:10" x14ac:dyDescent="0.25">
      <c r="A1461" t="s">
        <v>11224</v>
      </c>
      <c r="B1461">
        <v>7.6959999999999997</v>
      </c>
      <c r="C1461" t="s">
        <v>11225</v>
      </c>
      <c r="D1461" t="s">
        <v>11226</v>
      </c>
      <c r="E1461" t="s">
        <v>11204</v>
      </c>
      <c r="F1461" t="s">
        <v>7672</v>
      </c>
      <c r="G1461" t="s">
        <v>11205</v>
      </c>
      <c r="H1461" t="s">
        <v>8027</v>
      </c>
      <c r="I1461" t="s">
        <v>11206</v>
      </c>
      <c r="J1461" t="s">
        <v>7981</v>
      </c>
    </row>
    <row r="1462" spans="1:10" x14ac:dyDescent="0.25">
      <c r="A1462" t="s">
        <v>11227</v>
      </c>
      <c r="B1462">
        <v>7.6959999999999997</v>
      </c>
      <c r="C1462" t="s">
        <v>11228</v>
      </c>
      <c r="D1462" t="s">
        <v>3470</v>
      </c>
      <c r="E1462" t="s">
        <v>11204</v>
      </c>
      <c r="F1462" t="s">
        <v>7672</v>
      </c>
      <c r="G1462" t="s">
        <v>11205</v>
      </c>
      <c r="H1462" t="s">
        <v>8027</v>
      </c>
      <c r="I1462" t="s">
        <v>11209</v>
      </c>
      <c r="J1462" t="s">
        <v>7981</v>
      </c>
    </row>
    <row r="1463" spans="1:10" x14ac:dyDescent="0.25">
      <c r="A1463" t="s">
        <v>11229</v>
      </c>
      <c r="B1463">
        <v>7.6959999999999997</v>
      </c>
      <c r="C1463" t="s">
        <v>11230</v>
      </c>
      <c r="D1463" t="s">
        <v>3175</v>
      </c>
      <c r="E1463" t="s">
        <v>11204</v>
      </c>
      <c r="F1463" t="s">
        <v>7672</v>
      </c>
      <c r="G1463" t="s">
        <v>11205</v>
      </c>
      <c r="H1463" t="s">
        <v>8027</v>
      </c>
      <c r="I1463" t="s">
        <v>11212</v>
      </c>
      <c r="J1463" t="s">
        <v>7981</v>
      </c>
    </row>
    <row r="1464" spans="1:10" x14ac:dyDescent="0.25">
      <c r="A1464" t="s">
        <v>11231</v>
      </c>
      <c r="B1464">
        <v>7.6959999999999997</v>
      </c>
      <c r="C1464" t="s">
        <v>11232</v>
      </c>
      <c r="D1464" t="s">
        <v>3974</v>
      </c>
      <c r="E1464" t="s">
        <v>11204</v>
      </c>
      <c r="F1464" t="s">
        <v>7672</v>
      </c>
      <c r="G1464" t="s">
        <v>11205</v>
      </c>
      <c r="H1464" t="s">
        <v>8027</v>
      </c>
      <c r="I1464" t="s">
        <v>11215</v>
      </c>
      <c r="J1464" t="s">
        <v>7981</v>
      </c>
    </row>
    <row r="1465" spans="1:10" x14ac:dyDescent="0.25">
      <c r="A1465" t="s">
        <v>11233</v>
      </c>
      <c r="B1465">
        <v>7.6959999999999997</v>
      </c>
      <c r="C1465" t="s">
        <v>11234</v>
      </c>
      <c r="D1465" t="s">
        <v>2099</v>
      </c>
      <c r="E1465" t="s">
        <v>11204</v>
      </c>
      <c r="F1465" t="s">
        <v>7672</v>
      </c>
      <c r="G1465" t="s">
        <v>11205</v>
      </c>
      <c r="H1465" t="s">
        <v>8027</v>
      </c>
      <c r="I1465" t="s">
        <v>8171</v>
      </c>
      <c r="J1465" t="s">
        <v>7981</v>
      </c>
    </row>
    <row r="1466" spans="1:10" x14ac:dyDescent="0.25">
      <c r="A1466" t="s">
        <v>11235</v>
      </c>
      <c r="B1466">
        <v>7.6959999999999997</v>
      </c>
      <c r="C1466" t="s">
        <v>11236</v>
      </c>
      <c r="D1466" t="s">
        <v>9124</v>
      </c>
      <c r="E1466" t="s">
        <v>11204</v>
      </c>
      <c r="F1466" t="s">
        <v>7672</v>
      </c>
      <c r="G1466" t="s">
        <v>11205</v>
      </c>
      <c r="H1466" t="s">
        <v>8027</v>
      </c>
      <c r="I1466" t="s">
        <v>11220</v>
      </c>
      <c r="J1466" t="s">
        <v>7981</v>
      </c>
    </row>
    <row r="1467" spans="1:10" x14ac:dyDescent="0.25">
      <c r="A1467" t="s">
        <v>11237</v>
      </c>
      <c r="B1467">
        <v>7.6959999999999997</v>
      </c>
      <c r="C1467" t="s">
        <v>11238</v>
      </c>
      <c r="D1467" t="s">
        <v>11239</v>
      </c>
      <c r="E1467" t="s">
        <v>11204</v>
      </c>
      <c r="F1467" t="s">
        <v>7672</v>
      </c>
      <c r="G1467" t="s">
        <v>11205</v>
      </c>
      <c r="H1467" t="s">
        <v>8027</v>
      </c>
      <c r="I1467" t="s">
        <v>11223</v>
      </c>
      <c r="J1467" t="s">
        <v>7981</v>
      </c>
    </row>
    <row r="1468" spans="1:10" x14ac:dyDescent="0.25">
      <c r="A1468" t="s">
        <v>11240</v>
      </c>
      <c r="B1468">
        <v>7.6959999999999997</v>
      </c>
      <c r="C1468" t="s">
        <v>11241</v>
      </c>
      <c r="D1468" t="s">
        <v>8123</v>
      </c>
      <c r="E1468" t="s">
        <v>11204</v>
      </c>
      <c r="F1468" t="s">
        <v>7672</v>
      </c>
      <c r="G1468" t="s">
        <v>11205</v>
      </c>
      <c r="H1468" t="s">
        <v>8027</v>
      </c>
      <c r="I1468" t="s">
        <v>11209</v>
      </c>
      <c r="J1468" t="s">
        <v>7984</v>
      </c>
    </row>
    <row r="1469" spans="1:10" x14ac:dyDescent="0.25">
      <c r="A1469" t="s">
        <v>11242</v>
      </c>
      <c r="B1469">
        <v>7.6959999999999997</v>
      </c>
      <c r="C1469" t="s">
        <v>11243</v>
      </c>
      <c r="D1469" t="s">
        <v>11244</v>
      </c>
      <c r="E1469" t="s">
        <v>11204</v>
      </c>
      <c r="F1469" t="s">
        <v>7672</v>
      </c>
      <c r="G1469" t="s">
        <v>11205</v>
      </c>
      <c r="H1469" t="s">
        <v>8027</v>
      </c>
      <c r="I1469" t="s">
        <v>11206</v>
      </c>
      <c r="J1469" t="s">
        <v>7984</v>
      </c>
    </row>
    <row r="1470" spans="1:10" x14ac:dyDescent="0.25">
      <c r="A1470" t="s">
        <v>11245</v>
      </c>
      <c r="B1470">
        <v>7.6959999999999997</v>
      </c>
      <c r="C1470" t="s">
        <v>11246</v>
      </c>
      <c r="D1470" t="s">
        <v>11247</v>
      </c>
      <c r="E1470" t="s">
        <v>11204</v>
      </c>
      <c r="F1470" t="s">
        <v>7672</v>
      </c>
      <c r="G1470" t="s">
        <v>11205</v>
      </c>
      <c r="H1470" t="s">
        <v>8027</v>
      </c>
      <c r="I1470" t="s">
        <v>11215</v>
      </c>
      <c r="J1470" t="s">
        <v>7984</v>
      </c>
    </row>
    <row r="1471" spans="1:10" x14ac:dyDescent="0.25">
      <c r="A1471" t="s">
        <v>11248</v>
      </c>
      <c r="B1471">
        <v>7.6959999999999997</v>
      </c>
      <c r="C1471" t="s">
        <v>11249</v>
      </c>
      <c r="D1471" t="s">
        <v>8193</v>
      </c>
      <c r="E1471" t="s">
        <v>11204</v>
      </c>
      <c r="F1471" t="s">
        <v>7672</v>
      </c>
      <c r="G1471" t="s">
        <v>11205</v>
      </c>
      <c r="H1471" t="s">
        <v>8027</v>
      </c>
      <c r="I1471" t="s">
        <v>8171</v>
      </c>
      <c r="J1471" t="s">
        <v>7984</v>
      </c>
    </row>
    <row r="1472" spans="1:10" x14ac:dyDescent="0.25">
      <c r="A1472" t="s">
        <v>11250</v>
      </c>
      <c r="B1472">
        <v>7.6959999999999997</v>
      </c>
      <c r="C1472" t="s">
        <v>11251</v>
      </c>
      <c r="D1472" t="s">
        <v>8853</v>
      </c>
      <c r="E1472" t="s">
        <v>11204</v>
      </c>
      <c r="F1472" t="s">
        <v>7672</v>
      </c>
      <c r="G1472" t="s">
        <v>11205</v>
      </c>
      <c r="H1472" t="s">
        <v>8027</v>
      </c>
      <c r="I1472" t="s">
        <v>11220</v>
      </c>
      <c r="J1472" t="s">
        <v>7984</v>
      </c>
    </row>
    <row r="1473" spans="1:10" x14ac:dyDescent="0.25">
      <c r="A1473" t="s">
        <v>11252</v>
      </c>
      <c r="B1473">
        <v>7.6959999999999997</v>
      </c>
      <c r="C1473" t="s">
        <v>11253</v>
      </c>
      <c r="D1473" t="s">
        <v>11254</v>
      </c>
      <c r="E1473" t="s">
        <v>11204</v>
      </c>
      <c r="F1473" t="s">
        <v>7672</v>
      </c>
      <c r="G1473" t="s">
        <v>11205</v>
      </c>
      <c r="H1473" t="s">
        <v>8027</v>
      </c>
      <c r="I1473" t="s">
        <v>11223</v>
      </c>
      <c r="J1473" t="s">
        <v>7984</v>
      </c>
    </row>
    <row r="1474" spans="1:10" x14ac:dyDescent="0.25">
      <c r="A1474" t="s">
        <v>11255</v>
      </c>
      <c r="B1474">
        <v>7.6959999999999997</v>
      </c>
      <c r="C1474" t="s">
        <v>11256</v>
      </c>
      <c r="D1474" t="s">
        <v>11257</v>
      </c>
      <c r="E1474" t="s">
        <v>11204</v>
      </c>
      <c r="F1474" t="s">
        <v>7672</v>
      </c>
      <c r="G1474" t="s">
        <v>11205</v>
      </c>
      <c r="H1474" t="s">
        <v>8027</v>
      </c>
      <c r="I1474" t="s">
        <v>11212</v>
      </c>
      <c r="J1474" t="s">
        <v>7984</v>
      </c>
    </row>
    <row r="1475" spans="1:10" x14ac:dyDescent="0.25">
      <c r="A1475" t="s">
        <v>11258</v>
      </c>
      <c r="B1475">
        <v>7.6959999999999997</v>
      </c>
      <c r="C1475" t="s">
        <v>11259</v>
      </c>
      <c r="D1475" t="s">
        <v>11260</v>
      </c>
      <c r="E1475" t="s">
        <v>11204</v>
      </c>
      <c r="F1475" t="s">
        <v>7672</v>
      </c>
      <c r="G1475" t="s">
        <v>11205</v>
      </c>
      <c r="H1475" t="s">
        <v>8027</v>
      </c>
      <c r="I1475" t="s">
        <v>11206</v>
      </c>
      <c r="J1475" t="s">
        <v>7987</v>
      </c>
    </row>
    <row r="1476" spans="1:10" x14ac:dyDescent="0.25">
      <c r="A1476" t="s">
        <v>11261</v>
      </c>
      <c r="B1476">
        <v>7.6959999999999997</v>
      </c>
      <c r="C1476" t="s">
        <v>11262</v>
      </c>
      <c r="D1476" t="s">
        <v>9240</v>
      </c>
      <c r="E1476" t="s">
        <v>11204</v>
      </c>
      <c r="F1476" t="s">
        <v>7672</v>
      </c>
      <c r="G1476" t="s">
        <v>11205</v>
      </c>
      <c r="H1476" t="s">
        <v>8027</v>
      </c>
      <c r="I1476" t="s">
        <v>11209</v>
      </c>
      <c r="J1476" t="s">
        <v>7987</v>
      </c>
    </row>
    <row r="1477" spans="1:10" x14ac:dyDescent="0.25">
      <c r="A1477" t="s">
        <v>11263</v>
      </c>
      <c r="B1477">
        <v>7.6959999999999997</v>
      </c>
      <c r="C1477" t="s">
        <v>11264</v>
      </c>
      <c r="D1477" t="s">
        <v>8144</v>
      </c>
      <c r="E1477" t="s">
        <v>11204</v>
      </c>
      <c r="F1477" t="s">
        <v>7672</v>
      </c>
      <c r="G1477" t="s">
        <v>11205</v>
      </c>
      <c r="H1477" t="s">
        <v>8027</v>
      </c>
      <c r="I1477" t="s">
        <v>11215</v>
      </c>
      <c r="J1477" t="s">
        <v>7987</v>
      </c>
    </row>
    <row r="1478" spans="1:10" x14ac:dyDescent="0.25">
      <c r="A1478" t="s">
        <v>11265</v>
      </c>
      <c r="B1478">
        <v>7.6959999999999997</v>
      </c>
      <c r="C1478" t="s">
        <v>11266</v>
      </c>
      <c r="D1478" t="s">
        <v>4109</v>
      </c>
      <c r="E1478" t="s">
        <v>11204</v>
      </c>
      <c r="F1478" t="s">
        <v>7672</v>
      </c>
      <c r="G1478" t="s">
        <v>11205</v>
      </c>
      <c r="H1478" t="s">
        <v>8027</v>
      </c>
      <c r="I1478" t="s">
        <v>8171</v>
      </c>
      <c r="J1478" t="s">
        <v>7987</v>
      </c>
    </row>
    <row r="1479" spans="1:10" x14ac:dyDescent="0.25">
      <c r="A1479" t="s">
        <v>11267</v>
      </c>
      <c r="B1479">
        <v>7.6959999999999997</v>
      </c>
      <c r="C1479" t="s">
        <v>11268</v>
      </c>
      <c r="D1479" t="s">
        <v>11269</v>
      </c>
      <c r="E1479" t="s">
        <v>11204</v>
      </c>
      <c r="F1479" t="s">
        <v>7672</v>
      </c>
      <c r="G1479" t="s">
        <v>11205</v>
      </c>
      <c r="H1479" t="s">
        <v>8027</v>
      </c>
      <c r="I1479" t="s">
        <v>11220</v>
      </c>
      <c r="J1479" t="s">
        <v>7987</v>
      </c>
    </row>
    <row r="1480" spans="1:10" x14ac:dyDescent="0.25">
      <c r="A1480" t="s">
        <v>11270</v>
      </c>
      <c r="B1480">
        <v>7.6959999999999997</v>
      </c>
      <c r="C1480" t="s">
        <v>11271</v>
      </c>
      <c r="D1480" t="s">
        <v>11272</v>
      </c>
      <c r="E1480" t="s">
        <v>11204</v>
      </c>
      <c r="F1480" t="s">
        <v>7672</v>
      </c>
      <c r="G1480" t="s">
        <v>11205</v>
      </c>
      <c r="H1480" t="s">
        <v>8027</v>
      </c>
      <c r="I1480" t="s">
        <v>11223</v>
      </c>
      <c r="J1480" t="s">
        <v>7987</v>
      </c>
    </row>
    <row r="1481" spans="1:10" x14ac:dyDescent="0.25">
      <c r="A1481" t="s">
        <v>11273</v>
      </c>
      <c r="B1481">
        <v>7.6959999999999997</v>
      </c>
      <c r="C1481" t="s">
        <v>11274</v>
      </c>
      <c r="D1481" t="s">
        <v>9574</v>
      </c>
      <c r="E1481" t="s">
        <v>11204</v>
      </c>
      <c r="F1481" t="s">
        <v>7672</v>
      </c>
      <c r="G1481" t="s">
        <v>11205</v>
      </c>
      <c r="H1481" t="s">
        <v>8027</v>
      </c>
      <c r="I1481" t="s">
        <v>11212</v>
      </c>
      <c r="J1481" t="s">
        <v>7987</v>
      </c>
    </row>
    <row r="1482" spans="1:10" x14ac:dyDescent="0.25">
      <c r="A1482" t="s">
        <v>11275</v>
      </c>
      <c r="B1482">
        <v>7.6959999999999997</v>
      </c>
      <c r="C1482" t="s">
        <v>11276</v>
      </c>
      <c r="D1482" t="s">
        <v>11277</v>
      </c>
      <c r="E1482" t="s">
        <v>11204</v>
      </c>
      <c r="F1482" t="s">
        <v>7672</v>
      </c>
      <c r="G1482" t="s">
        <v>11205</v>
      </c>
      <c r="H1482" t="s">
        <v>8027</v>
      </c>
      <c r="I1482" t="s">
        <v>11206</v>
      </c>
      <c r="J1482" t="s">
        <v>8001</v>
      </c>
    </row>
    <row r="1483" spans="1:10" x14ac:dyDescent="0.25">
      <c r="A1483" t="s">
        <v>11278</v>
      </c>
      <c r="B1483">
        <v>7.6959999999999997</v>
      </c>
      <c r="C1483" t="s">
        <v>11279</v>
      </c>
      <c r="D1483" t="s">
        <v>10608</v>
      </c>
      <c r="E1483" t="s">
        <v>11204</v>
      </c>
      <c r="F1483" t="s">
        <v>7672</v>
      </c>
      <c r="G1483" t="s">
        <v>11205</v>
      </c>
      <c r="H1483" t="s">
        <v>8027</v>
      </c>
      <c r="I1483" t="s">
        <v>11209</v>
      </c>
      <c r="J1483" t="s">
        <v>8001</v>
      </c>
    </row>
    <row r="1484" spans="1:10" x14ac:dyDescent="0.25">
      <c r="A1484" t="s">
        <v>11280</v>
      </c>
      <c r="B1484">
        <v>7.6959999999999997</v>
      </c>
      <c r="C1484" t="s">
        <v>11281</v>
      </c>
      <c r="D1484" t="s">
        <v>1113</v>
      </c>
      <c r="E1484" t="s">
        <v>11204</v>
      </c>
      <c r="F1484" t="s">
        <v>7672</v>
      </c>
      <c r="G1484" t="s">
        <v>11205</v>
      </c>
      <c r="H1484" t="s">
        <v>8027</v>
      </c>
      <c r="I1484" t="s">
        <v>11215</v>
      </c>
      <c r="J1484" t="s">
        <v>8001</v>
      </c>
    </row>
    <row r="1485" spans="1:10" x14ac:dyDescent="0.25">
      <c r="A1485" t="s">
        <v>11282</v>
      </c>
      <c r="B1485">
        <v>7.6959999999999997</v>
      </c>
      <c r="C1485" t="s">
        <v>11283</v>
      </c>
      <c r="D1485" t="s">
        <v>6893</v>
      </c>
      <c r="E1485" t="s">
        <v>11204</v>
      </c>
      <c r="F1485" t="s">
        <v>7672</v>
      </c>
      <c r="G1485" t="s">
        <v>11205</v>
      </c>
      <c r="H1485" t="s">
        <v>8027</v>
      </c>
      <c r="I1485" t="s">
        <v>11220</v>
      </c>
      <c r="J1485" t="s">
        <v>8001</v>
      </c>
    </row>
    <row r="1486" spans="1:10" x14ac:dyDescent="0.25">
      <c r="A1486" t="s">
        <v>11284</v>
      </c>
      <c r="B1486">
        <v>7.6959999999999997</v>
      </c>
      <c r="C1486" t="s">
        <v>11285</v>
      </c>
      <c r="D1486" t="s">
        <v>4799</v>
      </c>
      <c r="E1486" t="s">
        <v>11204</v>
      </c>
      <c r="F1486" t="s">
        <v>7672</v>
      </c>
      <c r="G1486" t="s">
        <v>11205</v>
      </c>
      <c r="H1486" t="s">
        <v>8027</v>
      </c>
      <c r="I1486" t="s">
        <v>8171</v>
      </c>
      <c r="J1486" t="s">
        <v>8001</v>
      </c>
    </row>
    <row r="1487" spans="1:10" x14ac:dyDescent="0.25">
      <c r="A1487" t="s">
        <v>11286</v>
      </c>
      <c r="B1487">
        <v>7.6959999999999997</v>
      </c>
      <c r="C1487" t="s">
        <v>11287</v>
      </c>
      <c r="D1487" t="s">
        <v>8200</v>
      </c>
      <c r="E1487" t="s">
        <v>11204</v>
      </c>
      <c r="F1487" t="s">
        <v>7672</v>
      </c>
      <c r="G1487" t="s">
        <v>11205</v>
      </c>
      <c r="H1487" t="s">
        <v>8027</v>
      </c>
      <c r="I1487" t="s">
        <v>11223</v>
      </c>
      <c r="J1487" t="s">
        <v>8001</v>
      </c>
    </row>
    <row r="1488" spans="1:10" x14ac:dyDescent="0.25">
      <c r="A1488" t="s">
        <v>11288</v>
      </c>
      <c r="B1488">
        <v>7.6959999999999997</v>
      </c>
      <c r="C1488" t="s">
        <v>11289</v>
      </c>
      <c r="D1488" t="s">
        <v>6893</v>
      </c>
      <c r="E1488" t="s">
        <v>11204</v>
      </c>
      <c r="F1488" t="s">
        <v>7672</v>
      </c>
      <c r="G1488" t="s">
        <v>11205</v>
      </c>
      <c r="H1488" t="s">
        <v>8027</v>
      </c>
      <c r="I1488" t="s">
        <v>11212</v>
      </c>
      <c r="J1488" t="s">
        <v>8001</v>
      </c>
    </row>
    <row r="1489" spans="1:10" x14ac:dyDescent="0.25">
      <c r="A1489" t="s">
        <v>11290</v>
      </c>
      <c r="B1489">
        <v>7.6959999999999997</v>
      </c>
      <c r="C1489" t="s">
        <v>11291</v>
      </c>
      <c r="D1489" t="s">
        <v>11292</v>
      </c>
      <c r="E1489" t="s">
        <v>11204</v>
      </c>
      <c r="F1489" t="s">
        <v>7672</v>
      </c>
      <c r="G1489" t="s">
        <v>11205</v>
      </c>
      <c r="H1489" t="s">
        <v>8027</v>
      </c>
      <c r="I1489" t="s">
        <v>11206</v>
      </c>
      <c r="J1489" t="s">
        <v>8013</v>
      </c>
    </row>
    <row r="1490" spans="1:10" x14ac:dyDescent="0.25">
      <c r="A1490" t="s">
        <v>11293</v>
      </c>
      <c r="B1490">
        <v>7.6959999999999997</v>
      </c>
      <c r="C1490" t="s">
        <v>11294</v>
      </c>
      <c r="D1490" t="s">
        <v>2322</v>
      </c>
      <c r="E1490" t="s">
        <v>11204</v>
      </c>
      <c r="F1490" t="s">
        <v>7672</v>
      </c>
      <c r="G1490" t="s">
        <v>11205</v>
      </c>
      <c r="H1490" t="s">
        <v>8027</v>
      </c>
      <c r="I1490" t="s">
        <v>11209</v>
      </c>
      <c r="J1490" t="s">
        <v>8013</v>
      </c>
    </row>
    <row r="1491" spans="1:10" x14ac:dyDescent="0.25">
      <c r="A1491" t="s">
        <v>11295</v>
      </c>
      <c r="B1491">
        <v>7.6959999999999997</v>
      </c>
      <c r="C1491" t="s">
        <v>11296</v>
      </c>
      <c r="D1491" t="s">
        <v>11297</v>
      </c>
      <c r="E1491" t="s">
        <v>11204</v>
      </c>
      <c r="F1491" t="s">
        <v>7672</v>
      </c>
      <c r="G1491" t="s">
        <v>11205</v>
      </c>
      <c r="H1491" t="s">
        <v>8027</v>
      </c>
      <c r="I1491" t="s">
        <v>11215</v>
      </c>
      <c r="J1491" t="s">
        <v>8013</v>
      </c>
    </row>
    <row r="1492" spans="1:10" x14ac:dyDescent="0.25">
      <c r="A1492" t="s">
        <v>11298</v>
      </c>
      <c r="B1492">
        <v>7.6959999999999997</v>
      </c>
      <c r="C1492" t="s">
        <v>11299</v>
      </c>
      <c r="D1492" t="s">
        <v>2243</v>
      </c>
      <c r="E1492" t="s">
        <v>11204</v>
      </c>
      <c r="F1492" t="s">
        <v>7672</v>
      </c>
      <c r="G1492" t="s">
        <v>11205</v>
      </c>
      <c r="H1492" t="s">
        <v>8027</v>
      </c>
      <c r="I1492" t="s">
        <v>11220</v>
      </c>
      <c r="J1492" t="s">
        <v>8013</v>
      </c>
    </row>
    <row r="1493" spans="1:10" x14ac:dyDescent="0.25">
      <c r="A1493" t="s">
        <v>11300</v>
      </c>
      <c r="B1493">
        <v>7.6959999999999997</v>
      </c>
      <c r="C1493" t="s">
        <v>11301</v>
      </c>
      <c r="D1493" t="s">
        <v>975</v>
      </c>
      <c r="E1493" t="s">
        <v>11204</v>
      </c>
      <c r="F1493" t="s">
        <v>7672</v>
      </c>
      <c r="G1493" t="s">
        <v>11205</v>
      </c>
      <c r="H1493" t="s">
        <v>8027</v>
      </c>
      <c r="I1493" t="s">
        <v>8171</v>
      </c>
      <c r="J1493" t="s">
        <v>8013</v>
      </c>
    </row>
    <row r="1494" spans="1:10" x14ac:dyDescent="0.25">
      <c r="A1494" t="s">
        <v>11302</v>
      </c>
      <c r="B1494">
        <v>7.6959999999999997</v>
      </c>
      <c r="C1494" t="s">
        <v>11303</v>
      </c>
      <c r="D1494" t="s">
        <v>9134</v>
      </c>
      <c r="E1494" t="s">
        <v>11204</v>
      </c>
      <c r="F1494" t="s">
        <v>7672</v>
      </c>
      <c r="G1494" t="s">
        <v>11205</v>
      </c>
      <c r="H1494" t="s">
        <v>8027</v>
      </c>
      <c r="I1494" t="s">
        <v>11223</v>
      </c>
      <c r="J1494" t="s">
        <v>8013</v>
      </c>
    </row>
    <row r="1495" spans="1:10" x14ac:dyDescent="0.25">
      <c r="A1495" t="s">
        <v>11304</v>
      </c>
      <c r="B1495">
        <v>7.6959999999999997</v>
      </c>
      <c r="C1495" t="s">
        <v>11305</v>
      </c>
      <c r="D1495" t="s">
        <v>3815</v>
      </c>
      <c r="E1495" t="s">
        <v>11204</v>
      </c>
      <c r="F1495" t="s">
        <v>7672</v>
      </c>
      <c r="G1495" t="s">
        <v>11205</v>
      </c>
      <c r="H1495" t="s">
        <v>8027</v>
      </c>
      <c r="I1495" t="s">
        <v>11212</v>
      </c>
      <c r="J1495" t="s">
        <v>8013</v>
      </c>
    </row>
    <row r="1496" spans="1:10" x14ac:dyDescent="0.25">
      <c r="A1496" t="s">
        <v>11306</v>
      </c>
      <c r="B1496">
        <v>11.192</v>
      </c>
      <c r="C1496" t="s">
        <v>11307</v>
      </c>
      <c r="D1496" t="s">
        <v>11308</v>
      </c>
      <c r="E1496" t="s">
        <v>11309</v>
      </c>
      <c r="F1496" t="s">
        <v>7672</v>
      </c>
      <c r="G1496" t="s">
        <v>11310</v>
      </c>
      <c r="H1496" t="s">
        <v>9127</v>
      </c>
      <c r="I1496" t="s">
        <v>11311</v>
      </c>
      <c r="J1496" t="s">
        <v>11312</v>
      </c>
    </row>
    <row r="1497" spans="1:10" x14ac:dyDescent="0.25">
      <c r="A1497" t="s">
        <v>11313</v>
      </c>
      <c r="B1497">
        <v>11.192</v>
      </c>
      <c r="C1497" t="s">
        <v>11314</v>
      </c>
      <c r="D1497" t="s">
        <v>4794</v>
      </c>
      <c r="E1497" t="s">
        <v>11309</v>
      </c>
      <c r="F1497" t="s">
        <v>7672</v>
      </c>
      <c r="G1497" t="s">
        <v>11310</v>
      </c>
      <c r="H1497" t="s">
        <v>9127</v>
      </c>
      <c r="I1497" t="s">
        <v>11311</v>
      </c>
      <c r="J1497" t="s">
        <v>11315</v>
      </c>
    </row>
    <row r="1498" spans="1:10" x14ac:dyDescent="0.25">
      <c r="A1498" t="s">
        <v>11316</v>
      </c>
      <c r="B1498">
        <v>11.192</v>
      </c>
      <c r="C1498" t="s">
        <v>11317</v>
      </c>
      <c r="D1498" t="s">
        <v>6428</v>
      </c>
      <c r="E1498" t="s">
        <v>11309</v>
      </c>
      <c r="F1498" t="s">
        <v>7672</v>
      </c>
      <c r="G1498" t="s">
        <v>11310</v>
      </c>
      <c r="H1498" t="s">
        <v>9127</v>
      </c>
      <c r="I1498" t="s">
        <v>11311</v>
      </c>
      <c r="J1498" t="s">
        <v>9739</v>
      </c>
    </row>
    <row r="1499" spans="1:10" x14ac:dyDescent="0.25">
      <c r="A1499" t="s">
        <v>11318</v>
      </c>
      <c r="B1499">
        <v>11.192</v>
      </c>
      <c r="C1499" t="s">
        <v>11319</v>
      </c>
      <c r="D1499" t="s">
        <v>88</v>
      </c>
      <c r="E1499" t="s">
        <v>11309</v>
      </c>
      <c r="F1499" t="s">
        <v>7672</v>
      </c>
      <c r="G1499" t="s">
        <v>11310</v>
      </c>
      <c r="H1499" t="s">
        <v>9127</v>
      </c>
      <c r="I1499" t="s">
        <v>1413</v>
      </c>
      <c r="J1499" t="s">
        <v>9739</v>
      </c>
    </row>
    <row r="1500" spans="1:10" x14ac:dyDescent="0.25">
      <c r="A1500" t="s">
        <v>11320</v>
      </c>
      <c r="B1500">
        <v>11.192</v>
      </c>
      <c r="C1500" t="s">
        <v>11321</v>
      </c>
      <c r="D1500" t="s">
        <v>301</v>
      </c>
      <c r="E1500" t="s">
        <v>11309</v>
      </c>
      <c r="F1500" t="s">
        <v>7672</v>
      </c>
      <c r="G1500" t="s">
        <v>11310</v>
      </c>
      <c r="H1500" t="s">
        <v>9127</v>
      </c>
      <c r="I1500" t="s">
        <v>1413</v>
      </c>
      <c r="J1500" t="s">
        <v>9746</v>
      </c>
    </row>
    <row r="1501" spans="1:10" x14ac:dyDescent="0.25">
      <c r="A1501" t="s">
        <v>11322</v>
      </c>
      <c r="B1501">
        <v>11.192</v>
      </c>
      <c r="C1501" t="s">
        <v>11323</v>
      </c>
      <c r="D1501" t="s">
        <v>8618</v>
      </c>
      <c r="E1501" t="s">
        <v>11309</v>
      </c>
      <c r="F1501" t="s">
        <v>7672</v>
      </c>
      <c r="G1501" t="s">
        <v>11310</v>
      </c>
      <c r="H1501" t="s">
        <v>9127</v>
      </c>
      <c r="I1501" t="s">
        <v>11311</v>
      </c>
      <c r="J1501" t="s">
        <v>9746</v>
      </c>
    </row>
    <row r="1502" spans="1:10" x14ac:dyDescent="0.25">
      <c r="A1502" t="s">
        <v>11324</v>
      </c>
      <c r="B1502">
        <v>11.192</v>
      </c>
      <c r="C1502" t="s">
        <v>11325</v>
      </c>
      <c r="D1502" t="s">
        <v>40</v>
      </c>
      <c r="E1502" t="s">
        <v>11309</v>
      </c>
      <c r="F1502" t="s">
        <v>7672</v>
      </c>
      <c r="G1502" t="s">
        <v>11310</v>
      </c>
      <c r="H1502" t="s">
        <v>9127</v>
      </c>
      <c r="I1502" t="s">
        <v>11311</v>
      </c>
      <c r="J1502" t="s">
        <v>11326</v>
      </c>
    </row>
    <row r="1503" spans="1:10" x14ac:dyDescent="0.25">
      <c r="A1503" t="s">
        <v>11327</v>
      </c>
      <c r="B1503">
        <v>11.192</v>
      </c>
      <c r="C1503" t="s">
        <v>11328</v>
      </c>
      <c r="D1503" t="s">
        <v>11329</v>
      </c>
      <c r="E1503" t="s">
        <v>11309</v>
      </c>
      <c r="F1503" t="s">
        <v>7672</v>
      </c>
      <c r="G1503" t="s">
        <v>11310</v>
      </c>
      <c r="H1503" t="s">
        <v>9127</v>
      </c>
      <c r="I1503" t="s">
        <v>11311</v>
      </c>
      <c r="J1503" t="s">
        <v>9753</v>
      </c>
    </row>
    <row r="1504" spans="1:10" x14ac:dyDescent="0.25">
      <c r="A1504" t="s">
        <v>11330</v>
      </c>
      <c r="B1504">
        <v>11.192</v>
      </c>
      <c r="C1504" t="s">
        <v>11331</v>
      </c>
      <c r="D1504" t="s">
        <v>330</v>
      </c>
      <c r="E1504" t="s">
        <v>11309</v>
      </c>
      <c r="F1504" t="s">
        <v>7672</v>
      </c>
      <c r="G1504" t="s">
        <v>11310</v>
      </c>
      <c r="H1504" t="s">
        <v>9127</v>
      </c>
      <c r="I1504" t="s">
        <v>1413</v>
      </c>
      <c r="J1504" t="s">
        <v>9753</v>
      </c>
    </row>
    <row r="1505" spans="1:10" x14ac:dyDescent="0.25">
      <c r="A1505" t="s">
        <v>11332</v>
      </c>
      <c r="B1505">
        <v>11.192</v>
      </c>
      <c r="C1505" t="s">
        <v>11333</v>
      </c>
      <c r="D1505" t="s">
        <v>8057</v>
      </c>
      <c r="E1505" t="s">
        <v>11309</v>
      </c>
      <c r="F1505" t="s">
        <v>7672</v>
      </c>
      <c r="G1505" t="s">
        <v>11310</v>
      </c>
      <c r="H1505" t="s">
        <v>9127</v>
      </c>
      <c r="I1505" t="s">
        <v>11311</v>
      </c>
      <c r="J1505" t="s">
        <v>9730</v>
      </c>
    </row>
    <row r="1506" spans="1:10" x14ac:dyDescent="0.25">
      <c r="A1506" t="s">
        <v>2497</v>
      </c>
      <c r="B1506">
        <v>19.495999999999999</v>
      </c>
      <c r="C1506" t="s">
        <v>2499</v>
      </c>
      <c r="D1506" t="s">
        <v>366</v>
      </c>
      <c r="E1506" t="s">
        <v>2500</v>
      </c>
      <c r="F1506" t="s">
        <v>7672</v>
      </c>
      <c r="G1506" t="s">
        <v>11334</v>
      </c>
      <c r="H1506" t="s">
        <v>11335</v>
      </c>
      <c r="I1506" t="s">
        <v>11336</v>
      </c>
      <c r="J1506" t="s">
        <v>11337</v>
      </c>
    </row>
    <row r="1507" spans="1:10" x14ac:dyDescent="0.25">
      <c r="A1507" t="s">
        <v>2503</v>
      </c>
      <c r="B1507">
        <v>19.495999999999999</v>
      </c>
      <c r="C1507" t="s">
        <v>2505</v>
      </c>
      <c r="D1507" t="s">
        <v>742</v>
      </c>
      <c r="E1507" t="s">
        <v>2500</v>
      </c>
      <c r="F1507" t="s">
        <v>7672</v>
      </c>
      <c r="G1507" t="s">
        <v>11334</v>
      </c>
      <c r="H1507" t="s">
        <v>11335</v>
      </c>
      <c r="I1507" t="s">
        <v>11336</v>
      </c>
      <c r="J1507" t="s">
        <v>11338</v>
      </c>
    </row>
    <row r="1508" spans="1:10" x14ac:dyDescent="0.25">
      <c r="A1508" t="s">
        <v>2506</v>
      </c>
      <c r="B1508">
        <v>19.495999999999999</v>
      </c>
      <c r="C1508" t="s">
        <v>2508</v>
      </c>
      <c r="D1508" t="s">
        <v>229</v>
      </c>
      <c r="E1508" t="s">
        <v>2500</v>
      </c>
      <c r="F1508" t="s">
        <v>7672</v>
      </c>
      <c r="G1508" t="s">
        <v>11334</v>
      </c>
      <c r="H1508" t="s">
        <v>11335</v>
      </c>
      <c r="I1508" t="s">
        <v>11336</v>
      </c>
      <c r="J1508" t="s">
        <v>11339</v>
      </c>
    </row>
    <row r="1509" spans="1:10" x14ac:dyDescent="0.25">
      <c r="A1509" t="s">
        <v>2509</v>
      </c>
      <c r="B1509">
        <v>19.495999999999999</v>
      </c>
      <c r="C1509" t="s">
        <v>2511</v>
      </c>
      <c r="D1509" t="s">
        <v>255</v>
      </c>
      <c r="E1509" t="s">
        <v>2500</v>
      </c>
      <c r="F1509" t="s">
        <v>7672</v>
      </c>
      <c r="G1509" t="s">
        <v>11334</v>
      </c>
      <c r="H1509" t="s">
        <v>11335</v>
      </c>
      <c r="I1509" t="s">
        <v>11336</v>
      </c>
      <c r="J1509" t="s">
        <v>11340</v>
      </c>
    </row>
    <row r="1510" spans="1:10" x14ac:dyDescent="0.25">
      <c r="A1510" t="s">
        <v>11341</v>
      </c>
      <c r="B1510">
        <v>10.352</v>
      </c>
      <c r="C1510" t="s">
        <v>11342</v>
      </c>
      <c r="D1510" t="s">
        <v>286</v>
      </c>
      <c r="E1510" t="s">
        <v>11343</v>
      </c>
      <c r="F1510" t="s">
        <v>7672</v>
      </c>
      <c r="G1510" t="s">
        <v>11344</v>
      </c>
      <c r="H1510" t="s">
        <v>9127</v>
      </c>
      <c r="I1510" t="s">
        <v>76</v>
      </c>
      <c r="J1510" t="s">
        <v>11345</v>
      </c>
    </row>
    <row r="1511" spans="1:10" x14ac:dyDescent="0.25">
      <c r="A1511" t="s">
        <v>11346</v>
      </c>
      <c r="B1511">
        <v>10.352</v>
      </c>
      <c r="C1511" t="s">
        <v>11347</v>
      </c>
      <c r="D1511" t="s">
        <v>277</v>
      </c>
      <c r="E1511" t="s">
        <v>11343</v>
      </c>
      <c r="F1511" t="s">
        <v>7672</v>
      </c>
      <c r="G1511" t="s">
        <v>11344</v>
      </c>
      <c r="H1511" t="s">
        <v>9127</v>
      </c>
      <c r="I1511" t="s">
        <v>11348</v>
      </c>
      <c r="J1511" t="s">
        <v>11345</v>
      </c>
    </row>
    <row r="1512" spans="1:10" x14ac:dyDescent="0.25">
      <c r="A1512" t="s">
        <v>11349</v>
      </c>
      <c r="B1512">
        <v>10.352</v>
      </c>
      <c r="C1512" t="s">
        <v>11350</v>
      </c>
      <c r="D1512" t="s">
        <v>366</v>
      </c>
      <c r="E1512" t="s">
        <v>11343</v>
      </c>
      <c r="F1512" t="s">
        <v>7672</v>
      </c>
      <c r="G1512" t="s">
        <v>11344</v>
      </c>
      <c r="H1512" t="s">
        <v>9127</v>
      </c>
      <c r="I1512" t="s">
        <v>76</v>
      </c>
      <c r="J1512" t="s">
        <v>11351</v>
      </c>
    </row>
    <row r="1513" spans="1:10" x14ac:dyDescent="0.25">
      <c r="A1513" t="s">
        <v>11352</v>
      </c>
      <c r="B1513">
        <v>10.352</v>
      </c>
      <c r="C1513" t="s">
        <v>11353</v>
      </c>
      <c r="D1513" t="s">
        <v>1621</v>
      </c>
      <c r="E1513" t="s">
        <v>11343</v>
      </c>
      <c r="F1513" t="s">
        <v>7672</v>
      </c>
      <c r="G1513" t="s">
        <v>11344</v>
      </c>
      <c r="H1513" t="s">
        <v>9127</v>
      </c>
      <c r="I1513" t="s">
        <v>11348</v>
      </c>
      <c r="J1513" t="s">
        <v>11351</v>
      </c>
    </row>
    <row r="1514" spans="1:10" x14ac:dyDescent="0.25">
      <c r="A1514" t="s">
        <v>11354</v>
      </c>
      <c r="B1514">
        <v>10.352</v>
      </c>
      <c r="C1514" t="s">
        <v>11355</v>
      </c>
      <c r="D1514" t="s">
        <v>330</v>
      </c>
      <c r="E1514" t="s">
        <v>11343</v>
      </c>
      <c r="F1514" t="s">
        <v>7672</v>
      </c>
      <c r="G1514" t="s">
        <v>11344</v>
      </c>
      <c r="H1514" t="s">
        <v>9127</v>
      </c>
      <c r="I1514" t="s">
        <v>11348</v>
      </c>
      <c r="J1514" t="s">
        <v>11356</v>
      </c>
    </row>
    <row r="1515" spans="1:10" x14ac:dyDescent="0.25">
      <c r="A1515" t="s">
        <v>11357</v>
      </c>
      <c r="B1515">
        <v>10.352</v>
      </c>
      <c r="C1515" t="s">
        <v>11358</v>
      </c>
      <c r="D1515" t="s">
        <v>870</v>
      </c>
      <c r="E1515" t="s">
        <v>11343</v>
      </c>
      <c r="F1515" t="s">
        <v>7672</v>
      </c>
      <c r="G1515" t="s">
        <v>11344</v>
      </c>
      <c r="H1515" t="s">
        <v>9127</v>
      </c>
      <c r="I1515" t="s">
        <v>76</v>
      </c>
      <c r="J1515" t="s">
        <v>11356</v>
      </c>
    </row>
    <row r="1516" spans="1:10" x14ac:dyDescent="0.25">
      <c r="A1516" t="s">
        <v>11359</v>
      </c>
      <c r="B1516">
        <v>10.352</v>
      </c>
      <c r="C1516" t="s">
        <v>11360</v>
      </c>
      <c r="D1516" t="s">
        <v>742</v>
      </c>
      <c r="E1516" t="s">
        <v>11343</v>
      </c>
      <c r="F1516" t="s">
        <v>7672</v>
      </c>
      <c r="G1516" t="s">
        <v>11344</v>
      </c>
      <c r="H1516" t="s">
        <v>9127</v>
      </c>
      <c r="I1516" t="s">
        <v>76</v>
      </c>
      <c r="J1516" t="s">
        <v>11361</v>
      </c>
    </row>
    <row r="1517" spans="1:10" x14ac:dyDescent="0.25">
      <c r="A1517" t="s">
        <v>11362</v>
      </c>
      <c r="B1517">
        <v>10.352</v>
      </c>
      <c r="C1517" t="s">
        <v>11363</v>
      </c>
      <c r="D1517" t="s">
        <v>131</v>
      </c>
      <c r="E1517" t="s">
        <v>11343</v>
      </c>
      <c r="F1517" t="s">
        <v>7672</v>
      </c>
      <c r="G1517" t="s">
        <v>11344</v>
      </c>
      <c r="H1517" t="s">
        <v>9127</v>
      </c>
      <c r="I1517" t="s">
        <v>11348</v>
      </c>
      <c r="J1517" t="s">
        <v>11361</v>
      </c>
    </row>
    <row r="1518" spans="1:10" x14ac:dyDescent="0.25">
      <c r="A1518" t="s">
        <v>11364</v>
      </c>
      <c r="B1518">
        <v>10.352</v>
      </c>
      <c r="C1518" t="s">
        <v>11365</v>
      </c>
      <c r="D1518" t="s">
        <v>379</v>
      </c>
      <c r="E1518" t="s">
        <v>11343</v>
      </c>
      <c r="F1518" t="s">
        <v>7672</v>
      </c>
      <c r="G1518" t="s">
        <v>11344</v>
      </c>
      <c r="H1518" t="s">
        <v>9127</v>
      </c>
      <c r="I1518" t="s">
        <v>11348</v>
      </c>
      <c r="J1518" t="s">
        <v>9110</v>
      </c>
    </row>
    <row r="1519" spans="1:10" x14ac:dyDescent="0.25">
      <c r="A1519" t="s">
        <v>11366</v>
      </c>
      <c r="B1519">
        <v>10.352</v>
      </c>
      <c r="C1519" t="s">
        <v>11367</v>
      </c>
      <c r="D1519" t="s">
        <v>379</v>
      </c>
      <c r="E1519" t="s">
        <v>11343</v>
      </c>
      <c r="F1519" t="s">
        <v>7672</v>
      </c>
      <c r="G1519" t="s">
        <v>11344</v>
      </c>
      <c r="H1519" t="s">
        <v>9127</v>
      </c>
      <c r="I1519" t="s">
        <v>11348</v>
      </c>
      <c r="J1519" t="s">
        <v>11368</v>
      </c>
    </row>
    <row r="1520" spans="1:10" x14ac:dyDescent="0.25">
      <c r="A1520" t="s">
        <v>11369</v>
      </c>
      <c r="B1520">
        <v>10.352</v>
      </c>
      <c r="C1520" t="s">
        <v>11370</v>
      </c>
      <c r="D1520" t="s">
        <v>2697</v>
      </c>
      <c r="E1520" t="s">
        <v>11343</v>
      </c>
      <c r="F1520" t="s">
        <v>7672</v>
      </c>
      <c r="G1520" t="s">
        <v>11344</v>
      </c>
      <c r="H1520" t="s">
        <v>9127</v>
      </c>
      <c r="I1520" t="s">
        <v>76</v>
      </c>
      <c r="J1520" t="s">
        <v>11368</v>
      </c>
    </row>
    <row r="1521" spans="1:10" x14ac:dyDescent="0.25">
      <c r="A1521" t="s">
        <v>11371</v>
      </c>
      <c r="B1521">
        <v>10.352</v>
      </c>
      <c r="C1521" t="s">
        <v>11372</v>
      </c>
      <c r="D1521" t="s">
        <v>3577</v>
      </c>
      <c r="E1521" t="s">
        <v>11343</v>
      </c>
      <c r="F1521" t="s">
        <v>7672</v>
      </c>
      <c r="G1521" t="s">
        <v>11344</v>
      </c>
      <c r="H1521" t="s">
        <v>9127</v>
      </c>
      <c r="I1521" t="s">
        <v>11348</v>
      </c>
      <c r="J1521" t="s">
        <v>11373</v>
      </c>
    </row>
    <row r="1522" spans="1:10" x14ac:dyDescent="0.25">
      <c r="A1522" t="s">
        <v>11374</v>
      </c>
      <c r="B1522">
        <v>10.352</v>
      </c>
      <c r="C1522" t="s">
        <v>11375</v>
      </c>
      <c r="D1522" t="s">
        <v>290</v>
      </c>
      <c r="E1522" t="s">
        <v>11343</v>
      </c>
      <c r="F1522" t="s">
        <v>7672</v>
      </c>
      <c r="G1522" t="s">
        <v>11344</v>
      </c>
      <c r="H1522" t="s">
        <v>9127</v>
      </c>
      <c r="I1522" t="s">
        <v>11348</v>
      </c>
      <c r="J1522" t="s">
        <v>11376</v>
      </c>
    </row>
    <row r="1523" spans="1:10" x14ac:dyDescent="0.25">
      <c r="A1523" t="s">
        <v>11377</v>
      </c>
      <c r="B1523">
        <v>7.6000000000000014</v>
      </c>
      <c r="C1523" t="s">
        <v>11378</v>
      </c>
      <c r="D1523" t="s">
        <v>8057</v>
      </c>
      <c r="E1523" t="s">
        <v>11379</v>
      </c>
      <c r="F1523" t="s">
        <v>7672</v>
      </c>
      <c r="G1523" t="s">
        <v>11380</v>
      </c>
      <c r="H1523" t="s">
        <v>11381</v>
      </c>
      <c r="I1523" t="s">
        <v>11382</v>
      </c>
      <c r="J1523" t="s">
        <v>88</v>
      </c>
    </row>
    <row r="1524" spans="1:10" x14ac:dyDescent="0.25">
      <c r="A1524" t="s">
        <v>11383</v>
      </c>
      <c r="B1524">
        <v>7.6000000000000014</v>
      </c>
      <c r="C1524" t="s">
        <v>11384</v>
      </c>
      <c r="D1524" t="s">
        <v>3613</v>
      </c>
      <c r="E1524" t="s">
        <v>11379</v>
      </c>
      <c r="F1524" t="s">
        <v>7672</v>
      </c>
      <c r="G1524" t="s">
        <v>11380</v>
      </c>
      <c r="H1524" t="s">
        <v>11381</v>
      </c>
      <c r="I1524" t="s">
        <v>11385</v>
      </c>
      <c r="J1524" t="s">
        <v>269</v>
      </c>
    </row>
    <row r="1525" spans="1:10" x14ac:dyDescent="0.25">
      <c r="A1525" t="s">
        <v>11386</v>
      </c>
      <c r="B1525">
        <v>7.6000000000000014</v>
      </c>
      <c r="C1525" t="s">
        <v>11387</v>
      </c>
      <c r="D1525" t="s">
        <v>11388</v>
      </c>
      <c r="E1525" t="s">
        <v>11379</v>
      </c>
      <c r="F1525" t="s">
        <v>7672</v>
      </c>
      <c r="G1525" t="s">
        <v>11380</v>
      </c>
      <c r="H1525" t="s">
        <v>11381</v>
      </c>
      <c r="I1525" t="s">
        <v>11382</v>
      </c>
      <c r="J1525" t="s">
        <v>269</v>
      </c>
    </row>
    <row r="1526" spans="1:10" x14ac:dyDescent="0.25">
      <c r="A1526" t="s">
        <v>11389</v>
      </c>
      <c r="B1526">
        <v>7.6000000000000014</v>
      </c>
      <c r="C1526" t="s">
        <v>11390</v>
      </c>
      <c r="D1526" t="s">
        <v>1932</v>
      </c>
      <c r="E1526" t="s">
        <v>11379</v>
      </c>
      <c r="F1526" t="s">
        <v>7672</v>
      </c>
      <c r="G1526" t="s">
        <v>11380</v>
      </c>
      <c r="H1526" t="s">
        <v>11381</v>
      </c>
      <c r="I1526" t="s">
        <v>11391</v>
      </c>
      <c r="J1526" t="s">
        <v>269</v>
      </c>
    </row>
    <row r="1527" spans="1:10" x14ac:dyDescent="0.25">
      <c r="A1527" t="s">
        <v>11392</v>
      </c>
      <c r="B1527">
        <v>7.6000000000000014</v>
      </c>
      <c r="C1527" t="s">
        <v>11393</v>
      </c>
      <c r="D1527" t="s">
        <v>11394</v>
      </c>
      <c r="E1527" t="s">
        <v>11379</v>
      </c>
      <c r="F1527" t="s">
        <v>7672</v>
      </c>
      <c r="G1527" t="s">
        <v>11380</v>
      </c>
      <c r="H1527" t="s">
        <v>11381</v>
      </c>
      <c r="I1527" t="s">
        <v>11395</v>
      </c>
      <c r="J1527" t="s">
        <v>269</v>
      </c>
    </row>
    <row r="1528" spans="1:10" x14ac:dyDescent="0.25">
      <c r="A1528" t="s">
        <v>11396</v>
      </c>
      <c r="B1528">
        <v>7.6000000000000014</v>
      </c>
      <c r="C1528" t="s">
        <v>11397</v>
      </c>
      <c r="D1528" t="s">
        <v>11398</v>
      </c>
      <c r="E1528" t="s">
        <v>11379</v>
      </c>
      <c r="F1528" t="s">
        <v>7672</v>
      </c>
      <c r="G1528" t="s">
        <v>11380</v>
      </c>
      <c r="H1528" t="s">
        <v>11381</v>
      </c>
      <c r="I1528" t="s">
        <v>11399</v>
      </c>
      <c r="J1528" t="s">
        <v>269</v>
      </c>
    </row>
    <row r="1529" spans="1:10" x14ac:dyDescent="0.25">
      <c r="A1529" t="s">
        <v>11400</v>
      </c>
      <c r="B1529">
        <v>7.6000000000000014</v>
      </c>
      <c r="C1529" t="s">
        <v>11401</v>
      </c>
      <c r="D1529" t="s">
        <v>11402</v>
      </c>
      <c r="E1529" t="s">
        <v>11379</v>
      </c>
      <c r="F1529" t="s">
        <v>7672</v>
      </c>
      <c r="G1529" t="s">
        <v>11380</v>
      </c>
      <c r="H1529" t="s">
        <v>11381</v>
      </c>
      <c r="I1529" t="s">
        <v>11385</v>
      </c>
      <c r="J1529" t="s">
        <v>255</v>
      </c>
    </row>
    <row r="1530" spans="1:10" x14ac:dyDescent="0.25">
      <c r="A1530" t="s">
        <v>11403</v>
      </c>
      <c r="B1530">
        <v>7.6000000000000014</v>
      </c>
      <c r="C1530" t="s">
        <v>11404</v>
      </c>
      <c r="D1530" t="s">
        <v>8049</v>
      </c>
      <c r="E1530" t="s">
        <v>11379</v>
      </c>
      <c r="F1530" t="s">
        <v>7672</v>
      </c>
      <c r="G1530" t="s">
        <v>11380</v>
      </c>
      <c r="H1530" t="s">
        <v>11381</v>
      </c>
      <c r="I1530" t="s">
        <v>11382</v>
      </c>
      <c r="J1530" t="s">
        <v>255</v>
      </c>
    </row>
    <row r="1531" spans="1:10" x14ac:dyDescent="0.25">
      <c r="A1531" t="s">
        <v>11405</v>
      </c>
      <c r="B1531">
        <v>7.6000000000000014</v>
      </c>
      <c r="C1531" t="s">
        <v>11406</v>
      </c>
      <c r="D1531" t="s">
        <v>10053</v>
      </c>
      <c r="E1531" t="s">
        <v>11379</v>
      </c>
      <c r="F1531" t="s">
        <v>7672</v>
      </c>
      <c r="G1531" t="s">
        <v>11380</v>
      </c>
      <c r="H1531" t="s">
        <v>11381</v>
      </c>
      <c r="I1531" t="s">
        <v>11391</v>
      </c>
      <c r="J1531" t="s">
        <v>255</v>
      </c>
    </row>
    <row r="1532" spans="1:10" x14ac:dyDescent="0.25">
      <c r="A1532" t="s">
        <v>11407</v>
      </c>
      <c r="B1532">
        <v>7.6000000000000014</v>
      </c>
      <c r="C1532" t="s">
        <v>11408</v>
      </c>
      <c r="D1532" t="s">
        <v>11409</v>
      </c>
      <c r="E1532" t="s">
        <v>11379</v>
      </c>
      <c r="F1532" t="s">
        <v>7672</v>
      </c>
      <c r="G1532" t="s">
        <v>11380</v>
      </c>
      <c r="H1532" t="s">
        <v>11381</v>
      </c>
      <c r="I1532" t="s">
        <v>11399</v>
      </c>
      <c r="J1532" t="s">
        <v>255</v>
      </c>
    </row>
    <row r="1533" spans="1:10" x14ac:dyDescent="0.25">
      <c r="A1533" t="s">
        <v>11410</v>
      </c>
      <c r="B1533">
        <v>7.6000000000000014</v>
      </c>
      <c r="C1533" t="s">
        <v>11411</v>
      </c>
      <c r="D1533" t="s">
        <v>7302</v>
      </c>
      <c r="E1533" t="s">
        <v>11379</v>
      </c>
      <c r="F1533" t="s">
        <v>7672</v>
      </c>
      <c r="G1533" t="s">
        <v>11380</v>
      </c>
      <c r="H1533" t="s">
        <v>11381</v>
      </c>
      <c r="I1533" t="s">
        <v>11395</v>
      </c>
      <c r="J1533" t="s">
        <v>255</v>
      </c>
    </row>
    <row r="1534" spans="1:10" x14ac:dyDescent="0.25">
      <c r="A1534" t="s">
        <v>11412</v>
      </c>
      <c r="B1534">
        <v>7.6000000000000014</v>
      </c>
      <c r="C1534" t="s">
        <v>11413</v>
      </c>
      <c r="D1534" t="s">
        <v>4584</v>
      </c>
      <c r="E1534" t="s">
        <v>11379</v>
      </c>
      <c r="F1534" t="s">
        <v>7672</v>
      </c>
      <c r="G1534" t="s">
        <v>11380</v>
      </c>
      <c r="H1534" t="s">
        <v>11381</v>
      </c>
      <c r="I1534" t="s">
        <v>11385</v>
      </c>
      <c r="J1534" t="s">
        <v>277</v>
      </c>
    </row>
    <row r="1535" spans="1:10" x14ac:dyDescent="0.25">
      <c r="A1535" t="s">
        <v>11414</v>
      </c>
      <c r="B1535">
        <v>16.896000000000001</v>
      </c>
      <c r="C1535" t="s">
        <v>11415</v>
      </c>
      <c r="D1535" t="s">
        <v>3577</v>
      </c>
      <c r="E1535" t="s">
        <v>11416</v>
      </c>
      <c r="F1535" t="s">
        <v>7672</v>
      </c>
      <c r="G1535" t="s">
        <v>11417</v>
      </c>
      <c r="H1535" t="s">
        <v>7965</v>
      </c>
      <c r="I1535" t="s">
        <v>11418</v>
      </c>
      <c r="J1535" t="s">
        <v>106</v>
      </c>
    </row>
    <row r="1536" spans="1:10" x14ac:dyDescent="0.25">
      <c r="A1536" t="s">
        <v>11419</v>
      </c>
      <c r="B1536">
        <v>16.896000000000001</v>
      </c>
      <c r="C1536" t="s">
        <v>11420</v>
      </c>
      <c r="D1536" t="s">
        <v>1143</v>
      </c>
      <c r="E1536" t="s">
        <v>11416</v>
      </c>
      <c r="F1536" t="s">
        <v>7672</v>
      </c>
      <c r="G1536" t="s">
        <v>11417</v>
      </c>
      <c r="H1536" t="s">
        <v>7965</v>
      </c>
      <c r="I1536" t="s">
        <v>11418</v>
      </c>
      <c r="J1536" t="s">
        <v>11421</v>
      </c>
    </row>
    <row r="1537" spans="1:10" x14ac:dyDescent="0.25">
      <c r="A1537" t="s">
        <v>11422</v>
      </c>
      <c r="B1537">
        <v>16.896000000000001</v>
      </c>
      <c r="C1537" t="s">
        <v>11423</v>
      </c>
      <c r="D1537" t="s">
        <v>53</v>
      </c>
      <c r="E1537" t="s">
        <v>11416</v>
      </c>
      <c r="F1537" t="s">
        <v>7672</v>
      </c>
      <c r="G1537" t="s">
        <v>11417</v>
      </c>
      <c r="H1537" t="s">
        <v>7965</v>
      </c>
      <c r="I1537" t="s">
        <v>11418</v>
      </c>
      <c r="J1537" t="s">
        <v>255</v>
      </c>
    </row>
    <row r="1538" spans="1:10" x14ac:dyDescent="0.25">
      <c r="A1538" t="s">
        <v>11424</v>
      </c>
      <c r="B1538">
        <v>16.896000000000001</v>
      </c>
      <c r="C1538" t="s">
        <v>11425</v>
      </c>
      <c r="D1538" t="s">
        <v>8618</v>
      </c>
      <c r="E1538" t="s">
        <v>11416</v>
      </c>
      <c r="F1538" t="s">
        <v>7672</v>
      </c>
      <c r="G1538" t="s">
        <v>11417</v>
      </c>
      <c r="H1538" t="s">
        <v>7965</v>
      </c>
      <c r="I1538" t="s">
        <v>11418</v>
      </c>
      <c r="J1538" t="s">
        <v>10549</v>
      </c>
    </row>
    <row r="1539" spans="1:10" x14ac:dyDescent="0.25">
      <c r="A1539" t="s">
        <v>11426</v>
      </c>
      <c r="B1539">
        <v>16.896000000000001</v>
      </c>
      <c r="C1539" t="s">
        <v>11427</v>
      </c>
      <c r="D1539" t="s">
        <v>450</v>
      </c>
      <c r="E1539" t="s">
        <v>11416</v>
      </c>
      <c r="F1539" t="s">
        <v>7672</v>
      </c>
      <c r="G1539" t="s">
        <v>11417</v>
      </c>
      <c r="H1539" t="s">
        <v>7965</v>
      </c>
      <c r="I1539" t="s">
        <v>11418</v>
      </c>
      <c r="J1539" t="s">
        <v>282</v>
      </c>
    </row>
    <row r="1540" spans="1:10" x14ac:dyDescent="0.25">
      <c r="A1540" t="s">
        <v>11428</v>
      </c>
      <c r="B1540">
        <v>10.08</v>
      </c>
      <c r="C1540" t="s">
        <v>11429</v>
      </c>
      <c r="D1540" t="s">
        <v>11430</v>
      </c>
      <c r="E1540" t="s">
        <v>11431</v>
      </c>
      <c r="F1540" t="s">
        <v>7672</v>
      </c>
      <c r="G1540" t="s">
        <v>11432</v>
      </c>
      <c r="H1540" t="s">
        <v>7974</v>
      </c>
      <c r="I1540" t="s">
        <v>11433</v>
      </c>
      <c r="J1540" t="s">
        <v>7942</v>
      </c>
    </row>
    <row r="1541" spans="1:10" x14ac:dyDescent="0.25">
      <c r="A1541" t="s">
        <v>11434</v>
      </c>
      <c r="B1541">
        <v>10.08</v>
      </c>
      <c r="C1541" t="s">
        <v>11435</v>
      </c>
      <c r="D1541" t="s">
        <v>705</v>
      </c>
      <c r="E1541" t="s">
        <v>11431</v>
      </c>
      <c r="F1541" t="s">
        <v>7672</v>
      </c>
      <c r="G1541" t="s">
        <v>11432</v>
      </c>
      <c r="H1541" t="s">
        <v>7974</v>
      </c>
      <c r="I1541" t="s">
        <v>11436</v>
      </c>
      <c r="J1541" t="s">
        <v>7942</v>
      </c>
    </row>
    <row r="1542" spans="1:10" x14ac:dyDescent="0.25">
      <c r="A1542" t="s">
        <v>11437</v>
      </c>
      <c r="B1542">
        <v>10.08</v>
      </c>
      <c r="C1542" t="s">
        <v>11438</v>
      </c>
      <c r="D1542" t="s">
        <v>100</v>
      </c>
      <c r="E1542" t="s">
        <v>11431</v>
      </c>
      <c r="F1542" t="s">
        <v>7672</v>
      </c>
      <c r="G1542" t="s">
        <v>11432</v>
      </c>
      <c r="H1542" t="s">
        <v>7974</v>
      </c>
      <c r="I1542" t="s">
        <v>11439</v>
      </c>
      <c r="J1542" t="s">
        <v>7942</v>
      </c>
    </row>
    <row r="1543" spans="1:10" x14ac:dyDescent="0.25">
      <c r="A1543" t="s">
        <v>11440</v>
      </c>
      <c r="B1543">
        <v>10.08</v>
      </c>
      <c r="C1543" t="s">
        <v>11441</v>
      </c>
      <c r="D1543" t="s">
        <v>2198</v>
      </c>
      <c r="E1543" t="s">
        <v>11431</v>
      </c>
      <c r="F1543" t="s">
        <v>7672</v>
      </c>
      <c r="G1543" t="s">
        <v>11432</v>
      </c>
      <c r="H1543" t="s">
        <v>7974</v>
      </c>
      <c r="I1543" t="s">
        <v>76</v>
      </c>
      <c r="J1543" t="s">
        <v>7942</v>
      </c>
    </row>
    <row r="1544" spans="1:10" x14ac:dyDescent="0.25">
      <c r="A1544" t="s">
        <v>11442</v>
      </c>
      <c r="B1544">
        <v>10.08</v>
      </c>
      <c r="C1544" t="s">
        <v>11443</v>
      </c>
      <c r="D1544" t="s">
        <v>986</v>
      </c>
      <c r="E1544" t="s">
        <v>11431</v>
      </c>
      <c r="F1544" t="s">
        <v>7672</v>
      </c>
      <c r="G1544" t="s">
        <v>11432</v>
      </c>
      <c r="H1544" t="s">
        <v>7974</v>
      </c>
      <c r="I1544" t="s">
        <v>11444</v>
      </c>
      <c r="J1544" t="s">
        <v>7942</v>
      </c>
    </row>
    <row r="1545" spans="1:10" x14ac:dyDescent="0.25">
      <c r="A1545" t="s">
        <v>11445</v>
      </c>
      <c r="B1545">
        <v>10.08</v>
      </c>
      <c r="C1545" t="s">
        <v>11446</v>
      </c>
      <c r="D1545" t="s">
        <v>8744</v>
      </c>
      <c r="E1545" t="s">
        <v>11431</v>
      </c>
      <c r="F1545" t="s">
        <v>7672</v>
      </c>
      <c r="G1545" t="s">
        <v>11432</v>
      </c>
      <c r="H1545" t="s">
        <v>7974</v>
      </c>
      <c r="I1545" t="s">
        <v>11433</v>
      </c>
      <c r="J1545" t="s">
        <v>7981</v>
      </c>
    </row>
    <row r="1546" spans="1:10" x14ac:dyDescent="0.25">
      <c r="A1546" t="s">
        <v>11447</v>
      </c>
      <c r="B1546">
        <v>10.08</v>
      </c>
      <c r="C1546" t="s">
        <v>11448</v>
      </c>
      <c r="D1546" t="s">
        <v>3258</v>
      </c>
      <c r="E1546" t="s">
        <v>11431</v>
      </c>
      <c r="F1546" t="s">
        <v>7672</v>
      </c>
      <c r="G1546" t="s">
        <v>11432</v>
      </c>
      <c r="H1546" t="s">
        <v>7974</v>
      </c>
      <c r="I1546" t="s">
        <v>11444</v>
      </c>
      <c r="J1546" t="s">
        <v>7981</v>
      </c>
    </row>
    <row r="1547" spans="1:10" x14ac:dyDescent="0.25">
      <c r="A1547" t="s">
        <v>11449</v>
      </c>
      <c r="B1547">
        <v>10.08</v>
      </c>
      <c r="C1547" t="s">
        <v>11450</v>
      </c>
      <c r="D1547" t="s">
        <v>9842</v>
      </c>
      <c r="E1547" t="s">
        <v>11431</v>
      </c>
      <c r="F1547" t="s">
        <v>7672</v>
      </c>
      <c r="G1547" t="s">
        <v>11432</v>
      </c>
      <c r="H1547" t="s">
        <v>7974</v>
      </c>
      <c r="I1547" t="s">
        <v>11433</v>
      </c>
      <c r="J1547" t="s">
        <v>7984</v>
      </c>
    </row>
    <row r="1548" spans="1:10" x14ac:dyDescent="0.25">
      <c r="A1548" t="s">
        <v>11451</v>
      </c>
      <c r="B1548">
        <v>10.08</v>
      </c>
      <c r="C1548" t="s">
        <v>11452</v>
      </c>
      <c r="D1548" t="s">
        <v>9312</v>
      </c>
      <c r="E1548" t="s">
        <v>11431</v>
      </c>
      <c r="F1548" t="s">
        <v>7672</v>
      </c>
      <c r="G1548" t="s">
        <v>11432</v>
      </c>
      <c r="H1548" t="s">
        <v>7974</v>
      </c>
      <c r="I1548" t="s">
        <v>11444</v>
      </c>
      <c r="J1548" t="s">
        <v>7984</v>
      </c>
    </row>
    <row r="1549" spans="1:10" x14ac:dyDescent="0.25">
      <c r="A1549" t="s">
        <v>11453</v>
      </c>
      <c r="B1549">
        <v>10.08</v>
      </c>
      <c r="C1549" t="s">
        <v>11454</v>
      </c>
      <c r="D1549" t="s">
        <v>8246</v>
      </c>
      <c r="E1549" t="s">
        <v>11431</v>
      </c>
      <c r="F1549" t="s">
        <v>7672</v>
      </c>
      <c r="G1549" t="s">
        <v>11432</v>
      </c>
      <c r="H1549" t="s">
        <v>7974</v>
      </c>
      <c r="I1549" t="s">
        <v>11433</v>
      </c>
      <c r="J1549" t="s">
        <v>7987</v>
      </c>
    </row>
    <row r="1550" spans="1:10" x14ac:dyDescent="0.25">
      <c r="A1550" t="s">
        <v>11455</v>
      </c>
      <c r="B1550">
        <v>10.08</v>
      </c>
      <c r="C1550" t="s">
        <v>11456</v>
      </c>
      <c r="D1550" t="s">
        <v>2371</v>
      </c>
      <c r="E1550" t="s">
        <v>11431</v>
      </c>
      <c r="F1550" t="s">
        <v>7672</v>
      </c>
      <c r="G1550" t="s">
        <v>11432</v>
      </c>
      <c r="H1550" t="s">
        <v>7974</v>
      </c>
      <c r="I1550" t="s">
        <v>11444</v>
      </c>
      <c r="J1550" t="s">
        <v>7987</v>
      </c>
    </row>
    <row r="1551" spans="1:10" x14ac:dyDescent="0.25">
      <c r="A1551" t="s">
        <v>11457</v>
      </c>
      <c r="B1551">
        <v>10.08</v>
      </c>
      <c r="C1551" t="s">
        <v>11458</v>
      </c>
      <c r="D1551" t="s">
        <v>8631</v>
      </c>
      <c r="E1551" t="s">
        <v>11431</v>
      </c>
      <c r="F1551" t="s">
        <v>7672</v>
      </c>
      <c r="G1551" t="s">
        <v>11432</v>
      </c>
      <c r="H1551" t="s">
        <v>7974</v>
      </c>
      <c r="I1551" t="s">
        <v>11433</v>
      </c>
      <c r="J1551" t="s">
        <v>8001</v>
      </c>
    </row>
    <row r="1552" spans="1:10" x14ac:dyDescent="0.25">
      <c r="A1552" t="s">
        <v>11459</v>
      </c>
      <c r="B1552">
        <v>10.08</v>
      </c>
      <c r="C1552" t="s">
        <v>11460</v>
      </c>
      <c r="D1552" t="s">
        <v>2022</v>
      </c>
      <c r="E1552" t="s">
        <v>11431</v>
      </c>
      <c r="F1552" t="s">
        <v>7672</v>
      </c>
      <c r="G1552" t="s">
        <v>11432</v>
      </c>
      <c r="H1552" t="s">
        <v>7974</v>
      </c>
      <c r="I1552" t="s">
        <v>11444</v>
      </c>
      <c r="J1552" t="s">
        <v>8001</v>
      </c>
    </row>
    <row r="1553" spans="1:10" x14ac:dyDescent="0.25">
      <c r="A1553" t="s">
        <v>11461</v>
      </c>
      <c r="B1553">
        <v>10.08</v>
      </c>
      <c r="C1553" t="s">
        <v>11462</v>
      </c>
      <c r="D1553" t="s">
        <v>9312</v>
      </c>
      <c r="E1553" t="s">
        <v>11431</v>
      </c>
      <c r="F1553" t="s">
        <v>7672</v>
      </c>
      <c r="G1553" t="s">
        <v>11432</v>
      </c>
      <c r="H1553" t="s">
        <v>7974</v>
      </c>
      <c r="I1553" t="s">
        <v>11433</v>
      </c>
      <c r="J1553" t="s">
        <v>8013</v>
      </c>
    </row>
    <row r="1554" spans="1:10" x14ac:dyDescent="0.25">
      <c r="A1554" t="s">
        <v>11463</v>
      </c>
      <c r="B1554">
        <v>10.08</v>
      </c>
      <c r="C1554" t="s">
        <v>11464</v>
      </c>
      <c r="D1554" t="s">
        <v>3577</v>
      </c>
      <c r="E1554" t="s">
        <v>11431</v>
      </c>
      <c r="F1554" t="s">
        <v>7672</v>
      </c>
      <c r="G1554" t="s">
        <v>11432</v>
      </c>
      <c r="H1554" t="s">
        <v>7974</v>
      </c>
      <c r="I1554" t="s">
        <v>11444</v>
      </c>
      <c r="J1554" t="s">
        <v>8013</v>
      </c>
    </row>
    <row r="1555" spans="1:10" x14ac:dyDescent="0.25">
      <c r="A1555" t="s">
        <v>11465</v>
      </c>
      <c r="B1555">
        <v>15.4</v>
      </c>
      <c r="C1555" t="s">
        <v>11466</v>
      </c>
      <c r="D1555" t="s">
        <v>118</v>
      </c>
      <c r="E1555" t="s">
        <v>11467</v>
      </c>
      <c r="F1555" t="s">
        <v>7672</v>
      </c>
      <c r="G1555" t="s">
        <v>11468</v>
      </c>
      <c r="H1555" t="s">
        <v>7954</v>
      </c>
      <c r="I1555" t="s">
        <v>76</v>
      </c>
      <c r="J1555" t="s">
        <v>7675</v>
      </c>
    </row>
    <row r="1556" spans="1:10" x14ac:dyDescent="0.25">
      <c r="A1556" t="s">
        <v>11469</v>
      </c>
      <c r="B1556">
        <v>15.4</v>
      </c>
      <c r="C1556" t="s">
        <v>11470</v>
      </c>
      <c r="D1556" t="s">
        <v>2910</v>
      </c>
      <c r="E1556" t="s">
        <v>11467</v>
      </c>
      <c r="F1556" t="s">
        <v>7672</v>
      </c>
      <c r="G1556" t="s">
        <v>11468</v>
      </c>
      <c r="H1556" t="s">
        <v>7954</v>
      </c>
      <c r="I1556" t="s">
        <v>11471</v>
      </c>
      <c r="J1556" t="s">
        <v>7675</v>
      </c>
    </row>
    <row r="1557" spans="1:10" x14ac:dyDescent="0.25">
      <c r="A1557" t="s">
        <v>11472</v>
      </c>
      <c r="B1557">
        <v>15.4</v>
      </c>
      <c r="C1557" t="s">
        <v>11473</v>
      </c>
      <c r="D1557" t="s">
        <v>366</v>
      </c>
      <c r="E1557" t="s">
        <v>11467</v>
      </c>
      <c r="F1557" t="s">
        <v>7672</v>
      </c>
      <c r="G1557" t="s">
        <v>11468</v>
      </c>
      <c r="H1557" t="s">
        <v>7954</v>
      </c>
      <c r="I1557" t="s">
        <v>11474</v>
      </c>
      <c r="J1557" t="s">
        <v>7675</v>
      </c>
    </row>
    <row r="1558" spans="1:10" x14ac:dyDescent="0.25">
      <c r="A1558" t="s">
        <v>11475</v>
      </c>
      <c r="B1558">
        <v>15.4</v>
      </c>
      <c r="C1558" t="s">
        <v>11476</v>
      </c>
      <c r="D1558" t="s">
        <v>321</v>
      </c>
      <c r="E1558" t="s">
        <v>11467</v>
      </c>
      <c r="F1558" t="s">
        <v>7672</v>
      </c>
      <c r="G1558" t="s">
        <v>11468</v>
      </c>
      <c r="H1558" t="s">
        <v>7954</v>
      </c>
      <c r="I1558" t="s">
        <v>1406</v>
      </c>
      <c r="J1558" t="s">
        <v>7675</v>
      </c>
    </row>
    <row r="1559" spans="1:10" x14ac:dyDescent="0.25">
      <c r="A1559" t="s">
        <v>11477</v>
      </c>
      <c r="B1559">
        <v>15.4</v>
      </c>
      <c r="C1559" t="s">
        <v>11478</v>
      </c>
      <c r="D1559" t="s">
        <v>113</v>
      </c>
      <c r="E1559" t="s">
        <v>11467</v>
      </c>
      <c r="F1559" t="s">
        <v>7672</v>
      </c>
      <c r="G1559" t="s">
        <v>11468</v>
      </c>
      <c r="H1559" t="s">
        <v>7954</v>
      </c>
      <c r="I1559" t="s">
        <v>11474</v>
      </c>
      <c r="J1559" t="s">
        <v>7686</v>
      </c>
    </row>
    <row r="1560" spans="1:10" x14ac:dyDescent="0.25">
      <c r="A1560" t="s">
        <v>11479</v>
      </c>
      <c r="B1560">
        <v>15.4</v>
      </c>
      <c r="C1560" t="s">
        <v>11480</v>
      </c>
      <c r="D1560" t="s">
        <v>53</v>
      </c>
      <c r="E1560" t="s">
        <v>11467</v>
      </c>
      <c r="F1560" t="s">
        <v>7672</v>
      </c>
      <c r="G1560" t="s">
        <v>11468</v>
      </c>
      <c r="H1560" t="s">
        <v>7954</v>
      </c>
      <c r="I1560" t="s">
        <v>278</v>
      </c>
      <c r="J1560" t="s">
        <v>7713</v>
      </c>
    </row>
    <row r="1561" spans="1:10" x14ac:dyDescent="0.25">
      <c r="A1561" t="s">
        <v>11481</v>
      </c>
      <c r="B1561">
        <v>15.4</v>
      </c>
      <c r="C1561" t="s">
        <v>11482</v>
      </c>
      <c r="D1561" t="s">
        <v>2371</v>
      </c>
      <c r="E1561" t="s">
        <v>11467</v>
      </c>
      <c r="F1561" t="s">
        <v>7672</v>
      </c>
      <c r="G1561" t="s">
        <v>11468</v>
      </c>
      <c r="H1561" t="s">
        <v>7954</v>
      </c>
      <c r="I1561" t="s">
        <v>278</v>
      </c>
      <c r="J1561" t="s">
        <v>7719</v>
      </c>
    </row>
    <row r="1562" spans="1:10" x14ac:dyDescent="0.25">
      <c r="A1562" t="s">
        <v>11483</v>
      </c>
      <c r="B1562">
        <v>4.1360000000000001</v>
      </c>
      <c r="C1562" t="s">
        <v>11484</v>
      </c>
      <c r="D1562" t="s">
        <v>11485</v>
      </c>
      <c r="E1562" t="s">
        <v>11486</v>
      </c>
      <c r="F1562" t="s">
        <v>7672</v>
      </c>
      <c r="G1562" t="s">
        <v>11487</v>
      </c>
      <c r="H1562" t="s">
        <v>10298</v>
      </c>
      <c r="I1562" t="s">
        <v>11488</v>
      </c>
      <c r="J1562" t="s">
        <v>7984</v>
      </c>
    </row>
    <row r="1563" spans="1:10" x14ac:dyDescent="0.25">
      <c r="A1563" t="s">
        <v>11489</v>
      </c>
      <c r="B1563">
        <v>4.1360000000000001</v>
      </c>
      <c r="C1563" t="s">
        <v>11490</v>
      </c>
      <c r="D1563" t="s">
        <v>11491</v>
      </c>
      <c r="E1563" t="s">
        <v>11486</v>
      </c>
      <c r="F1563" t="s">
        <v>7672</v>
      </c>
      <c r="G1563" t="s">
        <v>11487</v>
      </c>
      <c r="H1563" t="s">
        <v>10298</v>
      </c>
      <c r="I1563" t="s">
        <v>11488</v>
      </c>
      <c r="J1563" t="s">
        <v>7987</v>
      </c>
    </row>
    <row r="1564" spans="1:10" x14ac:dyDescent="0.25">
      <c r="A1564" t="s">
        <v>11492</v>
      </c>
      <c r="B1564">
        <v>4.1360000000000001</v>
      </c>
      <c r="C1564" t="s">
        <v>11493</v>
      </c>
      <c r="D1564" t="s">
        <v>11494</v>
      </c>
      <c r="E1564" t="s">
        <v>11486</v>
      </c>
      <c r="F1564" t="s">
        <v>7672</v>
      </c>
      <c r="G1564" t="s">
        <v>11487</v>
      </c>
      <c r="H1564" t="s">
        <v>10298</v>
      </c>
      <c r="I1564" t="s">
        <v>11488</v>
      </c>
      <c r="J1564" t="s">
        <v>8001</v>
      </c>
    </row>
    <row r="1565" spans="1:10" x14ac:dyDescent="0.25">
      <c r="A1565" t="s">
        <v>2512</v>
      </c>
      <c r="B1565">
        <v>7.6959999999999997</v>
      </c>
      <c r="C1565" t="s">
        <v>2514</v>
      </c>
      <c r="D1565" t="s">
        <v>2517</v>
      </c>
      <c r="E1565" t="s">
        <v>2515</v>
      </c>
      <c r="F1565" t="s">
        <v>7672</v>
      </c>
      <c r="G1565" t="s">
        <v>11495</v>
      </c>
      <c r="H1565" t="s">
        <v>11496</v>
      </c>
      <c r="I1565" t="s">
        <v>235</v>
      </c>
      <c r="J1565" t="s">
        <v>11497</v>
      </c>
    </row>
    <row r="1566" spans="1:10" x14ac:dyDescent="0.25">
      <c r="A1566" t="s">
        <v>2519</v>
      </c>
      <c r="B1566">
        <v>7.6959999999999997</v>
      </c>
      <c r="C1566" t="s">
        <v>2521</v>
      </c>
      <c r="D1566" t="s">
        <v>2523</v>
      </c>
      <c r="E1566" t="s">
        <v>2515</v>
      </c>
      <c r="F1566" t="s">
        <v>7672</v>
      </c>
      <c r="G1566" t="s">
        <v>11495</v>
      </c>
      <c r="H1566" t="s">
        <v>11496</v>
      </c>
      <c r="I1566" t="s">
        <v>235</v>
      </c>
      <c r="J1566" t="s">
        <v>11498</v>
      </c>
    </row>
    <row r="1567" spans="1:10" x14ac:dyDescent="0.25">
      <c r="A1567" t="s">
        <v>2525</v>
      </c>
      <c r="B1567">
        <v>7.6959999999999997</v>
      </c>
      <c r="C1567" t="s">
        <v>2527</v>
      </c>
      <c r="D1567" t="s">
        <v>2529</v>
      </c>
      <c r="E1567" t="s">
        <v>2515</v>
      </c>
      <c r="F1567" t="s">
        <v>7672</v>
      </c>
      <c r="G1567" t="s">
        <v>11495</v>
      </c>
      <c r="H1567" t="s">
        <v>11496</v>
      </c>
      <c r="I1567" t="s">
        <v>235</v>
      </c>
      <c r="J1567" t="s">
        <v>11499</v>
      </c>
    </row>
    <row r="1568" spans="1:10" x14ac:dyDescent="0.25">
      <c r="A1568" t="s">
        <v>2531</v>
      </c>
      <c r="B1568">
        <v>7.6959999999999997</v>
      </c>
      <c r="C1568" t="s">
        <v>2533</v>
      </c>
      <c r="D1568" t="s">
        <v>2535</v>
      </c>
      <c r="E1568" t="s">
        <v>2515</v>
      </c>
      <c r="F1568" t="s">
        <v>7672</v>
      </c>
      <c r="G1568" t="s">
        <v>11495</v>
      </c>
      <c r="H1568" t="s">
        <v>11496</v>
      </c>
      <c r="I1568" t="s">
        <v>235</v>
      </c>
      <c r="J1568" t="s">
        <v>11500</v>
      </c>
    </row>
    <row r="1569" spans="1:10" x14ac:dyDescent="0.25">
      <c r="A1569" t="s">
        <v>2537</v>
      </c>
      <c r="B1569">
        <v>7.6959999999999997</v>
      </c>
      <c r="C1569" t="s">
        <v>2539</v>
      </c>
      <c r="D1569" t="s">
        <v>2541</v>
      </c>
      <c r="E1569" t="s">
        <v>2515</v>
      </c>
      <c r="F1569" t="s">
        <v>7672</v>
      </c>
      <c r="G1569" t="s">
        <v>11495</v>
      </c>
      <c r="H1569" t="s">
        <v>11496</v>
      </c>
      <c r="I1569" t="s">
        <v>235</v>
      </c>
      <c r="J1569" t="s">
        <v>11501</v>
      </c>
    </row>
    <row r="1570" spans="1:10" x14ac:dyDescent="0.25">
      <c r="A1570" t="s">
        <v>2543</v>
      </c>
      <c r="B1570">
        <v>7.6959999999999997</v>
      </c>
      <c r="C1570" t="s">
        <v>2545</v>
      </c>
      <c r="D1570" t="s">
        <v>2547</v>
      </c>
      <c r="E1570" t="s">
        <v>2515</v>
      </c>
      <c r="F1570" t="s">
        <v>7672</v>
      </c>
      <c r="G1570" t="s">
        <v>11495</v>
      </c>
      <c r="H1570" t="s">
        <v>11496</v>
      </c>
      <c r="I1570" t="s">
        <v>235</v>
      </c>
      <c r="J1570" t="s">
        <v>11502</v>
      </c>
    </row>
    <row r="1571" spans="1:10" x14ac:dyDescent="0.25">
      <c r="A1571" t="s">
        <v>2549</v>
      </c>
      <c r="B1571">
        <v>7.6959999999999997</v>
      </c>
      <c r="C1571" t="s">
        <v>2551</v>
      </c>
      <c r="D1571" t="s">
        <v>2553</v>
      </c>
      <c r="E1571" t="s">
        <v>2515</v>
      </c>
      <c r="F1571" t="s">
        <v>7672</v>
      </c>
      <c r="G1571" t="s">
        <v>11495</v>
      </c>
      <c r="H1571" t="s">
        <v>11496</v>
      </c>
      <c r="I1571" t="s">
        <v>235</v>
      </c>
      <c r="J1571" t="s">
        <v>11503</v>
      </c>
    </row>
    <row r="1572" spans="1:10" x14ac:dyDescent="0.25">
      <c r="A1572" t="s">
        <v>2555</v>
      </c>
      <c r="B1572">
        <v>7.6959999999999997</v>
      </c>
      <c r="C1572" t="s">
        <v>2557</v>
      </c>
      <c r="D1572" t="s">
        <v>2559</v>
      </c>
      <c r="E1572" t="s">
        <v>2515</v>
      </c>
      <c r="F1572" t="s">
        <v>7672</v>
      </c>
      <c r="G1572" t="s">
        <v>11495</v>
      </c>
      <c r="H1572" t="s">
        <v>11496</v>
      </c>
      <c r="I1572" t="s">
        <v>235</v>
      </c>
      <c r="J1572" t="s">
        <v>282</v>
      </c>
    </row>
    <row r="1573" spans="1:10" x14ac:dyDescent="0.25">
      <c r="A1573" t="s">
        <v>2561</v>
      </c>
      <c r="B1573">
        <v>7.6959999999999997</v>
      </c>
      <c r="C1573" t="s">
        <v>2563</v>
      </c>
      <c r="D1573" t="s">
        <v>2565</v>
      </c>
      <c r="E1573" t="s">
        <v>2515</v>
      </c>
      <c r="F1573" t="s">
        <v>7672</v>
      </c>
      <c r="G1573" t="s">
        <v>11495</v>
      </c>
      <c r="H1573" t="s">
        <v>11496</v>
      </c>
      <c r="I1573" t="s">
        <v>235</v>
      </c>
      <c r="J1573" t="s">
        <v>277</v>
      </c>
    </row>
    <row r="1574" spans="1:10" x14ac:dyDescent="0.25">
      <c r="A1574" t="s">
        <v>11504</v>
      </c>
      <c r="B1574">
        <v>7.6959999999999997</v>
      </c>
      <c r="C1574" t="s">
        <v>11505</v>
      </c>
      <c r="D1574" t="s">
        <v>11297</v>
      </c>
      <c r="E1574" t="s">
        <v>2570</v>
      </c>
      <c r="F1574" t="s">
        <v>7672</v>
      </c>
      <c r="G1574" t="s">
        <v>11506</v>
      </c>
      <c r="H1574" t="s">
        <v>11507</v>
      </c>
      <c r="I1574" t="s">
        <v>11508</v>
      </c>
      <c r="J1574" t="s">
        <v>11497</v>
      </c>
    </row>
    <row r="1575" spans="1:10" x14ac:dyDescent="0.25">
      <c r="A1575" t="s">
        <v>2567</v>
      </c>
      <c r="B1575">
        <v>7.6959999999999997</v>
      </c>
      <c r="C1575" t="s">
        <v>2569</v>
      </c>
      <c r="D1575" t="s">
        <v>2572</v>
      </c>
      <c r="E1575" t="s">
        <v>2570</v>
      </c>
      <c r="F1575" t="s">
        <v>7672</v>
      </c>
      <c r="G1575" t="s">
        <v>11506</v>
      </c>
      <c r="H1575" t="s">
        <v>11507</v>
      </c>
      <c r="I1575" t="s">
        <v>76</v>
      </c>
      <c r="J1575" t="s">
        <v>11497</v>
      </c>
    </row>
    <row r="1576" spans="1:10" x14ac:dyDescent="0.25">
      <c r="A1576" t="s">
        <v>2574</v>
      </c>
      <c r="B1576">
        <v>7.6959999999999997</v>
      </c>
      <c r="C1576" t="s">
        <v>2576</v>
      </c>
      <c r="D1576" t="s">
        <v>2578</v>
      </c>
      <c r="E1576" t="s">
        <v>2570</v>
      </c>
      <c r="F1576" t="s">
        <v>7672</v>
      </c>
      <c r="G1576" t="s">
        <v>11506</v>
      </c>
      <c r="H1576" t="s">
        <v>11507</v>
      </c>
      <c r="I1576" t="s">
        <v>76</v>
      </c>
      <c r="J1576" t="s">
        <v>11498</v>
      </c>
    </row>
    <row r="1577" spans="1:10" x14ac:dyDescent="0.25">
      <c r="A1577" t="s">
        <v>11509</v>
      </c>
      <c r="B1577">
        <v>7.6959999999999997</v>
      </c>
      <c r="C1577" t="s">
        <v>11510</v>
      </c>
      <c r="D1577" t="s">
        <v>3954</v>
      </c>
      <c r="E1577" t="s">
        <v>2570</v>
      </c>
      <c r="F1577" t="s">
        <v>7672</v>
      </c>
      <c r="G1577" t="s">
        <v>11506</v>
      </c>
      <c r="H1577" t="s">
        <v>11507</v>
      </c>
      <c r="I1577" t="s">
        <v>11508</v>
      </c>
      <c r="J1577" t="s">
        <v>11498</v>
      </c>
    </row>
    <row r="1578" spans="1:10" x14ac:dyDescent="0.25">
      <c r="A1578" t="s">
        <v>11511</v>
      </c>
      <c r="B1578">
        <v>7.6959999999999997</v>
      </c>
      <c r="C1578" t="s">
        <v>11512</v>
      </c>
      <c r="D1578" t="s">
        <v>2347</v>
      </c>
      <c r="E1578" t="s">
        <v>2570</v>
      </c>
      <c r="F1578" t="s">
        <v>7672</v>
      </c>
      <c r="G1578" t="s">
        <v>11506</v>
      </c>
      <c r="H1578" t="s">
        <v>11507</v>
      </c>
      <c r="I1578" t="s">
        <v>11508</v>
      </c>
      <c r="J1578" t="s">
        <v>11499</v>
      </c>
    </row>
    <row r="1579" spans="1:10" x14ac:dyDescent="0.25">
      <c r="A1579" t="s">
        <v>2579</v>
      </c>
      <c r="B1579">
        <v>7.6959999999999997</v>
      </c>
      <c r="C1579" t="s">
        <v>2581</v>
      </c>
      <c r="D1579" t="s">
        <v>1837</v>
      </c>
      <c r="E1579" t="s">
        <v>2570</v>
      </c>
      <c r="F1579" t="s">
        <v>7672</v>
      </c>
      <c r="G1579" t="s">
        <v>11506</v>
      </c>
      <c r="H1579" t="s">
        <v>11507</v>
      </c>
      <c r="I1579" t="s">
        <v>76</v>
      </c>
      <c r="J1579" t="s">
        <v>11499</v>
      </c>
    </row>
    <row r="1580" spans="1:10" x14ac:dyDescent="0.25">
      <c r="A1580" t="s">
        <v>11513</v>
      </c>
      <c r="B1580">
        <v>7.6959999999999997</v>
      </c>
      <c r="C1580" t="s">
        <v>11514</v>
      </c>
      <c r="D1580" t="s">
        <v>933</v>
      </c>
      <c r="E1580" t="s">
        <v>2570</v>
      </c>
      <c r="F1580" t="s">
        <v>7672</v>
      </c>
      <c r="G1580" t="s">
        <v>11506</v>
      </c>
      <c r="H1580" t="s">
        <v>11507</v>
      </c>
      <c r="I1580" t="s">
        <v>11508</v>
      </c>
      <c r="J1580" t="s">
        <v>11500</v>
      </c>
    </row>
    <row r="1581" spans="1:10" x14ac:dyDescent="0.25">
      <c r="A1581" t="s">
        <v>2583</v>
      </c>
      <c r="B1581">
        <v>7.6959999999999997</v>
      </c>
      <c r="C1581" t="s">
        <v>2585</v>
      </c>
      <c r="D1581" t="s">
        <v>2587</v>
      </c>
      <c r="E1581" t="s">
        <v>2570</v>
      </c>
      <c r="F1581" t="s">
        <v>7672</v>
      </c>
      <c r="G1581" t="s">
        <v>11506</v>
      </c>
      <c r="H1581" t="s">
        <v>11507</v>
      </c>
      <c r="I1581" t="s">
        <v>76</v>
      </c>
      <c r="J1581" t="s">
        <v>11500</v>
      </c>
    </row>
    <row r="1582" spans="1:10" x14ac:dyDescent="0.25">
      <c r="A1582" t="s">
        <v>2588</v>
      </c>
      <c r="B1582">
        <v>7.6959999999999997</v>
      </c>
      <c r="C1582" t="s">
        <v>2590</v>
      </c>
      <c r="D1582" t="s">
        <v>1143</v>
      </c>
      <c r="E1582" t="s">
        <v>2570</v>
      </c>
      <c r="F1582" t="s">
        <v>7672</v>
      </c>
      <c r="G1582" t="s">
        <v>11506</v>
      </c>
      <c r="H1582" t="s">
        <v>11507</v>
      </c>
      <c r="I1582" t="s">
        <v>76</v>
      </c>
      <c r="J1582" t="s">
        <v>11501</v>
      </c>
    </row>
    <row r="1583" spans="1:10" x14ac:dyDescent="0.25">
      <c r="A1583" t="s">
        <v>11515</v>
      </c>
      <c r="B1583">
        <v>7.6959999999999997</v>
      </c>
      <c r="C1583" t="s">
        <v>11516</v>
      </c>
      <c r="D1583" t="s">
        <v>4109</v>
      </c>
      <c r="E1583" t="s">
        <v>2570</v>
      </c>
      <c r="F1583" t="s">
        <v>7672</v>
      </c>
      <c r="G1583" t="s">
        <v>11506</v>
      </c>
      <c r="H1583" t="s">
        <v>11507</v>
      </c>
      <c r="I1583" t="s">
        <v>11508</v>
      </c>
      <c r="J1583" t="s">
        <v>11502</v>
      </c>
    </row>
    <row r="1584" spans="1:10" x14ac:dyDescent="0.25">
      <c r="A1584" t="s">
        <v>2592</v>
      </c>
      <c r="B1584">
        <v>7.6959999999999997</v>
      </c>
      <c r="C1584" t="s">
        <v>2594</v>
      </c>
      <c r="D1584" t="s">
        <v>2596</v>
      </c>
      <c r="E1584" t="s">
        <v>2570</v>
      </c>
      <c r="F1584" t="s">
        <v>7672</v>
      </c>
      <c r="G1584" t="s">
        <v>11506</v>
      </c>
      <c r="H1584" t="s">
        <v>11507</v>
      </c>
      <c r="I1584" t="s">
        <v>76</v>
      </c>
      <c r="J1584" t="s">
        <v>11502</v>
      </c>
    </row>
    <row r="1585" spans="1:10" x14ac:dyDescent="0.25">
      <c r="A1585" t="s">
        <v>2597</v>
      </c>
      <c r="B1585">
        <v>18.2</v>
      </c>
      <c r="C1585" t="s">
        <v>2599</v>
      </c>
      <c r="D1585" t="s">
        <v>106</v>
      </c>
      <c r="E1585" t="s">
        <v>2600</v>
      </c>
      <c r="F1585" t="s">
        <v>7672</v>
      </c>
      <c r="G1585" t="s">
        <v>11517</v>
      </c>
      <c r="H1585" t="s">
        <v>7954</v>
      </c>
      <c r="I1585" t="s">
        <v>2603</v>
      </c>
      <c r="J1585" t="s">
        <v>7675</v>
      </c>
    </row>
    <row r="1586" spans="1:10" x14ac:dyDescent="0.25">
      <c r="A1586" t="s">
        <v>2604</v>
      </c>
      <c r="B1586">
        <v>18.2</v>
      </c>
      <c r="C1586" t="s">
        <v>2606</v>
      </c>
      <c r="D1586" t="s">
        <v>106</v>
      </c>
      <c r="E1586" t="s">
        <v>2600</v>
      </c>
      <c r="F1586" t="s">
        <v>7672</v>
      </c>
      <c r="G1586" t="s">
        <v>11517</v>
      </c>
      <c r="H1586" t="s">
        <v>7954</v>
      </c>
      <c r="I1586" t="s">
        <v>935</v>
      </c>
      <c r="J1586" t="s">
        <v>7675</v>
      </c>
    </row>
    <row r="1587" spans="1:10" x14ac:dyDescent="0.25">
      <c r="A1587" t="s">
        <v>2608</v>
      </c>
      <c r="B1587">
        <v>18.2</v>
      </c>
      <c r="C1587" t="s">
        <v>2610</v>
      </c>
      <c r="D1587" t="s">
        <v>1143</v>
      </c>
      <c r="E1587" t="s">
        <v>2600</v>
      </c>
      <c r="F1587" t="s">
        <v>7672</v>
      </c>
      <c r="G1587" t="s">
        <v>11517</v>
      </c>
      <c r="H1587" t="s">
        <v>7954</v>
      </c>
      <c r="I1587" t="s">
        <v>935</v>
      </c>
      <c r="J1587" t="s">
        <v>7686</v>
      </c>
    </row>
    <row r="1588" spans="1:10" x14ac:dyDescent="0.25">
      <c r="A1588" t="s">
        <v>2612</v>
      </c>
      <c r="B1588">
        <v>18.2</v>
      </c>
      <c r="C1588" t="s">
        <v>2614</v>
      </c>
      <c r="D1588" t="s">
        <v>113</v>
      </c>
      <c r="E1588" t="s">
        <v>2600</v>
      </c>
      <c r="F1588" t="s">
        <v>7672</v>
      </c>
      <c r="G1588" t="s">
        <v>11517</v>
      </c>
      <c r="H1588" t="s">
        <v>7954</v>
      </c>
      <c r="I1588" t="s">
        <v>2603</v>
      </c>
      <c r="J1588" t="s">
        <v>7686</v>
      </c>
    </row>
    <row r="1589" spans="1:10" x14ac:dyDescent="0.25">
      <c r="A1589" t="s">
        <v>2616</v>
      </c>
      <c r="B1589">
        <v>18.2</v>
      </c>
      <c r="C1589" t="s">
        <v>2618</v>
      </c>
      <c r="D1589" t="s">
        <v>2620</v>
      </c>
      <c r="E1589" t="s">
        <v>2600</v>
      </c>
      <c r="F1589" t="s">
        <v>7672</v>
      </c>
      <c r="G1589" t="s">
        <v>11517</v>
      </c>
      <c r="H1589" t="s">
        <v>7954</v>
      </c>
      <c r="I1589" t="s">
        <v>935</v>
      </c>
      <c r="J1589" t="s">
        <v>7703</v>
      </c>
    </row>
    <row r="1590" spans="1:10" x14ac:dyDescent="0.25">
      <c r="A1590" t="s">
        <v>2621</v>
      </c>
      <c r="B1590">
        <v>18.2</v>
      </c>
      <c r="C1590" t="s">
        <v>2623</v>
      </c>
      <c r="D1590" t="s">
        <v>311</v>
      </c>
      <c r="E1590" t="s">
        <v>2600</v>
      </c>
      <c r="F1590" t="s">
        <v>7672</v>
      </c>
      <c r="G1590" t="s">
        <v>11517</v>
      </c>
      <c r="H1590" t="s">
        <v>7954</v>
      </c>
      <c r="I1590" t="s">
        <v>2603</v>
      </c>
      <c r="J1590" t="s">
        <v>7703</v>
      </c>
    </row>
    <row r="1591" spans="1:10" x14ac:dyDescent="0.25">
      <c r="A1591" t="s">
        <v>2625</v>
      </c>
      <c r="B1591">
        <v>18.2</v>
      </c>
      <c r="C1591" t="s">
        <v>2627</v>
      </c>
      <c r="D1591" t="s">
        <v>60</v>
      </c>
      <c r="E1591" t="s">
        <v>2600</v>
      </c>
      <c r="F1591" t="s">
        <v>7672</v>
      </c>
      <c r="G1591" t="s">
        <v>11517</v>
      </c>
      <c r="H1591" t="s">
        <v>7954</v>
      </c>
      <c r="I1591" t="s">
        <v>1406</v>
      </c>
      <c r="J1591" t="s">
        <v>7703</v>
      </c>
    </row>
    <row r="1592" spans="1:10" x14ac:dyDescent="0.25">
      <c r="A1592" t="s">
        <v>2629</v>
      </c>
      <c r="B1592">
        <v>18.2</v>
      </c>
      <c r="C1592" t="s">
        <v>2631</v>
      </c>
      <c r="D1592" t="s">
        <v>330</v>
      </c>
      <c r="E1592" t="s">
        <v>2600</v>
      </c>
      <c r="F1592" t="s">
        <v>7672</v>
      </c>
      <c r="G1592" t="s">
        <v>11517</v>
      </c>
      <c r="H1592" t="s">
        <v>7954</v>
      </c>
      <c r="I1592" t="s">
        <v>1406</v>
      </c>
      <c r="J1592" t="s">
        <v>7713</v>
      </c>
    </row>
    <row r="1593" spans="1:10" x14ac:dyDescent="0.25">
      <c r="A1593" t="s">
        <v>2633</v>
      </c>
      <c r="B1593">
        <v>18.2</v>
      </c>
      <c r="C1593" t="s">
        <v>2635</v>
      </c>
      <c r="D1593" t="s">
        <v>1621</v>
      </c>
      <c r="E1593" t="s">
        <v>2600</v>
      </c>
      <c r="F1593" t="s">
        <v>7672</v>
      </c>
      <c r="G1593" t="s">
        <v>11517</v>
      </c>
      <c r="H1593" t="s">
        <v>7954</v>
      </c>
      <c r="I1593" t="s">
        <v>935</v>
      </c>
      <c r="J1593" t="s">
        <v>7713</v>
      </c>
    </row>
    <row r="1594" spans="1:10" x14ac:dyDescent="0.25">
      <c r="A1594" t="s">
        <v>2637</v>
      </c>
      <c r="B1594">
        <v>18.2</v>
      </c>
      <c r="C1594" t="s">
        <v>2639</v>
      </c>
      <c r="D1594" t="s">
        <v>113</v>
      </c>
      <c r="E1594" t="s">
        <v>2600</v>
      </c>
      <c r="F1594" t="s">
        <v>7672</v>
      </c>
      <c r="G1594" t="s">
        <v>11517</v>
      </c>
      <c r="H1594" t="s">
        <v>7954</v>
      </c>
      <c r="I1594" t="s">
        <v>2603</v>
      </c>
      <c r="J1594" t="s">
        <v>7713</v>
      </c>
    </row>
    <row r="1595" spans="1:10" x14ac:dyDescent="0.25">
      <c r="A1595" t="s">
        <v>2641</v>
      </c>
      <c r="B1595">
        <v>16.495999999999999</v>
      </c>
      <c r="C1595" t="s">
        <v>2643</v>
      </c>
      <c r="D1595" t="s">
        <v>698</v>
      </c>
      <c r="E1595" t="s">
        <v>2644</v>
      </c>
      <c r="F1595" t="s">
        <v>7672</v>
      </c>
      <c r="G1595" t="s">
        <v>11518</v>
      </c>
      <c r="H1595" t="s">
        <v>8331</v>
      </c>
      <c r="I1595" t="s">
        <v>2647</v>
      </c>
      <c r="J1595" t="s">
        <v>342</v>
      </c>
    </row>
    <row r="1596" spans="1:10" x14ac:dyDescent="0.25">
      <c r="A1596" t="s">
        <v>2648</v>
      </c>
      <c r="B1596">
        <v>16.495999999999999</v>
      </c>
      <c r="C1596" t="s">
        <v>2650</v>
      </c>
      <c r="D1596" t="s">
        <v>2652</v>
      </c>
      <c r="E1596" t="s">
        <v>2644</v>
      </c>
      <c r="F1596" t="s">
        <v>7672</v>
      </c>
      <c r="G1596" t="s">
        <v>11518</v>
      </c>
      <c r="H1596" t="s">
        <v>8331</v>
      </c>
      <c r="I1596" t="s">
        <v>2647</v>
      </c>
      <c r="J1596" t="s">
        <v>100</v>
      </c>
    </row>
    <row r="1597" spans="1:10" x14ac:dyDescent="0.25">
      <c r="A1597" t="s">
        <v>2653</v>
      </c>
      <c r="B1597">
        <v>16.495999999999999</v>
      </c>
      <c r="C1597" t="s">
        <v>2655</v>
      </c>
      <c r="D1597" t="s">
        <v>843</v>
      </c>
      <c r="E1597" t="s">
        <v>2644</v>
      </c>
      <c r="F1597" t="s">
        <v>7672</v>
      </c>
      <c r="G1597" t="s">
        <v>11518</v>
      </c>
      <c r="H1597" t="s">
        <v>8331</v>
      </c>
      <c r="I1597" t="s">
        <v>2647</v>
      </c>
      <c r="J1597" t="s">
        <v>106</v>
      </c>
    </row>
    <row r="1598" spans="1:10" x14ac:dyDescent="0.25">
      <c r="A1598" t="s">
        <v>11519</v>
      </c>
      <c r="B1598">
        <v>15.4</v>
      </c>
      <c r="C1598" t="s">
        <v>11520</v>
      </c>
      <c r="D1598" t="s">
        <v>301</v>
      </c>
      <c r="E1598" t="s">
        <v>2660</v>
      </c>
      <c r="F1598" t="s">
        <v>7672</v>
      </c>
      <c r="G1598" t="s">
        <v>11521</v>
      </c>
      <c r="H1598" t="s">
        <v>7947</v>
      </c>
      <c r="I1598" t="s">
        <v>278</v>
      </c>
      <c r="J1598" t="s">
        <v>7942</v>
      </c>
    </row>
    <row r="1599" spans="1:10" x14ac:dyDescent="0.25">
      <c r="A1599" t="s">
        <v>11522</v>
      </c>
      <c r="B1599">
        <v>15.4</v>
      </c>
      <c r="C1599" t="s">
        <v>11523</v>
      </c>
      <c r="D1599" t="s">
        <v>95</v>
      </c>
      <c r="E1599" t="s">
        <v>2660</v>
      </c>
      <c r="F1599" t="s">
        <v>7672</v>
      </c>
      <c r="G1599" t="s">
        <v>11521</v>
      </c>
      <c r="H1599" t="s">
        <v>7947</v>
      </c>
      <c r="I1599" t="s">
        <v>278</v>
      </c>
      <c r="J1599" t="s">
        <v>7984</v>
      </c>
    </row>
    <row r="1600" spans="1:10" x14ac:dyDescent="0.25">
      <c r="A1600" t="s">
        <v>2657</v>
      </c>
      <c r="B1600">
        <v>15.4</v>
      </c>
      <c r="C1600" t="s">
        <v>2659</v>
      </c>
      <c r="D1600" t="s">
        <v>2253</v>
      </c>
      <c r="E1600" t="s">
        <v>2660</v>
      </c>
      <c r="F1600" t="s">
        <v>7672</v>
      </c>
      <c r="G1600" t="s">
        <v>11521</v>
      </c>
      <c r="H1600" t="s">
        <v>7947</v>
      </c>
      <c r="I1600" t="s">
        <v>278</v>
      </c>
      <c r="J1600" t="s">
        <v>7987</v>
      </c>
    </row>
    <row r="1601" spans="1:10" x14ac:dyDescent="0.25">
      <c r="A1601" t="s">
        <v>11524</v>
      </c>
      <c r="B1601">
        <v>15.4</v>
      </c>
      <c r="C1601" t="s">
        <v>11525</v>
      </c>
      <c r="D1601" t="s">
        <v>3378</v>
      </c>
      <c r="E1601" t="s">
        <v>2660</v>
      </c>
      <c r="F1601" t="s">
        <v>7672</v>
      </c>
      <c r="G1601" t="s">
        <v>11521</v>
      </c>
      <c r="H1601" t="s">
        <v>7947</v>
      </c>
      <c r="I1601" t="s">
        <v>278</v>
      </c>
      <c r="J1601" t="s">
        <v>8001</v>
      </c>
    </row>
    <row r="1602" spans="1:10" x14ac:dyDescent="0.25">
      <c r="A1602" t="s">
        <v>11526</v>
      </c>
      <c r="B1602">
        <v>15.4</v>
      </c>
      <c r="C1602" t="s">
        <v>11527</v>
      </c>
      <c r="D1602" t="s">
        <v>113</v>
      </c>
      <c r="E1602" t="s">
        <v>2660</v>
      </c>
      <c r="F1602" t="s">
        <v>7672</v>
      </c>
      <c r="G1602" t="s">
        <v>11521</v>
      </c>
      <c r="H1602" t="s">
        <v>7947</v>
      </c>
      <c r="I1602" t="s">
        <v>278</v>
      </c>
      <c r="J1602" t="s">
        <v>8013</v>
      </c>
    </row>
    <row r="1603" spans="1:10" x14ac:dyDescent="0.25">
      <c r="A1603" t="s">
        <v>11528</v>
      </c>
      <c r="B1603">
        <v>6.4319999999999986</v>
      </c>
      <c r="C1603" t="s">
        <v>11529</v>
      </c>
      <c r="D1603" t="s">
        <v>131</v>
      </c>
      <c r="E1603" t="s">
        <v>2666</v>
      </c>
      <c r="F1603" t="s">
        <v>7672</v>
      </c>
      <c r="G1603" t="s">
        <v>11530</v>
      </c>
      <c r="H1603" t="s">
        <v>7674</v>
      </c>
      <c r="I1603" t="s">
        <v>10840</v>
      </c>
      <c r="J1603" t="s">
        <v>7942</v>
      </c>
    </row>
    <row r="1604" spans="1:10" x14ac:dyDescent="0.25">
      <c r="A1604" t="s">
        <v>2663</v>
      </c>
      <c r="B1604">
        <v>6.4319999999999986</v>
      </c>
      <c r="C1604" t="s">
        <v>2665</v>
      </c>
      <c r="D1604" t="s">
        <v>598</v>
      </c>
      <c r="E1604" t="s">
        <v>2666</v>
      </c>
      <c r="F1604" t="s">
        <v>7672</v>
      </c>
      <c r="G1604" t="s">
        <v>11530</v>
      </c>
      <c r="H1604" t="s">
        <v>7674</v>
      </c>
      <c r="I1604" t="s">
        <v>10840</v>
      </c>
      <c r="J1604" t="s">
        <v>7981</v>
      </c>
    </row>
    <row r="1605" spans="1:10" x14ac:dyDescent="0.25">
      <c r="A1605" t="s">
        <v>11531</v>
      </c>
      <c r="B1605">
        <v>6.4319999999999986</v>
      </c>
      <c r="C1605" t="s">
        <v>11532</v>
      </c>
      <c r="D1605" t="s">
        <v>352</v>
      </c>
      <c r="E1605" t="s">
        <v>2666</v>
      </c>
      <c r="F1605" t="s">
        <v>7672</v>
      </c>
      <c r="G1605" t="s">
        <v>11530</v>
      </c>
      <c r="H1605" t="s">
        <v>7674</v>
      </c>
      <c r="I1605" t="s">
        <v>8467</v>
      </c>
      <c r="J1605" t="s">
        <v>7981</v>
      </c>
    </row>
    <row r="1606" spans="1:10" x14ac:dyDescent="0.25">
      <c r="A1606" t="s">
        <v>11533</v>
      </c>
      <c r="B1606">
        <v>6.4319999999999986</v>
      </c>
      <c r="C1606" t="s">
        <v>11534</v>
      </c>
      <c r="D1606" t="s">
        <v>959</v>
      </c>
      <c r="E1606" t="s">
        <v>2666</v>
      </c>
      <c r="F1606" t="s">
        <v>7672</v>
      </c>
      <c r="G1606" t="s">
        <v>11530</v>
      </c>
      <c r="H1606" t="s">
        <v>7674</v>
      </c>
      <c r="I1606" t="s">
        <v>11535</v>
      </c>
      <c r="J1606" t="s">
        <v>7981</v>
      </c>
    </row>
    <row r="1607" spans="1:10" x14ac:dyDescent="0.25">
      <c r="A1607" t="s">
        <v>11536</v>
      </c>
      <c r="B1607">
        <v>6.4319999999999986</v>
      </c>
      <c r="C1607" t="s">
        <v>11537</v>
      </c>
      <c r="D1607" t="s">
        <v>613</v>
      </c>
      <c r="E1607" t="s">
        <v>2666</v>
      </c>
      <c r="F1607" t="s">
        <v>7672</v>
      </c>
      <c r="G1607" t="s">
        <v>11530</v>
      </c>
      <c r="H1607" t="s">
        <v>7674</v>
      </c>
      <c r="I1607" t="s">
        <v>10843</v>
      </c>
      <c r="J1607" t="s">
        <v>7981</v>
      </c>
    </row>
    <row r="1608" spans="1:10" x14ac:dyDescent="0.25">
      <c r="A1608" t="s">
        <v>11538</v>
      </c>
      <c r="B1608">
        <v>6.4319999999999986</v>
      </c>
      <c r="C1608" t="s">
        <v>11539</v>
      </c>
      <c r="D1608" t="s">
        <v>2149</v>
      </c>
      <c r="E1608" t="s">
        <v>2666</v>
      </c>
      <c r="F1608" t="s">
        <v>7672</v>
      </c>
      <c r="G1608" t="s">
        <v>11530</v>
      </c>
      <c r="H1608" t="s">
        <v>7674</v>
      </c>
      <c r="I1608" t="s">
        <v>10843</v>
      </c>
      <c r="J1608" t="s">
        <v>7984</v>
      </c>
    </row>
    <row r="1609" spans="1:10" x14ac:dyDescent="0.25">
      <c r="A1609" t="s">
        <v>11540</v>
      </c>
      <c r="B1609">
        <v>6.4319999999999986</v>
      </c>
      <c r="C1609" t="s">
        <v>11541</v>
      </c>
      <c r="D1609" t="s">
        <v>9399</v>
      </c>
      <c r="E1609" t="s">
        <v>2666</v>
      </c>
      <c r="F1609" t="s">
        <v>7672</v>
      </c>
      <c r="G1609" t="s">
        <v>11530</v>
      </c>
      <c r="H1609" t="s">
        <v>7674</v>
      </c>
      <c r="I1609" t="s">
        <v>10840</v>
      </c>
      <c r="J1609" t="s">
        <v>7984</v>
      </c>
    </row>
    <row r="1610" spans="1:10" x14ac:dyDescent="0.25">
      <c r="A1610" t="s">
        <v>11542</v>
      </c>
      <c r="B1610">
        <v>6.4319999999999986</v>
      </c>
      <c r="C1610" t="s">
        <v>11543</v>
      </c>
      <c r="D1610" t="s">
        <v>2910</v>
      </c>
      <c r="E1610" t="s">
        <v>2666</v>
      </c>
      <c r="F1610" t="s">
        <v>7672</v>
      </c>
      <c r="G1610" t="s">
        <v>11530</v>
      </c>
      <c r="H1610" t="s">
        <v>7674</v>
      </c>
      <c r="I1610" t="s">
        <v>11535</v>
      </c>
      <c r="J1610" t="s">
        <v>7984</v>
      </c>
    </row>
    <row r="1611" spans="1:10" x14ac:dyDescent="0.25">
      <c r="A1611" t="s">
        <v>11544</v>
      </c>
      <c r="B1611">
        <v>6.4319999999999986</v>
      </c>
      <c r="C1611" t="s">
        <v>11545</v>
      </c>
      <c r="D1611" t="s">
        <v>2587</v>
      </c>
      <c r="E1611" t="s">
        <v>2666</v>
      </c>
      <c r="F1611" t="s">
        <v>7672</v>
      </c>
      <c r="G1611" t="s">
        <v>11530</v>
      </c>
      <c r="H1611" t="s">
        <v>7674</v>
      </c>
      <c r="I1611" t="s">
        <v>8467</v>
      </c>
      <c r="J1611" t="s">
        <v>7984</v>
      </c>
    </row>
    <row r="1612" spans="1:10" x14ac:dyDescent="0.25">
      <c r="A1612" t="s">
        <v>11546</v>
      </c>
      <c r="B1612">
        <v>6.4319999999999986</v>
      </c>
      <c r="C1612" t="s">
        <v>11547</v>
      </c>
      <c r="D1612" t="s">
        <v>1020</v>
      </c>
      <c r="E1612" t="s">
        <v>2666</v>
      </c>
      <c r="F1612" t="s">
        <v>7672</v>
      </c>
      <c r="G1612" t="s">
        <v>11530</v>
      </c>
      <c r="H1612" t="s">
        <v>7674</v>
      </c>
      <c r="I1612" t="s">
        <v>10843</v>
      </c>
      <c r="J1612" t="s">
        <v>7987</v>
      </c>
    </row>
    <row r="1613" spans="1:10" x14ac:dyDescent="0.25">
      <c r="A1613" t="s">
        <v>11548</v>
      </c>
      <c r="B1613">
        <v>6.4319999999999986</v>
      </c>
      <c r="C1613" t="s">
        <v>11549</v>
      </c>
      <c r="D1613" t="s">
        <v>8881</v>
      </c>
      <c r="E1613" t="s">
        <v>2666</v>
      </c>
      <c r="F1613" t="s">
        <v>7672</v>
      </c>
      <c r="G1613" t="s">
        <v>11530</v>
      </c>
      <c r="H1613" t="s">
        <v>7674</v>
      </c>
      <c r="I1613" t="s">
        <v>10840</v>
      </c>
      <c r="J1613" t="s">
        <v>7987</v>
      </c>
    </row>
    <row r="1614" spans="1:10" x14ac:dyDescent="0.25">
      <c r="A1614" t="s">
        <v>11550</v>
      </c>
      <c r="B1614">
        <v>6.4319999999999986</v>
      </c>
      <c r="C1614" t="s">
        <v>11551</v>
      </c>
      <c r="D1614" t="s">
        <v>639</v>
      </c>
      <c r="E1614" t="s">
        <v>2666</v>
      </c>
      <c r="F1614" t="s">
        <v>7672</v>
      </c>
      <c r="G1614" t="s">
        <v>11530</v>
      </c>
      <c r="H1614" t="s">
        <v>7674</v>
      </c>
      <c r="I1614" t="s">
        <v>11535</v>
      </c>
      <c r="J1614" t="s">
        <v>7987</v>
      </c>
    </row>
    <row r="1615" spans="1:10" x14ac:dyDescent="0.25">
      <c r="A1615" t="s">
        <v>11552</v>
      </c>
      <c r="B1615">
        <v>6.4319999999999986</v>
      </c>
      <c r="C1615" t="s">
        <v>11553</v>
      </c>
      <c r="D1615" t="s">
        <v>4192</v>
      </c>
      <c r="E1615" t="s">
        <v>2666</v>
      </c>
      <c r="F1615" t="s">
        <v>7672</v>
      </c>
      <c r="G1615" t="s">
        <v>11530</v>
      </c>
      <c r="H1615" t="s">
        <v>7674</v>
      </c>
      <c r="I1615" t="s">
        <v>8467</v>
      </c>
      <c r="J1615" t="s">
        <v>7987</v>
      </c>
    </row>
    <row r="1616" spans="1:10" x14ac:dyDescent="0.25">
      <c r="A1616" t="s">
        <v>11554</v>
      </c>
      <c r="B1616">
        <v>6.4319999999999986</v>
      </c>
      <c r="C1616" t="s">
        <v>11555</v>
      </c>
      <c r="D1616" t="s">
        <v>2078</v>
      </c>
      <c r="E1616" t="s">
        <v>2666</v>
      </c>
      <c r="F1616" t="s">
        <v>7672</v>
      </c>
      <c r="G1616" t="s">
        <v>11530</v>
      </c>
      <c r="H1616" t="s">
        <v>7674</v>
      </c>
      <c r="I1616" t="s">
        <v>11535</v>
      </c>
      <c r="J1616" t="s">
        <v>8001</v>
      </c>
    </row>
    <row r="1617" spans="1:10" x14ac:dyDescent="0.25">
      <c r="A1617" t="s">
        <v>11556</v>
      </c>
      <c r="B1617">
        <v>6.4319999999999986</v>
      </c>
      <c r="C1617" t="s">
        <v>11557</v>
      </c>
      <c r="D1617" t="s">
        <v>644</v>
      </c>
      <c r="E1617" t="s">
        <v>2666</v>
      </c>
      <c r="F1617" t="s">
        <v>7672</v>
      </c>
      <c r="G1617" t="s">
        <v>11530</v>
      </c>
      <c r="H1617" t="s">
        <v>7674</v>
      </c>
      <c r="I1617" t="s">
        <v>10843</v>
      </c>
      <c r="J1617" t="s">
        <v>8001</v>
      </c>
    </row>
    <row r="1618" spans="1:10" x14ac:dyDescent="0.25">
      <c r="A1618" t="s">
        <v>11558</v>
      </c>
      <c r="B1618">
        <v>6.4319999999999986</v>
      </c>
      <c r="C1618" t="s">
        <v>11559</v>
      </c>
      <c r="D1618" t="s">
        <v>11239</v>
      </c>
      <c r="E1618" t="s">
        <v>2666</v>
      </c>
      <c r="F1618" t="s">
        <v>7672</v>
      </c>
      <c r="G1618" t="s">
        <v>11530</v>
      </c>
      <c r="H1618" t="s">
        <v>7674</v>
      </c>
      <c r="I1618" t="s">
        <v>10840</v>
      </c>
      <c r="J1618" t="s">
        <v>8001</v>
      </c>
    </row>
    <row r="1619" spans="1:10" x14ac:dyDescent="0.25">
      <c r="A1619" t="s">
        <v>11560</v>
      </c>
      <c r="B1619">
        <v>6.4319999999999986</v>
      </c>
      <c r="C1619" t="s">
        <v>11561</v>
      </c>
      <c r="D1619" t="s">
        <v>8730</v>
      </c>
      <c r="E1619" t="s">
        <v>2666</v>
      </c>
      <c r="F1619" t="s">
        <v>7672</v>
      </c>
      <c r="G1619" t="s">
        <v>11530</v>
      </c>
      <c r="H1619" t="s">
        <v>7674</v>
      </c>
      <c r="I1619" t="s">
        <v>8467</v>
      </c>
      <c r="J1619" t="s">
        <v>8001</v>
      </c>
    </row>
    <row r="1620" spans="1:10" x14ac:dyDescent="0.25">
      <c r="A1620" t="s">
        <v>11562</v>
      </c>
      <c r="B1620">
        <v>6.4319999999999986</v>
      </c>
      <c r="C1620" t="s">
        <v>11563</v>
      </c>
      <c r="D1620" t="s">
        <v>664</v>
      </c>
      <c r="E1620" t="s">
        <v>2666</v>
      </c>
      <c r="F1620" t="s">
        <v>7672</v>
      </c>
      <c r="G1620" t="s">
        <v>11530</v>
      </c>
      <c r="H1620" t="s">
        <v>7674</v>
      </c>
      <c r="I1620" t="s">
        <v>11535</v>
      </c>
      <c r="J1620" t="s">
        <v>8013</v>
      </c>
    </row>
    <row r="1621" spans="1:10" x14ac:dyDescent="0.25">
      <c r="A1621" t="s">
        <v>11564</v>
      </c>
      <c r="B1621">
        <v>6.4319999999999986</v>
      </c>
      <c r="C1621" t="s">
        <v>11565</v>
      </c>
      <c r="D1621" t="s">
        <v>11566</v>
      </c>
      <c r="E1621" t="s">
        <v>2666</v>
      </c>
      <c r="F1621" t="s">
        <v>7672</v>
      </c>
      <c r="G1621" t="s">
        <v>11530</v>
      </c>
      <c r="H1621" t="s">
        <v>7674</v>
      </c>
      <c r="I1621" t="s">
        <v>8467</v>
      </c>
      <c r="J1621" t="s">
        <v>8013</v>
      </c>
    </row>
    <row r="1622" spans="1:10" x14ac:dyDescent="0.25">
      <c r="A1622" t="s">
        <v>11567</v>
      </c>
      <c r="B1622">
        <v>6.4319999999999986</v>
      </c>
      <c r="C1622" t="s">
        <v>11568</v>
      </c>
      <c r="D1622" t="s">
        <v>3470</v>
      </c>
      <c r="E1622" t="s">
        <v>2666</v>
      </c>
      <c r="F1622" t="s">
        <v>7672</v>
      </c>
      <c r="G1622" t="s">
        <v>11530</v>
      </c>
      <c r="H1622" t="s">
        <v>7674</v>
      </c>
      <c r="I1622" t="s">
        <v>10843</v>
      </c>
      <c r="J1622" t="s">
        <v>8013</v>
      </c>
    </row>
    <row r="1623" spans="1:10" x14ac:dyDescent="0.25">
      <c r="A1623" t="s">
        <v>11569</v>
      </c>
      <c r="B1623">
        <v>6.4319999999999986</v>
      </c>
      <c r="C1623" t="s">
        <v>11570</v>
      </c>
      <c r="D1623" t="s">
        <v>654</v>
      </c>
      <c r="E1623" t="s">
        <v>2666</v>
      </c>
      <c r="F1623" t="s">
        <v>7672</v>
      </c>
      <c r="G1623" t="s">
        <v>11530</v>
      </c>
      <c r="H1623" t="s">
        <v>7674</v>
      </c>
      <c r="I1623" t="s">
        <v>10840</v>
      </c>
      <c r="J1623" t="s">
        <v>8013</v>
      </c>
    </row>
    <row r="1624" spans="1:10" x14ac:dyDescent="0.25">
      <c r="A1624" t="s">
        <v>11571</v>
      </c>
      <c r="B1624">
        <v>6</v>
      </c>
      <c r="C1624" t="s">
        <v>11572</v>
      </c>
      <c r="D1624" t="s">
        <v>2910</v>
      </c>
      <c r="E1624" t="s">
        <v>2671</v>
      </c>
      <c r="F1624" t="s">
        <v>7672</v>
      </c>
      <c r="G1624" t="s">
        <v>11573</v>
      </c>
      <c r="H1624" t="s">
        <v>7954</v>
      </c>
      <c r="I1624" t="s">
        <v>2674</v>
      </c>
      <c r="J1624" t="s">
        <v>7981</v>
      </c>
    </row>
    <row r="1625" spans="1:10" x14ac:dyDescent="0.25">
      <c r="A1625" t="s">
        <v>11574</v>
      </c>
      <c r="B1625">
        <v>6</v>
      </c>
      <c r="C1625" t="s">
        <v>11575</v>
      </c>
      <c r="D1625" t="s">
        <v>1805</v>
      </c>
      <c r="E1625" t="s">
        <v>2671</v>
      </c>
      <c r="F1625" t="s">
        <v>7672</v>
      </c>
      <c r="G1625" t="s">
        <v>11573</v>
      </c>
      <c r="H1625" t="s">
        <v>7954</v>
      </c>
      <c r="I1625" t="s">
        <v>2674</v>
      </c>
      <c r="J1625" t="s">
        <v>7984</v>
      </c>
    </row>
    <row r="1626" spans="1:10" x14ac:dyDescent="0.25">
      <c r="A1626" t="s">
        <v>11576</v>
      </c>
      <c r="B1626">
        <v>6</v>
      </c>
      <c r="C1626" t="s">
        <v>11577</v>
      </c>
      <c r="D1626" t="s">
        <v>1715</v>
      </c>
      <c r="E1626" t="s">
        <v>2671</v>
      </c>
      <c r="F1626" t="s">
        <v>7672</v>
      </c>
      <c r="G1626" t="s">
        <v>11573</v>
      </c>
      <c r="H1626" t="s">
        <v>7954</v>
      </c>
      <c r="I1626" t="s">
        <v>2674</v>
      </c>
      <c r="J1626" t="s">
        <v>7987</v>
      </c>
    </row>
    <row r="1627" spans="1:10" x14ac:dyDescent="0.25">
      <c r="A1627" t="s">
        <v>2668</v>
      </c>
      <c r="B1627">
        <v>6</v>
      </c>
      <c r="C1627" t="s">
        <v>2670</v>
      </c>
      <c r="D1627" t="s">
        <v>245</v>
      </c>
      <c r="E1627" t="s">
        <v>2671</v>
      </c>
      <c r="F1627" t="s">
        <v>7672</v>
      </c>
      <c r="G1627" t="s">
        <v>11573</v>
      </c>
      <c r="H1627" t="s">
        <v>7954</v>
      </c>
      <c r="I1627" t="s">
        <v>2674</v>
      </c>
      <c r="J1627" t="s">
        <v>8001</v>
      </c>
    </row>
    <row r="1628" spans="1:10" x14ac:dyDescent="0.25">
      <c r="A1628" t="s">
        <v>11578</v>
      </c>
      <c r="B1628">
        <v>8.32</v>
      </c>
      <c r="C1628" t="s">
        <v>11579</v>
      </c>
      <c r="D1628" t="s">
        <v>698</v>
      </c>
      <c r="E1628" t="s">
        <v>11580</v>
      </c>
      <c r="F1628" t="s">
        <v>7672</v>
      </c>
      <c r="G1628" t="s">
        <v>11581</v>
      </c>
      <c r="H1628" t="s">
        <v>10368</v>
      </c>
      <c r="I1628" t="s">
        <v>145</v>
      </c>
      <c r="J1628" t="s">
        <v>11582</v>
      </c>
    </row>
    <row r="1629" spans="1:10" x14ac:dyDescent="0.25">
      <c r="A1629" t="s">
        <v>11583</v>
      </c>
      <c r="B1629">
        <v>8.32</v>
      </c>
      <c r="C1629" t="s">
        <v>11584</v>
      </c>
      <c r="D1629" t="s">
        <v>8803</v>
      </c>
      <c r="E1629" t="s">
        <v>11580</v>
      </c>
      <c r="F1629" t="s">
        <v>7672</v>
      </c>
      <c r="G1629" t="s">
        <v>11581</v>
      </c>
      <c r="H1629" t="s">
        <v>10368</v>
      </c>
      <c r="I1629" t="s">
        <v>145</v>
      </c>
      <c r="J1629" t="s">
        <v>11585</v>
      </c>
    </row>
    <row r="1630" spans="1:10" x14ac:dyDescent="0.25">
      <c r="A1630" t="s">
        <v>11586</v>
      </c>
      <c r="B1630">
        <v>8.32</v>
      </c>
      <c r="C1630" t="s">
        <v>11587</v>
      </c>
      <c r="D1630" t="s">
        <v>6877</v>
      </c>
      <c r="E1630" t="s">
        <v>11580</v>
      </c>
      <c r="F1630" t="s">
        <v>7672</v>
      </c>
      <c r="G1630" t="s">
        <v>11581</v>
      </c>
      <c r="H1630" t="s">
        <v>10368</v>
      </c>
      <c r="I1630" t="s">
        <v>145</v>
      </c>
      <c r="J1630" t="s">
        <v>10369</v>
      </c>
    </row>
    <row r="1631" spans="1:10" x14ac:dyDescent="0.25">
      <c r="A1631" t="s">
        <v>11588</v>
      </c>
      <c r="B1631">
        <v>8.32</v>
      </c>
      <c r="C1631" t="s">
        <v>11589</v>
      </c>
      <c r="D1631" t="s">
        <v>9506</v>
      </c>
      <c r="E1631" t="s">
        <v>11580</v>
      </c>
      <c r="F1631" t="s">
        <v>7672</v>
      </c>
      <c r="G1631" t="s">
        <v>11581</v>
      </c>
      <c r="H1631" t="s">
        <v>10368</v>
      </c>
      <c r="I1631" t="s">
        <v>145</v>
      </c>
      <c r="J1631" t="s">
        <v>11590</v>
      </c>
    </row>
    <row r="1632" spans="1:10" x14ac:dyDescent="0.25">
      <c r="A1632" t="s">
        <v>11591</v>
      </c>
      <c r="B1632">
        <v>8.32</v>
      </c>
      <c r="C1632" t="s">
        <v>11592</v>
      </c>
      <c r="D1632" t="s">
        <v>3827</v>
      </c>
      <c r="E1632" t="s">
        <v>11580</v>
      </c>
      <c r="F1632" t="s">
        <v>7672</v>
      </c>
      <c r="G1632" t="s">
        <v>11581</v>
      </c>
      <c r="H1632" t="s">
        <v>10368</v>
      </c>
      <c r="I1632" t="s">
        <v>145</v>
      </c>
      <c r="J1632" t="s">
        <v>11593</v>
      </c>
    </row>
    <row r="1633" spans="1:10" x14ac:dyDescent="0.25">
      <c r="A1633" t="s">
        <v>11594</v>
      </c>
      <c r="B1633">
        <v>11.192</v>
      </c>
      <c r="C1633" t="s">
        <v>11595</v>
      </c>
      <c r="D1633" t="s">
        <v>352</v>
      </c>
      <c r="E1633" t="s">
        <v>11596</v>
      </c>
      <c r="F1633" t="s">
        <v>7672</v>
      </c>
      <c r="G1633" t="s">
        <v>11597</v>
      </c>
      <c r="H1633" t="s">
        <v>11598</v>
      </c>
      <c r="I1633" t="s">
        <v>11599</v>
      </c>
      <c r="J1633" t="s">
        <v>11600</v>
      </c>
    </row>
    <row r="1634" spans="1:10" x14ac:dyDescent="0.25">
      <c r="A1634" t="s">
        <v>11601</v>
      </c>
      <c r="B1634">
        <v>11.192</v>
      </c>
      <c r="C1634" t="s">
        <v>11602</v>
      </c>
      <c r="D1634" t="s">
        <v>1143</v>
      </c>
      <c r="E1634" t="s">
        <v>11596</v>
      </c>
      <c r="F1634" t="s">
        <v>7672</v>
      </c>
      <c r="G1634" t="s">
        <v>11597</v>
      </c>
      <c r="H1634" t="s">
        <v>11598</v>
      </c>
      <c r="I1634" t="s">
        <v>11599</v>
      </c>
      <c r="J1634" t="s">
        <v>7942</v>
      </c>
    </row>
    <row r="1635" spans="1:10" x14ac:dyDescent="0.25">
      <c r="A1635" t="s">
        <v>11603</v>
      </c>
      <c r="B1635">
        <v>11.192</v>
      </c>
      <c r="C1635" t="s">
        <v>11604</v>
      </c>
      <c r="D1635" t="s">
        <v>366</v>
      </c>
      <c r="E1635" t="s">
        <v>11596</v>
      </c>
      <c r="F1635" t="s">
        <v>7672</v>
      </c>
      <c r="G1635" t="s">
        <v>11597</v>
      </c>
      <c r="H1635" t="s">
        <v>11598</v>
      </c>
      <c r="I1635" t="s">
        <v>11599</v>
      </c>
      <c r="J1635" t="s">
        <v>7981</v>
      </c>
    </row>
    <row r="1636" spans="1:10" x14ac:dyDescent="0.25">
      <c r="A1636" t="s">
        <v>11605</v>
      </c>
      <c r="B1636">
        <v>11.192</v>
      </c>
      <c r="C1636" t="s">
        <v>11606</v>
      </c>
      <c r="D1636" t="s">
        <v>1536</v>
      </c>
      <c r="E1636" t="s">
        <v>11596</v>
      </c>
      <c r="F1636" t="s">
        <v>7672</v>
      </c>
      <c r="G1636" t="s">
        <v>11597</v>
      </c>
      <c r="H1636" t="s">
        <v>11598</v>
      </c>
      <c r="I1636" t="s">
        <v>11599</v>
      </c>
      <c r="J1636" t="s">
        <v>7984</v>
      </c>
    </row>
    <row r="1637" spans="1:10" x14ac:dyDescent="0.25">
      <c r="A1637" t="s">
        <v>11607</v>
      </c>
      <c r="B1637">
        <v>11.192</v>
      </c>
      <c r="C1637" t="s">
        <v>11608</v>
      </c>
      <c r="D1637" t="s">
        <v>10432</v>
      </c>
      <c r="E1637" t="s">
        <v>11596</v>
      </c>
      <c r="F1637" t="s">
        <v>7672</v>
      </c>
      <c r="G1637" t="s">
        <v>11597</v>
      </c>
      <c r="H1637" t="s">
        <v>11598</v>
      </c>
      <c r="I1637" t="s">
        <v>11599</v>
      </c>
      <c r="J1637" t="s">
        <v>7987</v>
      </c>
    </row>
    <row r="1638" spans="1:10" x14ac:dyDescent="0.25">
      <c r="A1638" t="s">
        <v>11609</v>
      </c>
      <c r="B1638">
        <v>11.192</v>
      </c>
      <c r="C1638" t="s">
        <v>11610</v>
      </c>
      <c r="D1638" t="s">
        <v>4136</v>
      </c>
      <c r="E1638" t="s">
        <v>11596</v>
      </c>
      <c r="F1638" t="s">
        <v>7672</v>
      </c>
      <c r="G1638" t="s">
        <v>11597</v>
      </c>
      <c r="H1638" t="s">
        <v>11598</v>
      </c>
      <c r="I1638" t="s">
        <v>11599</v>
      </c>
      <c r="J1638" t="s">
        <v>8001</v>
      </c>
    </row>
    <row r="1639" spans="1:10" x14ac:dyDescent="0.25">
      <c r="A1639" t="s">
        <v>11611</v>
      </c>
      <c r="B1639">
        <v>11.192</v>
      </c>
      <c r="C1639" t="s">
        <v>11612</v>
      </c>
      <c r="D1639" t="s">
        <v>720</v>
      </c>
      <c r="E1639" t="s">
        <v>11596</v>
      </c>
      <c r="F1639" t="s">
        <v>7672</v>
      </c>
      <c r="G1639" t="s">
        <v>11597</v>
      </c>
      <c r="H1639" t="s">
        <v>11598</v>
      </c>
      <c r="I1639" t="s">
        <v>11599</v>
      </c>
      <c r="J1639" t="s">
        <v>8013</v>
      </c>
    </row>
    <row r="1640" spans="1:10" x14ac:dyDescent="0.25">
      <c r="A1640" t="s">
        <v>11613</v>
      </c>
      <c r="B1640">
        <v>11.192</v>
      </c>
      <c r="C1640" t="s">
        <v>11614</v>
      </c>
      <c r="D1640" t="s">
        <v>964</v>
      </c>
      <c r="E1640" t="s">
        <v>11596</v>
      </c>
      <c r="F1640" t="s">
        <v>7672</v>
      </c>
      <c r="G1640" t="s">
        <v>11597</v>
      </c>
      <c r="H1640" t="s">
        <v>11598</v>
      </c>
      <c r="I1640" t="s">
        <v>11615</v>
      </c>
      <c r="J1640" t="s">
        <v>8013</v>
      </c>
    </row>
    <row r="1641" spans="1:10" x14ac:dyDescent="0.25">
      <c r="A1641" t="s">
        <v>11616</v>
      </c>
      <c r="B1641">
        <v>11.192</v>
      </c>
      <c r="C1641" t="s">
        <v>11617</v>
      </c>
      <c r="D1641" t="s">
        <v>277</v>
      </c>
      <c r="E1641" t="s">
        <v>11596</v>
      </c>
      <c r="F1641" t="s">
        <v>7672</v>
      </c>
      <c r="G1641" t="s">
        <v>11597</v>
      </c>
      <c r="H1641" t="s">
        <v>11598</v>
      </c>
      <c r="I1641" t="s">
        <v>11599</v>
      </c>
      <c r="J1641" t="s">
        <v>8603</v>
      </c>
    </row>
    <row r="1642" spans="1:10" x14ac:dyDescent="0.25">
      <c r="A1642" t="s">
        <v>11618</v>
      </c>
      <c r="B1642">
        <v>11</v>
      </c>
      <c r="C1642" t="s">
        <v>11619</v>
      </c>
      <c r="D1642" t="s">
        <v>2697</v>
      </c>
      <c r="E1642" t="s">
        <v>11620</v>
      </c>
      <c r="F1642" t="s">
        <v>7672</v>
      </c>
      <c r="G1642" t="s">
        <v>11621</v>
      </c>
      <c r="H1642" t="s">
        <v>11622</v>
      </c>
      <c r="I1642" t="s">
        <v>1490</v>
      </c>
      <c r="J1642" t="s">
        <v>7675</v>
      </c>
    </row>
    <row r="1643" spans="1:10" x14ac:dyDescent="0.25">
      <c r="A1643" t="s">
        <v>11623</v>
      </c>
      <c r="B1643">
        <v>11</v>
      </c>
      <c r="C1643" t="s">
        <v>11624</v>
      </c>
      <c r="D1643" t="s">
        <v>875</v>
      </c>
      <c r="E1643" t="s">
        <v>11620</v>
      </c>
      <c r="F1643" t="s">
        <v>7672</v>
      </c>
      <c r="G1643" t="s">
        <v>11621</v>
      </c>
      <c r="H1643" t="s">
        <v>11622</v>
      </c>
      <c r="I1643" t="s">
        <v>11625</v>
      </c>
      <c r="J1643" t="s">
        <v>7675</v>
      </c>
    </row>
    <row r="1644" spans="1:10" x14ac:dyDescent="0.25">
      <c r="A1644" t="s">
        <v>11626</v>
      </c>
      <c r="B1644">
        <v>11</v>
      </c>
      <c r="C1644" t="s">
        <v>11627</v>
      </c>
      <c r="D1644" t="s">
        <v>352</v>
      </c>
      <c r="E1644" t="s">
        <v>11620</v>
      </c>
      <c r="F1644" t="s">
        <v>7672</v>
      </c>
      <c r="G1644" t="s">
        <v>11621</v>
      </c>
      <c r="H1644" t="s">
        <v>11622</v>
      </c>
      <c r="I1644" t="s">
        <v>11625</v>
      </c>
      <c r="J1644" t="s">
        <v>7686</v>
      </c>
    </row>
    <row r="1645" spans="1:10" x14ac:dyDescent="0.25">
      <c r="A1645" t="s">
        <v>11628</v>
      </c>
      <c r="B1645">
        <v>11</v>
      </c>
      <c r="C1645" t="s">
        <v>11629</v>
      </c>
      <c r="D1645" t="s">
        <v>53</v>
      </c>
      <c r="E1645" t="s">
        <v>11620</v>
      </c>
      <c r="F1645" t="s">
        <v>7672</v>
      </c>
      <c r="G1645" t="s">
        <v>11621</v>
      </c>
      <c r="H1645" t="s">
        <v>11622</v>
      </c>
      <c r="I1645" t="s">
        <v>11630</v>
      </c>
      <c r="J1645" t="s">
        <v>7686</v>
      </c>
    </row>
    <row r="1646" spans="1:10" x14ac:dyDescent="0.25">
      <c r="A1646" t="s">
        <v>11631</v>
      </c>
      <c r="B1646">
        <v>11</v>
      </c>
      <c r="C1646" t="s">
        <v>11632</v>
      </c>
      <c r="D1646" t="s">
        <v>131</v>
      </c>
      <c r="E1646" t="s">
        <v>11620</v>
      </c>
      <c r="F1646" t="s">
        <v>7672</v>
      </c>
      <c r="G1646" t="s">
        <v>11621</v>
      </c>
      <c r="H1646" t="s">
        <v>11622</v>
      </c>
      <c r="I1646" t="s">
        <v>76</v>
      </c>
      <c r="J1646" t="s">
        <v>7703</v>
      </c>
    </row>
    <row r="1647" spans="1:10" x14ac:dyDescent="0.25">
      <c r="A1647" t="s">
        <v>11633</v>
      </c>
      <c r="B1647">
        <v>11</v>
      </c>
      <c r="C1647" t="s">
        <v>11634</v>
      </c>
      <c r="D1647" t="s">
        <v>776</v>
      </c>
      <c r="E1647" t="s">
        <v>11620</v>
      </c>
      <c r="F1647" t="s">
        <v>7672</v>
      </c>
      <c r="G1647" t="s">
        <v>11621</v>
      </c>
      <c r="H1647" t="s">
        <v>11622</v>
      </c>
      <c r="I1647" t="s">
        <v>11625</v>
      </c>
      <c r="J1647" t="s">
        <v>7703</v>
      </c>
    </row>
    <row r="1648" spans="1:10" x14ac:dyDescent="0.25">
      <c r="A1648" t="s">
        <v>11635</v>
      </c>
      <c r="B1648">
        <v>11</v>
      </c>
      <c r="C1648" t="s">
        <v>11636</v>
      </c>
      <c r="D1648" t="s">
        <v>95</v>
      </c>
      <c r="E1648" t="s">
        <v>11620</v>
      </c>
      <c r="F1648" t="s">
        <v>7672</v>
      </c>
      <c r="G1648" t="s">
        <v>11621</v>
      </c>
      <c r="H1648" t="s">
        <v>11622</v>
      </c>
      <c r="I1648" t="s">
        <v>76</v>
      </c>
      <c r="J1648" t="s">
        <v>7713</v>
      </c>
    </row>
    <row r="1649" spans="1:10" x14ac:dyDescent="0.25">
      <c r="A1649" t="s">
        <v>11637</v>
      </c>
      <c r="B1649">
        <v>11</v>
      </c>
      <c r="C1649" t="s">
        <v>11638</v>
      </c>
      <c r="D1649" t="s">
        <v>875</v>
      </c>
      <c r="E1649" t="s">
        <v>11620</v>
      </c>
      <c r="F1649" t="s">
        <v>7672</v>
      </c>
      <c r="G1649" t="s">
        <v>11621</v>
      </c>
      <c r="H1649" t="s">
        <v>11622</v>
      </c>
      <c r="I1649" t="s">
        <v>11625</v>
      </c>
      <c r="J1649" t="s">
        <v>7713</v>
      </c>
    </row>
    <row r="1650" spans="1:10" x14ac:dyDescent="0.25">
      <c r="A1650" t="s">
        <v>11639</v>
      </c>
      <c r="B1650">
        <v>11</v>
      </c>
      <c r="C1650" t="s">
        <v>11640</v>
      </c>
      <c r="D1650" t="s">
        <v>60</v>
      </c>
      <c r="E1650" t="s">
        <v>11620</v>
      </c>
      <c r="F1650" t="s">
        <v>7672</v>
      </c>
      <c r="G1650" t="s">
        <v>11621</v>
      </c>
      <c r="H1650" t="s">
        <v>11622</v>
      </c>
      <c r="I1650" t="s">
        <v>1490</v>
      </c>
      <c r="J1650" t="s">
        <v>7719</v>
      </c>
    </row>
    <row r="1651" spans="1:10" x14ac:dyDescent="0.25">
      <c r="A1651" t="s">
        <v>11641</v>
      </c>
      <c r="B1651">
        <v>11</v>
      </c>
      <c r="C1651" t="s">
        <v>11642</v>
      </c>
      <c r="D1651" t="s">
        <v>88</v>
      </c>
      <c r="E1651" t="s">
        <v>11620</v>
      </c>
      <c r="F1651" t="s">
        <v>7672</v>
      </c>
      <c r="G1651" t="s">
        <v>11621</v>
      </c>
      <c r="H1651" t="s">
        <v>11622</v>
      </c>
      <c r="I1651" t="s">
        <v>11625</v>
      </c>
      <c r="J1651" t="s">
        <v>7719</v>
      </c>
    </row>
    <row r="1652" spans="1:10" x14ac:dyDescent="0.25">
      <c r="A1652" t="s">
        <v>11643</v>
      </c>
      <c r="B1652">
        <v>5.4</v>
      </c>
      <c r="C1652" t="s">
        <v>11644</v>
      </c>
      <c r="D1652" t="s">
        <v>131</v>
      </c>
      <c r="E1652" t="s">
        <v>11645</v>
      </c>
      <c r="F1652" t="s">
        <v>7672</v>
      </c>
      <c r="G1652" t="s">
        <v>11646</v>
      </c>
      <c r="H1652" t="s">
        <v>10298</v>
      </c>
      <c r="I1652" t="s">
        <v>11647</v>
      </c>
      <c r="J1652" t="s">
        <v>7942</v>
      </c>
    </row>
    <row r="1653" spans="1:10" x14ac:dyDescent="0.25">
      <c r="A1653" t="s">
        <v>11648</v>
      </c>
      <c r="B1653">
        <v>5.4</v>
      </c>
      <c r="C1653" t="s">
        <v>11649</v>
      </c>
      <c r="D1653" t="s">
        <v>199</v>
      </c>
      <c r="E1653" t="s">
        <v>11645</v>
      </c>
      <c r="F1653" t="s">
        <v>7672</v>
      </c>
      <c r="G1653" t="s">
        <v>11646</v>
      </c>
      <c r="H1653" t="s">
        <v>10298</v>
      </c>
      <c r="I1653" t="s">
        <v>10394</v>
      </c>
      <c r="J1653" t="s">
        <v>7942</v>
      </c>
    </row>
    <row r="1654" spans="1:10" x14ac:dyDescent="0.25">
      <c r="A1654" t="s">
        <v>11650</v>
      </c>
      <c r="B1654">
        <v>5.4</v>
      </c>
      <c r="C1654" t="s">
        <v>11651</v>
      </c>
      <c r="D1654" t="s">
        <v>229</v>
      </c>
      <c r="E1654" t="s">
        <v>11645</v>
      </c>
      <c r="F1654" t="s">
        <v>7672</v>
      </c>
      <c r="G1654" t="s">
        <v>11646</v>
      </c>
      <c r="H1654" t="s">
        <v>10298</v>
      </c>
      <c r="I1654" t="s">
        <v>11652</v>
      </c>
      <c r="J1654" t="s">
        <v>7942</v>
      </c>
    </row>
    <row r="1655" spans="1:10" x14ac:dyDescent="0.25">
      <c r="A1655" t="s">
        <v>11653</v>
      </c>
      <c r="B1655">
        <v>5.4</v>
      </c>
      <c r="C1655" t="s">
        <v>11654</v>
      </c>
      <c r="D1655" t="s">
        <v>88</v>
      </c>
      <c r="E1655" t="s">
        <v>11645</v>
      </c>
      <c r="F1655" t="s">
        <v>7672</v>
      </c>
      <c r="G1655" t="s">
        <v>11646</v>
      </c>
      <c r="H1655" t="s">
        <v>10298</v>
      </c>
      <c r="I1655" t="s">
        <v>11655</v>
      </c>
      <c r="J1655" t="s">
        <v>7942</v>
      </c>
    </row>
    <row r="1656" spans="1:10" x14ac:dyDescent="0.25">
      <c r="A1656" t="s">
        <v>11656</v>
      </c>
      <c r="B1656">
        <v>5.4</v>
      </c>
      <c r="C1656" t="s">
        <v>11657</v>
      </c>
      <c r="D1656" t="s">
        <v>1822</v>
      </c>
      <c r="E1656" t="s">
        <v>11645</v>
      </c>
      <c r="F1656" t="s">
        <v>7672</v>
      </c>
      <c r="G1656" t="s">
        <v>11646</v>
      </c>
      <c r="H1656" t="s">
        <v>10298</v>
      </c>
      <c r="I1656" t="s">
        <v>11647</v>
      </c>
      <c r="J1656" t="s">
        <v>7981</v>
      </c>
    </row>
    <row r="1657" spans="1:10" x14ac:dyDescent="0.25">
      <c r="A1657" t="s">
        <v>11658</v>
      </c>
      <c r="B1657">
        <v>5.4</v>
      </c>
      <c r="C1657" t="s">
        <v>11659</v>
      </c>
      <c r="D1657" t="s">
        <v>118</v>
      </c>
      <c r="E1657" t="s">
        <v>11645</v>
      </c>
      <c r="F1657" t="s">
        <v>7672</v>
      </c>
      <c r="G1657" t="s">
        <v>11646</v>
      </c>
      <c r="H1657" t="s">
        <v>10298</v>
      </c>
      <c r="I1657" t="s">
        <v>11655</v>
      </c>
      <c r="J1657" t="s">
        <v>7981</v>
      </c>
    </row>
    <row r="1658" spans="1:10" x14ac:dyDescent="0.25">
      <c r="A1658" t="s">
        <v>11660</v>
      </c>
      <c r="B1658">
        <v>5.4</v>
      </c>
      <c r="C1658" t="s">
        <v>11661</v>
      </c>
      <c r="D1658" t="s">
        <v>2910</v>
      </c>
      <c r="E1658" t="s">
        <v>11645</v>
      </c>
      <c r="F1658" t="s">
        <v>7672</v>
      </c>
      <c r="G1658" t="s">
        <v>11646</v>
      </c>
      <c r="H1658" t="s">
        <v>10298</v>
      </c>
      <c r="I1658" t="s">
        <v>10394</v>
      </c>
      <c r="J1658" t="s">
        <v>7981</v>
      </c>
    </row>
    <row r="1659" spans="1:10" x14ac:dyDescent="0.25">
      <c r="A1659" t="s">
        <v>11662</v>
      </c>
      <c r="B1659">
        <v>5.4</v>
      </c>
      <c r="C1659" t="s">
        <v>11663</v>
      </c>
      <c r="D1659" t="s">
        <v>1822</v>
      </c>
      <c r="E1659" t="s">
        <v>11645</v>
      </c>
      <c r="F1659" t="s">
        <v>7672</v>
      </c>
      <c r="G1659" t="s">
        <v>11646</v>
      </c>
      <c r="H1659" t="s">
        <v>10298</v>
      </c>
      <c r="I1659" t="s">
        <v>11652</v>
      </c>
      <c r="J1659" t="s">
        <v>7981</v>
      </c>
    </row>
    <row r="1660" spans="1:10" x14ac:dyDescent="0.25">
      <c r="A1660" t="s">
        <v>11664</v>
      </c>
      <c r="B1660">
        <v>5.4</v>
      </c>
      <c r="C1660" t="s">
        <v>11665</v>
      </c>
      <c r="D1660" t="s">
        <v>53</v>
      </c>
      <c r="E1660" t="s">
        <v>11645</v>
      </c>
      <c r="F1660" t="s">
        <v>7672</v>
      </c>
      <c r="G1660" t="s">
        <v>11646</v>
      </c>
      <c r="H1660" t="s">
        <v>10298</v>
      </c>
      <c r="I1660" t="s">
        <v>10394</v>
      </c>
      <c r="J1660" t="s">
        <v>7984</v>
      </c>
    </row>
    <row r="1661" spans="1:10" x14ac:dyDescent="0.25">
      <c r="A1661" t="s">
        <v>11666</v>
      </c>
      <c r="B1661">
        <v>7.1920000000000002</v>
      </c>
      <c r="C1661" t="s">
        <v>11667</v>
      </c>
      <c r="D1661" t="s">
        <v>422</v>
      </c>
      <c r="E1661" t="s">
        <v>11668</v>
      </c>
      <c r="F1661" t="s">
        <v>7672</v>
      </c>
      <c r="G1661" t="s">
        <v>11669</v>
      </c>
      <c r="H1661" t="s">
        <v>10298</v>
      </c>
      <c r="I1661" t="s">
        <v>76</v>
      </c>
      <c r="J1661" t="s">
        <v>277</v>
      </c>
    </row>
    <row r="1662" spans="1:10" x14ac:dyDescent="0.25">
      <c r="A1662" t="s">
        <v>11670</v>
      </c>
      <c r="B1662">
        <v>7.1920000000000002</v>
      </c>
      <c r="C1662" t="s">
        <v>11671</v>
      </c>
      <c r="D1662" t="s">
        <v>11672</v>
      </c>
      <c r="E1662" t="s">
        <v>11668</v>
      </c>
      <c r="F1662" t="s">
        <v>7672</v>
      </c>
      <c r="G1662" t="s">
        <v>11669</v>
      </c>
      <c r="H1662" t="s">
        <v>10298</v>
      </c>
      <c r="I1662" t="s">
        <v>76</v>
      </c>
      <c r="J1662" t="s">
        <v>436</v>
      </c>
    </row>
    <row r="1663" spans="1:10" x14ac:dyDescent="0.25">
      <c r="A1663" t="s">
        <v>11673</v>
      </c>
      <c r="B1663">
        <v>7.1920000000000002</v>
      </c>
      <c r="C1663" t="s">
        <v>11674</v>
      </c>
      <c r="D1663" t="s">
        <v>11675</v>
      </c>
      <c r="E1663" t="s">
        <v>11668</v>
      </c>
      <c r="F1663" t="s">
        <v>7672</v>
      </c>
      <c r="G1663" t="s">
        <v>11669</v>
      </c>
      <c r="H1663" t="s">
        <v>10298</v>
      </c>
      <c r="I1663" t="s">
        <v>76</v>
      </c>
      <c r="J1663" t="s">
        <v>53</v>
      </c>
    </row>
    <row r="1664" spans="1:10" x14ac:dyDescent="0.25">
      <c r="A1664" t="s">
        <v>11676</v>
      </c>
      <c r="B1664">
        <v>7.1920000000000002</v>
      </c>
      <c r="C1664" t="s">
        <v>11677</v>
      </c>
      <c r="D1664" t="s">
        <v>11678</v>
      </c>
      <c r="E1664" t="s">
        <v>11668</v>
      </c>
      <c r="F1664" t="s">
        <v>7672</v>
      </c>
      <c r="G1664" t="s">
        <v>11669</v>
      </c>
      <c r="H1664" t="s">
        <v>10298</v>
      </c>
      <c r="I1664" t="s">
        <v>76</v>
      </c>
      <c r="J1664" t="s">
        <v>60</v>
      </c>
    </row>
    <row r="1665" spans="1:10" x14ac:dyDescent="0.25">
      <c r="A1665" t="s">
        <v>11679</v>
      </c>
      <c r="B1665">
        <v>7.1920000000000002</v>
      </c>
      <c r="C1665" t="s">
        <v>11680</v>
      </c>
      <c r="D1665" t="s">
        <v>11681</v>
      </c>
      <c r="E1665" t="s">
        <v>11668</v>
      </c>
      <c r="F1665" t="s">
        <v>7672</v>
      </c>
      <c r="G1665" t="s">
        <v>11669</v>
      </c>
      <c r="H1665" t="s">
        <v>10298</v>
      </c>
      <c r="I1665" t="s">
        <v>76</v>
      </c>
      <c r="J1665" t="s">
        <v>342</v>
      </c>
    </row>
    <row r="1666" spans="1:10" x14ac:dyDescent="0.25">
      <c r="A1666" t="s">
        <v>11682</v>
      </c>
      <c r="B1666">
        <v>7.1920000000000002</v>
      </c>
      <c r="C1666" t="s">
        <v>11683</v>
      </c>
      <c r="D1666" t="s">
        <v>11684</v>
      </c>
      <c r="E1666" t="s">
        <v>11668</v>
      </c>
      <c r="F1666" t="s">
        <v>7672</v>
      </c>
      <c r="G1666" t="s">
        <v>11669</v>
      </c>
      <c r="H1666" t="s">
        <v>10298</v>
      </c>
      <c r="I1666" t="s">
        <v>76</v>
      </c>
      <c r="J1666" t="s">
        <v>100</v>
      </c>
    </row>
    <row r="1667" spans="1:10" x14ac:dyDescent="0.25">
      <c r="A1667" t="s">
        <v>11685</v>
      </c>
      <c r="B1667">
        <v>7.1920000000000002</v>
      </c>
      <c r="C1667" t="s">
        <v>11686</v>
      </c>
      <c r="D1667" t="s">
        <v>11687</v>
      </c>
      <c r="E1667" t="s">
        <v>11668</v>
      </c>
      <c r="F1667" t="s">
        <v>7672</v>
      </c>
      <c r="G1667" t="s">
        <v>11669</v>
      </c>
      <c r="H1667" t="s">
        <v>10298</v>
      </c>
      <c r="I1667" t="s">
        <v>76</v>
      </c>
      <c r="J1667" t="s">
        <v>106</v>
      </c>
    </row>
    <row r="1668" spans="1:10" x14ac:dyDescent="0.25">
      <c r="A1668" t="s">
        <v>11688</v>
      </c>
      <c r="B1668">
        <v>7.1920000000000002</v>
      </c>
      <c r="C1668" t="s">
        <v>11689</v>
      </c>
      <c r="D1668" t="s">
        <v>11690</v>
      </c>
      <c r="E1668" t="s">
        <v>11668</v>
      </c>
      <c r="F1668" t="s">
        <v>7672</v>
      </c>
      <c r="G1668" t="s">
        <v>11669</v>
      </c>
      <c r="H1668" t="s">
        <v>10298</v>
      </c>
      <c r="I1668" t="s">
        <v>76</v>
      </c>
      <c r="J1668" t="s">
        <v>88</v>
      </c>
    </row>
    <row r="1669" spans="1:10" x14ac:dyDescent="0.25">
      <c r="A1669" t="s">
        <v>11691</v>
      </c>
      <c r="B1669">
        <v>6.9920000000000009</v>
      </c>
      <c r="C1669" t="s">
        <v>11692</v>
      </c>
      <c r="D1669" t="s">
        <v>240</v>
      </c>
      <c r="E1669" t="s">
        <v>11693</v>
      </c>
      <c r="F1669" t="s">
        <v>7672</v>
      </c>
      <c r="G1669" t="s">
        <v>11694</v>
      </c>
      <c r="H1669" t="s">
        <v>10298</v>
      </c>
      <c r="I1669" t="s">
        <v>11695</v>
      </c>
      <c r="J1669" t="s">
        <v>11696</v>
      </c>
    </row>
    <row r="1670" spans="1:10" x14ac:dyDescent="0.25">
      <c r="A1670" t="s">
        <v>11697</v>
      </c>
      <c r="B1670">
        <v>6.9920000000000009</v>
      </c>
      <c r="C1670" t="s">
        <v>11698</v>
      </c>
      <c r="D1670" t="s">
        <v>2804</v>
      </c>
      <c r="E1670" t="s">
        <v>11693</v>
      </c>
      <c r="F1670" t="s">
        <v>7672</v>
      </c>
      <c r="G1670" t="s">
        <v>11694</v>
      </c>
      <c r="H1670" t="s">
        <v>10298</v>
      </c>
      <c r="I1670" t="s">
        <v>11699</v>
      </c>
      <c r="J1670" t="s">
        <v>11696</v>
      </c>
    </row>
    <row r="1671" spans="1:10" x14ac:dyDescent="0.25">
      <c r="A1671" t="s">
        <v>11700</v>
      </c>
      <c r="B1671">
        <v>6.9920000000000009</v>
      </c>
      <c r="C1671" t="s">
        <v>11701</v>
      </c>
      <c r="D1671" t="s">
        <v>118</v>
      </c>
      <c r="E1671" t="s">
        <v>11693</v>
      </c>
      <c r="F1671" t="s">
        <v>7672</v>
      </c>
      <c r="G1671" t="s">
        <v>11694</v>
      </c>
      <c r="H1671" t="s">
        <v>10298</v>
      </c>
      <c r="I1671" t="s">
        <v>11695</v>
      </c>
      <c r="J1671" t="s">
        <v>11702</v>
      </c>
    </row>
    <row r="1672" spans="1:10" x14ac:dyDescent="0.25">
      <c r="A1672" t="s">
        <v>11703</v>
      </c>
      <c r="B1672">
        <v>6.9920000000000009</v>
      </c>
      <c r="C1672" t="s">
        <v>11704</v>
      </c>
      <c r="D1672" t="s">
        <v>106</v>
      </c>
      <c r="E1672" t="s">
        <v>11693</v>
      </c>
      <c r="F1672" t="s">
        <v>7672</v>
      </c>
      <c r="G1672" t="s">
        <v>11694</v>
      </c>
      <c r="H1672" t="s">
        <v>10298</v>
      </c>
      <c r="I1672" t="s">
        <v>11705</v>
      </c>
      <c r="J1672" t="s">
        <v>11702</v>
      </c>
    </row>
    <row r="1673" spans="1:10" x14ac:dyDescent="0.25">
      <c r="A1673" t="s">
        <v>11706</v>
      </c>
      <c r="B1673">
        <v>6.9920000000000009</v>
      </c>
      <c r="C1673" t="s">
        <v>11707</v>
      </c>
      <c r="D1673" t="s">
        <v>3430</v>
      </c>
      <c r="E1673" t="s">
        <v>11693</v>
      </c>
      <c r="F1673" t="s">
        <v>7672</v>
      </c>
      <c r="G1673" t="s">
        <v>11694</v>
      </c>
      <c r="H1673" t="s">
        <v>10298</v>
      </c>
      <c r="I1673" t="s">
        <v>11699</v>
      </c>
      <c r="J1673" t="s">
        <v>11702</v>
      </c>
    </row>
    <row r="1674" spans="1:10" x14ac:dyDescent="0.25">
      <c r="A1674" t="s">
        <v>11708</v>
      </c>
      <c r="B1674">
        <v>6.9920000000000009</v>
      </c>
      <c r="C1674" t="s">
        <v>11709</v>
      </c>
      <c r="D1674" t="s">
        <v>2620</v>
      </c>
      <c r="E1674" t="s">
        <v>11693</v>
      </c>
      <c r="F1674" t="s">
        <v>7672</v>
      </c>
      <c r="G1674" t="s">
        <v>11694</v>
      </c>
      <c r="H1674" t="s">
        <v>10298</v>
      </c>
      <c r="I1674" t="s">
        <v>11699</v>
      </c>
      <c r="J1674" t="s">
        <v>11710</v>
      </c>
    </row>
    <row r="1675" spans="1:10" x14ac:dyDescent="0.25">
      <c r="A1675" t="s">
        <v>11711</v>
      </c>
      <c r="B1675">
        <v>14.4</v>
      </c>
      <c r="C1675" t="s">
        <v>11712</v>
      </c>
      <c r="D1675" t="s">
        <v>964</v>
      </c>
      <c r="E1675" t="s">
        <v>11713</v>
      </c>
      <c r="F1675" t="s">
        <v>7672</v>
      </c>
      <c r="G1675" t="s">
        <v>11714</v>
      </c>
      <c r="H1675" t="s">
        <v>8087</v>
      </c>
      <c r="I1675" t="s">
        <v>11715</v>
      </c>
      <c r="J1675" t="s">
        <v>240</v>
      </c>
    </row>
    <row r="1676" spans="1:10" x14ac:dyDescent="0.25">
      <c r="A1676" t="s">
        <v>11716</v>
      </c>
      <c r="B1676">
        <v>14.4</v>
      </c>
      <c r="C1676" t="s">
        <v>11717</v>
      </c>
      <c r="D1676" t="s">
        <v>1097</v>
      </c>
      <c r="E1676" t="s">
        <v>11713</v>
      </c>
      <c r="F1676" t="s">
        <v>7672</v>
      </c>
      <c r="G1676" t="s">
        <v>11714</v>
      </c>
      <c r="H1676" t="s">
        <v>8087</v>
      </c>
      <c r="I1676" t="s">
        <v>61</v>
      </c>
      <c r="J1676" t="s">
        <v>240</v>
      </c>
    </row>
    <row r="1677" spans="1:10" x14ac:dyDescent="0.25">
      <c r="A1677" t="s">
        <v>11718</v>
      </c>
      <c r="B1677">
        <v>14.4</v>
      </c>
      <c r="C1677" t="s">
        <v>11719</v>
      </c>
      <c r="D1677" t="s">
        <v>959</v>
      </c>
      <c r="E1677" t="s">
        <v>11713</v>
      </c>
      <c r="F1677" t="s">
        <v>7672</v>
      </c>
      <c r="G1677" t="s">
        <v>11714</v>
      </c>
      <c r="H1677" t="s">
        <v>8087</v>
      </c>
      <c r="I1677" t="s">
        <v>11720</v>
      </c>
      <c r="J1677" t="s">
        <v>240</v>
      </c>
    </row>
    <row r="1678" spans="1:10" x14ac:dyDescent="0.25">
      <c r="A1678" t="s">
        <v>11721</v>
      </c>
      <c r="B1678">
        <v>14.4</v>
      </c>
      <c r="C1678" t="s">
        <v>11722</v>
      </c>
      <c r="D1678" t="s">
        <v>959</v>
      </c>
      <c r="E1678" t="s">
        <v>11713</v>
      </c>
      <c r="F1678" t="s">
        <v>7672</v>
      </c>
      <c r="G1678" t="s">
        <v>11714</v>
      </c>
      <c r="H1678" t="s">
        <v>8087</v>
      </c>
      <c r="I1678" t="s">
        <v>4045</v>
      </c>
      <c r="J1678" t="s">
        <v>240</v>
      </c>
    </row>
    <row r="1679" spans="1:10" x14ac:dyDescent="0.25">
      <c r="A1679" t="s">
        <v>11723</v>
      </c>
      <c r="B1679">
        <v>14.4</v>
      </c>
      <c r="C1679" t="s">
        <v>11724</v>
      </c>
      <c r="D1679" t="s">
        <v>316</v>
      </c>
      <c r="E1679" t="s">
        <v>11713</v>
      </c>
      <c r="F1679" t="s">
        <v>7672</v>
      </c>
      <c r="G1679" t="s">
        <v>11714</v>
      </c>
      <c r="H1679" t="s">
        <v>8087</v>
      </c>
      <c r="I1679" t="s">
        <v>11720</v>
      </c>
      <c r="J1679" t="s">
        <v>835</v>
      </c>
    </row>
    <row r="1680" spans="1:10" x14ac:dyDescent="0.25">
      <c r="A1680" t="s">
        <v>11725</v>
      </c>
      <c r="B1680">
        <v>14.4</v>
      </c>
      <c r="C1680" t="s">
        <v>11726</v>
      </c>
      <c r="D1680" t="s">
        <v>3110</v>
      </c>
      <c r="E1680" t="s">
        <v>11713</v>
      </c>
      <c r="F1680" t="s">
        <v>7672</v>
      </c>
      <c r="G1680" t="s">
        <v>11714</v>
      </c>
      <c r="H1680" t="s">
        <v>8087</v>
      </c>
      <c r="I1680" t="s">
        <v>11715</v>
      </c>
      <c r="J1680" t="s">
        <v>835</v>
      </c>
    </row>
    <row r="1681" spans="1:10" x14ac:dyDescent="0.25">
      <c r="A1681" t="s">
        <v>11727</v>
      </c>
      <c r="B1681">
        <v>14.4</v>
      </c>
      <c r="C1681" t="s">
        <v>11728</v>
      </c>
      <c r="D1681" t="s">
        <v>941</v>
      </c>
      <c r="E1681" t="s">
        <v>11713</v>
      </c>
      <c r="F1681" t="s">
        <v>7672</v>
      </c>
      <c r="G1681" t="s">
        <v>11714</v>
      </c>
      <c r="H1681" t="s">
        <v>8087</v>
      </c>
      <c r="I1681" t="s">
        <v>61</v>
      </c>
      <c r="J1681" t="s">
        <v>835</v>
      </c>
    </row>
    <row r="1682" spans="1:10" x14ac:dyDescent="0.25">
      <c r="A1682" t="s">
        <v>11729</v>
      </c>
      <c r="B1682">
        <v>14.4</v>
      </c>
      <c r="C1682" t="s">
        <v>11730</v>
      </c>
      <c r="D1682" t="s">
        <v>2138</v>
      </c>
      <c r="E1682" t="s">
        <v>11713</v>
      </c>
      <c r="F1682" t="s">
        <v>7672</v>
      </c>
      <c r="G1682" t="s">
        <v>11714</v>
      </c>
      <c r="H1682" t="s">
        <v>8087</v>
      </c>
      <c r="I1682" t="s">
        <v>4045</v>
      </c>
      <c r="J1682" t="s">
        <v>835</v>
      </c>
    </row>
    <row r="1683" spans="1:10" x14ac:dyDescent="0.25">
      <c r="A1683" t="s">
        <v>11731</v>
      </c>
      <c r="B1683">
        <v>14.4</v>
      </c>
      <c r="C1683" t="s">
        <v>11732</v>
      </c>
      <c r="D1683" t="s">
        <v>776</v>
      </c>
      <c r="E1683" t="s">
        <v>11713</v>
      </c>
      <c r="F1683" t="s">
        <v>7672</v>
      </c>
      <c r="G1683" t="s">
        <v>11714</v>
      </c>
      <c r="H1683" t="s">
        <v>8087</v>
      </c>
      <c r="I1683" t="s">
        <v>8096</v>
      </c>
      <c r="J1683" t="s">
        <v>835</v>
      </c>
    </row>
    <row r="1684" spans="1:10" x14ac:dyDescent="0.25">
      <c r="A1684" t="s">
        <v>11733</v>
      </c>
      <c r="B1684">
        <v>14.4</v>
      </c>
      <c r="C1684" t="s">
        <v>11734</v>
      </c>
      <c r="D1684" t="s">
        <v>8803</v>
      </c>
      <c r="E1684" t="s">
        <v>11713</v>
      </c>
      <c r="F1684" t="s">
        <v>7672</v>
      </c>
      <c r="G1684" t="s">
        <v>11714</v>
      </c>
      <c r="H1684" t="s">
        <v>8087</v>
      </c>
      <c r="I1684" t="s">
        <v>4045</v>
      </c>
      <c r="J1684" t="s">
        <v>250</v>
      </c>
    </row>
    <row r="1685" spans="1:10" x14ac:dyDescent="0.25">
      <c r="A1685" t="s">
        <v>11735</v>
      </c>
      <c r="B1685">
        <v>14.4</v>
      </c>
      <c r="C1685" t="s">
        <v>11736</v>
      </c>
      <c r="D1685" t="s">
        <v>164</v>
      </c>
      <c r="E1685" t="s">
        <v>11713</v>
      </c>
      <c r="F1685" t="s">
        <v>7672</v>
      </c>
      <c r="G1685" t="s">
        <v>11714</v>
      </c>
      <c r="H1685" t="s">
        <v>8087</v>
      </c>
      <c r="I1685" t="s">
        <v>8096</v>
      </c>
      <c r="J1685" t="s">
        <v>250</v>
      </c>
    </row>
    <row r="1686" spans="1:10" x14ac:dyDescent="0.25">
      <c r="A1686" t="s">
        <v>11737</v>
      </c>
      <c r="B1686">
        <v>14.4</v>
      </c>
      <c r="C1686" t="s">
        <v>11738</v>
      </c>
      <c r="D1686" t="s">
        <v>3253</v>
      </c>
      <c r="E1686" t="s">
        <v>11713</v>
      </c>
      <c r="F1686" t="s">
        <v>7672</v>
      </c>
      <c r="G1686" t="s">
        <v>11714</v>
      </c>
      <c r="H1686" t="s">
        <v>8087</v>
      </c>
      <c r="I1686" t="s">
        <v>11720</v>
      </c>
      <c r="J1686" t="s">
        <v>250</v>
      </c>
    </row>
    <row r="1687" spans="1:10" x14ac:dyDescent="0.25">
      <c r="A1687" t="s">
        <v>11739</v>
      </c>
      <c r="B1687">
        <v>14.4</v>
      </c>
      <c r="C1687" t="s">
        <v>11740</v>
      </c>
      <c r="D1687" t="s">
        <v>3289</v>
      </c>
      <c r="E1687" t="s">
        <v>11713</v>
      </c>
      <c r="F1687" t="s">
        <v>7672</v>
      </c>
      <c r="G1687" t="s">
        <v>11714</v>
      </c>
      <c r="H1687" t="s">
        <v>8087</v>
      </c>
      <c r="I1687" t="s">
        <v>11715</v>
      </c>
      <c r="J1687" t="s">
        <v>250</v>
      </c>
    </row>
    <row r="1688" spans="1:10" x14ac:dyDescent="0.25">
      <c r="A1688" t="s">
        <v>11741</v>
      </c>
      <c r="B1688">
        <v>14.4</v>
      </c>
      <c r="C1688" t="s">
        <v>11742</v>
      </c>
      <c r="D1688" t="s">
        <v>3470</v>
      </c>
      <c r="E1688" t="s">
        <v>11713</v>
      </c>
      <c r="F1688" t="s">
        <v>7672</v>
      </c>
      <c r="G1688" t="s">
        <v>11714</v>
      </c>
      <c r="H1688" t="s">
        <v>8087</v>
      </c>
      <c r="I1688" t="s">
        <v>61</v>
      </c>
      <c r="J1688" t="s">
        <v>250</v>
      </c>
    </row>
    <row r="1689" spans="1:10" x14ac:dyDescent="0.25">
      <c r="A1689" t="s">
        <v>11743</v>
      </c>
      <c r="B1689">
        <v>14.4</v>
      </c>
      <c r="C1689" t="s">
        <v>11744</v>
      </c>
      <c r="D1689" t="s">
        <v>975</v>
      </c>
      <c r="E1689" t="s">
        <v>11713</v>
      </c>
      <c r="F1689" t="s">
        <v>7672</v>
      </c>
      <c r="G1689" t="s">
        <v>11714</v>
      </c>
      <c r="H1689" t="s">
        <v>8087</v>
      </c>
      <c r="I1689" t="s">
        <v>4045</v>
      </c>
      <c r="J1689" t="s">
        <v>229</v>
      </c>
    </row>
    <row r="1690" spans="1:10" x14ac:dyDescent="0.25">
      <c r="A1690" t="s">
        <v>11745</v>
      </c>
      <c r="B1690">
        <v>14.4</v>
      </c>
      <c r="C1690" t="s">
        <v>11746</v>
      </c>
      <c r="D1690" t="s">
        <v>124</v>
      </c>
      <c r="E1690" t="s">
        <v>11713</v>
      </c>
      <c r="F1690" t="s">
        <v>7672</v>
      </c>
      <c r="G1690" t="s">
        <v>11714</v>
      </c>
      <c r="H1690" t="s">
        <v>8087</v>
      </c>
      <c r="I1690" t="s">
        <v>61</v>
      </c>
      <c r="J1690" t="s">
        <v>229</v>
      </c>
    </row>
    <row r="1691" spans="1:10" x14ac:dyDescent="0.25">
      <c r="A1691" t="s">
        <v>11747</v>
      </c>
      <c r="B1691">
        <v>14.4</v>
      </c>
      <c r="C1691" t="s">
        <v>11748</v>
      </c>
      <c r="D1691" t="s">
        <v>776</v>
      </c>
      <c r="E1691" t="s">
        <v>11713</v>
      </c>
      <c r="F1691" t="s">
        <v>7672</v>
      </c>
      <c r="G1691" t="s">
        <v>11714</v>
      </c>
      <c r="H1691" t="s">
        <v>8087</v>
      </c>
      <c r="I1691" t="s">
        <v>11720</v>
      </c>
      <c r="J1691" t="s">
        <v>229</v>
      </c>
    </row>
    <row r="1692" spans="1:10" x14ac:dyDescent="0.25">
      <c r="A1692" t="s">
        <v>11749</v>
      </c>
      <c r="B1692">
        <v>14.4</v>
      </c>
      <c r="C1692" t="s">
        <v>11750</v>
      </c>
      <c r="D1692" t="s">
        <v>366</v>
      </c>
      <c r="E1692" t="s">
        <v>11713</v>
      </c>
      <c r="F1692" t="s">
        <v>7672</v>
      </c>
      <c r="G1692" t="s">
        <v>11714</v>
      </c>
      <c r="H1692" t="s">
        <v>8087</v>
      </c>
      <c r="I1692" t="s">
        <v>11715</v>
      </c>
      <c r="J1692" t="s">
        <v>229</v>
      </c>
    </row>
    <row r="1693" spans="1:10" x14ac:dyDescent="0.25">
      <c r="A1693" t="s">
        <v>11751</v>
      </c>
      <c r="B1693">
        <v>14.4</v>
      </c>
      <c r="C1693" t="s">
        <v>11752</v>
      </c>
      <c r="D1693" t="s">
        <v>255</v>
      </c>
      <c r="E1693" t="s">
        <v>11713</v>
      </c>
      <c r="F1693" t="s">
        <v>7672</v>
      </c>
      <c r="G1693" t="s">
        <v>11714</v>
      </c>
      <c r="H1693" t="s">
        <v>8087</v>
      </c>
      <c r="I1693" t="s">
        <v>4045</v>
      </c>
      <c r="J1693" t="s">
        <v>118</v>
      </c>
    </row>
    <row r="1694" spans="1:10" x14ac:dyDescent="0.25">
      <c r="A1694" t="s">
        <v>11753</v>
      </c>
      <c r="B1694">
        <v>14.4</v>
      </c>
      <c r="C1694" t="s">
        <v>11754</v>
      </c>
      <c r="D1694" t="s">
        <v>53</v>
      </c>
      <c r="E1694" t="s">
        <v>11713</v>
      </c>
      <c r="F1694" t="s">
        <v>7672</v>
      </c>
      <c r="G1694" t="s">
        <v>11714</v>
      </c>
      <c r="H1694" t="s">
        <v>8087</v>
      </c>
      <c r="I1694" t="s">
        <v>61</v>
      </c>
      <c r="J1694" t="s">
        <v>118</v>
      </c>
    </row>
    <row r="1695" spans="1:10" x14ac:dyDescent="0.25">
      <c r="A1695" t="s">
        <v>11755</v>
      </c>
      <c r="B1695">
        <v>14.4</v>
      </c>
      <c r="C1695" t="s">
        <v>11756</v>
      </c>
      <c r="D1695" t="s">
        <v>870</v>
      </c>
      <c r="E1695" t="s">
        <v>11713</v>
      </c>
      <c r="F1695" t="s">
        <v>7672</v>
      </c>
      <c r="G1695" t="s">
        <v>11714</v>
      </c>
      <c r="H1695" t="s">
        <v>8087</v>
      </c>
      <c r="I1695" t="s">
        <v>4045</v>
      </c>
      <c r="J1695" t="s">
        <v>311</v>
      </c>
    </row>
    <row r="1696" spans="1:10" x14ac:dyDescent="0.25">
      <c r="A1696" t="s">
        <v>11757</v>
      </c>
      <c r="B1696">
        <v>14.4</v>
      </c>
      <c r="C1696" t="s">
        <v>11758</v>
      </c>
      <c r="D1696" t="s">
        <v>245</v>
      </c>
      <c r="E1696" t="s">
        <v>11713</v>
      </c>
      <c r="F1696" t="s">
        <v>7672</v>
      </c>
      <c r="G1696" t="s">
        <v>11714</v>
      </c>
      <c r="H1696" t="s">
        <v>8087</v>
      </c>
      <c r="I1696" t="s">
        <v>61</v>
      </c>
      <c r="J1696" t="s">
        <v>311</v>
      </c>
    </row>
    <row r="1697" spans="1:10" x14ac:dyDescent="0.25">
      <c r="A1697" t="s">
        <v>11759</v>
      </c>
      <c r="B1697">
        <v>14.4</v>
      </c>
      <c r="C1697" t="s">
        <v>11760</v>
      </c>
      <c r="D1697" t="s">
        <v>1143</v>
      </c>
      <c r="E1697" t="s">
        <v>11713</v>
      </c>
      <c r="F1697" t="s">
        <v>7672</v>
      </c>
      <c r="G1697" t="s">
        <v>11714</v>
      </c>
      <c r="H1697" t="s">
        <v>8087</v>
      </c>
      <c r="I1697" t="s">
        <v>11715</v>
      </c>
      <c r="J1697" t="s">
        <v>311</v>
      </c>
    </row>
    <row r="1698" spans="1:10" x14ac:dyDescent="0.25">
      <c r="A1698" t="s">
        <v>11761</v>
      </c>
      <c r="B1698">
        <v>14.4</v>
      </c>
      <c r="C1698" t="s">
        <v>11762</v>
      </c>
      <c r="D1698" t="s">
        <v>240</v>
      </c>
      <c r="E1698" t="s">
        <v>11713</v>
      </c>
      <c r="F1698" t="s">
        <v>7672</v>
      </c>
      <c r="G1698" t="s">
        <v>11714</v>
      </c>
      <c r="H1698" t="s">
        <v>8087</v>
      </c>
      <c r="I1698" t="s">
        <v>11720</v>
      </c>
      <c r="J1698" t="s">
        <v>311</v>
      </c>
    </row>
    <row r="1699" spans="1:10" x14ac:dyDescent="0.25">
      <c r="A1699" t="s">
        <v>11763</v>
      </c>
      <c r="B1699">
        <v>4.7520000000000007</v>
      </c>
      <c r="C1699" t="s">
        <v>11764</v>
      </c>
      <c r="D1699" t="s">
        <v>2620</v>
      </c>
      <c r="E1699" t="s">
        <v>11765</v>
      </c>
      <c r="F1699" t="s">
        <v>7672</v>
      </c>
      <c r="G1699" t="s">
        <v>11766</v>
      </c>
      <c r="H1699" t="s">
        <v>8515</v>
      </c>
      <c r="I1699" t="s">
        <v>1413</v>
      </c>
      <c r="J1699" t="s">
        <v>11767</v>
      </c>
    </row>
    <row r="1700" spans="1:10" x14ac:dyDescent="0.25">
      <c r="A1700" t="s">
        <v>11768</v>
      </c>
      <c r="B1700">
        <v>4.7520000000000007</v>
      </c>
      <c r="C1700" t="s">
        <v>11769</v>
      </c>
      <c r="D1700" t="s">
        <v>40</v>
      </c>
      <c r="E1700" t="s">
        <v>11765</v>
      </c>
      <c r="F1700" t="s">
        <v>7672</v>
      </c>
      <c r="G1700" t="s">
        <v>11766</v>
      </c>
      <c r="H1700" t="s">
        <v>8515</v>
      </c>
      <c r="I1700" t="s">
        <v>10664</v>
      </c>
      <c r="J1700" t="s">
        <v>11767</v>
      </c>
    </row>
    <row r="1701" spans="1:10" x14ac:dyDescent="0.25">
      <c r="A1701" t="s">
        <v>11770</v>
      </c>
      <c r="B1701">
        <v>4.7520000000000007</v>
      </c>
      <c r="C1701" t="s">
        <v>11771</v>
      </c>
      <c r="D1701" t="s">
        <v>8816</v>
      </c>
      <c r="E1701" t="s">
        <v>11765</v>
      </c>
      <c r="F1701" t="s">
        <v>7672</v>
      </c>
      <c r="G1701" t="s">
        <v>11766</v>
      </c>
      <c r="H1701" t="s">
        <v>8515</v>
      </c>
      <c r="I1701" t="s">
        <v>10664</v>
      </c>
      <c r="J1701" t="s">
        <v>11582</v>
      </c>
    </row>
    <row r="1702" spans="1:10" x14ac:dyDescent="0.25">
      <c r="A1702" t="s">
        <v>11772</v>
      </c>
      <c r="B1702">
        <v>4.7520000000000007</v>
      </c>
      <c r="C1702" t="s">
        <v>11773</v>
      </c>
      <c r="D1702" t="s">
        <v>3604</v>
      </c>
      <c r="E1702" t="s">
        <v>11765</v>
      </c>
      <c r="F1702" t="s">
        <v>7672</v>
      </c>
      <c r="G1702" t="s">
        <v>11766</v>
      </c>
      <c r="H1702" t="s">
        <v>8515</v>
      </c>
      <c r="I1702" t="s">
        <v>1413</v>
      </c>
      <c r="J1702" t="s">
        <v>11582</v>
      </c>
    </row>
    <row r="1703" spans="1:10" x14ac:dyDescent="0.25">
      <c r="A1703" t="s">
        <v>11774</v>
      </c>
      <c r="B1703">
        <v>4.7520000000000007</v>
      </c>
      <c r="C1703" t="s">
        <v>11775</v>
      </c>
      <c r="D1703" t="s">
        <v>11776</v>
      </c>
      <c r="E1703" t="s">
        <v>11765</v>
      </c>
      <c r="F1703" t="s">
        <v>7672</v>
      </c>
      <c r="G1703" t="s">
        <v>11766</v>
      </c>
      <c r="H1703" t="s">
        <v>8515</v>
      </c>
      <c r="I1703" t="s">
        <v>10664</v>
      </c>
      <c r="J1703" t="s">
        <v>10369</v>
      </c>
    </row>
    <row r="1704" spans="1:10" x14ac:dyDescent="0.25">
      <c r="A1704" t="s">
        <v>11777</v>
      </c>
      <c r="B1704">
        <v>4.7520000000000007</v>
      </c>
      <c r="C1704" t="s">
        <v>11778</v>
      </c>
      <c r="D1704" t="s">
        <v>2736</v>
      </c>
      <c r="E1704" t="s">
        <v>11765</v>
      </c>
      <c r="F1704" t="s">
        <v>7672</v>
      </c>
      <c r="G1704" t="s">
        <v>11766</v>
      </c>
      <c r="H1704" t="s">
        <v>8515</v>
      </c>
      <c r="I1704" t="s">
        <v>1413</v>
      </c>
      <c r="J1704" t="s">
        <v>10369</v>
      </c>
    </row>
    <row r="1705" spans="1:10" x14ac:dyDescent="0.25">
      <c r="A1705" t="s">
        <v>11779</v>
      </c>
      <c r="B1705">
        <v>4.7520000000000007</v>
      </c>
      <c r="C1705" t="s">
        <v>11780</v>
      </c>
      <c r="D1705" t="s">
        <v>118</v>
      </c>
      <c r="E1705" t="s">
        <v>11765</v>
      </c>
      <c r="F1705" t="s">
        <v>7672</v>
      </c>
      <c r="G1705" t="s">
        <v>11766</v>
      </c>
      <c r="H1705" t="s">
        <v>8515</v>
      </c>
      <c r="I1705" t="s">
        <v>10664</v>
      </c>
      <c r="J1705" t="s">
        <v>11590</v>
      </c>
    </row>
    <row r="1706" spans="1:10" x14ac:dyDescent="0.25">
      <c r="A1706" t="s">
        <v>11781</v>
      </c>
      <c r="B1706">
        <v>4.7520000000000007</v>
      </c>
      <c r="C1706" t="s">
        <v>11782</v>
      </c>
      <c r="D1706" t="s">
        <v>2317</v>
      </c>
      <c r="E1706" t="s">
        <v>11765</v>
      </c>
      <c r="F1706" t="s">
        <v>7672</v>
      </c>
      <c r="G1706" t="s">
        <v>11766</v>
      </c>
      <c r="H1706" t="s">
        <v>8515</v>
      </c>
      <c r="I1706" t="s">
        <v>10664</v>
      </c>
      <c r="J1706" t="s">
        <v>11783</v>
      </c>
    </row>
    <row r="1707" spans="1:10" x14ac:dyDescent="0.25">
      <c r="A1707" t="s">
        <v>11784</v>
      </c>
      <c r="B1707">
        <v>26.6</v>
      </c>
      <c r="C1707" t="s">
        <v>11785</v>
      </c>
      <c r="D1707" t="s">
        <v>255</v>
      </c>
      <c r="E1707" t="s">
        <v>2678</v>
      </c>
      <c r="F1707" t="s">
        <v>7672</v>
      </c>
      <c r="G1707" t="s">
        <v>11786</v>
      </c>
      <c r="H1707" t="s">
        <v>7947</v>
      </c>
      <c r="I1707" t="s">
        <v>278</v>
      </c>
      <c r="J1707" t="s">
        <v>7981</v>
      </c>
    </row>
    <row r="1708" spans="1:10" x14ac:dyDescent="0.25">
      <c r="A1708" t="s">
        <v>11787</v>
      </c>
      <c r="B1708">
        <v>26.6</v>
      </c>
      <c r="C1708" t="s">
        <v>11788</v>
      </c>
      <c r="D1708" t="s">
        <v>742</v>
      </c>
      <c r="E1708" t="s">
        <v>2678</v>
      </c>
      <c r="F1708" t="s">
        <v>7672</v>
      </c>
      <c r="G1708" t="s">
        <v>11786</v>
      </c>
      <c r="H1708" t="s">
        <v>7947</v>
      </c>
      <c r="I1708" t="s">
        <v>11789</v>
      </c>
      <c r="J1708" t="s">
        <v>7981</v>
      </c>
    </row>
    <row r="1709" spans="1:10" x14ac:dyDescent="0.25">
      <c r="A1709" t="s">
        <v>2675</v>
      </c>
      <c r="B1709">
        <v>26.6</v>
      </c>
      <c r="C1709" t="s">
        <v>2677</v>
      </c>
      <c r="D1709" t="s">
        <v>277</v>
      </c>
      <c r="E1709" t="s">
        <v>2678</v>
      </c>
      <c r="F1709" t="s">
        <v>7672</v>
      </c>
      <c r="G1709" t="s">
        <v>11786</v>
      </c>
      <c r="H1709" t="s">
        <v>7947</v>
      </c>
      <c r="I1709" t="s">
        <v>278</v>
      </c>
      <c r="J1709" t="s">
        <v>7984</v>
      </c>
    </row>
    <row r="1710" spans="1:10" x14ac:dyDescent="0.25">
      <c r="A1710" t="s">
        <v>11790</v>
      </c>
      <c r="B1710">
        <v>25.2</v>
      </c>
      <c r="C1710" t="s">
        <v>11791</v>
      </c>
      <c r="D1710" t="s">
        <v>342</v>
      </c>
      <c r="E1710" t="s">
        <v>11792</v>
      </c>
      <c r="F1710" t="s">
        <v>7672</v>
      </c>
      <c r="G1710" t="s">
        <v>11793</v>
      </c>
      <c r="H1710" t="s">
        <v>11794</v>
      </c>
      <c r="I1710" t="s">
        <v>11795</v>
      </c>
      <c r="J1710" t="s">
        <v>11796</v>
      </c>
    </row>
    <row r="1711" spans="1:10" x14ac:dyDescent="0.25">
      <c r="A1711" t="s">
        <v>11797</v>
      </c>
      <c r="B1711">
        <v>25.2</v>
      </c>
      <c r="C1711" t="s">
        <v>11798</v>
      </c>
      <c r="D1711" t="s">
        <v>250</v>
      </c>
      <c r="E1711" t="s">
        <v>11792</v>
      </c>
      <c r="F1711" t="s">
        <v>7672</v>
      </c>
      <c r="G1711" t="s">
        <v>11793</v>
      </c>
      <c r="H1711" t="s">
        <v>11794</v>
      </c>
      <c r="I1711" t="s">
        <v>11795</v>
      </c>
      <c r="J1711" t="s">
        <v>11799</v>
      </c>
    </row>
    <row r="1712" spans="1:10" x14ac:dyDescent="0.25">
      <c r="A1712" t="s">
        <v>2682</v>
      </c>
      <c r="B1712">
        <v>62.400000000000013</v>
      </c>
      <c r="C1712" t="s">
        <v>2684</v>
      </c>
      <c r="D1712" t="s">
        <v>385</v>
      </c>
      <c r="E1712" t="s">
        <v>2685</v>
      </c>
      <c r="F1712" t="s">
        <v>7672</v>
      </c>
      <c r="G1712" t="s">
        <v>11800</v>
      </c>
      <c r="H1712" t="s">
        <v>9232</v>
      </c>
      <c r="I1712" t="s">
        <v>2688</v>
      </c>
      <c r="J1712" t="s">
        <v>7981</v>
      </c>
    </row>
    <row r="1713" spans="1:10" x14ac:dyDescent="0.25">
      <c r="A1713" t="s">
        <v>2689</v>
      </c>
      <c r="B1713">
        <v>62.400000000000013</v>
      </c>
      <c r="C1713" t="s">
        <v>2691</v>
      </c>
      <c r="D1713" t="s">
        <v>100</v>
      </c>
      <c r="E1713" t="s">
        <v>2685</v>
      </c>
      <c r="F1713" t="s">
        <v>7672</v>
      </c>
      <c r="G1713" t="s">
        <v>11800</v>
      </c>
      <c r="H1713" t="s">
        <v>9232</v>
      </c>
      <c r="I1713" t="s">
        <v>2213</v>
      </c>
      <c r="J1713" t="s">
        <v>7981</v>
      </c>
    </row>
    <row r="1714" spans="1:10" x14ac:dyDescent="0.25">
      <c r="A1714" t="s">
        <v>2693</v>
      </c>
      <c r="B1714">
        <v>62.400000000000013</v>
      </c>
      <c r="C1714" t="s">
        <v>2695</v>
      </c>
      <c r="D1714" t="s">
        <v>2697</v>
      </c>
      <c r="E1714" t="s">
        <v>2685</v>
      </c>
      <c r="F1714" t="s">
        <v>7672</v>
      </c>
      <c r="G1714" t="s">
        <v>11800</v>
      </c>
      <c r="H1714" t="s">
        <v>9232</v>
      </c>
      <c r="I1714" t="s">
        <v>2688</v>
      </c>
      <c r="J1714" t="s">
        <v>7984</v>
      </c>
    </row>
    <row r="1715" spans="1:10" x14ac:dyDescent="0.25">
      <c r="A1715" t="s">
        <v>2698</v>
      </c>
      <c r="B1715">
        <v>62.400000000000013</v>
      </c>
      <c r="C1715" t="s">
        <v>2700</v>
      </c>
      <c r="D1715" t="s">
        <v>330</v>
      </c>
      <c r="E1715" t="s">
        <v>2685</v>
      </c>
      <c r="F1715" t="s">
        <v>7672</v>
      </c>
      <c r="G1715" t="s">
        <v>11800</v>
      </c>
      <c r="H1715" t="s">
        <v>9232</v>
      </c>
      <c r="I1715" t="s">
        <v>2688</v>
      </c>
      <c r="J1715" t="s">
        <v>7987</v>
      </c>
    </row>
    <row r="1716" spans="1:10" x14ac:dyDescent="0.25">
      <c r="A1716" t="s">
        <v>11801</v>
      </c>
      <c r="B1716">
        <v>7.4960000000000004</v>
      </c>
      <c r="C1716" t="s">
        <v>11802</v>
      </c>
      <c r="D1716" t="s">
        <v>835</v>
      </c>
      <c r="E1716" t="s">
        <v>11803</v>
      </c>
      <c r="F1716" t="s">
        <v>7672</v>
      </c>
      <c r="G1716" t="s">
        <v>11804</v>
      </c>
      <c r="H1716" t="s">
        <v>7674</v>
      </c>
      <c r="I1716" t="s">
        <v>11805</v>
      </c>
      <c r="J1716" t="s">
        <v>131</v>
      </c>
    </row>
    <row r="1717" spans="1:10" x14ac:dyDescent="0.25">
      <c r="A1717" t="s">
        <v>11806</v>
      </c>
      <c r="B1717">
        <v>7.4960000000000004</v>
      </c>
      <c r="C1717" t="s">
        <v>11807</v>
      </c>
      <c r="D1717" t="s">
        <v>67</v>
      </c>
      <c r="E1717" t="s">
        <v>11803</v>
      </c>
      <c r="F1717" t="s">
        <v>7672</v>
      </c>
      <c r="G1717" t="s">
        <v>11804</v>
      </c>
      <c r="H1717" t="s">
        <v>7674</v>
      </c>
      <c r="I1717" t="s">
        <v>11808</v>
      </c>
      <c r="J1717" t="s">
        <v>131</v>
      </c>
    </row>
    <row r="1718" spans="1:10" x14ac:dyDescent="0.25">
      <c r="A1718" t="s">
        <v>11809</v>
      </c>
      <c r="B1718">
        <v>7.4960000000000004</v>
      </c>
      <c r="C1718" t="s">
        <v>11810</v>
      </c>
      <c r="D1718" t="s">
        <v>1621</v>
      </c>
      <c r="E1718" t="s">
        <v>11803</v>
      </c>
      <c r="F1718" t="s">
        <v>7672</v>
      </c>
      <c r="G1718" t="s">
        <v>11804</v>
      </c>
      <c r="H1718" t="s">
        <v>7674</v>
      </c>
      <c r="I1718" t="s">
        <v>7945</v>
      </c>
      <c r="J1718" t="s">
        <v>269</v>
      </c>
    </row>
    <row r="1719" spans="1:10" x14ac:dyDescent="0.25">
      <c r="A1719" t="s">
        <v>11811</v>
      </c>
      <c r="B1719">
        <v>7.4960000000000004</v>
      </c>
      <c r="C1719" t="s">
        <v>11812</v>
      </c>
      <c r="D1719" t="s">
        <v>1097</v>
      </c>
      <c r="E1719" t="s">
        <v>11803</v>
      </c>
      <c r="F1719" t="s">
        <v>7672</v>
      </c>
      <c r="G1719" t="s">
        <v>11804</v>
      </c>
      <c r="H1719" t="s">
        <v>7674</v>
      </c>
      <c r="I1719" t="s">
        <v>11805</v>
      </c>
      <c r="J1719" t="s">
        <v>255</v>
      </c>
    </row>
    <row r="1720" spans="1:10" x14ac:dyDescent="0.25">
      <c r="A1720" t="s">
        <v>11813</v>
      </c>
      <c r="B1720">
        <v>7.4960000000000004</v>
      </c>
      <c r="C1720" t="s">
        <v>11814</v>
      </c>
      <c r="D1720" t="s">
        <v>4270</v>
      </c>
      <c r="E1720" t="s">
        <v>11803</v>
      </c>
      <c r="F1720" t="s">
        <v>7672</v>
      </c>
      <c r="G1720" t="s">
        <v>11804</v>
      </c>
      <c r="H1720" t="s">
        <v>7674</v>
      </c>
      <c r="I1720" t="s">
        <v>7945</v>
      </c>
      <c r="J1720" t="s">
        <v>255</v>
      </c>
    </row>
    <row r="1721" spans="1:10" x14ac:dyDescent="0.25">
      <c r="A1721" t="s">
        <v>11815</v>
      </c>
      <c r="B1721">
        <v>7.4960000000000004</v>
      </c>
      <c r="C1721" t="s">
        <v>11816</v>
      </c>
      <c r="D1721" t="s">
        <v>786</v>
      </c>
      <c r="E1721" t="s">
        <v>11803</v>
      </c>
      <c r="F1721" t="s">
        <v>7672</v>
      </c>
      <c r="G1721" t="s">
        <v>11804</v>
      </c>
      <c r="H1721" t="s">
        <v>7674</v>
      </c>
      <c r="I1721" t="s">
        <v>9245</v>
      </c>
      <c r="J1721" t="s">
        <v>255</v>
      </c>
    </row>
    <row r="1722" spans="1:10" x14ac:dyDescent="0.25">
      <c r="A1722" t="s">
        <v>11817</v>
      </c>
      <c r="B1722">
        <v>7.4960000000000004</v>
      </c>
      <c r="C1722" t="s">
        <v>11818</v>
      </c>
      <c r="D1722" t="s">
        <v>1965</v>
      </c>
      <c r="E1722" t="s">
        <v>11803</v>
      </c>
      <c r="F1722" t="s">
        <v>7672</v>
      </c>
      <c r="G1722" t="s">
        <v>11804</v>
      </c>
      <c r="H1722" t="s">
        <v>7674</v>
      </c>
      <c r="I1722" t="s">
        <v>76</v>
      </c>
      <c r="J1722" t="s">
        <v>255</v>
      </c>
    </row>
    <row r="1723" spans="1:10" x14ac:dyDescent="0.25">
      <c r="A1723" t="s">
        <v>11819</v>
      </c>
      <c r="B1723">
        <v>7.4960000000000004</v>
      </c>
      <c r="C1723" t="s">
        <v>11820</v>
      </c>
      <c r="D1723" t="s">
        <v>613</v>
      </c>
      <c r="E1723" t="s">
        <v>11803</v>
      </c>
      <c r="F1723" t="s">
        <v>7672</v>
      </c>
      <c r="G1723" t="s">
        <v>11804</v>
      </c>
      <c r="H1723" t="s">
        <v>7674</v>
      </c>
      <c r="I1723" t="s">
        <v>7945</v>
      </c>
      <c r="J1723" t="s">
        <v>277</v>
      </c>
    </row>
    <row r="1724" spans="1:10" x14ac:dyDescent="0.25">
      <c r="A1724" t="s">
        <v>11821</v>
      </c>
      <c r="B1724">
        <v>7.4960000000000004</v>
      </c>
      <c r="C1724" t="s">
        <v>11822</v>
      </c>
      <c r="D1724" t="s">
        <v>776</v>
      </c>
      <c r="E1724" t="s">
        <v>11803</v>
      </c>
      <c r="F1724" t="s">
        <v>7672</v>
      </c>
      <c r="G1724" t="s">
        <v>11804</v>
      </c>
      <c r="H1724" t="s">
        <v>7674</v>
      </c>
      <c r="I1724" t="s">
        <v>9245</v>
      </c>
      <c r="J1724" t="s">
        <v>277</v>
      </c>
    </row>
    <row r="1725" spans="1:10" x14ac:dyDescent="0.25">
      <c r="A1725" t="s">
        <v>11823</v>
      </c>
      <c r="B1725">
        <v>7.4960000000000004</v>
      </c>
      <c r="C1725" t="s">
        <v>11824</v>
      </c>
      <c r="D1725" t="s">
        <v>4924</v>
      </c>
      <c r="E1725" t="s">
        <v>11803</v>
      </c>
      <c r="F1725" t="s">
        <v>7672</v>
      </c>
      <c r="G1725" t="s">
        <v>11804</v>
      </c>
      <c r="H1725" t="s">
        <v>7674</v>
      </c>
      <c r="I1725" t="s">
        <v>7945</v>
      </c>
      <c r="J1725" t="s">
        <v>164</v>
      </c>
    </row>
    <row r="1726" spans="1:10" x14ac:dyDescent="0.25">
      <c r="A1726" t="s">
        <v>11825</v>
      </c>
      <c r="B1726">
        <v>7.4960000000000004</v>
      </c>
      <c r="C1726" t="s">
        <v>11826</v>
      </c>
      <c r="D1726" t="s">
        <v>199</v>
      </c>
      <c r="E1726" t="s">
        <v>11803</v>
      </c>
      <c r="F1726" t="s">
        <v>7672</v>
      </c>
      <c r="G1726" t="s">
        <v>11804</v>
      </c>
      <c r="H1726" t="s">
        <v>7674</v>
      </c>
      <c r="I1726" t="s">
        <v>7945</v>
      </c>
      <c r="J1726" t="s">
        <v>290</v>
      </c>
    </row>
    <row r="1727" spans="1:10" x14ac:dyDescent="0.25">
      <c r="A1727" t="s">
        <v>11827</v>
      </c>
      <c r="B1727">
        <v>7.4960000000000004</v>
      </c>
      <c r="C1727" t="s">
        <v>11828</v>
      </c>
      <c r="D1727" t="s">
        <v>2371</v>
      </c>
      <c r="E1727" t="s">
        <v>11803</v>
      </c>
      <c r="F1727" t="s">
        <v>7672</v>
      </c>
      <c r="G1727" t="s">
        <v>11804</v>
      </c>
      <c r="H1727" t="s">
        <v>7674</v>
      </c>
      <c r="I1727" t="s">
        <v>7945</v>
      </c>
      <c r="J1727" t="s">
        <v>95</v>
      </c>
    </row>
    <row r="1728" spans="1:10" x14ac:dyDescent="0.25">
      <c r="A1728" t="s">
        <v>11829</v>
      </c>
      <c r="B1728">
        <v>7.4960000000000004</v>
      </c>
      <c r="C1728" t="s">
        <v>11830</v>
      </c>
      <c r="D1728" t="s">
        <v>2253</v>
      </c>
      <c r="E1728" t="s">
        <v>11803</v>
      </c>
      <c r="F1728" t="s">
        <v>7672</v>
      </c>
      <c r="G1728" t="s">
        <v>11804</v>
      </c>
      <c r="H1728" t="s">
        <v>7674</v>
      </c>
      <c r="I1728" t="s">
        <v>11808</v>
      </c>
      <c r="J1728" t="s">
        <v>95</v>
      </c>
    </row>
    <row r="1729" spans="1:10" x14ac:dyDescent="0.25">
      <c r="A1729" t="s">
        <v>11831</v>
      </c>
      <c r="B1729">
        <v>13.2</v>
      </c>
      <c r="C1729" t="s">
        <v>11832</v>
      </c>
      <c r="D1729" t="s">
        <v>282</v>
      </c>
      <c r="E1729" t="s">
        <v>2705</v>
      </c>
      <c r="F1729" t="s">
        <v>7672</v>
      </c>
      <c r="G1729" t="s">
        <v>11833</v>
      </c>
      <c r="H1729" t="s">
        <v>11834</v>
      </c>
      <c r="I1729" t="s">
        <v>11835</v>
      </c>
      <c r="J1729" t="s">
        <v>11836</v>
      </c>
    </row>
    <row r="1730" spans="1:10" x14ac:dyDescent="0.25">
      <c r="A1730" t="s">
        <v>11837</v>
      </c>
      <c r="B1730">
        <v>13.2</v>
      </c>
      <c r="C1730" t="s">
        <v>11838</v>
      </c>
      <c r="D1730" t="s">
        <v>60</v>
      </c>
      <c r="E1730" t="s">
        <v>2705</v>
      </c>
      <c r="F1730" t="s">
        <v>7672</v>
      </c>
      <c r="G1730" t="s">
        <v>11833</v>
      </c>
      <c r="H1730" t="s">
        <v>11834</v>
      </c>
      <c r="I1730" t="s">
        <v>11839</v>
      </c>
      <c r="J1730" t="s">
        <v>11836</v>
      </c>
    </row>
    <row r="1731" spans="1:10" x14ac:dyDescent="0.25">
      <c r="A1731" t="s">
        <v>11840</v>
      </c>
      <c r="B1731">
        <v>13.2</v>
      </c>
      <c r="C1731" t="s">
        <v>11841</v>
      </c>
      <c r="D1731" t="s">
        <v>269</v>
      </c>
      <c r="E1731" t="s">
        <v>2705</v>
      </c>
      <c r="F1731" t="s">
        <v>7672</v>
      </c>
      <c r="G1731" t="s">
        <v>11833</v>
      </c>
      <c r="H1731" t="s">
        <v>11834</v>
      </c>
      <c r="I1731" t="s">
        <v>11842</v>
      </c>
      <c r="J1731" t="s">
        <v>11836</v>
      </c>
    </row>
    <row r="1732" spans="1:10" x14ac:dyDescent="0.25">
      <c r="A1732" t="s">
        <v>2702</v>
      </c>
      <c r="B1732">
        <v>13.2</v>
      </c>
      <c r="C1732" t="s">
        <v>2704</v>
      </c>
      <c r="D1732" t="s">
        <v>199</v>
      </c>
      <c r="E1732" t="s">
        <v>2705</v>
      </c>
      <c r="F1732" t="s">
        <v>7672</v>
      </c>
      <c r="G1732" t="s">
        <v>11833</v>
      </c>
      <c r="H1732" t="s">
        <v>11834</v>
      </c>
      <c r="I1732" t="s">
        <v>278</v>
      </c>
      <c r="J1732" t="s">
        <v>11836</v>
      </c>
    </row>
    <row r="1733" spans="1:10" x14ac:dyDescent="0.25">
      <c r="A1733" t="s">
        <v>11843</v>
      </c>
      <c r="B1733">
        <v>13.2</v>
      </c>
      <c r="C1733" t="s">
        <v>11844</v>
      </c>
      <c r="D1733" t="s">
        <v>2697</v>
      </c>
      <c r="E1733" t="s">
        <v>2705</v>
      </c>
      <c r="F1733" t="s">
        <v>7672</v>
      </c>
      <c r="G1733" t="s">
        <v>11833</v>
      </c>
      <c r="H1733" t="s">
        <v>11834</v>
      </c>
      <c r="I1733" t="s">
        <v>2731</v>
      </c>
      <c r="J1733" t="s">
        <v>11836</v>
      </c>
    </row>
    <row r="1734" spans="1:10" x14ac:dyDescent="0.25">
      <c r="A1734" t="s">
        <v>2708</v>
      </c>
      <c r="B1734">
        <v>13.2</v>
      </c>
      <c r="C1734" t="s">
        <v>2710</v>
      </c>
      <c r="D1734" t="s">
        <v>964</v>
      </c>
      <c r="E1734" t="s">
        <v>2705</v>
      </c>
      <c r="F1734" t="s">
        <v>7672</v>
      </c>
      <c r="G1734" t="s">
        <v>11833</v>
      </c>
      <c r="H1734" t="s">
        <v>11834</v>
      </c>
      <c r="I1734" t="s">
        <v>11845</v>
      </c>
      <c r="J1734" t="s">
        <v>11836</v>
      </c>
    </row>
    <row r="1735" spans="1:10" x14ac:dyDescent="0.25">
      <c r="A1735" t="s">
        <v>2714</v>
      </c>
      <c r="B1735">
        <v>13.2</v>
      </c>
      <c r="C1735" t="s">
        <v>2716</v>
      </c>
      <c r="D1735" t="s">
        <v>164</v>
      </c>
      <c r="E1735" t="s">
        <v>2705</v>
      </c>
      <c r="F1735" t="s">
        <v>7672</v>
      </c>
      <c r="G1735" t="s">
        <v>11833</v>
      </c>
      <c r="H1735" t="s">
        <v>11834</v>
      </c>
      <c r="I1735" t="s">
        <v>76</v>
      </c>
      <c r="J1735" t="s">
        <v>11836</v>
      </c>
    </row>
    <row r="1736" spans="1:10" x14ac:dyDescent="0.25">
      <c r="A1736" t="s">
        <v>2720</v>
      </c>
      <c r="B1736">
        <v>13.2</v>
      </c>
      <c r="C1736" t="s">
        <v>2722</v>
      </c>
      <c r="D1736" t="s">
        <v>199</v>
      </c>
      <c r="E1736" t="s">
        <v>2705</v>
      </c>
      <c r="F1736" t="s">
        <v>7672</v>
      </c>
      <c r="G1736" t="s">
        <v>11833</v>
      </c>
      <c r="H1736" t="s">
        <v>11834</v>
      </c>
      <c r="I1736" t="s">
        <v>2725</v>
      </c>
      <c r="J1736" t="s">
        <v>11836</v>
      </c>
    </row>
    <row r="1737" spans="1:10" x14ac:dyDescent="0.25">
      <c r="A1737" t="s">
        <v>2726</v>
      </c>
      <c r="B1737">
        <v>13.2</v>
      </c>
      <c r="C1737" t="s">
        <v>2728</v>
      </c>
      <c r="D1737" t="s">
        <v>60</v>
      </c>
      <c r="E1737" t="s">
        <v>2705</v>
      </c>
      <c r="F1737" t="s">
        <v>7672</v>
      </c>
      <c r="G1737" t="s">
        <v>11833</v>
      </c>
      <c r="H1737" t="s">
        <v>11834</v>
      </c>
      <c r="I1737" t="s">
        <v>2731</v>
      </c>
      <c r="J1737" t="s">
        <v>11846</v>
      </c>
    </row>
    <row r="1738" spans="1:10" x14ac:dyDescent="0.25">
      <c r="A1738" t="s">
        <v>11847</v>
      </c>
      <c r="B1738">
        <v>13.2</v>
      </c>
      <c r="C1738" t="s">
        <v>11848</v>
      </c>
      <c r="D1738" t="s">
        <v>2253</v>
      </c>
      <c r="E1738" t="s">
        <v>2705</v>
      </c>
      <c r="F1738" t="s">
        <v>7672</v>
      </c>
      <c r="G1738" t="s">
        <v>11833</v>
      </c>
      <c r="H1738" t="s">
        <v>11834</v>
      </c>
      <c r="I1738" t="s">
        <v>11849</v>
      </c>
      <c r="J1738" t="s">
        <v>11850</v>
      </c>
    </row>
    <row r="1739" spans="1:10" x14ac:dyDescent="0.25">
      <c r="A1739" t="s">
        <v>2732</v>
      </c>
      <c r="B1739">
        <v>13.2</v>
      </c>
      <c r="C1739" t="s">
        <v>2734</v>
      </c>
      <c r="D1739" t="s">
        <v>2736</v>
      </c>
      <c r="E1739" t="s">
        <v>2705</v>
      </c>
      <c r="F1739" t="s">
        <v>7672</v>
      </c>
      <c r="G1739" t="s">
        <v>11833</v>
      </c>
      <c r="H1739" t="s">
        <v>11834</v>
      </c>
      <c r="I1739" t="s">
        <v>278</v>
      </c>
      <c r="J1739" t="s">
        <v>11850</v>
      </c>
    </row>
    <row r="1740" spans="1:10" x14ac:dyDescent="0.25">
      <c r="A1740" t="s">
        <v>11851</v>
      </c>
      <c r="B1740">
        <v>12</v>
      </c>
      <c r="C1740" t="s">
        <v>11852</v>
      </c>
      <c r="D1740" t="s">
        <v>88</v>
      </c>
      <c r="E1740" t="s">
        <v>2705</v>
      </c>
      <c r="F1740" t="s">
        <v>7672</v>
      </c>
      <c r="G1740" t="s">
        <v>11833</v>
      </c>
      <c r="H1740" t="s">
        <v>11834</v>
      </c>
      <c r="I1740" t="s">
        <v>11853</v>
      </c>
      <c r="J1740" t="s">
        <v>11850</v>
      </c>
    </row>
    <row r="1741" spans="1:10" x14ac:dyDescent="0.25">
      <c r="A1741" t="s">
        <v>11854</v>
      </c>
      <c r="B1741">
        <v>13.2</v>
      </c>
      <c r="C1741" t="s">
        <v>11855</v>
      </c>
      <c r="D1741" t="s">
        <v>3253</v>
      </c>
      <c r="E1741" t="s">
        <v>2705</v>
      </c>
      <c r="F1741" t="s">
        <v>7672</v>
      </c>
      <c r="G1741" t="s">
        <v>11833</v>
      </c>
      <c r="H1741" t="s">
        <v>11834</v>
      </c>
      <c r="I1741" t="s">
        <v>11835</v>
      </c>
      <c r="J1741" t="s">
        <v>11850</v>
      </c>
    </row>
    <row r="1742" spans="1:10" x14ac:dyDescent="0.25">
      <c r="A1742" t="s">
        <v>11856</v>
      </c>
      <c r="B1742">
        <v>12</v>
      </c>
      <c r="C1742" t="s">
        <v>11857</v>
      </c>
      <c r="D1742" t="s">
        <v>2697</v>
      </c>
      <c r="E1742" t="s">
        <v>2705</v>
      </c>
      <c r="F1742" t="s">
        <v>7672</v>
      </c>
      <c r="G1742" t="s">
        <v>11833</v>
      </c>
      <c r="H1742" t="s">
        <v>11834</v>
      </c>
      <c r="I1742" t="s">
        <v>11842</v>
      </c>
      <c r="J1742" t="s">
        <v>11850</v>
      </c>
    </row>
    <row r="1743" spans="1:10" x14ac:dyDescent="0.25">
      <c r="A1743" t="s">
        <v>11858</v>
      </c>
      <c r="B1743">
        <v>13.2</v>
      </c>
      <c r="C1743" t="s">
        <v>11859</v>
      </c>
      <c r="D1743" t="s">
        <v>903</v>
      </c>
      <c r="E1743" t="s">
        <v>2705</v>
      </c>
      <c r="F1743" t="s">
        <v>7672</v>
      </c>
      <c r="G1743" t="s">
        <v>11833</v>
      </c>
      <c r="H1743" t="s">
        <v>11834</v>
      </c>
      <c r="I1743" t="s">
        <v>11860</v>
      </c>
      <c r="J1743" t="s">
        <v>11850</v>
      </c>
    </row>
    <row r="1744" spans="1:10" x14ac:dyDescent="0.25">
      <c r="A1744" t="s">
        <v>11861</v>
      </c>
      <c r="B1744">
        <v>13.2</v>
      </c>
      <c r="C1744" t="s">
        <v>11862</v>
      </c>
      <c r="D1744" t="s">
        <v>277</v>
      </c>
      <c r="E1744" t="s">
        <v>2705</v>
      </c>
      <c r="F1744" t="s">
        <v>7672</v>
      </c>
      <c r="G1744" t="s">
        <v>11833</v>
      </c>
      <c r="H1744" t="s">
        <v>11834</v>
      </c>
      <c r="I1744" t="s">
        <v>11863</v>
      </c>
      <c r="J1744" t="s">
        <v>11850</v>
      </c>
    </row>
    <row r="1745" spans="1:10" x14ac:dyDescent="0.25">
      <c r="A1745" t="s">
        <v>11864</v>
      </c>
      <c r="B1745">
        <v>13.2</v>
      </c>
      <c r="C1745" t="s">
        <v>11865</v>
      </c>
      <c r="D1745" t="s">
        <v>849</v>
      </c>
      <c r="E1745" t="s">
        <v>2705</v>
      </c>
      <c r="F1745" t="s">
        <v>7672</v>
      </c>
      <c r="G1745" t="s">
        <v>11833</v>
      </c>
      <c r="H1745" t="s">
        <v>11834</v>
      </c>
      <c r="I1745" t="s">
        <v>11866</v>
      </c>
      <c r="J1745" t="s">
        <v>11850</v>
      </c>
    </row>
    <row r="1746" spans="1:10" x14ac:dyDescent="0.25">
      <c r="A1746" t="s">
        <v>11867</v>
      </c>
      <c r="B1746">
        <v>12</v>
      </c>
      <c r="C1746" t="s">
        <v>11868</v>
      </c>
      <c r="D1746" t="s">
        <v>282</v>
      </c>
      <c r="E1746" t="s">
        <v>2705</v>
      </c>
      <c r="F1746" t="s">
        <v>7672</v>
      </c>
      <c r="G1746" t="s">
        <v>11833</v>
      </c>
      <c r="H1746" t="s">
        <v>11834</v>
      </c>
      <c r="I1746" t="s">
        <v>11869</v>
      </c>
      <c r="J1746" t="s">
        <v>11850</v>
      </c>
    </row>
    <row r="1747" spans="1:10" x14ac:dyDescent="0.25">
      <c r="A1747" t="s">
        <v>11870</v>
      </c>
      <c r="B1747">
        <v>13.2</v>
      </c>
      <c r="C1747" t="s">
        <v>11871</v>
      </c>
      <c r="D1747" t="s">
        <v>725</v>
      </c>
      <c r="E1747" t="s">
        <v>2705</v>
      </c>
      <c r="F1747" t="s">
        <v>7672</v>
      </c>
      <c r="G1747" t="s">
        <v>11833</v>
      </c>
      <c r="H1747" t="s">
        <v>11834</v>
      </c>
      <c r="I1747" t="s">
        <v>11872</v>
      </c>
      <c r="J1747" t="s">
        <v>11850</v>
      </c>
    </row>
    <row r="1748" spans="1:10" x14ac:dyDescent="0.25">
      <c r="A1748" t="s">
        <v>11873</v>
      </c>
      <c r="B1748">
        <v>13.2</v>
      </c>
      <c r="C1748" t="s">
        <v>11874</v>
      </c>
      <c r="D1748" t="s">
        <v>964</v>
      </c>
      <c r="E1748" t="s">
        <v>2705</v>
      </c>
      <c r="F1748" t="s">
        <v>7672</v>
      </c>
      <c r="G1748" t="s">
        <v>11833</v>
      </c>
      <c r="H1748" t="s">
        <v>11834</v>
      </c>
      <c r="I1748" t="s">
        <v>11875</v>
      </c>
      <c r="J1748" t="s">
        <v>11850</v>
      </c>
    </row>
    <row r="1749" spans="1:10" x14ac:dyDescent="0.25">
      <c r="A1749" t="s">
        <v>2739</v>
      </c>
      <c r="B1749">
        <v>13.2</v>
      </c>
      <c r="C1749" t="s">
        <v>2741</v>
      </c>
      <c r="D1749" t="s">
        <v>2248</v>
      </c>
      <c r="E1749" t="s">
        <v>2705</v>
      </c>
      <c r="F1749" t="s">
        <v>7672</v>
      </c>
      <c r="G1749" t="s">
        <v>11833</v>
      </c>
      <c r="H1749" t="s">
        <v>11834</v>
      </c>
      <c r="I1749" t="s">
        <v>2725</v>
      </c>
      <c r="J1749" t="s">
        <v>11850</v>
      </c>
    </row>
    <row r="1750" spans="1:10" x14ac:dyDescent="0.25">
      <c r="A1750" t="s">
        <v>11876</v>
      </c>
      <c r="B1750">
        <v>13.2</v>
      </c>
      <c r="C1750" t="s">
        <v>11877</v>
      </c>
      <c r="D1750" t="s">
        <v>53</v>
      </c>
      <c r="E1750" t="s">
        <v>2705</v>
      </c>
      <c r="F1750" t="s">
        <v>7672</v>
      </c>
      <c r="G1750" t="s">
        <v>11833</v>
      </c>
      <c r="H1750" t="s">
        <v>11834</v>
      </c>
      <c r="I1750" t="s">
        <v>11878</v>
      </c>
      <c r="J1750" t="s">
        <v>11850</v>
      </c>
    </row>
    <row r="1751" spans="1:10" x14ac:dyDescent="0.25">
      <c r="A1751" t="s">
        <v>11879</v>
      </c>
      <c r="B1751">
        <v>13.2</v>
      </c>
      <c r="C1751" t="s">
        <v>11880</v>
      </c>
      <c r="D1751" t="s">
        <v>2056</v>
      </c>
      <c r="E1751" t="s">
        <v>2705</v>
      </c>
      <c r="F1751" t="s">
        <v>7672</v>
      </c>
      <c r="G1751" t="s">
        <v>11833</v>
      </c>
      <c r="H1751" t="s">
        <v>11834</v>
      </c>
      <c r="I1751" t="s">
        <v>11881</v>
      </c>
      <c r="J1751" t="s">
        <v>11850</v>
      </c>
    </row>
    <row r="1752" spans="1:10" x14ac:dyDescent="0.25">
      <c r="A1752" t="s">
        <v>11882</v>
      </c>
      <c r="B1752">
        <v>13.2</v>
      </c>
      <c r="C1752" t="s">
        <v>11883</v>
      </c>
      <c r="D1752" t="s">
        <v>4804</v>
      </c>
      <c r="E1752" t="s">
        <v>2705</v>
      </c>
      <c r="F1752" t="s">
        <v>7672</v>
      </c>
      <c r="G1752" t="s">
        <v>11833</v>
      </c>
      <c r="H1752" t="s">
        <v>11834</v>
      </c>
      <c r="I1752" t="s">
        <v>2731</v>
      </c>
      <c r="J1752" t="s">
        <v>11850</v>
      </c>
    </row>
    <row r="1753" spans="1:10" x14ac:dyDescent="0.25">
      <c r="A1753" t="s">
        <v>11884</v>
      </c>
      <c r="B1753">
        <v>13.2</v>
      </c>
      <c r="C1753" t="s">
        <v>11885</v>
      </c>
      <c r="D1753" t="s">
        <v>3184</v>
      </c>
      <c r="E1753" t="s">
        <v>2705</v>
      </c>
      <c r="F1753" t="s">
        <v>7672</v>
      </c>
      <c r="G1753" t="s">
        <v>11833</v>
      </c>
      <c r="H1753" t="s">
        <v>11834</v>
      </c>
      <c r="I1753" t="s">
        <v>11886</v>
      </c>
      <c r="J1753" t="s">
        <v>11850</v>
      </c>
    </row>
    <row r="1754" spans="1:10" x14ac:dyDescent="0.25">
      <c r="A1754" t="s">
        <v>11887</v>
      </c>
      <c r="B1754">
        <v>13.2</v>
      </c>
      <c r="C1754" t="s">
        <v>11888</v>
      </c>
      <c r="D1754" t="s">
        <v>576</v>
      </c>
      <c r="E1754" t="s">
        <v>2705</v>
      </c>
      <c r="F1754" t="s">
        <v>7672</v>
      </c>
      <c r="G1754" t="s">
        <v>11833</v>
      </c>
      <c r="H1754" t="s">
        <v>11834</v>
      </c>
      <c r="I1754" t="s">
        <v>11839</v>
      </c>
      <c r="J1754" t="s">
        <v>11850</v>
      </c>
    </row>
    <row r="1755" spans="1:10" x14ac:dyDescent="0.25">
      <c r="A1755" t="s">
        <v>2744</v>
      </c>
      <c r="B1755">
        <v>13.2</v>
      </c>
      <c r="C1755" t="s">
        <v>2746</v>
      </c>
      <c r="D1755" t="s">
        <v>2747</v>
      </c>
      <c r="E1755" t="s">
        <v>2705</v>
      </c>
      <c r="F1755" t="s">
        <v>7672</v>
      </c>
      <c r="G1755" t="s">
        <v>11833</v>
      </c>
      <c r="H1755" t="s">
        <v>11834</v>
      </c>
      <c r="I1755" t="s">
        <v>11845</v>
      </c>
      <c r="J1755" t="s">
        <v>11850</v>
      </c>
    </row>
    <row r="1756" spans="1:10" x14ac:dyDescent="0.25">
      <c r="A1756" t="s">
        <v>2749</v>
      </c>
      <c r="B1756">
        <v>13.2</v>
      </c>
      <c r="C1756" t="s">
        <v>2751</v>
      </c>
      <c r="D1756" t="s">
        <v>2753</v>
      </c>
      <c r="E1756" t="s">
        <v>2705</v>
      </c>
      <c r="F1756" t="s">
        <v>7672</v>
      </c>
      <c r="G1756" t="s">
        <v>11833</v>
      </c>
      <c r="H1756" t="s">
        <v>11834</v>
      </c>
      <c r="I1756" t="s">
        <v>76</v>
      </c>
      <c r="J1756" t="s">
        <v>11850</v>
      </c>
    </row>
    <row r="1757" spans="1:10" x14ac:dyDescent="0.25">
      <c r="A1757" t="s">
        <v>11889</v>
      </c>
      <c r="B1757">
        <v>13.2</v>
      </c>
      <c r="C1757" t="s">
        <v>11890</v>
      </c>
      <c r="D1757" t="s">
        <v>436</v>
      </c>
      <c r="E1757" t="s">
        <v>2705</v>
      </c>
      <c r="F1757" t="s">
        <v>7672</v>
      </c>
      <c r="G1757" t="s">
        <v>11833</v>
      </c>
      <c r="H1757" t="s">
        <v>11834</v>
      </c>
      <c r="I1757" t="s">
        <v>11891</v>
      </c>
      <c r="J1757" t="s">
        <v>11850</v>
      </c>
    </row>
    <row r="1758" spans="1:10" x14ac:dyDescent="0.25">
      <c r="A1758" t="s">
        <v>11892</v>
      </c>
      <c r="B1758">
        <v>13.2</v>
      </c>
      <c r="C1758" t="s">
        <v>11893</v>
      </c>
      <c r="D1758" t="s">
        <v>290</v>
      </c>
      <c r="E1758" t="s">
        <v>2705</v>
      </c>
      <c r="F1758" t="s">
        <v>7672</v>
      </c>
      <c r="G1758" t="s">
        <v>11833</v>
      </c>
      <c r="H1758" t="s">
        <v>11834</v>
      </c>
      <c r="I1758" t="s">
        <v>11839</v>
      </c>
      <c r="J1758" t="s">
        <v>11894</v>
      </c>
    </row>
    <row r="1759" spans="1:10" x14ac:dyDescent="0.25">
      <c r="A1759" t="s">
        <v>11895</v>
      </c>
      <c r="B1759">
        <v>13.2</v>
      </c>
      <c r="C1759" t="s">
        <v>11896</v>
      </c>
      <c r="D1759" t="s">
        <v>277</v>
      </c>
      <c r="E1759" t="s">
        <v>2705</v>
      </c>
      <c r="F1759" t="s">
        <v>7672</v>
      </c>
      <c r="G1759" t="s">
        <v>11833</v>
      </c>
      <c r="H1759" t="s">
        <v>11834</v>
      </c>
      <c r="I1759" t="s">
        <v>11835</v>
      </c>
      <c r="J1759" t="s">
        <v>11894</v>
      </c>
    </row>
    <row r="1760" spans="1:10" x14ac:dyDescent="0.25">
      <c r="A1760" t="s">
        <v>11897</v>
      </c>
      <c r="B1760">
        <v>13.2</v>
      </c>
      <c r="C1760" t="s">
        <v>11898</v>
      </c>
      <c r="D1760" t="s">
        <v>742</v>
      </c>
      <c r="E1760" t="s">
        <v>2705</v>
      </c>
      <c r="F1760" t="s">
        <v>7672</v>
      </c>
      <c r="G1760" t="s">
        <v>11833</v>
      </c>
      <c r="H1760" t="s">
        <v>11834</v>
      </c>
      <c r="I1760" t="s">
        <v>11842</v>
      </c>
      <c r="J1760" t="s">
        <v>11894</v>
      </c>
    </row>
    <row r="1761" spans="1:10" x14ac:dyDescent="0.25">
      <c r="A1761" t="s">
        <v>11899</v>
      </c>
      <c r="B1761">
        <v>13.2</v>
      </c>
      <c r="C1761" t="s">
        <v>11900</v>
      </c>
      <c r="D1761" t="s">
        <v>396</v>
      </c>
      <c r="E1761" t="s">
        <v>2705</v>
      </c>
      <c r="F1761" t="s">
        <v>7672</v>
      </c>
      <c r="G1761" t="s">
        <v>11833</v>
      </c>
      <c r="H1761" t="s">
        <v>11834</v>
      </c>
      <c r="I1761" t="s">
        <v>2731</v>
      </c>
      <c r="J1761" t="s">
        <v>11894</v>
      </c>
    </row>
    <row r="1762" spans="1:10" x14ac:dyDescent="0.25">
      <c r="A1762" t="s">
        <v>2755</v>
      </c>
      <c r="B1762">
        <v>13.2</v>
      </c>
      <c r="C1762" t="s">
        <v>2757</v>
      </c>
      <c r="D1762" t="s">
        <v>926</v>
      </c>
      <c r="E1762" t="s">
        <v>2705</v>
      </c>
      <c r="F1762" t="s">
        <v>7672</v>
      </c>
      <c r="G1762" t="s">
        <v>11833</v>
      </c>
      <c r="H1762" t="s">
        <v>11834</v>
      </c>
      <c r="I1762" t="s">
        <v>11845</v>
      </c>
      <c r="J1762" t="s">
        <v>11894</v>
      </c>
    </row>
    <row r="1763" spans="1:10" x14ac:dyDescent="0.25">
      <c r="A1763" t="s">
        <v>11901</v>
      </c>
      <c r="B1763">
        <v>13.2</v>
      </c>
      <c r="C1763" t="s">
        <v>11902</v>
      </c>
      <c r="D1763" t="s">
        <v>277</v>
      </c>
      <c r="E1763" t="s">
        <v>2705</v>
      </c>
      <c r="F1763" t="s">
        <v>7672</v>
      </c>
      <c r="G1763" t="s">
        <v>11833</v>
      </c>
      <c r="H1763" t="s">
        <v>11834</v>
      </c>
      <c r="I1763" t="s">
        <v>11869</v>
      </c>
      <c r="J1763" t="s">
        <v>11894</v>
      </c>
    </row>
    <row r="1764" spans="1:10" x14ac:dyDescent="0.25">
      <c r="A1764" t="s">
        <v>2759</v>
      </c>
      <c r="B1764">
        <v>13.2</v>
      </c>
      <c r="C1764" t="s">
        <v>2761</v>
      </c>
      <c r="D1764" t="s">
        <v>2762</v>
      </c>
      <c r="E1764" t="s">
        <v>2705</v>
      </c>
      <c r="F1764" t="s">
        <v>7672</v>
      </c>
      <c r="G1764" t="s">
        <v>11833</v>
      </c>
      <c r="H1764" t="s">
        <v>11834</v>
      </c>
      <c r="I1764" t="s">
        <v>76</v>
      </c>
      <c r="J1764" t="s">
        <v>11894</v>
      </c>
    </row>
    <row r="1765" spans="1:10" x14ac:dyDescent="0.25">
      <c r="A1765" t="s">
        <v>2763</v>
      </c>
      <c r="B1765">
        <v>13.2</v>
      </c>
      <c r="C1765" t="s">
        <v>2765</v>
      </c>
      <c r="D1765" t="s">
        <v>245</v>
      </c>
      <c r="E1765" t="s">
        <v>2705</v>
      </c>
      <c r="F1765" t="s">
        <v>7672</v>
      </c>
      <c r="G1765" t="s">
        <v>11833</v>
      </c>
      <c r="H1765" t="s">
        <v>11834</v>
      </c>
      <c r="I1765" t="s">
        <v>2725</v>
      </c>
      <c r="J1765" t="s">
        <v>11894</v>
      </c>
    </row>
    <row r="1766" spans="1:10" x14ac:dyDescent="0.25">
      <c r="A1766" t="s">
        <v>11903</v>
      </c>
      <c r="B1766">
        <v>13.2</v>
      </c>
      <c r="C1766" t="s">
        <v>11904</v>
      </c>
      <c r="D1766" t="s">
        <v>269</v>
      </c>
      <c r="E1766" t="s">
        <v>2705</v>
      </c>
      <c r="F1766" t="s">
        <v>7672</v>
      </c>
      <c r="G1766" t="s">
        <v>11833</v>
      </c>
      <c r="H1766" t="s">
        <v>11834</v>
      </c>
      <c r="I1766" t="s">
        <v>11842</v>
      </c>
      <c r="J1766" t="s">
        <v>11905</v>
      </c>
    </row>
    <row r="1767" spans="1:10" x14ac:dyDescent="0.25">
      <c r="A1767" t="s">
        <v>11906</v>
      </c>
      <c r="B1767">
        <v>13.2</v>
      </c>
      <c r="C1767" t="s">
        <v>11907</v>
      </c>
      <c r="D1767" t="s">
        <v>1143</v>
      </c>
      <c r="E1767" t="s">
        <v>2705</v>
      </c>
      <c r="F1767" t="s">
        <v>7672</v>
      </c>
      <c r="G1767" t="s">
        <v>11833</v>
      </c>
      <c r="H1767" t="s">
        <v>11834</v>
      </c>
      <c r="I1767" t="s">
        <v>2731</v>
      </c>
      <c r="J1767" t="s">
        <v>11905</v>
      </c>
    </row>
    <row r="1768" spans="1:10" x14ac:dyDescent="0.25">
      <c r="A1768" t="s">
        <v>11908</v>
      </c>
      <c r="B1768">
        <v>13.2</v>
      </c>
      <c r="C1768" t="s">
        <v>11909</v>
      </c>
      <c r="D1768" t="s">
        <v>164</v>
      </c>
      <c r="E1768" t="s">
        <v>2705</v>
      </c>
      <c r="F1768" t="s">
        <v>7672</v>
      </c>
      <c r="G1768" t="s">
        <v>11833</v>
      </c>
      <c r="H1768" t="s">
        <v>11834</v>
      </c>
      <c r="I1768" t="s">
        <v>11881</v>
      </c>
      <c r="J1768" t="s">
        <v>11910</v>
      </c>
    </row>
    <row r="1769" spans="1:10" x14ac:dyDescent="0.25">
      <c r="A1769" t="s">
        <v>11911</v>
      </c>
      <c r="B1769">
        <v>12</v>
      </c>
      <c r="C1769" t="s">
        <v>11912</v>
      </c>
      <c r="D1769" t="s">
        <v>100</v>
      </c>
      <c r="E1769" t="s">
        <v>2705</v>
      </c>
      <c r="F1769" t="s">
        <v>7672</v>
      </c>
      <c r="G1769" t="s">
        <v>11833</v>
      </c>
      <c r="H1769" t="s">
        <v>11834</v>
      </c>
      <c r="I1769" t="s">
        <v>11853</v>
      </c>
      <c r="J1769" t="s">
        <v>11910</v>
      </c>
    </row>
    <row r="1770" spans="1:10" x14ac:dyDescent="0.25">
      <c r="A1770" t="s">
        <v>2766</v>
      </c>
      <c r="B1770">
        <v>13.2</v>
      </c>
      <c r="C1770" t="s">
        <v>2768</v>
      </c>
      <c r="D1770" t="s">
        <v>516</v>
      </c>
      <c r="E1770" t="s">
        <v>2705</v>
      </c>
      <c r="F1770" t="s">
        <v>7672</v>
      </c>
      <c r="G1770" t="s">
        <v>11833</v>
      </c>
      <c r="H1770" t="s">
        <v>11834</v>
      </c>
      <c r="I1770" t="s">
        <v>278</v>
      </c>
      <c r="J1770" t="s">
        <v>11910</v>
      </c>
    </row>
    <row r="1771" spans="1:10" x14ac:dyDescent="0.25">
      <c r="A1771" t="s">
        <v>11913</v>
      </c>
      <c r="B1771">
        <v>13.2</v>
      </c>
      <c r="C1771" t="s">
        <v>11914</v>
      </c>
      <c r="D1771" t="s">
        <v>1822</v>
      </c>
      <c r="E1771" t="s">
        <v>2705</v>
      </c>
      <c r="F1771" t="s">
        <v>7672</v>
      </c>
      <c r="G1771" t="s">
        <v>11833</v>
      </c>
      <c r="H1771" t="s">
        <v>11834</v>
      </c>
      <c r="I1771" t="s">
        <v>11835</v>
      </c>
      <c r="J1771" t="s">
        <v>11910</v>
      </c>
    </row>
    <row r="1772" spans="1:10" x14ac:dyDescent="0.25">
      <c r="A1772" t="s">
        <v>11915</v>
      </c>
      <c r="B1772">
        <v>12</v>
      </c>
      <c r="C1772" t="s">
        <v>11916</v>
      </c>
      <c r="D1772" t="s">
        <v>582</v>
      </c>
      <c r="E1772" t="s">
        <v>2705</v>
      </c>
      <c r="F1772" t="s">
        <v>7672</v>
      </c>
      <c r="G1772" t="s">
        <v>11833</v>
      </c>
      <c r="H1772" t="s">
        <v>11834</v>
      </c>
      <c r="I1772" t="s">
        <v>11842</v>
      </c>
      <c r="J1772" t="s">
        <v>11910</v>
      </c>
    </row>
    <row r="1773" spans="1:10" x14ac:dyDescent="0.25">
      <c r="A1773" t="s">
        <v>11917</v>
      </c>
      <c r="B1773">
        <v>13.2</v>
      </c>
      <c r="C1773" t="s">
        <v>11918</v>
      </c>
      <c r="D1773" t="s">
        <v>1134</v>
      </c>
      <c r="E1773" t="s">
        <v>2705</v>
      </c>
      <c r="F1773" t="s">
        <v>7672</v>
      </c>
      <c r="G1773" t="s">
        <v>11833</v>
      </c>
      <c r="H1773" t="s">
        <v>11834</v>
      </c>
      <c r="I1773" t="s">
        <v>11863</v>
      </c>
      <c r="J1773" t="s">
        <v>11910</v>
      </c>
    </row>
    <row r="1774" spans="1:10" x14ac:dyDescent="0.25">
      <c r="A1774" t="s">
        <v>11919</v>
      </c>
      <c r="B1774">
        <v>13.2</v>
      </c>
      <c r="C1774" t="s">
        <v>11920</v>
      </c>
      <c r="D1774" t="s">
        <v>53</v>
      </c>
      <c r="E1774" t="s">
        <v>2705</v>
      </c>
      <c r="F1774" t="s">
        <v>7672</v>
      </c>
      <c r="G1774" t="s">
        <v>11833</v>
      </c>
      <c r="H1774" t="s">
        <v>11834</v>
      </c>
      <c r="I1774" t="s">
        <v>11921</v>
      </c>
      <c r="J1774" t="s">
        <v>11910</v>
      </c>
    </row>
    <row r="1775" spans="1:10" x14ac:dyDescent="0.25">
      <c r="A1775" t="s">
        <v>11922</v>
      </c>
      <c r="B1775">
        <v>12</v>
      </c>
      <c r="C1775" t="s">
        <v>11923</v>
      </c>
      <c r="D1775" t="s">
        <v>1143</v>
      </c>
      <c r="E1775" t="s">
        <v>2705</v>
      </c>
      <c r="F1775" t="s">
        <v>7672</v>
      </c>
      <c r="G1775" t="s">
        <v>11833</v>
      </c>
      <c r="H1775" t="s">
        <v>11834</v>
      </c>
      <c r="I1775" t="s">
        <v>11869</v>
      </c>
      <c r="J1775" t="s">
        <v>11910</v>
      </c>
    </row>
    <row r="1776" spans="1:10" x14ac:dyDescent="0.25">
      <c r="A1776" t="s">
        <v>11924</v>
      </c>
      <c r="B1776">
        <v>13.2</v>
      </c>
      <c r="C1776" t="s">
        <v>11925</v>
      </c>
      <c r="D1776" t="s">
        <v>330</v>
      </c>
      <c r="E1776" t="s">
        <v>2705</v>
      </c>
      <c r="F1776" t="s">
        <v>7672</v>
      </c>
      <c r="G1776" t="s">
        <v>11833</v>
      </c>
      <c r="H1776" t="s">
        <v>11834</v>
      </c>
      <c r="I1776" t="s">
        <v>11872</v>
      </c>
      <c r="J1776" t="s">
        <v>11910</v>
      </c>
    </row>
    <row r="1777" spans="1:10" x14ac:dyDescent="0.25">
      <c r="A1777" t="s">
        <v>11926</v>
      </c>
      <c r="B1777">
        <v>13.2</v>
      </c>
      <c r="C1777" t="s">
        <v>11927</v>
      </c>
      <c r="D1777" t="s">
        <v>4270</v>
      </c>
      <c r="E1777" t="s">
        <v>2705</v>
      </c>
      <c r="F1777" t="s">
        <v>7672</v>
      </c>
      <c r="G1777" t="s">
        <v>11833</v>
      </c>
      <c r="H1777" t="s">
        <v>11834</v>
      </c>
      <c r="I1777" t="s">
        <v>2731</v>
      </c>
      <c r="J1777" t="s">
        <v>11910</v>
      </c>
    </row>
    <row r="1778" spans="1:10" x14ac:dyDescent="0.25">
      <c r="A1778" t="s">
        <v>11928</v>
      </c>
      <c r="B1778">
        <v>13.2</v>
      </c>
      <c r="C1778" t="s">
        <v>11929</v>
      </c>
      <c r="D1778" t="s">
        <v>330</v>
      </c>
      <c r="E1778" t="s">
        <v>2705</v>
      </c>
      <c r="F1778" t="s">
        <v>7672</v>
      </c>
      <c r="G1778" t="s">
        <v>11833</v>
      </c>
      <c r="H1778" t="s">
        <v>11834</v>
      </c>
      <c r="I1778" t="s">
        <v>11886</v>
      </c>
      <c r="J1778" t="s">
        <v>11910</v>
      </c>
    </row>
    <row r="1779" spans="1:10" x14ac:dyDescent="0.25">
      <c r="A1779" t="s">
        <v>2770</v>
      </c>
      <c r="B1779">
        <v>13.2</v>
      </c>
      <c r="C1779" t="s">
        <v>2772</v>
      </c>
      <c r="D1779" t="s">
        <v>1014</v>
      </c>
      <c r="E1779" t="s">
        <v>2705</v>
      </c>
      <c r="F1779" t="s">
        <v>7672</v>
      </c>
      <c r="G1779" t="s">
        <v>11833</v>
      </c>
      <c r="H1779" t="s">
        <v>11834</v>
      </c>
      <c r="I1779" t="s">
        <v>11845</v>
      </c>
      <c r="J1779" t="s">
        <v>11910</v>
      </c>
    </row>
    <row r="1780" spans="1:10" x14ac:dyDescent="0.25">
      <c r="A1780" t="s">
        <v>2774</v>
      </c>
      <c r="B1780">
        <v>13.2</v>
      </c>
      <c r="C1780" t="s">
        <v>2776</v>
      </c>
      <c r="D1780" t="s">
        <v>865</v>
      </c>
      <c r="E1780" t="s">
        <v>2705</v>
      </c>
      <c r="F1780" t="s">
        <v>7672</v>
      </c>
      <c r="G1780" t="s">
        <v>11833</v>
      </c>
      <c r="H1780" t="s">
        <v>11834</v>
      </c>
      <c r="I1780" t="s">
        <v>76</v>
      </c>
      <c r="J1780" t="s">
        <v>11910</v>
      </c>
    </row>
    <row r="1781" spans="1:10" x14ac:dyDescent="0.25">
      <c r="A1781" t="s">
        <v>11930</v>
      </c>
      <c r="B1781">
        <v>13.2</v>
      </c>
      <c r="C1781" t="s">
        <v>11931</v>
      </c>
      <c r="D1781" t="s">
        <v>366</v>
      </c>
      <c r="E1781" t="s">
        <v>2705</v>
      </c>
      <c r="F1781" t="s">
        <v>7672</v>
      </c>
      <c r="G1781" t="s">
        <v>11833</v>
      </c>
      <c r="H1781" t="s">
        <v>11834</v>
      </c>
      <c r="I1781" t="s">
        <v>11839</v>
      </c>
      <c r="J1781" t="s">
        <v>11910</v>
      </c>
    </row>
    <row r="1782" spans="1:10" x14ac:dyDescent="0.25">
      <c r="A1782" t="s">
        <v>11932</v>
      </c>
      <c r="B1782">
        <v>13.2</v>
      </c>
      <c r="C1782" t="s">
        <v>11933</v>
      </c>
      <c r="D1782" t="s">
        <v>199</v>
      </c>
      <c r="E1782" t="s">
        <v>2705</v>
      </c>
      <c r="F1782" t="s">
        <v>7672</v>
      </c>
      <c r="G1782" t="s">
        <v>11833</v>
      </c>
      <c r="H1782" t="s">
        <v>11834</v>
      </c>
      <c r="I1782" t="s">
        <v>11839</v>
      </c>
      <c r="J1782" t="s">
        <v>11934</v>
      </c>
    </row>
    <row r="1783" spans="1:10" x14ac:dyDescent="0.25">
      <c r="A1783" t="s">
        <v>11935</v>
      </c>
      <c r="B1783">
        <v>13.2</v>
      </c>
      <c r="C1783" t="s">
        <v>11936</v>
      </c>
      <c r="D1783" t="s">
        <v>1822</v>
      </c>
      <c r="E1783" t="s">
        <v>2705</v>
      </c>
      <c r="F1783" t="s">
        <v>7672</v>
      </c>
      <c r="G1783" t="s">
        <v>11833</v>
      </c>
      <c r="H1783" t="s">
        <v>11834</v>
      </c>
      <c r="I1783" t="s">
        <v>11835</v>
      </c>
      <c r="J1783" t="s">
        <v>11934</v>
      </c>
    </row>
    <row r="1784" spans="1:10" x14ac:dyDescent="0.25">
      <c r="A1784" t="s">
        <v>11937</v>
      </c>
      <c r="B1784">
        <v>13.2</v>
      </c>
      <c r="C1784" t="s">
        <v>11938</v>
      </c>
      <c r="D1784" t="s">
        <v>250</v>
      </c>
      <c r="E1784" t="s">
        <v>2705</v>
      </c>
      <c r="F1784" t="s">
        <v>7672</v>
      </c>
      <c r="G1784" t="s">
        <v>11833</v>
      </c>
      <c r="H1784" t="s">
        <v>11834</v>
      </c>
      <c r="I1784" t="s">
        <v>11842</v>
      </c>
      <c r="J1784" t="s">
        <v>11934</v>
      </c>
    </row>
    <row r="1785" spans="1:10" x14ac:dyDescent="0.25">
      <c r="A1785" t="s">
        <v>11939</v>
      </c>
      <c r="B1785">
        <v>13.2</v>
      </c>
      <c r="C1785" t="s">
        <v>11940</v>
      </c>
      <c r="D1785" t="s">
        <v>3184</v>
      </c>
      <c r="E1785" t="s">
        <v>2705</v>
      </c>
      <c r="F1785" t="s">
        <v>7672</v>
      </c>
      <c r="G1785" t="s">
        <v>11833</v>
      </c>
      <c r="H1785" t="s">
        <v>11834</v>
      </c>
      <c r="I1785" t="s">
        <v>2731</v>
      </c>
      <c r="J1785" t="s">
        <v>11934</v>
      </c>
    </row>
    <row r="1786" spans="1:10" x14ac:dyDescent="0.25">
      <c r="A1786" t="s">
        <v>2777</v>
      </c>
      <c r="B1786">
        <v>13.2</v>
      </c>
      <c r="C1786" t="s">
        <v>2779</v>
      </c>
      <c r="D1786" t="s">
        <v>321</v>
      </c>
      <c r="E1786" t="s">
        <v>2705</v>
      </c>
      <c r="F1786" t="s">
        <v>7672</v>
      </c>
      <c r="G1786" t="s">
        <v>11833</v>
      </c>
      <c r="H1786" t="s">
        <v>11834</v>
      </c>
      <c r="I1786" t="s">
        <v>11845</v>
      </c>
      <c r="J1786" t="s">
        <v>11934</v>
      </c>
    </row>
    <row r="1787" spans="1:10" x14ac:dyDescent="0.25">
      <c r="A1787" t="s">
        <v>2780</v>
      </c>
      <c r="B1787">
        <v>13.2</v>
      </c>
      <c r="C1787" t="s">
        <v>2782</v>
      </c>
      <c r="D1787" t="s">
        <v>2783</v>
      </c>
      <c r="E1787" t="s">
        <v>2705</v>
      </c>
      <c r="F1787" t="s">
        <v>7672</v>
      </c>
      <c r="G1787" t="s">
        <v>11833</v>
      </c>
      <c r="H1787" t="s">
        <v>11834</v>
      </c>
      <c r="I1787" t="s">
        <v>76</v>
      </c>
      <c r="J1787" t="s">
        <v>11934</v>
      </c>
    </row>
    <row r="1788" spans="1:10" x14ac:dyDescent="0.25">
      <c r="A1788" t="s">
        <v>11941</v>
      </c>
      <c r="B1788">
        <v>13.2</v>
      </c>
      <c r="C1788" t="s">
        <v>11942</v>
      </c>
      <c r="D1788" t="s">
        <v>342</v>
      </c>
      <c r="E1788" t="s">
        <v>2705</v>
      </c>
      <c r="F1788" t="s">
        <v>7672</v>
      </c>
      <c r="G1788" t="s">
        <v>11833</v>
      </c>
      <c r="H1788" t="s">
        <v>11834</v>
      </c>
      <c r="I1788" t="s">
        <v>11863</v>
      </c>
      <c r="J1788" t="s">
        <v>11934</v>
      </c>
    </row>
    <row r="1789" spans="1:10" x14ac:dyDescent="0.25">
      <c r="A1789" t="s">
        <v>11943</v>
      </c>
      <c r="B1789">
        <v>13.2</v>
      </c>
      <c r="C1789" t="s">
        <v>11944</v>
      </c>
      <c r="D1789" t="s">
        <v>95</v>
      </c>
      <c r="E1789" t="s">
        <v>2705</v>
      </c>
      <c r="F1789" t="s">
        <v>7672</v>
      </c>
      <c r="G1789" t="s">
        <v>11833</v>
      </c>
      <c r="H1789" t="s">
        <v>11834</v>
      </c>
      <c r="I1789" t="s">
        <v>11869</v>
      </c>
      <c r="J1789" t="s">
        <v>11934</v>
      </c>
    </row>
    <row r="1790" spans="1:10" x14ac:dyDescent="0.25">
      <c r="A1790" t="s">
        <v>2784</v>
      </c>
      <c r="B1790">
        <v>13.2</v>
      </c>
      <c r="C1790" t="s">
        <v>2786</v>
      </c>
      <c r="D1790" t="s">
        <v>2787</v>
      </c>
      <c r="E1790" t="s">
        <v>2705</v>
      </c>
      <c r="F1790" t="s">
        <v>7672</v>
      </c>
      <c r="G1790" t="s">
        <v>11833</v>
      </c>
      <c r="H1790" t="s">
        <v>11834</v>
      </c>
      <c r="I1790" t="s">
        <v>2725</v>
      </c>
      <c r="J1790" t="s">
        <v>11934</v>
      </c>
    </row>
    <row r="1791" spans="1:10" x14ac:dyDescent="0.25">
      <c r="A1791" t="s">
        <v>11945</v>
      </c>
      <c r="B1791">
        <v>13.2</v>
      </c>
      <c r="C1791" t="s">
        <v>11946</v>
      </c>
      <c r="D1791" t="s">
        <v>100</v>
      </c>
      <c r="E1791" t="s">
        <v>2705</v>
      </c>
      <c r="F1791" t="s">
        <v>7672</v>
      </c>
      <c r="G1791" t="s">
        <v>11833</v>
      </c>
      <c r="H1791" t="s">
        <v>11834</v>
      </c>
      <c r="I1791" t="s">
        <v>11839</v>
      </c>
      <c r="J1791" t="s">
        <v>11947</v>
      </c>
    </row>
    <row r="1792" spans="1:10" x14ac:dyDescent="0.25">
      <c r="A1792" t="s">
        <v>11948</v>
      </c>
      <c r="B1792">
        <v>13.2</v>
      </c>
      <c r="C1792" t="s">
        <v>11949</v>
      </c>
      <c r="D1792" t="s">
        <v>436</v>
      </c>
      <c r="E1792" t="s">
        <v>2705</v>
      </c>
      <c r="F1792" t="s">
        <v>7672</v>
      </c>
      <c r="G1792" t="s">
        <v>11833</v>
      </c>
      <c r="H1792" t="s">
        <v>11834</v>
      </c>
      <c r="I1792" t="s">
        <v>2731</v>
      </c>
      <c r="J1792" t="s">
        <v>11947</v>
      </c>
    </row>
    <row r="1793" spans="1:10" x14ac:dyDescent="0.25">
      <c r="A1793" t="s">
        <v>2788</v>
      </c>
      <c r="B1793">
        <v>13.2</v>
      </c>
      <c r="C1793" t="s">
        <v>2790</v>
      </c>
      <c r="D1793" t="s">
        <v>913</v>
      </c>
      <c r="E1793" t="s">
        <v>2705</v>
      </c>
      <c r="F1793" t="s">
        <v>7672</v>
      </c>
      <c r="G1793" t="s">
        <v>11833</v>
      </c>
      <c r="H1793" t="s">
        <v>11834</v>
      </c>
      <c r="I1793" t="s">
        <v>76</v>
      </c>
      <c r="J1793" t="s">
        <v>11947</v>
      </c>
    </row>
    <row r="1794" spans="1:10" x14ac:dyDescent="0.25">
      <c r="A1794" t="s">
        <v>11950</v>
      </c>
      <c r="B1794">
        <v>13.2</v>
      </c>
      <c r="C1794" t="s">
        <v>11951</v>
      </c>
      <c r="D1794" t="s">
        <v>2022</v>
      </c>
      <c r="E1794" t="s">
        <v>2705</v>
      </c>
      <c r="F1794" t="s">
        <v>7672</v>
      </c>
      <c r="G1794" t="s">
        <v>11833</v>
      </c>
      <c r="H1794" t="s">
        <v>11834</v>
      </c>
      <c r="I1794" t="s">
        <v>11835</v>
      </c>
      <c r="J1794" t="s">
        <v>11952</v>
      </c>
    </row>
    <row r="1795" spans="1:10" x14ac:dyDescent="0.25">
      <c r="A1795" t="s">
        <v>11953</v>
      </c>
      <c r="B1795">
        <v>12</v>
      </c>
      <c r="C1795" t="s">
        <v>11954</v>
      </c>
      <c r="D1795" t="s">
        <v>250</v>
      </c>
      <c r="E1795" t="s">
        <v>2705</v>
      </c>
      <c r="F1795" t="s">
        <v>7672</v>
      </c>
      <c r="G1795" t="s">
        <v>11833</v>
      </c>
      <c r="H1795" t="s">
        <v>11834</v>
      </c>
      <c r="I1795" t="s">
        <v>11842</v>
      </c>
      <c r="J1795" t="s">
        <v>11952</v>
      </c>
    </row>
    <row r="1796" spans="1:10" x14ac:dyDescent="0.25">
      <c r="A1796" t="s">
        <v>11955</v>
      </c>
      <c r="B1796">
        <v>13.2</v>
      </c>
      <c r="C1796" t="s">
        <v>11956</v>
      </c>
      <c r="D1796" t="s">
        <v>352</v>
      </c>
      <c r="E1796" t="s">
        <v>2705</v>
      </c>
      <c r="F1796" t="s">
        <v>7672</v>
      </c>
      <c r="G1796" t="s">
        <v>11833</v>
      </c>
      <c r="H1796" t="s">
        <v>11834</v>
      </c>
      <c r="I1796" t="s">
        <v>11881</v>
      </c>
      <c r="J1796" t="s">
        <v>11952</v>
      </c>
    </row>
    <row r="1797" spans="1:10" x14ac:dyDescent="0.25">
      <c r="A1797" t="s">
        <v>11957</v>
      </c>
      <c r="B1797">
        <v>12</v>
      </c>
      <c r="C1797" t="s">
        <v>11958</v>
      </c>
      <c r="D1797" t="s">
        <v>60</v>
      </c>
      <c r="E1797" t="s">
        <v>2705</v>
      </c>
      <c r="F1797" t="s">
        <v>7672</v>
      </c>
      <c r="G1797" t="s">
        <v>11833</v>
      </c>
      <c r="H1797" t="s">
        <v>11834</v>
      </c>
      <c r="I1797" t="s">
        <v>11853</v>
      </c>
      <c r="J1797" t="s">
        <v>11952</v>
      </c>
    </row>
    <row r="1798" spans="1:10" x14ac:dyDescent="0.25">
      <c r="A1798" t="s">
        <v>2791</v>
      </c>
      <c r="B1798">
        <v>13.2</v>
      </c>
      <c r="C1798" t="s">
        <v>2793</v>
      </c>
      <c r="D1798" t="s">
        <v>835</v>
      </c>
      <c r="E1798" t="s">
        <v>2705</v>
      </c>
      <c r="F1798" t="s">
        <v>7672</v>
      </c>
      <c r="G1798" t="s">
        <v>11833</v>
      </c>
      <c r="H1798" t="s">
        <v>11834</v>
      </c>
      <c r="I1798" t="s">
        <v>278</v>
      </c>
      <c r="J1798" t="s">
        <v>11952</v>
      </c>
    </row>
    <row r="1799" spans="1:10" x14ac:dyDescent="0.25">
      <c r="A1799" t="s">
        <v>11959</v>
      </c>
      <c r="B1799">
        <v>13.2</v>
      </c>
      <c r="C1799" t="s">
        <v>11960</v>
      </c>
      <c r="D1799" t="s">
        <v>245</v>
      </c>
      <c r="E1799" t="s">
        <v>2705</v>
      </c>
      <c r="F1799" t="s">
        <v>7672</v>
      </c>
      <c r="G1799" t="s">
        <v>11833</v>
      </c>
      <c r="H1799" t="s">
        <v>11834</v>
      </c>
      <c r="I1799" t="s">
        <v>11863</v>
      </c>
      <c r="J1799" t="s">
        <v>11952</v>
      </c>
    </row>
    <row r="1800" spans="1:10" x14ac:dyDescent="0.25">
      <c r="A1800" t="s">
        <v>11961</v>
      </c>
      <c r="B1800">
        <v>13.2</v>
      </c>
      <c r="C1800" t="s">
        <v>11962</v>
      </c>
      <c r="D1800" t="s">
        <v>576</v>
      </c>
      <c r="E1800" t="s">
        <v>2705</v>
      </c>
      <c r="F1800" t="s">
        <v>7672</v>
      </c>
      <c r="G1800" t="s">
        <v>11833</v>
      </c>
      <c r="H1800" t="s">
        <v>11834</v>
      </c>
      <c r="I1800" t="s">
        <v>11921</v>
      </c>
      <c r="J1800" t="s">
        <v>11952</v>
      </c>
    </row>
    <row r="1801" spans="1:10" x14ac:dyDescent="0.25">
      <c r="A1801" t="s">
        <v>11963</v>
      </c>
      <c r="B1801">
        <v>12</v>
      </c>
      <c r="C1801" t="s">
        <v>11964</v>
      </c>
      <c r="D1801" t="s">
        <v>588</v>
      </c>
      <c r="E1801" t="s">
        <v>2705</v>
      </c>
      <c r="F1801" t="s">
        <v>7672</v>
      </c>
      <c r="G1801" t="s">
        <v>11833</v>
      </c>
      <c r="H1801" t="s">
        <v>11834</v>
      </c>
      <c r="I1801" t="s">
        <v>11869</v>
      </c>
      <c r="J1801" t="s">
        <v>11952</v>
      </c>
    </row>
    <row r="1802" spans="1:10" x14ac:dyDescent="0.25">
      <c r="A1802" t="s">
        <v>11965</v>
      </c>
      <c r="B1802">
        <v>13.2</v>
      </c>
      <c r="C1802" t="s">
        <v>11966</v>
      </c>
      <c r="D1802" t="s">
        <v>359</v>
      </c>
      <c r="E1802" t="s">
        <v>2705</v>
      </c>
      <c r="F1802" t="s">
        <v>7672</v>
      </c>
      <c r="G1802" t="s">
        <v>11833</v>
      </c>
      <c r="H1802" t="s">
        <v>11834</v>
      </c>
      <c r="I1802" t="s">
        <v>11872</v>
      </c>
      <c r="J1802" t="s">
        <v>11952</v>
      </c>
    </row>
    <row r="1803" spans="1:10" x14ac:dyDescent="0.25">
      <c r="A1803" t="s">
        <v>11967</v>
      </c>
      <c r="B1803">
        <v>13.2</v>
      </c>
      <c r="C1803" t="s">
        <v>11968</v>
      </c>
      <c r="D1803" t="s">
        <v>296</v>
      </c>
      <c r="E1803" t="s">
        <v>2705</v>
      </c>
      <c r="F1803" t="s">
        <v>7672</v>
      </c>
      <c r="G1803" t="s">
        <v>11833</v>
      </c>
      <c r="H1803" t="s">
        <v>11834</v>
      </c>
      <c r="I1803" t="s">
        <v>2731</v>
      </c>
      <c r="J1803" t="s">
        <v>11952</v>
      </c>
    </row>
    <row r="1804" spans="1:10" x14ac:dyDescent="0.25">
      <c r="A1804" t="s">
        <v>11969</v>
      </c>
      <c r="B1804">
        <v>13.2</v>
      </c>
      <c r="C1804" t="s">
        <v>11970</v>
      </c>
      <c r="D1804" t="s">
        <v>352</v>
      </c>
      <c r="E1804" t="s">
        <v>2705</v>
      </c>
      <c r="F1804" t="s">
        <v>7672</v>
      </c>
      <c r="G1804" t="s">
        <v>11833</v>
      </c>
      <c r="H1804" t="s">
        <v>11834</v>
      </c>
      <c r="I1804" t="s">
        <v>11886</v>
      </c>
      <c r="J1804" t="s">
        <v>11952</v>
      </c>
    </row>
    <row r="1805" spans="1:10" x14ac:dyDescent="0.25">
      <c r="A1805" t="s">
        <v>2794</v>
      </c>
      <c r="B1805">
        <v>13.2</v>
      </c>
      <c r="C1805" t="s">
        <v>2796</v>
      </c>
      <c r="D1805" t="s">
        <v>2797</v>
      </c>
      <c r="E1805" t="s">
        <v>2705</v>
      </c>
      <c r="F1805" t="s">
        <v>7672</v>
      </c>
      <c r="G1805" t="s">
        <v>11833</v>
      </c>
      <c r="H1805" t="s">
        <v>11834</v>
      </c>
      <c r="I1805" t="s">
        <v>11845</v>
      </c>
      <c r="J1805" t="s">
        <v>11952</v>
      </c>
    </row>
    <row r="1806" spans="1:10" x14ac:dyDescent="0.25">
      <c r="A1806" t="s">
        <v>11971</v>
      </c>
      <c r="B1806">
        <v>13.2</v>
      </c>
      <c r="C1806" t="s">
        <v>11972</v>
      </c>
      <c r="D1806" t="s">
        <v>385</v>
      </c>
      <c r="E1806" t="s">
        <v>2705</v>
      </c>
      <c r="F1806" t="s">
        <v>7672</v>
      </c>
      <c r="G1806" t="s">
        <v>11833</v>
      </c>
      <c r="H1806" t="s">
        <v>11834</v>
      </c>
      <c r="I1806" t="s">
        <v>11839</v>
      </c>
      <c r="J1806" t="s">
        <v>11952</v>
      </c>
    </row>
    <row r="1807" spans="1:10" x14ac:dyDescent="0.25">
      <c r="A1807" t="s">
        <v>2798</v>
      </c>
      <c r="B1807">
        <v>13.2</v>
      </c>
      <c r="C1807" t="s">
        <v>2800</v>
      </c>
      <c r="D1807" t="s">
        <v>2198</v>
      </c>
      <c r="E1807" t="s">
        <v>2705</v>
      </c>
      <c r="F1807" t="s">
        <v>7672</v>
      </c>
      <c r="G1807" t="s">
        <v>11833</v>
      </c>
      <c r="H1807" t="s">
        <v>11834</v>
      </c>
      <c r="I1807" t="s">
        <v>76</v>
      </c>
      <c r="J1807" t="s">
        <v>11952</v>
      </c>
    </row>
    <row r="1808" spans="1:10" x14ac:dyDescent="0.25">
      <c r="A1808" t="s">
        <v>11973</v>
      </c>
      <c r="B1808">
        <v>13.2</v>
      </c>
      <c r="C1808" t="s">
        <v>11974</v>
      </c>
      <c r="D1808" t="s">
        <v>964</v>
      </c>
      <c r="E1808" t="s">
        <v>2705</v>
      </c>
      <c r="F1808" t="s">
        <v>7672</v>
      </c>
      <c r="G1808" t="s">
        <v>11833</v>
      </c>
      <c r="H1808" t="s">
        <v>11834</v>
      </c>
      <c r="I1808" t="s">
        <v>11839</v>
      </c>
      <c r="J1808" t="s">
        <v>11975</v>
      </c>
    </row>
    <row r="1809" spans="1:10" x14ac:dyDescent="0.25">
      <c r="A1809" t="s">
        <v>11976</v>
      </c>
      <c r="B1809">
        <v>13.2</v>
      </c>
      <c r="C1809" t="s">
        <v>11977</v>
      </c>
      <c r="D1809" t="s">
        <v>106</v>
      </c>
      <c r="E1809" t="s">
        <v>2705</v>
      </c>
      <c r="F1809" t="s">
        <v>7672</v>
      </c>
      <c r="G1809" t="s">
        <v>11833</v>
      </c>
      <c r="H1809" t="s">
        <v>11834</v>
      </c>
      <c r="I1809" t="s">
        <v>11881</v>
      </c>
      <c r="J1809" t="s">
        <v>11975</v>
      </c>
    </row>
    <row r="1810" spans="1:10" x14ac:dyDescent="0.25">
      <c r="A1810" t="s">
        <v>11978</v>
      </c>
      <c r="B1810">
        <v>13.2</v>
      </c>
      <c r="C1810" t="s">
        <v>11979</v>
      </c>
      <c r="D1810" t="s">
        <v>516</v>
      </c>
      <c r="E1810" t="s">
        <v>2705</v>
      </c>
      <c r="F1810" t="s">
        <v>7672</v>
      </c>
      <c r="G1810" t="s">
        <v>11833</v>
      </c>
      <c r="H1810" t="s">
        <v>11834</v>
      </c>
      <c r="I1810" t="s">
        <v>11835</v>
      </c>
      <c r="J1810" t="s">
        <v>11975</v>
      </c>
    </row>
    <row r="1811" spans="1:10" x14ac:dyDescent="0.25">
      <c r="A1811" t="s">
        <v>11980</v>
      </c>
      <c r="B1811">
        <v>13.2</v>
      </c>
      <c r="C1811" t="s">
        <v>11981</v>
      </c>
      <c r="D1811" t="s">
        <v>290</v>
      </c>
      <c r="E1811" t="s">
        <v>2705</v>
      </c>
      <c r="F1811" t="s">
        <v>7672</v>
      </c>
      <c r="G1811" t="s">
        <v>11833</v>
      </c>
      <c r="H1811" t="s">
        <v>11834</v>
      </c>
      <c r="I1811" t="s">
        <v>11842</v>
      </c>
      <c r="J1811" t="s">
        <v>11975</v>
      </c>
    </row>
    <row r="1812" spans="1:10" x14ac:dyDescent="0.25">
      <c r="A1812" t="s">
        <v>11982</v>
      </c>
      <c r="B1812">
        <v>13.2</v>
      </c>
      <c r="C1812" t="s">
        <v>11983</v>
      </c>
      <c r="D1812" t="s">
        <v>269</v>
      </c>
      <c r="E1812" t="s">
        <v>2705</v>
      </c>
      <c r="F1812" t="s">
        <v>7672</v>
      </c>
      <c r="G1812" t="s">
        <v>11833</v>
      </c>
      <c r="H1812" t="s">
        <v>11834</v>
      </c>
      <c r="I1812" t="s">
        <v>11869</v>
      </c>
      <c r="J1812" t="s">
        <v>11975</v>
      </c>
    </row>
    <row r="1813" spans="1:10" x14ac:dyDescent="0.25">
      <c r="A1813" t="s">
        <v>11984</v>
      </c>
      <c r="B1813">
        <v>13.2</v>
      </c>
      <c r="C1813" t="s">
        <v>11985</v>
      </c>
      <c r="D1813" t="s">
        <v>2879</v>
      </c>
      <c r="E1813" t="s">
        <v>2705</v>
      </c>
      <c r="F1813" t="s">
        <v>7672</v>
      </c>
      <c r="G1813" t="s">
        <v>11833</v>
      </c>
      <c r="H1813" t="s">
        <v>11834</v>
      </c>
      <c r="I1813" t="s">
        <v>2731</v>
      </c>
      <c r="J1813" t="s">
        <v>11975</v>
      </c>
    </row>
    <row r="1814" spans="1:10" x14ac:dyDescent="0.25">
      <c r="A1814" t="s">
        <v>2801</v>
      </c>
      <c r="B1814">
        <v>13.2</v>
      </c>
      <c r="C1814" t="s">
        <v>2803</v>
      </c>
      <c r="D1814" t="s">
        <v>2804</v>
      </c>
      <c r="E1814" t="s">
        <v>2705</v>
      </c>
      <c r="F1814" t="s">
        <v>7672</v>
      </c>
      <c r="G1814" t="s">
        <v>11833</v>
      </c>
      <c r="H1814" t="s">
        <v>11834</v>
      </c>
      <c r="I1814" t="s">
        <v>76</v>
      </c>
      <c r="J1814" t="s">
        <v>11975</v>
      </c>
    </row>
    <row r="1815" spans="1:10" x14ac:dyDescent="0.25">
      <c r="A1815" t="s">
        <v>11986</v>
      </c>
      <c r="B1815">
        <v>13.2</v>
      </c>
      <c r="C1815" t="s">
        <v>11987</v>
      </c>
      <c r="D1815" t="s">
        <v>60</v>
      </c>
      <c r="E1815" t="s">
        <v>2705</v>
      </c>
      <c r="F1815" t="s">
        <v>7672</v>
      </c>
      <c r="G1815" t="s">
        <v>11833</v>
      </c>
      <c r="H1815" t="s">
        <v>11834</v>
      </c>
      <c r="I1815" t="s">
        <v>11853</v>
      </c>
      <c r="J1815" t="s">
        <v>11975</v>
      </c>
    </row>
    <row r="1816" spans="1:10" x14ac:dyDescent="0.25">
      <c r="A1816" t="s">
        <v>2805</v>
      </c>
      <c r="B1816">
        <v>13.2</v>
      </c>
      <c r="C1816" t="s">
        <v>2807</v>
      </c>
      <c r="D1816" t="s">
        <v>626</v>
      </c>
      <c r="E1816" t="s">
        <v>2705</v>
      </c>
      <c r="F1816" t="s">
        <v>7672</v>
      </c>
      <c r="G1816" t="s">
        <v>11833</v>
      </c>
      <c r="H1816" t="s">
        <v>11834</v>
      </c>
      <c r="I1816" t="s">
        <v>11845</v>
      </c>
      <c r="J1816" t="s">
        <v>11975</v>
      </c>
    </row>
    <row r="1817" spans="1:10" x14ac:dyDescent="0.25">
      <c r="A1817" t="s">
        <v>11988</v>
      </c>
      <c r="B1817">
        <v>13.2</v>
      </c>
      <c r="C1817" t="s">
        <v>11989</v>
      </c>
      <c r="D1817" t="s">
        <v>100</v>
      </c>
      <c r="E1817" t="s">
        <v>2705</v>
      </c>
      <c r="F1817" t="s">
        <v>7672</v>
      </c>
      <c r="G1817" t="s">
        <v>11833</v>
      </c>
      <c r="H1817" t="s">
        <v>11834</v>
      </c>
      <c r="I1817" t="s">
        <v>11863</v>
      </c>
      <c r="J1817" t="s">
        <v>11975</v>
      </c>
    </row>
    <row r="1818" spans="1:10" x14ac:dyDescent="0.25">
      <c r="A1818" t="s">
        <v>11990</v>
      </c>
      <c r="B1818">
        <v>13.2</v>
      </c>
      <c r="C1818" t="s">
        <v>11991</v>
      </c>
      <c r="D1818" t="s">
        <v>959</v>
      </c>
      <c r="E1818" t="s">
        <v>2705</v>
      </c>
      <c r="F1818" t="s">
        <v>7672</v>
      </c>
      <c r="G1818" t="s">
        <v>11833</v>
      </c>
      <c r="H1818" t="s">
        <v>11834</v>
      </c>
      <c r="I1818" t="s">
        <v>11875</v>
      </c>
      <c r="J1818" t="s">
        <v>11975</v>
      </c>
    </row>
    <row r="1819" spans="1:10" x14ac:dyDescent="0.25">
      <c r="A1819" t="s">
        <v>2808</v>
      </c>
      <c r="B1819">
        <v>13.2</v>
      </c>
      <c r="C1819" t="s">
        <v>2810</v>
      </c>
      <c r="D1819" t="s">
        <v>1459</v>
      </c>
      <c r="E1819" t="s">
        <v>2705</v>
      </c>
      <c r="F1819" t="s">
        <v>7672</v>
      </c>
      <c r="G1819" t="s">
        <v>11833</v>
      </c>
      <c r="H1819" t="s">
        <v>11834</v>
      </c>
      <c r="I1819" t="s">
        <v>2725</v>
      </c>
      <c r="J1819" t="s">
        <v>11975</v>
      </c>
    </row>
    <row r="1820" spans="1:10" x14ac:dyDescent="0.25">
      <c r="A1820" t="s">
        <v>11992</v>
      </c>
      <c r="B1820">
        <v>13.2</v>
      </c>
      <c r="C1820" t="s">
        <v>11993</v>
      </c>
      <c r="D1820" t="s">
        <v>240</v>
      </c>
      <c r="E1820" t="s">
        <v>2705</v>
      </c>
      <c r="F1820" t="s">
        <v>7672</v>
      </c>
      <c r="G1820" t="s">
        <v>11833</v>
      </c>
      <c r="H1820" t="s">
        <v>11834</v>
      </c>
      <c r="I1820" t="s">
        <v>11835</v>
      </c>
      <c r="J1820" t="s">
        <v>11994</v>
      </c>
    </row>
    <row r="1821" spans="1:10" x14ac:dyDescent="0.25">
      <c r="A1821" t="s">
        <v>11995</v>
      </c>
      <c r="B1821">
        <v>12</v>
      </c>
      <c r="C1821" t="s">
        <v>11996</v>
      </c>
      <c r="D1821" t="s">
        <v>959</v>
      </c>
      <c r="E1821" t="s">
        <v>2705</v>
      </c>
      <c r="F1821" t="s">
        <v>7672</v>
      </c>
      <c r="G1821" t="s">
        <v>11833</v>
      </c>
      <c r="H1821" t="s">
        <v>11834</v>
      </c>
      <c r="I1821" t="s">
        <v>11842</v>
      </c>
      <c r="J1821" t="s">
        <v>11994</v>
      </c>
    </row>
    <row r="1822" spans="1:10" x14ac:dyDescent="0.25">
      <c r="A1822" t="s">
        <v>11997</v>
      </c>
      <c r="B1822">
        <v>13.2</v>
      </c>
      <c r="C1822" t="s">
        <v>11998</v>
      </c>
      <c r="D1822" t="s">
        <v>60</v>
      </c>
      <c r="E1822" t="s">
        <v>2705</v>
      </c>
      <c r="F1822" t="s">
        <v>7672</v>
      </c>
      <c r="G1822" t="s">
        <v>11833</v>
      </c>
      <c r="H1822" t="s">
        <v>11834</v>
      </c>
      <c r="I1822" t="s">
        <v>11881</v>
      </c>
      <c r="J1822" t="s">
        <v>11994</v>
      </c>
    </row>
    <row r="1823" spans="1:10" x14ac:dyDescent="0.25">
      <c r="A1823" t="s">
        <v>11999</v>
      </c>
      <c r="B1823">
        <v>13.2</v>
      </c>
      <c r="C1823" t="s">
        <v>12000</v>
      </c>
      <c r="D1823" t="s">
        <v>698</v>
      </c>
      <c r="E1823" t="s">
        <v>2705</v>
      </c>
      <c r="F1823" t="s">
        <v>7672</v>
      </c>
      <c r="G1823" t="s">
        <v>11833</v>
      </c>
      <c r="H1823" t="s">
        <v>11834</v>
      </c>
      <c r="I1823" t="s">
        <v>2731</v>
      </c>
      <c r="J1823" t="s">
        <v>11994</v>
      </c>
    </row>
    <row r="1824" spans="1:10" x14ac:dyDescent="0.25">
      <c r="A1824" t="s">
        <v>12001</v>
      </c>
      <c r="B1824">
        <v>12</v>
      </c>
      <c r="C1824" t="s">
        <v>12002</v>
      </c>
      <c r="D1824" t="s">
        <v>277</v>
      </c>
      <c r="E1824" t="s">
        <v>2705</v>
      </c>
      <c r="F1824" t="s">
        <v>7672</v>
      </c>
      <c r="G1824" t="s">
        <v>11833</v>
      </c>
      <c r="H1824" t="s">
        <v>11834</v>
      </c>
      <c r="I1824" t="s">
        <v>11853</v>
      </c>
      <c r="J1824" t="s">
        <v>11994</v>
      </c>
    </row>
    <row r="1825" spans="1:10" x14ac:dyDescent="0.25">
      <c r="A1825" t="s">
        <v>12003</v>
      </c>
      <c r="B1825">
        <v>13.2</v>
      </c>
      <c r="C1825" t="s">
        <v>12004</v>
      </c>
      <c r="D1825" t="s">
        <v>359</v>
      </c>
      <c r="E1825" t="s">
        <v>2705</v>
      </c>
      <c r="F1825" t="s">
        <v>7672</v>
      </c>
      <c r="G1825" t="s">
        <v>11833</v>
      </c>
      <c r="H1825" t="s">
        <v>11834</v>
      </c>
      <c r="I1825" t="s">
        <v>11863</v>
      </c>
      <c r="J1825" t="s">
        <v>11994</v>
      </c>
    </row>
    <row r="1826" spans="1:10" x14ac:dyDescent="0.25">
      <c r="A1826" t="s">
        <v>12005</v>
      </c>
      <c r="B1826">
        <v>13.2</v>
      </c>
      <c r="C1826" t="s">
        <v>12006</v>
      </c>
      <c r="D1826" t="s">
        <v>342</v>
      </c>
      <c r="E1826" t="s">
        <v>2705</v>
      </c>
      <c r="F1826" t="s">
        <v>7672</v>
      </c>
      <c r="G1826" t="s">
        <v>11833</v>
      </c>
      <c r="H1826" t="s">
        <v>11834</v>
      </c>
      <c r="I1826" t="s">
        <v>11921</v>
      </c>
      <c r="J1826" t="s">
        <v>11994</v>
      </c>
    </row>
    <row r="1827" spans="1:10" x14ac:dyDescent="0.25">
      <c r="A1827" t="s">
        <v>12007</v>
      </c>
      <c r="B1827">
        <v>12</v>
      </c>
      <c r="C1827" t="s">
        <v>12008</v>
      </c>
      <c r="D1827" t="s">
        <v>95</v>
      </c>
      <c r="E1827" t="s">
        <v>2705</v>
      </c>
      <c r="F1827" t="s">
        <v>7672</v>
      </c>
      <c r="G1827" t="s">
        <v>11833</v>
      </c>
      <c r="H1827" t="s">
        <v>11834</v>
      </c>
      <c r="I1827" t="s">
        <v>11869</v>
      </c>
      <c r="J1827" t="s">
        <v>11994</v>
      </c>
    </row>
    <row r="1828" spans="1:10" x14ac:dyDescent="0.25">
      <c r="A1828" t="s">
        <v>12009</v>
      </c>
      <c r="B1828">
        <v>13.2</v>
      </c>
      <c r="C1828" t="s">
        <v>12010</v>
      </c>
      <c r="D1828" t="s">
        <v>100</v>
      </c>
      <c r="E1828" t="s">
        <v>2705</v>
      </c>
      <c r="F1828" t="s">
        <v>7672</v>
      </c>
      <c r="G1828" t="s">
        <v>11833</v>
      </c>
      <c r="H1828" t="s">
        <v>11834</v>
      </c>
      <c r="I1828" t="s">
        <v>11875</v>
      </c>
      <c r="J1828" t="s">
        <v>11994</v>
      </c>
    </row>
    <row r="1829" spans="1:10" x14ac:dyDescent="0.25">
      <c r="A1829" t="s">
        <v>2811</v>
      </c>
      <c r="B1829">
        <v>13.2</v>
      </c>
      <c r="C1829" t="s">
        <v>2813</v>
      </c>
      <c r="D1829" t="s">
        <v>2787</v>
      </c>
      <c r="E1829" t="s">
        <v>2705</v>
      </c>
      <c r="F1829" t="s">
        <v>7672</v>
      </c>
      <c r="G1829" t="s">
        <v>11833</v>
      </c>
      <c r="H1829" t="s">
        <v>11834</v>
      </c>
      <c r="I1829" t="s">
        <v>2725</v>
      </c>
      <c r="J1829" t="s">
        <v>11994</v>
      </c>
    </row>
    <row r="1830" spans="1:10" x14ac:dyDescent="0.25">
      <c r="A1830" t="s">
        <v>12011</v>
      </c>
      <c r="B1830">
        <v>13.2</v>
      </c>
      <c r="C1830" t="s">
        <v>12012</v>
      </c>
      <c r="D1830" t="s">
        <v>964</v>
      </c>
      <c r="E1830" t="s">
        <v>2705</v>
      </c>
      <c r="F1830" t="s">
        <v>7672</v>
      </c>
      <c r="G1830" t="s">
        <v>11833</v>
      </c>
      <c r="H1830" t="s">
        <v>11834</v>
      </c>
      <c r="I1830" t="s">
        <v>11872</v>
      </c>
      <c r="J1830" t="s">
        <v>11994</v>
      </c>
    </row>
    <row r="1831" spans="1:10" x14ac:dyDescent="0.25">
      <c r="A1831" t="s">
        <v>2814</v>
      </c>
      <c r="B1831">
        <v>13.2</v>
      </c>
      <c r="C1831" t="s">
        <v>2816</v>
      </c>
      <c r="D1831" t="s">
        <v>776</v>
      </c>
      <c r="E1831" t="s">
        <v>2705</v>
      </c>
      <c r="F1831" t="s">
        <v>7672</v>
      </c>
      <c r="G1831" t="s">
        <v>11833</v>
      </c>
      <c r="H1831" t="s">
        <v>11834</v>
      </c>
      <c r="I1831" t="s">
        <v>76</v>
      </c>
      <c r="J1831" t="s">
        <v>11994</v>
      </c>
    </row>
    <row r="1832" spans="1:10" x14ac:dyDescent="0.25">
      <c r="A1832" t="s">
        <v>12013</v>
      </c>
      <c r="B1832">
        <v>13.2</v>
      </c>
      <c r="C1832" t="s">
        <v>12014</v>
      </c>
      <c r="D1832" t="s">
        <v>342</v>
      </c>
      <c r="E1832" t="s">
        <v>2705</v>
      </c>
      <c r="F1832" t="s">
        <v>7672</v>
      </c>
      <c r="G1832" t="s">
        <v>11833</v>
      </c>
      <c r="H1832" t="s">
        <v>11834</v>
      </c>
      <c r="I1832" t="s">
        <v>11886</v>
      </c>
      <c r="J1832" t="s">
        <v>11994</v>
      </c>
    </row>
    <row r="1833" spans="1:10" x14ac:dyDescent="0.25">
      <c r="A1833" t="s">
        <v>12015</v>
      </c>
      <c r="B1833">
        <v>13.2</v>
      </c>
      <c r="C1833" t="s">
        <v>12016</v>
      </c>
      <c r="D1833" t="s">
        <v>352</v>
      </c>
      <c r="E1833" t="s">
        <v>2705</v>
      </c>
      <c r="F1833" t="s">
        <v>7672</v>
      </c>
      <c r="G1833" t="s">
        <v>11833</v>
      </c>
      <c r="H1833" t="s">
        <v>11834</v>
      </c>
      <c r="I1833" t="s">
        <v>11839</v>
      </c>
      <c r="J1833" t="s">
        <v>11994</v>
      </c>
    </row>
    <row r="1834" spans="1:10" x14ac:dyDescent="0.25">
      <c r="A1834" t="s">
        <v>2817</v>
      </c>
      <c r="B1834">
        <v>13.2</v>
      </c>
      <c r="C1834" t="s">
        <v>2819</v>
      </c>
      <c r="D1834" t="s">
        <v>316</v>
      </c>
      <c r="E1834" t="s">
        <v>2705</v>
      </c>
      <c r="F1834" t="s">
        <v>7672</v>
      </c>
      <c r="G1834" t="s">
        <v>11833</v>
      </c>
      <c r="H1834" t="s">
        <v>11834</v>
      </c>
      <c r="I1834" t="s">
        <v>11845</v>
      </c>
      <c r="J1834" t="s">
        <v>11994</v>
      </c>
    </row>
    <row r="1835" spans="1:10" x14ac:dyDescent="0.25">
      <c r="A1835" t="s">
        <v>12017</v>
      </c>
      <c r="B1835">
        <v>13.2</v>
      </c>
      <c r="C1835" t="s">
        <v>12018</v>
      </c>
      <c r="D1835" t="s">
        <v>255</v>
      </c>
      <c r="E1835" t="s">
        <v>2705</v>
      </c>
      <c r="F1835" t="s">
        <v>7672</v>
      </c>
      <c r="G1835" t="s">
        <v>11833</v>
      </c>
      <c r="H1835" t="s">
        <v>11834</v>
      </c>
      <c r="I1835" t="s">
        <v>11839</v>
      </c>
      <c r="J1835" t="s">
        <v>12019</v>
      </c>
    </row>
    <row r="1836" spans="1:10" x14ac:dyDescent="0.25">
      <c r="A1836" t="s">
        <v>12020</v>
      </c>
      <c r="B1836">
        <v>13.2</v>
      </c>
      <c r="C1836" t="s">
        <v>12021</v>
      </c>
      <c r="D1836" t="s">
        <v>290</v>
      </c>
      <c r="E1836" t="s">
        <v>2705</v>
      </c>
      <c r="F1836" t="s">
        <v>7672</v>
      </c>
      <c r="G1836" t="s">
        <v>11833</v>
      </c>
      <c r="H1836" t="s">
        <v>11834</v>
      </c>
      <c r="I1836" t="s">
        <v>11860</v>
      </c>
      <c r="J1836" t="s">
        <v>12019</v>
      </c>
    </row>
    <row r="1837" spans="1:10" x14ac:dyDescent="0.25">
      <c r="A1837" t="s">
        <v>2820</v>
      </c>
      <c r="B1837">
        <v>13.2</v>
      </c>
      <c r="C1837" t="s">
        <v>2822</v>
      </c>
      <c r="D1837" t="s">
        <v>926</v>
      </c>
      <c r="E1837" t="s">
        <v>2705</v>
      </c>
      <c r="F1837" t="s">
        <v>7672</v>
      </c>
      <c r="G1837" t="s">
        <v>11833</v>
      </c>
      <c r="H1837" t="s">
        <v>11834</v>
      </c>
      <c r="I1837" t="s">
        <v>278</v>
      </c>
      <c r="J1837" t="s">
        <v>12019</v>
      </c>
    </row>
    <row r="1838" spans="1:10" x14ac:dyDescent="0.25">
      <c r="A1838" t="s">
        <v>12022</v>
      </c>
      <c r="B1838">
        <v>13.2</v>
      </c>
      <c r="C1838" t="s">
        <v>12023</v>
      </c>
      <c r="D1838" t="s">
        <v>269</v>
      </c>
      <c r="E1838" t="s">
        <v>2705</v>
      </c>
      <c r="F1838" t="s">
        <v>7672</v>
      </c>
      <c r="G1838" t="s">
        <v>11833</v>
      </c>
      <c r="H1838" t="s">
        <v>11834</v>
      </c>
      <c r="I1838" t="s">
        <v>11891</v>
      </c>
      <c r="J1838" t="s">
        <v>12019</v>
      </c>
    </row>
    <row r="1839" spans="1:10" x14ac:dyDescent="0.25">
      <c r="A1839" t="s">
        <v>12024</v>
      </c>
      <c r="B1839">
        <v>13.2</v>
      </c>
      <c r="C1839" t="s">
        <v>12025</v>
      </c>
      <c r="D1839" t="s">
        <v>1143</v>
      </c>
      <c r="E1839" t="s">
        <v>2705</v>
      </c>
      <c r="F1839" t="s">
        <v>7672</v>
      </c>
      <c r="G1839" t="s">
        <v>11833</v>
      </c>
      <c r="H1839" t="s">
        <v>11834</v>
      </c>
      <c r="I1839" t="s">
        <v>11835</v>
      </c>
      <c r="J1839" t="s">
        <v>12019</v>
      </c>
    </row>
    <row r="1840" spans="1:10" x14ac:dyDescent="0.25">
      <c r="A1840" t="s">
        <v>12026</v>
      </c>
      <c r="B1840">
        <v>13.2</v>
      </c>
      <c r="C1840" t="s">
        <v>12027</v>
      </c>
      <c r="D1840" t="s">
        <v>255</v>
      </c>
      <c r="E1840" t="s">
        <v>2705</v>
      </c>
      <c r="F1840" t="s">
        <v>7672</v>
      </c>
      <c r="G1840" t="s">
        <v>11833</v>
      </c>
      <c r="H1840" t="s">
        <v>11834</v>
      </c>
      <c r="I1840" t="s">
        <v>11842</v>
      </c>
      <c r="J1840" t="s">
        <v>12019</v>
      </c>
    </row>
    <row r="1841" spans="1:10" x14ac:dyDescent="0.25">
      <c r="A1841" t="s">
        <v>12028</v>
      </c>
      <c r="B1841">
        <v>13.2</v>
      </c>
      <c r="C1841" t="s">
        <v>12029</v>
      </c>
      <c r="D1841" t="s">
        <v>2697</v>
      </c>
      <c r="E1841" t="s">
        <v>2705</v>
      </c>
      <c r="F1841" t="s">
        <v>7672</v>
      </c>
      <c r="G1841" t="s">
        <v>11833</v>
      </c>
      <c r="H1841" t="s">
        <v>11834</v>
      </c>
      <c r="I1841" t="s">
        <v>11881</v>
      </c>
      <c r="J1841" t="s">
        <v>12019</v>
      </c>
    </row>
    <row r="1842" spans="1:10" x14ac:dyDescent="0.25">
      <c r="A1842" t="s">
        <v>12030</v>
      </c>
      <c r="B1842">
        <v>13.2</v>
      </c>
      <c r="C1842" t="s">
        <v>12031</v>
      </c>
      <c r="D1842" t="s">
        <v>250</v>
      </c>
      <c r="E1842" t="s">
        <v>2705</v>
      </c>
      <c r="F1842" t="s">
        <v>7672</v>
      </c>
      <c r="G1842" t="s">
        <v>11833</v>
      </c>
      <c r="H1842" t="s">
        <v>11834</v>
      </c>
      <c r="I1842" t="s">
        <v>2731</v>
      </c>
      <c r="J1842" t="s">
        <v>12019</v>
      </c>
    </row>
    <row r="1843" spans="1:10" x14ac:dyDescent="0.25">
      <c r="A1843" t="s">
        <v>2823</v>
      </c>
      <c r="B1843">
        <v>13.2</v>
      </c>
      <c r="C1843" t="s">
        <v>2825</v>
      </c>
      <c r="D1843" t="s">
        <v>698</v>
      </c>
      <c r="E1843" t="s">
        <v>2705</v>
      </c>
      <c r="F1843" t="s">
        <v>7672</v>
      </c>
      <c r="G1843" t="s">
        <v>11833</v>
      </c>
      <c r="H1843" t="s">
        <v>11834</v>
      </c>
      <c r="I1843" t="s">
        <v>11845</v>
      </c>
      <c r="J1843" t="s">
        <v>12019</v>
      </c>
    </row>
    <row r="1844" spans="1:10" x14ac:dyDescent="0.25">
      <c r="A1844" t="s">
        <v>12032</v>
      </c>
      <c r="B1844">
        <v>13.2</v>
      </c>
      <c r="C1844" t="s">
        <v>12033</v>
      </c>
      <c r="D1844" t="s">
        <v>88</v>
      </c>
      <c r="E1844" t="s">
        <v>2705</v>
      </c>
      <c r="F1844" t="s">
        <v>7672</v>
      </c>
      <c r="G1844" t="s">
        <v>11833</v>
      </c>
      <c r="H1844" t="s">
        <v>11834</v>
      </c>
      <c r="I1844" t="s">
        <v>11869</v>
      </c>
      <c r="J1844" t="s">
        <v>12019</v>
      </c>
    </row>
    <row r="1845" spans="1:10" x14ac:dyDescent="0.25">
      <c r="A1845" t="s">
        <v>12034</v>
      </c>
      <c r="B1845">
        <v>13.2</v>
      </c>
      <c r="C1845" t="s">
        <v>12035</v>
      </c>
      <c r="D1845" t="s">
        <v>255</v>
      </c>
      <c r="E1845" t="s">
        <v>2705</v>
      </c>
      <c r="F1845" t="s">
        <v>7672</v>
      </c>
      <c r="G1845" t="s">
        <v>11833</v>
      </c>
      <c r="H1845" t="s">
        <v>11834</v>
      </c>
      <c r="I1845" t="s">
        <v>11863</v>
      </c>
      <c r="J1845" t="s">
        <v>12019</v>
      </c>
    </row>
    <row r="1846" spans="1:10" x14ac:dyDescent="0.25">
      <c r="A1846" t="s">
        <v>12036</v>
      </c>
      <c r="B1846">
        <v>13.2</v>
      </c>
      <c r="C1846" t="s">
        <v>12037</v>
      </c>
      <c r="D1846" t="s">
        <v>53</v>
      </c>
      <c r="E1846" t="s">
        <v>2705</v>
      </c>
      <c r="F1846" t="s">
        <v>7672</v>
      </c>
      <c r="G1846" t="s">
        <v>11833</v>
      </c>
      <c r="H1846" t="s">
        <v>11834</v>
      </c>
      <c r="I1846" t="s">
        <v>11853</v>
      </c>
      <c r="J1846" t="s">
        <v>12019</v>
      </c>
    </row>
    <row r="1847" spans="1:10" x14ac:dyDescent="0.25">
      <c r="A1847" t="s">
        <v>12038</v>
      </c>
      <c r="B1847">
        <v>13.2</v>
      </c>
      <c r="C1847" t="s">
        <v>12039</v>
      </c>
      <c r="D1847" t="s">
        <v>959</v>
      </c>
      <c r="E1847" t="s">
        <v>2705</v>
      </c>
      <c r="F1847" t="s">
        <v>7672</v>
      </c>
      <c r="G1847" t="s">
        <v>11833</v>
      </c>
      <c r="H1847" t="s">
        <v>11834</v>
      </c>
      <c r="I1847" t="s">
        <v>11875</v>
      </c>
      <c r="J1847" t="s">
        <v>12019</v>
      </c>
    </row>
    <row r="1848" spans="1:10" x14ac:dyDescent="0.25">
      <c r="A1848" t="s">
        <v>2826</v>
      </c>
      <c r="B1848">
        <v>13.2</v>
      </c>
      <c r="C1848" t="s">
        <v>2828</v>
      </c>
      <c r="D1848" t="s">
        <v>2253</v>
      </c>
      <c r="E1848" t="s">
        <v>2705</v>
      </c>
      <c r="F1848" t="s">
        <v>7672</v>
      </c>
      <c r="G1848" t="s">
        <v>11833</v>
      </c>
      <c r="H1848" t="s">
        <v>11834</v>
      </c>
      <c r="I1848" t="s">
        <v>2725</v>
      </c>
      <c r="J1848" t="s">
        <v>12019</v>
      </c>
    </row>
    <row r="1849" spans="1:10" x14ac:dyDescent="0.25">
      <c r="A1849" t="s">
        <v>12040</v>
      </c>
      <c r="B1849">
        <v>10.8</v>
      </c>
      <c r="C1849" t="s">
        <v>12041</v>
      </c>
      <c r="D1849" t="s">
        <v>4270</v>
      </c>
      <c r="E1849" t="s">
        <v>12042</v>
      </c>
      <c r="F1849" t="s">
        <v>7672</v>
      </c>
      <c r="G1849" t="s">
        <v>12043</v>
      </c>
      <c r="H1849" t="s">
        <v>12044</v>
      </c>
      <c r="I1849" t="s">
        <v>12045</v>
      </c>
      <c r="J1849" t="s">
        <v>7981</v>
      </c>
    </row>
    <row r="1850" spans="1:10" x14ac:dyDescent="0.25">
      <c r="A1850" t="s">
        <v>12046</v>
      </c>
      <c r="B1850">
        <v>10.8</v>
      </c>
      <c r="C1850" t="s">
        <v>12047</v>
      </c>
      <c r="D1850" t="s">
        <v>516</v>
      </c>
      <c r="E1850" t="s">
        <v>12042</v>
      </c>
      <c r="F1850" t="s">
        <v>7672</v>
      </c>
      <c r="G1850" t="s">
        <v>12043</v>
      </c>
      <c r="H1850" t="s">
        <v>12044</v>
      </c>
      <c r="I1850" t="s">
        <v>12048</v>
      </c>
      <c r="J1850" t="s">
        <v>7981</v>
      </c>
    </row>
    <row r="1851" spans="1:10" x14ac:dyDescent="0.25">
      <c r="A1851" t="s">
        <v>12049</v>
      </c>
      <c r="B1851">
        <v>15.295999999999999</v>
      </c>
      <c r="C1851" t="s">
        <v>12050</v>
      </c>
      <c r="D1851" t="s">
        <v>613</v>
      </c>
      <c r="E1851" t="s">
        <v>12051</v>
      </c>
      <c r="F1851" t="s">
        <v>7672</v>
      </c>
      <c r="G1851" t="s">
        <v>12052</v>
      </c>
      <c r="H1851" t="s">
        <v>12053</v>
      </c>
      <c r="I1851" t="s">
        <v>5202</v>
      </c>
      <c r="J1851" t="s">
        <v>269</v>
      </c>
    </row>
    <row r="1852" spans="1:10" x14ac:dyDescent="0.25">
      <c r="A1852" t="s">
        <v>12054</v>
      </c>
      <c r="B1852">
        <v>15.295999999999999</v>
      </c>
      <c r="C1852" t="s">
        <v>12055</v>
      </c>
      <c r="D1852" t="s">
        <v>1236</v>
      </c>
      <c r="E1852" t="s">
        <v>12051</v>
      </c>
      <c r="F1852" t="s">
        <v>7672</v>
      </c>
      <c r="G1852" t="s">
        <v>12052</v>
      </c>
      <c r="H1852" t="s">
        <v>12053</v>
      </c>
      <c r="I1852" t="s">
        <v>5202</v>
      </c>
      <c r="J1852" t="s">
        <v>7968</v>
      </c>
    </row>
    <row r="1853" spans="1:10" x14ac:dyDescent="0.25">
      <c r="A1853" t="s">
        <v>12056</v>
      </c>
      <c r="B1853">
        <v>15.295999999999999</v>
      </c>
      <c r="C1853" t="s">
        <v>12057</v>
      </c>
      <c r="D1853" t="s">
        <v>234</v>
      </c>
      <c r="E1853" t="s">
        <v>12051</v>
      </c>
      <c r="F1853" t="s">
        <v>7672</v>
      </c>
      <c r="G1853" t="s">
        <v>12052</v>
      </c>
      <c r="H1853" t="s">
        <v>12053</v>
      </c>
      <c r="I1853" t="s">
        <v>5202</v>
      </c>
      <c r="J1853" t="s">
        <v>576</v>
      </c>
    </row>
    <row r="1854" spans="1:10" x14ac:dyDescent="0.25">
      <c r="A1854" t="s">
        <v>12058</v>
      </c>
      <c r="B1854">
        <v>15.295999999999999</v>
      </c>
      <c r="C1854" t="s">
        <v>12059</v>
      </c>
      <c r="D1854" t="s">
        <v>781</v>
      </c>
      <c r="E1854" t="s">
        <v>12051</v>
      </c>
      <c r="F1854" t="s">
        <v>7672</v>
      </c>
      <c r="G1854" t="s">
        <v>12052</v>
      </c>
      <c r="H1854" t="s">
        <v>12053</v>
      </c>
      <c r="I1854" t="s">
        <v>5202</v>
      </c>
      <c r="J1854" t="s">
        <v>7969</v>
      </c>
    </row>
    <row r="1855" spans="1:10" x14ac:dyDescent="0.25">
      <c r="A1855" t="s">
        <v>12060</v>
      </c>
      <c r="B1855">
        <v>15.295999999999999</v>
      </c>
      <c r="C1855" t="s">
        <v>12061</v>
      </c>
      <c r="D1855" t="s">
        <v>1097</v>
      </c>
      <c r="E1855" t="s">
        <v>12051</v>
      </c>
      <c r="F1855" t="s">
        <v>7672</v>
      </c>
      <c r="G1855" t="s">
        <v>12052</v>
      </c>
      <c r="H1855" t="s">
        <v>12053</v>
      </c>
      <c r="I1855" t="s">
        <v>5202</v>
      </c>
      <c r="J1855" t="s">
        <v>255</v>
      </c>
    </row>
    <row r="1856" spans="1:10" x14ac:dyDescent="0.25">
      <c r="A1856" t="s">
        <v>12062</v>
      </c>
      <c r="B1856">
        <v>15.295999999999999</v>
      </c>
      <c r="C1856" t="s">
        <v>12063</v>
      </c>
      <c r="D1856" t="s">
        <v>269</v>
      </c>
      <c r="E1856" t="s">
        <v>12051</v>
      </c>
      <c r="F1856" t="s">
        <v>7672</v>
      </c>
      <c r="G1856" t="s">
        <v>12052</v>
      </c>
      <c r="H1856" t="s">
        <v>12053</v>
      </c>
      <c r="I1856" t="s">
        <v>5202</v>
      </c>
      <c r="J1856" t="s">
        <v>10549</v>
      </c>
    </row>
    <row r="1857" spans="1:10" x14ac:dyDescent="0.25">
      <c r="A1857" t="s">
        <v>12064</v>
      </c>
      <c r="B1857">
        <v>15.295999999999999</v>
      </c>
      <c r="C1857" t="s">
        <v>12065</v>
      </c>
      <c r="D1857" t="s">
        <v>2879</v>
      </c>
      <c r="E1857" t="s">
        <v>12051</v>
      </c>
      <c r="F1857" t="s">
        <v>7672</v>
      </c>
      <c r="G1857" t="s">
        <v>12052</v>
      </c>
      <c r="H1857" t="s">
        <v>12053</v>
      </c>
      <c r="I1857" t="s">
        <v>5202</v>
      </c>
      <c r="J1857" t="s">
        <v>282</v>
      </c>
    </row>
    <row r="1858" spans="1:10" x14ac:dyDescent="0.25">
      <c r="A1858" t="s">
        <v>12066</v>
      </c>
      <c r="B1858">
        <v>15.295999999999999</v>
      </c>
      <c r="C1858" t="s">
        <v>12067</v>
      </c>
      <c r="D1858" t="s">
        <v>843</v>
      </c>
      <c r="E1858" t="s">
        <v>12051</v>
      </c>
      <c r="F1858" t="s">
        <v>7672</v>
      </c>
      <c r="G1858" t="s">
        <v>12052</v>
      </c>
      <c r="H1858" t="s">
        <v>12053</v>
      </c>
      <c r="I1858" t="s">
        <v>5202</v>
      </c>
      <c r="J1858" t="s">
        <v>9705</v>
      </c>
    </row>
    <row r="1859" spans="1:10" x14ac:dyDescent="0.25">
      <c r="A1859" t="s">
        <v>12068</v>
      </c>
      <c r="B1859">
        <v>15.295999999999999</v>
      </c>
      <c r="C1859" t="s">
        <v>12069</v>
      </c>
      <c r="D1859" t="s">
        <v>286</v>
      </c>
      <c r="E1859" t="s">
        <v>12051</v>
      </c>
      <c r="F1859" t="s">
        <v>7672</v>
      </c>
      <c r="G1859" t="s">
        <v>12052</v>
      </c>
      <c r="H1859" t="s">
        <v>12053</v>
      </c>
      <c r="I1859" t="s">
        <v>5202</v>
      </c>
      <c r="J1859" t="s">
        <v>277</v>
      </c>
    </row>
    <row r="1860" spans="1:10" x14ac:dyDescent="0.25">
      <c r="A1860" t="s">
        <v>12070</v>
      </c>
      <c r="B1860">
        <v>6</v>
      </c>
      <c r="C1860" t="s">
        <v>12071</v>
      </c>
      <c r="D1860" t="s">
        <v>366</v>
      </c>
      <c r="E1860" t="s">
        <v>12072</v>
      </c>
      <c r="F1860" t="s">
        <v>7672</v>
      </c>
      <c r="G1860" t="s">
        <v>12073</v>
      </c>
      <c r="H1860" t="s">
        <v>7954</v>
      </c>
      <c r="I1860" t="s">
        <v>76</v>
      </c>
      <c r="J1860" t="s">
        <v>7981</v>
      </c>
    </row>
    <row r="1861" spans="1:10" x14ac:dyDescent="0.25">
      <c r="A1861" t="s">
        <v>12074</v>
      </c>
      <c r="B1861">
        <v>6</v>
      </c>
      <c r="C1861" t="s">
        <v>12075</v>
      </c>
      <c r="D1861" t="s">
        <v>1884</v>
      </c>
      <c r="E1861" t="s">
        <v>12072</v>
      </c>
      <c r="F1861" t="s">
        <v>7672</v>
      </c>
      <c r="G1861" t="s">
        <v>12073</v>
      </c>
      <c r="H1861" t="s">
        <v>7954</v>
      </c>
      <c r="I1861" t="s">
        <v>76</v>
      </c>
      <c r="J1861" t="s">
        <v>7984</v>
      </c>
    </row>
    <row r="1862" spans="1:10" x14ac:dyDescent="0.25">
      <c r="A1862" t="s">
        <v>12076</v>
      </c>
      <c r="B1862">
        <v>6</v>
      </c>
      <c r="C1862" t="s">
        <v>12077</v>
      </c>
      <c r="D1862" t="s">
        <v>10608</v>
      </c>
      <c r="E1862" t="s">
        <v>12072</v>
      </c>
      <c r="F1862" t="s">
        <v>7672</v>
      </c>
      <c r="G1862" t="s">
        <v>12073</v>
      </c>
      <c r="H1862" t="s">
        <v>7954</v>
      </c>
      <c r="I1862" t="s">
        <v>12078</v>
      </c>
      <c r="J1862" t="s">
        <v>7984</v>
      </c>
    </row>
    <row r="1863" spans="1:10" x14ac:dyDescent="0.25">
      <c r="A1863" t="s">
        <v>12079</v>
      </c>
      <c r="B1863">
        <v>6</v>
      </c>
      <c r="C1863" t="s">
        <v>12080</v>
      </c>
      <c r="D1863" t="s">
        <v>12081</v>
      </c>
      <c r="E1863" t="s">
        <v>12072</v>
      </c>
      <c r="F1863" t="s">
        <v>7672</v>
      </c>
      <c r="G1863" t="s">
        <v>12073</v>
      </c>
      <c r="H1863" t="s">
        <v>7954</v>
      </c>
      <c r="I1863" t="s">
        <v>12078</v>
      </c>
      <c r="J1863" t="s">
        <v>7987</v>
      </c>
    </row>
    <row r="1864" spans="1:10" x14ac:dyDescent="0.25">
      <c r="A1864" t="s">
        <v>12082</v>
      </c>
      <c r="B1864">
        <v>6</v>
      </c>
      <c r="C1864" t="s">
        <v>12083</v>
      </c>
      <c r="D1864" t="s">
        <v>12084</v>
      </c>
      <c r="E1864" t="s">
        <v>12072</v>
      </c>
      <c r="F1864" t="s">
        <v>7672</v>
      </c>
      <c r="G1864" t="s">
        <v>12073</v>
      </c>
      <c r="H1864" t="s">
        <v>7954</v>
      </c>
      <c r="I1864" t="s">
        <v>76</v>
      </c>
      <c r="J1864" t="s">
        <v>7987</v>
      </c>
    </row>
    <row r="1865" spans="1:10" x14ac:dyDescent="0.25">
      <c r="A1865" t="s">
        <v>12085</v>
      </c>
      <c r="B1865">
        <v>6</v>
      </c>
      <c r="C1865" t="s">
        <v>12086</v>
      </c>
      <c r="D1865" t="s">
        <v>2753</v>
      </c>
      <c r="E1865" t="s">
        <v>12072</v>
      </c>
      <c r="F1865" t="s">
        <v>7672</v>
      </c>
      <c r="G1865" t="s">
        <v>12073</v>
      </c>
      <c r="H1865" t="s">
        <v>7954</v>
      </c>
      <c r="I1865" t="s">
        <v>12078</v>
      </c>
      <c r="J1865" t="s">
        <v>8001</v>
      </c>
    </row>
    <row r="1866" spans="1:10" x14ac:dyDescent="0.25">
      <c r="A1866" t="s">
        <v>12087</v>
      </c>
      <c r="B1866">
        <v>6</v>
      </c>
      <c r="C1866" t="s">
        <v>12088</v>
      </c>
      <c r="D1866" t="s">
        <v>9571</v>
      </c>
      <c r="E1866" t="s">
        <v>12072</v>
      </c>
      <c r="F1866" t="s">
        <v>7672</v>
      </c>
      <c r="G1866" t="s">
        <v>12073</v>
      </c>
      <c r="H1866" t="s">
        <v>7954</v>
      </c>
      <c r="I1866" t="s">
        <v>76</v>
      </c>
      <c r="J1866" t="s">
        <v>8001</v>
      </c>
    </row>
    <row r="1867" spans="1:10" x14ac:dyDescent="0.25">
      <c r="A1867" t="s">
        <v>12089</v>
      </c>
      <c r="B1867">
        <v>4.68</v>
      </c>
      <c r="C1867" t="s">
        <v>12090</v>
      </c>
      <c r="D1867" t="s">
        <v>870</v>
      </c>
      <c r="E1867" t="s">
        <v>12091</v>
      </c>
      <c r="F1867" t="s">
        <v>7672</v>
      </c>
      <c r="G1867" t="s">
        <v>12092</v>
      </c>
      <c r="H1867" t="s">
        <v>11496</v>
      </c>
      <c r="I1867" t="s">
        <v>12093</v>
      </c>
      <c r="J1867" t="s">
        <v>8780</v>
      </c>
    </row>
    <row r="1868" spans="1:10" x14ac:dyDescent="0.25">
      <c r="A1868" t="s">
        <v>12094</v>
      </c>
      <c r="B1868">
        <v>4.68</v>
      </c>
      <c r="C1868" t="s">
        <v>12095</v>
      </c>
      <c r="D1868" t="s">
        <v>3886</v>
      </c>
      <c r="E1868" t="s">
        <v>12091</v>
      </c>
      <c r="F1868" t="s">
        <v>7672</v>
      </c>
      <c r="G1868" t="s">
        <v>12092</v>
      </c>
      <c r="H1868" t="s">
        <v>11496</v>
      </c>
      <c r="I1868" t="s">
        <v>12093</v>
      </c>
      <c r="J1868" t="s">
        <v>12096</v>
      </c>
    </row>
    <row r="1869" spans="1:10" x14ac:dyDescent="0.25">
      <c r="A1869" t="s">
        <v>12097</v>
      </c>
      <c r="B1869">
        <v>4.68</v>
      </c>
      <c r="C1869" t="s">
        <v>12098</v>
      </c>
      <c r="D1869" t="s">
        <v>1715</v>
      </c>
      <c r="E1869" t="s">
        <v>12091</v>
      </c>
      <c r="F1869" t="s">
        <v>7672</v>
      </c>
      <c r="G1869" t="s">
        <v>12092</v>
      </c>
      <c r="H1869" t="s">
        <v>11496</v>
      </c>
      <c r="I1869" t="s">
        <v>12093</v>
      </c>
      <c r="J1869" t="s">
        <v>12099</v>
      </c>
    </row>
    <row r="1870" spans="1:10" x14ac:dyDescent="0.25">
      <c r="A1870" t="s">
        <v>12100</v>
      </c>
      <c r="B1870">
        <v>4.68</v>
      </c>
      <c r="C1870" t="s">
        <v>12101</v>
      </c>
      <c r="D1870" t="s">
        <v>12102</v>
      </c>
      <c r="E1870" t="s">
        <v>12091</v>
      </c>
      <c r="F1870" t="s">
        <v>7672</v>
      </c>
      <c r="G1870" t="s">
        <v>12092</v>
      </c>
      <c r="H1870" t="s">
        <v>11496</v>
      </c>
      <c r="I1870" t="s">
        <v>12093</v>
      </c>
      <c r="J1870" t="s">
        <v>12103</v>
      </c>
    </row>
    <row r="1871" spans="1:10" x14ac:dyDescent="0.25">
      <c r="A1871" t="s">
        <v>12104</v>
      </c>
      <c r="B1871">
        <v>7.9200000000000008</v>
      </c>
      <c r="C1871" t="s">
        <v>12105</v>
      </c>
      <c r="D1871" t="s">
        <v>53</v>
      </c>
      <c r="E1871" t="s">
        <v>12106</v>
      </c>
      <c r="F1871" t="s">
        <v>7672</v>
      </c>
      <c r="G1871" t="s">
        <v>12107</v>
      </c>
      <c r="H1871" t="s">
        <v>8301</v>
      </c>
      <c r="I1871" t="s">
        <v>8648</v>
      </c>
      <c r="J1871" t="s">
        <v>9107</v>
      </c>
    </row>
    <row r="1872" spans="1:10" x14ac:dyDescent="0.25">
      <c r="A1872" t="s">
        <v>12108</v>
      </c>
      <c r="B1872">
        <v>7.9200000000000008</v>
      </c>
      <c r="C1872" t="s">
        <v>12109</v>
      </c>
      <c r="D1872" t="s">
        <v>786</v>
      </c>
      <c r="E1872" t="s">
        <v>12106</v>
      </c>
      <c r="F1872" t="s">
        <v>7672</v>
      </c>
      <c r="G1872" t="s">
        <v>12107</v>
      </c>
      <c r="H1872" t="s">
        <v>8301</v>
      </c>
      <c r="I1872" t="s">
        <v>8158</v>
      </c>
      <c r="J1872" t="s">
        <v>9107</v>
      </c>
    </row>
    <row r="1873" spans="1:10" x14ac:dyDescent="0.25">
      <c r="A1873" t="s">
        <v>12110</v>
      </c>
      <c r="B1873">
        <v>7.9200000000000008</v>
      </c>
      <c r="C1873" t="s">
        <v>12111</v>
      </c>
      <c r="D1873" t="s">
        <v>3258</v>
      </c>
      <c r="E1873" t="s">
        <v>12106</v>
      </c>
      <c r="F1873" t="s">
        <v>7672</v>
      </c>
      <c r="G1873" t="s">
        <v>12107</v>
      </c>
      <c r="H1873" t="s">
        <v>8301</v>
      </c>
      <c r="I1873" t="s">
        <v>12112</v>
      </c>
      <c r="J1873" t="s">
        <v>9107</v>
      </c>
    </row>
    <row r="1874" spans="1:10" x14ac:dyDescent="0.25">
      <c r="A1874" t="s">
        <v>12113</v>
      </c>
      <c r="B1874">
        <v>7.9200000000000008</v>
      </c>
      <c r="C1874" t="s">
        <v>12114</v>
      </c>
      <c r="D1874" t="s">
        <v>277</v>
      </c>
      <c r="E1874" t="s">
        <v>12106</v>
      </c>
      <c r="F1874" t="s">
        <v>7672</v>
      </c>
      <c r="G1874" t="s">
        <v>12107</v>
      </c>
      <c r="H1874" t="s">
        <v>8301</v>
      </c>
      <c r="I1874" t="s">
        <v>8648</v>
      </c>
      <c r="J1874" t="s">
        <v>9110</v>
      </c>
    </row>
    <row r="1875" spans="1:10" x14ac:dyDescent="0.25">
      <c r="A1875" t="s">
        <v>12115</v>
      </c>
      <c r="B1875">
        <v>7.9200000000000008</v>
      </c>
      <c r="C1875" t="s">
        <v>12116</v>
      </c>
      <c r="D1875" t="s">
        <v>2804</v>
      </c>
      <c r="E1875" t="s">
        <v>12106</v>
      </c>
      <c r="F1875" t="s">
        <v>7672</v>
      </c>
      <c r="G1875" t="s">
        <v>12107</v>
      </c>
      <c r="H1875" t="s">
        <v>8301</v>
      </c>
      <c r="I1875" t="s">
        <v>12112</v>
      </c>
      <c r="J1875" t="s">
        <v>9110</v>
      </c>
    </row>
    <row r="1876" spans="1:10" x14ac:dyDescent="0.25">
      <c r="A1876" t="s">
        <v>12117</v>
      </c>
      <c r="B1876">
        <v>7.9200000000000008</v>
      </c>
      <c r="C1876" t="s">
        <v>12118</v>
      </c>
      <c r="D1876" t="s">
        <v>7670</v>
      </c>
      <c r="E1876" t="s">
        <v>12106</v>
      </c>
      <c r="F1876" t="s">
        <v>7672</v>
      </c>
      <c r="G1876" t="s">
        <v>12107</v>
      </c>
      <c r="H1876" t="s">
        <v>8301</v>
      </c>
      <c r="I1876" t="s">
        <v>8158</v>
      </c>
      <c r="J1876" t="s">
        <v>9110</v>
      </c>
    </row>
    <row r="1877" spans="1:10" x14ac:dyDescent="0.25">
      <c r="A1877" t="s">
        <v>12119</v>
      </c>
      <c r="B1877">
        <v>7.9200000000000008</v>
      </c>
      <c r="C1877" t="s">
        <v>12120</v>
      </c>
      <c r="D1877" t="s">
        <v>3572</v>
      </c>
      <c r="E1877" t="s">
        <v>12106</v>
      </c>
      <c r="F1877" t="s">
        <v>7672</v>
      </c>
      <c r="G1877" t="s">
        <v>12107</v>
      </c>
      <c r="H1877" t="s">
        <v>8301</v>
      </c>
      <c r="I1877" t="s">
        <v>12112</v>
      </c>
      <c r="J1877" t="s">
        <v>11368</v>
      </c>
    </row>
    <row r="1878" spans="1:10" x14ac:dyDescent="0.25">
      <c r="A1878" t="s">
        <v>12121</v>
      </c>
      <c r="B1878">
        <v>7.9200000000000008</v>
      </c>
      <c r="C1878" t="s">
        <v>12122</v>
      </c>
      <c r="D1878" t="s">
        <v>4679</v>
      </c>
      <c r="E1878" t="s">
        <v>12106</v>
      </c>
      <c r="F1878" t="s">
        <v>7672</v>
      </c>
      <c r="G1878" t="s">
        <v>12107</v>
      </c>
      <c r="H1878" t="s">
        <v>8301</v>
      </c>
      <c r="I1878" t="s">
        <v>8158</v>
      </c>
      <c r="J1878" t="s">
        <v>11368</v>
      </c>
    </row>
    <row r="1879" spans="1:10" x14ac:dyDescent="0.25">
      <c r="A1879" t="s">
        <v>12123</v>
      </c>
      <c r="B1879">
        <v>7.9200000000000008</v>
      </c>
      <c r="C1879" t="s">
        <v>12124</v>
      </c>
      <c r="D1879" t="s">
        <v>4924</v>
      </c>
      <c r="E1879" t="s">
        <v>12106</v>
      </c>
      <c r="F1879" t="s">
        <v>7672</v>
      </c>
      <c r="G1879" t="s">
        <v>12107</v>
      </c>
      <c r="H1879" t="s">
        <v>8301</v>
      </c>
      <c r="I1879" t="s">
        <v>12112</v>
      </c>
      <c r="J1879" t="s">
        <v>11373</v>
      </c>
    </row>
    <row r="1880" spans="1:10" x14ac:dyDescent="0.25">
      <c r="A1880" t="s">
        <v>12125</v>
      </c>
      <c r="B1880">
        <v>7.9200000000000008</v>
      </c>
      <c r="C1880" t="s">
        <v>12126</v>
      </c>
      <c r="D1880" t="s">
        <v>8786</v>
      </c>
      <c r="E1880" t="s">
        <v>12106</v>
      </c>
      <c r="F1880" t="s">
        <v>7672</v>
      </c>
      <c r="G1880" t="s">
        <v>12107</v>
      </c>
      <c r="H1880" t="s">
        <v>8301</v>
      </c>
      <c r="I1880" t="s">
        <v>8158</v>
      </c>
      <c r="J1880" t="s">
        <v>11373</v>
      </c>
    </row>
    <row r="1881" spans="1:10" x14ac:dyDescent="0.25">
      <c r="A1881" t="s">
        <v>12127</v>
      </c>
      <c r="B1881">
        <v>7.9200000000000008</v>
      </c>
      <c r="C1881" t="s">
        <v>12128</v>
      </c>
      <c r="D1881" t="s">
        <v>1949</v>
      </c>
      <c r="E1881" t="s">
        <v>12106</v>
      </c>
      <c r="F1881" t="s">
        <v>7672</v>
      </c>
      <c r="G1881" t="s">
        <v>12107</v>
      </c>
      <c r="H1881" t="s">
        <v>8301</v>
      </c>
      <c r="I1881" t="s">
        <v>12112</v>
      </c>
      <c r="J1881" t="s">
        <v>11376</v>
      </c>
    </row>
    <row r="1882" spans="1:10" x14ac:dyDescent="0.25">
      <c r="A1882" t="s">
        <v>12129</v>
      </c>
      <c r="B1882">
        <v>7.9200000000000008</v>
      </c>
      <c r="C1882" t="s">
        <v>12130</v>
      </c>
      <c r="D1882" t="s">
        <v>1621</v>
      </c>
      <c r="E1882" t="s">
        <v>12106</v>
      </c>
      <c r="F1882" t="s">
        <v>7672</v>
      </c>
      <c r="G1882" t="s">
        <v>12107</v>
      </c>
      <c r="H1882" t="s">
        <v>8301</v>
      </c>
      <c r="I1882" t="s">
        <v>8158</v>
      </c>
      <c r="J1882" t="s">
        <v>11376</v>
      </c>
    </row>
    <row r="1883" spans="1:10" x14ac:dyDescent="0.25">
      <c r="A1883" t="s">
        <v>12131</v>
      </c>
      <c r="B1883">
        <v>7.9200000000000008</v>
      </c>
      <c r="C1883" t="s">
        <v>12132</v>
      </c>
      <c r="D1883" t="s">
        <v>352</v>
      </c>
      <c r="E1883" t="s">
        <v>12106</v>
      </c>
      <c r="F1883" t="s">
        <v>7672</v>
      </c>
      <c r="G1883" t="s">
        <v>12107</v>
      </c>
      <c r="H1883" t="s">
        <v>8301</v>
      </c>
      <c r="I1883" t="s">
        <v>12112</v>
      </c>
      <c r="J1883" t="s">
        <v>9114</v>
      </c>
    </row>
    <row r="1884" spans="1:10" x14ac:dyDescent="0.25">
      <c r="A1884" t="s">
        <v>12133</v>
      </c>
      <c r="B1884">
        <v>15.992000000000001</v>
      </c>
      <c r="C1884" t="s">
        <v>12134</v>
      </c>
      <c r="D1884" t="s">
        <v>664</v>
      </c>
      <c r="E1884" t="s">
        <v>12135</v>
      </c>
      <c r="F1884" t="s">
        <v>7672</v>
      </c>
      <c r="G1884" t="s">
        <v>12136</v>
      </c>
      <c r="H1884" t="s">
        <v>12137</v>
      </c>
      <c r="I1884" t="s">
        <v>76</v>
      </c>
      <c r="J1884" t="s">
        <v>7966</v>
      </c>
    </row>
    <row r="1885" spans="1:10" x14ac:dyDescent="0.25">
      <c r="A1885" t="s">
        <v>12138</v>
      </c>
      <c r="B1885">
        <v>15.992000000000001</v>
      </c>
      <c r="C1885" t="s">
        <v>12139</v>
      </c>
      <c r="D1885" t="s">
        <v>144</v>
      </c>
      <c r="E1885" t="s">
        <v>12135</v>
      </c>
      <c r="F1885" t="s">
        <v>7672</v>
      </c>
      <c r="G1885" t="s">
        <v>12136</v>
      </c>
      <c r="H1885" t="s">
        <v>12137</v>
      </c>
      <c r="I1885" t="s">
        <v>76</v>
      </c>
      <c r="J1885" t="s">
        <v>131</v>
      </c>
    </row>
    <row r="1886" spans="1:10" x14ac:dyDescent="0.25">
      <c r="A1886" t="s">
        <v>12140</v>
      </c>
      <c r="B1886">
        <v>15.992000000000001</v>
      </c>
      <c r="C1886" t="s">
        <v>12141</v>
      </c>
      <c r="D1886" t="s">
        <v>46</v>
      </c>
      <c r="E1886" t="s">
        <v>12135</v>
      </c>
      <c r="F1886" t="s">
        <v>7672</v>
      </c>
      <c r="G1886" t="s">
        <v>12136</v>
      </c>
      <c r="H1886" t="s">
        <v>12137</v>
      </c>
      <c r="I1886" t="s">
        <v>76</v>
      </c>
      <c r="J1886" t="s">
        <v>7968</v>
      </c>
    </row>
    <row r="1887" spans="1:10" x14ac:dyDescent="0.25">
      <c r="A1887" t="s">
        <v>12142</v>
      </c>
      <c r="B1887">
        <v>15.992000000000001</v>
      </c>
      <c r="C1887" t="s">
        <v>12143</v>
      </c>
      <c r="D1887" t="s">
        <v>1573</v>
      </c>
      <c r="E1887" t="s">
        <v>12135</v>
      </c>
      <c r="F1887" t="s">
        <v>7672</v>
      </c>
      <c r="G1887" t="s">
        <v>12136</v>
      </c>
      <c r="H1887" t="s">
        <v>12137</v>
      </c>
      <c r="I1887" t="s">
        <v>76</v>
      </c>
      <c r="J1887" t="s">
        <v>576</v>
      </c>
    </row>
    <row r="1888" spans="1:10" x14ac:dyDescent="0.25">
      <c r="A1888" t="s">
        <v>12144</v>
      </c>
      <c r="B1888">
        <v>15.992000000000001</v>
      </c>
      <c r="C1888" t="s">
        <v>12145</v>
      </c>
      <c r="D1888" t="s">
        <v>996</v>
      </c>
      <c r="E1888" t="s">
        <v>12135</v>
      </c>
      <c r="F1888" t="s">
        <v>7672</v>
      </c>
      <c r="G1888" t="s">
        <v>12136</v>
      </c>
      <c r="H1888" t="s">
        <v>12137</v>
      </c>
      <c r="I1888" t="s">
        <v>76</v>
      </c>
      <c r="J1888" t="s">
        <v>7969</v>
      </c>
    </row>
    <row r="1889" spans="1:10" x14ac:dyDescent="0.25">
      <c r="A1889" t="s">
        <v>12146</v>
      </c>
      <c r="B1889">
        <v>8</v>
      </c>
      <c r="C1889" t="s">
        <v>12147</v>
      </c>
      <c r="D1889" t="s">
        <v>106</v>
      </c>
      <c r="E1889" t="s">
        <v>12148</v>
      </c>
      <c r="F1889" t="s">
        <v>7672</v>
      </c>
      <c r="G1889" t="s">
        <v>12149</v>
      </c>
      <c r="H1889" t="s">
        <v>7974</v>
      </c>
      <c r="I1889" t="s">
        <v>12150</v>
      </c>
      <c r="J1889" t="s">
        <v>7981</v>
      </c>
    </row>
    <row r="1890" spans="1:10" x14ac:dyDescent="0.25">
      <c r="A1890" t="s">
        <v>12151</v>
      </c>
      <c r="B1890">
        <v>8</v>
      </c>
      <c r="C1890" t="s">
        <v>12152</v>
      </c>
      <c r="D1890" t="s">
        <v>1236</v>
      </c>
      <c r="E1890" t="s">
        <v>12148</v>
      </c>
      <c r="F1890" t="s">
        <v>7672</v>
      </c>
      <c r="G1890" t="s">
        <v>12149</v>
      </c>
      <c r="H1890" t="s">
        <v>7974</v>
      </c>
      <c r="I1890" t="s">
        <v>12153</v>
      </c>
      <c r="J1890" t="s">
        <v>7981</v>
      </c>
    </row>
    <row r="1891" spans="1:10" x14ac:dyDescent="0.25">
      <c r="A1891" t="s">
        <v>12154</v>
      </c>
      <c r="B1891">
        <v>8</v>
      </c>
      <c r="C1891" t="s">
        <v>12155</v>
      </c>
      <c r="D1891" t="s">
        <v>2099</v>
      </c>
      <c r="E1891" t="s">
        <v>12148</v>
      </c>
      <c r="F1891" t="s">
        <v>7672</v>
      </c>
      <c r="G1891" t="s">
        <v>12149</v>
      </c>
      <c r="H1891" t="s">
        <v>7974</v>
      </c>
      <c r="I1891" t="s">
        <v>12150</v>
      </c>
      <c r="J1891" t="s">
        <v>7984</v>
      </c>
    </row>
    <row r="1892" spans="1:10" x14ac:dyDescent="0.25">
      <c r="A1892" t="s">
        <v>12156</v>
      </c>
      <c r="B1892">
        <v>8</v>
      </c>
      <c r="C1892" t="s">
        <v>12157</v>
      </c>
      <c r="D1892" t="s">
        <v>1949</v>
      </c>
      <c r="E1892" t="s">
        <v>12148</v>
      </c>
      <c r="F1892" t="s">
        <v>7672</v>
      </c>
      <c r="G1892" t="s">
        <v>12149</v>
      </c>
      <c r="H1892" t="s">
        <v>7974</v>
      </c>
      <c r="I1892" t="s">
        <v>12153</v>
      </c>
      <c r="J1892" t="s">
        <v>7984</v>
      </c>
    </row>
    <row r="1893" spans="1:10" x14ac:dyDescent="0.25">
      <c r="A1893" t="s">
        <v>12158</v>
      </c>
      <c r="B1893">
        <v>8</v>
      </c>
      <c r="C1893" t="s">
        <v>12159</v>
      </c>
      <c r="D1893" t="s">
        <v>296</v>
      </c>
      <c r="E1893" t="s">
        <v>12148</v>
      </c>
      <c r="F1893" t="s">
        <v>7672</v>
      </c>
      <c r="G1893" t="s">
        <v>12149</v>
      </c>
      <c r="H1893" t="s">
        <v>7974</v>
      </c>
      <c r="I1893" t="s">
        <v>12160</v>
      </c>
      <c r="J1893" t="s">
        <v>7984</v>
      </c>
    </row>
    <row r="1894" spans="1:10" x14ac:dyDescent="0.25">
      <c r="A1894" t="s">
        <v>12161</v>
      </c>
      <c r="B1894">
        <v>8</v>
      </c>
      <c r="C1894" t="s">
        <v>12162</v>
      </c>
      <c r="D1894" t="s">
        <v>1811</v>
      </c>
      <c r="E1894" t="s">
        <v>12148</v>
      </c>
      <c r="F1894" t="s">
        <v>7672</v>
      </c>
      <c r="G1894" t="s">
        <v>12149</v>
      </c>
      <c r="H1894" t="s">
        <v>7974</v>
      </c>
      <c r="I1894" t="s">
        <v>12160</v>
      </c>
      <c r="J1894" t="s">
        <v>7987</v>
      </c>
    </row>
    <row r="1895" spans="1:10" x14ac:dyDescent="0.25">
      <c r="A1895" t="s">
        <v>12163</v>
      </c>
      <c r="B1895">
        <v>8</v>
      </c>
      <c r="C1895" t="s">
        <v>12164</v>
      </c>
      <c r="D1895" t="s">
        <v>613</v>
      </c>
      <c r="E1895" t="s">
        <v>12148</v>
      </c>
      <c r="F1895" t="s">
        <v>7672</v>
      </c>
      <c r="G1895" t="s">
        <v>12149</v>
      </c>
      <c r="H1895" t="s">
        <v>7974</v>
      </c>
      <c r="I1895" t="s">
        <v>12153</v>
      </c>
      <c r="J1895" t="s">
        <v>7987</v>
      </c>
    </row>
    <row r="1896" spans="1:10" x14ac:dyDescent="0.25">
      <c r="A1896" t="s">
        <v>12165</v>
      </c>
      <c r="B1896">
        <v>8</v>
      </c>
      <c r="C1896" t="s">
        <v>12166</v>
      </c>
      <c r="D1896" t="s">
        <v>2078</v>
      </c>
      <c r="E1896" t="s">
        <v>12148</v>
      </c>
      <c r="F1896" t="s">
        <v>7672</v>
      </c>
      <c r="G1896" t="s">
        <v>12149</v>
      </c>
      <c r="H1896" t="s">
        <v>7974</v>
      </c>
      <c r="I1896" t="s">
        <v>12160</v>
      </c>
      <c r="J1896" t="s">
        <v>8001</v>
      </c>
    </row>
    <row r="1897" spans="1:10" x14ac:dyDescent="0.25">
      <c r="A1897" t="s">
        <v>12167</v>
      </c>
      <c r="B1897">
        <v>8</v>
      </c>
      <c r="C1897" t="s">
        <v>12168</v>
      </c>
      <c r="D1897" t="s">
        <v>913</v>
      </c>
      <c r="E1897" t="s">
        <v>12148</v>
      </c>
      <c r="F1897" t="s">
        <v>7672</v>
      </c>
      <c r="G1897" t="s">
        <v>12149</v>
      </c>
      <c r="H1897" t="s">
        <v>7974</v>
      </c>
      <c r="I1897" t="s">
        <v>12153</v>
      </c>
      <c r="J1897" t="s">
        <v>8001</v>
      </c>
    </row>
    <row r="1898" spans="1:10" x14ac:dyDescent="0.25">
      <c r="A1898" t="s">
        <v>12169</v>
      </c>
      <c r="B1898">
        <v>8</v>
      </c>
      <c r="C1898" t="s">
        <v>12170</v>
      </c>
      <c r="D1898" t="s">
        <v>379</v>
      </c>
      <c r="E1898" t="s">
        <v>12148</v>
      </c>
      <c r="F1898" t="s">
        <v>7672</v>
      </c>
      <c r="G1898" t="s">
        <v>12149</v>
      </c>
      <c r="H1898" t="s">
        <v>7974</v>
      </c>
      <c r="I1898" t="s">
        <v>12150</v>
      </c>
      <c r="J1898" t="s">
        <v>8001</v>
      </c>
    </row>
    <row r="1899" spans="1:10" x14ac:dyDescent="0.25">
      <c r="A1899" t="s">
        <v>12171</v>
      </c>
      <c r="B1899">
        <v>8</v>
      </c>
      <c r="C1899" t="s">
        <v>12172</v>
      </c>
      <c r="D1899" t="s">
        <v>95</v>
      </c>
      <c r="E1899" t="s">
        <v>12148</v>
      </c>
      <c r="F1899" t="s">
        <v>7672</v>
      </c>
      <c r="G1899" t="s">
        <v>12149</v>
      </c>
      <c r="H1899" t="s">
        <v>7974</v>
      </c>
      <c r="I1899" t="s">
        <v>12153</v>
      </c>
      <c r="J1899" t="s">
        <v>8013</v>
      </c>
    </row>
    <row r="1900" spans="1:10" x14ac:dyDescent="0.25">
      <c r="A1900" t="s">
        <v>12173</v>
      </c>
      <c r="B1900">
        <v>8</v>
      </c>
      <c r="C1900" t="s">
        <v>12174</v>
      </c>
      <c r="D1900" t="s">
        <v>113</v>
      </c>
      <c r="E1900" t="s">
        <v>12148</v>
      </c>
      <c r="F1900" t="s">
        <v>7672</v>
      </c>
      <c r="G1900" t="s">
        <v>12149</v>
      </c>
      <c r="H1900" t="s">
        <v>7974</v>
      </c>
      <c r="I1900" t="s">
        <v>12160</v>
      </c>
      <c r="J1900" t="s">
        <v>8013</v>
      </c>
    </row>
    <row r="1901" spans="1:10" x14ac:dyDescent="0.25">
      <c r="A1901" t="s">
        <v>12175</v>
      </c>
      <c r="B1901">
        <v>8</v>
      </c>
      <c r="C1901" t="s">
        <v>12176</v>
      </c>
      <c r="D1901" t="s">
        <v>131</v>
      </c>
      <c r="E1901" t="s">
        <v>12148</v>
      </c>
      <c r="F1901" t="s">
        <v>7672</v>
      </c>
      <c r="G1901" t="s">
        <v>12149</v>
      </c>
      <c r="H1901" t="s">
        <v>7974</v>
      </c>
      <c r="I1901" t="s">
        <v>12150</v>
      </c>
      <c r="J1901" t="s">
        <v>8013</v>
      </c>
    </row>
    <row r="1902" spans="1:10" x14ac:dyDescent="0.25">
      <c r="A1902" t="s">
        <v>12177</v>
      </c>
      <c r="B1902">
        <v>24.295999999999999</v>
      </c>
      <c r="C1902" t="s">
        <v>12178</v>
      </c>
      <c r="D1902" t="s">
        <v>843</v>
      </c>
      <c r="E1902" t="s">
        <v>12179</v>
      </c>
      <c r="F1902" t="s">
        <v>7672</v>
      </c>
      <c r="G1902" t="s">
        <v>12180</v>
      </c>
      <c r="H1902" t="s">
        <v>8779</v>
      </c>
      <c r="I1902" t="s">
        <v>12181</v>
      </c>
      <c r="J1902" t="s">
        <v>12182</v>
      </c>
    </row>
    <row r="1903" spans="1:10" x14ac:dyDescent="0.25">
      <c r="A1903" t="s">
        <v>12183</v>
      </c>
      <c r="B1903">
        <v>24.295999999999999</v>
      </c>
      <c r="C1903" t="s">
        <v>12184</v>
      </c>
      <c r="D1903" t="s">
        <v>1827</v>
      </c>
      <c r="E1903" t="s">
        <v>12179</v>
      </c>
      <c r="F1903" t="s">
        <v>7672</v>
      </c>
      <c r="G1903" t="s">
        <v>12180</v>
      </c>
      <c r="H1903" t="s">
        <v>8779</v>
      </c>
      <c r="I1903" t="s">
        <v>1243</v>
      </c>
      <c r="J1903" t="s">
        <v>12182</v>
      </c>
    </row>
    <row r="1904" spans="1:10" x14ac:dyDescent="0.25">
      <c r="A1904" t="s">
        <v>12185</v>
      </c>
      <c r="B1904">
        <v>24.295999999999999</v>
      </c>
      <c r="C1904" t="s">
        <v>12186</v>
      </c>
      <c r="D1904" t="s">
        <v>250</v>
      </c>
      <c r="E1904" t="s">
        <v>12179</v>
      </c>
      <c r="F1904" t="s">
        <v>7672</v>
      </c>
      <c r="G1904" t="s">
        <v>12180</v>
      </c>
      <c r="H1904" t="s">
        <v>8779</v>
      </c>
      <c r="I1904" t="s">
        <v>1243</v>
      </c>
      <c r="J1904" t="s">
        <v>10150</v>
      </c>
    </row>
    <row r="1905" spans="1:10" x14ac:dyDescent="0.25">
      <c r="A1905" t="s">
        <v>2829</v>
      </c>
      <c r="B1905">
        <v>13.2</v>
      </c>
      <c r="C1905" t="s">
        <v>2831</v>
      </c>
      <c r="D1905" t="s">
        <v>715</v>
      </c>
      <c r="E1905" t="s">
        <v>2832</v>
      </c>
      <c r="F1905" t="s">
        <v>7672</v>
      </c>
      <c r="G1905" t="s">
        <v>12187</v>
      </c>
      <c r="H1905" t="s">
        <v>8078</v>
      </c>
      <c r="I1905" t="s">
        <v>12188</v>
      </c>
      <c r="J1905" t="s">
        <v>8427</v>
      </c>
    </row>
    <row r="1906" spans="1:10" x14ac:dyDescent="0.25">
      <c r="A1906" t="s">
        <v>2836</v>
      </c>
      <c r="B1906">
        <v>13.2</v>
      </c>
      <c r="C1906" t="s">
        <v>2838</v>
      </c>
      <c r="D1906" t="s">
        <v>1874</v>
      </c>
      <c r="E1906" t="s">
        <v>2832</v>
      </c>
      <c r="F1906" t="s">
        <v>7672</v>
      </c>
      <c r="G1906" t="s">
        <v>12187</v>
      </c>
      <c r="H1906" t="s">
        <v>8078</v>
      </c>
      <c r="I1906" t="s">
        <v>12189</v>
      </c>
      <c r="J1906" t="s">
        <v>8427</v>
      </c>
    </row>
    <row r="1907" spans="1:10" x14ac:dyDescent="0.25">
      <c r="A1907" t="s">
        <v>2841</v>
      </c>
      <c r="B1907">
        <v>13.2</v>
      </c>
      <c r="C1907" t="s">
        <v>2843</v>
      </c>
      <c r="D1907" t="s">
        <v>2845</v>
      </c>
      <c r="E1907" t="s">
        <v>2832</v>
      </c>
      <c r="F1907" t="s">
        <v>7672</v>
      </c>
      <c r="G1907" t="s">
        <v>12187</v>
      </c>
      <c r="H1907" t="s">
        <v>8078</v>
      </c>
      <c r="I1907" t="s">
        <v>12188</v>
      </c>
      <c r="J1907" t="s">
        <v>8439</v>
      </c>
    </row>
    <row r="1908" spans="1:10" x14ac:dyDescent="0.25">
      <c r="A1908" t="s">
        <v>2846</v>
      </c>
      <c r="B1908">
        <v>13.2</v>
      </c>
      <c r="C1908" t="s">
        <v>2848</v>
      </c>
      <c r="D1908" t="s">
        <v>2850</v>
      </c>
      <c r="E1908" t="s">
        <v>2832</v>
      </c>
      <c r="F1908" t="s">
        <v>7672</v>
      </c>
      <c r="G1908" t="s">
        <v>12187</v>
      </c>
      <c r="H1908" t="s">
        <v>8078</v>
      </c>
      <c r="I1908" t="s">
        <v>12189</v>
      </c>
      <c r="J1908" t="s">
        <v>8439</v>
      </c>
    </row>
    <row r="1909" spans="1:10" x14ac:dyDescent="0.25">
      <c r="A1909" t="s">
        <v>2851</v>
      </c>
      <c r="B1909">
        <v>13.2</v>
      </c>
      <c r="C1909" t="s">
        <v>2853</v>
      </c>
      <c r="D1909" t="s">
        <v>2855</v>
      </c>
      <c r="E1909" t="s">
        <v>2832</v>
      </c>
      <c r="F1909" t="s">
        <v>7672</v>
      </c>
      <c r="G1909" t="s">
        <v>12187</v>
      </c>
      <c r="H1909" t="s">
        <v>8078</v>
      </c>
      <c r="I1909" t="s">
        <v>12188</v>
      </c>
      <c r="J1909" t="s">
        <v>8451</v>
      </c>
    </row>
    <row r="1910" spans="1:10" x14ac:dyDescent="0.25">
      <c r="A1910" t="s">
        <v>2856</v>
      </c>
      <c r="B1910">
        <v>13.2</v>
      </c>
      <c r="C1910" t="s">
        <v>2858</v>
      </c>
      <c r="D1910" t="s">
        <v>416</v>
      </c>
      <c r="E1910" t="s">
        <v>2832</v>
      </c>
      <c r="F1910" t="s">
        <v>7672</v>
      </c>
      <c r="G1910" t="s">
        <v>12187</v>
      </c>
      <c r="H1910" t="s">
        <v>8078</v>
      </c>
      <c r="I1910" t="s">
        <v>12189</v>
      </c>
      <c r="J1910" t="s">
        <v>8451</v>
      </c>
    </row>
    <row r="1911" spans="1:10" x14ac:dyDescent="0.25">
      <c r="A1911" t="s">
        <v>12190</v>
      </c>
      <c r="B1911">
        <v>16.792000000000002</v>
      </c>
      <c r="C1911" t="s">
        <v>12191</v>
      </c>
      <c r="D1911" t="s">
        <v>835</v>
      </c>
      <c r="E1911" t="s">
        <v>12192</v>
      </c>
      <c r="F1911" t="s">
        <v>7672</v>
      </c>
      <c r="G1911" t="s">
        <v>12193</v>
      </c>
      <c r="H1911" t="s">
        <v>11598</v>
      </c>
      <c r="I1911" t="s">
        <v>12194</v>
      </c>
      <c r="J1911" t="s">
        <v>7942</v>
      </c>
    </row>
    <row r="1912" spans="1:10" x14ac:dyDescent="0.25">
      <c r="A1912" t="s">
        <v>12195</v>
      </c>
      <c r="B1912">
        <v>16.792000000000002</v>
      </c>
      <c r="C1912" t="s">
        <v>12196</v>
      </c>
      <c r="D1912" t="s">
        <v>875</v>
      </c>
      <c r="E1912" t="s">
        <v>12192</v>
      </c>
      <c r="F1912" t="s">
        <v>7672</v>
      </c>
      <c r="G1912" t="s">
        <v>12193</v>
      </c>
      <c r="H1912" t="s">
        <v>11598</v>
      </c>
      <c r="I1912" t="s">
        <v>12197</v>
      </c>
      <c r="J1912" t="s">
        <v>7942</v>
      </c>
    </row>
    <row r="1913" spans="1:10" x14ac:dyDescent="0.25">
      <c r="A1913" t="s">
        <v>12198</v>
      </c>
      <c r="B1913">
        <v>16.792000000000002</v>
      </c>
      <c r="C1913" t="s">
        <v>12199</v>
      </c>
      <c r="D1913" t="s">
        <v>1822</v>
      </c>
      <c r="E1913" t="s">
        <v>12192</v>
      </c>
      <c r="F1913" t="s">
        <v>7672</v>
      </c>
      <c r="G1913" t="s">
        <v>12193</v>
      </c>
      <c r="H1913" t="s">
        <v>11598</v>
      </c>
      <c r="I1913" t="s">
        <v>76</v>
      </c>
      <c r="J1913" t="s">
        <v>7942</v>
      </c>
    </row>
    <row r="1914" spans="1:10" x14ac:dyDescent="0.25">
      <c r="A1914" t="s">
        <v>12200</v>
      </c>
      <c r="B1914">
        <v>16.792000000000002</v>
      </c>
      <c r="C1914" t="s">
        <v>12201</v>
      </c>
      <c r="D1914" t="s">
        <v>875</v>
      </c>
      <c r="E1914" t="s">
        <v>12192</v>
      </c>
      <c r="F1914" t="s">
        <v>7672</v>
      </c>
      <c r="G1914" t="s">
        <v>12193</v>
      </c>
      <c r="H1914" t="s">
        <v>11598</v>
      </c>
      <c r="I1914" t="s">
        <v>12194</v>
      </c>
      <c r="J1914" t="s">
        <v>8013</v>
      </c>
    </row>
    <row r="1915" spans="1:10" x14ac:dyDescent="0.25">
      <c r="A1915" t="s">
        <v>2860</v>
      </c>
      <c r="B1915">
        <v>39.6</v>
      </c>
      <c r="C1915" t="s">
        <v>2862</v>
      </c>
      <c r="D1915" t="s">
        <v>1014</v>
      </c>
      <c r="E1915" t="s">
        <v>2863</v>
      </c>
      <c r="F1915" t="s">
        <v>7672</v>
      </c>
      <c r="G1915" t="s">
        <v>12202</v>
      </c>
      <c r="H1915" t="s">
        <v>9232</v>
      </c>
      <c r="I1915" t="s">
        <v>2866</v>
      </c>
      <c r="J1915" t="s">
        <v>7675</v>
      </c>
    </row>
    <row r="1916" spans="1:10" x14ac:dyDescent="0.25">
      <c r="A1916" t="s">
        <v>2867</v>
      </c>
      <c r="B1916">
        <v>39.6</v>
      </c>
      <c r="C1916" t="s">
        <v>2869</v>
      </c>
      <c r="D1916" t="s">
        <v>516</v>
      </c>
      <c r="E1916" t="s">
        <v>2863</v>
      </c>
      <c r="F1916" t="s">
        <v>7672</v>
      </c>
      <c r="G1916" t="s">
        <v>12202</v>
      </c>
      <c r="H1916" t="s">
        <v>9232</v>
      </c>
      <c r="I1916" t="s">
        <v>1211</v>
      </c>
      <c r="J1916" t="s">
        <v>7675</v>
      </c>
    </row>
    <row r="1917" spans="1:10" x14ac:dyDescent="0.25">
      <c r="A1917" t="s">
        <v>2871</v>
      </c>
      <c r="B1917">
        <v>39.6</v>
      </c>
      <c r="C1917" t="s">
        <v>2873</v>
      </c>
      <c r="D1917" t="s">
        <v>95</v>
      </c>
      <c r="E1917" t="s">
        <v>2863</v>
      </c>
      <c r="F1917" t="s">
        <v>7672</v>
      </c>
      <c r="G1917" t="s">
        <v>12202</v>
      </c>
      <c r="H1917" t="s">
        <v>9232</v>
      </c>
      <c r="I1917" t="s">
        <v>2213</v>
      </c>
      <c r="J1917" t="s">
        <v>7675</v>
      </c>
    </row>
    <row r="1918" spans="1:10" x14ac:dyDescent="0.25">
      <c r="A1918" t="s">
        <v>2875</v>
      </c>
      <c r="B1918">
        <v>39.6</v>
      </c>
      <c r="C1918" t="s">
        <v>2877</v>
      </c>
      <c r="D1918" t="s">
        <v>2879</v>
      </c>
      <c r="E1918" t="s">
        <v>2863</v>
      </c>
      <c r="F1918" t="s">
        <v>7672</v>
      </c>
      <c r="G1918" t="s">
        <v>12202</v>
      </c>
      <c r="H1918" t="s">
        <v>9232</v>
      </c>
      <c r="I1918" t="s">
        <v>2213</v>
      </c>
      <c r="J1918" t="s">
        <v>7686</v>
      </c>
    </row>
    <row r="1919" spans="1:10" x14ac:dyDescent="0.25">
      <c r="A1919" t="s">
        <v>2880</v>
      </c>
      <c r="B1919">
        <v>39.6</v>
      </c>
      <c r="C1919" t="s">
        <v>2882</v>
      </c>
      <c r="D1919" t="s">
        <v>2884</v>
      </c>
      <c r="E1919" t="s">
        <v>2863</v>
      </c>
      <c r="F1919" t="s">
        <v>7672</v>
      </c>
      <c r="G1919" t="s">
        <v>12202</v>
      </c>
      <c r="H1919" t="s">
        <v>9232</v>
      </c>
      <c r="I1919" t="s">
        <v>2866</v>
      </c>
      <c r="J1919" t="s">
        <v>7686</v>
      </c>
    </row>
    <row r="1920" spans="1:10" x14ac:dyDescent="0.25">
      <c r="A1920" t="s">
        <v>2885</v>
      </c>
      <c r="B1920">
        <v>39.6</v>
      </c>
      <c r="C1920" t="s">
        <v>2887</v>
      </c>
      <c r="D1920" t="s">
        <v>2022</v>
      </c>
      <c r="E1920" t="s">
        <v>2863</v>
      </c>
      <c r="F1920" t="s">
        <v>7672</v>
      </c>
      <c r="G1920" t="s">
        <v>12202</v>
      </c>
      <c r="H1920" t="s">
        <v>9232</v>
      </c>
      <c r="I1920" t="s">
        <v>1211</v>
      </c>
      <c r="J1920" t="s">
        <v>7686</v>
      </c>
    </row>
    <row r="1921" spans="1:10" x14ac:dyDescent="0.25">
      <c r="A1921" t="s">
        <v>2889</v>
      </c>
      <c r="B1921">
        <v>39.6</v>
      </c>
      <c r="C1921" t="s">
        <v>2891</v>
      </c>
      <c r="D1921" t="s">
        <v>229</v>
      </c>
      <c r="E1921" t="s">
        <v>2863</v>
      </c>
      <c r="F1921" t="s">
        <v>7672</v>
      </c>
      <c r="G1921" t="s">
        <v>12202</v>
      </c>
      <c r="H1921" t="s">
        <v>9232</v>
      </c>
      <c r="I1921" t="s">
        <v>1211</v>
      </c>
      <c r="J1921" t="s">
        <v>7703</v>
      </c>
    </row>
    <row r="1922" spans="1:10" x14ac:dyDescent="0.25">
      <c r="A1922" t="s">
        <v>2893</v>
      </c>
      <c r="B1922">
        <v>39.6</v>
      </c>
      <c r="C1922" t="s">
        <v>2895</v>
      </c>
      <c r="D1922" t="s">
        <v>933</v>
      </c>
      <c r="E1922" t="s">
        <v>2863</v>
      </c>
      <c r="F1922" t="s">
        <v>7672</v>
      </c>
      <c r="G1922" t="s">
        <v>12202</v>
      </c>
      <c r="H1922" t="s">
        <v>9232</v>
      </c>
      <c r="I1922" t="s">
        <v>2866</v>
      </c>
      <c r="J1922" t="s">
        <v>7703</v>
      </c>
    </row>
    <row r="1923" spans="1:10" x14ac:dyDescent="0.25">
      <c r="A1923" t="s">
        <v>2897</v>
      </c>
      <c r="B1923">
        <v>39.6</v>
      </c>
      <c r="C1923" t="s">
        <v>2899</v>
      </c>
      <c r="D1923" t="s">
        <v>234</v>
      </c>
      <c r="E1923" t="s">
        <v>2863</v>
      </c>
      <c r="F1923" t="s">
        <v>7672</v>
      </c>
      <c r="G1923" t="s">
        <v>12202</v>
      </c>
      <c r="H1923" t="s">
        <v>9232</v>
      </c>
      <c r="I1923" t="s">
        <v>2866</v>
      </c>
      <c r="J1923" t="s">
        <v>7713</v>
      </c>
    </row>
    <row r="1924" spans="1:10" x14ac:dyDescent="0.25">
      <c r="A1924" t="s">
        <v>2901</v>
      </c>
      <c r="B1924">
        <v>39.6</v>
      </c>
      <c r="C1924" t="s">
        <v>2903</v>
      </c>
      <c r="D1924" t="s">
        <v>113</v>
      </c>
      <c r="E1924" t="s">
        <v>2863</v>
      </c>
      <c r="F1924" t="s">
        <v>7672</v>
      </c>
      <c r="G1924" t="s">
        <v>12202</v>
      </c>
      <c r="H1924" t="s">
        <v>9232</v>
      </c>
      <c r="I1924" t="s">
        <v>2866</v>
      </c>
      <c r="J1924" t="s">
        <v>7719</v>
      </c>
    </row>
    <row r="1925" spans="1:10" x14ac:dyDescent="0.25">
      <c r="A1925" t="s">
        <v>12203</v>
      </c>
      <c r="B1925">
        <v>11.192</v>
      </c>
      <c r="C1925" t="s">
        <v>12204</v>
      </c>
      <c r="D1925" t="s">
        <v>742</v>
      </c>
      <c r="E1925" t="s">
        <v>12205</v>
      </c>
      <c r="F1925" t="s">
        <v>7672</v>
      </c>
      <c r="G1925" t="s">
        <v>12206</v>
      </c>
      <c r="H1925" t="s">
        <v>11598</v>
      </c>
      <c r="I1925" t="s">
        <v>12207</v>
      </c>
      <c r="J1925" t="s">
        <v>7942</v>
      </c>
    </row>
    <row r="1926" spans="1:10" x14ac:dyDescent="0.25">
      <c r="A1926" t="s">
        <v>12208</v>
      </c>
      <c r="B1926">
        <v>11.192</v>
      </c>
      <c r="C1926" t="s">
        <v>12209</v>
      </c>
      <c r="D1926" t="s">
        <v>4327</v>
      </c>
      <c r="E1926" t="s">
        <v>12205</v>
      </c>
      <c r="F1926" t="s">
        <v>7672</v>
      </c>
      <c r="G1926" t="s">
        <v>12206</v>
      </c>
      <c r="H1926" t="s">
        <v>11598</v>
      </c>
      <c r="I1926" t="s">
        <v>12210</v>
      </c>
      <c r="J1926" t="s">
        <v>7942</v>
      </c>
    </row>
    <row r="1927" spans="1:10" x14ac:dyDescent="0.25">
      <c r="A1927" t="s">
        <v>12211</v>
      </c>
      <c r="B1927">
        <v>11.192</v>
      </c>
      <c r="C1927" t="s">
        <v>12212</v>
      </c>
      <c r="D1927" t="s">
        <v>959</v>
      </c>
      <c r="E1927" t="s">
        <v>12205</v>
      </c>
      <c r="F1927" t="s">
        <v>7672</v>
      </c>
      <c r="G1927" t="s">
        <v>12206</v>
      </c>
      <c r="H1927" t="s">
        <v>11598</v>
      </c>
      <c r="I1927" t="s">
        <v>12213</v>
      </c>
      <c r="J1927" t="s">
        <v>7942</v>
      </c>
    </row>
    <row r="1928" spans="1:10" x14ac:dyDescent="0.25">
      <c r="A1928" t="s">
        <v>12214</v>
      </c>
      <c r="B1928">
        <v>11.192</v>
      </c>
      <c r="C1928" t="s">
        <v>12215</v>
      </c>
      <c r="D1928" t="s">
        <v>277</v>
      </c>
      <c r="E1928" t="s">
        <v>12205</v>
      </c>
      <c r="F1928" t="s">
        <v>7672</v>
      </c>
      <c r="G1928" t="s">
        <v>12206</v>
      </c>
      <c r="H1928" t="s">
        <v>11598</v>
      </c>
      <c r="I1928" t="s">
        <v>12216</v>
      </c>
      <c r="J1928" t="s">
        <v>7942</v>
      </c>
    </row>
    <row r="1929" spans="1:10" x14ac:dyDescent="0.25">
      <c r="A1929" t="s">
        <v>12217</v>
      </c>
      <c r="B1929">
        <v>11.192</v>
      </c>
      <c r="C1929" t="s">
        <v>12218</v>
      </c>
      <c r="D1929" t="s">
        <v>436</v>
      </c>
      <c r="E1929" t="s">
        <v>12205</v>
      </c>
      <c r="F1929" t="s">
        <v>7672</v>
      </c>
      <c r="G1929" t="s">
        <v>12206</v>
      </c>
      <c r="H1929" t="s">
        <v>11598</v>
      </c>
      <c r="I1929" t="s">
        <v>12207</v>
      </c>
      <c r="J1929" t="s">
        <v>7981</v>
      </c>
    </row>
    <row r="1930" spans="1:10" x14ac:dyDescent="0.25">
      <c r="A1930" t="s">
        <v>12219</v>
      </c>
      <c r="B1930">
        <v>11.192</v>
      </c>
      <c r="C1930" t="s">
        <v>12220</v>
      </c>
      <c r="D1930" t="s">
        <v>654</v>
      </c>
      <c r="E1930" t="s">
        <v>12205</v>
      </c>
      <c r="F1930" t="s">
        <v>7672</v>
      </c>
      <c r="G1930" t="s">
        <v>12206</v>
      </c>
      <c r="H1930" t="s">
        <v>11598</v>
      </c>
      <c r="I1930" t="s">
        <v>12210</v>
      </c>
      <c r="J1930" t="s">
        <v>7981</v>
      </c>
    </row>
    <row r="1931" spans="1:10" x14ac:dyDescent="0.25">
      <c r="A1931" t="s">
        <v>12221</v>
      </c>
      <c r="B1931">
        <v>11.192</v>
      </c>
      <c r="C1931" t="s">
        <v>12222</v>
      </c>
      <c r="D1931" t="s">
        <v>12223</v>
      </c>
      <c r="E1931" t="s">
        <v>12205</v>
      </c>
      <c r="F1931" t="s">
        <v>7672</v>
      </c>
      <c r="G1931" t="s">
        <v>12206</v>
      </c>
      <c r="H1931" t="s">
        <v>11598</v>
      </c>
      <c r="I1931" t="s">
        <v>12210</v>
      </c>
      <c r="J1931" t="s">
        <v>7984</v>
      </c>
    </row>
    <row r="1932" spans="1:10" x14ac:dyDescent="0.25">
      <c r="A1932" t="s">
        <v>12224</v>
      </c>
      <c r="B1932">
        <v>11.192</v>
      </c>
      <c r="C1932" t="s">
        <v>12225</v>
      </c>
      <c r="D1932" t="s">
        <v>11257</v>
      </c>
      <c r="E1932" t="s">
        <v>12205</v>
      </c>
      <c r="F1932" t="s">
        <v>7672</v>
      </c>
      <c r="G1932" t="s">
        <v>12206</v>
      </c>
      <c r="H1932" t="s">
        <v>11598</v>
      </c>
      <c r="I1932" t="s">
        <v>12210</v>
      </c>
      <c r="J1932" t="s">
        <v>7987</v>
      </c>
    </row>
    <row r="1933" spans="1:10" x14ac:dyDescent="0.25">
      <c r="A1933" t="s">
        <v>12226</v>
      </c>
      <c r="B1933">
        <v>11.192</v>
      </c>
      <c r="C1933" t="s">
        <v>12227</v>
      </c>
      <c r="D1933" t="s">
        <v>9312</v>
      </c>
      <c r="E1933" t="s">
        <v>12205</v>
      </c>
      <c r="F1933" t="s">
        <v>7672</v>
      </c>
      <c r="G1933" t="s">
        <v>12206</v>
      </c>
      <c r="H1933" t="s">
        <v>11598</v>
      </c>
      <c r="I1933" t="s">
        <v>12210</v>
      </c>
      <c r="J1933" t="s">
        <v>8001</v>
      </c>
    </row>
    <row r="1934" spans="1:10" x14ac:dyDescent="0.25">
      <c r="A1934" t="s">
        <v>12228</v>
      </c>
      <c r="B1934">
        <v>9.9920000000000009</v>
      </c>
      <c r="C1934" t="s">
        <v>12229</v>
      </c>
      <c r="D1934" t="s">
        <v>118</v>
      </c>
      <c r="E1934" t="s">
        <v>12230</v>
      </c>
      <c r="F1934" t="s">
        <v>7672</v>
      </c>
      <c r="G1934" t="s">
        <v>12231</v>
      </c>
      <c r="H1934" t="s">
        <v>12232</v>
      </c>
      <c r="I1934" t="s">
        <v>76</v>
      </c>
      <c r="J1934" t="s">
        <v>7942</v>
      </c>
    </row>
    <row r="1935" spans="1:10" x14ac:dyDescent="0.25">
      <c r="A1935" t="s">
        <v>12233</v>
      </c>
      <c r="B1935">
        <v>9.9920000000000009</v>
      </c>
      <c r="C1935" t="s">
        <v>12234</v>
      </c>
      <c r="D1935" t="s">
        <v>926</v>
      </c>
      <c r="E1935" t="s">
        <v>12230</v>
      </c>
      <c r="F1935" t="s">
        <v>7672</v>
      </c>
      <c r="G1935" t="s">
        <v>12231</v>
      </c>
      <c r="H1935" t="s">
        <v>12232</v>
      </c>
      <c r="I1935" t="s">
        <v>76</v>
      </c>
      <c r="J1935" t="s">
        <v>8001</v>
      </c>
    </row>
    <row r="1936" spans="1:10" x14ac:dyDescent="0.25">
      <c r="A1936" t="s">
        <v>12235</v>
      </c>
      <c r="B1936">
        <v>9.9920000000000009</v>
      </c>
      <c r="C1936" t="s">
        <v>12236</v>
      </c>
      <c r="D1936" t="s">
        <v>981</v>
      </c>
      <c r="E1936" t="s">
        <v>12230</v>
      </c>
      <c r="F1936" t="s">
        <v>7672</v>
      </c>
      <c r="G1936" t="s">
        <v>12231</v>
      </c>
      <c r="H1936" t="s">
        <v>12232</v>
      </c>
      <c r="I1936" t="s">
        <v>76</v>
      </c>
      <c r="J1936" t="s">
        <v>8013</v>
      </c>
    </row>
    <row r="1937" spans="1:10" x14ac:dyDescent="0.25">
      <c r="A1937" t="s">
        <v>12237</v>
      </c>
      <c r="B1937">
        <v>3.592000000000001</v>
      </c>
      <c r="C1937" t="s">
        <v>12238</v>
      </c>
      <c r="D1937" t="s">
        <v>53</v>
      </c>
      <c r="E1937" t="s">
        <v>12239</v>
      </c>
      <c r="F1937" t="s">
        <v>7672</v>
      </c>
      <c r="G1937" t="s">
        <v>12240</v>
      </c>
      <c r="H1937" t="s">
        <v>8515</v>
      </c>
      <c r="I1937" t="s">
        <v>1413</v>
      </c>
      <c r="J1937" t="s">
        <v>88</v>
      </c>
    </row>
    <row r="1938" spans="1:10" x14ac:dyDescent="0.25">
      <c r="A1938" t="s">
        <v>12241</v>
      </c>
      <c r="B1938">
        <v>15.391999999999999</v>
      </c>
      <c r="C1938" t="s">
        <v>12242</v>
      </c>
      <c r="D1938" t="s">
        <v>255</v>
      </c>
      <c r="E1938" t="s">
        <v>12243</v>
      </c>
      <c r="F1938" t="s">
        <v>7672</v>
      </c>
      <c r="G1938" t="s">
        <v>12244</v>
      </c>
      <c r="H1938" t="s">
        <v>11598</v>
      </c>
      <c r="I1938" t="s">
        <v>76</v>
      </c>
      <c r="J1938" t="s">
        <v>7942</v>
      </c>
    </row>
    <row r="1939" spans="1:10" x14ac:dyDescent="0.25">
      <c r="A1939" t="s">
        <v>12245</v>
      </c>
      <c r="B1939">
        <v>15.391999999999999</v>
      </c>
      <c r="C1939" t="s">
        <v>12246</v>
      </c>
      <c r="D1939" t="s">
        <v>436</v>
      </c>
      <c r="E1939" t="s">
        <v>12243</v>
      </c>
      <c r="F1939" t="s">
        <v>7672</v>
      </c>
      <c r="G1939" t="s">
        <v>12244</v>
      </c>
      <c r="H1939" t="s">
        <v>11598</v>
      </c>
      <c r="I1939" t="s">
        <v>76</v>
      </c>
      <c r="J1939" t="s">
        <v>7981</v>
      </c>
    </row>
    <row r="1940" spans="1:10" x14ac:dyDescent="0.25">
      <c r="A1940" t="s">
        <v>12247</v>
      </c>
      <c r="B1940">
        <v>15.391999999999999</v>
      </c>
      <c r="C1940" t="s">
        <v>12248</v>
      </c>
      <c r="D1940" t="s">
        <v>95</v>
      </c>
      <c r="E1940" t="s">
        <v>12243</v>
      </c>
      <c r="F1940" t="s">
        <v>7672</v>
      </c>
      <c r="G1940" t="s">
        <v>12244</v>
      </c>
      <c r="H1940" t="s">
        <v>11598</v>
      </c>
      <c r="I1940" t="s">
        <v>12249</v>
      </c>
      <c r="J1940" t="s">
        <v>7981</v>
      </c>
    </row>
    <row r="1941" spans="1:10" x14ac:dyDescent="0.25">
      <c r="A1941" t="s">
        <v>12250</v>
      </c>
      <c r="B1941">
        <v>15.391999999999999</v>
      </c>
      <c r="C1941" t="s">
        <v>12251</v>
      </c>
      <c r="D1941" t="s">
        <v>290</v>
      </c>
      <c r="E1941" t="s">
        <v>12243</v>
      </c>
      <c r="F1941" t="s">
        <v>7672</v>
      </c>
      <c r="G1941" t="s">
        <v>12244</v>
      </c>
      <c r="H1941" t="s">
        <v>11598</v>
      </c>
      <c r="I1941" t="s">
        <v>76</v>
      </c>
      <c r="J1941" t="s">
        <v>7984</v>
      </c>
    </row>
    <row r="1942" spans="1:10" x14ac:dyDescent="0.25">
      <c r="A1942" t="s">
        <v>12252</v>
      </c>
      <c r="B1942">
        <v>15.391999999999999</v>
      </c>
      <c r="C1942" t="s">
        <v>12253</v>
      </c>
      <c r="D1942" t="s">
        <v>282</v>
      </c>
      <c r="E1942" t="s">
        <v>12243</v>
      </c>
      <c r="F1942" t="s">
        <v>7672</v>
      </c>
      <c r="G1942" t="s">
        <v>12244</v>
      </c>
      <c r="H1942" t="s">
        <v>11598</v>
      </c>
      <c r="I1942" t="s">
        <v>76</v>
      </c>
      <c r="J1942" t="s">
        <v>7987</v>
      </c>
    </row>
    <row r="1943" spans="1:10" x14ac:dyDescent="0.25">
      <c r="A1943" t="s">
        <v>12254</v>
      </c>
      <c r="B1943">
        <v>15.391999999999999</v>
      </c>
      <c r="C1943" t="s">
        <v>12255</v>
      </c>
      <c r="D1943" t="s">
        <v>964</v>
      </c>
      <c r="E1943" t="s">
        <v>12243</v>
      </c>
      <c r="F1943" t="s">
        <v>7672</v>
      </c>
      <c r="G1943" t="s">
        <v>12244</v>
      </c>
      <c r="H1943" t="s">
        <v>11598</v>
      </c>
      <c r="I1943" t="s">
        <v>12249</v>
      </c>
      <c r="J1943" t="s">
        <v>7987</v>
      </c>
    </row>
    <row r="1944" spans="1:10" x14ac:dyDescent="0.25">
      <c r="A1944" t="s">
        <v>12256</v>
      </c>
      <c r="B1944">
        <v>15.391999999999999</v>
      </c>
      <c r="C1944" t="s">
        <v>12257</v>
      </c>
      <c r="D1944" t="s">
        <v>164</v>
      </c>
      <c r="E1944" t="s">
        <v>12243</v>
      </c>
      <c r="F1944" t="s">
        <v>7672</v>
      </c>
      <c r="G1944" t="s">
        <v>12244</v>
      </c>
      <c r="H1944" t="s">
        <v>11598</v>
      </c>
      <c r="I1944" t="s">
        <v>12249</v>
      </c>
      <c r="J1944" t="s">
        <v>8001</v>
      </c>
    </row>
    <row r="1945" spans="1:10" x14ac:dyDescent="0.25">
      <c r="A1945" t="s">
        <v>12258</v>
      </c>
      <c r="B1945">
        <v>15.391999999999999</v>
      </c>
      <c r="C1945" t="s">
        <v>12259</v>
      </c>
      <c r="D1945" t="s">
        <v>106</v>
      </c>
      <c r="E1945" t="s">
        <v>12243</v>
      </c>
      <c r="F1945" t="s">
        <v>7672</v>
      </c>
      <c r="G1945" t="s">
        <v>12244</v>
      </c>
      <c r="H1945" t="s">
        <v>11598</v>
      </c>
      <c r="I1945" t="s">
        <v>76</v>
      </c>
      <c r="J1945" t="s">
        <v>8001</v>
      </c>
    </row>
    <row r="1946" spans="1:10" x14ac:dyDescent="0.25">
      <c r="A1946" t="s">
        <v>12260</v>
      </c>
      <c r="B1946">
        <v>15.391999999999999</v>
      </c>
      <c r="C1946" t="s">
        <v>12261</v>
      </c>
      <c r="D1946" t="s">
        <v>131</v>
      </c>
      <c r="E1946" t="s">
        <v>12243</v>
      </c>
      <c r="F1946" t="s">
        <v>7672</v>
      </c>
      <c r="G1946" t="s">
        <v>12244</v>
      </c>
      <c r="H1946" t="s">
        <v>11598</v>
      </c>
      <c r="I1946" t="s">
        <v>12249</v>
      </c>
      <c r="J1946" t="s">
        <v>8013</v>
      </c>
    </row>
    <row r="1947" spans="1:10" x14ac:dyDescent="0.25">
      <c r="A1947" t="s">
        <v>12262</v>
      </c>
      <c r="B1947">
        <v>4.4800000000000004</v>
      </c>
      <c r="C1947" t="s">
        <v>12263</v>
      </c>
      <c r="D1947" t="s">
        <v>3224</v>
      </c>
      <c r="E1947" t="s">
        <v>12264</v>
      </c>
      <c r="F1947" t="s">
        <v>7672</v>
      </c>
      <c r="G1947" t="s">
        <v>12265</v>
      </c>
      <c r="H1947" t="s">
        <v>7674</v>
      </c>
      <c r="I1947" t="s">
        <v>12266</v>
      </c>
      <c r="J1947" t="s">
        <v>7981</v>
      </c>
    </row>
    <row r="1948" spans="1:10" x14ac:dyDescent="0.25">
      <c r="A1948" t="s">
        <v>12267</v>
      </c>
      <c r="B1948">
        <v>4.4800000000000004</v>
      </c>
      <c r="C1948" t="s">
        <v>12268</v>
      </c>
      <c r="D1948" t="s">
        <v>3988</v>
      </c>
      <c r="E1948" t="s">
        <v>12264</v>
      </c>
      <c r="F1948" t="s">
        <v>7672</v>
      </c>
      <c r="G1948" t="s">
        <v>12265</v>
      </c>
      <c r="H1948" t="s">
        <v>7674</v>
      </c>
      <c r="I1948" t="s">
        <v>12269</v>
      </c>
      <c r="J1948" t="s">
        <v>7981</v>
      </c>
    </row>
    <row r="1949" spans="1:10" x14ac:dyDescent="0.25">
      <c r="A1949" t="s">
        <v>12270</v>
      </c>
      <c r="B1949">
        <v>4.4800000000000004</v>
      </c>
      <c r="C1949" t="s">
        <v>12271</v>
      </c>
      <c r="D1949" t="s">
        <v>74</v>
      </c>
      <c r="E1949" t="s">
        <v>12264</v>
      </c>
      <c r="F1949" t="s">
        <v>7672</v>
      </c>
      <c r="G1949" t="s">
        <v>12265</v>
      </c>
      <c r="H1949" t="s">
        <v>7674</v>
      </c>
      <c r="I1949" t="s">
        <v>11655</v>
      </c>
      <c r="J1949" t="s">
        <v>7981</v>
      </c>
    </row>
    <row r="1950" spans="1:10" x14ac:dyDescent="0.25">
      <c r="A1950" t="s">
        <v>12272</v>
      </c>
      <c r="B1950">
        <v>4.4800000000000004</v>
      </c>
      <c r="C1950" t="s">
        <v>12273</v>
      </c>
      <c r="D1950" t="s">
        <v>1014</v>
      </c>
      <c r="E1950" t="s">
        <v>12264</v>
      </c>
      <c r="F1950" t="s">
        <v>7672</v>
      </c>
      <c r="G1950" t="s">
        <v>12265</v>
      </c>
      <c r="H1950" t="s">
        <v>7674</v>
      </c>
      <c r="I1950" t="s">
        <v>12274</v>
      </c>
      <c r="J1950" t="s">
        <v>7981</v>
      </c>
    </row>
    <row r="1951" spans="1:10" x14ac:dyDescent="0.25">
      <c r="A1951" t="s">
        <v>12275</v>
      </c>
      <c r="B1951">
        <v>4.4800000000000004</v>
      </c>
      <c r="C1951" t="s">
        <v>12276</v>
      </c>
      <c r="D1951" t="s">
        <v>12277</v>
      </c>
      <c r="E1951" t="s">
        <v>12264</v>
      </c>
      <c r="F1951" t="s">
        <v>7672</v>
      </c>
      <c r="G1951" t="s">
        <v>12265</v>
      </c>
      <c r="H1951" t="s">
        <v>7674</v>
      </c>
      <c r="I1951" t="s">
        <v>12269</v>
      </c>
      <c r="J1951" t="s">
        <v>7984</v>
      </c>
    </row>
    <row r="1952" spans="1:10" x14ac:dyDescent="0.25">
      <c r="A1952" t="s">
        <v>12278</v>
      </c>
      <c r="B1952">
        <v>4.4800000000000004</v>
      </c>
      <c r="C1952" t="s">
        <v>12279</v>
      </c>
      <c r="D1952" t="s">
        <v>11133</v>
      </c>
      <c r="E1952" t="s">
        <v>12264</v>
      </c>
      <c r="F1952" t="s">
        <v>7672</v>
      </c>
      <c r="G1952" t="s">
        <v>12265</v>
      </c>
      <c r="H1952" t="s">
        <v>7674</v>
      </c>
      <c r="I1952" t="s">
        <v>12266</v>
      </c>
      <c r="J1952" t="s">
        <v>7984</v>
      </c>
    </row>
    <row r="1953" spans="1:10" x14ac:dyDescent="0.25">
      <c r="A1953" t="s">
        <v>12280</v>
      </c>
      <c r="B1953">
        <v>4.4800000000000004</v>
      </c>
      <c r="C1953" t="s">
        <v>12281</v>
      </c>
      <c r="D1953" t="s">
        <v>3640</v>
      </c>
      <c r="E1953" t="s">
        <v>12264</v>
      </c>
      <c r="F1953" t="s">
        <v>7672</v>
      </c>
      <c r="G1953" t="s">
        <v>12265</v>
      </c>
      <c r="H1953" t="s">
        <v>7674</v>
      </c>
      <c r="I1953" t="s">
        <v>11655</v>
      </c>
      <c r="J1953" t="s">
        <v>7984</v>
      </c>
    </row>
    <row r="1954" spans="1:10" x14ac:dyDescent="0.25">
      <c r="A1954" t="s">
        <v>12282</v>
      </c>
      <c r="B1954">
        <v>4.4800000000000004</v>
      </c>
      <c r="C1954" t="s">
        <v>12283</v>
      </c>
      <c r="D1954" t="s">
        <v>9399</v>
      </c>
      <c r="E1954" t="s">
        <v>12264</v>
      </c>
      <c r="F1954" t="s">
        <v>7672</v>
      </c>
      <c r="G1954" t="s">
        <v>12265</v>
      </c>
      <c r="H1954" t="s">
        <v>7674</v>
      </c>
      <c r="I1954" t="s">
        <v>12274</v>
      </c>
      <c r="J1954" t="s">
        <v>7984</v>
      </c>
    </row>
    <row r="1955" spans="1:10" x14ac:dyDescent="0.25">
      <c r="A1955" t="s">
        <v>12284</v>
      </c>
      <c r="B1955">
        <v>4.4800000000000004</v>
      </c>
      <c r="C1955" t="s">
        <v>12285</v>
      </c>
      <c r="D1955" t="s">
        <v>12286</v>
      </c>
      <c r="E1955" t="s">
        <v>12264</v>
      </c>
      <c r="F1955" t="s">
        <v>7672</v>
      </c>
      <c r="G1955" t="s">
        <v>12265</v>
      </c>
      <c r="H1955" t="s">
        <v>7674</v>
      </c>
      <c r="I1955" t="s">
        <v>12269</v>
      </c>
      <c r="J1955" t="s">
        <v>7987</v>
      </c>
    </row>
    <row r="1956" spans="1:10" x14ac:dyDescent="0.25">
      <c r="A1956" t="s">
        <v>12287</v>
      </c>
      <c r="B1956">
        <v>4.4800000000000004</v>
      </c>
      <c r="C1956" t="s">
        <v>12288</v>
      </c>
      <c r="D1956" t="s">
        <v>2495</v>
      </c>
      <c r="E1956" t="s">
        <v>12264</v>
      </c>
      <c r="F1956" t="s">
        <v>7672</v>
      </c>
      <c r="G1956" t="s">
        <v>12265</v>
      </c>
      <c r="H1956" t="s">
        <v>7674</v>
      </c>
      <c r="I1956" t="s">
        <v>12266</v>
      </c>
      <c r="J1956" t="s">
        <v>7987</v>
      </c>
    </row>
    <row r="1957" spans="1:10" x14ac:dyDescent="0.25">
      <c r="A1957" t="s">
        <v>12289</v>
      </c>
      <c r="B1957">
        <v>4.4800000000000004</v>
      </c>
      <c r="C1957" t="s">
        <v>12290</v>
      </c>
      <c r="D1957" t="s">
        <v>12291</v>
      </c>
      <c r="E1957" t="s">
        <v>12264</v>
      </c>
      <c r="F1957" t="s">
        <v>7672</v>
      </c>
      <c r="G1957" t="s">
        <v>12265</v>
      </c>
      <c r="H1957" t="s">
        <v>7674</v>
      </c>
      <c r="I1957" t="s">
        <v>11655</v>
      </c>
      <c r="J1957" t="s">
        <v>7987</v>
      </c>
    </row>
    <row r="1958" spans="1:10" x14ac:dyDescent="0.25">
      <c r="A1958" t="s">
        <v>12292</v>
      </c>
      <c r="B1958">
        <v>4.4800000000000004</v>
      </c>
      <c r="C1958" t="s">
        <v>12293</v>
      </c>
      <c r="D1958" t="s">
        <v>10070</v>
      </c>
      <c r="E1958" t="s">
        <v>12264</v>
      </c>
      <c r="F1958" t="s">
        <v>7672</v>
      </c>
      <c r="G1958" t="s">
        <v>12265</v>
      </c>
      <c r="H1958" t="s">
        <v>7674</v>
      </c>
      <c r="I1958" t="s">
        <v>12274</v>
      </c>
      <c r="J1958" t="s">
        <v>7987</v>
      </c>
    </row>
    <row r="1959" spans="1:10" x14ac:dyDescent="0.25">
      <c r="A1959" t="s">
        <v>12294</v>
      </c>
      <c r="B1959">
        <v>4.4800000000000004</v>
      </c>
      <c r="C1959" t="s">
        <v>12295</v>
      </c>
      <c r="D1959" t="s">
        <v>3435</v>
      </c>
      <c r="E1959" t="s">
        <v>12264</v>
      </c>
      <c r="F1959" t="s">
        <v>7672</v>
      </c>
      <c r="G1959" t="s">
        <v>12265</v>
      </c>
      <c r="H1959" t="s">
        <v>7674</v>
      </c>
      <c r="I1959" t="s">
        <v>12269</v>
      </c>
      <c r="J1959" t="s">
        <v>8001</v>
      </c>
    </row>
    <row r="1960" spans="1:10" x14ac:dyDescent="0.25">
      <c r="A1960" t="s">
        <v>12296</v>
      </c>
      <c r="B1960">
        <v>4.4800000000000004</v>
      </c>
      <c r="C1960" t="s">
        <v>12297</v>
      </c>
      <c r="D1960" t="s">
        <v>981</v>
      </c>
      <c r="E1960" t="s">
        <v>12264</v>
      </c>
      <c r="F1960" t="s">
        <v>7672</v>
      </c>
      <c r="G1960" t="s">
        <v>12265</v>
      </c>
      <c r="H1960" t="s">
        <v>7674</v>
      </c>
      <c r="I1960" t="s">
        <v>12274</v>
      </c>
      <c r="J1960" t="s">
        <v>8001</v>
      </c>
    </row>
    <row r="1961" spans="1:10" x14ac:dyDescent="0.25">
      <c r="A1961" t="s">
        <v>12298</v>
      </c>
      <c r="B1961">
        <v>4.4800000000000004</v>
      </c>
      <c r="C1961" t="s">
        <v>12299</v>
      </c>
      <c r="D1961" t="s">
        <v>7670</v>
      </c>
      <c r="E1961" t="s">
        <v>12264</v>
      </c>
      <c r="F1961" t="s">
        <v>7672</v>
      </c>
      <c r="G1961" t="s">
        <v>12265</v>
      </c>
      <c r="H1961" t="s">
        <v>7674</v>
      </c>
      <c r="I1961" t="s">
        <v>12266</v>
      </c>
      <c r="J1961" t="s">
        <v>8001</v>
      </c>
    </row>
    <row r="1962" spans="1:10" x14ac:dyDescent="0.25">
      <c r="A1962" t="s">
        <v>12300</v>
      </c>
      <c r="B1962">
        <v>4.4800000000000004</v>
      </c>
      <c r="C1962" t="s">
        <v>12301</v>
      </c>
      <c r="D1962" t="s">
        <v>4100</v>
      </c>
      <c r="E1962" t="s">
        <v>12264</v>
      </c>
      <c r="F1962" t="s">
        <v>7672</v>
      </c>
      <c r="G1962" t="s">
        <v>12265</v>
      </c>
      <c r="H1962" t="s">
        <v>7674</v>
      </c>
      <c r="I1962" t="s">
        <v>11655</v>
      </c>
      <c r="J1962" t="s">
        <v>8001</v>
      </c>
    </row>
    <row r="1963" spans="1:10" x14ac:dyDescent="0.25">
      <c r="A1963" t="s">
        <v>2905</v>
      </c>
      <c r="B1963">
        <v>57.2</v>
      </c>
      <c r="C1963" t="s">
        <v>2907</v>
      </c>
      <c r="D1963" t="s">
        <v>2910</v>
      </c>
      <c r="E1963" t="s">
        <v>2908</v>
      </c>
      <c r="F1963" t="s">
        <v>7672</v>
      </c>
      <c r="G1963" t="s">
        <v>12302</v>
      </c>
      <c r="H1963" t="s">
        <v>9232</v>
      </c>
      <c r="I1963" t="s">
        <v>76</v>
      </c>
      <c r="J1963" t="s">
        <v>7675</v>
      </c>
    </row>
    <row r="1964" spans="1:10" x14ac:dyDescent="0.25">
      <c r="A1964" t="s">
        <v>2912</v>
      </c>
      <c r="B1964">
        <v>57.2</v>
      </c>
      <c r="C1964" t="s">
        <v>2914</v>
      </c>
      <c r="D1964" t="s">
        <v>95</v>
      </c>
      <c r="E1964" t="s">
        <v>2908</v>
      </c>
      <c r="F1964" t="s">
        <v>7672</v>
      </c>
      <c r="G1964" t="s">
        <v>12302</v>
      </c>
      <c r="H1964" t="s">
        <v>9232</v>
      </c>
      <c r="I1964" t="s">
        <v>1211</v>
      </c>
      <c r="J1964" t="s">
        <v>7675</v>
      </c>
    </row>
    <row r="1965" spans="1:10" x14ac:dyDescent="0.25">
      <c r="A1965" t="s">
        <v>2916</v>
      </c>
      <c r="B1965">
        <v>57.2</v>
      </c>
      <c r="C1965" t="s">
        <v>2918</v>
      </c>
      <c r="D1965" t="s">
        <v>1536</v>
      </c>
      <c r="E1965" t="s">
        <v>2908</v>
      </c>
      <c r="F1965" t="s">
        <v>7672</v>
      </c>
      <c r="G1965" t="s">
        <v>12302</v>
      </c>
      <c r="H1965" t="s">
        <v>9232</v>
      </c>
      <c r="I1965" t="s">
        <v>12303</v>
      </c>
      <c r="J1965" t="s">
        <v>7675</v>
      </c>
    </row>
    <row r="1966" spans="1:10" x14ac:dyDescent="0.25">
      <c r="A1966" t="s">
        <v>2920</v>
      </c>
      <c r="B1966">
        <v>57.2</v>
      </c>
      <c r="C1966" t="s">
        <v>2922</v>
      </c>
      <c r="D1966" t="s">
        <v>282</v>
      </c>
      <c r="E1966" t="s">
        <v>2908</v>
      </c>
      <c r="F1966" t="s">
        <v>7672</v>
      </c>
      <c r="G1966" t="s">
        <v>12302</v>
      </c>
      <c r="H1966" t="s">
        <v>9232</v>
      </c>
      <c r="I1966" t="s">
        <v>12304</v>
      </c>
      <c r="J1966" t="s">
        <v>7675</v>
      </c>
    </row>
    <row r="1967" spans="1:10" x14ac:dyDescent="0.25">
      <c r="A1967" t="s">
        <v>2925</v>
      </c>
      <c r="B1967">
        <v>57.2</v>
      </c>
      <c r="C1967" t="s">
        <v>2927</v>
      </c>
      <c r="D1967" t="s">
        <v>849</v>
      </c>
      <c r="E1967" t="s">
        <v>2908</v>
      </c>
      <c r="F1967" t="s">
        <v>7672</v>
      </c>
      <c r="G1967" t="s">
        <v>12302</v>
      </c>
      <c r="H1967" t="s">
        <v>9232</v>
      </c>
      <c r="I1967" t="s">
        <v>12305</v>
      </c>
      <c r="J1967" t="s">
        <v>7675</v>
      </c>
    </row>
    <row r="1968" spans="1:10" x14ac:dyDescent="0.25">
      <c r="A1968" t="s">
        <v>2930</v>
      </c>
      <c r="B1968">
        <v>57.2</v>
      </c>
      <c r="C1968" t="s">
        <v>2932</v>
      </c>
      <c r="D1968" t="s">
        <v>352</v>
      </c>
      <c r="E1968" t="s">
        <v>2908</v>
      </c>
      <c r="F1968" t="s">
        <v>7672</v>
      </c>
      <c r="G1968" t="s">
        <v>12302</v>
      </c>
      <c r="H1968" t="s">
        <v>9232</v>
      </c>
      <c r="I1968" t="s">
        <v>1211</v>
      </c>
      <c r="J1968" t="s">
        <v>7686</v>
      </c>
    </row>
    <row r="1969" spans="1:10" x14ac:dyDescent="0.25">
      <c r="A1969" t="s">
        <v>2934</v>
      </c>
      <c r="B1969">
        <v>57.2</v>
      </c>
      <c r="C1969" t="s">
        <v>2936</v>
      </c>
      <c r="D1969" t="s">
        <v>342</v>
      </c>
      <c r="E1969" t="s">
        <v>2908</v>
      </c>
      <c r="F1969" t="s">
        <v>7672</v>
      </c>
      <c r="G1969" t="s">
        <v>12302</v>
      </c>
      <c r="H1969" t="s">
        <v>9232</v>
      </c>
      <c r="I1969" t="s">
        <v>76</v>
      </c>
      <c r="J1969" t="s">
        <v>7686</v>
      </c>
    </row>
    <row r="1970" spans="1:10" x14ac:dyDescent="0.25">
      <c r="A1970" t="s">
        <v>2938</v>
      </c>
      <c r="B1970">
        <v>57.2</v>
      </c>
      <c r="C1970" t="s">
        <v>2940</v>
      </c>
      <c r="D1970" t="s">
        <v>1573</v>
      </c>
      <c r="E1970" t="s">
        <v>2908</v>
      </c>
      <c r="F1970" t="s">
        <v>7672</v>
      </c>
      <c r="G1970" t="s">
        <v>12302</v>
      </c>
      <c r="H1970" t="s">
        <v>9232</v>
      </c>
      <c r="I1970" t="s">
        <v>12303</v>
      </c>
      <c r="J1970" t="s">
        <v>7686</v>
      </c>
    </row>
    <row r="1971" spans="1:10" x14ac:dyDescent="0.25">
      <c r="A1971" t="s">
        <v>2942</v>
      </c>
      <c r="B1971">
        <v>57.2</v>
      </c>
      <c r="C1971" t="s">
        <v>2944</v>
      </c>
      <c r="D1971" t="s">
        <v>164</v>
      </c>
      <c r="E1971" t="s">
        <v>2908</v>
      </c>
      <c r="F1971" t="s">
        <v>7672</v>
      </c>
      <c r="G1971" t="s">
        <v>12302</v>
      </c>
      <c r="H1971" t="s">
        <v>9232</v>
      </c>
      <c r="I1971" t="s">
        <v>12304</v>
      </c>
      <c r="J1971" t="s">
        <v>7686</v>
      </c>
    </row>
    <row r="1972" spans="1:10" x14ac:dyDescent="0.25">
      <c r="A1972" t="s">
        <v>2946</v>
      </c>
      <c r="B1972">
        <v>57.2</v>
      </c>
      <c r="C1972" t="s">
        <v>2948</v>
      </c>
      <c r="D1972" t="s">
        <v>352</v>
      </c>
      <c r="E1972" t="s">
        <v>2908</v>
      </c>
      <c r="F1972" t="s">
        <v>7672</v>
      </c>
      <c r="G1972" t="s">
        <v>12302</v>
      </c>
      <c r="H1972" t="s">
        <v>9232</v>
      </c>
      <c r="I1972" t="s">
        <v>12305</v>
      </c>
      <c r="J1972" t="s">
        <v>7686</v>
      </c>
    </row>
    <row r="1973" spans="1:10" x14ac:dyDescent="0.25">
      <c r="A1973" t="s">
        <v>2950</v>
      </c>
      <c r="B1973">
        <v>57.2</v>
      </c>
      <c r="C1973" t="s">
        <v>2952</v>
      </c>
      <c r="D1973" t="s">
        <v>835</v>
      </c>
      <c r="E1973" t="s">
        <v>2908</v>
      </c>
      <c r="F1973" t="s">
        <v>7672</v>
      </c>
      <c r="G1973" t="s">
        <v>12302</v>
      </c>
      <c r="H1973" t="s">
        <v>9232</v>
      </c>
      <c r="I1973" t="s">
        <v>1211</v>
      </c>
      <c r="J1973" t="s">
        <v>7703</v>
      </c>
    </row>
    <row r="1974" spans="1:10" x14ac:dyDescent="0.25">
      <c r="A1974" t="s">
        <v>2954</v>
      </c>
      <c r="B1974">
        <v>57.2</v>
      </c>
      <c r="C1974" t="s">
        <v>2956</v>
      </c>
      <c r="D1974" t="s">
        <v>306</v>
      </c>
      <c r="E1974" t="s">
        <v>2908</v>
      </c>
      <c r="F1974" t="s">
        <v>7672</v>
      </c>
      <c r="G1974" t="s">
        <v>12302</v>
      </c>
      <c r="H1974" t="s">
        <v>9232</v>
      </c>
      <c r="I1974" t="s">
        <v>12303</v>
      </c>
      <c r="J1974" t="s">
        <v>7703</v>
      </c>
    </row>
    <row r="1975" spans="1:10" x14ac:dyDescent="0.25">
      <c r="A1975" t="s">
        <v>2958</v>
      </c>
      <c r="B1975">
        <v>57.2</v>
      </c>
      <c r="C1975" t="s">
        <v>2960</v>
      </c>
      <c r="D1975" t="s">
        <v>53</v>
      </c>
      <c r="E1975" t="s">
        <v>2908</v>
      </c>
      <c r="F1975" t="s">
        <v>7672</v>
      </c>
      <c r="G1975" t="s">
        <v>12302</v>
      </c>
      <c r="H1975" t="s">
        <v>9232</v>
      </c>
      <c r="I1975" t="s">
        <v>12304</v>
      </c>
      <c r="J1975" t="s">
        <v>7703</v>
      </c>
    </row>
    <row r="1976" spans="1:10" x14ac:dyDescent="0.25">
      <c r="A1976" t="s">
        <v>2962</v>
      </c>
      <c r="B1976">
        <v>57.2</v>
      </c>
      <c r="C1976" t="s">
        <v>2964</v>
      </c>
      <c r="D1976" t="s">
        <v>742</v>
      </c>
      <c r="E1976" t="s">
        <v>2908</v>
      </c>
      <c r="F1976" t="s">
        <v>7672</v>
      </c>
      <c r="G1976" t="s">
        <v>12302</v>
      </c>
      <c r="H1976" t="s">
        <v>9232</v>
      </c>
      <c r="I1976" t="s">
        <v>1211</v>
      </c>
      <c r="J1976" t="s">
        <v>7713</v>
      </c>
    </row>
    <row r="1977" spans="1:10" x14ac:dyDescent="0.25">
      <c r="A1977" t="s">
        <v>2966</v>
      </c>
      <c r="B1977">
        <v>57.2</v>
      </c>
      <c r="C1977" t="s">
        <v>2968</v>
      </c>
      <c r="D1977" t="s">
        <v>245</v>
      </c>
      <c r="E1977" t="s">
        <v>2908</v>
      </c>
      <c r="F1977" t="s">
        <v>7672</v>
      </c>
      <c r="G1977" t="s">
        <v>12302</v>
      </c>
      <c r="H1977" t="s">
        <v>9232</v>
      </c>
      <c r="I1977" t="s">
        <v>12303</v>
      </c>
      <c r="J1977" t="s">
        <v>7713</v>
      </c>
    </row>
    <row r="1978" spans="1:10" x14ac:dyDescent="0.25">
      <c r="A1978" t="s">
        <v>2970</v>
      </c>
      <c r="B1978">
        <v>57.2</v>
      </c>
      <c r="C1978" t="s">
        <v>2972</v>
      </c>
      <c r="D1978" t="s">
        <v>352</v>
      </c>
      <c r="E1978" t="s">
        <v>2908</v>
      </c>
      <c r="F1978" t="s">
        <v>7672</v>
      </c>
      <c r="G1978" t="s">
        <v>12302</v>
      </c>
      <c r="H1978" t="s">
        <v>9232</v>
      </c>
      <c r="I1978" t="s">
        <v>12304</v>
      </c>
      <c r="J1978" t="s">
        <v>7713</v>
      </c>
    </row>
    <row r="1979" spans="1:10" x14ac:dyDescent="0.25">
      <c r="A1979" t="s">
        <v>2974</v>
      </c>
      <c r="B1979">
        <v>57.2</v>
      </c>
      <c r="C1979" t="s">
        <v>2976</v>
      </c>
      <c r="D1979" t="s">
        <v>53</v>
      </c>
      <c r="E1979" t="s">
        <v>2908</v>
      </c>
      <c r="F1979" t="s">
        <v>7672</v>
      </c>
      <c r="G1979" t="s">
        <v>12302</v>
      </c>
      <c r="H1979" t="s">
        <v>9232</v>
      </c>
      <c r="I1979" t="s">
        <v>1211</v>
      </c>
      <c r="J1979" t="s">
        <v>7719</v>
      </c>
    </row>
    <row r="1980" spans="1:10" x14ac:dyDescent="0.25">
      <c r="A1980" t="s">
        <v>2978</v>
      </c>
      <c r="B1980">
        <v>57.2</v>
      </c>
      <c r="C1980" t="s">
        <v>2980</v>
      </c>
      <c r="D1980" t="s">
        <v>436</v>
      </c>
      <c r="E1980" t="s">
        <v>2908</v>
      </c>
      <c r="F1980" t="s">
        <v>7672</v>
      </c>
      <c r="G1980" t="s">
        <v>12302</v>
      </c>
      <c r="H1980" t="s">
        <v>9232</v>
      </c>
      <c r="I1980" t="s">
        <v>12304</v>
      </c>
      <c r="J1980" t="s">
        <v>7719</v>
      </c>
    </row>
    <row r="1981" spans="1:10" x14ac:dyDescent="0.25">
      <c r="A1981" t="s">
        <v>2982</v>
      </c>
      <c r="B1981">
        <v>57.2</v>
      </c>
      <c r="C1981" t="s">
        <v>2984</v>
      </c>
      <c r="D1981" t="s">
        <v>964</v>
      </c>
      <c r="E1981" t="s">
        <v>2908</v>
      </c>
      <c r="F1981" t="s">
        <v>7672</v>
      </c>
      <c r="G1981" t="s">
        <v>12302</v>
      </c>
      <c r="H1981" t="s">
        <v>9232</v>
      </c>
      <c r="I1981" t="s">
        <v>12303</v>
      </c>
      <c r="J1981" t="s">
        <v>7719</v>
      </c>
    </row>
    <row r="1982" spans="1:10" x14ac:dyDescent="0.25">
      <c r="A1982" t="s">
        <v>12306</v>
      </c>
      <c r="B1982">
        <v>5.6000000000000014</v>
      </c>
      <c r="C1982" t="s">
        <v>12307</v>
      </c>
      <c r="D1982" t="s">
        <v>516</v>
      </c>
      <c r="E1982" t="s">
        <v>12308</v>
      </c>
      <c r="F1982" t="s">
        <v>7672</v>
      </c>
      <c r="G1982" t="s">
        <v>12309</v>
      </c>
      <c r="H1982" t="s">
        <v>7674</v>
      </c>
      <c r="I1982" t="s">
        <v>12310</v>
      </c>
      <c r="J1982" t="s">
        <v>113</v>
      </c>
    </row>
    <row r="1983" spans="1:10" x14ac:dyDescent="0.25">
      <c r="A1983" t="s">
        <v>12311</v>
      </c>
      <c r="B1983">
        <v>5.6000000000000014</v>
      </c>
      <c r="C1983" t="s">
        <v>12312</v>
      </c>
      <c r="D1983" t="s">
        <v>385</v>
      </c>
      <c r="E1983" t="s">
        <v>12308</v>
      </c>
      <c r="F1983" t="s">
        <v>7672</v>
      </c>
      <c r="G1983" t="s">
        <v>12309</v>
      </c>
      <c r="H1983" t="s">
        <v>7674</v>
      </c>
      <c r="I1983" t="s">
        <v>12313</v>
      </c>
      <c r="J1983" t="s">
        <v>113</v>
      </c>
    </row>
    <row r="1984" spans="1:10" x14ac:dyDescent="0.25">
      <c r="A1984" t="s">
        <v>12314</v>
      </c>
      <c r="B1984">
        <v>5.6000000000000014</v>
      </c>
      <c r="C1984" t="s">
        <v>12315</v>
      </c>
      <c r="D1984" t="s">
        <v>1822</v>
      </c>
      <c r="E1984" t="s">
        <v>12308</v>
      </c>
      <c r="F1984" t="s">
        <v>7672</v>
      </c>
      <c r="G1984" t="s">
        <v>12309</v>
      </c>
      <c r="H1984" t="s">
        <v>7674</v>
      </c>
      <c r="I1984" t="s">
        <v>12310</v>
      </c>
      <c r="J1984" t="s">
        <v>240</v>
      </c>
    </row>
    <row r="1985" spans="1:10" x14ac:dyDescent="0.25">
      <c r="A1985" t="s">
        <v>12316</v>
      </c>
      <c r="B1985">
        <v>5.6000000000000014</v>
      </c>
      <c r="C1985" t="s">
        <v>12317</v>
      </c>
      <c r="D1985" t="s">
        <v>742</v>
      </c>
      <c r="E1985" t="s">
        <v>12308</v>
      </c>
      <c r="F1985" t="s">
        <v>7672</v>
      </c>
      <c r="G1985" t="s">
        <v>12309</v>
      </c>
      <c r="H1985" t="s">
        <v>7674</v>
      </c>
      <c r="I1985" t="s">
        <v>12313</v>
      </c>
      <c r="J1985" t="s">
        <v>240</v>
      </c>
    </row>
    <row r="1986" spans="1:10" x14ac:dyDescent="0.25">
      <c r="A1986" t="s">
        <v>12318</v>
      </c>
      <c r="B1986">
        <v>5.6000000000000014</v>
      </c>
      <c r="C1986" t="s">
        <v>12319</v>
      </c>
      <c r="D1986" t="s">
        <v>282</v>
      </c>
      <c r="E1986" t="s">
        <v>12308</v>
      </c>
      <c r="F1986" t="s">
        <v>7672</v>
      </c>
      <c r="G1986" t="s">
        <v>12309</v>
      </c>
      <c r="H1986" t="s">
        <v>7674</v>
      </c>
      <c r="I1986" t="s">
        <v>12320</v>
      </c>
      <c r="J1986" t="s">
        <v>1143</v>
      </c>
    </row>
    <row r="1987" spans="1:10" x14ac:dyDescent="0.25">
      <c r="A1987" t="s">
        <v>12321</v>
      </c>
      <c r="B1987">
        <v>5.6000000000000014</v>
      </c>
      <c r="C1987" t="s">
        <v>12322</v>
      </c>
      <c r="D1987" t="s">
        <v>3604</v>
      </c>
      <c r="E1987" t="s">
        <v>12308</v>
      </c>
      <c r="F1987" t="s">
        <v>7672</v>
      </c>
      <c r="G1987" t="s">
        <v>12309</v>
      </c>
      <c r="H1987" t="s">
        <v>7674</v>
      </c>
      <c r="I1987" t="s">
        <v>12310</v>
      </c>
      <c r="J1987" t="s">
        <v>1143</v>
      </c>
    </row>
    <row r="1988" spans="1:10" x14ac:dyDescent="0.25">
      <c r="A1988" t="s">
        <v>12323</v>
      </c>
      <c r="B1988">
        <v>5.6000000000000014</v>
      </c>
      <c r="C1988" t="s">
        <v>12324</v>
      </c>
      <c r="D1988" t="s">
        <v>290</v>
      </c>
      <c r="E1988" t="s">
        <v>12308</v>
      </c>
      <c r="F1988" t="s">
        <v>7672</v>
      </c>
      <c r="G1988" t="s">
        <v>12309</v>
      </c>
      <c r="H1988" t="s">
        <v>7674</v>
      </c>
      <c r="I1988" t="s">
        <v>12325</v>
      </c>
      <c r="J1988" t="s">
        <v>1143</v>
      </c>
    </row>
    <row r="1989" spans="1:10" x14ac:dyDescent="0.25">
      <c r="A1989" t="s">
        <v>12326</v>
      </c>
      <c r="B1989">
        <v>5.6000000000000014</v>
      </c>
      <c r="C1989" t="s">
        <v>12327</v>
      </c>
      <c r="D1989" t="s">
        <v>8262</v>
      </c>
      <c r="E1989" t="s">
        <v>12308</v>
      </c>
      <c r="F1989" t="s">
        <v>7672</v>
      </c>
      <c r="G1989" t="s">
        <v>12309</v>
      </c>
      <c r="H1989" t="s">
        <v>7674</v>
      </c>
      <c r="I1989" t="s">
        <v>12313</v>
      </c>
      <c r="J1989" t="s">
        <v>1143</v>
      </c>
    </row>
    <row r="1990" spans="1:10" x14ac:dyDescent="0.25">
      <c r="A1990" t="s">
        <v>12328</v>
      </c>
      <c r="B1990">
        <v>5.6000000000000014</v>
      </c>
      <c r="C1990" t="s">
        <v>12329</v>
      </c>
      <c r="D1990" t="s">
        <v>1965</v>
      </c>
      <c r="E1990" t="s">
        <v>12308</v>
      </c>
      <c r="F1990" t="s">
        <v>7672</v>
      </c>
      <c r="G1990" t="s">
        <v>12309</v>
      </c>
      <c r="H1990" t="s">
        <v>7674</v>
      </c>
      <c r="I1990" t="s">
        <v>12310</v>
      </c>
      <c r="J1990" t="s">
        <v>835</v>
      </c>
    </row>
    <row r="1991" spans="1:10" x14ac:dyDescent="0.25">
      <c r="A1991" t="s">
        <v>12330</v>
      </c>
      <c r="B1991">
        <v>5.6000000000000014</v>
      </c>
      <c r="C1991" t="s">
        <v>12331</v>
      </c>
      <c r="D1991" t="s">
        <v>144</v>
      </c>
      <c r="E1991" t="s">
        <v>12308</v>
      </c>
      <c r="F1991" t="s">
        <v>7672</v>
      </c>
      <c r="G1991" t="s">
        <v>12309</v>
      </c>
      <c r="H1991" t="s">
        <v>7674</v>
      </c>
      <c r="I1991" t="s">
        <v>12313</v>
      </c>
      <c r="J1991" t="s">
        <v>835</v>
      </c>
    </row>
    <row r="1992" spans="1:10" x14ac:dyDescent="0.25">
      <c r="A1992" t="s">
        <v>12332</v>
      </c>
      <c r="B1992">
        <v>5.6000000000000014</v>
      </c>
      <c r="C1992" t="s">
        <v>12333</v>
      </c>
      <c r="D1992" t="s">
        <v>4804</v>
      </c>
      <c r="E1992" t="s">
        <v>12308</v>
      </c>
      <c r="F1992" t="s">
        <v>7672</v>
      </c>
      <c r="G1992" t="s">
        <v>12309</v>
      </c>
      <c r="H1992" t="s">
        <v>7674</v>
      </c>
      <c r="I1992" t="s">
        <v>12310</v>
      </c>
      <c r="J1992" t="s">
        <v>359</v>
      </c>
    </row>
    <row r="1993" spans="1:10" x14ac:dyDescent="0.25">
      <c r="A1993" t="s">
        <v>12334</v>
      </c>
      <c r="B1993">
        <v>5.6000000000000014</v>
      </c>
      <c r="C1993" t="s">
        <v>12335</v>
      </c>
      <c r="D1993" t="s">
        <v>1842</v>
      </c>
      <c r="E1993" t="s">
        <v>12308</v>
      </c>
      <c r="F1993" t="s">
        <v>7672</v>
      </c>
      <c r="G1993" t="s">
        <v>12309</v>
      </c>
      <c r="H1993" t="s">
        <v>7674</v>
      </c>
      <c r="I1993" t="s">
        <v>12313</v>
      </c>
      <c r="J1993" t="s">
        <v>359</v>
      </c>
    </row>
    <row r="1994" spans="1:10" x14ac:dyDescent="0.25">
      <c r="A1994" t="s">
        <v>12336</v>
      </c>
      <c r="B1994">
        <v>5.6000000000000014</v>
      </c>
      <c r="C1994" t="s">
        <v>12337</v>
      </c>
      <c r="D1994" t="s">
        <v>12338</v>
      </c>
      <c r="E1994" t="s">
        <v>12308</v>
      </c>
      <c r="F1994" t="s">
        <v>7672</v>
      </c>
      <c r="G1994" t="s">
        <v>12309</v>
      </c>
      <c r="H1994" t="s">
        <v>7674</v>
      </c>
      <c r="I1994" t="s">
        <v>12310</v>
      </c>
      <c r="J1994" t="s">
        <v>250</v>
      </c>
    </row>
    <row r="1995" spans="1:10" x14ac:dyDescent="0.25">
      <c r="A1995" t="s">
        <v>12339</v>
      </c>
      <c r="B1995">
        <v>5.6000000000000014</v>
      </c>
      <c r="C1995" t="s">
        <v>12340</v>
      </c>
      <c r="D1995" t="s">
        <v>3457</v>
      </c>
      <c r="E1995" t="s">
        <v>12308</v>
      </c>
      <c r="F1995" t="s">
        <v>7672</v>
      </c>
      <c r="G1995" t="s">
        <v>12309</v>
      </c>
      <c r="H1995" t="s">
        <v>7674</v>
      </c>
      <c r="I1995" t="s">
        <v>12313</v>
      </c>
      <c r="J1995" t="s">
        <v>250</v>
      </c>
    </row>
    <row r="1996" spans="1:10" x14ac:dyDescent="0.25">
      <c r="A1996" t="s">
        <v>12341</v>
      </c>
      <c r="B1996">
        <v>5.6000000000000014</v>
      </c>
      <c r="C1996" t="s">
        <v>12342</v>
      </c>
      <c r="D1996" t="s">
        <v>9325</v>
      </c>
      <c r="E1996" t="s">
        <v>12308</v>
      </c>
      <c r="F1996" t="s">
        <v>7672</v>
      </c>
      <c r="G1996" t="s">
        <v>12309</v>
      </c>
      <c r="H1996" t="s">
        <v>7674</v>
      </c>
      <c r="I1996" t="s">
        <v>12310</v>
      </c>
      <c r="J1996" t="s">
        <v>229</v>
      </c>
    </row>
    <row r="1997" spans="1:10" x14ac:dyDescent="0.25">
      <c r="A1997" t="s">
        <v>12343</v>
      </c>
      <c r="B1997">
        <v>5.6000000000000014</v>
      </c>
      <c r="C1997" t="s">
        <v>12344</v>
      </c>
      <c r="D1997" t="s">
        <v>4114</v>
      </c>
      <c r="E1997" t="s">
        <v>12308</v>
      </c>
      <c r="F1997" t="s">
        <v>7672</v>
      </c>
      <c r="G1997" t="s">
        <v>12309</v>
      </c>
      <c r="H1997" t="s">
        <v>7674</v>
      </c>
      <c r="I1997" t="s">
        <v>12313</v>
      </c>
      <c r="J1997" t="s">
        <v>229</v>
      </c>
    </row>
    <row r="1998" spans="1:10" x14ac:dyDescent="0.25">
      <c r="A1998" t="s">
        <v>12345</v>
      </c>
      <c r="B1998">
        <v>5.6000000000000014</v>
      </c>
      <c r="C1998" t="s">
        <v>12346</v>
      </c>
      <c r="D1998" t="s">
        <v>7934</v>
      </c>
      <c r="E1998" t="s">
        <v>12308</v>
      </c>
      <c r="F1998" t="s">
        <v>7672</v>
      </c>
      <c r="G1998" t="s">
        <v>12309</v>
      </c>
      <c r="H1998" t="s">
        <v>7674</v>
      </c>
      <c r="I1998" t="s">
        <v>12310</v>
      </c>
      <c r="J1998" t="s">
        <v>118</v>
      </c>
    </row>
    <row r="1999" spans="1:10" x14ac:dyDescent="0.25">
      <c r="A1999" t="s">
        <v>12347</v>
      </c>
      <c r="B1999">
        <v>5.6000000000000014</v>
      </c>
      <c r="C1999" t="s">
        <v>12348</v>
      </c>
      <c r="D1999" t="s">
        <v>12349</v>
      </c>
      <c r="E1999" t="s">
        <v>12308</v>
      </c>
      <c r="F1999" t="s">
        <v>7672</v>
      </c>
      <c r="G1999" t="s">
        <v>12309</v>
      </c>
      <c r="H1999" t="s">
        <v>7674</v>
      </c>
      <c r="I1999" t="s">
        <v>12313</v>
      </c>
      <c r="J1999" t="s">
        <v>118</v>
      </c>
    </row>
    <row r="2000" spans="1:10" x14ac:dyDescent="0.25">
      <c r="A2000" t="s">
        <v>12350</v>
      </c>
      <c r="B2000">
        <v>5.6000000000000014</v>
      </c>
      <c r="C2000" t="s">
        <v>12351</v>
      </c>
      <c r="D2000" t="s">
        <v>4136</v>
      </c>
      <c r="E2000" t="s">
        <v>12308</v>
      </c>
      <c r="F2000" t="s">
        <v>7672</v>
      </c>
      <c r="G2000" t="s">
        <v>12309</v>
      </c>
      <c r="H2000" t="s">
        <v>7674</v>
      </c>
      <c r="I2000" t="s">
        <v>12313</v>
      </c>
      <c r="J2000" t="s">
        <v>311</v>
      </c>
    </row>
    <row r="2001" spans="1:10" x14ac:dyDescent="0.25">
      <c r="A2001" t="s">
        <v>12352</v>
      </c>
      <c r="B2001">
        <v>5.6000000000000014</v>
      </c>
      <c r="C2001" t="s">
        <v>12353</v>
      </c>
      <c r="D2001" t="s">
        <v>639</v>
      </c>
      <c r="E2001" t="s">
        <v>12308</v>
      </c>
      <c r="F2001" t="s">
        <v>7672</v>
      </c>
      <c r="G2001" t="s">
        <v>12309</v>
      </c>
      <c r="H2001" t="s">
        <v>7674</v>
      </c>
      <c r="I2001" t="s">
        <v>12310</v>
      </c>
      <c r="J2001" t="s">
        <v>311</v>
      </c>
    </row>
    <row r="2002" spans="1:10" x14ac:dyDescent="0.25">
      <c r="A2002" t="s">
        <v>12354</v>
      </c>
      <c r="B2002">
        <v>5.6000000000000014</v>
      </c>
      <c r="C2002" t="s">
        <v>12355</v>
      </c>
      <c r="D2002" t="s">
        <v>1822</v>
      </c>
      <c r="E2002" t="s">
        <v>12308</v>
      </c>
      <c r="F2002" t="s">
        <v>7672</v>
      </c>
      <c r="G2002" t="s">
        <v>12309</v>
      </c>
      <c r="H2002" t="s">
        <v>7674</v>
      </c>
      <c r="I2002" t="s">
        <v>12325</v>
      </c>
      <c r="J2002" t="s">
        <v>875</v>
      </c>
    </row>
    <row r="2003" spans="1:10" x14ac:dyDescent="0.25">
      <c r="A2003" t="s">
        <v>12356</v>
      </c>
      <c r="B2003">
        <v>5.6000000000000014</v>
      </c>
      <c r="C2003" t="s">
        <v>12357</v>
      </c>
      <c r="D2003" t="s">
        <v>12358</v>
      </c>
      <c r="E2003" t="s">
        <v>12308</v>
      </c>
      <c r="F2003" t="s">
        <v>7672</v>
      </c>
      <c r="G2003" t="s">
        <v>12309</v>
      </c>
      <c r="H2003" t="s">
        <v>7674</v>
      </c>
      <c r="I2003" t="s">
        <v>12313</v>
      </c>
      <c r="J2003" t="s">
        <v>875</v>
      </c>
    </row>
    <row r="2004" spans="1:10" x14ac:dyDescent="0.25">
      <c r="A2004" t="s">
        <v>12359</v>
      </c>
      <c r="B2004">
        <v>5.6000000000000014</v>
      </c>
      <c r="C2004" t="s">
        <v>12360</v>
      </c>
      <c r="D2004" t="s">
        <v>229</v>
      </c>
      <c r="E2004" t="s">
        <v>12308</v>
      </c>
      <c r="F2004" t="s">
        <v>7672</v>
      </c>
      <c r="G2004" t="s">
        <v>12309</v>
      </c>
      <c r="H2004" t="s">
        <v>7674</v>
      </c>
      <c r="I2004" t="s">
        <v>12320</v>
      </c>
      <c r="J2004" t="s">
        <v>875</v>
      </c>
    </row>
    <row r="2005" spans="1:10" x14ac:dyDescent="0.25">
      <c r="A2005" t="s">
        <v>12361</v>
      </c>
      <c r="B2005">
        <v>5.6000000000000014</v>
      </c>
      <c r="C2005" t="s">
        <v>12362</v>
      </c>
      <c r="D2005" t="s">
        <v>3832</v>
      </c>
      <c r="E2005" t="s">
        <v>12308</v>
      </c>
      <c r="F2005" t="s">
        <v>7672</v>
      </c>
      <c r="G2005" t="s">
        <v>12309</v>
      </c>
      <c r="H2005" t="s">
        <v>7674</v>
      </c>
      <c r="I2005" t="s">
        <v>12310</v>
      </c>
      <c r="J2005" t="s">
        <v>875</v>
      </c>
    </row>
    <row r="2006" spans="1:10" x14ac:dyDescent="0.25">
      <c r="A2006" t="s">
        <v>12363</v>
      </c>
      <c r="B2006">
        <v>16.8</v>
      </c>
      <c r="C2006" t="s">
        <v>12364</v>
      </c>
      <c r="D2006" t="s">
        <v>2099</v>
      </c>
      <c r="E2006" t="s">
        <v>12365</v>
      </c>
      <c r="F2006" t="s">
        <v>7672</v>
      </c>
      <c r="G2006" t="s">
        <v>12366</v>
      </c>
      <c r="H2006" t="s">
        <v>8078</v>
      </c>
      <c r="I2006" t="s">
        <v>12367</v>
      </c>
      <c r="J2006" t="s">
        <v>7675</v>
      </c>
    </row>
    <row r="2007" spans="1:10" x14ac:dyDescent="0.25">
      <c r="A2007" t="s">
        <v>12368</v>
      </c>
      <c r="B2007">
        <v>16.8</v>
      </c>
      <c r="C2007" t="s">
        <v>12369</v>
      </c>
      <c r="D2007" t="s">
        <v>705</v>
      </c>
      <c r="E2007" t="s">
        <v>12365</v>
      </c>
      <c r="F2007" t="s">
        <v>7672</v>
      </c>
      <c r="G2007" t="s">
        <v>12366</v>
      </c>
      <c r="H2007" t="s">
        <v>8078</v>
      </c>
      <c r="I2007" t="s">
        <v>12370</v>
      </c>
      <c r="J2007" t="s">
        <v>7675</v>
      </c>
    </row>
    <row r="2008" spans="1:10" x14ac:dyDescent="0.25">
      <c r="A2008" t="s">
        <v>12371</v>
      </c>
      <c r="B2008">
        <v>16.8</v>
      </c>
      <c r="C2008" t="s">
        <v>12372</v>
      </c>
      <c r="D2008" t="s">
        <v>913</v>
      </c>
      <c r="E2008" t="s">
        <v>12365</v>
      </c>
      <c r="F2008" t="s">
        <v>7672</v>
      </c>
      <c r="G2008" t="s">
        <v>12366</v>
      </c>
      <c r="H2008" t="s">
        <v>8078</v>
      </c>
      <c r="I2008" t="s">
        <v>76</v>
      </c>
      <c r="J2008" t="s">
        <v>7675</v>
      </c>
    </row>
    <row r="2009" spans="1:10" x14ac:dyDescent="0.25">
      <c r="A2009" t="s">
        <v>12373</v>
      </c>
      <c r="B2009">
        <v>16.8</v>
      </c>
      <c r="C2009" t="s">
        <v>12374</v>
      </c>
      <c r="D2009" t="s">
        <v>3070</v>
      </c>
      <c r="E2009" t="s">
        <v>12365</v>
      </c>
      <c r="F2009" t="s">
        <v>7672</v>
      </c>
      <c r="G2009" t="s">
        <v>12366</v>
      </c>
      <c r="H2009" t="s">
        <v>8078</v>
      </c>
      <c r="I2009" t="s">
        <v>76</v>
      </c>
      <c r="J2009" t="s">
        <v>7686</v>
      </c>
    </row>
    <row r="2010" spans="1:10" x14ac:dyDescent="0.25">
      <c r="A2010" t="s">
        <v>12375</v>
      </c>
      <c r="B2010">
        <v>16.8</v>
      </c>
      <c r="C2010" t="s">
        <v>12376</v>
      </c>
      <c r="D2010" t="s">
        <v>74</v>
      </c>
      <c r="E2010" t="s">
        <v>12365</v>
      </c>
      <c r="F2010" t="s">
        <v>7672</v>
      </c>
      <c r="G2010" t="s">
        <v>12366</v>
      </c>
      <c r="H2010" t="s">
        <v>8078</v>
      </c>
      <c r="I2010" t="s">
        <v>12367</v>
      </c>
      <c r="J2010" t="s">
        <v>7686</v>
      </c>
    </row>
    <row r="2011" spans="1:10" x14ac:dyDescent="0.25">
      <c r="A2011" t="s">
        <v>12377</v>
      </c>
      <c r="B2011">
        <v>16.8</v>
      </c>
      <c r="C2011" t="s">
        <v>12378</v>
      </c>
      <c r="D2011" t="s">
        <v>1567</v>
      </c>
      <c r="E2011" t="s">
        <v>12365</v>
      </c>
      <c r="F2011" t="s">
        <v>7672</v>
      </c>
      <c r="G2011" t="s">
        <v>12366</v>
      </c>
      <c r="H2011" t="s">
        <v>8078</v>
      </c>
      <c r="I2011" t="s">
        <v>12370</v>
      </c>
      <c r="J2011" t="s">
        <v>7686</v>
      </c>
    </row>
    <row r="2012" spans="1:10" x14ac:dyDescent="0.25">
      <c r="A2012" t="s">
        <v>12379</v>
      </c>
      <c r="B2012">
        <v>16.8</v>
      </c>
      <c r="C2012" t="s">
        <v>12380</v>
      </c>
      <c r="D2012" t="s">
        <v>8888</v>
      </c>
      <c r="E2012" t="s">
        <v>12365</v>
      </c>
      <c r="F2012" t="s">
        <v>7672</v>
      </c>
      <c r="G2012" t="s">
        <v>12366</v>
      </c>
      <c r="H2012" t="s">
        <v>8078</v>
      </c>
      <c r="I2012" t="s">
        <v>76</v>
      </c>
      <c r="J2012" t="s">
        <v>7703</v>
      </c>
    </row>
    <row r="2013" spans="1:10" x14ac:dyDescent="0.25">
      <c r="A2013" t="s">
        <v>12381</v>
      </c>
      <c r="B2013">
        <v>16.8</v>
      </c>
      <c r="C2013" t="s">
        <v>12382</v>
      </c>
      <c r="D2013" t="s">
        <v>3253</v>
      </c>
      <c r="E2013" t="s">
        <v>12365</v>
      </c>
      <c r="F2013" t="s">
        <v>7672</v>
      </c>
      <c r="G2013" t="s">
        <v>12366</v>
      </c>
      <c r="H2013" t="s">
        <v>8078</v>
      </c>
      <c r="I2013" t="s">
        <v>12370</v>
      </c>
      <c r="J2013" t="s">
        <v>7703</v>
      </c>
    </row>
    <row r="2014" spans="1:10" x14ac:dyDescent="0.25">
      <c r="A2014" t="s">
        <v>12383</v>
      </c>
      <c r="B2014">
        <v>16.8</v>
      </c>
      <c r="C2014" t="s">
        <v>12384</v>
      </c>
      <c r="D2014" t="s">
        <v>3435</v>
      </c>
      <c r="E2014" t="s">
        <v>12365</v>
      </c>
      <c r="F2014" t="s">
        <v>7672</v>
      </c>
      <c r="G2014" t="s">
        <v>12366</v>
      </c>
      <c r="H2014" t="s">
        <v>8078</v>
      </c>
      <c r="I2014" t="s">
        <v>12367</v>
      </c>
      <c r="J2014" t="s">
        <v>7703</v>
      </c>
    </row>
    <row r="2015" spans="1:10" x14ac:dyDescent="0.25">
      <c r="A2015" t="s">
        <v>12385</v>
      </c>
      <c r="B2015">
        <v>16.8</v>
      </c>
      <c r="C2015" t="s">
        <v>12386</v>
      </c>
      <c r="D2015" t="s">
        <v>1567</v>
      </c>
      <c r="E2015" t="s">
        <v>12365</v>
      </c>
      <c r="F2015" t="s">
        <v>7672</v>
      </c>
      <c r="G2015" t="s">
        <v>12366</v>
      </c>
      <c r="H2015" t="s">
        <v>8078</v>
      </c>
      <c r="I2015" t="s">
        <v>76</v>
      </c>
      <c r="J2015" t="s">
        <v>7713</v>
      </c>
    </row>
    <row r="2016" spans="1:10" x14ac:dyDescent="0.25">
      <c r="A2016" t="s">
        <v>12387</v>
      </c>
      <c r="B2016">
        <v>16.8</v>
      </c>
      <c r="C2016" t="s">
        <v>12388</v>
      </c>
      <c r="D2016" t="s">
        <v>3086</v>
      </c>
      <c r="E2016" t="s">
        <v>12365</v>
      </c>
      <c r="F2016" t="s">
        <v>7672</v>
      </c>
      <c r="G2016" t="s">
        <v>12366</v>
      </c>
      <c r="H2016" t="s">
        <v>8078</v>
      </c>
      <c r="I2016" t="s">
        <v>12370</v>
      </c>
      <c r="J2016" t="s">
        <v>7713</v>
      </c>
    </row>
    <row r="2017" spans="1:10" x14ac:dyDescent="0.25">
      <c r="A2017" t="s">
        <v>12389</v>
      </c>
      <c r="B2017">
        <v>16.8</v>
      </c>
      <c r="C2017" t="s">
        <v>12390</v>
      </c>
      <c r="D2017" t="s">
        <v>986</v>
      </c>
      <c r="E2017" t="s">
        <v>12365</v>
      </c>
      <c r="F2017" t="s">
        <v>7672</v>
      </c>
      <c r="G2017" t="s">
        <v>12366</v>
      </c>
      <c r="H2017" t="s">
        <v>8078</v>
      </c>
      <c r="I2017" t="s">
        <v>12367</v>
      </c>
      <c r="J2017" t="s">
        <v>7713</v>
      </c>
    </row>
    <row r="2018" spans="1:10" x14ac:dyDescent="0.25">
      <c r="A2018" t="s">
        <v>12391</v>
      </c>
      <c r="B2018">
        <v>16.8</v>
      </c>
      <c r="C2018" t="s">
        <v>12392</v>
      </c>
      <c r="D2018" t="s">
        <v>240</v>
      </c>
      <c r="E2018" t="s">
        <v>12365</v>
      </c>
      <c r="F2018" t="s">
        <v>7672</v>
      </c>
      <c r="G2018" t="s">
        <v>12366</v>
      </c>
      <c r="H2018" t="s">
        <v>8078</v>
      </c>
      <c r="I2018" t="s">
        <v>12370</v>
      </c>
      <c r="J2018" t="s">
        <v>7719</v>
      </c>
    </row>
    <row r="2019" spans="1:10" x14ac:dyDescent="0.25">
      <c r="A2019" t="s">
        <v>12393</v>
      </c>
      <c r="B2019">
        <v>16.8</v>
      </c>
      <c r="C2019" t="s">
        <v>12394</v>
      </c>
      <c r="D2019" t="s">
        <v>1822</v>
      </c>
      <c r="E2019" t="s">
        <v>12365</v>
      </c>
      <c r="F2019" t="s">
        <v>7672</v>
      </c>
      <c r="G2019" t="s">
        <v>12366</v>
      </c>
      <c r="H2019" t="s">
        <v>8078</v>
      </c>
      <c r="I2019" t="s">
        <v>76</v>
      </c>
      <c r="J2019" t="s">
        <v>7719</v>
      </c>
    </row>
    <row r="2020" spans="1:10" x14ac:dyDescent="0.25">
      <c r="A2020" t="s">
        <v>12395</v>
      </c>
      <c r="B2020">
        <v>16.8</v>
      </c>
      <c r="C2020" t="s">
        <v>12396</v>
      </c>
      <c r="D2020" t="s">
        <v>118</v>
      </c>
      <c r="E2020" t="s">
        <v>12365</v>
      </c>
      <c r="F2020" t="s">
        <v>7672</v>
      </c>
      <c r="G2020" t="s">
        <v>12366</v>
      </c>
      <c r="H2020" t="s">
        <v>8078</v>
      </c>
      <c r="I2020" t="s">
        <v>12367</v>
      </c>
      <c r="J2020" t="s">
        <v>7719</v>
      </c>
    </row>
    <row r="2021" spans="1:10" x14ac:dyDescent="0.25">
      <c r="A2021" t="s">
        <v>12397</v>
      </c>
      <c r="B2021">
        <v>13.992000000000001</v>
      </c>
      <c r="C2021" t="s">
        <v>12398</v>
      </c>
      <c r="D2021" t="s">
        <v>342</v>
      </c>
      <c r="E2021" t="s">
        <v>12399</v>
      </c>
      <c r="F2021" t="s">
        <v>7672</v>
      </c>
      <c r="G2021" t="s">
        <v>12400</v>
      </c>
      <c r="H2021" t="s">
        <v>11598</v>
      </c>
      <c r="I2021" t="s">
        <v>12401</v>
      </c>
      <c r="J2021" t="s">
        <v>7942</v>
      </c>
    </row>
    <row r="2022" spans="1:10" x14ac:dyDescent="0.25">
      <c r="A2022" t="s">
        <v>12402</v>
      </c>
      <c r="B2022">
        <v>13.992000000000001</v>
      </c>
      <c r="C2022" t="s">
        <v>12403</v>
      </c>
      <c r="D2022" t="s">
        <v>53</v>
      </c>
      <c r="E2022" t="s">
        <v>12399</v>
      </c>
      <c r="F2022" t="s">
        <v>7672</v>
      </c>
      <c r="G2022" t="s">
        <v>12400</v>
      </c>
      <c r="H2022" t="s">
        <v>11598</v>
      </c>
      <c r="I2022" t="s">
        <v>12401</v>
      </c>
      <c r="J2022" t="s">
        <v>8013</v>
      </c>
    </row>
    <row r="2023" spans="1:10" x14ac:dyDescent="0.25">
      <c r="A2023" t="s">
        <v>12404</v>
      </c>
      <c r="B2023">
        <v>17.696000000000002</v>
      </c>
      <c r="C2023" t="s">
        <v>12405</v>
      </c>
      <c r="D2023" t="s">
        <v>240</v>
      </c>
      <c r="E2023" t="s">
        <v>12406</v>
      </c>
      <c r="F2023" t="s">
        <v>7672</v>
      </c>
      <c r="G2023" t="s">
        <v>12407</v>
      </c>
      <c r="H2023" t="s">
        <v>10172</v>
      </c>
      <c r="I2023" t="s">
        <v>4045</v>
      </c>
      <c r="J2023" t="s">
        <v>10174</v>
      </c>
    </row>
    <row r="2024" spans="1:10" x14ac:dyDescent="0.25">
      <c r="A2024" t="s">
        <v>12408</v>
      </c>
      <c r="B2024">
        <v>17.696000000000002</v>
      </c>
      <c r="C2024" t="s">
        <v>12409</v>
      </c>
      <c r="D2024" t="s">
        <v>60</v>
      </c>
      <c r="E2024" t="s">
        <v>12406</v>
      </c>
      <c r="F2024" t="s">
        <v>7672</v>
      </c>
      <c r="G2024" t="s">
        <v>12407</v>
      </c>
      <c r="H2024" t="s">
        <v>10172</v>
      </c>
      <c r="I2024" t="s">
        <v>6653</v>
      </c>
      <c r="J2024" t="s">
        <v>10185</v>
      </c>
    </row>
    <row r="2025" spans="1:10" x14ac:dyDescent="0.25">
      <c r="A2025" t="s">
        <v>12410</v>
      </c>
      <c r="B2025">
        <v>17.696000000000002</v>
      </c>
      <c r="C2025" t="s">
        <v>12411</v>
      </c>
      <c r="D2025" t="s">
        <v>88</v>
      </c>
      <c r="E2025" t="s">
        <v>12406</v>
      </c>
      <c r="F2025" t="s">
        <v>7672</v>
      </c>
      <c r="G2025" t="s">
        <v>12407</v>
      </c>
      <c r="H2025" t="s">
        <v>10172</v>
      </c>
      <c r="I2025" t="s">
        <v>12412</v>
      </c>
      <c r="J2025" t="s">
        <v>10233</v>
      </c>
    </row>
    <row r="2026" spans="1:10" x14ac:dyDescent="0.25">
      <c r="A2026" t="s">
        <v>12413</v>
      </c>
      <c r="B2026">
        <v>17.696000000000002</v>
      </c>
      <c r="C2026" t="s">
        <v>12414</v>
      </c>
      <c r="D2026" t="s">
        <v>245</v>
      </c>
      <c r="E2026" t="s">
        <v>12406</v>
      </c>
      <c r="F2026" t="s">
        <v>7672</v>
      </c>
      <c r="G2026" t="s">
        <v>12407</v>
      </c>
      <c r="H2026" t="s">
        <v>10172</v>
      </c>
      <c r="I2026" t="s">
        <v>10173</v>
      </c>
      <c r="J2026" t="s">
        <v>10240</v>
      </c>
    </row>
    <row r="2027" spans="1:10" x14ac:dyDescent="0.25">
      <c r="A2027" t="s">
        <v>12415</v>
      </c>
      <c r="B2027">
        <v>17.696000000000002</v>
      </c>
      <c r="C2027" t="s">
        <v>12416</v>
      </c>
      <c r="D2027" t="s">
        <v>40</v>
      </c>
      <c r="E2027" t="s">
        <v>12406</v>
      </c>
      <c r="F2027" t="s">
        <v>7672</v>
      </c>
      <c r="G2027" t="s">
        <v>12407</v>
      </c>
      <c r="H2027" t="s">
        <v>10172</v>
      </c>
      <c r="I2027" t="s">
        <v>12412</v>
      </c>
      <c r="J2027" t="s">
        <v>10262</v>
      </c>
    </row>
    <row r="2028" spans="1:10" x14ac:dyDescent="0.25">
      <c r="A2028" t="s">
        <v>12417</v>
      </c>
      <c r="B2028">
        <v>17.696000000000002</v>
      </c>
      <c r="C2028" t="s">
        <v>12418</v>
      </c>
      <c r="D2028" t="s">
        <v>720</v>
      </c>
      <c r="E2028" t="s">
        <v>12406</v>
      </c>
      <c r="F2028" t="s">
        <v>7672</v>
      </c>
      <c r="G2028" t="s">
        <v>12407</v>
      </c>
      <c r="H2028" t="s">
        <v>10172</v>
      </c>
      <c r="I2028" t="s">
        <v>12412</v>
      </c>
      <c r="J2028" t="s">
        <v>8659</v>
      </c>
    </row>
    <row r="2029" spans="1:10" x14ac:dyDescent="0.25">
      <c r="A2029" t="s">
        <v>12419</v>
      </c>
      <c r="B2029">
        <v>18.584</v>
      </c>
      <c r="C2029" t="s">
        <v>12420</v>
      </c>
      <c r="D2029" t="s">
        <v>290</v>
      </c>
      <c r="E2029" t="s">
        <v>12421</v>
      </c>
      <c r="F2029" t="s">
        <v>7672</v>
      </c>
      <c r="G2029" t="s">
        <v>12422</v>
      </c>
      <c r="H2029" t="s">
        <v>12423</v>
      </c>
      <c r="I2029" t="s">
        <v>12424</v>
      </c>
      <c r="J2029" t="s">
        <v>9023</v>
      </c>
    </row>
    <row r="2030" spans="1:10" x14ac:dyDescent="0.25">
      <c r="A2030" t="s">
        <v>12425</v>
      </c>
      <c r="B2030">
        <v>18.584</v>
      </c>
      <c r="C2030" t="s">
        <v>12426</v>
      </c>
      <c r="D2030" t="s">
        <v>53</v>
      </c>
      <c r="E2030" t="s">
        <v>12421</v>
      </c>
      <c r="F2030" t="s">
        <v>7672</v>
      </c>
      <c r="G2030" t="s">
        <v>12422</v>
      </c>
      <c r="H2030" t="s">
        <v>12423</v>
      </c>
      <c r="I2030" t="s">
        <v>12427</v>
      </c>
      <c r="J2030" t="s">
        <v>9023</v>
      </c>
    </row>
    <row r="2031" spans="1:10" x14ac:dyDescent="0.25">
      <c r="A2031" t="s">
        <v>12428</v>
      </c>
      <c r="B2031">
        <v>18.584</v>
      </c>
      <c r="C2031" t="s">
        <v>12429</v>
      </c>
      <c r="D2031" t="s">
        <v>255</v>
      </c>
      <c r="E2031" t="s">
        <v>12421</v>
      </c>
      <c r="F2031" t="s">
        <v>7672</v>
      </c>
      <c r="G2031" t="s">
        <v>12422</v>
      </c>
      <c r="H2031" t="s">
        <v>12423</v>
      </c>
      <c r="I2031" t="s">
        <v>12430</v>
      </c>
      <c r="J2031" t="s">
        <v>9023</v>
      </c>
    </row>
    <row r="2032" spans="1:10" x14ac:dyDescent="0.25">
      <c r="A2032" t="s">
        <v>12431</v>
      </c>
      <c r="B2032">
        <v>18.584</v>
      </c>
      <c r="C2032" t="s">
        <v>12432</v>
      </c>
      <c r="D2032" t="s">
        <v>926</v>
      </c>
      <c r="E2032" t="s">
        <v>12421</v>
      </c>
      <c r="F2032" t="s">
        <v>7672</v>
      </c>
      <c r="G2032" t="s">
        <v>12422</v>
      </c>
      <c r="H2032" t="s">
        <v>12423</v>
      </c>
      <c r="I2032" t="s">
        <v>12424</v>
      </c>
      <c r="J2032" t="s">
        <v>8883</v>
      </c>
    </row>
    <row r="2033" spans="1:10" x14ac:dyDescent="0.25">
      <c r="A2033" t="s">
        <v>12433</v>
      </c>
      <c r="B2033">
        <v>18.584</v>
      </c>
      <c r="C2033" t="s">
        <v>12434</v>
      </c>
      <c r="D2033" t="s">
        <v>875</v>
      </c>
      <c r="E2033" t="s">
        <v>12421</v>
      </c>
      <c r="F2033" t="s">
        <v>7672</v>
      </c>
      <c r="G2033" t="s">
        <v>12422</v>
      </c>
      <c r="H2033" t="s">
        <v>12423</v>
      </c>
      <c r="I2033" t="s">
        <v>12427</v>
      </c>
      <c r="J2033" t="s">
        <v>8883</v>
      </c>
    </row>
    <row r="2034" spans="1:10" x14ac:dyDescent="0.25">
      <c r="A2034" t="s">
        <v>12435</v>
      </c>
      <c r="B2034">
        <v>18.584</v>
      </c>
      <c r="C2034" t="s">
        <v>12436</v>
      </c>
      <c r="D2034" t="s">
        <v>385</v>
      </c>
      <c r="E2034" t="s">
        <v>12421</v>
      </c>
      <c r="F2034" t="s">
        <v>7672</v>
      </c>
      <c r="G2034" t="s">
        <v>12422</v>
      </c>
      <c r="H2034" t="s">
        <v>12423</v>
      </c>
      <c r="I2034" t="s">
        <v>12437</v>
      </c>
      <c r="J2034" t="s">
        <v>8883</v>
      </c>
    </row>
    <row r="2035" spans="1:10" x14ac:dyDescent="0.25">
      <c r="A2035" t="s">
        <v>12438</v>
      </c>
      <c r="B2035">
        <v>18.584</v>
      </c>
      <c r="C2035" t="s">
        <v>12439</v>
      </c>
      <c r="D2035" t="s">
        <v>698</v>
      </c>
      <c r="E2035" t="s">
        <v>12421</v>
      </c>
      <c r="F2035" t="s">
        <v>7672</v>
      </c>
      <c r="G2035" t="s">
        <v>12422</v>
      </c>
      <c r="H2035" t="s">
        <v>12423</v>
      </c>
      <c r="I2035" t="s">
        <v>12430</v>
      </c>
      <c r="J2035" t="s">
        <v>8883</v>
      </c>
    </row>
    <row r="2036" spans="1:10" x14ac:dyDescent="0.25">
      <c r="A2036" t="s">
        <v>12440</v>
      </c>
      <c r="B2036">
        <v>18.584</v>
      </c>
      <c r="C2036" t="s">
        <v>12441</v>
      </c>
      <c r="D2036" t="s">
        <v>106</v>
      </c>
      <c r="E2036" t="s">
        <v>12421</v>
      </c>
      <c r="F2036" t="s">
        <v>7672</v>
      </c>
      <c r="G2036" t="s">
        <v>12422</v>
      </c>
      <c r="H2036" t="s">
        <v>12423</v>
      </c>
      <c r="I2036" t="s">
        <v>12442</v>
      </c>
      <c r="J2036" t="s">
        <v>8883</v>
      </c>
    </row>
    <row r="2037" spans="1:10" x14ac:dyDescent="0.25">
      <c r="A2037" t="s">
        <v>12443</v>
      </c>
      <c r="B2037">
        <v>18.584</v>
      </c>
      <c r="C2037" t="s">
        <v>12444</v>
      </c>
      <c r="D2037" t="s">
        <v>88</v>
      </c>
      <c r="E2037" t="s">
        <v>12421</v>
      </c>
      <c r="F2037" t="s">
        <v>7672</v>
      </c>
      <c r="G2037" t="s">
        <v>12422</v>
      </c>
      <c r="H2037" t="s">
        <v>12423</v>
      </c>
      <c r="I2037" t="s">
        <v>11625</v>
      </c>
      <c r="J2037" t="s">
        <v>8885</v>
      </c>
    </row>
    <row r="2038" spans="1:10" x14ac:dyDescent="0.25">
      <c r="A2038" t="s">
        <v>12445</v>
      </c>
      <c r="B2038">
        <v>18.584</v>
      </c>
      <c r="C2038" t="s">
        <v>12446</v>
      </c>
      <c r="D2038" t="s">
        <v>1852</v>
      </c>
      <c r="E2038" t="s">
        <v>12421</v>
      </c>
      <c r="F2038" t="s">
        <v>7672</v>
      </c>
      <c r="G2038" t="s">
        <v>12422</v>
      </c>
      <c r="H2038" t="s">
        <v>12423</v>
      </c>
      <c r="I2038" t="s">
        <v>12424</v>
      </c>
      <c r="J2038" t="s">
        <v>8885</v>
      </c>
    </row>
    <row r="2039" spans="1:10" x14ac:dyDescent="0.25">
      <c r="A2039" t="s">
        <v>12447</v>
      </c>
      <c r="B2039">
        <v>18.584</v>
      </c>
      <c r="C2039" t="s">
        <v>12448</v>
      </c>
      <c r="D2039" t="s">
        <v>776</v>
      </c>
      <c r="E2039" t="s">
        <v>12421</v>
      </c>
      <c r="F2039" t="s">
        <v>7672</v>
      </c>
      <c r="G2039" t="s">
        <v>12422</v>
      </c>
      <c r="H2039" t="s">
        <v>12423</v>
      </c>
      <c r="I2039" t="s">
        <v>12427</v>
      </c>
      <c r="J2039" t="s">
        <v>8885</v>
      </c>
    </row>
    <row r="2040" spans="1:10" x14ac:dyDescent="0.25">
      <c r="A2040" t="s">
        <v>12449</v>
      </c>
      <c r="B2040">
        <v>18.584</v>
      </c>
      <c r="C2040" t="s">
        <v>12450</v>
      </c>
      <c r="D2040" t="s">
        <v>95</v>
      </c>
      <c r="E2040" t="s">
        <v>12421</v>
      </c>
      <c r="F2040" t="s">
        <v>7672</v>
      </c>
      <c r="G2040" t="s">
        <v>12422</v>
      </c>
      <c r="H2040" t="s">
        <v>12423</v>
      </c>
      <c r="I2040" t="s">
        <v>12437</v>
      </c>
      <c r="J2040" t="s">
        <v>8885</v>
      </c>
    </row>
    <row r="2041" spans="1:10" x14ac:dyDescent="0.25">
      <c r="A2041" t="s">
        <v>12451</v>
      </c>
      <c r="B2041">
        <v>18.584</v>
      </c>
      <c r="C2041" t="s">
        <v>12452</v>
      </c>
      <c r="D2041" t="s">
        <v>875</v>
      </c>
      <c r="E2041" t="s">
        <v>12421</v>
      </c>
      <c r="F2041" t="s">
        <v>7672</v>
      </c>
      <c r="G2041" t="s">
        <v>12422</v>
      </c>
      <c r="H2041" t="s">
        <v>12423</v>
      </c>
      <c r="I2041" t="s">
        <v>12430</v>
      </c>
      <c r="J2041" t="s">
        <v>8885</v>
      </c>
    </row>
    <row r="2042" spans="1:10" x14ac:dyDescent="0.25">
      <c r="A2042" t="s">
        <v>12453</v>
      </c>
      <c r="B2042">
        <v>18.584</v>
      </c>
      <c r="C2042" t="s">
        <v>12454</v>
      </c>
      <c r="D2042" t="s">
        <v>277</v>
      </c>
      <c r="E2042" t="s">
        <v>12421</v>
      </c>
      <c r="F2042" t="s">
        <v>7672</v>
      </c>
      <c r="G2042" t="s">
        <v>12422</v>
      </c>
      <c r="H2042" t="s">
        <v>12423</v>
      </c>
      <c r="I2042" t="s">
        <v>12442</v>
      </c>
      <c r="J2042" t="s">
        <v>8885</v>
      </c>
    </row>
    <row r="2043" spans="1:10" x14ac:dyDescent="0.25">
      <c r="A2043" t="s">
        <v>12455</v>
      </c>
      <c r="B2043">
        <v>18.584</v>
      </c>
      <c r="C2043" t="s">
        <v>12456</v>
      </c>
      <c r="D2043" t="s">
        <v>1621</v>
      </c>
      <c r="E2043" t="s">
        <v>12421</v>
      </c>
      <c r="F2043" t="s">
        <v>7672</v>
      </c>
      <c r="G2043" t="s">
        <v>12422</v>
      </c>
      <c r="H2043" t="s">
        <v>12423</v>
      </c>
      <c r="I2043" t="s">
        <v>12424</v>
      </c>
      <c r="J2043" t="s">
        <v>10908</v>
      </c>
    </row>
    <row r="2044" spans="1:10" x14ac:dyDescent="0.25">
      <c r="A2044" t="s">
        <v>12457</v>
      </c>
      <c r="B2044">
        <v>18.584</v>
      </c>
      <c r="C2044" t="s">
        <v>12458</v>
      </c>
      <c r="D2044" t="s">
        <v>582</v>
      </c>
      <c r="E2044" t="s">
        <v>12421</v>
      </c>
      <c r="F2044" t="s">
        <v>7672</v>
      </c>
      <c r="G2044" t="s">
        <v>12422</v>
      </c>
      <c r="H2044" t="s">
        <v>12423</v>
      </c>
      <c r="I2044" t="s">
        <v>12427</v>
      </c>
      <c r="J2044" t="s">
        <v>10908</v>
      </c>
    </row>
    <row r="2045" spans="1:10" x14ac:dyDescent="0.25">
      <c r="A2045" t="s">
        <v>12459</v>
      </c>
      <c r="B2045">
        <v>18.584</v>
      </c>
      <c r="C2045" t="s">
        <v>12460</v>
      </c>
      <c r="D2045" t="s">
        <v>106</v>
      </c>
      <c r="E2045" t="s">
        <v>12421</v>
      </c>
      <c r="F2045" t="s">
        <v>7672</v>
      </c>
      <c r="G2045" t="s">
        <v>12422</v>
      </c>
      <c r="H2045" t="s">
        <v>12423</v>
      </c>
      <c r="I2045" t="s">
        <v>12437</v>
      </c>
      <c r="J2045" t="s">
        <v>10908</v>
      </c>
    </row>
    <row r="2046" spans="1:10" x14ac:dyDescent="0.25">
      <c r="A2046" t="s">
        <v>12461</v>
      </c>
      <c r="B2046">
        <v>18.584</v>
      </c>
      <c r="C2046" t="s">
        <v>12462</v>
      </c>
      <c r="D2046" t="s">
        <v>1143</v>
      </c>
      <c r="E2046" t="s">
        <v>12421</v>
      </c>
      <c r="F2046" t="s">
        <v>7672</v>
      </c>
      <c r="G2046" t="s">
        <v>12422</v>
      </c>
      <c r="H2046" t="s">
        <v>12423</v>
      </c>
      <c r="I2046" t="s">
        <v>12430</v>
      </c>
      <c r="J2046" t="s">
        <v>10908</v>
      </c>
    </row>
    <row r="2047" spans="1:10" x14ac:dyDescent="0.25">
      <c r="A2047" t="s">
        <v>12463</v>
      </c>
      <c r="B2047">
        <v>18.584</v>
      </c>
      <c r="C2047" t="s">
        <v>12464</v>
      </c>
      <c r="D2047" t="s">
        <v>95</v>
      </c>
      <c r="E2047" t="s">
        <v>12421</v>
      </c>
      <c r="F2047" t="s">
        <v>7672</v>
      </c>
      <c r="G2047" t="s">
        <v>12422</v>
      </c>
      <c r="H2047" t="s">
        <v>12423</v>
      </c>
      <c r="I2047" t="s">
        <v>12442</v>
      </c>
      <c r="J2047" t="s">
        <v>10908</v>
      </c>
    </row>
    <row r="2048" spans="1:10" x14ac:dyDescent="0.25">
      <c r="A2048" t="s">
        <v>12465</v>
      </c>
      <c r="B2048">
        <v>18.584</v>
      </c>
      <c r="C2048" t="s">
        <v>12466</v>
      </c>
      <c r="D2048" t="s">
        <v>229</v>
      </c>
      <c r="E2048" t="s">
        <v>12421</v>
      </c>
      <c r="F2048" t="s">
        <v>7672</v>
      </c>
      <c r="G2048" t="s">
        <v>12422</v>
      </c>
      <c r="H2048" t="s">
        <v>12423</v>
      </c>
      <c r="I2048" t="s">
        <v>11625</v>
      </c>
      <c r="J2048" t="s">
        <v>10918</v>
      </c>
    </row>
    <row r="2049" spans="1:10" x14ac:dyDescent="0.25">
      <c r="A2049" t="s">
        <v>12467</v>
      </c>
      <c r="B2049">
        <v>18.584</v>
      </c>
      <c r="C2049" t="s">
        <v>12468</v>
      </c>
      <c r="D2049" t="s">
        <v>306</v>
      </c>
      <c r="E2049" t="s">
        <v>12421</v>
      </c>
      <c r="F2049" t="s">
        <v>7672</v>
      </c>
      <c r="G2049" t="s">
        <v>12422</v>
      </c>
      <c r="H2049" t="s">
        <v>12423</v>
      </c>
      <c r="I2049" t="s">
        <v>12424</v>
      </c>
      <c r="J2049" t="s">
        <v>10918</v>
      </c>
    </row>
    <row r="2050" spans="1:10" x14ac:dyDescent="0.25">
      <c r="A2050" t="s">
        <v>12469</v>
      </c>
      <c r="B2050">
        <v>18.584</v>
      </c>
      <c r="C2050" t="s">
        <v>12470</v>
      </c>
      <c r="D2050" t="s">
        <v>725</v>
      </c>
      <c r="E2050" t="s">
        <v>12421</v>
      </c>
      <c r="F2050" t="s">
        <v>7672</v>
      </c>
      <c r="G2050" t="s">
        <v>12422</v>
      </c>
      <c r="H2050" t="s">
        <v>12423</v>
      </c>
      <c r="I2050" t="s">
        <v>12427</v>
      </c>
      <c r="J2050" t="s">
        <v>10918</v>
      </c>
    </row>
    <row r="2051" spans="1:10" x14ac:dyDescent="0.25">
      <c r="A2051" t="s">
        <v>12471</v>
      </c>
      <c r="B2051">
        <v>18.584</v>
      </c>
      <c r="C2051" t="s">
        <v>12472</v>
      </c>
      <c r="D2051" t="s">
        <v>1097</v>
      </c>
      <c r="E2051" t="s">
        <v>12421</v>
      </c>
      <c r="F2051" t="s">
        <v>7672</v>
      </c>
      <c r="G2051" t="s">
        <v>12422</v>
      </c>
      <c r="H2051" t="s">
        <v>12423</v>
      </c>
      <c r="I2051" t="s">
        <v>12437</v>
      </c>
      <c r="J2051" t="s">
        <v>10918</v>
      </c>
    </row>
    <row r="2052" spans="1:10" x14ac:dyDescent="0.25">
      <c r="A2052" t="s">
        <v>12473</v>
      </c>
      <c r="B2052">
        <v>18.584</v>
      </c>
      <c r="C2052" t="s">
        <v>12474</v>
      </c>
      <c r="D2052" t="s">
        <v>843</v>
      </c>
      <c r="E2052" t="s">
        <v>12421</v>
      </c>
      <c r="F2052" t="s">
        <v>7672</v>
      </c>
      <c r="G2052" t="s">
        <v>12422</v>
      </c>
      <c r="H2052" t="s">
        <v>12423</v>
      </c>
      <c r="I2052" t="s">
        <v>12430</v>
      </c>
      <c r="J2052" t="s">
        <v>10918</v>
      </c>
    </row>
    <row r="2053" spans="1:10" x14ac:dyDescent="0.25">
      <c r="A2053" t="s">
        <v>12475</v>
      </c>
      <c r="B2053">
        <v>18.584</v>
      </c>
      <c r="C2053" t="s">
        <v>12476</v>
      </c>
      <c r="D2053" t="s">
        <v>613</v>
      </c>
      <c r="E2053" t="s">
        <v>12421</v>
      </c>
      <c r="F2053" t="s">
        <v>7672</v>
      </c>
      <c r="G2053" t="s">
        <v>12422</v>
      </c>
      <c r="H2053" t="s">
        <v>12423</v>
      </c>
      <c r="I2053" t="s">
        <v>12442</v>
      </c>
      <c r="J2053" t="s">
        <v>10918</v>
      </c>
    </row>
    <row r="2054" spans="1:10" x14ac:dyDescent="0.25">
      <c r="A2054" t="s">
        <v>12477</v>
      </c>
      <c r="B2054">
        <v>18.584</v>
      </c>
      <c r="C2054" t="s">
        <v>12478</v>
      </c>
      <c r="D2054" t="s">
        <v>385</v>
      </c>
      <c r="E2054" t="s">
        <v>12421</v>
      </c>
      <c r="F2054" t="s">
        <v>7672</v>
      </c>
      <c r="G2054" t="s">
        <v>12422</v>
      </c>
      <c r="H2054" t="s">
        <v>12423</v>
      </c>
      <c r="I2054" t="s">
        <v>11625</v>
      </c>
      <c r="J2054" t="s">
        <v>10926</v>
      </c>
    </row>
    <row r="2055" spans="1:10" x14ac:dyDescent="0.25">
      <c r="A2055" t="s">
        <v>12479</v>
      </c>
      <c r="B2055">
        <v>18.584</v>
      </c>
      <c r="C2055" t="s">
        <v>12480</v>
      </c>
      <c r="D2055" t="s">
        <v>2036</v>
      </c>
      <c r="E2055" t="s">
        <v>12421</v>
      </c>
      <c r="F2055" t="s">
        <v>7672</v>
      </c>
      <c r="G2055" t="s">
        <v>12422</v>
      </c>
      <c r="H2055" t="s">
        <v>12423</v>
      </c>
      <c r="I2055" t="s">
        <v>12427</v>
      </c>
      <c r="J2055" t="s">
        <v>10926</v>
      </c>
    </row>
    <row r="2056" spans="1:10" x14ac:dyDescent="0.25">
      <c r="A2056" t="s">
        <v>12481</v>
      </c>
      <c r="B2056">
        <v>18.584</v>
      </c>
      <c r="C2056" t="s">
        <v>12482</v>
      </c>
      <c r="D2056" t="s">
        <v>306</v>
      </c>
      <c r="E2056" t="s">
        <v>12421</v>
      </c>
      <c r="F2056" t="s">
        <v>7672</v>
      </c>
      <c r="G2056" t="s">
        <v>12422</v>
      </c>
      <c r="H2056" t="s">
        <v>12423</v>
      </c>
      <c r="I2056" t="s">
        <v>12424</v>
      </c>
      <c r="J2056" t="s">
        <v>10926</v>
      </c>
    </row>
    <row r="2057" spans="1:10" x14ac:dyDescent="0.25">
      <c r="A2057" t="s">
        <v>12483</v>
      </c>
      <c r="B2057">
        <v>18.584</v>
      </c>
      <c r="C2057" t="s">
        <v>12484</v>
      </c>
      <c r="D2057" t="s">
        <v>1621</v>
      </c>
      <c r="E2057" t="s">
        <v>12421</v>
      </c>
      <c r="F2057" t="s">
        <v>7672</v>
      </c>
      <c r="G2057" t="s">
        <v>12422</v>
      </c>
      <c r="H2057" t="s">
        <v>12423</v>
      </c>
      <c r="I2057" t="s">
        <v>12437</v>
      </c>
      <c r="J2057" t="s">
        <v>10926</v>
      </c>
    </row>
    <row r="2058" spans="1:10" x14ac:dyDescent="0.25">
      <c r="A2058" t="s">
        <v>12485</v>
      </c>
      <c r="B2058">
        <v>18.584</v>
      </c>
      <c r="C2058" t="s">
        <v>12486</v>
      </c>
      <c r="D2058" t="s">
        <v>118</v>
      </c>
      <c r="E2058" t="s">
        <v>12421</v>
      </c>
      <c r="F2058" t="s">
        <v>7672</v>
      </c>
      <c r="G2058" t="s">
        <v>12422</v>
      </c>
      <c r="H2058" t="s">
        <v>12423</v>
      </c>
      <c r="I2058" t="s">
        <v>12442</v>
      </c>
      <c r="J2058" t="s">
        <v>10926</v>
      </c>
    </row>
    <row r="2059" spans="1:10" x14ac:dyDescent="0.25">
      <c r="A2059" t="s">
        <v>12487</v>
      </c>
      <c r="B2059">
        <v>18.584</v>
      </c>
      <c r="C2059" t="s">
        <v>12488</v>
      </c>
      <c r="D2059" t="s">
        <v>843</v>
      </c>
      <c r="E2059" t="s">
        <v>12421</v>
      </c>
      <c r="F2059" t="s">
        <v>7672</v>
      </c>
      <c r="G2059" t="s">
        <v>12422</v>
      </c>
      <c r="H2059" t="s">
        <v>12423</v>
      </c>
      <c r="I2059" t="s">
        <v>12430</v>
      </c>
      <c r="J2059" t="s">
        <v>10926</v>
      </c>
    </row>
    <row r="2060" spans="1:10" x14ac:dyDescent="0.25">
      <c r="A2060" t="s">
        <v>12489</v>
      </c>
      <c r="B2060">
        <v>18.584</v>
      </c>
      <c r="C2060" t="s">
        <v>12490</v>
      </c>
      <c r="D2060" t="s">
        <v>1143</v>
      </c>
      <c r="E2060" t="s">
        <v>12421</v>
      </c>
      <c r="F2060" t="s">
        <v>7672</v>
      </c>
      <c r="G2060" t="s">
        <v>12422</v>
      </c>
      <c r="H2060" t="s">
        <v>12423</v>
      </c>
      <c r="I2060" t="s">
        <v>11625</v>
      </c>
      <c r="J2060" t="s">
        <v>9061</v>
      </c>
    </row>
    <row r="2061" spans="1:10" x14ac:dyDescent="0.25">
      <c r="A2061" t="s">
        <v>12491</v>
      </c>
      <c r="B2061">
        <v>18.584</v>
      </c>
      <c r="C2061" t="s">
        <v>12492</v>
      </c>
      <c r="D2061" t="s">
        <v>1097</v>
      </c>
      <c r="E2061" t="s">
        <v>12421</v>
      </c>
      <c r="F2061" t="s">
        <v>7672</v>
      </c>
      <c r="G2061" t="s">
        <v>12422</v>
      </c>
      <c r="H2061" t="s">
        <v>12423</v>
      </c>
      <c r="I2061" t="s">
        <v>12427</v>
      </c>
      <c r="J2061" t="s">
        <v>9061</v>
      </c>
    </row>
    <row r="2062" spans="1:10" x14ac:dyDescent="0.25">
      <c r="A2062" t="s">
        <v>12493</v>
      </c>
      <c r="B2062">
        <v>18.584</v>
      </c>
      <c r="C2062" t="s">
        <v>12494</v>
      </c>
      <c r="D2062" t="s">
        <v>2253</v>
      </c>
      <c r="E2062" t="s">
        <v>12421</v>
      </c>
      <c r="F2062" t="s">
        <v>7672</v>
      </c>
      <c r="G2062" t="s">
        <v>12422</v>
      </c>
      <c r="H2062" t="s">
        <v>12423</v>
      </c>
      <c r="I2062" t="s">
        <v>12424</v>
      </c>
      <c r="J2062" t="s">
        <v>9061</v>
      </c>
    </row>
    <row r="2063" spans="1:10" x14ac:dyDescent="0.25">
      <c r="A2063" t="s">
        <v>12495</v>
      </c>
      <c r="B2063">
        <v>18.584</v>
      </c>
      <c r="C2063" t="s">
        <v>12496</v>
      </c>
      <c r="D2063" t="s">
        <v>113</v>
      </c>
      <c r="E2063" t="s">
        <v>12421</v>
      </c>
      <c r="F2063" t="s">
        <v>7672</v>
      </c>
      <c r="G2063" t="s">
        <v>12422</v>
      </c>
      <c r="H2063" t="s">
        <v>12423</v>
      </c>
      <c r="I2063" t="s">
        <v>12437</v>
      </c>
      <c r="J2063" t="s">
        <v>9061</v>
      </c>
    </row>
    <row r="2064" spans="1:10" x14ac:dyDescent="0.25">
      <c r="A2064" t="s">
        <v>12497</v>
      </c>
      <c r="B2064">
        <v>18.584</v>
      </c>
      <c r="C2064" t="s">
        <v>12498</v>
      </c>
      <c r="D2064" t="s">
        <v>95</v>
      </c>
      <c r="E2064" t="s">
        <v>12421</v>
      </c>
      <c r="F2064" t="s">
        <v>7672</v>
      </c>
      <c r="G2064" t="s">
        <v>12422</v>
      </c>
      <c r="H2064" t="s">
        <v>12423</v>
      </c>
      <c r="I2064" t="s">
        <v>12442</v>
      </c>
      <c r="J2064" t="s">
        <v>9061</v>
      </c>
    </row>
    <row r="2065" spans="1:10" x14ac:dyDescent="0.25">
      <c r="A2065" t="s">
        <v>12499</v>
      </c>
      <c r="B2065">
        <v>18.584</v>
      </c>
      <c r="C2065" t="s">
        <v>12500</v>
      </c>
      <c r="D2065" t="s">
        <v>2697</v>
      </c>
      <c r="E2065" t="s">
        <v>12421</v>
      </c>
      <c r="F2065" t="s">
        <v>7672</v>
      </c>
      <c r="G2065" t="s">
        <v>12422</v>
      </c>
      <c r="H2065" t="s">
        <v>12423</v>
      </c>
      <c r="I2065" t="s">
        <v>12430</v>
      </c>
      <c r="J2065" t="s">
        <v>9061</v>
      </c>
    </row>
    <row r="2066" spans="1:10" x14ac:dyDescent="0.25">
      <c r="A2066" t="s">
        <v>12501</v>
      </c>
      <c r="B2066">
        <v>18.584</v>
      </c>
      <c r="C2066" t="s">
        <v>12502</v>
      </c>
      <c r="D2066" t="s">
        <v>576</v>
      </c>
      <c r="E2066" t="s">
        <v>12421</v>
      </c>
      <c r="F2066" t="s">
        <v>7672</v>
      </c>
      <c r="G2066" t="s">
        <v>12422</v>
      </c>
      <c r="H2066" t="s">
        <v>12423</v>
      </c>
      <c r="I2066" t="s">
        <v>12503</v>
      </c>
      <c r="J2066" t="s">
        <v>9061</v>
      </c>
    </row>
    <row r="2067" spans="1:10" x14ac:dyDescent="0.25">
      <c r="A2067" t="s">
        <v>12504</v>
      </c>
      <c r="B2067">
        <v>8.3920000000000012</v>
      </c>
      <c r="C2067" t="s">
        <v>12505</v>
      </c>
      <c r="D2067" t="s">
        <v>436</v>
      </c>
      <c r="E2067" t="s">
        <v>12506</v>
      </c>
      <c r="F2067" t="s">
        <v>7672</v>
      </c>
      <c r="G2067" t="s">
        <v>12507</v>
      </c>
      <c r="H2067" t="s">
        <v>12508</v>
      </c>
      <c r="I2067" t="s">
        <v>497</v>
      </c>
      <c r="J2067" t="s">
        <v>9694</v>
      </c>
    </row>
    <row r="2068" spans="1:10" x14ac:dyDescent="0.25">
      <c r="A2068" t="s">
        <v>12509</v>
      </c>
      <c r="B2068">
        <v>11.192</v>
      </c>
      <c r="C2068" t="s">
        <v>12510</v>
      </c>
      <c r="D2068" t="s">
        <v>88</v>
      </c>
      <c r="E2068" t="s">
        <v>12511</v>
      </c>
      <c r="F2068" t="s">
        <v>7672</v>
      </c>
      <c r="G2068" t="s">
        <v>12512</v>
      </c>
      <c r="H2068" t="s">
        <v>11598</v>
      </c>
      <c r="I2068" t="s">
        <v>12513</v>
      </c>
      <c r="J2068" t="s">
        <v>12514</v>
      </c>
    </row>
    <row r="2069" spans="1:10" x14ac:dyDescent="0.25">
      <c r="A2069" t="s">
        <v>12515</v>
      </c>
      <c r="B2069">
        <v>13</v>
      </c>
      <c r="C2069" t="s">
        <v>12516</v>
      </c>
      <c r="D2069" t="s">
        <v>2879</v>
      </c>
      <c r="E2069" t="s">
        <v>12517</v>
      </c>
      <c r="F2069" t="s">
        <v>7672</v>
      </c>
      <c r="G2069" t="s">
        <v>12518</v>
      </c>
      <c r="H2069" t="s">
        <v>12519</v>
      </c>
      <c r="I2069" t="s">
        <v>12520</v>
      </c>
      <c r="J2069" t="s">
        <v>7675</v>
      </c>
    </row>
    <row r="2070" spans="1:10" x14ac:dyDescent="0.25">
      <c r="A2070" t="s">
        <v>12521</v>
      </c>
      <c r="B2070">
        <v>13</v>
      </c>
      <c r="C2070" t="s">
        <v>12522</v>
      </c>
      <c r="D2070" t="s">
        <v>282</v>
      </c>
      <c r="E2070" t="s">
        <v>12517</v>
      </c>
      <c r="F2070" t="s">
        <v>7672</v>
      </c>
      <c r="G2070" t="s">
        <v>12518</v>
      </c>
      <c r="H2070" t="s">
        <v>12519</v>
      </c>
      <c r="I2070" t="s">
        <v>12523</v>
      </c>
      <c r="J2070" t="s">
        <v>7675</v>
      </c>
    </row>
    <row r="2071" spans="1:10" x14ac:dyDescent="0.25">
      <c r="A2071" t="s">
        <v>12524</v>
      </c>
      <c r="B2071">
        <v>13</v>
      </c>
      <c r="C2071" t="s">
        <v>12525</v>
      </c>
      <c r="D2071" t="s">
        <v>659</v>
      </c>
      <c r="E2071" t="s">
        <v>12517</v>
      </c>
      <c r="F2071" t="s">
        <v>7672</v>
      </c>
      <c r="G2071" t="s">
        <v>12518</v>
      </c>
      <c r="H2071" t="s">
        <v>12519</v>
      </c>
      <c r="I2071" t="s">
        <v>12520</v>
      </c>
      <c r="J2071" t="s">
        <v>7686</v>
      </c>
    </row>
    <row r="2072" spans="1:10" x14ac:dyDescent="0.25">
      <c r="A2072" t="s">
        <v>12526</v>
      </c>
      <c r="B2072">
        <v>13</v>
      </c>
      <c r="C2072" t="s">
        <v>12527</v>
      </c>
      <c r="D2072" t="s">
        <v>2138</v>
      </c>
      <c r="E2072" t="s">
        <v>12517</v>
      </c>
      <c r="F2072" t="s">
        <v>7672</v>
      </c>
      <c r="G2072" t="s">
        <v>12518</v>
      </c>
      <c r="H2072" t="s">
        <v>12519</v>
      </c>
      <c r="I2072" t="s">
        <v>12523</v>
      </c>
      <c r="J2072" t="s">
        <v>7686</v>
      </c>
    </row>
    <row r="2073" spans="1:10" x14ac:dyDescent="0.25">
      <c r="A2073" t="s">
        <v>12528</v>
      </c>
      <c r="B2073">
        <v>13</v>
      </c>
      <c r="C2073" t="s">
        <v>12529</v>
      </c>
      <c r="D2073" t="s">
        <v>639</v>
      </c>
      <c r="E2073" t="s">
        <v>12517</v>
      </c>
      <c r="F2073" t="s">
        <v>7672</v>
      </c>
      <c r="G2073" t="s">
        <v>12518</v>
      </c>
      <c r="H2073" t="s">
        <v>12519</v>
      </c>
      <c r="I2073" t="s">
        <v>12520</v>
      </c>
      <c r="J2073" t="s">
        <v>7703</v>
      </c>
    </row>
    <row r="2074" spans="1:10" x14ac:dyDescent="0.25">
      <c r="A2074" t="s">
        <v>12530</v>
      </c>
      <c r="B2074">
        <v>13</v>
      </c>
      <c r="C2074" t="s">
        <v>12531</v>
      </c>
      <c r="D2074" t="s">
        <v>926</v>
      </c>
      <c r="E2074" t="s">
        <v>12517</v>
      </c>
      <c r="F2074" t="s">
        <v>7672</v>
      </c>
      <c r="G2074" t="s">
        <v>12518</v>
      </c>
      <c r="H2074" t="s">
        <v>12519</v>
      </c>
      <c r="I2074" t="s">
        <v>12523</v>
      </c>
      <c r="J2074" t="s">
        <v>7703</v>
      </c>
    </row>
    <row r="2075" spans="1:10" x14ac:dyDescent="0.25">
      <c r="A2075" t="s">
        <v>12532</v>
      </c>
      <c r="B2075">
        <v>13</v>
      </c>
      <c r="C2075" t="s">
        <v>12533</v>
      </c>
      <c r="D2075" t="s">
        <v>3378</v>
      </c>
      <c r="E2075" t="s">
        <v>12517</v>
      </c>
      <c r="F2075" t="s">
        <v>7672</v>
      </c>
      <c r="G2075" t="s">
        <v>12518</v>
      </c>
      <c r="H2075" t="s">
        <v>12519</v>
      </c>
      <c r="I2075" t="s">
        <v>12520</v>
      </c>
      <c r="J2075" t="s">
        <v>7713</v>
      </c>
    </row>
    <row r="2076" spans="1:10" x14ac:dyDescent="0.25">
      <c r="A2076" t="s">
        <v>12534</v>
      </c>
      <c r="B2076">
        <v>13</v>
      </c>
      <c r="C2076" t="s">
        <v>12535</v>
      </c>
      <c r="D2076" t="s">
        <v>875</v>
      </c>
      <c r="E2076" t="s">
        <v>12517</v>
      </c>
      <c r="F2076" t="s">
        <v>7672</v>
      </c>
      <c r="G2076" t="s">
        <v>12518</v>
      </c>
      <c r="H2076" t="s">
        <v>12519</v>
      </c>
      <c r="I2076" t="s">
        <v>12523</v>
      </c>
      <c r="J2076" t="s">
        <v>7713</v>
      </c>
    </row>
    <row r="2077" spans="1:10" x14ac:dyDescent="0.25">
      <c r="A2077" t="s">
        <v>12536</v>
      </c>
      <c r="B2077">
        <v>13</v>
      </c>
      <c r="C2077" t="s">
        <v>12537</v>
      </c>
      <c r="D2077" t="s">
        <v>2697</v>
      </c>
      <c r="E2077" t="s">
        <v>12517</v>
      </c>
      <c r="F2077" t="s">
        <v>7672</v>
      </c>
      <c r="G2077" t="s">
        <v>12518</v>
      </c>
      <c r="H2077" t="s">
        <v>12519</v>
      </c>
      <c r="I2077" t="s">
        <v>12523</v>
      </c>
      <c r="J2077" t="s">
        <v>7719</v>
      </c>
    </row>
    <row r="2078" spans="1:10" x14ac:dyDescent="0.25">
      <c r="A2078" t="s">
        <v>12538</v>
      </c>
      <c r="B2078">
        <v>13</v>
      </c>
      <c r="C2078" t="s">
        <v>12539</v>
      </c>
      <c r="D2078" t="s">
        <v>588</v>
      </c>
      <c r="E2078" t="s">
        <v>12517</v>
      </c>
      <c r="F2078" t="s">
        <v>7672</v>
      </c>
      <c r="G2078" t="s">
        <v>12518</v>
      </c>
      <c r="H2078" t="s">
        <v>12519</v>
      </c>
      <c r="I2078" t="s">
        <v>12520</v>
      </c>
      <c r="J2078" t="s">
        <v>7719</v>
      </c>
    </row>
    <row r="2079" spans="1:10" x14ac:dyDescent="0.25">
      <c r="A2079" t="s">
        <v>12540</v>
      </c>
      <c r="B2079">
        <v>3.64</v>
      </c>
      <c r="C2079" t="s">
        <v>12541</v>
      </c>
      <c r="D2079" t="s">
        <v>2910</v>
      </c>
      <c r="E2079" t="s">
        <v>12542</v>
      </c>
      <c r="F2079" t="s">
        <v>7672</v>
      </c>
      <c r="G2079" t="s">
        <v>12543</v>
      </c>
      <c r="H2079" t="s">
        <v>8301</v>
      </c>
      <c r="I2079" t="s">
        <v>12544</v>
      </c>
      <c r="J2079" t="s">
        <v>7942</v>
      </c>
    </row>
    <row r="2080" spans="1:10" x14ac:dyDescent="0.25">
      <c r="A2080" t="s">
        <v>12545</v>
      </c>
      <c r="B2080">
        <v>3.64</v>
      </c>
      <c r="C2080" t="s">
        <v>12546</v>
      </c>
      <c r="D2080" t="s">
        <v>5145</v>
      </c>
      <c r="E2080" t="s">
        <v>12542</v>
      </c>
      <c r="F2080" t="s">
        <v>7672</v>
      </c>
      <c r="G2080" t="s">
        <v>12543</v>
      </c>
      <c r="H2080" t="s">
        <v>8301</v>
      </c>
      <c r="I2080" t="s">
        <v>12544</v>
      </c>
      <c r="J2080" t="s">
        <v>7981</v>
      </c>
    </row>
    <row r="2081" spans="1:10" x14ac:dyDescent="0.25">
      <c r="A2081" t="s">
        <v>12547</v>
      </c>
      <c r="B2081">
        <v>3.64</v>
      </c>
      <c r="C2081" t="s">
        <v>12548</v>
      </c>
      <c r="D2081" t="s">
        <v>8803</v>
      </c>
      <c r="E2081" t="s">
        <v>12542</v>
      </c>
      <c r="F2081" t="s">
        <v>7672</v>
      </c>
      <c r="G2081" t="s">
        <v>12543</v>
      </c>
      <c r="H2081" t="s">
        <v>8301</v>
      </c>
      <c r="I2081" t="s">
        <v>12544</v>
      </c>
      <c r="J2081" t="s">
        <v>7984</v>
      </c>
    </row>
    <row r="2082" spans="1:10" x14ac:dyDescent="0.25">
      <c r="A2082" t="s">
        <v>12549</v>
      </c>
      <c r="B2082">
        <v>3.64</v>
      </c>
      <c r="C2082" t="s">
        <v>12550</v>
      </c>
      <c r="D2082" t="s">
        <v>1864</v>
      </c>
      <c r="E2082" t="s">
        <v>12542</v>
      </c>
      <c r="F2082" t="s">
        <v>7672</v>
      </c>
      <c r="G2082" t="s">
        <v>12543</v>
      </c>
      <c r="H2082" t="s">
        <v>8301</v>
      </c>
      <c r="I2082" t="s">
        <v>12544</v>
      </c>
      <c r="J2082" t="s">
        <v>7987</v>
      </c>
    </row>
    <row r="2083" spans="1:10" x14ac:dyDescent="0.25">
      <c r="A2083" t="s">
        <v>12551</v>
      </c>
      <c r="B2083">
        <v>3.64</v>
      </c>
      <c r="C2083" t="s">
        <v>12552</v>
      </c>
      <c r="D2083" t="s">
        <v>12553</v>
      </c>
      <c r="E2083" t="s">
        <v>12542</v>
      </c>
      <c r="F2083" t="s">
        <v>7672</v>
      </c>
      <c r="G2083" t="s">
        <v>12543</v>
      </c>
      <c r="H2083" t="s">
        <v>8301</v>
      </c>
      <c r="I2083" t="s">
        <v>12544</v>
      </c>
      <c r="J2083" t="s">
        <v>8001</v>
      </c>
    </row>
    <row r="2084" spans="1:10" x14ac:dyDescent="0.25">
      <c r="A2084" t="s">
        <v>12554</v>
      </c>
      <c r="B2084">
        <v>3.64</v>
      </c>
      <c r="C2084" t="s">
        <v>12555</v>
      </c>
      <c r="D2084" t="s">
        <v>644</v>
      </c>
      <c r="E2084" t="s">
        <v>12542</v>
      </c>
      <c r="F2084" t="s">
        <v>7672</v>
      </c>
      <c r="G2084" t="s">
        <v>12543</v>
      </c>
      <c r="H2084" t="s">
        <v>8301</v>
      </c>
      <c r="I2084" t="s">
        <v>8158</v>
      </c>
      <c r="J2084" t="s">
        <v>8001</v>
      </c>
    </row>
    <row r="2085" spans="1:10" x14ac:dyDescent="0.25">
      <c r="A2085" t="s">
        <v>12556</v>
      </c>
      <c r="B2085">
        <v>3.64</v>
      </c>
      <c r="C2085" t="s">
        <v>12557</v>
      </c>
      <c r="D2085" t="s">
        <v>4011</v>
      </c>
      <c r="E2085" t="s">
        <v>12542</v>
      </c>
      <c r="F2085" t="s">
        <v>7672</v>
      </c>
      <c r="G2085" t="s">
        <v>12543</v>
      </c>
      <c r="H2085" t="s">
        <v>8301</v>
      </c>
      <c r="I2085" t="s">
        <v>12544</v>
      </c>
      <c r="J2085" t="s">
        <v>8013</v>
      </c>
    </row>
    <row r="2086" spans="1:10" x14ac:dyDescent="0.25">
      <c r="A2086" t="s">
        <v>12558</v>
      </c>
      <c r="B2086">
        <v>3.64</v>
      </c>
      <c r="C2086" t="s">
        <v>12559</v>
      </c>
      <c r="D2086" t="s">
        <v>664</v>
      </c>
      <c r="E2086" t="s">
        <v>12542</v>
      </c>
      <c r="F2086" t="s">
        <v>7672</v>
      </c>
      <c r="G2086" t="s">
        <v>12543</v>
      </c>
      <c r="H2086" t="s">
        <v>8301</v>
      </c>
      <c r="I2086" t="s">
        <v>8158</v>
      </c>
      <c r="J2086" t="s">
        <v>8013</v>
      </c>
    </row>
    <row r="2087" spans="1:10" x14ac:dyDescent="0.25">
      <c r="A2087" t="s">
        <v>2986</v>
      </c>
      <c r="B2087">
        <v>11.52</v>
      </c>
      <c r="C2087" t="s">
        <v>2988</v>
      </c>
      <c r="D2087" t="s">
        <v>742</v>
      </c>
      <c r="E2087" t="s">
        <v>2989</v>
      </c>
      <c r="F2087" t="s">
        <v>7672</v>
      </c>
      <c r="G2087" t="s">
        <v>12560</v>
      </c>
      <c r="H2087" t="s">
        <v>8979</v>
      </c>
      <c r="I2087" t="s">
        <v>2992</v>
      </c>
      <c r="J2087" t="s">
        <v>8980</v>
      </c>
    </row>
    <row r="2088" spans="1:10" x14ac:dyDescent="0.25">
      <c r="A2088" t="s">
        <v>2993</v>
      </c>
      <c r="B2088">
        <v>11.52</v>
      </c>
      <c r="C2088" t="s">
        <v>2995</v>
      </c>
      <c r="D2088" t="s">
        <v>342</v>
      </c>
      <c r="E2088" t="s">
        <v>2989</v>
      </c>
      <c r="F2088" t="s">
        <v>7672</v>
      </c>
      <c r="G2088" t="s">
        <v>12560</v>
      </c>
      <c r="H2088" t="s">
        <v>8979</v>
      </c>
      <c r="I2088" t="s">
        <v>2997</v>
      </c>
      <c r="J2088" t="s">
        <v>8980</v>
      </c>
    </row>
    <row r="2089" spans="1:10" x14ac:dyDescent="0.25">
      <c r="A2089" t="s">
        <v>2998</v>
      </c>
      <c r="B2089">
        <v>11.52</v>
      </c>
      <c r="C2089" t="s">
        <v>3000</v>
      </c>
      <c r="D2089" t="s">
        <v>106</v>
      </c>
      <c r="E2089" t="s">
        <v>2989</v>
      </c>
      <c r="F2089" t="s">
        <v>7672</v>
      </c>
      <c r="G2089" t="s">
        <v>12560</v>
      </c>
      <c r="H2089" t="s">
        <v>8979</v>
      </c>
      <c r="I2089" t="s">
        <v>2997</v>
      </c>
      <c r="J2089" t="s">
        <v>53</v>
      </c>
    </row>
    <row r="2090" spans="1:10" x14ac:dyDescent="0.25">
      <c r="A2090" t="s">
        <v>3001</v>
      </c>
      <c r="B2090">
        <v>11.52</v>
      </c>
      <c r="C2090" t="s">
        <v>3003</v>
      </c>
      <c r="D2090" t="s">
        <v>113</v>
      </c>
      <c r="E2090" t="s">
        <v>2989</v>
      </c>
      <c r="F2090" t="s">
        <v>7672</v>
      </c>
      <c r="G2090" t="s">
        <v>12560</v>
      </c>
      <c r="H2090" t="s">
        <v>8979</v>
      </c>
      <c r="I2090" t="s">
        <v>2992</v>
      </c>
      <c r="J2090" t="s">
        <v>330</v>
      </c>
    </row>
    <row r="2091" spans="1:10" x14ac:dyDescent="0.25">
      <c r="A2091" t="s">
        <v>3005</v>
      </c>
      <c r="B2091">
        <v>11.52</v>
      </c>
      <c r="C2091" t="s">
        <v>3007</v>
      </c>
      <c r="D2091" t="s">
        <v>1134</v>
      </c>
      <c r="E2091" t="s">
        <v>2989</v>
      </c>
      <c r="F2091" t="s">
        <v>7672</v>
      </c>
      <c r="G2091" t="s">
        <v>12560</v>
      </c>
      <c r="H2091" t="s">
        <v>8979</v>
      </c>
      <c r="I2091" t="s">
        <v>2992</v>
      </c>
      <c r="J2091" t="s">
        <v>352</v>
      </c>
    </row>
    <row r="2092" spans="1:10" x14ac:dyDescent="0.25">
      <c r="A2092" t="s">
        <v>12561</v>
      </c>
      <c r="B2092">
        <v>21.84</v>
      </c>
      <c r="C2092" t="s">
        <v>12562</v>
      </c>
      <c r="D2092" t="s">
        <v>436</v>
      </c>
      <c r="E2092" t="s">
        <v>12563</v>
      </c>
      <c r="F2092" t="s">
        <v>7672</v>
      </c>
      <c r="G2092" t="s">
        <v>12564</v>
      </c>
      <c r="H2092" t="s">
        <v>9127</v>
      </c>
      <c r="I2092" t="s">
        <v>12565</v>
      </c>
      <c r="J2092" t="s">
        <v>7942</v>
      </c>
    </row>
    <row r="2093" spans="1:10" x14ac:dyDescent="0.25">
      <c r="A2093" t="s">
        <v>12566</v>
      </c>
      <c r="B2093">
        <v>21.84</v>
      </c>
      <c r="C2093" t="s">
        <v>12567</v>
      </c>
      <c r="D2093" t="s">
        <v>576</v>
      </c>
      <c r="E2093" t="s">
        <v>12563</v>
      </c>
      <c r="F2093" t="s">
        <v>7672</v>
      </c>
      <c r="G2093" t="s">
        <v>12564</v>
      </c>
      <c r="H2093" t="s">
        <v>9127</v>
      </c>
      <c r="I2093" t="s">
        <v>12568</v>
      </c>
      <c r="J2093" t="s">
        <v>7942</v>
      </c>
    </row>
    <row r="2094" spans="1:10" x14ac:dyDescent="0.25">
      <c r="A2094" t="s">
        <v>12569</v>
      </c>
      <c r="B2094">
        <v>21.84</v>
      </c>
      <c r="C2094" t="s">
        <v>12570</v>
      </c>
      <c r="D2094" t="s">
        <v>698</v>
      </c>
      <c r="E2094" t="s">
        <v>12563</v>
      </c>
      <c r="F2094" t="s">
        <v>7672</v>
      </c>
      <c r="G2094" t="s">
        <v>12564</v>
      </c>
      <c r="H2094" t="s">
        <v>9127</v>
      </c>
      <c r="I2094" t="s">
        <v>12571</v>
      </c>
      <c r="J2094" t="s">
        <v>7942</v>
      </c>
    </row>
    <row r="2095" spans="1:10" x14ac:dyDescent="0.25">
      <c r="A2095" t="s">
        <v>12572</v>
      </c>
      <c r="B2095">
        <v>21.84</v>
      </c>
      <c r="C2095" t="s">
        <v>12573</v>
      </c>
      <c r="D2095" t="s">
        <v>234</v>
      </c>
      <c r="E2095" t="s">
        <v>12563</v>
      </c>
      <c r="F2095" t="s">
        <v>7672</v>
      </c>
      <c r="G2095" t="s">
        <v>12564</v>
      </c>
      <c r="H2095" t="s">
        <v>9127</v>
      </c>
      <c r="I2095" t="s">
        <v>12565</v>
      </c>
      <c r="J2095" t="s">
        <v>7981</v>
      </c>
    </row>
    <row r="2096" spans="1:10" x14ac:dyDescent="0.25">
      <c r="A2096" t="s">
        <v>12574</v>
      </c>
      <c r="B2096">
        <v>21.84</v>
      </c>
      <c r="C2096" t="s">
        <v>12575</v>
      </c>
      <c r="D2096" t="s">
        <v>269</v>
      </c>
      <c r="E2096" t="s">
        <v>12563</v>
      </c>
      <c r="F2096" t="s">
        <v>7672</v>
      </c>
      <c r="G2096" t="s">
        <v>12564</v>
      </c>
      <c r="H2096" t="s">
        <v>9127</v>
      </c>
      <c r="I2096" t="s">
        <v>12568</v>
      </c>
      <c r="J2096" t="s">
        <v>7981</v>
      </c>
    </row>
    <row r="2097" spans="1:10" x14ac:dyDescent="0.25">
      <c r="A2097" t="s">
        <v>12576</v>
      </c>
      <c r="B2097">
        <v>21.84</v>
      </c>
      <c r="C2097" t="s">
        <v>12577</v>
      </c>
      <c r="D2097" t="s">
        <v>3378</v>
      </c>
      <c r="E2097" t="s">
        <v>12563</v>
      </c>
      <c r="F2097" t="s">
        <v>7672</v>
      </c>
      <c r="G2097" t="s">
        <v>12564</v>
      </c>
      <c r="H2097" t="s">
        <v>9127</v>
      </c>
      <c r="I2097" t="s">
        <v>12571</v>
      </c>
      <c r="J2097" t="s">
        <v>7981</v>
      </c>
    </row>
    <row r="2098" spans="1:10" x14ac:dyDescent="0.25">
      <c r="A2098" t="s">
        <v>12578</v>
      </c>
      <c r="B2098">
        <v>21.84</v>
      </c>
      <c r="C2098" t="s">
        <v>12579</v>
      </c>
      <c r="D2098" t="s">
        <v>975</v>
      </c>
      <c r="E2098" t="s">
        <v>12563</v>
      </c>
      <c r="F2098" t="s">
        <v>7672</v>
      </c>
      <c r="G2098" t="s">
        <v>12564</v>
      </c>
      <c r="H2098" t="s">
        <v>9127</v>
      </c>
      <c r="I2098" t="s">
        <v>12565</v>
      </c>
      <c r="J2098" t="s">
        <v>7984</v>
      </c>
    </row>
    <row r="2099" spans="1:10" x14ac:dyDescent="0.25">
      <c r="A2099" t="s">
        <v>12580</v>
      </c>
      <c r="B2099">
        <v>21.84</v>
      </c>
      <c r="C2099" t="s">
        <v>12581</v>
      </c>
      <c r="D2099" t="s">
        <v>1822</v>
      </c>
      <c r="E2099" t="s">
        <v>12563</v>
      </c>
      <c r="F2099" t="s">
        <v>7672</v>
      </c>
      <c r="G2099" t="s">
        <v>12564</v>
      </c>
      <c r="H2099" t="s">
        <v>9127</v>
      </c>
      <c r="I2099" t="s">
        <v>12568</v>
      </c>
      <c r="J2099" t="s">
        <v>7984</v>
      </c>
    </row>
    <row r="2100" spans="1:10" x14ac:dyDescent="0.25">
      <c r="A2100" t="s">
        <v>12582</v>
      </c>
      <c r="B2100">
        <v>21.84</v>
      </c>
      <c r="C2100" t="s">
        <v>12583</v>
      </c>
      <c r="D2100" t="s">
        <v>3827</v>
      </c>
      <c r="E2100" t="s">
        <v>12563</v>
      </c>
      <c r="F2100" t="s">
        <v>7672</v>
      </c>
      <c r="G2100" t="s">
        <v>12564</v>
      </c>
      <c r="H2100" t="s">
        <v>9127</v>
      </c>
      <c r="I2100" t="s">
        <v>12571</v>
      </c>
      <c r="J2100" t="s">
        <v>7984</v>
      </c>
    </row>
    <row r="2101" spans="1:10" x14ac:dyDescent="0.25">
      <c r="A2101" t="s">
        <v>12584</v>
      </c>
      <c r="B2101">
        <v>21.84</v>
      </c>
      <c r="C2101" t="s">
        <v>12585</v>
      </c>
      <c r="D2101" t="s">
        <v>144</v>
      </c>
      <c r="E2101" t="s">
        <v>12563</v>
      </c>
      <c r="F2101" t="s">
        <v>7672</v>
      </c>
      <c r="G2101" t="s">
        <v>12564</v>
      </c>
      <c r="H2101" t="s">
        <v>9127</v>
      </c>
      <c r="I2101" t="s">
        <v>12565</v>
      </c>
      <c r="J2101" t="s">
        <v>7987</v>
      </c>
    </row>
    <row r="2102" spans="1:10" x14ac:dyDescent="0.25">
      <c r="A2102" t="s">
        <v>12586</v>
      </c>
      <c r="B2102">
        <v>21.84</v>
      </c>
      <c r="C2102" t="s">
        <v>12587</v>
      </c>
      <c r="D2102" t="s">
        <v>5145</v>
      </c>
      <c r="E2102" t="s">
        <v>12563</v>
      </c>
      <c r="F2102" t="s">
        <v>7672</v>
      </c>
      <c r="G2102" t="s">
        <v>12564</v>
      </c>
      <c r="H2102" t="s">
        <v>9127</v>
      </c>
      <c r="I2102" t="s">
        <v>12568</v>
      </c>
      <c r="J2102" t="s">
        <v>7987</v>
      </c>
    </row>
    <row r="2103" spans="1:10" x14ac:dyDescent="0.25">
      <c r="A2103" t="s">
        <v>12588</v>
      </c>
      <c r="B2103">
        <v>21.84</v>
      </c>
      <c r="C2103" t="s">
        <v>12589</v>
      </c>
      <c r="D2103" t="s">
        <v>67</v>
      </c>
      <c r="E2103" t="s">
        <v>12563</v>
      </c>
      <c r="F2103" t="s">
        <v>7672</v>
      </c>
      <c r="G2103" t="s">
        <v>12564</v>
      </c>
      <c r="H2103" t="s">
        <v>9127</v>
      </c>
      <c r="I2103" t="s">
        <v>12571</v>
      </c>
      <c r="J2103" t="s">
        <v>7987</v>
      </c>
    </row>
    <row r="2104" spans="1:10" x14ac:dyDescent="0.25">
      <c r="A2104" t="s">
        <v>12590</v>
      </c>
      <c r="B2104">
        <v>21.84</v>
      </c>
      <c r="C2104" t="s">
        <v>12591</v>
      </c>
      <c r="D2104" t="s">
        <v>2072</v>
      </c>
      <c r="E2104" t="s">
        <v>12563</v>
      </c>
      <c r="F2104" t="s">
        <v>7672</v>
      </c>
      <c r="G2104" t="s">
        <v>12564</v>
      </c>
      <c r="H2104" t="s">
        <v>9127</v>
      </c>
      <c r="I2104" t="s">
        <v>12565</v>
      </c>
      <c r="J2104" t="s">
        <v>8001</v>
      </c>
    </row>
    <row r="2105" spans="1:10" x14ac:dyDescent="0.25">
      <c r="A2105" t="s">
        <v>12592</v>
      </c>
      <c r="B2105">
        <v>21.84</v>
      </c>
      <c r="C2105" t="s">
        <v>12593</v>
      </c>
      <c r="D2105" t="s">
        <v>3153</v>
      </c>
      <c r="E2105" t="s">
        <v>12563</v>
      </c>
      <c r="F2105" t="s">
        <v>7672</v>
      </c>
      <c r="G2105" t="s">
        <v>12564</v>
      </c>
      <c r="H2105" t="s">
        <v>9127</v>
      </c>
      <c r="I2105" t="s">
        <v>12571</v>
      </c>
      <c r="J2105" t="s">
        <v>8001</v>
      </c>
    </row>
    <row r="2106" spans="1:10" x14ac:dyDescent="0.25">
      <c r="A2106" t="s">
        <v>12594</v>
      </c>
      <c r="B2106">
        <v>21.84</v>
      </c>
      <c r="C2106" t="s">
        <v>12595</v>
      </c>
      <c r="D2106" t="s">
        <v>6257</v>
      </c>
      <c r="E2106" t="s">
        <v>12563</v>
      </c>
      <c r="F2106" t="s">
        <v>7672</v>
      </c>
      <c r="G2106" t="s">
        <v>12564</v>
      </c>
      <c r="H2106" t="s">
        <v>9127</v>
      </c>
      <c r="I2106" t="s">
        <v>12568</v>
      </c>
      <c r="J2106" t="s">
        <v>8001</v>
      </c>
    </row>
    <row r="2107" spans="1:10" x14ac:dyDescent="0.25">
      <c r="A2107" t="s">
        <v>12596</v>
      </c>
      <c r="B2107">
        <v>21.84</v>
      </c>
      <c r="C2107" t="s">
        <v>12597</v>
      </c>
      <c r="D2107" t="s">
        <v>776</v>
      </c>
      <c r="E2107" t="s">
        <v>12563</v>
      </c>
      <c r="F2107" t="s">
        <v>7672</v>
      </c>
      <c r="G2107" t="s">
        <v>12564</v>
      </c>
      <c r="H2107" t="s">
        <v>9127</v>
      </c>
      <c r="I2107" t="s">
        <v>12571</v>
      </c>
      <c r="J2107" t="s">
        <v>8013</v>
      </c>
    </row>
    <row r="2108" spans="1:10" x14ac:dyDescent="0.25">
      <c r="A2108" t="s">
        <v>12598</v>
      </c>
      <c r="B2108">
        <v>21.84</v>
      </c>
      <c r="C2108" t="s">
        <v>12599</v>
      </c>
      <c r="D2108" t="s">
        <v>781</v>
      </c>
      <c r="E2108" t="s">
        <v>12563</v>
      </c>
      <c r="F2108" t="s">
        <v>7672</v>
      </c>
      <c r="G2108" t="s">
        <v>12564</v>
      </c>
      <c r="H2108" t="s">
        <v>9127</v>
      </c>
      <c r="I2108" t="s">
        <v>12568</v>
      </c>
      <c r="J2108" t="s">
        <v>8013</v>
      </c>
    </row>
    <row r="2109" spans="1:10" x14ac:dyDescent="0.25">
      <c r="A2109" t="s">
        <v>12600</v>
      </c>
      <c r="B2109">
        <v>21.84</v>
      </c>
      <c r="C2109" t="s">
        <v>12601</v>
      </c>
      <c r="D2109" t="s">
        <v>671</v>
      </c>
      <c r="E2109" t="s">
        <v>12563</v>
      </c>
      <c r="F2109" t="s">
        <v>7672</v>
      </c>
      <c r="G2109" t="s">
        <v>12564</v>
      </c>
      <c r="H2109" t="s">
        <v>9127</v>
      </c>
      <c r="I2109" t="s">
        <v>12565</v>
      </c>
      <c r="J2109" t="s">
        <v>8013</v>
      </c>
    </row>
    <row r="2110" spans="1:10" x14ac:dyDescent="0.25">
      <c r="A2110" t="s">
        <v>12602</v>
      </c>
      <c r="B2110">
        <v>6.08</v>
      </c>
      <c r="C2110" t="s">
        <v>12603</v>
      </c>
      <c r="D2110" t="s">
        <v>849</v>
      </c>
      <c r="E2110" t="s">
        <v>12604</v>
      </c>
      <c r="F2110" t="s">
        <v>7672</v>
      </c>
      <c r="G2110" t="s">
        <v>12605</v>
      </c>
      <c r="H2110" t="s">
        <v>11496</v>
      </c>
      <c r="I2110" t="s">
        <v>12606</v>
      </c>
      <c r="J2110" t="s">
        <v>11590</v>
      </c>
    </row>
    <row r="2111" spans="1:10" x14ac:dyDescent="0.25">
      <c r="A2111" t="s">
        <v>12607</v>
      </c>
      <c r="B2111">
        <v>6.08</v>
      </c>
      <c r="C2111" t="s">
        <v>12608</v>
      </c>
      <c r="D2111" t="s">
        <v>2036</v>
      </c>
      <c r="E2111" t="s">
        <v>12604</v>
      </c>
      <c r="F2111" t="s">
        <v>7672</v>
      </c>
      <c r="G2111" t="s">
        <v>12605</v>
      </c>
      <c r="H2111" t="s">
        <v>11496</v>
      </c>
      <c r="I2111" t="s">
        <v>12606</v>
      </c>
      <c r="J2111" t="s">
        <v>11593</v>
      </c>
    </row>
    <row r="2112" spans="1:10" x14ac:dyDescent="0.25">
      <c r="A2112" t="s">
        <v>12609</v>
      </c>
      <c r="B2112">
        <v>6.08</v>
      </c>
      <c r="C2112" t="s">
        <v>12610</v>
      </c>
      <c r="D2112" t="s">
        <v>1236</v>
      </c>
      <c r="E2112" t="s">
        <v>12604</v>
      </c>
      <c r="F2112" t="s">
        <v>7672</v>
      </c>
      <c r="G2112" t="s">
        <v>12605</v>
      </c>
      <c r="H2112" t="s">
        <v>11496</v>
      </c>
      <c r="I2112" t="s">
        <v>12606</v>
      </c>
      <c r="J2112" t="s">
        <v>11783</v>
      </c>
    </row>
    <row r="2113" spans="1:10" x14ac:dyDescent="0.25">
      <c r="A2113" t="s">
        <v>3009</v>
      </c>
      <c r="B2113">
        <v>10.4</v>
      </c>
      <c r="C2113" t="s">
        <v>3011</v>
      </c>
      <c r="D2113" t="s">
        <v>2879</v>
      </c>
      <c r="E2113" t="s">
        <v>3012</v>
      </c>
      <c r="F2113" t="s">
        <v>7672</v>
      </c>
      <c r="G2113" t="s">
        <v>12611</v>
      </c>
      <c r="H2113" t="s">
        <v>12612</v>
      </c>
      <c r="I2113" t="s">
        <v>12613</v>
      </c>
      <c r="J2113" t="s">
        <v>8675</v>
      </c>
    </row>
    <row r="2114" spans="1:10" x14ac:dyDescent="0.25">
      <c r="A2114" t="s">
        <v>12614</v>
      </c>
      <c r="B2114">
        <v>10.4</v>
      </c>
      <c r="C2114" t="s">
        <v>12615</v>
      </c>
      <c r="D2114" t="s">
        <v>286</v>
      </c>
      <c r="E2114" t="s">
        <v>3012</v>
      </c>
      <c r="F2114" t="s">
        <v>7672</v>
      </c>
      <c r="G2114" t="s">
        <v>12611</v>
      </c>
      <c r="H2114" t="s">
        <v>12612</v>
      </c>
      <c r="I2114" t="s">
        <v>935</v>
      </c>
      <c r="J2114" t="s">
        <v>8675</v>
      </c>
    </row>
    <row r="2115" spans="1:10" x14ac:dyDescent="0.25">
      <c r="A2115" t="s">
        <v>12616</v>
      </c>
      <c r="B2115">
        <v>10.4</v>
      </c>
      <c r="C2115" t="s">
        <v>12617</v>
      </c>
      <c r="D2115" t="s">
        <v>865</v>
      </c>
      <c r="E2115" t="s">
        <v>3012</v>
      </c>
      <c r="F2115" t="s">
        <v>7672</v>
      </c>
      <c r="G2115" t="s">
        <v>12611</v>
      </c>
      <c r="H2115" t="s">
        <v>12612</v>
      </c>
      <c r="I2115" t="s">
        <v>935</v>
      </c>
      <c r="J2115" t="s">
        <v>8684</v>
      </c>
    </row>
    <row r="2116" spans="1:10" x14ac:dyDescent="0.25">
      <c r="A2116" t="s">
        <v>3015</v>
      </c>
      <c r="B2116">
        <v>10.4</v>
      </c>
      <c r="C2116" t="s">
        <v>3017</v>
      </c>
      <c r="D2116" t="s">
        <v>2787</v>
      </c>
      <c r="E2116" t="s">
        <v>3012</v>
      </c>
      <c r="F2116" t="s">
        <v>7672</v>
      </c>
      <c r="G2116" t="s">
        <v>12611</v>
      </c>
      <c r="H2116" t="s">
        <v>12612</v>
      </c>
      <c r="I2116" t="s">
        <v>12613</v>
      </c>
      <c r="J2116" t="s">
        <v>9536</v>
      </c>
    </row>
    <row r="2117" spans="1:10" x14ac:dyDescent="0.25">
      <c r="A2117" t="s">
        <v>12618</v>
      </c>
      <c r="B2117">
        <v>10.4</v>
      </c>
      <c r="C2117" t="s">
        <v>12619</v>
      </c>
      <c r="D2117" t="s">
        <v>593</v>
      </c>
      <c r="E2117" t="s">
        <v>3012</v>
      </c>
      <c r="F2117" t="s">
        <v>7672</v>
      </c>
      <c r="G2117" t="s">
        <v>12611</v>
      </c>
      <c r="H2117" t="s">
        <v>12612</v>
      </c>
      <c r="I2117" t="s">
        <v>935</v>
      </c>
      <c r="J2117" t="s">
        <v>9536</v>
      </c>
    </row>
    <row r="2118" spans="1:10" x14ac:dyDescent="0.25">
      <c r="A2118" t="s">
        <v>3019</v>
      </c>
      <c r="B2118">
        <v>10.4</v>
      </c>
      <c r="C2118" t="s">
        <v>3021</v>
      </c>
      <c r="D2118" t="s">
        <v>3023</v>
      </c>
      <c r="E2118" t="s">
        <v>3012</v>
      </c>
      <c r="F2118" t="s">
        <v>7672</v>
      </c>
      <c r="G2118" t="s">
        <v>12611</v>
      </c>
      <c r="H2118" t="s">
        <v>12612</v>
      </c>
      <c r="I2118" t="s">
        <v>12613</v>
      </c>
      <c r="J2118" t="s">
        <v>8687</v>
      </c>
    </row>
    <row r="2119" spans="1:10" x14ac:dyDescent="0.25">
      <c r="A2119" t="s">
        <v>12620</v>
      </c>
      <c r="B2119">
        <v>10.4</v>
      </c>
      <c r="C2119" t="s">
        <v>12621</v>
      </c>
      <c r="D2119" t="s">
        <v>2322</v>
      </c>
      <c r="E2119" t="s">
        <v>3012</v>
      </c>
      <c r="F2119" t="s">
        <v>7672</v>
      </c>
      <c r="G2119" t="s">
        <v>12611</v>
      </c>
      <c r="H2119" t="s">
        <v>12612</v>
      </c>
      <c r="I2119" t="s">
        <v>935</v>
      </c>
      <c r="J2119" t="s">
        <v>8687</v>
      </c>
    </row>
    <row r="2120" spans="1:10" x14ac:dyDescent="0.25">
      <c r="A2120" t="s">
        <v>12622</v>
      </c>
      <c r="B2120">
        <v>10.4</v>
      </c>
      <c r="C2120" t="s">
        <v>12623</v>
      </c>
      <c r="D2120" t="s">
        <v>8803</v>
      </c>
      <c r="E2120" t="s">
        <v>3012</v>
      </c>
      <c r="F2120" t="s">
        <v>7672</v>
      </c>
      <c r="G2120" t="s">
        <v>12611</v>
      </c>
      <c r="H2120" t="s">
        <v>12612</v>
      </c>
      <c r="I2120" t="s">
        <v>935</v>
      </c>
      <c r="J2120" t="s">
        <v>8692</v>
      </c>
    </row>
    <row r="2121" spans="1:10" x14ac:dyDescent="0.25">
      <c r="A2121" t="s">
        <v>12624</v>
      </c>
      <c r="B2121">
        <v>10.4</v>
      </c>
      <c r="C2121" t="s">
        <v>12625</v>
      </c>
      <c r="D2121" t="s">
        <v>277</v>
      </c>
      <c r="E2121" t="s">
        <v>3012</v>
      </c>
      <c r="F2121" t="s">
        <v>7672</v>
      </c>
      <c r="G2121" t="s">
        <v>12611</v>
      </c>
      <c r="H2121" t="s">
        <v>12612</v>
      </c>
      <c r="I2121" t="s">
        <v>935</v>
      </c>
      <c r="J2121" t="s">
        <v>8712</v>
      </c>
    </row>
    <row r="2122" spans="1:10" x14ac:dyDescent="0.25">
      <c r="A2122" t="s">
        <v>3024</v>
      </c>
      <c r="B2122">
        <v>10.616</v>
      </c>
      <c r="C2122" t="s">
        <v>3026</v>
      </c>
      <c r="D2122" t="s">
        <v>342</v>
      </c>
      <c r="E2122" t="s">
        <v>3027</v>
      </c>
      <c r="F2122" t="s">
        <v>7672</v>
      </c>
      <c r="G2122" t="s">
        <v>12626</v>
      </c>
      <c r="H2122" t="s">
        <v>11335</v>
      </c>
      <c r="I2122" t="s">
        <v>5202</v>
      </c>
      <c r="J2122" t="s">
        <v>7675</v>
      </c>
    </row>
    <row r="2123" spans="1:10" x14ac:dyDescent="0.25">
      <c r="A2123" t="s">
        <v>3031</v>
      </c>
      <c r="B2123">
        <v>10.616</v>
      </c>
      <c r="C2123" t="s">
        <v>3033</v>
      </c>
      <c r="D2123" t="s">
        <v>576</v>
      </c>
      <c r="E2123" t="s">
        <v>3027</v>
      </c>
      <c r="F2123" t="s">
        <v>7672</v>
      </c>
      <c r="G2123" t="s">
        <v>12626</v>
      </c>
      <c r="H2123" t="s">
        <v>11335</v>
      </c>
      <c r="I2123" t="s">
        <v>3035</v>
      </c>
      <c r="J2123" t="s">
        <v>7675</v>
      </c>
    </row>
    <row r="2124" spans="1:10" x14ac:dyDescent="0.25">
      <c r="A2124" t="s">
        <v>3036</v>
      </c>
      <c r="B2124">
        <v>10.616</v>
      </c>
      <c r="C2124" t="s">
        <v>3038</v>
      </c>
      <c r="D2124" t="s">
        <v>959</v>
      </c>
      <c r="E2124" t="s">
        <v>3027</v>
      </c>
      <c r="F2124" t="s">
        <v>7672</v>
      </c>
      <c r="G2124" t="s">
        <v>12626</v>
      </c>
      <c r="H2124" t="s">
        <v>11335</v>
      </c>
      <c r="I2124" t="s">
        <v>3035</v>
      </c>
      <c r="J2124" t="s">
        <v>7703</v>
      </c>
    </row>
    <row r="2125" spans="1:10" x14ac:dyDescent="0.25">
      <c r="A2125" t="s">
        <v>3040</v>
      </c>
      <c r="B2125">
        <v>10.616</v>
      </c>
      <c r="C2125" t="s">
        <v>3042</v>
      </c>
      <c r="D2125" t="s">
        <v>781</v>
      </c>
      <c r="E2125" t="s">
        <v>3027</v>
      </c>
      <c r="F2125" t="s">
        <v>7672</v>
      </c>
      <c r="G2125" t="s">
        <v>12626</v>
      </c>
      <c r="H2125" t="s">
        <v>11335</v>
      </c>
      <c r="I2125" t="s">
        <v>3035</v>
      </c>
      <c r="J2125" t="s">
        <v>7713</v>
      </c>
    </row>
    <row r="2126" spans="1:10" x14ac:dyDescent="0.25">
      <c r="A2126" t="s">
        <v>12627</v>
      </c>
      <c r="B2126">
        <v>7.6959999999999997</v>
      </c>
      <c r="C2126" t="s">
        <v>12628</v>
      </c>
      <c r="D2126" t="s">
        <v>5592</v>
      </c>
      <c r="E2126" t="s">
        <v>12629</v>
      </c>
      <c r="F2126" t="s">
        <v>7672</v>
      </c>
      <c r="G2126" t="s">
        <v>12630</v>
      </c>
      <c r="H2126" t="s">
        <v>8027</v>
      </c>
      <c r="I2126" t="s">
        <v>11206</v>
      </c>
      <c r="J2126" t="s">
        <v>8427</v>
      </c>
    </row>
    <row r="2127" spans="1:10" x14ac:dyDescent="0.25">
      <c r="A2127" t="s">
        <v>12631</v>
      </c>
      <c r="B2127">
        <v>7.6959999999999997</v>
      </c>
      <c r="C2127" t="s">
        <v>12632</v>
      </c>
      <c r="D2127" t="s">
        <v>1512</v>
      </c>
      <c r="E2127" t="s">
        <v>12629</v>
      </c>
      <c r="F2127" t="s">
        <v>7672</v>
      </c>
      <c r="G2127" t="s">
        <v>12630</v>
      </c>
      <c r="H2127" t="s">
        <v>8027</v>
      </c>
      <c r="I2127" t="s">
        <v>11223</v>
      </c>
      <c r="J2127" t="s">
        <v>8427</v>
      </c>
    </row>
    <row r="2128" spans="1:10" x14ac:dyDescent="0.25">
      <c r="A2128" t="s">
        <v>12633</v>
      </c>
      <c r="B2128">
        <v>7.6959999999999997</v>
      </c>
      <c r="C2128" t="s">
        <v>12634</v>
      </c>
      <c r="D2128" t="s">
        <v>2652</v>
      </c>
      <c r="E2128" t="s">
        <v>12629</v>
      </c>
      <c r="F2128" t="s">
        <v>7672</v>
      </c>
      <c r="G2128" t="s">
        <v>12630</v>
      </c>
      <c r="H2128" t="s">
        <v>8027</v>
      </c>
      <c r="I2128" t="s">
        <v>11212</v>
      </c>
      <c r="J2128" t="s">
        <v>8427</v>
      </c>
    </row>
    <row r="2129" spans="1:10" x14ac:dyDescent="0.25">
      <c r="A2129" t="s">
        <v>12635</v>
      </c>
      <c r="B2129">
        <v>7.6959999999999997</v>
      </c>
      <c r="C2129" t="s">
        <v>12636</v>
      </c>
      <c r="D2129" t="s">
        <v>2253</v>
      </c>
      <c r="E2129" t="s">
        <v>12629</v>
      </c>
      <c r="F2129" t="s">
        <v>7672</v>
      </c>
      <c r="G2129" t="s">
        <v>12630</v>
      </c>
      <c r="H2129" t="s">
        <v>8027</v>
      </c>
      <c r="I2129" t="s">
        <v>11215</v>
      </c>
      <c r="J2129" t="s">
        <v>8427</v>
      </c>
    </row>
    <row r="2130" spans="1:10" x14ac:dyDescent="0.25">
      <c r="A2130" t="s">
        <v>12637</v>
      </c>
      <c r="B2130">
        <v>7.6959999999999997</v>
      </c>
      <c r="C2130" t="s">
        <v>12638</v>
      </c>
      <c r="D2130" t="s">
        <v>12639</v>
      </c>
      <c r="E2130" t="s">
        <v>12629</v>
      </c>
      <c r="F2130" t="s">
        <v>7672</v>
      </c>
      <c r="G2130" t="s">
        <v>12630</v>
      </c>
      <c r="H2130" t="s">
        <v>8027</v>
      </c>
      <c r="I2130" t="s">
        <v>11212</v>
      </c>
      <c r="J2130" t="s">
        <v>8439</v>
      </c>
    </row>
    <row r="2131" spans="1:10" x14ac:dyDescent="0.25">
      <c r="A2131" t="s">
        <v>12640</v>
      </c>
      <c r="B2131">
        <v>7.6959999999999997</v>
      </c>
      <c r="C2131" t="s">
        <v>12641</v>
      </c>
      <c r="D2131" t="s">
        <v>3378</v>
      </c>
      <c r="E2131" t="s">
        <v>12629</v>
      </c>
      <c r="F2131" t="s">
        <v>7672</v>
      </c>
      <c r="G2131" t="s">
        <v>12630</v>
      </c>
      <c r="H2131" t="s">
        <v>8027</v>
      </c>
      <c r="I2131" t="s">
        <v>11223</v>
      </c>
      <c r="J2131" t="s">
        <v>8439</v>
      </c>
    </row>
    <row r="2132" spans="1:10" x14ac:dyDescent="0.25">
      <c r="A2132" t="s">
        <v>12642</v>
      </c>
      <c r="B2132">
        <v>7.6959999999999997</v>
      </c>
      <c r="C2132" t="s">
        <v>12643</v>
      </c>
      <c r="D2132" t="s">
        <v>436</v>
      </c>
      <c r="E2132" t="s">
        <v>12629</v>
      </c>
      <c r="F2132" t="s">
        <v>7672</v>
      </c>
      <c r="G2132" t="s">
        <v>12630</v>
      </c>
      <c r="H2132" t="s">
        <v>8027</v>
      </c>
      <c r="I2132" t="s">
        <v>11215</v>
      </c>
      <c r="J2132" t="s">
        <v>8451</v>
      </c>
    </row>
    <row r="2133" spans="1:10" x14ac:dyDescent="0.25">
      <c r="A2133" t="s">
        <v>12644</v>
      </c>
      <c r="B2133">
        <v>7.6959999999999997</v>
      </c>
      <c r="C2133" t="s">
        <v>12645</v>
      </c>
      <c r="D2133" t="s">
        <v>3815</v>
      </c>
      <c r="E2133" t="s">
        <v>12629</v>
      </c>
      <c r="F2133" t="s">
        <v>7672</v>
      </c>
      <c r="G2133" t="s">
        <v>12630</v>
      </c>
      <c r="H2133" t="s">
        <v>8027</v>
      </c>
      <c r="I2133" t="s">
        <v>11212</v>
      </c>
      <c r="J2133" t="s">
        <v>8451</v>
      </c>
    </row>
    <row r="2134" spans="1:10" x14ac:dyDescent="0.25">
      <c r="A2134" t="s">
        <v>12646</v>
      </c>
      <c r="B2134">
        <v>7.6959999999999997</v>
      </c>
      <c r="C2134" t="s">
        <v>12647</v>
      </c>
      <c r="D2134" t="s">
        <v>598</v>
      </c>
      <c r="E2134" t="s">
        <v>12629</v>
      </c>
      <c r="F2134" t="s">
        <v>7672</v>
      </c>
      <c r="G2134" t="s">
        <v>12630</v>
      </c>
      <c r="H2134" t="s">
        <v>8027</v>
      </c>
      <c r="I2134" t="s">
        <v>11223</v>
      </c>
      <c r="J2134" t="s">
        <v>8451</v>
      </c>
    </row>
    <row r="2135" spans="1:10" x14ac:dyDescent="0.25">
      <c r="A2135" t="s">
        <v>12648</v>
      </c>
      <c r="B2135">
        <v>7.6959999999999997</v>
      </c>
      <c r="C2135" t="s">
        <v>12649</v>
      </c>
      <c r="D2135" t="s">
        <v>1254</v>
      </c>
      <c r="E2135" t="s">
        <v>12629</v>
      </c>
      <c r="F2135" t="s">
        <v>7672</v>
      </c>
      <c r="G2135" t="s">
        <v>12630</v>
      </c>
      <c r="H2135" t="s">
        <v>8027</v>
      </c>
      <c r="I2135" t="s">
        <v>11212</v>
      </c>
      <c r="J2135" t="s">
        <v>8462</v>
      </c>
    </row>
    <row r="2136" spans="1:10" x14ac:dyDescent="0.25">
      <c r="A2136" t="s">
        <v>12650</v>
      </c>
      <c r="B2136">
        <v>7.6959999999999997</v>
      </c>
      <c r="C2136" t="s">
        <v>12651</v>
      </c>
      <c r="D2136" t="s">
        <v>2022</v>
      </c>
      <c r="E2136" t="s">
        <v>12629</v>
      </c>
      <c r="F2136" t="s">
        <v>7672</v>
      </c>
      <c r="G2136" t="s">
        <v>12630</v>
      </c>
      <c r="H2136" t="s">
        <v>8027</v>
      </c>
      <c r="I2136" t="s">
        <v>11223</v>
      </c>
      <c r="J2136" t="s">
        <v>8462</v>
      </c>
    </row>
    <row r="2137" spans="1:10" x14ac:dyDescent="0.25">
      <c r="A2137" t="s">
        <v>12652</v>
      </c>
      <c r="B2137">
        <v>27.992000000000001</v>
      </c>
      <c r="C2137" t="s">
        <v>12653</v>
      </c>
      <c r="D2137" t="s">
        <v>12654</v>
      </c>
      <c r="E2137" t="s">
        <v>12655</v>
      </c>
      <c r="F2137" t="s">
        <v>7672</v>
      </c>
      <c r="G2137" t="s">
        <v>12656</v>
      </c>
      <c r="H2137" t="s">
        <v>7674</v>
      </c>
      <c r="I2137" t="s">
        <v>8600</v>
      </c>
      <c r="J2137" t="s">
        <v>12657</v>
      </c>
    </row>
    <row r="2138" spans="1:10" x14ac:dyDescent="0.25">
      <c r="A2138" t="s">
        <v>12658</v>
      </c>
      <c r="B2138">
        <v>27.992000000000001</v>
      </c>
      <c r="C2138" t="s">
        <v>12659</v>
      </c>
      <c r="D2138" t="s">
        <v>4341</v>
      </c>
      <c r="E2138" t="s">
        <v>12655</v>
      </c>
      <c r="F2138" t="s">
        <v>7672</v>
      </c>
      <c r="G2138" t="s">
        <v>12656</v>
      </c>
      <c r="H2138" t="s">
        <v>7674</v>
      </c>
      <c r="I2138" t="s">
        <v>9245</v>
      </c>
      <c r="J2138" t="s">
        <v>12657</v>
      </c>
    </row>
    <row r="2139" spans="1:10" x14ac:dyDescent="0.25">
      <c r="A2139" t="s">
        <v>12660</v>
      </c>
      <c r="B2139">
        <v>27.992000000000001</v>
      </c>
      <c r="C2139" t="s">
        <v>12661</v>
      </c>
      <c r="D2139" t="s">
        <v>4127</v>
      </c>
      <c r="E2139" t="s">
        <v>12655</v>
      </c>
      <c r="F2139" t="s">
        <v>7672</v>
      </c>
      <c r="G2139" t="s">
        <v>12656</v>
      </c>
      <c r="H2139" t="s">
        <v>7674</v>
      </c>
      <c r="I2139" t="s">
        <v>11805</v>
      </c>
      <c r="J2139" t="s">
        <v>12657</v>
      </c>
    </row>
    <row r="2140" spans="1:10" x14ac:dyDescent="0.25">
      <c r="A2140" t="s">
        <v>12662</v>
      </c>
      <c r="B2140">
        <v>27.992000000000001</v>
      </c>
      <c r="C2140" t="s">
        <v>12663</v>
      </c>
      <c r="D2140" t="s">
        <v>11146</v>
      </c>
      <c r="E2140" t="s">
        <v>12655</v>
      </c>
      <c r="F2140" t="s">
        <v>7672</v>
      </c>
      <c r="G2140" t="s">
        <v>12656</v>
      </c>
      <c r="H2140" t="s">
        <v>7674</v>
      </c>
      <c r="I2140" t="s">
        <v>9733</v>
      </c>
      <c r="J2140" t="s">
        <v>12657</v>
      </c>
    </row>
    <row r="2141" spans="1:10" x14ac:dyDescent="0.25">
      <c r="A2141" t="s">
        <v>12664</v>
      </c>
      <c r="B2141">
        <v>27.992000000000001</v>
      </c>
      <c r="C2141" t="s">
        <v>12665</v>
      </c>
      <c r="D2141" t="s">
        <v>2099</v>
      </c>
      <c r="E2141" t="s">
        <v>12655</v>
      </c>
      <c r="F2141" t="s">
        <v>7672</v>
      </c>
      <c r="G2141" t="s">
        <v>12656</v>
      </c>
      <c r="H2141" t="s">
        <v>7674</v>
      </c>
      <c r="I2141" t="s">
        <v>76</v>
      </c>
      <c r="J2141" t="s">
        <v>12657</v>
      </c>
    </row>
    <row r="2142" spans="1:10" x14ac:dyDescent="0.25">
      <c r="A2142" t="s">
        <v>12666</v>
      </c>
      <c r="B2142">
        <v>27.992000000000001</v>
      </c>
      <c r="C2142" t="s">
        <v>12667</v>
      </c>
      <c r="D2142" t="s">
        <v>12668</v>
      </c>
      <c r="E2142" t="s">
        <v>12655</v>
      </c>
      <c r="F2142" t="s">
        <v>7672</v>
      </c>
      <c r="G2142" t="s">
        <v>12656</v>
      </c>
      <c r="H2142" t="s">
        <v>7674</v>
      </c>
      <c r="I2142" t="s">
        <v>9245</v>
      </c>
      <c r="J2142" t="s">
        <v>12669</v>
      </c>
    </row>
    <row r="2143" spans="1:10" x14ac:dyDescent="0.25">
      <c r="A2143" t="s">
        <v>12670</v>
      </c>
      <c r="B2143">
        <v>27.992000000000001</v>
      </c>
      <c r="C2143" t="s">
        <v>12671</v>
      </c>
      <c r="D2143" t="s">
        <v>12672</v>
      </c>
      <c r="E2143" t="s">
        <v>12655</v>
      </c>
      <c r="F2143" t="s">
        <v>7672</v>
      </c>
      <c r="G2143" t="s">
        <v>12656</v>
      </c>
      <c r="H2143" t="s">
        <v>7674</v>
      </c>
      <c r="I2143" t="s">
        <v>8600</v>
      </c>
      <c r="J2143" t="s">
        <v>12669</v>
      </c>
    </row>
    <row r="2144" spans="1:10" x14ac:dyDescent="0.25">
      <c r="A2144" t="s">
        <v>12673</v>
      </c>
      <c r="B2144">
        <v>8.3920000000000012</v>
      </c>
      <c r="C2144" t="s">
        <v>12674</v>
      </c>
      <c r="D2144" t="s">
        <v>2787</v>
      </c>
      <c r="E2144" t="s">
        <v>12655</v>
      </c>
      <c r="F2144" t="s">
        <v>7672</v>
      </c>
      <c r="G2144" t="s">
        <v>12656</v>
      </c>
      <c r="H2144" t="s">
        <v>7674</v>
      </c>
      <c r="I2144" t="s">
        <v>12675</v>
      </c>
      <c r="J2144" t="s">
        <v>12676</v>
      </c>
    </row>
    <row r="2145" spans="1:10" x14ac:dyDescent="0.25">
      <c r="A2145" t="s">
        <v>12677</v>
      </c>
      <c r="B2145">
        <v>27.992000000000001</v>
      </c>
      <c r="C2145" t="s">
        <v>12678</v>
      </c>
      <c r="D2145" t="s">
        <v>3023</v>
      </c>
      <c r="E2145" t="s">
        <v>12655</v>
      </c>
      <c r="F2145" t="s">
        <v>7672</v>
      </c>
      <c r="G2145" t="s">
        <v>12656</v>
      </c>
      <c r="H2145" t="s">
        <v>7674</v>
      </c>
      <c r="I2145" t="s">
        <v>9733</v>
      </c>
      <c r="J2145" t="s">
        <v>12676</v>
      </c>
    </row>
    <row r="2146" spans="1:10" x14ac:dyDescent="0.25">
      <c r="A2146" t="s">
        <v>12679</v>
      </c>
      <c r="B2146">
        <v>27.992000000000001</v>
      </c>
      <c r="C2146" t="s">
        <v>12680</v>
      </c>
      <c r="D2146" t="s">
        <v>9297</v>
      </c>
      <c r="E2146" t="s">
        <v>12655</v>
      </c>
      <c r="F2146" t="s">
        <v>7672</v>
      </c>
      <c r="G2146" t="s">
        <v>12656</v>
      </c>
      <c r="H2146" t="s">
        <v>7674</v>
      </c>
      <c r="I2146" t="s">
        <v>9245</v>
      </c>
      <c r="J2146" t="s">
        <v>12676</v>
      </c>
    </row>
    <row r="2147" spans="1:10" x14ac:dyDescent="0.25">
      <c r="A2147" t="s">
        <v>12681</v>
      </c>
      <c r="B2147">
        <v>27.992000000000001</v>
      </c>
      <c r="C2147" t="s">
        <v>12682</v>
      </c>
      <c r="D2147" t="s">
        <v>124</v>
      </c>
      <c r="E2147" t="s">
        <v>12655</v>
      </c>
      <c r="F2147" t="s">
        <v>7672</v>
      </c>
      <c r="G2147" t="s">
        <v>12656</v>
      </c>
      <c r="H2147" t="s">
        <v>7674</v>
      </c>
      <c r="I2147" t="s">
        <v>11805</v>
      </c>
      <c r="J2147" t="s">
        <v>12676</v>
      </c>
    </row>
    <row r="2148" spans="1:10" x14ac:dyDescent="0.25">
      <c r="A2148" t="s">
        <v>12683</v>
      </c>
      <c r="B2148">
        <v>27.992000000000001</v>
      </c>
      <c r="C2148" t="s">
        <v>12684</v>
      </c>
      <c r="D2148" t="s">
        <v>12685</v>
      </c>
      <c r="E2148" t="s">
        <v>12655</v>
      </c>
      <c r="F2148" t="s">
        <v>7672</v>
      </c>
      <c r="G2148" t="s">
        <v>12656</v>
      </c>
      <c r="H2148" t="s">
        <v>7674</v>
      </c>
      <c r="I2148" t="s">
        <v>8600</v>
      </c>
      <c r="J2148" t="s">
        <v>12676</v>
      </c>
    </row>
    <row r="2149" spans="1:10" x14ac:dyDescent="0.25">
      <c r="A2149" t="s">
        <v>12686</v>
      </c>
      <c r="B2149">
        <v>27.992000000000001</v>
      </c>
      <c r="C2149" t="s">
        <v>12687</v>
      </c>
      <c r="D2149" t="s">
        <v>8567</v>
      </c>
      <c r="E2149" t="s">
        <v>12655</v>
      </c>
      <c r="F2149" t="s">
        <v>7672</v>
      </c>
      <c r="G2149" t="s">
        <v>12656</v>
      </c>
      <c r="H2149" t="s">
        <v>7674</v>
      </c>
      <c r="I2149" t="s">
        <v>9245</v>
      </c>
      <c r="J2149" t="s">
        <v>12688</v>
      </c>
    </row>
    <row r="2150" spans="1:10" x14ac:dyDescent="0.25">
      <c r="A2150" t="s">
        <v>12689</v>
      </c>
      <c r="B2150">
        <v>27.992000000000001</v>
      </c>
      <c r="C2150" t="s">
        <v>12690</v>
      </c>
      <c r="D2150" t="s">
        <v>12691</v>
      </c>
      <c r="E2150" t="s">
        <v>12655</v>
      </c>
      <c r="F2150" t="s">
        <v>7672</v>
      </c>
      <c r="G2150" t="s">
        <v>12656</v>
      </c>
      <c r="H2150" t="s">
        <v>7674</v>
      </c>
      <c r="I2150" t="s">
        <v>8600</v>
      </c>
      <c r="J2150" t="s">
        <v>12688</v>
      </c>
    </row>
    <row r="2151" spans="1:10" x14ac:dyDescent="0.25">
      <c r="A2151" t="s">
        <v>12692</v>
      </c>
      <c r="B2151">
        <v>27.992000000000001</v>
      </c>
      <c r="C2151" t="s">
        <v>12693</v>
      </c>
      <c r="D2151" t="s">
        <v>12694</v>
      </c>
      <c r="E2151" t="s">
        <v>12655</v>
      </c>
      <c r="F2151" t="s">
        <v>7672</v>
      </c>
      <c r="G2151" t="s">
        <v>12656</v>
      </c>
      <c r="H2151" t="s">
        <v>7674</v>
      </c>
      <c r="I2151" t="s">
        <v>9245</v>
      </c>
      <c r="J2151" t="s">
        <v>12695</v>
      </c>
    </row>
    <row r="2152" spans="1:10" x14ac:dyDescent="0.25">
      <c r="A2152" t="s">
        <v>12696</v>
      </c>
      <c r="B2152">
        <v>27.992000000000001</v>
      </c>
      <c r="C2152" t="s">
        <v>12697</v>
      </c>
      <c r="D2152" t="s">
        <v>12698</v>
      </c>
      <c r="E2152" t="s">
        <v>12655</v>
      </c>
      <c r="F2152" t="s">
        <v>7672</v>
      </c>
      <c r="G2152" t="s">
        <v>12656</v>
      </c>
      <c r="H2152" t="s">
        <v>7674</v>
      </c>
      <c r="I2152" t="s">
        <v>8600</v>
      </c>
      <c r="J2152" t="s">
        <v>12695</v>
      </c>
    </row>
    <row r="2153" spans="1:10" x14ac:dyDescent="0.25">
      <c r="A2153" t="s">
        <v>12699</v>
      </c>
      <c r="B2153">
        <v>27.992000000000001</v>
      </c>
      <c r="C2153" t="s">
        <v>12700</v>
      </c>
      <c r="D2153" t="s">
        <v>2787</v>
      </c>
      <c r="E2153" t="s">
        <v>12655</v>
      </c>
      <c r="F2153" t="s">
        <v>7672</v>
      </c>
      <c r="G2153" t="s">
        <v>12656</v>
      </c>
      <c r="H2153" t="s">
        <v>7674</v>
      </c>
      <c r="I2153" t="s">
        <v>9245</v>
      </c>
      <c r="J2153" t="s">
        <v>12701</v>
      </c>
    </row>
    <row r="2154" spans="1:10" x14ac:dyDescent="0.25">
      <c r="A2154" t="s">
        <v>12702</v>
      </c>
      <c r="B2154">
        <v>27.992000000000001</v>
      </c>
      <c r="C2154" t="s">
        <v>12703</v>
      </c>
      <c r="D2154" t="s">
        <v>11485</v>
      </c>
      <c r="E2154" t="s">
        <v>12655</v>
      </c>
      <c r="F2154" t="s">
        <v>7672</v>
      </c>
      <c r="G2154" t="s">
        <v>12656</v>
      </c>
      <c r="H2154" t="s">
        <v>7674</v>
      </c>
      <c r="I2154" t="s">
        <v>9245</v>
      </c>
      <c r="J2154" t="s">
        <v>12704</v>
      </c>
    </row>
    <row r="2155" spans="1:10" x14ac:dyDescent="0.25">
      <c r="A2155" t="s">
        <v>12705</v>
      </c>
      <c r="B2155">
        <v>27.992000000000001</v>
      </c>
      <c r="C2155" t="s">
        <v>12706</v>
      </c>
      <c r="D2155" t="s">
        <v>12707</v>
      </c>
      <c r="E2155" t="s">
        <v>12655</v>
      </c>
      <c r="F2155" t="s">
        <v>7672</v>
      </c>
      <c r="G2155" t="s">
        <v>12656</v>
      </c>
      <c r="H2155" t="s">
        <v>7674</v>
      </c>
      <c r="I2155" t="s">
        <v>9245</v>
      </c>
      <c r="J2155" t="s">
        <v>12708</v>
      </c>
    </row>
    <row r="2156" spans="1:10" x14ac:dyDescent="0.25">
      <c r="A2156" t="s">
        <v>12709</v>
      </c>
      <c r="B2156">
        <v>27.992000000000001</v>
      </c>
      <c r="C2156" t="s">
        <v>12710</v>
      </c>
      <c r="D2156" t="s">
        <v>12711</v>
      </c>
      <c r="E2156" t="s">
        <v>12655</v>
      </c>
      <c r="F2156" t="s">
        <v>7672</v>
      </c>
      <c r="G2156" t="s">
        <v>12656</v>
      </c>
      <c r="H2156" t="s">
        <v>7674</v>
      </c>
      <c r="I2156" t="s">
        <v>8600</v>
      </c>
      <c r="J2156" t="s">
        <v>12708</v>
      </c>
    </row>
    <row r="2157" spans="1:10" x14ac:dyDescent="0.25">
      <c r="A2157" t="s">
        <v>12712</v>
      </c>
      <c r="B2157">
        <v>27.992000000000001</v>
      </c>
      <c r="C2157" t="s">
        <v>12713</v>
      </c>
      <c r="D2157" t="s">
        <v>74</v>
      </c>
      <c r="E2157" t="s">
        <v>12655</v>
      </c>
      <c r="F2157" t="s">
        <v>7672</v>
      </c>
      <c r="G2157" t="s">
        <v>12656</v>
      </c>
      <c r="H2157" t="s">
        <v>7674</v>
      </c>
      <c r="I2157" t="s">
        <v>8600</v>
      </c>
      <c r="J2157" t="s">
        <v>12714</v>
      </c>
    </row>
    <row r="2158" spans="1:10" x14ac:dyDescent="0.25">
      <c r="A2158" t="s">
        <v>12715</v>
      </c>
      <c r="B2158">
        <v>27.992000000000001</v>
      </c>
      <c r="C2158" t="s">
        <v>12716</v>
      </c>
      <c r="D2158" t="s">
        <v>11122</v>
      </c>
      <c r="E2158" t="s">
        <v>12655</v>
      </c>
      <c r="F2158" t="s">
        <v>7672</v>
      </c>
      <c r="G2158" t="s">
        <v>12656</v>
      </c>
      <c r="H2158" t="s">
        <v>7674</v>
      </c>
      <c r="I2158" t="s">
        <v>8600</v>
      </c>
      <c r="J2158" t="s">
        <v>12717</v>
      </c>
    </row>
    <row r="2159" spans="1:10" x14ac:dyDescent="0.25">
      <c r="A2159" t="s">
        <v>12718</v>
      </c>
      <c r="B2159">
        <v>27.992000000000001</v>
      </c>
      <c r="C2159" t="s">
        <v>12719</v>
      </c>
      <c r="D2159" t="s">
        <v>9939</v>
      </c>
      <c r="E2159" t="s">
        <v>12655</v>
      </c>
      <c r="F2159" t="s">
        <v>7672</v>
      </c>
      <c r="G2159" t="s">
        <v>12656</v>
      </c>
      <c r="H2159" t="s">
        <v>7674</v>
      </c>
      <c r="I2159" t="s">
        <v>9245</v>
      </c>
      <c r="J2159" t="s">
        <v>12717</v>
      </c>
    </row>
    <row r="2160" spans="1:10" x14ac:dyDescent="0.25">
      <c r="A2160" t="s">
        <v>12720</v>
      </c>
      <c r="B2160">
        <v>27.992000000000001</v>
      </c>
      <c r="C2160" t="s">
        <v>12721</v>
      </c>
      <c r="D2160" t="s">
        <v>8770</v>
      </c>
      <c r="E2160" t="s">
        <v>12655</v>
      </c>
      <c r="F2160" t="s">
        <v>7672</v>
      </c>
      <c r="G2160" t="s">
        <v>12656</v>
      </c>
      <c r="H2160" t="s">
        <v>7674</v>
      </c>
      <c r="I2160" t="s">
        <v>9245</v>
      </c>
      <c r="J2160" t="s">
        <v>12722</v>
      </c>
    </row>
    <row r="2161" spans="1:10" x14ac:dyDescent="0.25">
      <c r="A2161" t="s">
        <v>12723</v>
      </c>
      <c r="B2161">
        <v>27.992000000000001</v>
      </c>
      <c r="C2161" t="s">
        <v>12724</v>
      </c>
      <c r="D2161" t="s">
        <v>7670</v>
      </c>
      <c r="E2161" t="s">
        <v>12655</v>
      </c>
      <c r="F2161" t="s">
        <v>7672</v>
      </c>
      <c r="G2161" t="s">
        <v>12656</v>
      </c>
      <c r="H2161" t="s">
        <v>7674</v>
      </c>
      <c r="I2161" t="s">
        <v>9245</v>
      </c>
      <c r="J2161" t="s">
        <v>12725</v>
      </c>
    </row>
    <row r="2162" spans="1:10" x14ac:dyDescent="0.25">
      <c r="A2162" t="s">
        <v>12726</v>
      </c>
      <c r="B2162">
        <v>27.992000000000001</v>
      </c>
      <c r="C2162" t="s">
        <v>12727</v>
      </c>
      <c r="D2162" t="s">
        <v>2347</v>
      </c>
      <c r="E2162" t="s">
        <v>12655</v>
      </c>
      <c r="F2162" t="s">
        <v>7672</v>
      </c>
      <c r="G2162" t="s">
        <v>12656</v>
      </c>
      <c r="H2162" t="s">
        <v>7674</v>
      </c>
      <c r="I2162" t="s">
        <v>8600</v>
      </c>
      <c r="J2162" t="s">
        <v>12725</v>
      </c>
    </row>
    <row r="2163" spans="1:10" x14ac:dyDescent="0.25">
      <c r="A2163" t="s">
        <v>12728</v>
      </c>
      <c r="B2163">
        <v>27.992000000000001</v>
      </c>
      <c r="C2163" t="s">
        <v>12729</v>
      </c>
      <c r="D2163" t="s">
        <v>8631</v>
      </c>
      <c r="E2163" t="s">
        <v>12655</v>
      </c>
      <c r="F2163" t="s">
        <v>7672</v>
      </c>
      <c r="G2163" t="s">
        <v>12656</v>
      </c>
      <c r="H2163" t="s">
        <v>7674</v>
      </c>
      <c r="I2163" t="s">
        <v>9245</v>
      </c>
      <c r="J2163" t="s">
        <v>12730</v>
      </c>
    </row>
    <row r="2164" spans="1:10" x14ac:dyDescent="0.25">
      <c r="A2164" t="s">
        <v>12731</v>
      </c>
      <c r="B2164">
        <v>27.992000000000001</v>
      </c>
      <c r="C2164" t="s">
        <v>12732</v>
      </c>
      <c r="D2164" t="s">
        <v>12733</v>
      </c>
      <c r="E2164" t="s">
        <v>12655</v>
      </c>
      <c r="F2164" t="s">
        <v>7672</v>
      </c>
      <c r="G2164" t="s">
        <v>12656</v>
      </c>
      <c r="H2164" t="s">
        <v>7674</v>
      </c>
      <c r="I2164" t="s">
        <v>9245</v>
      </c>
      <c r="J2164" t="s">
        <v>12734</v>
      </c>
    </row>
    <row r="2165" spans="1:10" x14ac:dyDescent="0.25">
      <c r="A2165" t="s">
        <v>12735</v>
      </c>
      <c r="B2165">
        <v>27.992000000000001</v>
      </c>
      <c r="C2165" t="s">
        <v>12736</v>
      </c>
      <c r="D2165" t="s">
        <v>12737</v>
      </c>
      <c r="E2165" t="s">
        <v>12655</v>
      </c>
      <c r="F2165" t="s">
        <v>7672</v>
      </c>
      <c r="G2165" t="s">
        <v>12656</v>
      </c>
      <c r="H2165" t="s">
        <v>7674</v>
      </c>
      <c r="I2165" t="s">
        <v>8600</v>
      </c>
      <c r="J2165" t="s">
        <v>12734</v>
      </c>
    </row>
    <row r="2166" spans="1:10" x14ac:dyDescent="0.25">
      <c r="A2166" t="s">
        <v>12738</v>
      </c>
      <c r="B2166">
        <v>27.992000000000001</v>
      </c>
      <c r="C2166" t="s">
        <v>12739</v>
      </c>
      <c r="D2166" t="s">
        <v>5179</v>
      </c>
      <c r="E2166" t="s">
        <v>12655</v>
      </c>
      <c r="F2166" t="s">
        <v>7672</v>
      </c>
      <c r="G2166" t="s">
        <v>12656</v>
      </c>
      <c r="H2166" t="s">
        <v>7674</v>
      </c>
      <c r="I2166" t="s">
        <v>9245</v>
      </c>
      <c r="J2166" t="s">
        <v>12740</v>
      </c>
    </row>
    <row r="2167" spans="1:10" x14ac:dyDescent="0.25">
      <c r="A2167" t="s">
        <v>12741</v>
      </c>
      <c r="B2167">
        <v>27.992000000000001</v>
      </c>
      <c r="C2167" t="s">
        <v>12742</v>
      </c>
      <c r="D2167" t="s">
        <v>725</v>
      </c>
      <c r="E2167" t="s">
        <v>12655</v>
      </c>
      <c r="F2167" t="s">
        <v>7672</v>
      </c>
      <c r="G2167" t="s">
        <v>12656</v>
      </c>
      <c r="H2167" t="s">
        <v>7674</v>
      </c>
      <c r="I2167" t="s">
        <v>8600</v>
      </c>
      <c r="J2167" t="s">
        <v>12740</v>
      </c>
    </row>
    <row r="2168" spans="1:10" x14ac:dyDescent="0.25">
      <c r="A2168" t="s">
        <v>12743</v>
      </c>
      <c r="B2168">
        <v>27.992000000000001</v>
      </c>
      <c r="C2168" t="s">
        <v>12744</v>
      </c>
      <c r="D2168" t="s">
        <v>12745</v>
      </c>
      <c r="E2168" t="s">
        <v>12655</v>
      </c>
      <c r="F2168" t="s">
        <v>7672</v>
      </c>
      <c r="G2168" t="s">
        <v>12656</v>
      </c>
      <c r="H2168" t="s">
        <v>7674</v>
      </c>
      <c r="I2168" t="s">
        <v>9245</v>
      </c>
      <c r="J2168" t="s">
        <v>12746</v>
      </c>
    </row>
    <row r="2169" spans="1:10" x14ac:dyDescent="0.25">
      <c r="A2169" t="s">
        <v>12747</v>
      </c>
      <c r="B2169">
        <v>27.992000000000001</v>
      </c>
      <c r="C2169" t="s">
        <v>12748</v>
      </c>
      <c r="D2169" t="s">
        <v>12749</v>
      </c>
      <c r="E2169" t="s">
        <v>12655</v>
      </c>
      <c r="F2169" t="s">
        <v>7672</v>
      </c>
      <c r="G2169" t="s">
        <v>12656</v>
      </c>
      <c r="H2169" t="s">
        <v>7674</v>
      </c>
      <c r="I2169" t="s">
        <v>8600</v>
      </c>
      <c r="J2169" t="s">
        <v>12746</v>
      </c>
    </row>
    <row r="2170" spans="1:10" x14ac:dyDescent="0.25">
      <c r="A2170" t="s">
        <v>12750</v>
      </c>
      <c r="B2170">
        <v>27.992000000000001</v>
      </c>
      <c r="C2170" t="s">
        <v>12751</v>
      </c>
      <c r="D2170" t="s">
        <v>12707</v>
      </c>
      <c r="E2170" t="s">
        <v>12655</v>
      </c>
      <c r="F2170" t="s">
        <v>7672</v>
      </c>
      <c r="G2170" t="s">
        <v>12656</v>
      </c>
      <c r="H2170" t="s">
        <v>7674</v>
      </c>
      <c r="I2170" t="s">
        <v>9245</v>
      </c>
      <c r="J2170" t="s">
        <v>12752</v>
      </c>
    </row>
    <row r="2171" spans="1:10" x14ac:dyDescent="0.25">
      <c r="A2171" t="s">
        <v>12753</v>
      </c>
      <c r="B2171">
        <v>27.992000000000001</v>
      </c>
      <c r="C2171" t="s">
        <v>12754</v>
      </c>
      <c r="D2171" t="s">
        <v>1893</v>
      </c>
      <c r="E2171" t="s">
        <v>12655</v>
      </c>
      <c r="F2171" t="s">
        <v>7672</v>
      </c>
      <c r="G2171" t="s">
        <v>12656</v>
      </c>
      <c r="H2171" t="s">
        <v>7674</v>
      </c>
      <c r="I2171" t="s">
        <v>8600</v>
      </c>
      <c r="J2171" t="s">
        <v>12752</v>
      </c>
    </row>
    <row r="2172" spans="1:10" x14ac:dyDescent="0.25">
      <c r="A2172" t="s">
        <v>12755</v>
      </c>
      <c r="B2172">
        <v>27.992000000000001</v>
      </c>
      <c r="C2172" t="s">
        <v>12756</v>
      </c>
      <c r="D2172" t="s">
        <v>12757</v>
      </c>
      <c r="E2172" t="s">
        <v>12655</v>
      </c>
      <c r="F2172" t="s">
        <v>7672</v>
      </c>
      <c r="G2172" t="s">
        <v>12656</v>
      </c>
      <c r="H2172" t="s">
        <v>7674</v>
      </c>
      <c r="I2172" t="s">
        <v>9245</v>
      </c>
      <c r="J2172" t="s">
        <v>12758</v>
      </c>
    </row>
    <row r="2173" spans="1:10" x14ac:dyDescent="0.25">
      <c r="A2173" t="s">
        <v>12759</v>
      </c>
      <c r="B2173">
        <v>27.992000000000001</v>
      </c>
      <c r="C2173" t="s">
        <v>12760</v>
      </c>
      <c r="D2173" t="s">
        <v>613</v>
      </c>
      <c r="E2173" t="s">
        <v>12655</v>
      </c>
      <c r="F2173" t="s">
        <v>7672</v>
      </c>
      <c r="G2173" t="s">
        <v>12656</v>
      </c>
      <c r="H2173" t="s">
        <v>7674</v>
      </c>
      <c r="I2173" t="s">
        <v>11805</v>
      </c>
      <c r="J2173" t="s">
        <v>12758</v>
      </c>
    </row>
    <row r="2174" spans="1:10" x14ac:dyDescent="0.25">
      <c r="A2174" t="s">
        <v>12761</v>
      </c>
      <c r="B2174">
        <v>8.3920000000000012</v>
      </c>
      <c r="C2174" t="s">
        <v>12762</v>
      </c>
      <c r="D2174" t="s">
        <v>124</v>
      </c>
      <c r="E2174" t="s">
        <v>12655</v>
      </c>
      <c r="F2174" t="s">
        <v>7672</v>
      </c>
      <c r="G2174" t="s">
        <v>12656</v>
      </c>
      <c r="H2174" t="s">
        <v>7674</v>
      </c>
      <c r="I2174" t="s">
        <v>7945</v>
      </c>
      <c r="J2174" t="s">
        <v>12758</v>
      </c>
    </row>
    <row r="2175" spans="1:10" x14ac:dyDescent="0.25">
      <c r="A2175" t="s">
        <v>12763</v>
      </c>
      <c r="B2175">
        <v>27.992000000000001</v>
      </c>
      <c r="C2175" t="s">
        <v>12764</v>
      </c>
      <c r="D2175" t="s">
        <v>12765</v>
      </c>
      <c r="E2175" t="s">
        <v>12655</v>
      </c>
      <c r="F2175" t="s">
        <v>7672</v>
      </c>
      <c r="G2175" t="s">
        <v>12656</v>
      </c>
      <c r="H2175" t="s">
        <v>7674</v>
      </c>
      <c r="I2175" t="s">
        <v>8600</v>
      </c>
      <c r="J2175" t="s">
        <v>12758</v>
      </c>
    </row>
    <row r="2176" spans="1:10" x14ac:dyDescent="0.25">
      <c r="A2176" t="s">
        <v>12766</v>
      </c>
      <c r="B2176">
        <v>27.992000000000001</v>
      </c>
      <c r="C2176" t="s">
        <v>12767</v>
      </c>
      <c r="D2176" t="s">
        <v>941</v>
      </c>
      <c r="E2176" t="s">
        <v>12655</v>
      </c>
      <c r="F2176" t="s">
        <v>7672</v>
      </c>
      <c r="G2176" t="s">
        <v>12656</v>
      </c>
      <c r="H2176" t="s">
        <v>7674</v>
      </c>
      <c r="I2176" t="s">
        <v>9245</v>
      </c>
      <c r="J2176" t="s">
        <v>12768</v>
      </c>
    </row>
    <row r="2177" spans="1:10" x14ac:dyDescent="0.25">
      <c r="A2177" t="s">
        <v>12769</v>
      </c>
      <c r="B2177">
        <v>27.992000000000001</v>
      </c>
      <c r="C2177" t="s">
        <v>12770</v>
      </c>
      <c r="D2177" t="s">
        <v>255</v>
      </c>
      <c r="E2177" t="s">
        <v>12655</v>
      </c>
      <c r="F2177" t="s">
        <v>7672</v>
      </c>
      <c r="G2177" t="s">
        <v>12656</v>
      </c>
      <c r="H2177" t="s">
        <v>7674</v>
      </c>
      <c r="I2177" t="s">
        <v>8600</v>
      </c>
      <c r="J2177" t="s">
        <v>12768</v>
      </c>
    </row>
    <row r="2178" spans="1:10" x14ac:dyDescent="0.25">
      <c r="A2178" t="s">
        <v>12771</v>
      </c>
      <c r="B2178">
        <v>27.992000000000001</v>
      </c>
      <c r="C2178" t="s">
        <v>12772</v>
      </c>
      <c r="D2178" t="s">
        <v>1837</v>
      </c>
      <c r="E2178" t="s">
        <v>12655</v>
      </c>
      <c r="F2178" t="s">
        <v>7672</v>
      </c>
      <c r="G2178" t="s">
        <v>12656</v>
      </c>
      <c r="H2178" t="s">
        <v>7674</v>
      </c>
      <c r="I2178" t="s">
        <v>9733</v>
      </c>
      <c r="J2178" t="s">
        <v>12773</v>
      </c>
    </row>
    <row r="2179" spans="1:10" x14ac:dyDescent="0.25">
      <c r="A2179" t="s">
        <v>12774</v>
      </c>
      <c r="B2179">
        <v>27.992000000000001</v>
      </c>
      <c r="C2179" t="s">
        <v>12775</v>
      </c>
      <c r="D2179" t="s">
        <v>12776</v>
      </c>
      <c r="E2179" t="s">
        <v>12655</v>
      </c>
      <c r="F2179" t="s">
        <v>7672</v>
      </c>
      <c r="G2179" t="s">
        <v>12656</v>
      </c>
      <c r="H2179" t="s">
        <v>7674</v>
      </c>
      <c r="I2179" t="s">
        <v>9245</v>
      </c>
      <c r="J2179" t="s">
        <v>12773</v>
      </c>
    </row>
    <row r="2180" spans="1:10" x14ac:dyDescent="0.25">
      <c r="A2180" t="s">
        <v>12777</v>
      </c>
      <c r="B2180">
        <v>27.992000000000001</v>
      </c>
      <c r="C2180" t="s">
        <v>12778</v>
      </c>
      <c r="D2180" t="s">
        <v>4114</v>
      </c>
      <c r="E2180" t="s">
        <v>12655</v>
      </c>
      <c r="F2180" t="s">
        <v>7672</v>
      </c>
      <c r="G2180" t="s">
        <v>12656</v>
      </c>
      <c r="H2180" t="s">
        <v>7674</v>
      </c>
      <c r="I2180" t="s">
        <v>11805</v>
      </c>
      <c r="J2180" t="s">
        <v>12773</v>
      </c>
    </row>
    <row r="2181" spans="1:10" x14ac:dyDescent="0.25">
      <c r="A2181" t="s">
        <v>12779</v>
      </c>
      <c r="B2181">
        <v>27.992000000000001</v>
      </c>
      <c r="C2181" t="s">
        <v>12780</v>
      </c>
      <c r="D2181" t="s">
        <v>12781</v>
      </c>
      <c r="E2181" t="s">
        <v>12655</v>
      </c>
      <c r="F2181" t="s">
        <v>7672</v>
      </c>
      <c r="G2181" t="s">
        <v>12656</v>
      </c>
      <c r="H2181" t="s">
        <v>7674</v>
      </c>
      <c r="I2181" t="s">
        <v>8600</v>
      </c>
      <c r="J2181" t="s">
        <v>12773</v>
      </c>
    </row>
    <row r="2182" spans="1:10" x14ac:dyDescent="0.25">
      <c r="A2182" t="s">
        <v>12782</v>
      </c>
      <c r="B2182">
        <v>8.7919999999999998</v>
      </c>
      <c r="C2182" t="s">
        <v>12783</v>
      </c>
      <c r="D2182" t="s">
        <v>12784</v>
      </c>
      <c r="E2182" t="s">
        <v>12785</v>
      </c>
      <c r="F2182" t="s">
        <v>7672</v>
      </c>
      <c r="G2182" t="s">
        <v>12786</v>
      </c>
      <c r="H2182" t="s">
        <v>11507</v>
      </c>
      <c r="I2182" t="s">
        <v>12787</v>
      </c>
      <c r="J2182" t="s">
        <v>11497</v>
      </c>
    </row>
    <row r="2183" spans="1:10" x14ac:dyDescent="0.25">
      <c r="A2183" t="s">
        <v>12788</v>
      </c>
      <c r="B2183">
        <v>8.7919999999999998</v>
      </c>
      <c r="C2183" t="s">
        <v>12789</v>
      </c>
      <c r="D2183" t="s">
        <v>5716</v>
      </c>
      <c r="E2183" t="s">
        <v>12785</v>
      </c>
      <c r="F2183" t="s">
        <v>7672</v>
      </c>
      <c r="G2183" t="s">
        <v>12786</v>
      </c>
      <c r="H2183" t="s">
        <v>11507</v>
      </c>
      <c r="I2183" t="s">
        <v>12787</v>
      </c>
      <c r="J2183" t="s">
        <v>11498</v>
      </c>
    </row>
    <row r="2184" spans="1:10" x14ac:dyDescent="0.25">
      <c r="A2184" t="s">
        <v>12790</v>
      </c>
      <c r="B2184">
        <v>8.7919999999999998</v>
      </c>
      <c r="C2184" t="s">
        <v>12791</v>
      </c>
      <c r="D2184" t="s">
        <v>12792</v>
      </c>
      <c r="E2184" t="s">
        <v>12785</v>
      </c>
      <c r="F2184" t="s">
        <v>7672</v>
      </c>
      <c r="G2184" t="s">
        <v>12786</v>
      </c>
      <c r="H2184" t="s">
        <v>11507</v>
      </c>
      <c r="I2184" t="s">
        <v>12787</v>
      </c>
      <c r="J2184" t="s">
        <v>11499</v>
      </c>
    </row>
    <row r="2185" spans="1:10" x14ac:dyDescent="0.25">
      <c r="A2185" t="s">
        <v>12793</v>
      </c>
      <c r="B2185">
        <v>8.7919999999999998</v>
      </c>
      <c r="C2185" t="s">
        <v>12794</v>
      </c>
      <c r="D2185" t="s">
        <v>12795</v>
      </c>
      <c r="E2185" t="s">
        <v>12785</v>
      </c>
      <c r="F2185" t="s">
        <v>7672</v>
      </c>
      <c r="G2185" t="s">
        <v>12786</v>
      </c>
      <c r="H2185" t="s">
        <v>11507</v>
      </c>
      <c r="I2185" t="s">
        <v>12787</v>
      </c>
      <c r="J2185" t="s">
        <v>11500</v>
      </c>
    </row>
    <row r="2186" spans="1:10" x14ac:dyDescent="0.25">
      <c r="A2186" t="s">
        <v>12796</v>
      </c>
      <c r="B2186">
        <v>8.7919999999999998</v>
      </c>
      <c r="C2186" t="s">
        <v>12797</v>
      </c>
      <c r="D2186" t="s">
        <v>12798</v>
      </c>
      <c r="E2186" t="s">
        <v>12785</v>
      </c>
      <c r="F2186" t="s">
        <v>7672</v>
      </c>
      <c r="G2186" t="s">
        <v>12786</v>
      </c>
      <c r="H2186" t="s">
        <v>11507</v>
      </c>
      <c r="I2186" t="s">
        <v>12787</v>
      </c>
      <c r="J2186" t="s">
        <v>11501</v>
      </c>
    </row>
    <row r="2187" spans="1:10" x14ac:dyDescent="0.25">
      <c r="A2187" t="s">
        <v>12799</v>
      </c>
      <c r="B2187">
        <v>8.7919999999999998</v>
      </c>
      <c r="C2187" t="s">
        <v>12800</v>
      </c>
      <c r="D2187" t="s">
        <v>12801</v>
      </c>
      <c r="E2187" t="s">
        <v>12785</v>
      </c>
      <c r="F2187" t="s">
        <v>7672</v>
      </c>
      <c r="G2187" t="s">
        <v>12786</v>
      </c>
      <c r="H2187" t="s">
        <v>11507</v>
      </c>
      <c r="I2187" t="s">
        <v>12787</v>
      </c>
      <c r="J2187" t="s">
        <v>11502</v>
      </c>
    </row>
    <row r="2188" spans="1:10" x14ac:dyDescent="0.25">
      <c r="A2188" t="s">
        <v>12802</v>
      </c>
      <c r="B2188">
        <v>8.7919999999999998</v>
      </c>
      <c r="C2188" t="s">
        <v>12803</v>
      </c>
      <c r="D2188" t="s">
        <v>4141</v>
      </c>
      <c r="E2188" t="s">
        <v>12785</v>
      </c>
      <c r="F2188" t="s">
        <v>7672</v>
      </c>
      <c r="G2188" t="s">
        <v>12786</v>
      </c>
      <c r="H2188" t="s">
        <v>11507</v>
      </c>
      <c r="I2188" t="s">
        <v>12787</v>
      </c>
      <c r="J2188" t="s">
        <v>11503</v>
      </c>
    </row>
    <row r="2189" spans="1:10" x14ac:dyDescent="0.25">
      <c r="A2189" t="s">
        <v>12804</v>
      </c>
      <c r="B2189">
        <v>8.7919999999999998</v>
      </c>
      <c r="C2189" t="s">
        <v>12805</v>
      </c>
      <c r="D2189" t="s">
        <v>4227</v>
      </c>
      <c r="E2189" t="s">
        <v>12785</v>
      </c>
      <c r="F2189" t="s">
        <v>7672</v>
      </c>
      <c r="G2189" t="s">
        <v>12786</v>
      </c>
      <c r="H2189" t="s">
        <v>11507</v>
      </c>
      <c r="I2189" t="s">
        <v>12787</v>
      </c>
      <c r="J2189" t="s">
        <v>277</v>
      </c>
    </row>
    <row r="2190" spans="1:10" x14ac:dyDescent="0.25">
      <c r="A2190" t="s">
        <v>12806</v>
      </c>
      <c r="B2190">
        <v>6.152000000000001</v>
      </c>
      <c r="C2190" t="s">
        <v>12807</v>
      </c>
      <c r="D2190" t="s">
        <v>3577</v>
      </c>
      <c r="E2190" t="s">
        <v>12808</v>
      </c>
      <c r="F2190" t="s">
        <v>7672</v>
      </c>
      <c r="G2190" t="s">
        <v>12809</v>
      </c>
      <c r="H2190" t="s">
        <v>8027</v>
      </c>
      <c r="I2190" t="s">
        <v>12810</v>
      </c>
      <c r="J2190" t="s">
        <v>7675</v>
      </c>
    </row>
    <row r="2191" spans="1:10" x14ac:dyDescent="0.25">
      <c r="A2191" t="s">
        <v>12811</v>
      </c>
      <c r="B2191">
        <v>6.152000000000001</v>
      </c>
      <c r="C2191" t="s">
        <v>12812</v>
      </c>
      <c r="D2191" t="s">
        <v>8193</v>
      </c>
      <c r="E2191" t="s">
        <v>12808</v>
      </c>
      <c r="F2191" t="s">
        <v>7672</v>
      </c>
      <c r="G2191" t="s">
        <v>12809</v>
      </c>
      <c r="H2191" t="s">
        <v>8027</v>
      </c>
      <c r="I2191" t="s">
        <v>12810</v>
      </c>
      <c r="J2191" t="s">
        <v>7686</v>
      </c>
    </row>
    <row r="2192" spans="1:10" x14ac:dyDescent="0.25">
      <c r="A2192" t="s">
        <v>12813</v>
      </c>
      <c r="B2192">
        <v>6.152000000000001</v>
      </c>
      <c r="C2192" t="s">
        <v>12814</v>
      </c>
      <c r="D2192" t="s">
        <v>1459</v>
      </c>
      <c r="E2192" t="s">
        <v>12808</v>
      </c>
      <c r="F2192" t="s">
        <v>7672</v>
      </c>
      <c r="G2192" t="s">
        <v>12809</v>
      </c>
      <c r="H2192" t="s">
        <v>8027</v>
      </c>
      <c r="I2192" t="s">
        <v>12810</v>
      </c>
      <c r="J2192" t="s">
        <v>7703</v>
      </c>
    </row>
    <row r="2193" spans="1:10" x14ac:dyDescent="0.25">
      <c r="A2193" t="s">
        <v>12815</v>
      </c>
      <c r="B2193">
        <v>6.152000000000001</v>
      </c>
      <c r="C2193" t="s">
        <v>12816</v>
      </c>
      <c r="D2193" t="s">
        <v>2697</v>
      </c>
      <c r="E2193" t="s">
        <v>12808</v>
      </c>
      <c r="F2193" t="s">
        <v>7672</v>
      </c>
      <c r="G2193" t="s">
        <v>12809</v>
      </c>
      <c r="H2193" t="s">
        <v>8027</v>
      </c>
      <c r="I2193" t="s">
        <v>12810</v>
      </c>
      <c r="J2193" t="s">
        <v>7713</v>
      </c>
    </row>
    <row r="2194" spans="1:10" x14ac:dyDescent="0.25">
      <c r="A2194" t="s">
        <v>12817</v>
      </c>
      <c r="B2194">
        <v>9.7920000000000016</v>
      </c>
      <c r="C2194" t="s">
        <v>12818</v>
      </c>
      <c r="D2194" t="s">
        <v>164</v>
      </c>
      <c r="E2194" t="s">
        <v>12819</v>
      </c>
      <c r="F2194" t="s">
        <v>7672</v>
      </c>
      <c r="G2194" t="s">
        <v>12820</v>
      </c>
      <c r="H2194" t="s">
        <v>11598</v>
      </c>
      <c r="I2194" t="s">
        <v>12821</v>
      </c>
      <c r="J2194" t="s">
        <v>7942</v>
      </c>
    </row>
    <row r="2195" spans="1:10" x14ac:dyDescent="0.25">
      <c r="A2195" t="s">
        <v>12822</v>
      </c>
      <c r="B2195">
        <v>9.7920000000000016</v>
      </c>
      <c r="C2195" t="s">
        <v>12823</v>
      </c>
      <c r="D2195" t="s">
        <v>385</v>
      </c>
      <c r="E2195" t="s">
        <v>12819</v>
      </c>
      <c r="F2195" t="s">
        <v>7672</v>
      </c>
      <c r="G2195" t="s">
        <v>12820</v>
      </c>
      <c r="H2195" t="s">
        <v>11598</v>
      </c>
      <c r="I2195" t="s">
        <v>12824</v>
      </c>
      <c r="J2195" t="s">
        <v>7942</v>
      </c>
    </row>
    <row r="2196" spans="1:10" x14ac:dyDescent="0.25">
      <c r="A2196" t="s">
        <v>12825</v>
      </c>
      <c r="B2196">
        <v>9.7920000000000016</v>
      </c>
      <c r="C2196" t="s">
        <v>12826</v>
      </c>
      <c r="D2196" t="s">
        <v>118</v>
      </c>
      <c r="E2196" t="s">
        <v>12819</v>
      </c>
      <c r="F2196" t="s">
        <v>7672</v>
      </c>
      <c r="G2196" t="s">
        <v>12820</v>
      </c>
      <c r="H2196" t="s">
        <v>11598</v>
      </c>
      <c r="I2196" t="s">
        <v>12827</v>
      </c>
      <c r="J2196" t="s">
        <v>7942</v>
      </c>
    </row>
    <row r="2197" spans="1:10" x14ac:dyDescent="0.25">
      <c r="A2197" t="s">
        <v>12828</v>
      </c>
      <c r="B2197">
        <v>9.7920000000000016</v>
      </c>
      <c r="C2197" t="s">
        <v>12829</v>
      </c>
      <c r="D2197" t="s">
        <v>118</v>
      </c>
      <c r="E2197" t="s">
        <v>12819</v>
      </c>
      <c r="F2197" t="s">
        <v>7672</v>
      </c>
      <c r="G2197" t="s">
        <v>12820</v>
      </c>
      <c r="H2197" t="s">
        <v>11598</v>
      </c>
      <c r="I2197" t="s">
        <v>12824</v>
      </c>
      <c r="J2197" t="s">
        <v>7981</v>
      </c>
    </row>
    <row r="2198" spans="1:10" x14ac:dyDescent="0.25">
      <c r="A2198" t="s">
        <v>12830</v>
      </c>
      <c r="B2198">
        <v>9.7920000000000016</v>
      </c>
      <c r="C2198" t="s">
        <v>12831</v>
      </c>
      <c r="D2198" t="s">
        <v>742</v>
      </c>
      <c r="E2198" t="s">
        <v>12819</v>
      </c>
      <c r="F2198" t="s">
        <v>7672</v>
      </c>
      <c r="G2198" t="s">
        <v>12820</v>
      </c>
      <c r="H2198" t="s">
        <v>11598</v>
      </c>
      <c r="I2198" t="s">
        <v>12832</v>
      </c>
      <c r="J2198" t="s">
        <v>7981</v>
      </c>
    </row>
    <row r="2199" spans="1:10" x14ac:dyDescent="0.25">
      <c r="A2199" t="s">
        <v>12833</v>
      </c>
      <c r="B2199">
        <v>9.7920000000000016</v>
      </c>
      <c r="C2199" t="s">
        <v>12834</v>
      </c>
      <c r="D2199" t="s">
        <v>436</v>
      </c>
      <c r="E2199" t="s">
        <v>12819</v>
      </c>
      <c r="F2199" t="s">
        <v>7672</v>
      </c>
      <c r="G2199" t="s">
        <v>12820</v>
      </c>
      <c r="H2199" t="s">
        <v>11598</v>
      </c>
      <c r="I2199" t="s">
        <v>12827</v>
      </c>
      <c r="J2199" t="s">
        <v>7981</v>
      </c>
    </row>
    <row r="2200" spans="1:10" x14ac:dyDescent="0.25">
      <c r="A2200" t="s">
        <v>12835</v>
      </c>
      <c r="B2200">
        <v>11.192</v>
      </c>
      <c r="C2200" t="s">
        <v>12836</v>
      </c>
      <c r="D2200" t="s">
        <v>835</v>
      </c>
      <c r="E2200" t="s">
        <v>12837</v>
      </c>
      <c r="F2200" t="s">
        <v>7672</v>
      </c>
      <c r="G2200" t="s">
        <v>12838</v>
      </c>
      <c r="H2200" t="s">
        <v>7674</v>
      </c>
      <c r="I2200" t="s">
        <v>12839</v>
      </c>
      <c r="J2200" t="s">
        <v>8462</v>
      </c>
    </row>
    <row r="2201" spans="1:10" x14ac:dyDescent="0.25">
      <c r="A2201" t="s">
        <v>12840</v>
      </c>
      <c r="B2201">
        <v>5</v>
      </c>
      <c r="C2201" t="s">
        <v>12841</v>
      </c>
      <c r="D2201" t="s">
        <v>2001</v>
      </c>
      <c r="E2201" t="s">
        <v>12842</v>
      </c>
      <c r="F2201" t="s">
        <v>7672</v>
      </c>
      <c r="G2201" t="s">
        <v>12843</v>
      </c>
      <c r="H2201" t="s">
        <v>8027</v>
      </c>
      <c r="I2201" t="s">
        <v>1675</v>
      </c>
      <c r="J2201" t="s">
        <v>7942</v>
      </c>
    </row>
    <row r="2202" spans="1:10" x14ac:dyDescent="0.25">
      <c r="A2202" t="s">
        <v>12844</v>
      </c>
      <c r="B2202">
        <v>5</v>
      </c>
      <c r="C2202" t="s">
        <v>12845</v>
      </c>
      <c r="D2202" t="s">
        <v>1832</v>
      </c>
      <c r="E2202" t="s">
        <v>12842</v>
      </c>
      <c r="F2202" t="s">
        <v>7672</v>
      </c>
      <c r="G2202" t="s">
        <v>12843</v>
      </c>
      <c r="H2202" t="s">
        <v>8027</v>
      </c>
      <c r="I2202" t="s">
        <v>76</v>
      </c>
      <c r="J2202" t="s">
        <v>7942</v>
      </c>
    </row>
    <row r="2203" spans="1:10" x14ac:dyDescent="0.25">
      <c r="A2203" t="s">
        <v>12846</v>
      </c>
      <c r="B2203">
        <v>5</v>
      </c>
      <c r="C2203" t="s">
        <v>12847</v>
      </c>
      <c r="D2203" t="s">
        <v>649</v>
      </c>
      <c r="E2203" t="s">
        <v>12842</v>
      </c>
      <c r="F2203" t="s">
        <v>7672</v>
      </c>
      <c r="G2203" t="s">
        <v>12843</v>
      </c>
      <c r="H2203" t="s">
        <v>8027</v>
      </c>
      <c r="I2203" t="s">
        <v>8154</v>
      </c>
      <c r="J2203" t="s">
        <v>7942</v>
      </c>
    </row>
    <row r="2204" spans="1:10" x14ac:dyDescent="0.25">
      <c r="A2204" t="s">
        <v>12848</v>
      </c>
      <c r="B2204">
        <v>5</v>
      </c>
      <c r="C2204" t="s">
        <v>12849</v>
      </c>
      <c r="D2204" t="s">
        <v>7794</v>
      </c>
      <c r="E2204" t="s">
        <v>12842</v>
      </c>
      <c r="F2204" t="s">
        <v>7672</v>
      </c>
      <c r="G2204" t="s">
        <v>12843</v>
      </c>
      <c r="H2204" t="s">
        <v>8027</v>
      </c>
      <c r="I2204" t="s">
        <v>1675</v>
      </c>
      <c r="J2204" t="s">
        <v>7981</v>
      </c>
    </row>
    <row r="2205" spans="1:10" x14ac:dyDescent="0.25">
      <c r="A2205" t="s">
        <v>12850</v>
      </c>
      <c r="B2205">
        <v>5</v>
      </c>
      <c r="C2205" t="s">
        <v>12851</v>
      </c>
      <c r="D2205" t="s">
        <v>12852</v>
      </c>
      <c r="E2205" t="s">
        <v>12842</v>
      </c>
      <c r="F2205" t="s">
        <v>7672</v>
      </c>
      <c r="G2205" t="s">
        <v>12843</v>
      </c>
      <c r="H2205" t="s">
        <v>8027</v>
      </c>
      <c r="I2205" t="s">
        <v>76</v>
      </c>
      <c r="J2205" t="s">
        <v>7981</v>
      </c>
    </row>
    <row r="2206" spans="1:10" x14ac:dyDescent="0.25">
      <c r="A2206" t="s">
        <v>12853</v>
      </c>
      <c r="B2206">
        <v>5</v>
      </c>
      <c r="C2206" t="s">
        <v>12854</v>
      </c>
      <c r="D2206" t="s">
        <v>12855</v>
      </c>
      <c r="E2206" t="s">
        <v>12842</v>
      </c>
      <c r="F2206" t="s">
        <v>7672</v>
      </c>
      <c r="G2206" t="s">
        <v>12843</v>
      </c>
      <c r="H2206" t="s">
        <v>8027</v>
      </c>
      <c r="I2206" t="s">
        <v>8154</v>
      </c>
      <c r="J2206" t="s">
        <v>7981</v>
      </c>
    </row>
    <row r="2207" spans="1:10" x14ac:dyDescent="0.25">
      <c r="A2207" t="s">
        <v>12856</v>
      </c>
      <c r="B2207">
        <v>5</v>
      </c>
      <c r="C2207" t="s">
        <v>12857</v>
      </c>
      <c r="D2207" t="s">
        <v>10881</v>
      </c>
      <c r="E2207" t="s">
        <v>12842</v>
      </c>
      <c r="F2207" t="s">
        <v>7672</v>
      </c>
      <c r="G2207" t="s">
        <v>12843</v>
      </c>
      <c r="H2207" t="s">
        <v>8027</v>
      </c>
      <c r="I2207" t="s">
        <v>76</v>
      </c>
      <c r="J2207" t="s">
        <v>7984</v>
      </c>
    </row>
    <row r="2208" spans="1:10" x14ac:dyDescent="0.25">
      <c r="A2208" t="s">
        <v>12858</v>
      </c>
      <c r="B2208">
        <v>10</v>
      </c>
      <c r="C2208" t="s">
        <v>12859</v>
      </c>
      <c r="D2208" t="s">
        <v>2762</v>
      </c>
      <c r="E2208" t="s">
        <v>12860</v>
      </c>
      <c r="F2208" t="s">
        <v>7672</v>
      </c>
      <c r="G2208" t="s">
        <v>12861</v>
      </c>
      <c r="H2208" t="s">
        <v>8673</v>
      </c>
      <c r="I2208" t="s">
        <v>12862</v>
      </c>
      <c r="J2208" t="s">
        <v>7675</v>
      </c>
    </row>
    <row r="2209" spans="1:10" x14ac:dyDescent="0.25">
      <c r="A2209" t="s">
        <v>12863</v>
      </c>
      <c r="B2209">
        <v>10</v>
      </c>
      <c r="C2209" t="s">
        <v>12864</v>
      </c>
      <c r="D2209" t="s">
        <v>12349</v>
      </c>
      <c r="E2209" t="s">
        <v>12860</v>
      </c>
      <c r="F2209" t="s">
        <v>7672</v>
      </c>
      <c r="G2209" t="s">
        <v>12861</v>
      </c>
      <c r="H2209" t="s">
        <v>8673</v>
      </c>
      <c r="I2209" t="s">
        <v>8158</v>
      </c>
      <c r="J2209" t="s">
        <v>7675</v>
      </c>
    </row>
    <row r="2210" spans="1:10" x14ac:dyDescent="0.25">
      <c r="A2210" t="s">
        <v>12865</v>
      </c>
      <c r="B2210">
        <v>10</v>
      </c>
      <c r="C2210" t="s">
        <v>12866</v>
      </c>
      <c r="D2210" t="s">
        <v>245</v>
      </c>
      <c r="E2210" t="s">
        <v>12860</v>
      </c>
      <c r="F2210" t="s">
        <v>7672</v>
      </c>
      <c r="G2210" t="s">
        <v>12861</v>
      </c>
      <c r="H2210" t="s">
        <v>8673</v>
      </c>
      <c r="I2210" t="s">
        <v>12867</v>
      </c>
      <c r="J2210" t="s">
        <v>7675</v>
      </c>
    </row>
    <row r="2211" spans="1:10" x14ac:dyDescent="0.25">
      <c r="A2211" t="s">
        <v>12868</v>
      </c>
      <c r="B2211">
        <v>10</v>
      </c>
      <c r="C2211" t="s">
        <v>12869</v>
      </c>
      <c r="D2211" t="s">
        <v>229</v>
      </c>
      <c r="E2211" t="s">
        <v>12860</v>
      </c>
      <c r="F2211" t="s">
        <v>7672</v>
      </c>
      <c r="G2211" t="s">
        <v>12861</v>
      </c>
      <c r="H2211" t="s">
        <v>8673</v>
      </c>
      <c r="I2211" t="s">
        <v>12870</v>
      </c>
      <c r="J2211" t="s">
        <v>7675</v>
      </c>
    </row>
    <row r="2212" spans="1:10" x14ac:dyDescent="0.25">
      <c r="A2212" t="s">
        <v>12871</v>
      </c>
      <c r="B2212">
        <v>10</v>
      </c>
      <c r="C2212" t="s">
        <v>12872</v>
      </c>
      <c r="D2212" t="s">
        <v>12873</v>
      </c>
      <c r="E2212" t="s">
        <v>12860</v>
      </c>
      <c r="F2212" t="s">
        <v>7672</v>
      </c>
      <c r="G2212" t="s">
        <v>12861</v>
      </c>
      <c r="H2212" t="s">
        <v>8673</v>
      </c>
      <c r="I2212" t="s">
        <v>8158</v>
      </c>
      <c r="J2212" t="s">
        <v>7686</v>
      </c>
    </row>
    <row r="2213" spans="1:10" x14ac:dyDescent="0.25">
      <c r="A2213" t="s">
        <v>12874</v>
      </c>
      <c r="B2213">
        <v>10</v>
      </c>
      <c r="C2213" t="s">
        <v>12875</v>
      </c>
      <c r="D2213" t="s">
        <v>5592</v>
      </c>
      <c r="E2213" t="s">
        <v>12860</v>
      </c>
      <c r="F2213" t="s">
        <v>7672</v>
      </c>
      <c r="G2213" t="s">
        <v>12861</v>
      </c>
      <c r="H2213" t="s">
        <v>8673</v>
      </c>
      <c r="I2213" t="s">
        <v>12867</v>
      </c>
      <c r="J2213" t="s">
        <v>7686</v>
      </c>
    </row>
    <row r="2214" spans="1:10" x14ac:dyDescent="0.25">
      <c r="A2214" t="s">
        <v>12876</v>
      </c>
      <c r="B2214">
        <v>10</v>
      </c>
      <c r="C2214" t="s">
        <v>12877</v>
      </c>
      <c r="D2214" t="s">
        <v>981</v>
      </c>
      <c r="E2214" t="s">
        <v>12860</v>
      </c>
      <c r="F2214" t="s">
        <v>7672</v>
      </c>
      <c r="G2214" t="s">
        <v>12861</v>
      </c>
      <c r="H2214" t="s">
        <v>8673</v>
      </c>
      <c r="I2214" t="s">
        <v>12870</v>
      </c>
      <c r="J2214" t="s">
        <v>7686</v>
      </c>
    </row>
    <row r="2215" spans="1:10" x14ac:dyDescent="0.25">
      <c r="A2215" t="s">
        <v>12878</v>
      </c>
      <c r="B2215">
        <v>10</v>
      </c>
      <c r="C2215" t="s">
        <v>12879</v>
      </c>
      <c r="D2215" t="s">
        <v>8057</v>
      </c>
      <c r="E2215" t="s">
        <v>12860</v>
      </c>
      <c r="F2215" t="s">
        <v>7672</v>
      </c>
      <c r="G2215" t="s">
        <v>12861</v>
      </c>
      <c r="H2215" t="s">
        <v>8673</v>
      </c>
      <c r="I2215" t="s">
        <v>12862</v>
      </c>
      <c r="J2215" t="s">
        <v>7686</v>
      </c>
    </row>
    <row r="2216" spans="1:10" x14ac:dyDescent="0.25">
      <c r="A2216" t="s">
        <v>12880</v>
      </c>
      <c r="B2216">
        <v>10</v>
      </c>
      <c r="C2216" t="s">
        <v>12881</v>
      </c>
      <c r="D2216" t="s">
        <v>1847</v>
      </c>
      <c r="E2216" t="s">
        <v>12860</v>
      </c>
      <c r="F2216" t="s">
        <v>7672</v>
      </c>
      <c r="G2216" t="s">
        <v>12861</v>
      </c>
      <c r="H2216" t="s">
        <v>8673</v>
      </c>
      <c r="I2216" t="s">
        <v>12867</v>
      </c>
      <c r="J2216" t="s">
        <v>7703</v>
      </c>
    </row>
    <row r="2217" spans="1:10" x14ac:dyDescent="0.25">
      <c r="A2217" t="s">
        <v>12882</v>
      </c>
      <c r="B2217">
        <v>10</v>
      </c>
      <c r="C2217" t="s">
        <v>12883</v>
      </c>
      <c r="D2217" t="s">
        <v>4218</v>
      </c>
      <c r="E2217" t="s">
        <v>12860</v>
      </c>
      <c r="F2217" t="s">
        <v>7672</v>
      </c>
      <c r="G2217" t="s">
        <v>12861</v>
      </c>
      <c r="H2217" t="s">
        <v>8673</v>
      </c>
      <c r="I2217" t="s">
        <v>12862</v>
      </c>
      <c r="J2217" t="s">
        <v>7703</v>
      </c>
    </row>
    <row r="2218" spans="1:10" x14ac:dyDescent="0.25">
      <c r="A2218" t="s">
        <v>12884</v>
      </c>
      <c r="B2218">
        <v>10</v>
      </c>
      <c r="C2218" t="s">
        <v>12885</v>
      </c>
      <c r="D2218" t="s">
        <v>1893</v>
      </c>
      <c r="E2218" t="s">
        <v>12860</v>
      </c>
      <c r="F2218" t="s">
        <v>7672</v>
      </c>
      <c r="G2218" t="s">
        <v>12861</v>
      </c>
      <c r="H2218" t="s">
        <v>8673</v>
      </c>
      <c r="I2218" t="s">
        <v>12870</v>
      </c>
      <c r="J2218" t="s">
        <v>7703</v>
      </c>
    </row>
    <row r="2219" spans="1:10" x14ac:dyDescent="0.25">
      <c r="A2219" t="s">
        <v>12886</v>
      </c>
      <c r="B2219">
        <v>10</v>
      </c>
      <c r="C2219" t="s">
        <v>12887</v>
      </c>
      <c r="D2219" t="s">
        <v>11398</v>
      </c>
      <c r="E2219" t="s">
        <v>12860</v>
      </c>
      <c r="F2219" t="s">
        <v>7672</v>
      </c>
      <c r="G2219" t="s">
        <v>12861</v>
      </c>
      <c r="H2219" t="s">
        <v>8673</v>
      </c>
      <c r="I2219" t="s">
        <v>8158</v>
      </c>
      <c r="J2219" t="s">
        <v>7703</v>
      </c>
    </row>
    <row r="2220" spans="1:10" x14ac:dyDescent="0.25">
      <c r="A2220" t="s">
        <v>12888</v>
      </c>
      <c r="B2220">
        <v>10</v>
      </c>
      <c r="C2220" t="s">
        <v>12889</v>
      </c>
      <c r="D2220" t="s">
        <v>7057</v>
      </c>
      <c r="E2220" t="s">
        <v>12860</v>
      </c>
      <c r="F2220" t="s">
        <v>7672</v>
      </c>
      <c r="G2220" t="s">
        <v>12861</v>
      </c>
      <c r="H2220" t="s">
        <v>8673</v>
      </c>
      <c r="I2220" t="s">
        <v>12867</v>
      </c>
      <c r="J2220" t="s">
        <v>7713</v>
      </c>
    </row>
    <row r="2221" spans="1:10" x14ac:dyDescent="0.25">
      <c r="A2221" t="s">
        <v>12890</v>
      </c>
      <c r="B2221">
        <v>10</v>
      </c>
      <c r="C2221" t="s">
        <v>12891</v>
      </c>
      <c r="D2221" t="s">
        <v>12286</v>
      </c>
      <c r="E2221" t="s">
        <v>12860</v>
      </c>
      <c r="F2221" t="s">
        <v>7672</v>
      </c>
      <c r="G2221" t="s">
        <v>12861</v>
      </c>
      <c r="H2221" t="s">
        <v>8673</v>
      </c>
      <c r="I2221" t="s">
        <v>12862</v>
      </c>
      <c r="J2221" t="s">
        <v>7713</v>
      </c>
    </row>
    <row r="2222" spans="1:10" x14ac:dyDescent="0.25">
      <c r="A2222" t="s">
        <v>12892</v>
      </c>
      <c r="B2222">
        <v>10</v>
      </c>
      <c r="C2222" t="s">
        <v>12893</v>
      </c>
      <c r="D2222" t="s">
        <v>5565</v>
      </c>
      <c r="E2222" t="s">
        <v>12860</v>
      </c>
      <c r="F2222" t="s">
        <v>7672</v>
      </c>
      <c r="G2222" t="s">
        <v>12861</v>
      </c>
      <c r="H2222" t="s">
        <v>8673</v>
      </c>
      <c r="I2222" t="s">
        <v>12870</v>
      </c>
      <c r="J2222" t="s">
        <v>7713</v>
      </c>
    </row>
    <row r="2223" spans="1:10" x14ac:dyDescent="0.25">
      <c r="A2223" t="s">
        <v>12894</v>
      </c>
      <c r="B2223">
        <v>10</v>
      </c>
      <c r="C2223" t="s">
        <v>12895</v>
      </c>
      <c r="D2223" t="s">
        <v>12896</v>
      </c>
      <c r="E2223" t="s">
        <v>12860</v>
      </c>
      <c r="F2223" t="s">
        <v>7672</v>
      </c>
      <c r="G2223" t="s">
        <v>12861</v>
      </c>
      <c r="H2223" t="s">
        <v>8673</v>
      </c>
      <c r="I2223" t="s">
        <v>8158</v>
      </c>
      <c r="J2223" t="s">
        <v>7713</v>
      </c>
    </row>
    <row r="2224" spans="1:10" x14ac:dyDescent="0.25">
      <c r="A2224" t="s">
        <v>12897</v>
      </c>
      <c r="B2224">
        <v>10</v>
      </c>
      <c r="C2224" t="s">
        <v>12898</v>
      </c>
      <c r="D2224" t="s">
        <v>8786</v>
      </c>
      <c r="E2224" t="s">
        <v>12860</v>
      </c>
      <c r="F2224" t="s">
        <v>7672</v>
      </c>
      <c r="G2224" t="s">
        <v>12861</v>
      </c>
      <c r="H2224" t="s">
        <v>8673</v>
      </c>
      <c r="I2224" t="s">
        <v>12870</v>
      </c>
      <c r="J2224" t="s">
        <v>7719</v>
      </c>
    </row>
    <row r="2225" spans="1:10" x14ac:dyDescent="0.25">
      <c r="A2225" t="s">
        <v>12899</v>
      </c>
      <c r="B2225">
        <v>10</v>
      </c>
      <c r="C2225" t="s">
        <v>12900</v>
      </c>
      <c r="D2225" t="s">
        <v>12901</v>
      </c>
      <c r="E2225" t="s">
        <v>12860</v>
      </c>
      <c r="F2225" t="s">
        <v>7672</v>
      </c>
      <c r="G2225" t="s">
        <v>12861</v>
      </c>
      <c r="H2225" t="s">
        <v>8673</v>
      </c>
      <c r="I2225" t="s">
        <v>8158</v>
      </c>
      <c r="J2225" t="s">
        <v>7719</v>
      </c>
    </row>
    <row r="2226" spans="1:10" x14ac:dyDescent="0.25">
      <c r="A2226" t="s">
        <v>12902</v>
      </c>
      <c r="B2226">
        <v>10</v>
      </c>
      <c r="C2226" t="s">
        <v>12903</v>
      </c>
      <c r="D2226" t="s">
        <v>10608</v>
      </c>
      <c r="E2226" t="s">
        <v>12860</v>
      </c>
      <c r="F2226" t="s">
        <v>7672</v>
      </c>
      <c r="G2226" t="s">
        <v>12861</v>
      </c>
      <c r="H2226" t="s">
        <v>8673</v>
      </c>
      <c r="I2226" t="s">
        <v>12862</v>
      </c>
      <c r="J2226" t="s">
        <v>7719</v>
      </c>
    </row>
    <row r="2227" spans="1:10" x14ac:dyDescent="0.25">
      <c r="A2227" t="s">
        <v>12904</v>
      </c>
      <c r="B2227">
        <v>10</v>
      </c>
      <c r="C2227" t="s">
        <v>12905</v>
      </c>
      <c r="D2227" t="s">
        <v>986</v>
      </c>
      <c r="E2227" t="s">
        <v>12860</v>
      </c>
      <c r="F2227" t="s">
        <v>7672</v>
      </c>
      <c r="G2227" t="s">
        <v>12861</v>
      </c>
      <c r="H2227" t="s">
        <v>8673</v>
      </c>
      <c r="I2227" t="s">
        <v>12867</v>
      </c>
      <c r="J2227" t="s">
        <v>7719</v>
      </c>
    </row>
    <row r="2228" spans="1:10" x14ac:dyDescent="0.25">
      <c r="A2228" t="s">
        <v>12906</v>
      </c>
      <c r="B2228">
        <v>25.2</v>
      </c>
      <c r="C2228" t="s">
        <v>12907</v>
      </c>
      <c r="D2228" t="s">
        <v>53</v>
      </c>
      <c r="E2228" t="s">
        <v>12908</v>
      </c>
      <c r="F2228" t="s">
        <v>7672</v>
      </c>
      <c r="G2228" t="s">
        <v>12909</v>
      </c>
      <c r="H2228" t="s">
        <v>7947</v>
      </c>
      <c r="I2228" t="s">
        <v>12910</v>
      </c>
      <c r="J2228" t="s">
        <v>330</v>
      </c>
    </row>
    <row r="2229" spans="1:10" x14ac:dyDescent="0.25">
      <c r="A2229" t="s">
        <v>12911</v>
      </c>
      <c r="B2229">
        <v>16.8</v>
      </c>
      <c r="C2229" t="s">
        <v>12912</v>
      </c>
      <c r="D2229" t="s">
        <v>576</v>
      </c>
      <c r="E2229" t="s">
        <v>12913</v>
      </c>
      <c r="F2229" t="s">
        <v>7672</v>
      </c>
      <c r="G2229" t="s">
        <v>12914</v>
      </c>
      <c r="H2229" t="s">
        <v>7954</v>
      </c>
      <c r="I2229" t="s">
        <v>1406</v>
      </c>
      <c r="J2229" t="s">
        <v>7675</v>
      </c>
    </row>
    <row r="2230" spans="1:10" x14ac:dyDescent="0.25">
      <c r="A2230" t="s">
        <v>12915</v>
      </c>
      <c r="B2230">
        <v>16.8</v>
      </c>
      <c r="C2230" t="s">
        <v>12916</v>
      </c>
      <c r="D2230" t="s">
        <v>366</v>
      </c>
      <c r="E2230" t="s">
        <v>12913</v>
      </c>
      <c r="F2230" t="s">
        <v>7672</v>
      </c>
      <c r="G2230" t="s">
        <v>12914</v>
      </c>
      <c r="H2230" t="s">
        <v>7954</v>
      </c>
      <c r="I2230" t="s">
        <v>856</v>
      </c>
      <c r="J2230" t="s">
        <v>7675</v>
      </c>
    </row>
    <row r="2231" spans="1:10" x14ac:dyDescent="0.25">
      <c r="A2231" t="s">
        <v>12917</v>
      </c>
      <c r="B2231">
        <v>16.8</v>
      </c>
      <c r="C2231" t="s">
        <v>12918</v>
      </c>
      <c r="D2231" t="s">
        <v>2253</v>
      </c>
      <c r="E2231" t="s">
        <v>12913</v>
      </c>
      <c r="F2231" t="s">
        <v>7672</v>
      </c>
      <c r="G2231" t="s">
        <v>12914</v>
      </c>
      <c r="H2231" t="s">
        <v>7954</v>
      </c>
      <c r="I2231" t="s">
        <v>856</v>
      </c>
      <c r="J2231" t="s">
        <v>7686</v>
      </c>
    </row>
    <row r="2232" spans="1:10" x14ac:dyDescent="0.25">
      <c r="A2232" t="s">
        <v>12919</v>
      </c>
      <c r="B2232">
        <v>16.8</v>
      </c>
      <c r="C2232" t="s">
        <v>12920</v>
      </c>
      <c r="D2232" t="s">
        <v>2198</v>
      </c>
      <c r="E2232" t="s">
        <v>12913</v>
      </c>
      <c r="F2232" t="s">
        <v>7672</v>
      </c>
      <c r="G2232" t="s">
        <v>12914</v>
      </c>
      <c r="H2232" t="s">
        <v>7954</v>
      </c>
      <c r="I2232" t="s">
        <v>856</v>
      </c>
      <c r="J2232" t="s">
        <v>7703</v>
      </c>
    </row>
    <row r="2233" spans="1:10" x14ac:dyDescent="0.25">
      <c r="A2233" t="s">
        <v>12921</v>
      </c>
      <c r="B2233">
        <v>16.8</v>
      </c>
      <c r="C2233" t="s">
        <v>12922</v>
      </c>
      <c r="D2233" t="s">
        <v>1134</v>
      </c>
      <c r="E2233" t="s">
        <v>12913</v>
      </c>
      <c r="F2233" t="s">
        <v>7672</v>
      </c>
      <c r="G2233" t="s">
        <v>12914</v>
      </c>
      <c r="H2233" t="s">
        <v>7954</v>
      </c>
      <c r="I2233" t="s">
        <v>856</v>
      </c>
      <c r="J2233" t="s">
        <v>7713</v>
      </c>
    </row>
    <row r="2234" spans="1:10" x14ac:dyDescent="0.25">
      <c r="A2234" t="s">
        <v>12923</v>
      </c>
      <c r="B2234">
        <v>16.8</v>
      </c>
      <c r="C2234" t="s">
        <v>12924</v>
      </c>
      <c r="D2234" t="s">
        <v>359</v>
      </c>
      <c r="E2234" t="s">
        <v>12913</v>
      </c>
      <c r="F2234" t="s">
        <v>7672</v>
      </c>
      <c r="G2234" t="s">
        <v>12914</v>
      </c>
      <c r="H2234" t="s">
        <v>7954</v>
      </c>
      <c r="I2234" t="s">
        <v>856</v>
      </c>
      <c r="J2234" t="s">
        <v>7719</v>
      </c>
    </row>
    <row r="2235" spans="1:10" x14ac:dyDescent="0.25">
      <c r="A2235" t="s">
        <v>12925</v>
      </c>
      <c r="B2235">
        <v>13.992000000000001</v>
      </c>
      <c r="C2235" t="s">
        <v>12926</v>
      </c>
      <c r="D2235" t="s">
        <v>95</v>
      </c>
      <c r="E2235" t="s">
        <v>12927</v>
      </c>
      <c r="F2235" t="s">
        <v>7672</v>
      </c>
      <c r="G2235" t="s">
        <v>12928</v>
      </c>
      <c r="H2235" t="s">
        <v>11598</v>
      </c>
      <c r="I2235" t="s">
        <v>76</v>
      </c>
      <c r="J2235" t="s">
        <v>7942</v>
      </c>
    </row>
    <row r="2236" spans="1:10" x14ac:dyDescent="0.25">
      <c r="A2236" t="s">
        <v>12929</v>
      </c>
      <c r="B2236">
        <v>13.992000000000001</v>
      </c>
      <c r="C2236" t="s">
        <v>12930</v>
      </c>
      <c r="D2236" t="s">
        <v>359</v>
      </c>
      <c r="E2236" t="s">
        <v>12927</v>
      </c>
      <c r="F2236" t="s">
        <v>7672</v>
      </c>
      <c r="G2236" t="s">
        <v>12928</v>
      </c>
      <c r="H2236" t="s">
        <v>11598</v>
      </c>
      <c r="I2236" t="s">
        <v>76</v>
      </c>
      <c r="J2236" t="s">
        <v>7981</v>
      </c>
    </row>
    <row r="2237" spans="1:10" x14ac:dyDescent="0.25">
      <c r="A2237" t="s">
        <v>12931</v>
      </c>
      <c r="B2237">
        <v>13.992000000000001</v>
      </c>
      <c r="C2237" t="s">
        <v>12932</v>
      </c>
      <c r="D2237" t="s">
        <v>436</v>
      </c>
      <c r="E2237" t="s">
        <v>12927</v>
      </c>
      <c r="F2237" t="s">
        <v>7672</v>
      </c>
      <c r="G2237" t="s">
        <v>12928</v>
      </c>
      <c r="H2237" t="s">
        <v>11598</v>
      </c>
      <c r="I2237" t="s">
        <v>12933</v>
      </c>
      <c r="J2237" t="s">
        <v>7981</v>
      </c>
    </row>
    <row r="2238" spans="1:10" x14ac:dyDescent="0.25">
      <c r="A2238" t="s">
        <v>12934</v>
      </c>
      <c r="B2238">
        <v>13.992000000000001</v>
      </c>
      <c r="C2238" t="s">
        <v>12935</v>
      </c>
      <c r="D2238" t="s">
        <v>330</v>
      </c>
      <c r="E2238" t="s">
        <v>12927</v>
      </c>
      <c r="F2238" t="s">
        <v>7672</v>
      </c>
      <c r="G2238" t="s">
        <v>12928</v>
      </c>
      <c r="H2238" t="s">
        <v>11598</v>
      </c>
      <c r="I2238" t="s">
        <v>76</v>
      </c>
      <c r="J2238" t="s">
        <v>7984</v>
      </c>
    </row>
    <row r="2239" spans="1:10" x14ac:dyDescent="0.25">
      <c r="A2239" t="s">
        <v>12936</v>
      </c>
      <c r="B2239">
        <v>13.992000000000001</v>
      </c>
      <c r="C2239" t="s">
        <v>12937</v>
      </c>
      <c r="D2239" t="s">
        <v>301</v>
      </c>
      <c r="E2239" t="s">
        <v>12927</v>
      </c>
      <c r="F2239" t="s">
        <v>7672</v>
      </c>
      <c r="G2239" t="s">
        <v>12928</v>
      </c>
      <c r="H2239" t="s">
        <v>11598</v>
      </c>
      <c r="I2239" t="s">
        <v>12933</v>
      </c>
      <c r="J2239" t="s">
        <v>7984</v>
      </c>
    </row>
    <row r="2240" spans="1:10" x14ac:dyDescent="0.25">
      <c r="A2240" t="s">
        <v>12938</v>
      </c>
      <c r="B2240">
        <v>13.992000000000001</v>
      </c>
      <c r="C2240" t="s">
        <v>12939</v>
      </c>
      <c r="D2240" t="s">
        <v>436</v>
      </c>
      <c r="E2240" t="s">
        <v>12927</v>
      </c>
      <c r="F2240" t="s">
        <v>7672</v>
      </c>
      <c r="G2240" t="s">
        <v>12928</v>
      </c>
      <c r="H2240" t="s">
        <v>11598</v>
      </c>
      <c r="I2240" t="s">
        <v>12933</v>
      </c>
      <c r="J2240" t="s">
        <v>7987</v>
      </c>
    </row>
    <row r="2241" spans="1:10" x14ac:dyDescent="0.25">
      <c r="A2241" t="s">
        <v>12940</v>
      </c>
      <c r="B2241">
        <v>13.992000000000001</v>
      </c>
      <c r="C2241" t="s">
        <v>12941</v>
      </c>
      <c r="D2241" t="s">
        <v>849</v>
      </c>
      <c r="E2241" t="s">
        <v>12927</v>
      </c>
      <c r="F2241" t="s">
        <v>7672</v>
      </c>
      <c r="G2241" t="s">
        <v>12928</v>
      </c>
      <c r="H2241" t="s">
        <v>11598</v>
      </c>
      <c r="I2241" t="s">
        <v>12933</v>
      </c>
      <c r="J2241" t="s">
        <v>8001</v>
      </c>
    </row>
    <row r="2242" spans="1:10" x14ac:dyDescent="0.25">
      <c r="A2242" t="s">
        <v>12942</v>
      </c>
      <c r="B2242">
        <v>13.992000000000001</v>
      </c>
      <c r="C2242" t="s">
        <v>12943</v>
      </c>
      <c r="D2242" t="s">
        <v>286</v>
      </c>
      <c r="E2242" t="s">
        <v>12927</v>
      </c>
      <c r="F2242" t="s">
        <v>7672</v>
      </c>
      <c r="G2242" t="s">
        <v>12928</v>
      </c>
      <c r="H2242" t="s">
        <v>11598</v>
      </c>
      <c r="I2242" t="s">
        <v>12933</v>
      </c>
      <c r="J2242" t="s">
        <v>8013</v>
      </c>
    </row>
    <row r="2243" spans="1:10" x14ac:dyDescent="0.25">
      <c r="A2243" t="s">
        <v>12944</v>
      </c>
      <c r="B2243">
        <v>5.9920000000000009</v>
      </c>
      <c r="C2243" t="s">
        <v>12945</v>
      </c>
      <c r="D2243" t="s">
        <v>8786</v>
      </c>
      <c r="E2243" t="s">
        <v>12946</v>
      </c>
      <c r="F2243" t="s">
        <v>7672</v>
      </c>
      <c r="G2243" t="s">
        <v>12947</v>
      </c>
      <c r="H2243" t="s">
        <v>8027</v>
      </c>
      <c r="I2243" t="s">
        <v>7948</v>
      </c>
      <c r="J2243" t="s">
        <v>8891</v>
      </c>
    </row>
    <row r="2244" spans="1:10" x14ac:dyDescent="0.25">
      <c r="A2244" t="s">
        <v>12948</v>
      </c>
      <c r="B2244">
        <v>5.9920000000000009</v>
      </c>
      <c r="C2244" t="s">
        <v>12949</v>
      </c>
      <c r="D2244" t="s">
        <v>639</v>
      </c>
      <c r="E2244" t="s">
        <v>12946</v>
      </c>
      <c r="F2244" t="s">
        <v>7672</v>
      </c>
      <c r="G2244" t="s">
        <v>12947</v>
      </c>
      <c r="H2244" t="s">
        <v>8027</v>
      </c>
      <c r="I2244" t="s">
        <v>8158</v>
      </c>
      <c r="J2244" t="s">
        <v>8891</v>
      </c>
    </row>
    <row r="2245" spans="1:10" x14ac:dyDescent="0.25">
      <c r="A2245" t="s">
        <v>12950</v>
      </c>
      <c r="B2245">
        <v>5.9920000000000009</v>
      </c>
      <c r="C2245" t="s">
        <v>12951</v>
      </c>
      <c r="D2245" t="s">
        <v>12952</v>
      </c>
      <c r="E2245" t="s">
        <v>12946</v>
      </c>
      <c r="F2245" t="s">
        <v>7672</v>
      </c>
      <c r="G2245" t="s">
        <v>12947</v>
      </c>
      <c r="H2245" t="s">
        <v>8027</v>
      </c>
      <c r="I2245" t="s">
        <v>7948</v>
      </c>
      <c r="J2245" t="s">
        <v>9405</v>
      </c>
    </row>
    <row r="2246" spans="1:10" x14ac:dyDescent="0.25">
      <c r="A2246" t="s">
        <v>12953</v>
      </c>
      <c r="B2246">
        <v>5.9920000000000009</v>
      </c>
      <c r="C2246" t="s">
        <v>12954</v>
      </c>
      <c r="D2246" t="s">
        <v>12955</v>
      </c>
      <c r="E2246" t="s">
        <v>12946</v>
      </c>
      <c r="F2246" t="s">
        <v>7672</v>
      </c>
      <c r="G2246" t="s">
        <v>12947</v>
      </c>
      <c r="H2246" t="s">
        <v>8027</v>
      </c>
      <c r="I2246" t="s">
        <v>8158</v>
      </c>
      <c r="J2246" t="s">
        <v>9405</v>
      </c>
    </row>
    <row r="2247" spans="1:10" x14ac:dyDescent="0.25">
      <c r="A2247" t="s">
        <v>12956</v>
      </c>
      <c r="B2247">
        <v>8.64</v>
      </c>
      <c r="C2247" t="s">
        <v>12957</v>
      </c>
      <c r="D2247" t="s">
        <v>7850</v>
      </c>
      <c r="E2247" t="s">
        <v>12958</v>
      </c>
      <c r="F2247" t="s">
        <v>7672</v>
      </c>
      <c r="G2247" t="s">
        <v>12959</v>
      </c>
      <c r="H2247" t="s">
        <v>12960</v>
      </c>
      <c r="I2247" t="s">
        <v>3493</v>
      </c>
      <c r="J2247" t="s">
        <v>12961</v>
      </c>
    </row>
    <row r="2248" spans="1:10" x14ac:dyDescent="0.25">
      <c r="A2248" t="s">
        <v>12962</v>
      </c>
      <c r="B2248">
        <v>8.64</v>
      </c>
      <c r="C2248" t="s">
        <v>12963</v>
      </c>
      <c r="D2248" t="s">
        <v>12964</v>
      </c>
      <c r="E2248" t="s">
        <v>12958</v>
      </c>
      <c r="F2248" t="s">
        <v>7672</v>
      </c>
      <c r="G2248" t="s">
        <v>12959</v>
      </c>
      <c r="H2248" t="s">
        <v>12960</v>
      </c>
      <c r="I2248" t="s">
        <v>3493</v>
      </c>
      <c r="J2248" t="s">
        <v>12965</v>
      </c>
    </row>
    <row r="2249" spans="1:10" x14ac:dyDescent="0.25">
      <c r="A2249" t="s">
        <v>12966</v>
      </c>
      <c r="B2249">
        <v>8.64</v>
      </c>
      <c r="C2249" t="s">
        <v>12967</v>
      </c>
      <c r="D2249" t="s">
        <v>7699</v>
      </c>
      <c r="E2249" t="s">
        <v>12958</v>
      </c>
      <c r="F2249" t="s">
        <v>7672</v>
      </c>
      <c r="G2249" t="s">
        <v>12959</v>
      </c>
      <c r="H2249" t="s">
        <v>12960</v>
      </c>
      <c r="I2249" t="s">
        <v>76</v>
      </c>
      <c r="J2249" t="s">
        <v>12968</v>
      </c>
    </row>
    <row r="2250" spans="1:10" x14ac:dyDescent="0.25">
      <c r="A2250" t="s">
        <v>12969</v>
      </c>
      <c r="B2250">
        <v>8.64</v>
      </c>
      <c r="C2250" t="s">
        <v>12970</v>
      </c>
      <c r="D2250" t="s">
        <v>654</v>
      </c>
      <c r="E2250" t="s">
        <v>12958</v>
      </c>
      <c r="F2250" t="s">
        <v>7672</v>
      </c>
      <c r="G2250" t="s">
        <v>12959</v>
      </c>
      <c r="H2250" t="s">
        <v>12960</v>
      </c>
      <c r="I2250" t="s">
        <v>3493</v>
      </c>
      <c r="J2250" t="s">
        <v>12968</v>
      </c>
    </row>
    <row r="2251" spans="1:10" x14ac:dyDescent="0.25">
      <c r="A2251" t="s">
        <v>12971</v>
      </c>
      <c r="B2251">
        <v>8.64</v>
      </c>
      <c r="C2251" t="s">
        <v>12972</v>
      </c>
      <c r="D2251" t="s">
        <v>8450</v>
      </c>
      <c r="E2251" t="s">
        <v>12958</v>
      </c>
      <c r="F2251" t="s">
        <v>7672</v>
      </c>
      <c r="G2251" t="s">
        <v>12959</v>
      </c>
      <c r="H2251" t="s">
        <v>12960</v>
      </c>
      <c r="I2251" t="s">
        <v>3493</v>
      </c>
      <c r="J2251" t="s">
        <v>12973</v>
      </c>
    </row>
    <row r="2252" spans="1:10" x14ac:dyDescent="0.25">
      <c r="A2252" t="s">
        <v>12974</v>
      </c>
      <c r="B2252">
        <v>13.992000000000001</v>
      </c>
      <c r="C2252" t="s">
        <v>12975</v>
      </c>
      <c r="D2252" t="s">
        <v>164</v>
      </c>
      <c r="E2252" t="s">
        <v>12976</v>
      </c>
      <c r="F2252" t="s">
        <v>7672</v>
      </c>
      <c r="G2252" t="s">
        <v>12977</v>
      </c>
      <c r="H2252" t="s">
        <v>11598</v>
      </c>
      <c r="I2252" t="s">
        <v>12978</v>
      </c>
      <c r="J2252" t="s">
        <v>12979</v>
      </c>
    </row>
    <row r="2253" spans="1:10" x14ac:dyDescent="0.25">
      <c r="A2253" t="s">
        <v>12980</v>
      </c>
      <c r="B2253">
        <v>13.992000000000001</v>
      </c>
      <c r="C2253" t="s">
        <v>12981</v>
      </c>
      <c r="D2253" t="s">
        <v>250</v>
      </c>
      <c r="E2253" t="s">
        <v>12976</v>
      </c>
      <c r="F2253" t="s">
        <v>7672</v>
      </c>
      <c r="G2253" t="s">
        <v>12977</v>
      </c>
      <c r="H2253" t="s">
        <v>11598</v>
      </c>
      <c r="I2253" t="s">
        <v>12978</v>
      </c>
      <c r="J2253" t="s">
        <v>12982</v>
      </c>
    </row>
    <row r="2254" spans="1:10" x14ac:dyDescent="0.25">
      <c r="A2254" t="s">
        <v>12983</v>
      </c>
      <c r="B2254">
        <v>13.992000000000001</v>
      </c>
      <c r="C2254" t="s">
        <v>12984</v>
      </c>
      <c r="D2254" t="s">
        <v>245</v>
      </c>
      <c r="E2254" t="s">
        <v>12976</v>
      </c>
      <c r="F2254" t="s">
        <v>7672</v>
      </c>
      <c r="G2254" t="s">
        <v>12977</v>
      </c>
      <c r="H2254" t="s">
        <v>11598</v>
      </c>
      <c r="I2254" t="s">
        <v>12978</v>
      </c>
      <c r="J2254" t="s">
        <v>12985</v>
      </c>
    </row>
    <row r="2255" spans="1:10" x14ac:dyDescent="0.25">
      <c r="A2255" t="s">
        <v>12986</v>
      </c>
      <c r="B2255">
        <v>13.992000000000001</v>
      </c>
      <c r="C2255" t="s">
        <v>12987</v>
      </c>
      <c r="D2255" t="s">
        <v>359</v>
      </c>
      <c r="E2255" t="s">
        <v>12976</v>
      </c>
      <c r="F2255" t="s">
        <v>7672</v>
      </c>
      <c r="G2255" t="s">
        <v>12977</v>
      </c>
      <c r="H2255" t="s">
        <v>11598</v>
      </c>
      <c r="I2255" t="s">
        <v>12978</v>
      </c>
      <c r="J2255" t="s">
        <v>12988</v>
      </c>
    </row>
    <row r="2256" spans="1:10" x14ac:dyDescent="0.25">
      <c r="A2256" t="s">
        <v>12989</v>
      </c>
      <c r="B2256">
        <v>13.992000000000001</v>
      </c>
      <c r="C2256" t="s">
        <v>12990</v>
      </c>
      <c r="D2256" t="s">
        <v>240</v>
      </c>
      <c r="E2256" t="s">
        <v>12976</v>
      </c>
      <c r="F2256" t="s">
        <v>7672</v>
      </c>
      <c r="G2256" t="s">
        <v>12977</v>
      </c>
      <c r="H2256" t="s">
        <v>11598</v>
      </c>
      <c r="I2256" t="s">
        <v>12978</v>
      </c>
      <c r="J2256" t="s">
        <v>12991</v>
      </c>
    </row>
    <row r="2257" spans="1:10" x14ac:dyDescent="0.25">
      <c r="A2257" t="s">
        <v>12992</v>
      </c>
      <c r="B2257">
        <v>13.992000000000001</v>
      </c>
      <c r="C2257" t="s">
        <v>12993</v>
      </c>
      <c r="D2257" t="s">
        <v>277</v>
      </c>
      <c r="E2257" t="s">
        <v>12976</v>
      </c>
      <c r="F2257" t="s">
        <v>7672</v>
      </c>
      <c r="G2257" t="s">
        <v>12977</v>
      </c>
      <c r="H2257" t="s">
        <v>11598</v>
      </c>
      <c r="I2257" t="s">
        <v>12978</v>
      </c>
      <c r="J2257" t="s">
        <v>12994</v>
      </c>
    </row>
    <row r="2258" spans="1:10" x14ac:dyDescent="0.25">
      <c r="A2258" t="s">
        <v>12995</v>
      </c>
      <c r="B2258">
        <v>13.992000000000001</v>
      </c>
      <c r="C2258" t="s">
        <v>12996</v>
      </c>
      <c r="D2258" t="s">
        <v>131</v>
      </c>
      <c r="E2258" t="s">
        <v>12976</v>
      </c>
      <c r="F2258" t="s">
        <v>7672</v>
      </c>
      <c r="G2258" t="s">
        <v>12977</v>
      </c>
      <c r="H2258" t="s">
        <v>11598</v>
      </c>
      <c r="I2258" t="s">
        <v>12978</v>
      </c>
      <c r="J2258" t="s">
        <v>12514</v>
      </c>
    </row>
    <row r="2259" spans="1:10" x14ac:dyDescent="0.25">
      <c r="A2259" t="s">
        <v>12997</v>
      </c>
      <c r="B2259">
        <v>13.992000000000001</v>
      </c>
      <c r="C2259" t="s">
        <v>12998</v>
      </c>
      <c r="D2259" t="s">
        <v>100</v>
      </c>
      <c r="E2259" t="s">
        <v>12976</v>
      </c>
      <c r="F2259" t="s">
        <v>7672</v>
      </c>
      <c r="G2259" t="s">
        <v>12977</v>
      </c>
      <c r="H2259" t="s">
        <v>11598</v>
      </c>
      <c r="I2259" t="s">
        <v>12978</v>
      </c>
      <c r="J2259" t="s">
        <v>12999</v>
      </c>
    </row>
    <row r="2260" spans="1:10" x14ac:dyDescent="0.25">
      <c r="A2260" t="s">
        <v>13000</v>
      </c>
      <c r="B2260">
        <v>13.992000000000001</v>
      </c>
      <c r="C2260" t="s">
        <v>13001</v>
      </c>
      <c r="D2260" t="s">
        <v>352</v>
      </c>
      <c r="E2260" t="s">
        <v>12976</v>
      </c>
      <c r="F2260" t="s">
        <v>7672</v>
      </c>
      <c r="G2260" t="s">
        <v>12977</v>
      </c>
      <c r="H2260" t="s">
        <v>11598</v>
      </c>
      <c r="I2260" t="s">
        <v>12978</v>
      </c>
      <c r="J2260" t="s">
        <v>13002</v>
      </c>
    </row>
    <row r="2261" spans="1:10" x14ac:dyDescent="0.25">
      <c r="A2261" t="s">
        <v>13003</v>
      </c>
      <c r="B2261">
        <v>13.992000000000001</v>
      </c>
      <c r="C2261" t="s">
        <v>13004</v>
      </c>
      <c r="D2261" t="s">
        <v>118</v>
      </c>
      <c r="E2261" t="s">
        <v>12976</v>
      </c>
      <c r="F2261" t="s">
        <v>7672</v>
      </c>
      <c r="G2261" t="s">
        <v>12977</v>
      </c>
      <c r="H2261" t="s">
        <v>11598</v>
      </c>
      <c r="I2261" t="s">
        <v>12978</v>
      </c>
      <c r="J2261" t="s">
        <v>13005</v>
      </c>
    </row>
    <row r="2262" spans="1:10" x14ac:dyDescent="0.25">
      <c r="A2262" t="s">
        <v>13006</v>
      </c>
      <c r="B2262">
        <v>13.992000000000001</v>
      </c>
      <c r="C2262" t="s">
        <v>13007</v>
      </c>
      <c r="D2262" t="s">
        <v>1134</v>
      </c>
      <c r="E2262" t="s">
        <v>12976</v>
      </c>
      <c r="F2262" t="s">
        <v>7672</v>
      </c>
      <c r="G2262" t="s">
        <v>12977</v>
      </c>
      <c r="H2262" t="s">
        <v>11598</v>
      </c>
      <c r="I2262" t="s">
        <v>12978</v>
      </c>
      <c r="J2262" t="s">
        <v>13008</v>
      </c>
    </row>
    <row r="2263" spans="1:10" x14ac:dyDescent="0.25">
      <c r="A2263" t="s">
        <v>13009</v>
      </c>
      <c r="B2263">
        <v>13.992000000000001</v>
      </c>
      <c r="C2263" t="s">
        <v>13010</v>
      </c>
      <c r="D2263" t="s">
        <v>1536</v>
      </c>
      <c r="E2263" t="s">
        <v>12976</v>
      </c>
      <c r="F2263" t="s">
        <v>7672</v>
      </c>
      <c r="G2263" t="s">
        <v>12977</v>
      </c>
      <c r="H2263" t="s">
        <v>11598</v>
      </c>
      <c r="I2263" t="s">
        <v>12978</v>
      </c>
      <c r="J2263" t="s">
        <v>13011</v>
      </c>
    </row>
    <row r="2264" spans="1:10" x14ac:dyDescent="0.25">
      <c r="A2264" t="s">
        <v>13012</v>
      </c>
      <c r="B2264">
        <v>13.992000000000001</v>
      </c>
      <c r="C2264" t="s">
        <v>13013</v>
      </c>
      <c r="D2264" t="s">
        <v>240</v>
      </c>
      <c r="E2264" t="s">
        <v>12976</v>
      </c>
      <c r="F2264" t="s">
        <v>7672</v>
      </c>
      <c r="G2264" t="s">
        <v>12977</v>
      </c>
      <c r="H2264" t="s">
        <v>11598</v>
      </c>
      <c r="I2264" t="s">
        <v>12978</v>
      </c>
      <c r="J2264" t="s">
        <v>13014</v>
      </c>
    </row>
    <row r="2265" spans="1:10" x14ac:dyDescent="0.25">
      <c r="A2265" t="s">
        <v>13015</v>
      </c>
      <c r="B2265">
        <v>13.992000000000001</v>
      </c>
      <c r="C2265" t="s">
        <v>13016</v>
      </c>
      <c r="D2265" t="s">
        <v>296</v>
      </c>
      <c r="E2265" t="s">
        <v>12976</v>
      </c>
      <c r="F2265" t="s">
        <v>7672</v>
      </c>
      <c r="G2265" t="s">
        <v>12977</v>
      </c>
      <c r="H2265" t="s">
        <v>11598</v>
      </c>
      <c r="I2265" t="s">
        <v>12978</v>
      </c>
      <c r="J2265" t="s">
        <v>8980</v>
      </c>
    </row>
    <row r="2266" spans="1:10" x14ac:dyDescent="0.25">
      <c r="A2266" t="s">
        <v>13017</v>
      </c>
      <c r="B2266">
        <v>13.992000000000001</v>
      </c>
      <c r="C2266" t="s">
        <v>13018</v>
      </c>
      <c r="D2266" t="s">
        <v>2072</v>
      </c>
      <c r="E2266" t="s">
        <v>12976</v>
      </c>
      <c r="F2266" t="s">
        <v>7672</v>
      </c>
      <c r="G2266" t="s">
        <v>12977</v>
      </c>
      <c r="H2266" t="s">
        <v>11598</v>
      </c>
      <c r="I2266" t="s">
        <v>12978</v>
      </c>
      <c r="J2266" t="s">
        <v>60</v>
      </c>
    </row>
    <row r="2267" spans="1:10" x14ac:dyDescent="0.25">
      <c r="A2267" t="s">
        <v>13019</v>
      </c>
      <c r="B2267">
        <v>13.992000000000001</v>
      </c>
      <c r="C2267" t="s">
        <v>13020</v>
      </c>
      <c r="D2267" t="s">
        <v>1811</v>
      </c>
      <c r="E2267" t="s">
        <v>12976</v>
      </c>
      <c r="F2267" t="s">
        <v>7672</v>
      </c>
      <c r="G2267" t="s">
        <v>12977</v>
      </c>
      <c r="H2267" t="s">
        <v>11598</v>
      </c>
      <c r="I2267" t="s">
        <v>12978</v>
      </c>
      <c r="J2267" t="s">
        <v>100</v>
      </c>
    </row>
    <row r="2268" spans="1:10" x14ac:dyDescent="0.25">
      <c r="A2268" t="s">
        <v>13021</v>
      </c>
      <c r="B2268">
        <v>13.992000000000001</v>
      </c>
      <c r="C2268" t="s">
        <v>13022</v>
      </c>
      <c r="D2268" t="s">
        <v>582</v>
      </c>
      <c r="E2268" t="s">
        <v>12976</v>
      </c>
      <c r="F2268" t="s">
        <v>7672</v>
      </c>
      <c r="G2268" t="s">
        <v>12977</v>
      </c>
      <c r="H2268" t="s">
        <v>11598</v>
      </c>
      <c r="I2268" t="s">
        <v>12978</v>
      </c>
      <c r="J2268" t="s">
        <v>88</v>
      </c>
    </row>
    <row r="2269" spans="1:10" x14ac:dyDescent="0.25">
      <c r="A2269" t="s">
        <v>13023</v>
      </c>
      <c r="B2269">
        <v>13.992000000000001</v>
      </c>
      <c r="C2269" t="s">
        <v>13024</v>
      </c>
      <c r="D2269" t="s">
        <v>296</v>
      </c>
      <c r="E2269" t="s">
        <v>12976</v>
      </c>
      <c r="F2269" t="s">
        <v>7672</v>
      </c>
      <c r="G2269" t="s">
        <v>12977</v>
      </c>
      <c r="H2269" t="s">
        <v>11598</v>
      </c>
      <c r="I2269" t="s">
        <v>12978</v>
      </c>
      <c r="J2269" t="s">
        <v>269</v>
      </c>
    </row>
    <row r="2270" spans="1:10" x14ac:dyDescent="0.25">
      <c r="A2270" t="s">
        <v>13025</v>
      </c>
      <c r="B2270">
        <v>13.992000000000001</v>
      </c>
      <c r="C2270" t="s">
        <v>13026</v>
      </c>
      <c r="D2270" t="s">
        <v>1536</v>
      </c>
      <c r="E2270" t="s">
        <v>12976</v>
      </c>
      <c r="F2270" t="s">
        <v>7672</v>
      </c>
      <c r="G2270" t="s">
        <v>12977</v>
      </c>
      <c r="H2270" t="s">
        <v>11598</v>
      </c>
      <c r="I2270" t="s">
        <v>13027</v>
      </c>
      <c r="J2270" t="s">
        <v>255</v>
      </c>
    </row>
    <row r="2271" spans="1:10" x14ac:dyDescent="0.25">
      <c r="A2271" t="s">
        <v>13028</v>
      </c>
      <c r="B2271">
        <v>13.992000000000001</v>
      </c>
      <c r="C2271" t="s">
        <v>13029</v>
      </c>
      <c r="D2271" t="s">
        <v>865</v>
      </c>
      <c r="E2271" t="s">
        <v>12976</v>
      </c>
      <c r="F2271" t="s">
        <v>7672</v>
      </c>
      <c r="G2271" t="s">
        <v>12977</v>
      </c>
      <c r="H2271" t="s">
        <v>11598</v>
      </c>
      <c r="I2271" t="s">
        <v>12978</v>
      </c>
      <c r="J2271" t="s">
        <v>255</v>
      </c>
    </row>
    <row r="2272" spans="1:10" x14ac:dyDescent="0.25">
      <c r="A2272" t="s">
        <v>13030</v>
      </c>
      <c r="B2272">
        <v>13.992000000000001</v>
      </c>
      <c r="C2272" t="s">
        <v>13031</v>
      </c>
      <c r="D2272" t="s">
        <v>4327</v>
      </c>
      <c r="E2272" t="s">
        <v>12976</v>
      </c>
      <c r="F2272" t="s">
        <v>7672</v>
      </c>
      <c r="G2272" t="s">
        <v>12977</v>
      </c>
      <c r="H2272" t="s">
        <v>11598</v>
      </c>
      <c r="I2272" t="s">
        <v>13027</v>
      </c>
      <c r="J2272" t="s">
        <v>277</v>
      </c>
    </row>
    <row r="2273" spans="1:10" x14ac:dyDescent="0.25">
      <c r="A2273" t="s">
        <v>13032</v>
      </c>
      <c r="B2273">
        <v>13.992000000000001</v>
      </c>
      <c r="C2273" t="s">
        <v>13033</v>
      </c>
      <c r="D2273" t="s">
        <v>4100</v>
      </c>
      <c r="E2273" t="s">
        <v>12976</v>
      </c>
      <c r="F2273" t="s">
        <v>7672</v>
      </c>
      <c r="G2273" t="s">
        <v>12977</v>
      </c>
      <c r="H2273" t="s">
        <v>11598</v>
      </c>
      <c r="I2273" t="s">
        <v>12978</v>
      </c>
      <c r="J2273" t="s">
        <v>277</v>
      </c>
    </row>
    <row r="2274" spans="1:10" x14ac:dyDescent="0.25">
      <c r="A2274" t="s">
        <v>13034</v>
      </c>
      <c r="B2274">
        <v>13.992000000000001</v>
      </c>
      <c r="C2274" t="s">
        <v>13035</v>
      </c>
      <c r="D2274" t="s">
        <v>4136</v>
      </c>
      <c r="E2274" t="s">
        <v>12976</v>
      </c>
      <c r="F2274" t="s">
        <v>7672</v>
      </c>
      <c r="G2274" t="s">
        <v>12977</v>
      </c>
      <c r="H2274" t="s">
        <v>11598</v>
      </c>
      <c r="I2274" t="s">
        <v>13027</v>
      </c>
      <c r="J2274" t="s">
        <v>164</v>
      </c>
    </row>
    <row r="2275" spans="1:10" x14ac:dyDescent="0.25">
      <c r="A2275" t="s">
        <v>13036</v>
      </c>
      <c r="B2275">
        <v>13.992000000000001</v>
      </c>
      <c r="C2275" t="s">
        <v>13037</v>
      </c>
      <c r="D2275" t="s">
        <v>996</v>
      </c>
      <c r="E2275" t="s">
        <v>12976</v>
      </c>
      <c r="F2275" t="s">
        <v>7672</v>
      </c>
      <c r="G2275" t="s">
        <v>12977</v>
      </c>
      <c r="H2275" t="s">
        <v>11598</v>
      </c>
      <c r="I2275" t="s">
        <v>12978</v>
      </c>
      <c r="J2275" t="s">
        <v>164</v>
      </c>
    </row>
    <row r="2276" spans="1:10" x14ac:dyDescent="0.25">
      <c r="A2276" t="s">
        <v>13038</v>
      </c>
      <c r="B2276">
        <v>13.992000000000001</v>
      </c>
      <c r="C2276" t="s">
        <v>13039</v>
      </c>
      <c r="D2276" t="s">
        <v>3153</v>
      </c>
      <c r="E2276" t="s">
        <v>12976</v>
      </c>
      <c r="F2276" t="s">
        <v>7672</v>
      </c>
      <c r="G2276" t="s">
        <v>12977</v>
      </c>
      <c r="H2276" t="s">
        <v>11598</v>
      </c>
      <c r="I2276" t="s">
        <v>12978</v>
      </c>
      <c r="J2276" t="s">
        <v>290</v>
      </c>
    </row>
    <row r="2277" spans="1:10" x14ac:dyDescent="0.25">
      <c r="A2277" t="s">
        <v>13040</v>
      </c>
      <c r="B2277">
        <v>13.992000000000001</v>
      </c>
      <c r="C2277" t="s">
        <v>13041</v>
      </c>
      <c r="D2277" t="s">
        <v>4141</v>
      </c>
      <c r="E2277" t="s">
        <v>12976</v>
      </c>
      <c r="F2277" t="s">
        <v>7672</v>
      </c>
      <c r="G2277" t="s">
        <v>12977</v>
      </c>
      <c r="H2277" t="s">
        <v>11598</v>
      </c>
      <c r="I2277" t="s">
        <v>13027</v>
      </c>
      <c r="J2277" t="s">
        <v>290</v>
      </c>
    </row>
    <row r="2278" spans="1:10" x14ac:dyDescent="0.25">
      <c r="A2278" t="s">
        <v>13042</v>
      </c>
      <c r="B2278">
        <v>13.992000000000001</v>
      </c>
      <c r="C2278" t="s">
        <v>13043</v>
      </c>
      <c r="D2278" t="s">
        <v>633</v>
      </c>
      <c r="E2278" t="s">
        <v>12976</v>
      </c>
      <c r="F2278" t="s">
        <v>7672</v>
      </c>
      <c r="G2278" t="s">
        <v>12977</v>
      </c>
      <c r="H2278" t="s">
        <v>11598</v>
      </c>
      <c r="I2278" t="s">
        <v>12978</v>
      </c>
      <c r="J2278" t="s">
        <v>199</v>
      </c>
    </row>
    <row r="2279" spans="1:10" x14ac:dyDescent="0.25">
      <c r="A2279" t="s">
        <v>13044</v>
      </c>
      <c r="B2279">
        <v>13.992000000000001</v>
      </c>
      <c r="C2279" t="s">
        <v>13045</v>
      </c>
      <c r="D2279" t="s">
        <v>306</v>
      </c>
      <c r="E2279" t="s">
        <v>12976</v>
      </c>
      <c r="F2279" t="s">
        <v>7672</v>
      </c>
      <c r="G2279" t="s">
        <v>12977</v>
      </c>
      <c r="H2279" t="s">
        <v>11598</v>
      </c>
      <c r="I2279" t="s">
        <v>13027</v>
      </c>
      <c r="J2279" t="s">
        <v>199</v>
      </c>
    </row>
    <row r="2280" spans="1:10" x14ac:dyDescent="0.25">
      <c r="A2280" t="s">
        <v>13046</v>
      </c>
      <c r="B2280">
        <v>12.592000000000001</v>
      </c>
      <c r="C2280" t="s">
        <v>13047</v>
      </c>
      <c r="D2280" t="s">
        <v>903</v>
      </c>
      <c r="E2280" t="s">
        <v>13048</v>
      </c>
      <c r="F2280" t="s">
        <v>7672</v>
      </c>
      <c r="G2280" t="s">
        <v>13049</v>
      </c>
      <c r="H2280" t="s">
        <v>11598</v>
      </c>
      <c r="I2280" t="s">
        <v>11206</v>
      </c>
      <c r="J2280" t="s">
        <v>7942</v>
      </c>
    </row>
    <row r="2281" spans="1:10" x14ac:dyDescent="0.25">
      <c r="A2281" t="s">
        <v>13050</v>
      </c>
      <c r="B2281">
        <v>12.592000000000001</v>
      </c>
      <c r="C2281" t="s">
        <v>13051</v>
      </c>
      <c r="D2281" t="s">
        <v>8262</v>
      </c>
      <c r="E2281" t="s">
        <v>13048</v>
      </c>
      <c r="F2281" t="s">
        <v>7672</v>
      </c>
      <c r="G2281" t="s">
        <v>13049</v>
      </c>
      <c r="H2281" t="s">
        <v>11598</v>
      </c>
      <c r="I2281" t="s">
        <v>13052</v>
      </c>
      <c r="J2281" t="s">
        <v>7942</v>
      </c>
    </row>
    <row r="2282" spans="1:10" x14ac:dyDescent="0.25">
      <c r="A2282" t="s">
        <v>13053</v>
      </c>
      <c r="B2282">
        <v>12.592000000000001</v>
      </c>
      <c r="C2282" t="s">
        <v>13054</v>
      </c>
      <c r="D2282" t="s">
        <v>8421</v>
      </c>
      <c r="E2282" t="s">
        <v>13048</v>
      </c>
      <c r="F2282" t="s">
        <v>7672</v>
      </c>
      <c r="G2282" t="s">
        <v>13049</v>
      </c>
      <c r="H2282" t="s">
        <v>11598</v>
      </c>
      <c r="I2282" t="s">
        <v>13052</v>
      </c>
      <c r="J2282" t="s">
        <v>7981</v>
      </c>
    </row>
    <row r="2283" spans="1:10" x14ac:dyDescent="0.25">
      <c r="A2283" t="s">
        <v>13055</v>
      </c>
      <c r="B2283">
        <v>12.592000000000001</v>
      </c>
      <c r="C2283" t="s">
        <v>13056</v>
      </c>
      <c r="D2283" t="s">
        <v>3378</v>
      </c>
      <c r="E2283" t="s">
        <v>13048</v>
      </c>
      <c r="F2283" t="s">
        <v>7672</v>
      </c>
      <c r="G2283" t="s">
        <v>13049</v>
      </c>
      <c r="H2283" t="s">
        <v>11598</v>
      </c>
      <c r="I2283" t="s">
        <v>11206</v>
      </c>
      <c r="J2283" t="s">
        <v>7981</v>
      </c>
    </row>
    <row r="2284" spans="1:10" x14ac:dyDescent="0.25">
      <c r="A2284" t="s">
        <v>13057</v>
      </c>
      <c r="B2284">
        <v>12.592000000000001</v>
      </c>
      <c r="C2284" t="s">
        <v>13058</v>
      </c>
      <c r="D2284" t="s">
        <v>240</v>
      </c>
      <c r="E2284" t="s">
        <v>13048</v>
      </c>
      <c r="F2284" t="s">
        <v>7672</v>
      </c>
      <c r="G2284" t="s">
        <v>13049</v>
      </c>
      <c r="H2284" t="s">
        <v>11598</v>
      </c>
      <c r="I2284" t="s">
        <v>11206</v>
      </c>
      <c r="J2284" t="s">
        <v>7984</v>
      </c>
    </row>
    <row r="2285" spans="1:10" x14ac:dyDescent="0.25">
      <c r="A2285" t="s">
        <v>13059</v>
      </c>
      <c r="B2285">
        <v>12.592000000000001</v>
      </c>
      <c r="C2285" t="s">
        <v>13060</v>
      </c>
      <c r="D2285" t="s">
        <v>3253</v>
      </c>
      <c r="E2285" t="s">
        <v>13048</v>
      </c>
      <c r="F2285" t="s">
        <v>7672</v>
      </c>
      <c r="G2285" t="s">
        <v>13049</v>
      </c>
      <c r="H2285" t="s">
        <v>11598</v>
      </c>
      <c r="I2285" t="s">
        <v>11206</v>
      </c>
      <c r="J2285" t="s">
        <v>7987</v>
      </c>
    </row>
    <row r="2286" spans="1:10" x14ac:dyDescent="0.25">
      <c r="A2286" t="s">
        <v>13061</v>
      </c>
      <c r="B2286">
        <v>12.592000000000001</v>
      </c>
      <c r="C2286" t="s">
        <v>13062</v>
      </c>
      <c r="D2286" t="s">
        <v>13063</v>
      </c>
      <c r="E2286" t="s">
        <v>13048</v>
      </c>
      <c r="F2286" t="s">
        <v>7672</v>
      </c>
      <c r="G2286" t="s">
        <v>13049</v>
      </c>
      <c r="H2286" t="s">
        <v>11598</v>
      </c>
      <c r="I2286" t="s">
        <v>11206</v>
      </c>
      <c r="J2286" t="s">
        <v>8001</v>
      </c>
    </row>
    <row r="2287" spans="1:10" x14ac:dyDescent="0.25">
      <c r="A2287" t="s">
        <v>13064</v>
      </c>
      <c r="B2287">
        <v>12.592000000000001</v>
      </c>
      <c r="C2287" t="s">
        <v>13065</v>
      </c>
      <c r="D2287" t="s">
        <v>1884</v>
      </c>
      <c r="E2287" t="s">
        <v>13048</v>
      </c>
      <c r="F2287" t="s">
        <v>7672</v>
      </c>
      <c r="G2287" t="s">
        <v>13049</v>
      </c>
      <c r="H2287" t="s">
        <v>11598</v>
      </c>
      <c r="I2287" t="s">
        <v>11206</v>
      </c>
      <c r="J2287" t="s">
        <v>8013</v>
      </c>
    </row>
    <row r="2288" spans="1:10" x14ac:dyDescent="0.25">
      <c r="A2288" t="s">
        <v>13066</v>
      </c>
      <c r="B2288">
        <v>12</v>
      </c>
      <c r="C2288" t="s">
        <v>13067</v>
      </c>
      <c r="D2288" t="s">
        <v>4679</v>
      </c>
      <c r="E2288" t="s">
        <v>13068</v>
      </c>
      <c r="F2288" t="s">
        <v>7672</v>
      </c>
      <c r="G2288" t="s">
        <v>13069</v>
      </c>
      <c r="H2288" t="s">
        <v>7965</v>
      </c>
      <c r="I2288" t="s">
        <v>76</v>
      </c>
      <c r="J2288" t="s">
        <v>7981</v>
      </c>
    </row>
    <row r="2289" spans="1:10" x14ac:dyDescent="0.25">
      <c r="A2289" t="s">
        <v>13070</v>
      </c>
      <c r="B2289">
        <v>12</v>
      </c>
      <c r="C2289" t="s">
        <v>13071</v>
      </c>
      <c r="D2289" t="s">
        <v>7106</v>
      </c>
      <c r="E2289" t="s">
        <v>13068</v>
      </c>
      <c r="F2289" t="s">
        <v>7672</v>
      </c>
      <c r="G2289" t="s">
        <v>13069</v>
      </c>
      <c r="H2289" t="s">
        <v>7965</v>
      </c>
      <c r="I2289" t="s">
        <v>76</v>
      </c>
      <c r="J2289" t="s">
        <v>7984</v>
      </c>
    </row>
    <row r="2290" spans="1:10" x14ac:dyDescent="0.25">
      <c r="A2290" t="s">
        <v>13072</v>
      </c>
      <c r="B2290">
        <v>12</v>
      </c>
      <c r="C2290" t="s">
        <v>13073</v>
      </c>
      <c r="D2290" t="s">
        <v>9124</v>
      </c>
      <c r="E2290" t="s">
        <v>13068</v>
      </c>
      <c r="F2290" t="s">
        <v>7672</v>
      </c>
      <c r="G2290" t="s">
        <v>13069</v>
      </c>
      <c r="H2290" t="s">
        <v>7965</v>
      </c>
      <c r="I2290" t="s">
        <v>76</v>
      </c>
      <c r="J2290" t="s">
        <v>7987</v>
      </c>
    </row>
    <row r="2291" spans="1:10" x14ac:dyDescent="0.25">
      <c r="A2291" t="s">
        <v>13074</v>
      </c>
      <c r="B2291">
        <v>7</v>
      </c>
      <c r="C2291" t="s">
        <v>13075</v>
      </c>
      <c r="D2291" t="s">
        <v>10608</v>
      </c>
      <c r="E2291" t="s">
        <v>13076</v>
      </c>
      <c r="F2291" t="s">
        <v>7672</v>
      </c>
      <c r="G2291" t="s">
        <v>13077</v>
      </c>
      <c r="H2291" t="s">
        <v>7947</v>
      </c>
      <c r="I2291" t="s">
        <v>1243</v>
      </c>
      <c r="J2291" t="s">
        <v>9423</v>
      </c>
    </row>
    <row r="2292" spans="1:10" x14ac:dyDescent="0.25">
      <c r="A2292" t="s">
        <v>13078</v>
      </c>
      <c r="B2292">
        <v>7</v>
      </c>
      <c r="C2292" t="s">
        <v>13079</v>
      </c>
      <c r="D2292" t="s">
        <v>9354</v>
      </c>
      <c r="E2292" t="s">
        <v>13076</v>
      </c>
      <c r="F2292" t="s">
        <v>7672</v>
      </c>
      <c r="G2292" t="s">
        <v>13077</v>
      </c>
      <c r="H2292" t="s">
        <v>7947</v>
      </c>
      <c r="I2292" t="s">
        <v>1243</v>
      </c>
      <c r="J2292" t="s">
        <v>9426</v>
      </c>
    </row>
    <row r="2293" spans="1:10" x14ac:dyDescent="0.25">
      <c r="A2293" t="s">
        <v>13080</v>
      </c>
      <c r="B2293">
        <v>7</v>
      </c>
      <c r="C2293" t="s">
        <v>13081</v>
      </c>
      <c r="D2293" t="s">
        <v>6877</v>
      </c>
      <c r="E2293" t="s">
        <v>13076</v>
      </c>
      <c r="F2293" t="s">
        <v>7672</v>
      </c>
      <c r="G2293" t="s">
        <v>13077</v>
      </c>
      <c r="H2293" t="s">
        <v>7947</v>
      </c>
      <c r="I2293" t="s">
        <v>1243</v>
      </c>
      <c r="J2293" t="s">
        <v>10862</v>
      </c>
    </row>
    <row r="2294" spans="1:10" x14ac:dyDescent="0.25">
      <c r="A2294" t="s">
        <v>13082</v>
      </c>
      <c r="B2294">
        <v>7</v>
      </c>
      <c r="C2294" t="s">
        <v>13083</v>
      </c>
      <c r="D2294" t="s">
        <v>60</v>
      </c>
      <c r="E2294" t="s">
        <v>13076</v>
      </c>
      <c r="F2294" t="s">
        <v>7672</v>
      </c>
      <c r="G2294" t="s">
        <v>13077</v>
      </c>
      <c r="H2294" t="s">
        <v>7947</v>
      </c>
      <c r="I2294" t="s">
        <v>1243</v>
      </c>
      <c r="J2294" t="s">
        <v>13084</v>
      </c>
    </row>
    <row r="2295" spans="1:10" x14ac:dyDescent="0.25">
      <c r="A2295" t="s">
        <v>13085</v>
      </c>
      <c r="B2295">
        <v>44.991999999999997</v>
      </c>
      <c r="C2295" t="s">
        <v>13086</v>
      </c>
      <c r="D2295" t="s">
        <v>13087</v>
      </c>
      <c r="E2295" t="s">
        <v>13088</v>
      </c>
      <c r="F2295" t="s">
        <v>7672</v>
      </c>
      <c r="G2295" t="s">
        <v>13089</v>
      </c>
      <c r="H2295" t="s">
        <v>10314</v>
      </c>
      <c r="I2295" t="s">
        <v>10315</v>
      </c>
      <c r="J2295" t="s">
        <v>9694</v>
      </c>
    </row>
    <row r="2296" spans="1:10" x14ac:dyDescent="0.25">
      <c r="A2296" t="s">
        <v>13090</v>
      </c>
      <c r="B2296">
        <v>11.696</v>
      </c>
      <c r="C2296" t="s">
        <v>13091</v>
      </c>
      <c r="D2296" t="s">
        <v>2697</v>
      </c>
      <c r="E2296" t="s">
        <v>13092</v>
      </c>
      <c r="F2296" t="s">
        <v>7672</v>
      </c>
      <c r="G2296" t="s">
        <v>13093</v>
      </c>
      <c r="H2296" t="s">
        <v>7674</v>
      </c>
      <c r="I2296" t="s">
        <v>76</v>
      </c>
      <c r="J2296" t="s">
        <v>106</v>
      </c>
    </row>
    <row r="2297" spans="1:10" x14ac:dyDescent="0.25">
      <c r="A2297" t="s">
        <v>13094</v>
      </c>
      <c r="B2297">
        <v>11.696</v>
      </c>
      <c r="C2297" t="s">
        <v>13095</v>
      </c>
      <c r="D2297" t="s">
        <v>164</v>
      </c>
      <c r="E2297" t="s">
        <v>13092</v>
      </c>
      <c r="F2297" t="s">
        <v>7672</v>
      </c>
      <c r="G2297" t="s">
        <v>13093</v>
      </c>
      <c r="H2297" t="s">
        <v>7674</v>
      </c>
      <c r="I2297" t="s">
        <v>76</v>
      </c>
      <c r="J2297" t="s">
        <v>11421</v>
      </c>
    </row>
    <row r="2298" spans="1:10" x14ac:dyDescent="0.25">
      <c r="A2298" t="s">
        <v>13096</v>
      </c>
      <c r="B2298">
        <v>11.696</v>
      </c>
      <c r="C2298" t="s">
        <v>13097</v>
      </c>
      <c r="D2298" t="s">
        <v>250</v>
      </c>
      <c r="E2298" t="s">
        <v>13092</v>
      </c>
      <c r="F2298" t="s">
        <v>7672</v>
      </c>
      <c r="G2298" t="s">
        <v>13093</v>
      </c>
      <c r="H2298" t="s">
        <v>7674</v>
      </c>
      <c r="I2298" t="s">
        <v>76</v>
      </c>
      <c r="J2298" t="s">
        <v>88</v>
      </c>
    </row>
    <row r="2299" spans="1:10" x14ac:dyDescent="0.25">
      <c r="A2299" t="s">
        <v>13098</v>
      </c>
      <c r="B2299">
        <v>11.696</v>
      </c>
      <c r="C2299" t="s">
        <v>13099</v>
      </c>
      <c r="D2299" t="s">
        <v>396</v>
      </c>
      <c r="E2299" t="s">
        <v>13092</v>
      </c>
      <c r="F2299" t="s">
        <v>7672</v>
      </c>
      <c r="G2299" t="s">
        <v>13093</v>
      </c>
      <c r="H2299" t="s">
        <v>7674</v>
      </c>
      <c r="I2299" t="s">
        <v>76</v>
      </c>
      <c r="J2299" t="s">
        <v>7966</v>
      </c>
    </row>
    <row r="2300" spans="1:10" x14ac:dyDescent="0.25">
      <c r="A2300" t="s">
        <v>13100</v>
      </c>
      <c r="B2300">
        <v>11.696</v>
      </c>
      <c r="C2300" t="s">
        <v>13101</v>
      </c>
      <c r="D2300" t="s">
        <v>144</v>
      </c>
      <c r="E2300" t="s">
        <v>13092</v>
      </c>
      <c r="F2300" t="s">
        <v>7672</v>
      </c>
      <c r="G2300" t="s">
        <v>13093</v>
      </c>
      <c r="H2300" t="s">
        <v>7674</v>
      </c>
      <c r="I2300" t="s">
        <v>76</v>
      </c>
      <c r="J2300" t="s">
        <v>131</v>
      </c>
    </row>
    <row r="2301" spans="1:10" x14ac:dyDescent="0.25">
      <c r="A2301" t="s">
        <v>13102</v>
      </c>
      <c r="B2301">
        <v>11.696</v>
      </c>
      <c r="C2301" t="s">
        <v>13103</v>
      </c>
      <c r="D2301" t="s">
        <v>3086</v>
      </c>
      <c r="E2301" t="s">
        <v>13092</v>
      </c>
      <c r="F2301" t="s">
        <v>7672</v>
      </c>
      <c r="G2301" t="s">
        <v>13093</v>
      </c>
      <c r="H2301" t="s">
        <v>7674</v>
      </c>
      <c r="I2301" t="s">
        <v>76</v>
      </c>
      <c r="J2301" t="s">
        <v>7967</v>
      </c>
    </row>
    <row r="2302" spans="1:10" x14ac:dyDescent="0.25">
      <c r="A2302" t="s">
        <v>13104</v>
      </c>
      <c r="B2302">
        <v>11.696</v>
      </c>
      <c r="C2302" t="s">
        <v>13105</v>
      </c>
      <c r="D2302" t="s">
        <v>3253</v>
      </c>
      <c r="E2302" t="s">
        <v>13092</v>
      </c>
      <c r="F2302" t="s">
        <v>7672</v>
      </c>
      <c r="G2302" t="s">
        <v>13093</v>
      </c>
      <c r="H2302" t="s">
        <v>7674</v>
      </c>
      <c r="I2302" t="s">
        <v>76</v>
      </c>
      <c r="J2302" t="s">
        <v>269</v>
      </c>
    </row>
    <row r="2303" spans="1:10" x14ac:dyDescent="0.25">
      <c r="A2303" t="s">
        <v>13106</v>
      </c>
      <c r="B2303">
        <v>11.696</v>
      </c>
      <c r="C2303" t="s">
        <v>13107</v>
      </c>
      <c r="D2303" t="s">
        <v>8618</v>
      </c>
      <c r="E2303" t="s">
        <v>13092</v>
      </c>
      <c r="F2303" t="s">
        <v>7672</v>
      </c>
      <c r="G2303" t="s">
        <v>13093</v>
      </c>
      <c r="H2303" t="s">
        <v>7674</v>
      </c>
      <c r="I2303" t="s">
        <v>76</v>
      </c>
      <c r="J2303" t="s">
        <v>7968</v>
      </c>
    </row>
    <row r="2304" spans="1:10" x14ac:dyDescent="0.25">
      <c r="A2304" t="s">
        <v>13108</v>
      </c>
      <c r="B2304">
        <v>11.696</v>
      </c>
      <c r="C2304" t="s">
        <v>13109</v>
      </c>
      <c r="D2304" t="s">
        <v>1852</v>
      </c>
      <c r="E2304" t="s">
        <v>13092</v>
      </c>
      <c r="F2304" t="s">
        <v>7672</v>
      </c>
      <c r="G2304" t="s">
        <v>13093</v>
      </c>
      <c r="H2304" t="s">
        <v>7674</v>
      </c>
      <c r="I2304" t="s">
        <v>76</v>
      </c>
      <c r="J2304" t="s">
        <v>576</v>
      </c>
    </row>
    <row r="2305" spans="1:10" x14ac:dyDescent="0.25">
      <c r="A2305" t="s">
        <v>13110</v>
      </c>
      <c r="B2305">
        <v>11.696</v>
      </c>
      <c r="C2305" t="s">
        <v>13111</v>
      </c>
      <c r="D2305" t="s">
        <v>229</v>
      </c>
      <c r="E2305" t="s">
        <v>13092</v>
      </c>
      <c r="F2305" t="s">
        <v>7672</v>
      </c>
      <c r="G2305" t="s">
        <v>13093</v>
      </c>
      <c r="H2305" t="s">
        <v>7674</v>
      </c>
      <c r="I2305" t="s">
        <v>76</v>
      </c>
      <c r="J2305" t="s">
        <v>7969</v>
      </c>
    </row>
    <row r="2306" spans="1:10" x14ac:dyDescent="0.25">
      <c r="A2306" t="s">
        <v>13112</v>
      </c>
      <c r="B2306">
        <v>11.696</v>
      </c>
      <c r="C2306" t="s">
        <v>13113</v>
      </c>
      <c r="D2306" t="s">
        <v>301</v>
      </c>
      <c r="E2306" t="s">
        <v>13092</v>
      </c>
      <c r="F2306" t="s">
        <v>7672</v>
      </c>
      <c r="G2306" t="s">
        <v>13093</v>
      </c>
      <c r="H2306" t="s">
        <v>7674</v>
      </c>
      <c r="I2306" t="s">
        <v>76</v>
      </c>
      <c r="J2306" t="s">
        <v>255</v>
      </c>
    </row>
    <row r="2307" spans="1:10" x14ac:dyDescent="0.25">
      <c r="A2307" t="s">
        <v>13114</v>
      </c>
      <c r="B2307">
        <v>12.992000000000001</v>
      </c>
      <c r="C2307" t="s">
        <v>13115</v>
      </c>
      <c r="D2307" t="s">
        <v>2253</v>
      </c>
      <c r="E2307" t="s">
        <v>13092</v>
      </c>
      <c r="F2307" t="s">
        <v>7672</v>
      </c>
      <c r="G2307" t="s">
        <v>13093</v>
      </c>
      <c r="H2307" t="s">
        <v>7674</v>
      </c>
      <c r="I2307" t="s">
        <v>76</v>
      </c>
      <c r="J2307" t="s">
        <v>282</v>
      </c>
    </row>
    <row r="2308" spans="1:10" x14ac:dyDescent="0.25">
      <c r="A2308" t="s">
        <v>13116</v>
      </c>
      <c r="B2308">
        <v>5.3920000000000003</v>
      </c>
      <c r="C2308" t="s">
        <v>13117</v>
      </c>
      <c r="D2308" t="s">
        <v>8865</v>
      </c>
      <c r="E2308" t="s">
        <v>13118</v>
      </c>
      <c r="F2308" t="s">
        <v>7672</v>
      </c>
      <c r="G2308" t="s">
        <v>13119</v>
      </c>
      <c r="H2308" t="s">
        <v>10298</v>
      </c>
      <c r="I2308" t="s">
        <v>76</v>
      </c>
      <c r="J2308" t="s">
        <v>53</v>
      </c>
    </row>
    <row r="2309" spans="1:10" x14ac:dyDescent="0.25">
      <c r="A2309" t="s">
        <v>13120</v>
      </c>
      <c r="B2309">
        <v>5.3920000000000003</v>
      </c>
      <c r="C2309" t="s">
        <v>13121</v>
      </c>
      <c r="D2309" t="s">
        <v>13122</v>
      </c>
      <c r="E2309" t="s">
        <v>13118</v>
      </c>
      <c r="F2309" t="s">
        <v>7672</v>
      </c>
      <c r="G2309" t="s">
        <v>13119</v>
      </c>
      <c r="H2309" t="s">
        <v>10298</v>
      </c>
      <c r="I2309" t="s">
        <v>76</v>
      </c>
      <c r="J2309" t="s">
        <v>60</v>
      </c>
    </row>
    <row r="2310" spans="1:10" x14ac:dyDescent="0.25">
      <c r="A2310" t="s">
        <v>13123</v>
      </c>
      <c r="B2310">
        <v>5.3920000000000003</v>
      </c>
      <c r="C2310" t="s">
        <v>13124</v>
      </c>
      <c r="D2310" t="s">
        <v>53</v>
      </c>
      <c r="E2310" t="s">
        <v>13118</v>
      </c>
      <c r="F2310" t="s">
        <v>7672</v>
      </c>
      <c r="G2310" t="s">
        <v>13119</v>
      </c>
      <c r="H2310" t="s">
        <v>10298</v>
      </c>
      <c r="I2310" t="s">
        <v>13125</v>
      </c>
      <c r="J2310" t="s">
        <v>106</v>
      </c>
    </row>
    <row r="2311" spans="1:10" x14ac:dyDescent="0.25">
      <c r="A2311" t="s">
        <v>3044</v>
      </c>
      <c r="B2311">
        <v>8</v>
      </c>
      <c r="C2311" t="s">
        <v>3046</v>
      </c>
      <c r="D2311" t="s">
        <v>598</v>
      </c>
      <c r="E2311" t="s">
        <v>3047</v>
      </c>
      <c r="F2311" t="s">
        <v>7672</v>
      </c>
      <c r="G2311" t="s">
        <v>13126</v>
      </c>
      <c r="H2311" t="s">
        <v>11496</v>
      </c>
      <c r="I2311" t="s">
        <v>13127</v>
      </c>
      <c r="J2311" t="s">
        <v>9423</v>
      </c>
    </row>
    <row r="2312" spans="1:10" x14ac:dyDescent="0.25">
      <c r="A2312" t="s">
        <v>3050</v>
      </c>
      <c r="B2312">
        <v>8</v>
      </c>
      <c r="C2312" t="s">
        <v>3052</v>
      </c>
      <c r="D2312" t="s">
        <v>2149</v>
      </c>
      <c r="E2312" t="s">
        <v>3047</v>
      </c>
      <c r="F2312" t="s">
        <v>7672</v>
      </c>
      <c r="G2312" t="s">
        <v>13126</v>
      </c>
      <c r="H2312" t="s">
        <v>11496</v>
      </c>
      <c r="I2312" t="s">
        <v>145</v>
      </c>
      <c r="J2312" t="s">
        <v>9423</v>
      </c>
    </row>
    <row r="2313" spans="1:10" x14ac:dyDescent="0.25">
      <c r="A2313" t="s">
        <v>3056</v>
      </c>
      <c r="B2313">
        <v>8</v>
      </c>
      <c r="C2313" t="s">
        <v>3058</v>
      </c>
      <c r="D2313" t="s">
        <v>3060</v>
      </c>
      <c r="E2313" t="s">
        <v>3047</v>
      </c>
      <c r="F2313" t="s">
        <v>7672</v>
      </c>
      <c r="G2313" t="s">
        <v>13126</v>
      </c>
      <c r="H2313" t="s">
        <v>11496</v>
      </c>
      <c r="I2313" t="s">
        <v>1243</v>
      </c>
      <c r="J2313" t="s">
        <v>9423</v>
      </c>
    </row>
    <row r="2314" spans="1:10" x14ac:dyDescent="0.25">
      <c r="A2314" t="s">
        <v>3062</v>
      </c>
      <c r="B2314">
        <v>8</v>
      </c>
      <c r="C2314" t="s">
        <v>3064</v>
      </c>
      <c r="D2314" t="s">
        <v>290</v>
      </c>
      <c r="E2314" t="s">
        <v>3047</v>
      </c>
      <c r="F2314" t="s">
        <v>7672</v>
      </c>
      <c r="G2314" t="s">
        <v>13126</v>
      </c>
      <c r="H2314" t="s">
        <v>11496</v>
      </c>
      <c r="I2314" t="s">
        <v>13127</v>
      </c>
      <c r="J2314" t="s">
        <v>10862</v>
      </c>
    </row>
    <row r="2315" spans="1:10" x14ac:dyDescent="0.25">
      <c r="A2315" t="s">
        <v>3066</v>
      </c>
      <c r="B2315">
        <v>8</v>
      </c>
      <c r="C2315" t="s">
        <v>3068</v>
      </c>
      <c r="D2315" t="s">
        <v>3070</v>
      </c>
      <c r="E2315" t="s">
        <v>3047</v>
      </c>
      <c r="F2315" t="s">
        <v>7672</v>
      </c>
      <c r="G2315" t="s">
        <v>13126</v>
      </c>
      <c r="H2315" t="s">
        <v>11496</v>
      </c>
      <c r="I2315" t="s">
        <v>145</v>
      </c>
      <c r="J2315" t="s">
        <v>9426</v>
      </c>
    </row>
    <row r="2316" spans="1:10" x14ac:dyDescent="0.25">
      <c r="A2316" t="s">
        <v>3072</v>
      </c>
      <c r="B2316">
        <v>8</v>
      </c>
      <c r="C2316" t="s">
        <v>3074</v>
      </c>
      <c r="D2316" t="s">
        <v>3076</v>
      </c>
      <c r="E2316" t="s">
        <v>3047</v>
      </c>
      <c r="F2316" t="s">
        <v>7672</v>
      </c>
      <c r="G2316" t="s">
        <v>13126</v>
      </c>
      <c r="H2316" t="s">
        <v>11496</v>
      </c>
      <c r="I2316" t="s">
        <v>13127</v>
      </c>
      <c r="J2316" t="s">
        <v>9426</v>
      </c>
    </row>
    <row r="2317" spans="1:10" x14ac:dyDescent="0.25">
      <c r="A2317" t="s">
        <v>3078</v>
      </c>
      <c r="B2317">
        <v>8</v>
      </c>
      <c r="C2317" t="s">
        <v>3080</v>
      </c>
      <c r="D2317" t="s">
        <v>926</v>
      </c>
      <c r="E2317" t="s">
        <v>3047</v>
      </c>
      <c r="F2317" t="s">
        <v>7672</v>
      </c>
      <c r="G2317" t="s">
        <v>13126</v>
      </c>
      <c r="H2317" t="s">
        <v>11496</v>
      </c>
      <c r="I2317" t="s">
        <v>1243</v>
      </c>
      <c r="J2317" t="s">
        <v>9426</v>
      </c>
    </row>
    <row r="2318" spans="1:10" x14ac:dyDescent="0.25">
      <c r="A2318" t="s">
        <v>3082</v>
      </c>
      <c r="B2318">
        <v>8</v>
      </c>
      <c r="C2318" t="s">
        <v>3084</v>
      </c>
      <c r="D2318" t="s">
        <v>3086</v>
      </c>
      <c r="E2318" t="s">
        <v>3047</v>
      </c>
      <c r="F2318" t="s">
        <v>7672</v>
      </c>
      <c r="G2318" t="s">
        <v>13126</v>
      </c>
      <c r="H2318" t="s">
        <v>11496</v>
      </c>
      <c r="I2318" t="s">
        <v>13127</v>
      </c>
      <c r="J2318" t="s">
        <v>13084</v>
      </c>
    </row>
    <row r="2319" spans="1:10" x14ac:dyDescent="0.25">
      <c r="A2319" t="s">
        <v>13128</v>
      </c>
      <c r="B2319">
        <v>42</v>
      </c>
      <c r="C2319" t="s">
        <v>13129</v>
      </c>
      <c r="D2319" t="s">
        <v>88</v>
      </c>
      <c r="E2319" t="s">
        <v>13130</v>
      </c>
      <c r="F2319" t="s">
        <v>7672</v>
      </c>
      <c r="G2319" t="s">
        <v>13131</v>
      </c>
      <c r="H2319" t="s">
        <v>8078</v>
      </c>
      <c r="I2319" t="s">
        <v>13132</v>
      </c>
      <c r="J2319" t="s">
        <v>7942</v>
      </c>
    </row>
    <row r="2320" spans="1:10" x14ac:dyDescent="0.25">
      <c r="A2320" t="s">
        <v>13133</v>
      </c>
      <c r="B2320">
        <v>3.9119999999999999</v>
      </c>
      <c r="C2320" t="s">
        <v>13134</v>
      </c>
      <c r="D2320" t="s">
        <v>3023</v>
      </c>
      <c r="E2320" t="s">
        <v>13135</v>
      </c>
      <c r="F2320" t="s">
        <v>7672</v>
      </c>
      <c r="G2320" t="s">
        <v>13136</v>
      </c>
      <c r="H2320" t="s">
        <v>7974</v>
      </c>
      <c r="I2320" t="s">
        <v>10603</v>
      </c>
      <c r="J2320" t="s">
        <v>9237</v>
      </c>
    </row>
    <row r="2321" spans="1:10" x14ac:dyDescent="0.25">
      <c r="A2321" t="s">
        <v>13137</v>
      </c>
      <c r="B2321">
        <v>3.9119999999999999</v>
      </c>
      <c r="C2321" t="s">
        <v>13138</v>
      </c>
      <c r="D2321" t="s">
        <v>926</v>
      </c>
      <c r="E2321" t="s">
        <v>13135</v>
      </c>
      <c r="F2321" t="s">
        <v>7672</v>
      </c>
      <c r="G2321" t="s">
        <v>13136</v>
      </c>
      <c r="H2321" t="s">
        <v>7974</v>
      </c>
      <c r="I2321" t="s">
        <v>13139</v>
      </c>
      <c r="J2321" t="s">
        <v>9237</v>
      </c>
    </row>
    <row r="2322" spans="1:10" x14ac:dyDescent="0.25">
      <c r="A2322" t="s">
        <v>13140</v>
      </c>
      <c r="B2322">
        <v>3.9119999999999999</v>
      </c>
      <c r="C2322" t="s">
        <v>13141</v>
      </c>
      <c r="D2322" t="s">
        <v>2149</v>
      </c>
      <c r="E2322" t="s">
        <v>13135</v>
      </c>
      <c r="F2322" t="s">
        <v>7672</v>
      </c>
      <c r="G2322" t="s">
        <v>13136</v>
      </c>
      <c r="H2322" t="s">
        <v>7974</v>
      </c>
      <c r="I2322" t="s">
        <v>10613</v>
      </c>
      <c r="J2322" t="s">
        <v>9237</v>
      </c>
    </row>
    <row r="2323" spans="1:10" x14ac:dyDescent="0.25">
      <c r="A2323" t="s">
        <v>13142</v>
      </c>
      <c r="B2323">
        <v>3.9119999999999999</v>
      </c>
      <c r="C2323" t="s">
        <v>13143</v>
      </c>
      <c r="D2323" t="s">
        <v>613</v>
      </c>
      <c r="E2323" t="s">
        <v>13135</v>
      </c>
      <c r="F2323" t="s">
        <v>7672</v>
      </c>
      <c r="G2323" t="s">
        <v>13136</v>
      </c>
      <c r="H2323" t="s">
        <v>7974</v>
      </c>
      <c r="I2323" t="s">
        <v>935</v>
      </c>
      <c r="J2323" t="s">
        <v>9237</v>
      </c>
    </row>
    <row r="2324" spans="1:10" x14ac:dyDescent="0.25">
      <c r="A2324" t="s">
        <v>13144</v>
      </c>
      <c r="B2324">
        <v>3.9119999999999999</v>
      </c>
      <c r="C2324" t="s">
        <v>13145</v>
      </c>
      <c r="D2324" t="s">
        <v>659</v>
      </c>
      <c r="E2324" t="s">
        <v>13135</v>
      </c>
      <c r="F2324" t="s">
        <v>7672</v>
      </c>
      <c r="G2324" t="s">
        <v>13136</v>
      </c>
      <c r="H2324" t="s">
        <v>7974</v>
      </c>
      <c r="I2324" t="s">
        <v>9877</v>
      </c>
      <c r="J2324" t="s">
        <v>9237</v>
      </c>
    </row>
    <row r="2325" spans="1:10" x14ac:dyDescent="0.25">
      <c r="A2325" t="s">
        <v>13146</v>
      </c>
      <c r="B2325">
        <v>3.9119999999999999</v>
      </c>
      <c r="C2325" t="s">
        <v>13147</v>
      </c>
      <c r="D2325" t="s">
        <v>865</v>
      </c>
      <c r="E2325" t="s">
        <v>13135</v>
      </c>
      <c r="F2325" t="s">
        <v>7672</v>
      </c>
      <c r="G2325" t="s">
        <v>13136</v>
      </c>
      <c r="H2325" t="s">
        <v>7974</v>
      </c>
      <c r="I2325" t="s">
        <v>278</v>
      </c>
      <c r="J2325" t="s">
        <v>9237</v>
      </c>
    </row>
    <row r="2326" spans="1:10" x14ac:dyDescent="0.25">
      <c r="A2326" t="s">
        <v>13148</v>
      </c>
      <c r="B2326">
        <v>3.9119999999999999</v>
      </c>
      <c r="C2326" t="s">
        <v>13149</v>
      </c>
      <c r="D2326" t="s">
        <v>613</v>
      </c>
      <c r="E2326" t="s">
        <v>13135</v>
      </c>
      <c r="F2326" t="s">
        <v>7672</v>
      </c>
      <c r="G2326" t="s">
        <v>13136</v>
      </c>
      <c r="H2326" t="s">
        <v>7974</v>
      </c>
      <c r="I2326" t="s">
        <v>76</v>
      </c>
      <c r="J2326" t="s">
        <v>9237</v>
      </c>
    </row>
    <row r="2327" spans="1:10" x14ac:dyDescent="0.25">
      <c r="A2327" t="s">
        <v>13150</v>
      </c>
      <c r="B2327">
        <v>3.9119999999999999</v>
      </c>
      <c r="C2327" t="s">
        <v>13151</v>
      </c>
      <c r="D2327" t="s">
        <v>1703</v>
      </c>
      <c r="E2327" t="s">
        <v>13135</v>
      </c>
      <c r="F2327" t="s">
        <v>7672</v>
      </c>
      <c r="G2327" t="s">
        <v>13136</v>
      </c>
      <c r="H2327" t="s">
        <v>7974</v>
      </c>
      <c r="I2327" t="s">
        <v>10603</v>
      </c>
      <c r="J2327" t="s">
        <v>8427</v>
      </c>
    </row>
    <row r="2328" spans="1:10" x14ac:dyDescent="0.25">
      <c r="A2328" t="s">
        <v>13152</v>
      </c>
      <c r="B2328">
        <v>3.9119999999999999</v>
      </c>
      <c r="C2328" t="s">
        <v>13153</v>
      </c>
      <c r="D2328" t="s">
        <v>1954</v>
      </c>
      <c r="E2328" t="s">
        <v>13135</v>
      </c>
      <c r="F2328" t="s">
        <v>7672</v>
      </c>
      <c r="G2328" t="s">
        <v>13136</v>
      </c>
      <c r="H2328" t="s">
        <v>7974</v>
      </c>
      <c r="I2328" t="s">
        <v>278</v>
      </c>
      <c r="J2328" t="s">
        <v>8427</v>
      </c>
    </row>
    <row r="2329" spans="1:10" x14ac:dyDescent="0.25">
      <c r="A2329" t="s">
        <v>13154</v>
      </c>
      <c r="B2329">
        <v>3.9119999999999999</v>
      </c>
      <c r="C2329" t="s">
        <v>13155</v>
      </c>
      <c r="D2329" t="s">
        <v>306</v>
      </c>
      <c r="E2329" t="s">
        <v>13135</v>
      </c>
      <c r="F2329" t="s">
        <v>7672</v>
      </c>
      <c r="G2329" t="s">
        <v>13136</v>
      </c>
      <c r="H2329" t="s">
        <v>7974</v>
      </c>
      <c r="I2329" t="s">
        <v>9877</v>
      </c>
      <c r="J2329" t="s">
        <v>8427</v>
      </c>
    </row>
    <row r="2330" spans="1:10" x14ac:dyDescent="0.25">
      <c r="A2330" t="s">
        <v>13156</v>
      </c>
      <c r="B2330">
        <v>3.9119999999999999</v>
      </c>
      <c r="C2330" t="s">
        <v>13157</v>
      </c>
      <c r="D2330" t="s">
        <v>2253</v>
      </c>
      <c r="E2330" t="s">
        <v>13135</v>
      </c>
      <c r="F2330" t="s">
        <v>7672</v>
      </c>
      <c r="G2330" t="s">
        <v>13136</v>
      </c>
      <c r="H2330" t="s">
        <v>7974</v>
      </c>
      <c r="I2330" t="s">
        <v>935</v>
      </c>
      <c r="J2330" t="s">
        <v>8427</v>
      </c>
    </row>
    <row r="2331" spans="1:10" x14ac:dyDescent="0.25">
      <c r="A2331" t="s">
        <v>13158</v>
      </c>
      <c r="B2331">
        <v>3.9119999999999999</v>
      </c>
      <c r="C2331" t="s">
        <v>13159</v>
      </c>
      <c r="D2331" t="s">
        <v>290</v>
      </c>
      <c r="E2331" t="s">
        <v>13135</v>
      </c>
      <c r="F2331" t="s">
        <v>7672</v>
      </c>
      <c r="G2331" t="s">
        <v>13136</v>
      </c>
      <c r="H2331" t="s">
        <v>7974</v>
      </c>
      <c r="I2331" t="s">
        <v>76</v>
      </c>
      <c r="J2331" t="s">
        <v>8427</v>
      </c>
    </row>
    <row r="2332" spans="1:10" x14ac:dyDescent="0.25">
      <c r="A2332" t="s">
        <v>13160</v>
      </c>
      <c r="B2332">
        <v>3.9119999999999999</v>
      </c>
      <c r="C2332" t="s">
        <v>13161</v>
      </c>
      <c r="D2332" t="s">
        <v>13162</v>
      </c>
      <c r="E2332" t="s">
        <v>13135</v>
      </c>
      <c r="F2332" t="s">
        <v>7672</v>
      </c>
      <c r="G2332" t="s">
        <v>13136</v>
      </c>
      <c r="H2332" t="s">
        <v>7974</v>
      </c>
      <c r="I2332" t="s">
        <v>10613</v>
      </c>
      <c r="J2332" t="s">
        <v>8427</v>
      </c>
    </row>
    <row r="2333" spans="1:10" x14ac:dyDescent="0.25">
      <c r="A2333" t="s">
        <v>13163</v>
      </c>
      <c r="B2333">
        <v>3.9119999999999999</v>
      </c>
      <c r="C2333" t="s">
        <v>13164</v>
      </c>
      <c r="D2333" t="s">
        <v>12102</v>
      </c>
      <c r="E2333" t="s">
        <v>13135</v>
      </c>
      <c r="F2333" t="s">
        <v>7672</v>
      </c>
      <c r="G2333" t="s">
        <v>13136</v>
      </c>
      <c r="H2333" t="s">
        <v>7974</v>
      </c>
      <c r="I2333" t="s">
        <v>10603</v>
      </c>
      <c r="J2333" t="s">
        <v>8439</v>
      </c>
    </row>
    <row r="2334" spans="1:10" x14ac:dyDescent="0.25">
      <c r="A2334" t="s">
        <v>13165</v>
      </c>
      <c r="B2334">
        <v>3.9119999999999999</v>
      </c>
      <c r="C2334" t="s">
        <v>13166</v>
      </c>
      <c r="D2334" t="s">
        <v>2587</v>
      </c>
      <c r="E2334" t="s">
        <v>13135</v>
      </c>
      <c r="F2334" t="s">
        <v>7672</v>
      </c>
      <c r="G2334" t="s">
        <v>13136</v>
      </c>
      <c r="H2334" t="s">
        <v>7974</v>
      </c>
      <c r="I2334" t="s">
        <v>13139</v>
      </c>
      <c r="J2334" t="s">
        <v>8439</v>
      </c>
    </row>
    <row r="2335" spans="1:10" x14ac:dyDescent="0.25">
      <c r="A2335" t="s">
        <v>13167</v>
      </c>
      <c r="B2335">
        <v>3.9119999999999999</v>
      </c>
      <c r="C2335" t="s">
        <v>13168</v>
      </c>
      <c r="D2335" t="s">
        <v>1772</v>
      </c>
      <c r="E2335" t="s">
        <v>13135</v>
      </c>
      <c r="F2335" t="s">
        <v>7672</v>
      </c>
      <c r="G2335" t="s">
        <v>13136</v>
      </c>
      <c r="H2335" t="s">
        <v>7974</v>
      </c>
      <c r="I2335" t="s">
        <v>10613</v>
      </c>
      <c r="J2335" t="s">
        <v>8439</v>
      </c>
    </row>
    <row r="2336" spans="1:10" x14ac:dyDescent="0.25">
      <c r="A2336" t="s">
        <v>13169</v>
      </c>
      <c r="B2336">
        <v>3.9119999999999999</v>
      </c>
      <c r="C2336" t="s">
        <v>13170</v>
      </c>
      <c r="D2336" t="s">
        <v>7885</v>
      </c>
      <c r="E2336" t="s">
        <v>13135</v>
      </c>
      <c r="F2336" t="s">
        <v>7672</v>
      </c>
      <c r="G2336" t="s">
        <v>13136</v>
      </c>
      <c r="H2336" t="s">
        <v>7974</v>
      </c>
      <c r="I2336" t="s">
        <v>278</v>
      </c>
      <c r="J2336" t="s">
        <v>8439</v>
      </c>
    </row>
    <row r="2337" spans="1:10" x14ac:dyDescent="0.25">
      <c r="A2337" t="s">
        <v>13171</v>
      </c>
      <c r="B2337">
        <v>3.9119999999999999</v>
      </c>
      <c r="C2337" t="s">
        <v>13172</v>
      </c>
      <c r="D2337" t="s">
        <v>4011</v>
      </c>
      <c r="E2337" t="s">
        <v>13135</v>
      </c>
      <c r="F2337" t="s">
        <v>7672</v>
      </c>
      <c r="G2337" t="s">
        <v>13136</v>
      </c>
      <c r="H2337" t="s">
        <v>7974</v>
      </c>
      <c r="I2337" t="s">
        <v>76</v>
      </c>
      <c r="J2337" t="s">
        <v>8439</v>
      </c>
    </row>
    <row r="2338" spans="1:10" x14ac:dyDescent="0.25">
      <c r="A2338" t="s">
        <v>13173</v>
      </c>
      <c r="B2338">
        <v>3.9119999999999999</v>
      </c>
      <c r="C2338" t="s">
        <v>13174</v>
      </c>
      <c r="D2338" t="s">
        <v>9503</v>
      </c>
      <c r="E2338" t="s">
        <v>13135</v>
      </c>
      <c r="F2338" t="s">
        <v>7672</v>
      </c>
      <c r="G2338" t="s">
        <v>13136</v>
      </c>
      <c r="H2338" t="s">
        <v>7974</v>
      </c>
      <c r="I2338" t="s">
        <v>935</v>
      </c>
      <c r="J2338" t="s">
        <v>8439</v>
      </c>
    </row>
    <row r="2339" spans="1:10" x14ac:dyDescent="0.25">
      <c r="A2339" t="s">
        <v>13175</v>
      </c>
      <c r="B2339">
        <v>3.9119999999999999</v>
      </c>
      <c r="C2339" t="s">
        <v>13176</v>
      </c>
      <c r="D2339" t="s">
        <v>8544</v>
      </c>
      <c r="E2339" t="s">
        <v>13135</v>
      </c>
      <c r="F2339" t="s">
        <v>7672</v>
      </c>
      <c r="G2339" t="s">
        <v>13136</v>
      </c>
      <c r="H2339" t="s">
        <v>7974</v>
      </c>
      <c r="I2339" t="s">
        <v>9877</v>
      </c>
      <c r="J2339" t="s">
        <v>8439</v>
      </c>
    </row>
    <row r="2340" spans="1:10" x14ac:dyDescent="0.25">
      <c r="A2340" t="s">
        <v>13177</v>
      </c>
      <c r="B2340">
        <v>3.9119999999999999</v>
      </c>
      <c r="C2340" t="s">
        <v>13178</v>
      </c>
      <c r="D2340" t="s">
        <v>10464</v>
      </c>
      <c r="E2340" t="s">
        <v>13135</v>
      </c>
      <c r="F2340" t="s">
        <v>7672</v>
      </c>
      <c r="G2340" t="s">
        <v>13136</v>
      </c>
      <c r="H2340" t="s">
        <v>7974</v>
      </c>
      <c r="I2340" t="s">
        <v>10603</v>
      </c>
      <c r="J2340" t="s">
        <v>8451</v>
      </c>
    </row>
    <row r="2341" spans="1:10" x14ac:dyDescent="0.25">
      <c r="A2341" t="s">
        <v>13179</v>
      </c>
      <c r="B2341">
        <v>3.9119999999999999</v>
      </c>
      <c r="C2341" t="s">
        <v>13180</v>
      </c>
      <c r="D2341" t="s">
        <v>926</v>
      </c>
      <c r="E2341" t="s">
        <v>13135</v>
      </c>
      <c r="F2341" t="s">
        <v>7672</v>
      </c>
      <c r="G2341" t="s">
        <v>13136</v>
      </c>
      <c r="H2341" t="s">
        <v>7974</v>
      </c>
      <c r="I2341" t="s">
        <v>13139</v>
      </c>
      <c r="J2341" t="s">
        <v>8451</v>
      </c>
    </row>
    <row r="2342" spans="1:10" x14ac:dyDescent="0.25">
      <c r="A2342" t="s">
        <v>13181</v>
      </c>
      <c r="B2342">
        <v>3.9119999999999999</v>
      </c>
      <c r="C2342" t="s">
        <v>13182</v>
      </c>
      <c r="D2342" t="s">
        <v>10630</v>
      </c>
      <c r="E2342" t="s">
        <v>13135</v>
      </c>
      <c r="F2342" t="s">
        <v>7672</v>
      </c>
      <c r="G2342" t="s">
        <v>13136</v>
      </c>
      <c r="H2342" t="s">
        <v>7974</v>
      </c>
      <c r="I2342" t="s">
        <v>10613</v>
      </c>
      <c r="J2342" t="s">
        <v>8451</v>
      </c>
    </row>
    <row r="2343" spans="1:10" x14ac:dyDescent="0.25">
      <c r="A2343" t="s">
        <v>13183</v>
      </c>
      <c r="B2343">
        <v>3.9119999999999999</v>
      </c>
      <c r="C2343" t="s">
        <v>13184</v>
      </c>
      <c r="D2343" t="s">
        <v>13185</v>
      </c>
      <c r="E2343" t="s">
        <v>13135</v>
      </c>
      <c r="F2343" t="s">
        <v>7672</v>
      </c>
      <c r="G2343" t="s">
        <v>13136</v>
      </c>
      <c r="H2343" t="s">
        <v>7974</v>
      </c>
      <c r="I2343" t="s">
        <v>278</v>
      </c>
      <c r="J2343" t="s">
        <v>8451</v>
      </c>
    </row>
    <row r="2344" spans="1:10" x14ac:dyDescent="0.25">
      <c r="A2344" t="s">
        <v>13186</v>
      </c>
      <c r="B2344">
        <v>3.9119999999999999</v>
      </c>
      <c r="C2344" t="s">
        <v>13187</v>
      </c>
      <c r="D2344" t="s">
        <v>8432</v>
      </c>
      <c r="E2344" t="s">
        <v>13135</v>
      </c>
      <c r="F2344" t="s">
        <v>7672</v>
      </c>
      <c r="G2344" t="s">
        <v>13136</v>
      </c>
      <c r="H2344" t="s">
        <v>7974</v>
      </c>
      <c r="I2344" t="s">
        <v>9877</v>
      </c>
      <c r="J2344" t="s">
        <v>8451</v>
      </c>
    </row>
    <row r="2345" spans="1:10" x14ac:dyDescent="0.25">
      <c r="A2345" t="s">
        <v>13188</v>
      </c>
      <c r="B2345">
        <v>3.9119999999999999</v>
      </c>
      <c r="C2345" t="s">
        <v>13189</v>
      </c>
      <c r="D2345" t="s">
        <v>321</v>
      </c>
      <c r="E2345" t="s">
        <v>13135</v>
      </c>
      <c r="F2345" t="s">
        <v>7672</v>
      </c>
      <c r="G2345" t="s">
        <v>13136</v>
      </c>
      <c r="H2345" t="s">
        <v>7974</v>
      </c>
      <c r="I2345" t="s">
        <v>76</v>
      </c>
      <c r="J2345" t="s">
        <v>8451</v>
      </c>
    </row>
    <row r="2346" spans="1:10" x14ac:dyDescent="0.25">
      <c r="A2346" t="s">
        <v>13190</v>
      </c>
      <c r="B2346">
        <v>3.9119999999999999</v>
      </c>
      <c r="C2346" t="s">
        <v>13191</v>
      </c>
      <c r="D2346" t="s">
        <v>1459</v>
      </c>
      <c r="E2346" t="s">
        <v>13135</v>
      </c>
      <c r="F2346" t="s">
        <v>7672</v>
      </c>
      <c r="G2346" t="s">
        <v>13136</v>
      </c>
      <c r="H2346" t="s">
        <v>7974</v>
      </c>
      <c r="I2346" t="s">
        <v>935</v>
      </c>
      <c r="J2346" t="s">
        <v>8451</v>
      </c>
    </row>
    <row r="2347" spans="1:10" x14ac:dyDescent="0.25">
      <c r="A2347" t="s">
        <v>13192</v>
      </c>
      <c r="B2347">
        <v>3.9119999999999999</v>
      </c>
      <c r="C2347" t="s">
        <v>13193</v>
      </c>
      <c r="D2347" t="s">
        <v>151</v>
      </c>
      <c r="E2347" t="s">
        <v>13135</v>
      </c>
      <c r="F2347" t="s">
        <v>7672</v>
      </c>
      <c r="G2347" t="s">
        <v>13136</v>
      </c>
      <c r="H2347" t="s">
        <v>7974</v>
      </c>
      <c r="I2347" t="s">
        <v>10603</v>
      </c>
      <c r="J2347" t="s">
        <v>8462</v>
      </c>
    </row>
    <row r="2348" spans="1:10" x14ac:dyDescent="0.25">
      <c r="A2348" t="s">
        <v>13194</v>
      </c>
      <c r="B2348">
        <v>3.9119999999999999</v>
      </c>
      <c r="C2348" t="s">
        <v>13195</v>
      </c>
      <c r="D2348" t="s">
        <v>10764</v>
      </c>
      <c r="E2348" t="s">
        <v>13135</v>
      </c>
      <c r="F2348" t="s">
        <v>7672</v>
      </c>
      <c r="G2348" t="s">
        <v>13136</v>
      </c>
      <c r="H2348" t="s">
        <v>7974</v>
      </c>
      <c r="I2348" t="s">
        <v>13139</v>
      </c>
      <c r="J2348" t="s">
        <v>8462</v>
      </c>
    </row>
    <row r="2349" spans="1:10" x14ac:dyDescent="0.25">
      <c r="A2349" t="s">
        <v>13196</v>
      </c>
      <c r="B2349">
        <v>3.9119999999999999</v>
      </c>
      <c r="C2349" t="s">
        <v>13197</v>
      </c>
      <c r="D2349" t="s">
        <v>13198</v>
      </c>
      <c r="E2349" t="s">
        <v>13135</v>
      </c>
      <c r="F2349" t="s">
        <v>7672</v>
      </c>
      <c r="G2349" t="s">
        <v>13136</v>
      </c>
      <c r="H2349" t="s">
        <v>7974</v>
      </c>
      <c r="I2349" t="s">
        <v>9877</v>
      </c>
      <c r="J2349" t="s">
        <v>8462</v>
      </c>
    </row>
    <row r="2350" spans="1:10" x14ac:dyDescent="0.25">
      <c r="A2350" t="s">
        <v>13199</v>
      </c>
      <c r="B2350">
        <v>3.9119999999999999</v>
      </c>
      <c r="C2350" t="s">
        <v>13200</v>
      </c>
      <c r="D2350" t="s">
        <v>9951</v>
      </c>
      <c r="E2350" t="s">
        <v>13135</v>
      </c>
      <c r="F2350" t="s">
        <v>7672</v>
      </c>
      <c r="G2350" t="s">
        <v>13136</v>
      </c>
      <c r="H2350" t="s">
        <v>7974</v>
      </c>
      <c r="I2350" t="s">
        <v>278</v>
      </c>
      <c r="J2350" t="s">
        <v>8462</v>
      </c>
    </row>
    <row r="2351" spans="1:10" x14ac:dyDescent="0.25">
      <c r="A2351" t="s">
        <v>13201</v>
      </c>
      <c r="B2351">
        <v>3.9119999999999999</v>
      </c>
      <c r="C2351" t="s">
        <v>13202</v>
      </c>
      <c r="D2351" t="s">
        <v>316</v>
      </c>
      <c r="E2351" t="s">
        <v>13135</v>
      </c>
      <c r="F2351" t="s">
        <v>7672</v>
      </c>
      <c r="G2351" t="s">
        <v>13136</v>
      </c>
      <c r="H2351" t="s">
        <v>7974</v>
      </c>
      <c r="I2351" t="s">
        <v>76</v>
      </c>
      <c r="J2351" t="s">
        <v>8462</v>
      </c>
    </row>
    <row r="2352" spans="1:10" x14ac:dyDescent="0.25">
      <c r="A2352" t="s">
        <v>13203</v>
      </c>
      <c r="B2352">
        <v>3.9119999999999999</v>
      </c>
      <c r="C2352" t="s">
        <v>13204</v>
      </c>
      <c r="D2352" t="s">
        <v>2652</v>
      </c>
      <c r="E2352" t="s">
        <v>13135</v>
      </c>
      <c r="F2352" t="s">
        <v>7672</v>
      </c>
      <c r="G2352" t="s">
        <v>13136</v>
      </c>
      <c r="H2352" t="s">
        <v>7974</v>
      </c>
      <c r="I2352" t="s">
        <v>935</v>
      </c>
      <c r="J2352" t="s">
        <v>8462</v>
      </c>
    </row>
    <row r="2353" spans="1:10" x14ac:dyDescent="0.25">
      <c r="A2353" t="s">
        <v>13205</v>
      </c>
      <c r="B2353">
        <v>3.9119999999999999</v>
      </c>
      <c r="C2353" t="s">
        <v>13206</v>
      </c>
      <c r="D2353" t="s">
        <v>3435</v>
      </c>
      <c r="E2353" t="s">
        <v>13135</v>
      </c>
      <c r="F2353" t="s">
        <v>7672</v>
      </c>
      <c r="G2353" t="s">
        <v>13136</v>
      </c>
      <c r="H2353" t="s">
        <v>7974</v>
      </c>
      <c r="I2353" t="s">
        <v>10613</v>
      </c>
      <c r="J2353" t="s">
        <v>8462</v>
      </c>
    </row>
    <row r="2354" spans="1:10" x14ac:dyDescent="0.25">
      <c r="A2354" t="s">
        <v>13207</v>
      </c>
      <c r="B2354">
        <v>5.04</v>
      </c>
      <c r="C2354" t="s">
        <v>13208</v>
      </c>
      <c r="D2354" t="s">
        <v>385</v>
      </c>
      <c r="E2354" t="s">
        <v>13135</v>
      </c>
      <c r="F2354" t="s">
        <v>7672</v>
      </c>
      <c r="G2354" t="s">
        <v>13136</v>
      </c>
      <c r="H2354" t="s">
        <v>7974</v>
      </c>
      <c r="I2354" t="s">
        <v>1357</v>
      </c>
      <c r="J2354" t="s">
        <v>9998</v>
      </c>
    </row>
    <row r="2355" spans="1:10" x14ac:dyDescent="0.25">
      <c r="A2355" t="s">
        <v>13209</v>
      </c>
      <c r="B2355">
        <v>3.9119999999999999</v>
      </c>
      <c r="C2355" t="s">
        <v>13210</v>
      </c>
      <c r="D2355" t="s">
        <v>705</v>
      </c>
      <c r="E2355" t="s">
        <v>13135</v>
      </c>
      <c r="F2355" t="s">
        <v>7672</v>
      </c>
      <c r="G2355" t="s">
        <v>13136</v>
      </c>
      <c r="H2355" t="s">
        <v>7974</v>
      </c>
      <c r="I2355" t="s">
        <v>13211</v>
      </c>
      <c r="J2355" t="s">
        <v>9998</v>
      </c>
    </row>
    <row r="2356" spans="1:10" x14ac:dyDescent="0.25">
      <c r="A2356" t="s">
        <v>13212</v>
      </c>
      <c r="B2356">
        <v>3.9119999999999999</v>
      </c>
      <c r="C2356" t="s">
        <v>13213</v>
      </c>
      <c r="D2356" t="s">
        <v>3577</v>
      </c>
      <c r="E2356" t="s">
        <v>13135</v>
      </c>
      <c r="F2356" t="s">
        <v>7672</v>
      </c>
      <c r="G2356" t="s">
        <v>13136</v>
      </c>
      <c r="H2356" t="s">
        <v>7974</v>
      </c>
      <c r="I2356" t="s">
        <v>10603</v>
      </c>
      <c r="J2356" t="s">
        <v>9998</v>
      </c>
    </row>
    <row r="2357" spans="1:10" x14ac:dyDescent="0.25">
      <c r="A2357" t="s">
        <v>13214</v>
      </c>
      <c r="B2357">
        <v>3.9119999999999999</v>
      </c>
      <c r="C2357" t="s">
        <v>13215</v>
      </c>
      <c r="D2357" t="s">
        <v>1254</v>
      </c>
      <c r="E2357" t="s">
        <v>13135</v>
      </c>
      <c r="F2357" t="s">
        <v>7672</v>
      </c>
      <c r="G2357" t="s">
        <v>13136</v>
      </c>
      <c r="H2357" t="s">
        <v>7974</v>
      </c>
      <c r="I2357" t="s">
        <v>13139</v>
      </c>
      <c r="J2357" t="s">
        <v>9998</v>
      </c>
    </row>
    <row r="2358" spans="1:10" x14ac:dyDescent="0.25">
      <c r="A2358" t="s">
        <v>13216</v>
      </c>
      <c r="B2358">
        <v>3.9119999999999999</v>
      </c>
      <c r="C2358" t="s">
        <v>13217</v>
      </c>
      <c r="D2358" t="s">
        <v>843</v>
      </c>
      <c r="E2358" t="s">
        <v>13135</v>
      </c>
      <c r="F2358" t="s">
        <v>7672</v>
      </c>
      <c r="G2358" t="s">
        <v>13136</v>
      </c>
      <c r="H2358" t="s">
        <v>7974</v>
      </c>
      <c r="I2358" t="s">
        <v>76</v>
      </c>
      <c r="J2358" t="s">
        <v>9998</v>
      </c>
    </row>
    <row r="2359" spans="1:10" x14ac:dyDescent="0.25">
      <c r="A2359" t="s">
        <v>13218</v>
      </c>
      <c r="B2359">
        <v>3.9119999999999999</v>
      </c>
      <c r="C2359" t="s">
        <v>13219</v>
      </c>
      <c r="D2359" t="s">
        <v>5283</v>
      </c>
      <c r="E2359" t="s">
        <v>13135</v>
      </c>
      <c r="F2359" t="s">
        <v>7672</v>
      </c>
      <c r="G2359" t="s">
        <v>13136</v>
      </c>
      <c r="H2359" t="s">
        <v>7974</v>
      </c>
      <c r="I2359" t="s">
        <v>278</v>
      </c>
      <c r="J2359" t="s">
        <v>9998</v>
      </c>
    </row>
    <row r="2360" spans="1:10" x14ac:dyDescent="0.25">
      <c r="A2360" t="s">
        <v>13220</v>
      </c>
      <c r="B2360">
        <v>3.9119999999999999</v>
      </c>
      <c r="C2360" t="s">
        <v>13221</v>
      </c>
      <c r="D2360" t="s">
        <v>1852</v>
      </c>
      <c r="E2360" t="s">
        <v>13135</v>
      </c>
      <c r="F2360" t="s">
        <v>7672</v>
      </c>
      <c r="G2360" t="s">
        <v>13136</v>
      </c>
      <c r="H2360" t="s">
        <v>7974</v>
      </c>
      <c r="I2360" t="s">
        <v>9877</v>
      </c>
      <c r="J2360" t="s">
        <v>9998</v>
      </c>
    </row>
    <row r="2361" spans="1:10" x14ac:dyDescent="0.25">
      <c r="A2361" t="s">
        <v>13222</v>
      </c>
      <c r="B2361">
        <v>3.9119999999999999</v>
      </c>
      <c r="C2361" t="s">
        <v>13223</v>
      </c>
      <c r="D2361" t="s">
        <v>118</v>
      </c>
      <c r="E2361" t="s">
        <v>13135</v>
      </c>
      <c r="F2361" t="s">
        <v>7672</v>
      </c>
      <c r="G2361" t="s">
        <v>13136</v>
      </c>
      <c r="H2361" t="s">
        <v>7974</v>
      </c>
      <c r="I2361" t="s">
        <v>935</v>
      </c>
      <c r="J2361" t="s">
        <v>9998</v>
      </c>
    </row>
    <row r="2362" spans="1:10" x14ac:dyDescent="0.25">
      <c r="A2362" t="s">
        <v>13224</v>
      </c>
      <c r="B2362">
        <v>3.9119999999999999</v>
      </c>
      <c r="C2362" t="s">
        <v>13225</v>
      </c>
      <c r="D2362" t="s">
        <v>981</v>
      </c>
      <c r="E2362" t="s">
        <v>13135</v>
      </c>
      <c r="F2362" t="s">
        <v>7672</v>
      </c>
      <c r="G2362" t="s">
        <v>13136</v>
      </c>
      <c r="H2362" t="s">
        <v>7974</v>
      </c>
      <c r="I2362" t="s">
        <v>10613</v>
      </c>
      <c r="J2362" t="s">
        <v>9998</v>
      </c>
    </row>
    <row r="2363" spans="1:10" x14ac:dyDescent="0.25">
      <c r="A2363" t="s">
        <v>13226</v>
      </c>
      <c r="B2363">
        <v>5.3120000000000003</v>
      </c>
      <c r="C2363" t="s">
        <v>13227</v>
      </c>
      <c r="D2363" t="s">
        <v>659</v>
      </c>
      <c r="E2363" t="s">
        <v>13228</v>
      </c>
      <c r="F2363" t="s">
        <v>7672</v>
      </c>
      <c r="G2363" t="s">
        <v>13229</v>
      </c>
      <c r="H2363" t="s">
        <v>8515</v>
      </c>
      <c r="I2363" t="s">
        <v>13230</v>
      </c>
      <c r="J2363" t="s">
        <v>100</v>
      </c>
    </row>
    <row r="2364" spans="1:10" x14ac:dyDescent="0.25">
      <c r="A2364" t="s">
        <v>13231</v>
      </c>
      <c r="B2364">
        <v>5.3120000000000003</v>
      </c>
      <c r="C2364" t="s">
        <v>13232</v>
      </c>
      <c r="D2364" t="s">
        <v>633</v>
      </c>
      <c r="E2364" t="s">
        <v>13228</v>
      </c>
      <c r="F2364" t="s">
        <v>7672</v>
      </c>
      <c r="G2364" t="s">
        <v>13229</v>
      </c>
      <c r="H2364" t="s">
        <v>8515</v>
      </c>
      <c r="I2364" t="s">
        <v>9245</v>
      </c>
      <c r="J2364" t="s">
        <v>100</v>
      </c>
    </row>
    <row r="2365" spans="1:10" x14ac:dyDescent="0.25">
      <c r="A2365" t="s">
        <v>13233</v>
      </c>
      <c r="B2365">
        <v>5.3120000000000003</v>
      </c>
      <c r="C2365" t="s">
        <v>13234</v>
      </c>
      <c r="D2365" t="s">
        <v>9671</v>
      </c>
      <c r="E2365" t="s">
        <v>13228</v>
      </c>
      <c r="F2365" t="s">
        <v>7672</v>
      </c>
      <c r="G2365" t="s">
        <v>13229</v>
      </c>
      <c r="H2365" t="s">
        <v>8515</v>
      </c>
      <c r="I2365" t="s">
        <v>13230</v>
      </c>
      <c r="J2365" t="s">
        <v>106</v>
      </c>
    </row>
    <row r="2366" spans="1:10" x14ac:dyDescent="0.25">
      <c r="A2366" t="s">
        <v>13235</v>
      </c>
      <c r="B2366">
        <v>5.3120000000000003</v>
      </c>
      <c r="C2366" t="s">
        <v>13236</v>
      </c>
      <c r="D2366" t="s">
        <v>3827</v>
      </c>
      <c r="E2366" t="s">
        <v>13228</v>
      </c>
      <c r="F2366" t="s">
        <v>7672</v>
      </c>
      <c r="G2366" t="s">
        <v>13229</v>
      </c>
      <c r="H2366" t="s">
        <v>8515</v>
      </c>
      <c r="I2366" t="s">
        <v>9245</v>
      </c>
      <c r="J2366" t="s">
        <v>106</v>
      </c>
    </row>
    <row r="2367" spans="1:10" x14ac:dyDescent="0.25">
      <c r="A2367" t="s">
        <v>13237</v>
      </c>
      <c r="B2367">
        <v>5.3120000000000003</v>
      </c>
      <c r="C2367" t="s">
        <v>13238</v>
      </c>
      <c r="D2367" t="s">
        <v>13239</v>
      </c>
      <c r="E2367" t="s">
        <v>13228</v>
      </c>
      <c r="F2367" t="s">
        <v>7672</v>
      </c>
      <c r="G2367" t="s">
        <v>13229</v>
      </c>
      <c r="H2367" t="s">
        <v>8515</v>
      </c>
      <c r="I2367" t="s">
        <v>13230</v>
      </c>
      <c r="J2367" t="s">
        <v>88</v>
      </c>
    </row>
    <row r="2368" spans="1:10" x14ac:dyDescent="0.25">
      <c r="A2368" t="s">
        <v>13240</v>
      </c>
      <c r="B2368">
        <v>5.3120000000000003</v>
      </c>
      <c r="C2368" t="s">
        <v>13241</v>
      </c>
      <c r="D2368" t="s">
        <v>649</v>
      </c>
      <c r="E2368" t="s">
        <v>13228</v>
      </c>
      <c r="F2368" t="s">
        <v>7672</v>
      </c>
      <c r="G2368" t="s">
        <v>13229</v>
      </c>
      <c r="H2368" t="s">
        <v>8515</v>
      </c>
      <c r="I2368" t="s">
        <v>9245</v>
      </c>
      <c r="J2368" t="s">
        <v>88</v>
      </c>
    </row>
    <row r="2369" spans="1:10" x14ac:dyDescent="0.25">
      <c r="A2369" t="s">
        <v>13242</v>
      </c>
      <c r="B2369">
        <v>5.3120000000000003</v>
      </c>
      <c r="C2369" t="s">
        <v>13243</v>
      </c>
      <c r="D2369" t="s">
        <v>933</v>
      </c>
      <c r="E2369" t="s">
        <v>13228</v>
      </c>
      <c r="F2369" t="s">
        <v>7672</v>
      </c>
      <c r="G2369" t="s">
        <v>13229</v>
      </c>
      <c r="H2369" t="s">
        <v>8515</v>
      </c>
      <c r="I2369" t="s">
        <v>9245</v>
      </c>
      <c r="J2369" t="s">
        <v>8531</v>
      </c>
    </row>
    <row r="2370" spans="1:10" x14ac:dyDescent="0.25">
      <c r="A2370" t="s">
        <v>13244</v>
      </c>
      <c r="B2370">
        <v>5.3120000000000003</v>
      </c>
      <c r="C2370" t="s">
        <v>13245</v>
      </c>
      <c r="D2370" t="s">
        <v>9254</v>
      </c>
      <c r="E2370" t="s">
        <v>13228</v>
      </c>
      <c r="F2370" t="s">
        <v>7672</v>
      </c>
      <c r="G2370" t="s">
        <v>13229</v>
      </c>
      <c r="H2370" t="s">
        <v>8515</v>
      </c>
      <c r="I2370" t="s">
        <v>13230</v>
      </c>
      <c r="J2370" t="s">
        <v>8531</v>
      </c>
    </row>
    <row r="2371" spans="1:10" x14ac:dyDescent="0.25">
      <c r="A2371" t="s">
        <v>13246</v>
      </c>
      <c r="B2371">
        <v>5.3120000000000003</v>
      </c>
      <c r="C2371" t="s">
        <v>13247</v>
      </c>
      <c r="D2371" t="s">
        <v>5105</v>
      </c>
      <c r="E2371" t="s">
        <v>13228</v>
      </c>
      <c r="F2371" t="s">
        <v>7672</v>
      </c>
      <c r="G2371" t="s">
        <v>13229</v>
      </c>
      <c r="H2371" t="s">
        <v>8515</v>
      </c>
      <c r="I2371" t="s">
        <v>13230</v>
      </c>
      <c r="J2371" t="s">
        <v>131</v>
      </c>
    </row>
    <row r="2372" spans="1:10" x14ac:dyDescent="0.25">
      <c r="A2372" t="s">
        <v>13248</v>
      </c>
      <c r="B2372">
        <v>5.3120000000000003</v>
      </c>
      <c r="C2372" t="s">
        <v>13249</v>
      </c>
      <c r="D2372" t="s">
        <v>3988</v>
      </c>
      <c r="E2372" t="s">
        <v>13228</v>
      </c>
      <c r="F2372" t="s">
        <v>7672</v>
      </c>
      <c r="G2372" t="s">
        <v>13229</v>
      </c>
      <c r="H2372" t="s">
        <v>8515</v>
      </c>
      <c r="I2372" t="s">
        <v>9245</v>
      </c>
      <c r="J2372" t="s">
        <v>131</v>
      </c>
    </row>
    <row r="2373" spans="1:10" x14ac:dyDescent="0.25">
      <c r="A2373" t="s">
        <v>13250</v>
      </c>
      <c r="B2373">
        <v>5.3120000000000003</v>
      </c>
      <c r="C2373" t="s">
        <v>13251</v>
      </c>
      <c r="D2373" t="s">
        <v>13252</v>
      </c>
      <c r="E2373" t="s">
        <v>13228</v>
      </c>
      <c r="F2373" t="s">
        <v>7672</v>
      </c>
      <c r="G2373" t="s">
        <v>13229</v>
      </c>
      <c r="H2373" t="s">
        <v>8515</v>
      </c>
      <c r="I2373" t="s">
        <v>9245</v>
      </c>
      <c r="J2373" t="s">
        <v>269</v>
      </c>
    </row>
    <row r="2374" spans="1:10" x14ac:dyDescent="0.25">
      <c r="A2374" t="s">
        <v>13253</v>
      </c>
      <c r="B2374">
        <v>5.3120000000000003</v>
      </c>
      <c r="C2374" t="s">
        <v>13254</v>
      </c>
      <c r="D2374" t="s">
        <v>12896</v>
      </c>
      <c r="E2374" t="s">
        <v>13228</v>
      </c>
      <c r="F2374" t="s">
        <v>7672</v>
      </c>
      <c r="G2374" t="s">
        <v>13229</v>
      </c>
      <c r="H2374" t="s">
        <v>8515</v>
      </c>
      <c r="I2374" t="s">
        <v>13230</v>
      </c>
      <c r="J2374" t="s">
        <v>269</v>
      </c>
    </row>
    <row r="2375" spans="1:10" x14ac:dyDescent="0.25">
      <c r="A2375" t="s">
        <v>13255</v>
      </c>
      <c r="B2375">
        <v>5.3120000000000003</v>
      </c>
      <c r="C2375" t="s">
        <v>13256</v>
      </c>
      <c r="D2375" t="s">
        <v>13257</v>
      </c>
      <c r="E2375" t="s">
        <v>13228</v>
      </c>
      <c r="F2375" t="s">
        <v>7672</v>
      </c>
      <c r="G2375" t="s">
        <v>13229</v>
      </c>
      <c r="H2375" t="s">
        <v>8515</v>
      </c>
      <c r="I2375" t="s">
        <v>13230</v>
      </c>
      <c r="J2375" t="s">
        <v>255</v>
      </c>
    </row>
    <row r="2376" spans="1:10" x14ac:dyDescent="0.25">
      <c r="A2376" t="s">
        <v>13258</v>
      </c>
      <c r="B2376">
        <v>5.3120000000000003</v>
      </c>
      <c r="C2376" t="s">
        <v>13259</v>
      </c>
      <c r="D2376" t="s">
        <v>13260</v>
      </c>
      <c r="E2376" t="s">
        <v>13228</v>
      </c>
      <c r="F2376" t="s">
        <v>7672</v>
      </c>
      <c r="G2376" t="s">
        <v>13229</v>
      </c>
      <c r="H2376" t="s">
        <v>8515</v>
      </c>
      <c r="I2376" t="s">
        <v>9245</v>
      </c>
      <c r="J2376" t="s">
        <v>255</v>
      </c>
    </row>
    <row r="2377" spans="1:10" x14ac:dyDescent="0.25">
      <c r="A2377" t="s">
        <v>13261</v>
      </c>
      <c r="B2377">
        <v>5.3120000000000003</v>
      </c>
      <c r="C2377" t="s">
        <v>13262</v>
      </c>
      <c r="D2377" t="s">
        <v>13263</v>
      </c>
      <c r="E2377" t="s">
        <v>13228</v>
      </c>
      <c r="F2377" t="s">
        <v>7672</v>
      </c>
      <c r="G2377" t="s">
        <v>13229</v>
      </c>
      <c r="H2377" t="s">
        <v>8515</v>
      </c>
      <c r="I2377" t="s">
        <v>9245</v>
      </c>
      <c r="J2377" t="s">
        <v>277</v>
      </c>
    </row>
    <row r="2378" spans="1:10" x14ac:dyDescent="0.25">
      <c r="A2378" t="s">
        <v>13264</v>
      </c>
      <c r="B2378">
        <v>5.3120000000000003</v>
      </c>
      <c r="C2378" t="s">
        <v>13265</v>
      </c>
      <c r="D2378" t="s">
        <v>8007</v>
      </c>
      <c r="E2378" t="s">
        <v>13228</v>
      </c>
      <c r="F2378" t="s">
        <v>7672</v>
      </c>
      <c r="G2378" t="s">
        <v>13229</v>
      </c>
      <c r="H2378" t="s">
        <v>8515</v>
      </c>
      <c r="I2378" t="s">
        <v>13230</v>
      </c>
      <c r="J2378" t="s">
        <v>277</v>
      </c>
    </row>
    <row r="2379" spans="1:10" x14ac:dyDescent="0.25">
      <c r="A2379" t="s">
        <v>13266</v>
      </c>
      <c r="B2379">
        <v>6.120000000000001</v>
      </c>
      <c r="C2379" t="s">
        <v>13267</v>
      </c>
      <c r="D2379" t="s">
        <v>131</v>
      </c>
      <c r="E2379" t="s">
        <v>13268</v>
      </c>
      <c r="F2379" t="s">
        <v>7672</v>
      </c>
      <c r="G2379" t="s">
        <v>13269</v>
      </c>
      <c r="H2379" t="s">
        <v>7674</v>
      </c>
      <c r="I2379" t="s">
        <v>13270</v>
      </c>
      <c r="J2379" t="s">
        <v>7686</v>
      </c>
    </row>
    <row r="2380" spans="1:10" x14ac:dyDescent="0.25">
      <c r="A2380" t="s">
        <v>13271</v>
      </c>
      <c r="B2380">
        <v>6.120000000000001</v>
      </c>
      <c r="C2380" t="s">
        <v>13272</v>
      </c>
      <c r="D2380" t="s">
        <v>720</v>
      </c>
      <c r="E2380" t="s">
        <v>13268</v>
      </c>
      <c r="F2380" t="s">
        <v>7672</v>
      </c>
      <c r="G2380" t="s">
        <v>13269</v>
      </c>
      <c r="H2380" t="s">
        <v>7674</v>
      </c>
      <c r="I2380" t="s">
        <v>13273</v>
      </c>
      <c r="J2380" t="s">
        <v>7686</v>
      </c>
    </row>
    <row r="2381" spans="1:10" x14ac:dyDescent="0.25">
      <c r="A2381" t="s">
        <v>13274</v>
      </c>
      <c r="B2381">
        <v>6.120000000000001</v>
      </c>
      <c r="C2381" t="s">
        <v>13275</v>
      </c>
      <c r="D2381" t="s">
        <v>5565</v>
      </c>
      <c r="E2381" t="s">
        <v>13268</v>
      </c>
      <c r="F2381" t="s">
        <v>7672</v>
      </c>
      <c r="G2381" t="s">
        <v>13269</v>
      </c>
      <c r="H2381" t="s">
        <v>7674</v>
      </c>
      <c r="I2381" t="s">
        <v>13276</v>
      </c>
      <c r="J2381" t="s">
        <v>7703</v>
      </c>
    </row>
    <row r="2382" spans="1:10" x14ac:dyDescent="0.25">
      <c r="A2382" t="s">
        <v>13277</v>
      </c>
      <c r="B2382">
        <v>6.120000000000001</v>
      </c>
      <c r="C2382" t="s">
        <v>13278</v>
      </c>
      <c r="D2382" t="s">
        <v>9399</v>
      </c>
      <c r="E2382" t="s">
        <v>13268</v>
      </c>
      <c r="F2382" t="s">
        <v>7672</v>
      </c>
      <c r="G2382" t="s">
        <v>13269</v>
      </c>
      <c r="H2382" t="s">
        <v>7674</v>
      </c>
      <c r="I2382" t="s">
        <v>13273</v>
      </c>
      <c r="J2382" t="s">
        <v>7703</v>
      </c>
    </row>
    <row r="2383" spans="1:10" x14ac:dyDescent="0.25">
      <c r="A2383" t="s">
        <v>13279</v>
      </c>
      <c r="B2383">
        <v>6.120000000000001</v>
      </c>
      <c r="C2383" t="s">
        <v>13280</v>
      </c>
      <c r="D2383" t="s">
        <v>12639</v>
      </c>
      <c r="E2383" t="s">
        <v>13268</v>
      </c>
      <c r="F2383" t="s">
        <v>7672</v>
      </c>
      <c r="G2383" t="s">
        <v>13269</v>
      </c>
      <c r="H2383" t="s">
        <v>7674</v>
      </c>
      <c r="I2383" t="s">
        <v>13270</v>
      </c>
      <c r="J2383" t="s">
        <v>7703</v>
      </c>
    </row>
    <row r="2384" spans="1:10" x14ac:dyDescent="0.25">
      <c r="A2384" t="s">
        <v>13281</v>
      </c>
      <c r="B2384">
        <v>6.120000000000001</v>
      </c>
      <c r="C2384" t="s">
        <v>13282</v>
      </c>
      <c r="D2384" t="s">
        <v>3086</v>
      </c>
      <c r="E2384" t="s">
        <v>13268</v>
      </c>
      <c r="F2384" t="s">
        <v>7672</v>
      </c>
      <c r="G2384" t="s">
        <v>13269</v>
      </c>
      <c r="H2384" t="s">
        <v>7674</v>
      </c>
      <c r="I2384" t="s">
        <v>13270</v>
      </c>
      <c r="J2384" t="s">
        <v>7713</v>
      </c>
    </row>
    <row r="2385" spans="1:10" x14ac:dyDescent="0.25">
      <c r="A2385" t="s">
        <v>13283</v>
      </c>
      <c r="B2385">
        <v>6.120000000000001</v>
      </c>
      <c r="C2385" t="s">
        <v>13284</v>
      </c>
      <c r="D2385" t="s">
        <v>1949</v>
      </c>
      <c r="E2385" t="s">
        <v>13268</v>
      </c>
      <c r="F2385" t="s">
        <v>7672</v>
      </c>
      <c r="G2385" t="s">
        <v>13269</v>
      </c>
      <c r="H2385" t="s">
        <v>7674</v>
      </c>
      <c r="I2385" t="s">
        <v>13273</v>
      </c>
      <c r="J2385" t="s">
        <v>7713</v>
      </c>
    </row>
    <row r="2386" spans="1:10" x14ac:dyDescent="0.25">
      <c r="A2386" t="s">
        <v>13285</v>
      </c>
      <c r="B2386">
        <v>6.120000000000001</v>
      </c>
      <c r="C2386" t="s">
        <v>13286</v>
      </c>
      <c r="D2386" t="s">
        <v>8450</v>
      </c>
      <c r="E2386" t="s">
        <v>13268</v>
      </c>
      <c r="F2386" t="s">
        <v>7672</v>
      </c>
      <c r="G2386" t="s">
        <v>13269</v>
      </c>
      <c r="H2386" t="s">
        <v>7674</v>
      </c>
      <c r="I2386" t="s">
        <v>13276</v>
      </c>
      <c r="J2386" t="s">
        <v>7713</v>
      </c>
    </row>
    <row r="2387" spans="1:10" x14ac:dyDescent="0.25">
      <c r="A2387" t="s">
        <v>13287</v>
      </c>
      <c r="B2387">
        <v>6.120000000000001</v>
      </c>
      <c r="C2387" t="s">
        <v>13288</v>
      </c>
      <c r="D2387" t="s">
        <v>8786</v>
      </c>
      <c r="E2387" t="s">
        <v>13268</v>
      </c>
      <c r="F2387" t="s">
        <v>7672</v>
      </c>
      <c r="G2387" t="s">
        <v>13269</v>
      </c>
      <c r="H2387" t="s">
        <v>7674</v>
      </c>
      <c r="I2387" t="s">
        <v>13276</v>
      </c>
      <c r="J2387" t="s">
        <v>7719</v>
      </c>
    </row>
    <row r="2388" spans="1:10" x14ac:dyDescent="0.25">
      <c r="A2388" t="s">
        <v>13289</v>
      </c>
      <c r="B2388">
        <v>6.120000000000001</v>
      </c>
      <c r="C2388" t="s">
        <v>13290</v>
      </c>
      <c r="D2388" t="s">
        <v>124</v>
      </c>
      <c r="E2388" t="s">
        <v>13268</v>
      </c>
      <c r="F2388" t="s">
        <v>7672</v>
      </c>
      <c r="G2388" t="s">
        <v>13269</v>
      </c>
      <c r="H2388" t="s">
        <v>7674</v>
      </c>
      <c r="I2388" t="s">
        <v>13270</v>
      </c>
      <c r="J2388" t="s">
        <v>7719</v>
      </c>
    </row>
    <row r="2389" spans="1:10" x14ac:dyDescent="0.25">
      <c r="A2389" t="s">
        <v>13291</v>
      </c>
      <c r="B2389">
        <v>6.120000000000001</v>
      </c>
      <c r="C2389" t="s">
        <v>13292</v>
      </c>
      <c r="D2389" t="s">
        <v>330</v>
      </c>
      <c r="E2389" t="s">
        <v>13268</v>
      </c>
      <c r="F2389" t="s">
        <v>7672</v>
      </c>
      <c r="G2389" t="s">
        <v>13269</v>
      </c>
      <c r="H2389" t="s">
        <v>7674</v>
      </c>
      <c r="I2389" t="s">
        <v>13273</v>
      </c>
      <c r="J2389" t="s">
        <v>7719</v>
      </c>
    </row>
    <row r="2390" spans="1:10" x14ac:dyDescent="0.25">
      <c r="A2390" t="s">
        <v>13293</v>
      </c>
      <c r="B2390">
        <v>6.120000000000001</v>
      </c>
      <c r="C2390" t="s">
        <v>13294</v>
      </c>
      <c r="D2390" t="s">
        <v>849</v>
      </c>
      <c r="E2390" t="s">
        <v>13268</v>
      </c>
      <c r="F2390" t="s">
        <v>7672</v>
      </c>
      <c r="G2390" t="s">
        <v>13269</v>
      </c>
      <c r="H2390" t="s">
        <v>7674</v>
      </c>
      <c r="I2390" t="s">
        <v>13295</v>
      </c>
      <c r="J2390" t="s">
        <v>7719</v>
      </c>
    </row>
    <row r="2391" spans="1:10" x14ac:dyDescent="0.25">
      <c r="A2391" t="s">
        <v>13296</v>
      </c>
      <c r="B2391">
        <v>3.1920000000000002</v>
      </c>
      <c r="C2391" t="s">
        <v>13297</v>
      </c>
      <c r="D2391" t="s">
        <v>282</v>
      </c>
      <c r="E2391" t="s">
        <v>13298</v>
      </c>
      <c r="F2391" t="s">
        <v>7672</v>
      </c>
      <c r="G2391" t="s">
        <v>13299</v>
      </c>
      <c r="H2391" t="s">
        <v>7974</v>
      </c>
      <c r="I2391" t="s">
        <v>13300</v>
      </c>
      <c r="J2391" t="s">
        <v>7942</v>
      </c>
    </row>
    <row r="2392" spans="1:10" x14ac:dyDescent="0.25">
      <c r="A2392" t="s">
        <v>13301</v>
      </c>
      <c r="B2392">
        <v>3.1920000000000002</v>
      </c>
      <c r="C2392" t="s">
        <v>13302</v>
      </c>
      <c r="D2392" t="s">
        <v>613</v>
      </c>
      <c r="E2392" t="s">
        <v>13298</v>
      </c>
      <c r="F2392" t="s">
        <v>7672</v>
      </c>
      <c r="G2392" t="s">
        <v>13299</v>
      </c>
      <c r="H2392" t="s">
        <v>7974</v>
      </c>
      <c r="I2392" t="s">
        <v>13303</v>
      </c>
      <c r="J2392" t="s">
        <v>7942</v>
      </c>
    </row>
    <row r="2393" spans="1:10" x14ac:dyDescent="0.25">
      <c r="A2393" t="s">
        <v>13304</v>
      </c>
      <c r="B2393">
        <v>3.1920000000000002</v>
      </c>
      <c r="C2393" t="s">
        <v>13305</v>
      </c>
      <c r="D2393" t="s">
        <v>67</v>
      </c>
      <c r="E2393" t="s">
        <v>13298</v>
      </c>
      <c r="F2393" t="s">
        <v>7672</v>
      </c>
      <c r="G2393" t="s">
        <v>13299</v>
      </c>
      <c r="H2393" t="s">
        <v>7974</v>
      </c>
      <c r="I2393" t="s">
        <v>13306</v>
      </c>
      <c r="J2393" t="s">
        <v>7942</v>
      </c>
    </row>
    <row r="2394" spans="1:10" x14ac:dyDescent="0.25">
      <c r="A2394" t="s">
        <v>13307</v>
      </c>
      <c r="B2394">
        <v>3.1920000000000002</v>
      </c>
      <c r="C2394" t="s">
        <v>13308</v>
      </c>
      <c r="D2394" t="s">
        <v>46</v>
      </c>
      <c r="E2394" t="s">
        <v>13298</v>
      </c>
      <c r="F2394" t="s">
        <v>7672</v>
      </c>
      <c r="G2394" t="s">
        <v>13299</v>
      </c>
      <c r="H2394" t="s">
        <v>7974</v>
      </c>
      <c r="I2394" t="s">
        <v>76</v>
      </c>
      <c r="J2394" t="s">
        <v>7981</v>
      </c>
    </row>
    <row r="2395" spans="1:10" x14ac:dyDescent="0.25">
      <c r="A2395" t="s">
        <v>13309</v>
      </c>
      <c r="B2395">
        <v>3.1920000000000002</v>
      </c>
      <c r="C2395" t="s">
        <v>13310</v>
      </c>
      <c r="D2395" t="s">
        <v>5179</v>
      </c>
      <c r="E2395" t="s">
        <v>13298</v>
      </c>
      <c r="F2395" t="s">
        <v>7672</v>
      </c>
      <c r="G2395" t="s">
        <v>13299</v>
      </c>
      <c r="H2395" t="s">
        <v>7974</v>
      </c>
      <c r="I2395" t="s">
        <v>13306</v>
      </c>
      <c r="J2395" t="s">
        <v>7981</v>
      </c>
    </row>
    <row r="2396" spans="1:10" x14ac:dyDescent="0.25">
      <c r="A2396" t="s">
        <v>13311</v>
      </c>
      <c r="B2396">
        <v>3.1920000000000002</v>
      </c>
      <c r="C2396" t="s">
        <v>13312</v>
      </c>
      <c r="D2396" t="s">
        <v>164</v>
      </c>
      <c r="E2396" t="s">
        <v>13298</v>
      </c>
      <c r="F2396" t="s">
        <v>7672</v>
      </c>
      <c r="G2396" t="s">
        <v>13299</v>
      </c>
      <c r="H2396" t="s">
        <v>7974</v>
      </c>
      <c r="I2396" t="s">
        <v>13303</v>
      </c>
      <c r="J2396" t="s">
        <v>7984</v>
      </c>
    </row>
    <row r="2397" spans="1:10" x14ac:dyDescent="0.25">
      <c r="A2397" t="s">
        <v>13313</v>
      </c>
      <c r="B2397">
        <v>3.1920000000000002</v>
      </c>
      <c r="C2397" t="s">
        <v>13314</v>
      </c>
      <c r="D2397" t="s">
        <v>13315</v>
      </c>
      <c r="E2397" t="s">
        <v>13298</v>
      </c>
      <c r="F2397" t="s">
        <v>7672</v>
      </c>
      <c r="G2397" t="s">
        <v>13299</v>
      </c>
      <c r="H2397" t="s">
        <v>7974</v>
      </c>
      <c r="I2397" t="s">
        <v>13306</v>
      </c>
      <c r="J2397" t="s">
        <v>7984</v>
      </c>
    </row>
    <row r="2398" spans="1:10" x14ac:dyDescent="0.25">
      <c r="A2398" t="s">
        <v>13316</v>
      </c>
      <c r="B2398">
        <v>3.1920000000000002</v>
      </c>
      <c r="C2398" t="s">
        <v>13317</v>
      </c>
      <c r="D2398" t="s">
        <v>3409</v>
      </c>
      <c r="E2398" t="s">
        <v>13298</v>
      </c>
      <c r="F2398" t="s">
        <v>7672</v>
      </c>
      <c r="G2398" t="s">
        <v>13299</v>
      </c>
      <c r="H2398" t="s">
        <v>7974</v>
      </c>
      <c r="I2398" t="s">
        <v>13318</v>
      </c>
      <c r="J2398" t="s">
        <v>7987</v>
      </c>
    </row>
    <row r="2399" spans="1:10" x14ac:dyDescent="0.25">
      <c r="A2399" t="s">
        <v>13319</v>
      </c>
      <c r="B2399">
        <v>3.1920000000000002</v>
      </c>
      <c r="C2399" t="s">
        <v>13320</v>
      </c>
      <c r="D2399" t="s">
        <v>13321</v>
      </c>
      <c r="E2399" t="s">
        <v>13298</v>
      </c>
      <c r="F2399" t="s">
        <v>7672</v>
      </c>
      <c r="G2399" t="s">
        <v>13299</v>
      </c>
      <c r="H2399" t="s">
        <v>7974</v>
      </c>
      <c r="I2399" t="s">
        <v>13306</v>
      </c>
      <c r="J2399" t="s">
        <v>7987</v>
      </c>
    </row>
    <row r="2400" spans="1:10" x14ac:dyDescent="0.25">
      <c r="A2400" t="s">
        <v>13322</v>
      </c>
      <c r="B2400">
        <v>3.1920000000000002</v>
      </c>
      <c r="C2400" t="s">
        <v>13323</v>
      </c>
      <c r="D2400" t="s">
        <v>4322</v>
      </c>
      <c r="E2400" t="s">
        <v>13298</v>
      </c>
      <c r="F2400" t="s">
        <v>7672</v>
      </c>
      <c r="G2400" t="s">
        <v>13299</v>
      </c>
      <c r="H2400" t="s">
        <v>7974</v>
      </c>
      <c r="I2400" t="s">
        <v>76</v>
      </c>
      <c r="J2400" t="s">
        <v>8001</v>
      </c>
    </row>
    <row r="2401" spans="1:10" x14ac:dyDescent="0.25">
      <c r="A2401" t="s">
        <v>13324</v>
      </c>
      <c r="B2401">
        <v>3.1920000000000002</v>
      </c>
      <c r="C2401" t="s">
        <v>13325</v>
      </c>
      <c r="D2401" t="s">
        <v>2238</v>
      </c>
      <c r="E2401" t="s">
        <v>13298</v>
      </c>
      <c r="F2401" t="s">
        <v>7672</v>
      </c>
      <c r="G2401" t="s">
        <v>13299</v>
      </c>
      <c r="H2401" t="s">
        <v>7974</v>
      </c>
      <c r="I2401" t="s">
        <v>13326</v>
      </c>
      <c r="J2401" t="s">
        <v>8001</v>
      </c>
    </row>
    <row r="2402" spans="1:10" x14ac:dyDescent="0.25">
      <c r="A2402" t="s">
        <v>13327</v>
      </c>
      <c r="B2402">
        <v>3.1920000000000002</v>
      </c>
      <c r="C2402" t="s">
        <v>13328</v>
      </c>
      <c r="D2402" t="s">
        <v>7937</v>
      </c>
      <c r="E2402" t="s">
        <v>13298</v>
      </c>
      <c r="F2402" t="s">
        <v>7672</v>
      </c>
      <c r="G2402" t="s">
        <v>13299</v>
      </c>
      <c r="H2402" t="s">
        <v>7974</v>
      </c>
      <c r="I2402" t="s">
        <v>13318</v>
      </c>
      <c r="J2402" t="s">
        <v>8001</v>
      </c>
    </row>
    <row r="2403" spans="1:10" x14ac:dyDescent="0.25">
      <c r="A2403" t="s">
        <v>13329</v>
      </c>
      <c r="B2403">
        <v>3.1920000000000002</v>
      </c>
      <c r="C2403" t="s">
        <v>13330</v>
      </c>
      <c r="D2403" t="s">
        <v>8803</v>
      </c>
      <c r="E2403" t="s">
        <v>13298</v>
      </c>
      <c r="F2403" t="s">
        <v>7672</v>
      </c>
      <c r="G2403" t="s">
        <v>13299</v>
      </c>
      <c r="H2403" t="s">
        <v>7974</v>
      </c>
      <c r="I2403" t="s">
        <v>13303</v>
      </c>
      <c r="J2403" t="s">
        <v>8001</v>
      </c>
    </row>
    <row r="2404" spans="1:10" x14ac:dyDescent="0.25">
      <c r="A2404" t="s">
        <v>13331</v>
      </c>
      <c r="B2404">
        <v>3.1920000000000002</v>
      </c>
      <c r="C2404" t="s">
        <v>13332</v>
      </c>
      <c r="D2404" t="s">
        <v>13333</v>
      </c>
      <c r="E2404" t="s">
        <v>13298</v>
      </c>
      <c r="F2404" t="s">
        <v>7672</v>
      </c>
      <c r="G2404" t="s">
        <v>13299</v>
      </c>
      <c r="H2404" t="s">
        <v>7974</v>
      </c>
      <c r="I2404" t="s">
        <v>13306</v>
      </c>
      <c r="J2404" t="s">
        <v>8001</v>
      </c>
    </row>
    <row r="2405" spans="1:10" x14ac:dyDescent="0.25">
      <c r="A2405" t="s">
        <v>13334</v>
      </c>
      <c r="B2405">
        <v>3.1920000000000002</v>
      </c>
      <c r="C2405" t="s">
        <v>13335</v>
      </c>
      <c r="D2405" t="s">
        <v>10957</v>
      </c>
      <c r="E2405" t="s">
        <v>13298</v>
      </c>
      <c r="F2405" t="s">
        <v>7672</v>
      </c>
      <c r="G2405" t="s">
        <v>13299</v>
      </c>
      <c r="H2405" t="s">
        <v>7974</v>
      </c>
      <c r="I2405" t="s">
        <v>76</v>
      </c>
      <c r="J2405" t="s">
        <v>8013</v>
      </c>
    </row>
    <row r="2406" spans="1:10" x14ac:dyDescent="0.25">
      <c r="A2406" t="s">
        <v>13336</v>
      </c>
      <c r="B2406">
        <v>3.1920000000000002</v>
      </c>
      <c r="C2406" t="s">
        <v>13337</v>
      </c>
      <c r="D2406" t="s">
        <v>11269</v>
      </c>
      <c r="E2406" t="s">
        <v>13298</v>
      </c>
      <c r="F2406" t="s">
        <v>7672</v>
      </c>
      <c r="G2406" t="s">
        <v>13299</v>
      </c>
      <c r="H2406" t="s">
        <v>7974</v>
      </c>
      <c r="I2406" t="s">
        <v>13318</v>
      </c>
      <c r="J2406" t="s">
        <v>8013</v>
      </c>
    </row>
    <row r="2407" spans="1:10" x14ac:dyDescent="0.25">
      <c r="A2407" t="s">
        <v>13338</v>
      </c>
      <c r="B2407">
        <v>3.1920000000000002</v>
      </c>
      <c r="C2407" t="s">
        <v>13339</v>
      </c>
      <c r="D2407" t="s">
        <v>5119</v>
      </c>
      <c r="E2407" t="s">
        <v>13298</v>
      </c>
      <c r="F2407" t="s">
        <v>7672</v>
      </c>
      <c r="G2407" t="s">
        <v>13299</v>
      </c>
      <c r="H2407" t="s">
        <v>7974</v>
      </c>
      <c r="I2407" t="s">
        <v>13303</v>
      </c>
      <c r="J2407" t="s">
        <v>8013</v>
      </c>
    </row>
    <row r="2408" spans="1:10" x14ac:dyDescent="0.25">
      <c r="A2408" t="s">
        <v>13340</v>
      </c>
      <c r="B2408">
        <v>3.1920000000000002</v>
      </c>
      <c r="C2408" t="s">
        <v>13341</v>
      </c>
      <c r="D2408" t="s">
        <v>8190</v>
      </c>
      <c r="E2408" t="s">
        <v>13298</v>
      </c>
      <c r="F2408" t="s">
        <v>7672</v>
      </c>
      <c r="G2408" t="s">
        <v>13299</v>
      </c>
      <c r="H2408" t="s">
        <v>7974</v>
      </c>
      <c r="I2408" t="s">
        <v>13306</v>
      </c>
      <c r="J2408" t="s">
        <v>8013</v>
      </c>
    </row>
    <row r="2409" spans="1:10" x14ac:dyDescent="0.25">
      <c r="A2409" t="s">
        <v>13342</v>
      </c>
      <c r="B2409">
        <v>3.1920000000000002</v>
      </c>
      <c r="C2409" t="s">
        <v>13343</v>
      </c>
      <c r="D2409" t="s">
        <v>715</v>
      </c>
      <c r="E2409" t="s">
        <v>13298</v>
      </c>
      <c r="F2409" t="s">
        <v>7672</v>
      </c>
      <c r="G2409" t="s">
        <v>13299</v>
      </c>
      <c r="H2409" t="s">
        <v>7974</v>
      </c>
      <c r="I2409" t="s">
        <v>13300</v>
      </c>
      <c r="J2409" t="s">
        <v>8013</v>
      </c>
    </row>
    <row r="2410" spans="1:10" x14ac:dyDescent="0.25">
      <c r="A2410" t="s">
        <v>13344</v>
      </c>
      <c r="B2410">
        <v>3.8319999999999999</v>
      </c>
      <c r="C2410" t="s">
        <v>13345</v>
      </c>
      <c r="D2410" t="s">
        <v>13346</v>
      </c>
      <c r="E2410" t="s">
        <v>13347</v>
      </c>
      <c r="F2410" t="s">
        <v>7672</v>
      </c>
      <c r="G2410" t="s">
        <v>13348</v>
      </c>
      <c r="H2410" t="s">
        <v>7674</v>
      </c>
      <c r="I2410" t="s">
        <v>13349</v>
      </c>
      <c r="J2410" t="s">
        <v>7987</v>
      </c>
    </row>
    <row r="2411" spans="1:10" x14ac:dyDescent="0.25">
      <c r="A2411" t="s">
        <v>13350</v>
      </c>
      <c r="B2411">
        <v>3.8319999999999999</v>
      </c>
      <c r="C2411" t="s">
        <v>13351</v>
      </c>
      <c r="D2411" t="s">
        <v>11776</v>
      </c>
      <c r="E2411" t="s">
        <v>13347</v>
      </c>
      <c r="F2411" t="s">
        <v>7672</v>
      </c>
      <c r="G2411" t="s">
        <v>13348</v>
      </c>
      <c r="H2411" t="s">
        <v>7674</v>
      </c>
      <c r="I2411" t="s">
        <v>8467</v>
      </c>
      <c r="J2411" t="s">
        <v>8001</v>
      </c>
    </row>
    <row r="2412" spans="1:10" x14ac:dyDescent="0.25">
      <c r="A2412" t="s">
        <v>13352</v>
      </c>
      <c r="B2412">
        <v>3.8319999999999999</v>
      </c>
      <c r="C2412" t="s">
        <v>13353</v>
      </c>
      <c r="D2412" t="s">
        <v>13354</v>
      </c>
      <c r="E2412" t="s">
        <v>13347</v>
      </c>
      <c r="F2412" t="s">
        <v>7672</v>
      </c>
      <c r="G2412" t="s">
        <v>13348</v>
      </c>
      <c r="H2412" t="s">
        <v>7674</v>
      </c>
      <c r="I2412" t="s">
        <v>13349</v>
      </c>
      <c r="J2412" t="s">
        <v>8001</v>
      </c>
    </row>
    <row r="2413" spans="1:10" x14ac:dyDescent="0.25">
      <c r="A2413" t="s">
        <v>13355</v>
      </c>
      <c r="B2413">
        <v>3.8319999999999999</v>
      </c>
      <c r="C2413" t="s">
        <v>13356</v>
      </c>
      <c r="D2413" t="s">
        <v>8865</v>
      </c>
      <c r="E2413" t="s">
        <v>13347</v>
      </c>
      <c r="F2413" t="s">
        <v>7672</v>
      </c>
      <c r="G2413" t="s">
        <v>13348</v>
      </c>
      <c r="H2413" t="s">
        <v>7674</v>
      </c>
      <c r="I2413" t="s">
        <v>8577</v>
      </c>
      <c r="J2413" t="s">
        <v>8001</v>
      </c>
    </row>
    <row r="2414" spans="1:10" x14ac:dyDescent="0.25">
      <c r="A2414" t="s">
        <v>13357</v>
      </c>
      <c r="B2414">
        <v>3.8319999999999999</v>
      </c>
      <c r="C2414" t="s">
        <v>13358</v>
      </c>
      <c r="D2414" t="s">
        <v>13359</v>
      </c>
      <c r="E2414" t="s">
        <v>13347</v>
      </c>
      <c r="F2414" t="s">
        <v>7672</v>
      </c>
      <c r="G2414" t="s">
        <v>13348</v>
      </c>
      <c r="H2414" t="s">
        <v>7674</v>
      </c>
      <c r="I2414" t="s">
        <v>8467</v>
      </c>
      <c r="J2414" t="s">
        <v>8013</v>
      </c>
    </row>
    <row r="2415" spans="1:10" x14ac:dyDescent="0.25">
      <c r="A2415" t="s">
        <v>13360</v>
      </c>
      <c r="B2415">
        <v>3.8319999999999999</v>
      </c>
      <c r="C2415" t="s">
        <v>13361</v>
      </c>
      <c r="D2415" t="s">
        <v>13362</v>
      </c>
      <c r="E2415" t="s">
        <v>13347</v>
      </c>
      <c r="F2415" t="s">
        <v>7672</v>
      </c>
      <c r="G2415" t="s">
        <v>13348</v>
      </c>
      <c r="H2415" t="s">
        <v>7674</v>
      </c>
      <c r="I2415" t="s">
        <v>13363</v>
      </c>
      <c r="J2415" t="s">
        <v>8013</v>
      </c>
    </row>
    <row r="2416" spans="1:10" x14ac:dyDescent="0.25">
      <c r="A2416" t="s">
        <v>13364</v>
      </c>
      <c r="B2416">
        <v>3.8319999999999999</v>
      </c>
      <c r="C2416" t="s">
        <v>13365</v>
      </c>
      <c r="D2416" t="s">
        <v>7725</v>
      </c>
      <c r="E2416" t="s">
        <v>13347</v>
      </c>
      <c r="F2416" t="s">
        <v>7672</v>
      </c>
      <c r="G2416" t="s">
        <v>13348</v>
      </c>
      <c r="H2416" t="s">
        <v>7674</v>
      </c>
      <c r="I2416" t="s">
        <v>13349</v>
      </c>
      <c r="J2416" t="s">
        <v>8013</v>
      </c>
    </row>
    <row r="2417" spans="1:10" x14ac:dyDescent="0.25">
      <c r="A2417" t="s">
        <v>13366</v>
      </c>
      <c r="B2417">
        <v>3.8319999999999999</v>
      </c>
      <c r="C2417" t="s">
        <v>13367</v>
      </c>
      <c r="D2417" t="s">
        <v>12855</v>
      </c>
      <c r="E2417" t="s">
        <v>13347</v>
      </c>
      <c r="F2417" t="s">
        <v>7672</v>
      </c>
      <c r="G2417" t="s">
        <v>13348</v>
      </c>
      <c r="H2417" t="s">
        <v>7674</v>
      </c>
      <c r="I2417" t="s">
        <v>8577</v>
      </c>
      <c r="J2417" t="s">
        <v>8013</v>
      </c>
    </row>
    <row r="2418" spans="1:10" x14ac:dyDescent="0.25">
      <c r="A2418" t="s">
        <v>13368</v>
      </c>
      <c r="B2418">
        <v>4.3920000000000003</v>
      </c>
      <c r="C2418" t="s">
        <v>13369</v>
      </c>
      <c r="D2418" t="s">
        <v>13370</v>
      </c>
      <c r="E2418" t="s">
        <v>13371</v>
      </c>
      <c r="F2418" t="s">
        <v>7672</v>
      </c>
      <c r="G2418" t="s">
        <v>13372</v>
      </c>
      <c r="H2418" t="s">
        <v>8027</v>
      </c>
      <c r="I2418" t="s">
        <v>8194</v>
      </c>
      <c r="J2418" t="s">
        <v>8013</v>
      </c>
    </row>
    <row r="2419" spans="1:10" x14ac:dyDescent="0.25">
      <c r="A2419" t="s">
        <v>3087</v>
      </c>
      <c r="B2419">
        <v>40</v>
      </c>
      <c r="C2419" t="s">
        <v>3089</v>
      </c>
      <c r="D2419" t="s">
        <v>516</v>
      </c>
      <c r="E2419" t="s">
        <v>3090</v>
      </c>
      <c r="F2419" t="s">
        <v>7672</v>
      </c>
      <c r="G2419" t="s">
        <v>13373</v>
      </c>
      <c r="H2419" t="s">
        <v>12423</v>
      </c>
      <c r="I2419" t="s">
        <v>1490</v>
      </c>
      <c r="J2419" t="s">
        <v>7675</v>
      </c>
    </row>
    <row r="2420" spans="1:10" x14ac:dyDescent="0.25">
      <c r="A2420" t="s">
        <v>3094</v>
      </c>
      <c r="B2420">
        <v>40</v>
      </c>
      <c r="C2420" t="s">
        <v>3096</v>
      </c>
      <c r="D2420" t="s">
        <v>245</v>
      </c>
      <c r="E2420" t="s">
        <v>3090</v>
      </c>
      <c r="F2420" t="s">
        <v>7672</v>
      </c>
      <c r="G2420" t="s">
        <v>13373</v>
      </c>
      <c r="H2420" t="s">
        <v>12423</v>
      </c>
      <c r="I2420" t="s">
        <v>76</v>
      </c>
      <c r="J2420" t="s">
        <v>7675</v>
      </c>
    </row>
    <row r="2421" spans="1:10" x14ac:dyDescent="0.25">
      <c r="A2421" t="s">
        <v>3100</v>
      </c>
      <c r="B2421">
        <v>40</v>
      </c>
      <c r="C2421" t="s">
        <v>3102</v>
      </c>
      <c r="D2421" t="s">
        <v>588</v>
      </c>
      <c r="E2421" t="s">
        <v>3090</v>
      </c>
      <c r="F2421" t="s">
        <v>7672</v>
      </c>
      <c r="G2421" t="s">
        <v>13373</v>
      </c>
      <c r="H2421" t="s">
        <v>12423</v>
      </c>
      <c r="I2421" t="s">
        <v>935</v>
      </c>
      <c r="J2421" t="s">
        <v>7675</v>
      </c>
    </row>
    <row r="2422" spans="1:10" x14ac:dyDescent="0.25">
      <c r="A2422" t="s">
        <v>3106</v>
      </c>
      <c r="B2422">
        <v>40</v>
      </c>
      <c r="C2422" t="s">
        <v>3108</v>
      </c>
      <c r="D2422" t="s">
        <v>3110</v>
      </c>
      <c r="E2422" t="s">
        <v>3090</v>
      </c>
      <c r="F2422" t="s">
        <v>7672</v>
      </c>
      <c r="G2422" t="s">
        <v>13373</v>
      </c>
      <c r="H2422" t="s">
        <v>12423</v>
      </c>
      <c r="I2422" t="s">
        <v>1490</v>
      </c>
      <c r="J2422" t="s">
        <v>7686</v>
      </c>
    </row>
    <row r="2423" spans="1:10" x14ac:dyDescent="0.25">
      <c r="A2423" t="s">
        <v>3112</v>
      </c>
      <c r="B2423">
        <v>40</v>
      </c>
      <c r="C2423" t="s">
        <v>3114</v>
      </c>
      <c r="D2423" t="s">
        <v>396</v>
      </c>
      <c r="E2423" t="s">
        <v>3090</v>
      </c>
      <c r="F2423" t="s">
        <v>7672</v>
      </c>
      <c r="G2423" t="s">
        <v>13373</v>
      </c>
      <c r="H2423" t="s">
        <v>12423</v>
      </c>
      <c r="I2423" t="s">
        <v>8357</v>
      </c>
      <c r="J2423" t="s">
        <v>7686</v>
      </c>
    </row>
    <row r="2424" spans="1:10" x14ac:dyDescent="0.25">
      <c r="A2424" t="s">
        <v>3118</v>
      </c>
      <c r="B2424">
        <v>40</v>
      </c>
      <c r="C2424" t="s">
        <v>3120</v>
      </c>
      <c r="D2424" t="s">
        <v>1134</v>
      </c>
      <c r="E2424" t="s">
        <v>3090</v>
      </c>
      <c r="F2424" t="s">
        <v>7672</v>
      </c>
      <c r="G2424" t="s">
        <v>13373</v>
      </c>
      <c r="H2424" t="s">
        <v>12423</v>
      </c>
      <c r="I2424" t="s">
        <v>76</v>
      </c>
      <c r="J2424" t="s">
        <v>7686</v>
      </c>
    </row>
    <row r="2425" spans="1:10" x14ac:dyDescent="0.25">
      <c r="A2425" t="s">
        <v>3123</v>
      </c>
      <c r="B2425">
        <v>40</v>
      </c>
      <c r="C2425" t="s">
        <v>3125</v>
      </c>
      <c r="D2425" t="s">
        <v>776</v>
      </c>
      <c r="E2425" t="s">
        <v>3090</v>
      </c>
      <c r="F2425" t="s">
        <v>7672</v>
      </c>
      <c r="G2425" t="s">
        <v>13373</v>
      </c>
      <c r="H2425" t="s">
        <v>12423</v>
      </c>
      <c r="I2425" t="s">
        <v>935</v>
      </c>
      <c r="J2425" t="s">
        <v>7686</v>
      </c>
    </row>
    <row r="2426" spans="1:10" x14ac:dyDescent="0.25">
      <c r="A2426" t="s">
        <v>3128</v>
      </c>
      <c r="B2426">
        <v>40</v>
      </c>
      <c r="C2426" t="s">
        <v>3130</v>
      </c>
      <c r="D2426" t="s">
        <v>671</v>
      </c>
      <c r="E2426" t="s">
        <v>3090</v>
      </c>
      <c r="F2426" t="s">
        <v>7672</v>
      </c>
      <c r="G2426" t="s">
        <v>13373</v>
      </c>
      <c r="H2426" t="s">
        <v>12423</v>
      </c>
      <c r="I2426" t="s">
        <v>7248</v>
      </c>
      <c r="J2426" t="s">
        <v>7686</v>
      </c>
    </row>
    <row r="2427" spans="1:10" x14ac:dyDescent="0.25">
      <c r="A2427" t="s">
        <v>3134</v>
      </c>
      <c r="B2427">
        <v>40</v>
      </c>
      <c r="C2427" t="s">
        <v>3136</v>
      </c>
      <c r="D2427" t="s">
        <v>598</v>
      </c>
      <c r="E2427" t="s">
        <v>3090</v>
      </c>
      <c r="F2427" t="s">
        <v>7672</v>
      </c>
      <c r="G2427" t="s">
        <v>13373</v>
      </c>
      <c r="H2427" t="s">
        <v>12423</v>
      </c>
      <c r="I2427" t="s">
        <v>935</v>
      </c>
      <c r="J2427" t="s">
        <v>7703</v>
      </c>
    </row>
    <row r="2428" spans="1:10" x14ac:dyDescent="0.25">
      <c r="A2428" t="s">
        <v>3139</v>
      </c>
      <c r="B2428">
        <v>40</v>
      </c>
      <c r="C2428" t="s">
        <v>3141</v>
      </c>
      <c r="D2428" t="s">
        <v>926</v>
      </c>
      <c r="E2428" t="s">
        <v>3090</v>
      </c>
      <c r="F2428" t="s">
        <v>7672</v>
      </c>
      <c r="G2428" t="s">
        <v>13373</v>
      </c>
      <c r="H2428" t="s">
        <v>12423</v>
      </c>
      <c r="I2428" t="s">
        <v>8357</v>
      </c>
      <c r="J2428" t="s">
        <v>7713</v>
      </c>
    </row>
    <row r="2429" spans="1:10" x14ac:dyDescent="0.25">
      <c r="A2429" t="s">
        <v>3144</v>
      </c>
      <c r="B2429">
        <v>40</v>
      </c>
      <c r="C2429" t="s">
        <v>3146</v>
      </c>
      <c r="D2429" t="s">
        <v>296</v>
      </c>
      <c r="E2429" t="s">
        <v>3090</v>
      </c>
      <c r="F2429" t="s">
        <v>7672</v>
      </c>
      <c r="G2429" t="s">
        <v>13373</v>
      </c>
      <c r="H2429" t="s">
        <v>12423</v>
      </c>
      <c r="I2429" t="s">
        <v>1490</v>
      </c>
      <c r="J2429" t="s">
        <v>7713</v>
      </c>
    </row>
    <row r="2430" spans="1:10" x14ac:dyDescent="0.25">
      <c r="A2430" t="s">
        <v>3149</v>
      </c>
      <c r="B2430">
        <v>40</v>
      </c>
      <c r="C2430" t="s">
        <v>3151</v>
      </c>
      <c r="D2430" t="s">
        <v>3153</v>
      </c>
      <c r="E2430" t="s">
        <v>3090</v>
      </c>
      <c r="F2430" t="s">
        <v>7672</v>
      </c>
      <c r="G2430" t="s">
        <v>13373</v>
      </c>
      <c r="H2430" t="s">
        <v>12423</v>
      </c>
      <c r="I2430" t="s">
        <v>7248</v>
      </c>
      <c r="J2430" t="s">
        <v>7713</v>
      </c>
    </row>
    <row r="2431" spans="1:10" x14ac:dyDescent="0.25">
      <c r="A2431" t="s">
        <v>3155</v>
      </c>
      <c r="B2431">
        <v>40</v>
      </c>
      <c r="C2431" t="s">
        <v>3157</v>
      </c>
      <c r="D2431" t="s">
        <v>2238</v>
      </c>
      <c r="E2431" t="s">
        <v>3090</v>
      </c>
      <c r="F2431" t="s">
        <v>7672</v>
      </c>
      <c r="G2431" t="s">
        <v>13373</v>
      </c>
      <c r="H2431" t="s">
        <v>12423</v>
      </c>
      <c r="I2431" t="s">
        <v>935</v>
      </c>
      <c r="J2431" t="s">
        <v>7713</v>
      </c>
    </row>
    <row r="2432" spans="1:10" x14ac:dyDescent="0.25">
      <c r="A2432" t="s">
        <v>3160</v>
      </c>
      <c r="B2432">
        <v>40</v>
      </c>
      <c r="C2432" t="s">
        <v>3162</v>
      </c>
      <c r="D2432" t="s">
        <v>199</v>
      </c>
      <c r="E2432" t="s">
        <v>3090</v>
      </c>
      <c r="F2432" t="s">
        <v>7672</v>
      </c>
      <c r="G2432" t="s">
        <v>13373</v>
      </c>
      <c r="H2432" t="s">
        <v>12423</v>
      </c>
      <c r="I2432" t="s">
        <v>7248</v>
      </c>
      <c r="J2432" t="s">
        <v>7719</v>
      </c>
    </row>
    <row r="2433" spans="1:10" x14ac:dyDescent="0.25">
      <c r="A2433" t="s">
        <v>3165</v>
      </c>
      <c r="B2433">
        <v>40</v>
      </c>
      <c r="C2433" t="s">
        <v>3167</v>
      </c>
      <c r="D2433" t="s">
        <v>352</v>
      </c>
      <c r="E2433" t="s">
        <v>3090</v>
      </c>
      <c r="F2433" t="s">
        <v>7672</v>
      </c>
      <c r="G2433" t="s">
        <v>13373</v>
      </c>
      <c r="H2433" t="s">
        <v>12423</v>
      </c>
      <c r="I2433" t="s">
        <v>935</v>
      </c>
      <c r="J2433" t="s">
        <v>7719</v>
      </c>
    </row>
    <row r="2434" spans="1:10" x14ac:dyDescent="0.25">
      <c r="A2434" t="s">
        <v>13374</v>
      </c>
      <c r="B2434">
        <v>8.32</v>
      </c>
      <c r="C2434" t="s">
        <v>13375</v>
      </c>
      <c r="D2434" t="s">
        <v>12639</v>
      </c>
      <c r="E2434" t="s">
        <v>13376</v>
      </c>
      <c r="F2434" t="s">
        <v>7672</v>
      </c>
      <c r="G2434" t="s">
        <v>13377</v>
      </c>
      <c r="H2434" t="s">
        <v>10368</v>
      </c>
      <c r="I2434" t="s">
        <v>13378</v>
      </c>
      <c r="J2434" t="s">
        <v>11767</v>
      </c>
    </row>
    <row r="2435" spans="1:10" x14ac:dyDescent="0.25">
      <c r="A2435" t="s">
        <v>13379</v>
      </c>
      <c r="B2435">
        <v>8.32</v>
      </c>
      <c r="C2435" t="s">
        <v>13380</v>
      </c>
      <c r="D2435" t="s">
        <v>8759</v>
      </c>
      <c r="E2435" t="s">
        <v>13376</v>
      </c>
      <c r="F2435" t="s">
        <v>7672</v>
      </c>
      <c r="G2435" t="s">
        <v>13377</v>
      </c>
      <c r="H2435" t="s">
        <v>10368</v>
      </c>
      <c r="I2435" t="s">
        <v>13378</v>
      </c>
      <c r="J2435" t="s">
        <v>11582</v>
      </c>
    </row>
    <row r="2436" spans="1:10" x14ac:dyDescent="0.25">
      <c r="A2436" t="s">
        <v>13381</v>
      </c>
      <c r="B2436">
        <v>8.32</v>
      </c>
      <c r="C2436" t="s">
        <v>13382</v>
      </c>
      <c r="D2436" t="s">
        <v>2762</v>
      </c>
      <c r="E2436" t="s">
        <v>13376</v>
      </c>
      <c r="F2436" t="s">
        <v>7672</v>
      </c>
      <c r="G2436" t="s">
        <v>13377</v>
      </c>
      <c r="H2436" t="s">
        <v>10368</v>
      </c>
      <c r="I2436" t="s">
        <v>13378</v>
      </c>
      <c r="J2436" t="s">
        <v>11585</v>
      </c>
    </row>
    <row r="2437" spans="1:10" x14ac:dyDescent="0.25">
      <c r="A2437" t="s">
        <v>13383</v>
      </c>
      <c r="B2437">
        <v>8.32</v>
      </c>
      <c r="C2437" t="s">
        <v>13384</v>
      </c>
      <c r="D2437" t="s">
        <v>13063</v>
      </c>
      <c r="E2437" t="s">
        <v>13376</v>
      </c>
      <c r="F2437" t="s">
        <v>7672</v>
      </c>
      <c r="G2437" t="s">
        <v>13377</v>
      </c>
      <c r="H2437" t="s">
        <v>10368</v>
      </c>
      <c r="I2437" t="s">
        <v>13378</v>
      </c>
      <c r="J2437" t="s">
        <v>10369</v>
      </c>
    </row>
    <row r="2438" spans="1:10" x14ac:dyDescent="0.25">
      <c r="A2438" t="s">
        <v>13385</v>
      </c>
      <c r="B2438">
        <v>8.32</v>
      </c>
      <c r="C2438" t="s">
        <v>13386</v>
      </c>
      <c r="D2438" t="s">
        <v>12795</v>
      </c>
      <c r="E2438" t="s">
        <v>13376</v>
      </c>
      <c r="F2438" t="s">
        <v>7672</v>
      </c>
      <c r="G2438" t="s">
        <v>13377</v>
      </c>
      <c r="H2438" t="s">
        <v>10368</v>
      </c>
      <c r="I2438" t="s">
        <v>13378</v>
      </c>
      <c r="J2438" t="s">
        <v>11590</v>
      </c>
    </row>
    <row r="2439" spans="1:10" x14ac:dyDescent="0.25">
      <c r="A2439" t="s">
        <v>13387</v>
      </c>
      <c r="B2439">
        <v>8.32</v>
      </c>
      <c r="C2439" t="s">
        <v>13388</v>
      </c>
      <c r="D2439" t="s">
        <v>9503</v>
      </c>
      <c r="E2439" t="s">
        <v>13376</v>
      </c>
      <c r="F2439" t="s">
        <v>7672</v>
      </c>
      <c r="G2439" t="s">
        <v>13377</v>
      </c>
      <c r="H2439" t="s">
        <v>10368</v>
      </c>
      <c r="I2439" t="s">
        <v>13378</v>
      </c>
      <c r="J2439" t="s">
        <v>11593</v>
      </c>
    </row>
    <row r="2440" spans="1:10" x14ac:dyDescent="0.25">
      <c r="A2440" t="s">
        <v>13389</v>
      </c>
      <c r="B2440">
        <v>6</v>
      </c>
      <c r="C2440" t="s">
        <v>13390</v>
      </c>
      <c r="D2440" t="s">
        <v>1014</v>
      </c>
      <c r="E2440" t="s">
        <v>13391</v>
      </c>
      <c r="F2440" t="s">
        <v>7672</v>
      </c>
      <c r="G2440" t="s">
        <v>13392</v>
      </c>
      <c r="H2440" t="s">
        <v>7947</v>
      </c>
      <c r="I2440" t="s">
        <v>5202</v>
      </c>
      <c r="J2440" t="s">
        <v>9426</v>
      </c>
    </row>
    <row r="2441" spans="1:10" x14ac:dyDescent="0.25">
      <c r="A2441" t="s">
        <v>13393</v>
      </c>
      <c r="B2441">
        <v>27.992000000000001</v>
      </c>
      <c r="C2441" t="s">
        <v>13394</v>
      </c>
      <c r="D2441" t="s">
        <v>88</v>
      </c>
      <c r="E2441" t="s">
        <v>13395</v>
      </c>
      <c r="F2441" t="s">
        <v>7672</v>
      </c>
      <c r="G2441" t="s">
        <v>13396</v>
      </c>
      <c r="H2441" t="s">
        <v>8673</v>
      </c>
      <c r="I2441" t="s">
        <v>76</v>
      </c>
      <c r="J2441" t="s">
        <v>8675</v>
      </c>
    </row>
    <row r="2442" spans="1:10" x14ac:dyDescent="0.25">
      <c r="A2442" t="s">
        <v>13397</v>
      </c>
      <c r="B2442">
        <v>27.992000000000001</v>
      </c>
      <c r="C2442" t="s">
        <v>13398</v>
      </c>
      <c r="D2442" t="s">
        <v>1236</v>
      </c>
      <c r="E2442" t="s">
        <v>13395</v>
      </c>
      <c r="F2442" t="s">
        <v>7672</v>
      </c>
      <c r="G2442" t="s">
        <v>13396</v>
      </c>
      <c r="H2442" t="s">
        <v>8673</v>
      </c>
      <c r="I2442" t="s">
        <v>13399</v>
      </c>
      <c r="J2442" t="s">
        <v>8675</v>
      </c>
    </row>
    <row r="2443" spans="1:10" x14ac:dyDescent="0.25">
      <c r="A2443" t="s">
        <v>13400</v>
      </c>
      <c r="B2443">
        <v>27.992000000000001</v>
      </c>
      <c r="C2443" t="s">
        <v>13401</v>
      </c>
      <c r="D2443" t="s">
        <v>588</v>
      </c>
      <c r="E2443" t="s">
        <v>13395</v>
      </c>
      <c r="F2443" t="s">
        <v>7672</v>
      </c>
      <c r="G2443" t="s">
        <v>13396</v>
      </c>
      <c r="H2443" t="s">
        <v>8673</v>
      </c>
      <c r="I2443" t="s">
        <v>10415</v>
      </c>
      <c r="J2443" t="s">
        <v>8675</v>
      </c>
    </row>
    <row r="2444" spans="1:10" x14ac:dyDescent="0.25">
      <c r="A2444" t="s">
        <v>13402</v>
      </c>
      <c r="B2444">
        <v>27.992000000000001</v>
      </c>
      <c r="C2444" t="s">
        <v>13403</v>
      </c>
      <c r="D2444" t="s">
        <v>359</v>
      </c>
      <c r="E2444" t="s">
        <v>13395</v>
      </c>
      <c r="F2444" t="s">
        <v>7672</v>
      </c>
      <c r="G2444" t="s">
        <v>13396</v>
      </c>
      <c r="H2444" t="s">
        <v>8673</v>
      </c>
      <c r="I2444" t="s">
        <v>10387</v>
      </c>
      <c r="J2444" t="s">
        <v>8675</v>
      </c>
    </row>
    <row r="2445" spans="1:10" x14ac:dyDescent="0.25">
      <c r="A2445" t="s">
        <v>13404</v>
      </c>
      <c r="B2445">
        <v>27.992000000000001</v>
      </c>
      <c r="C2445" t="s">
        <v>13405</v>
      </c>
      <c r="D2445" t="s">
        <v>959</v>
      </c>
      <c r="E2445" t="s">
        <v>13395</v>
      </c>
      <c r="F2445" t="s">
        <v>7672</v>
      </c>
      <c r="G2445" t="s">
        <v>13396</v>
      </c>
      <c r="H2445" t="s">
        <v>8673</v>
      </c>
      <c r="I2445" t="s">
        <v>13406</v>
      </c>
      <c r="J2445" t="s">
        <v>8675</v>
      </c>
    </row>
    <row r="2446" spans="1:10" x14ac:dyDescent="0.25">
      <c r="A2446" t="s">
        <v>13407</v>
      </c>
      <c r="B2446">
        <v>27.992000000000001</v>
      </c>
      <c r="C2446" t="s">
        <v>13408</v>
      </c>
      <c r="D2446" t="s">
        <v>113</v>
      </c>
      <c r="E2446" t="s">
        <v>13395</v>
      </c>
      <c r="F2446" t="s">
        <v>7672</v>
      </c>
      <c r="G2446" t="s">
        <v>13396</v>
      </c>
      <c r="H2446" t="s">
        <v>8673</v>
      </c>
      <c r="I2446" t="s">
        <v>13409</v>
      </c>
      <c r="J2446" t="s">
        <v>8675</v>
      </c>
    </row>
    <row r="2447" spans="1:10" x14ac:dyDescent="0.25">
      <c r="A2447" t="s">
        <v>13410</v>
      </c>
      <c r="B2447">
        <v>27.992000000000001</v>
      </c>
      <c r="C2447" t="s">
        <v>13411</v>
      </c>
      <c r="D2447" t="s">
        <v>286</v>
      </c>
      <c r="E2447" t="s">
        <v>13395</v>
      </c>
      <c r="F2447" t="s">
        <v>7672</v>
      </c>
      <c r="G2447" t="s">
        <v>13396</v>
      </c>
      <c r="H2447" t="s">
        <v>8673</v>
      </c>
      <c r="I2447" t="s">
        <v>13412</v>
      </c>
      <c r="J2447" t="s">
        <v>8675</v>
      </c>
    </row>
    <row r="2448" spans="1:10" x14ac:dyDescent="0.25">
      <c r="A2448" t="s">
        <v>13413</v>
      </c>
      <c r="B2448">
        <v>27.992000000000001</v>
      </c>
      <c r="C2448" t="s">
        <v>13414</v>
      </c>
      <c r="D2448" t="s">
        <v>301</v>
      </c>
      <c r="E2448" t="s">
        <v>13395</v>
      </c>
      <c r="F2448" t="s">
        <v>7672</v>
      </c>
      <c r="G2448" t="s">
        <v>13396</v>
      </c>
      <c r="H2448" t="s">
        <v>8673</v>
      </c>
      <c r="I2448" t="s">
        <v>13415</v>
      </c>
      <c r="J2448" t="s">
        <v>8675</v>
      </c>
    </row>
    <row r="2449" spans="1:10" x14ac:dyDescent="0.25">
      <c r="A2449" t="s">
        <v>13416</v>
      </c>
      <c r="B2449">
        <v>27.992000000000001</v>
      </c>
      <c r="C2449" t="s">
        <v>13417</v>
      </c>
      <c r="D2449" t="s">
        <v>277</v>
      </c>
      <c r="E2449" t="s">
        <v>13395</v>
      </c>
      <c r="F2449" t="s">
        <v>7672</v>
      </c>
      <c r="G2449" t="s">
        <v>13396</v>
      </c>
      <c r="H2449" t="s">
        <v>8673</v>
      </c>
      <c r="I2449" t="s">
        <v>8747</v>
      </c>
      <c r="J2449" t="s">
        <v>8675</v>
      </c>
    </row>
    <row r="2450" spans="1:10" x14ac:dyDescent="0.25">
      <c r="A2450" t="s">
        <v>13418</v>
      </c>
      <c r="B2450">
        <v>27.992000000000001</v>
      </c>
      <c r="C2450" t="s">
        <v>13419</v>
      </c>
      <c r="D2450" t="s">
        <v>164</v>
      </c>
      <c r="E2450" t="s">
        <v>13395</v>
      </c>
      <c r="F2450" t="s">
        <v>7672</v>
      </c>
      <c r="G2450" t="s">
        <v>13396</v>
      </c>
      <c r="H2450" t="s">
        <v>8673</v>
      </c>
      <c r="I2450" t="s">
        <v>13420</v>
      </c>
      <c r="J2450" t="s">
        <v>8675</v>
      </c>
    </row>
    <row r="2451" spans="1:10" x14ac:dyDescent="0.25">
      <c r="A2451" t="s">
        <v>13421</v>
      </c>
      <c r="B2451">
        <v>8.3920000000000012</v>
      </c>
      <c r="C2451" t="s">
        <v>13422</v>
      </c>
      <c r="D2451" t="s">
        <v>576</v>
      </c>
      <c r="E2451" t="s">
        <v>13395</v>
      </c>
      <c r="F2451" t="s">
        <v>7672</v>
      </c>
      <c r="G2451" t="s">
        <v>13396</v>
      </c>
      <c r="H2451" t="s">
        <v>8673</v>
      </c>
      <c r="I2451" t="s">
        <v>13423</v>
      </c>
      <c r="J2451" t="s">
        <v>8675</v>
      </c>
    </row>
    <row r="2452" spans="1:10" x14ac:dyDescent="0.25">
      <c r="A2452" t="s">
        <v>13424</v>
      </c>
      <c r="B2452">
        <v>8.3920000000000012</v>
      </c>
      <c r="C2452" t="s">
        <v>13425</v>
      </c>
      <c r="D2452" t="s">
        <v>290</v>
      </c>
      <c r="E2452" t="s">
        <v>13395</v>
      </c>
      <c r="F2452" t="s">
        <v>7672</v>
      </c>
      <c r="G2452" t="s">
        <v>13396</v>
      </c>
      <c r="H2452" t="s">
        <v>8673</v>
      </c>
      <c r="I2452" t="s">
        <v>13426</v>
      </c>
      <c r="J2452" t="s">
        <v>8675</v>
      </c>
    </row>
    <row r="2453" spans="1:10" x14ac:dyDescent="0.25">
      <c r="A2453" t="s">
        <v>13427</v>
      </c>
      <c r="B2453">
        <v>27.992000000000001</v>
      </c>
      <c r="C2453" t="s">
        <v>13428</v>
      </c>
      <c r="D2453" t="s">
        <v>1097</v>
      </c>
      <c r="E2453" t="s">
        <v>13395</v>
      </c>
      <c r="F2453" t="s">
        <v>7672</v>
      </c>
      <c r="G2453" t="s">
        <v>13396</v>
      </c>
      <c r="H2453" t="s">
        <v>8673</v>
      </c>
      <c r="I2453" t="s">
        <v>76</v>
      </c>
      <c r="J2453" t="s">
        <v>8684</v>
      </c>
    </row>
    <row r="2454" spans="1:10" x14ac:dyDescent="0.25">
      <c r="A2454" t="s">
        <v>13429</v>
      </c>
      <c r="B2454">
        <v>27.992000000000001</v>
      </c>
      <c r="C2454" t="s">
        <v>13430</v>
      </c>
      <c r="D2454" t="s">
        <v>100</v>
      </c>
      <c r="E2454" t="s">
        <v>13395</v>
      </c>
      <c r="F2454" t="s">
        <v>7672</v>
      </c>
      <c r="G2454" t="s">
        <v>13396</v>
      </c>
      <c r="H2454" t="s">
        <v>8673</v>
      </c>
      <c r="I2454" t="s">
        <v>13431</v>
      </c>
      <c r="J2454" t="s">
        <v>8684</v>
      </c>
    </row>
    <row r="2455" spans="1:10" x14ac:dyDescent="0.25">
      <c r="A2455" t="s">
        <v>13432</v>
      </c>
      <c r="B2455">
        <v>27.992000000000001</v>
      </c>
      <c r="C2455" t="s">
        <v>13433</v>
      </c>
      <c r="D2455" t="s">
        <v>4270</v>
      </c>
      <c r="E2455" t="s">
        <v>13395</v>
      </c>
      <c r="F2455" t="s">
        <v>7672</v>
      </c>
      <c r="G2455" t="s">
        <v>13396</v>
      </c>
      <c r="H2455" t="s">
        <v>8673</v>
      </c>
      <c r="I2455" t="s">
        <v>13399</v>
      </c>
      <c r="J2455" t="s">
        <v>8684</v>
      </c>
    </row>
    <row r="2456" spans="1:10" x14ac:dyDescent="0.25">
      <c r="A2456" t="s">
        <v>13434</v>
      </c>
      <c r="B2456">
        <v>27.992000000000001</v>
      </c>
      <c r="C2456" t="s">
        <v>13435</v>
      </c>
      <c r="D2456" t="s">
        <v>1254</v>
      </c>
      <c r="E2456" t="s">
        <v>13395</v>
      </c>
      <c r="F2456" t="s">
        <v>7672</v>
      </c>
      <c r="G2456" t="s">
        <v>13396</v>
      </c>
      <c r="H2456" t="s">
        <v>8673</v>
      </c>
      <c r="I2456" t="s">
        <v>10415</v>
      </c>
      <c r="J2456" t="s">
        <v>8684</v>
      </c>
    </row>
    <row r="2457" spans="1:10" x14ac:dyDescent="0.25">
      <c r="A2457" t="s">
        <v>13436</v>
      </c>
      <c r="B2457">
        <v>27.992000000000001</v>
      </c>
      <c r="C2457" t="s">
        <v>13437</v>
      </c>
      <c r="D2457" t="s">
        <v>124</v>
      </c>
      <c r="E2457" t="s">
        <v>13395</v>
      </c>
      <c r="F2457" t="s">
        <v>7672</v>
      </c>
      <c r="G2457" t="s">
        <v>13396</v>
      </c>
      <c r="H2457" t="s">
        <v>8673</v>
      </c>
      <c r="I2457" t="s">
        <v>10387</v>
      </c>
      <c r="J2457" t="s">
        <v>8684</v>
      </c>
    </row>
    <row r="2458" spans="1:10" x14ac:dyDescent="0.25">
      <c r="A2458" t="s">
        <v>13438</v>
      </c>
      <c r="B2458">
        <v>27.992000000000001</v>
      </c>
      <c r="C2458" t="s">
        <v>13439</v>
      </c>
      <c r="D2458" t="s">
        <v>588</v>
      </c>
      <c r="E2458" t="s">
        <v>13395</v>
      </c>
      <c r="F2458" t="s">
        <v>7672</v>
      </c>
      <c r="G2458" t="s">
        <v>13396</v>
      </c>
      <c r="H2458" t="s">
        <v>8673</v>
      </c>
      <c r="I2458" t="s">
        <v>13412</v>
      </c>
      <c r="J2458" t="s">
        <v>8684</v>
      </c>
    </row>
    <row r="2459" spans="1:10" x14ac:dyDescent="0.25">
      <c r="A2459" t="s">
        <v>13440</v>
      </c>
      <c r="B2459">
        <v>27.992000000000001</v>
      </c>
      <c r="C2459" t="s">
        <v>13441</v>
      </c>
      <c r="D2459" t="s">
        <v>359</v>
      </c>
      <c r="E2459" t="s">
        <v>13395</v>
      </c>
      <c r="F2459" t="s">
        <v>7672</v>
      </c>
      <c r="G2459" t="s">
        <v>13396</v>
      </c>
      <c r="H2459" t="s">
        <v>8673</v>
      </c>
      <c r="I2459" t="s">
        <v>13406</v>
      </c>
      <c r="J2459" t="s">
        <v>8684</v>
      </c>
    </row>
    <row r="2460" spans="1:10" x14ac:dyDescent="0.25">
      <c r="A2460" t="s">
        <v>13442</v>
      </c>
      <c r="B2460">
        <v>27.992000000000001</v>
      </c>
      <c r="C2460" t="s">
        <v>13443</v>
      </c>
      <c r="D2460" t="s">
        <v>875</v>
      </c>
      <c r="E2460" t="s">
        <v>13395</v>
      </c>
      <c r="F2460" t="s">
        <v>7672</v>
      </c>
      <c r="G2460" t="s">
        <v>13396</v>
      </c>
      <c r="H2460" t="s">
        <v>8673</v>
      </c>
      <c r="I2460" t="s">
        <v>13409</v>
      </c>
      <c r="J2460" t="s">
        <v>8684</v>
      </c>
    </row>
    <row r="2461" spans="1:10" x14ac:dyDescent="0.25">
      <c r="A2461" t="s">
        <v>13444</v>
      </c>
      <c r="B2461">
        <v>27.992000000000001</v>
      </c>
      <c r="C2461" t="s">
        <v>13445</v>
      </c>
      <c r="D2461" t="s">
        <v>118</v>
      </c>
      <c r="E2461" t="s">
        <v>13395</v>
      </c>
      <c r="F2461" t="s">
        <v>7672</v>
      </c>
      <c r="G2461" t="s">
        <v>13396</v>
      </c>
      <c r="H2461" t="s">
        <v>8673</v>
      </c>
      <c r="I2461" t="s">
        <v>13415</v>
      </c>
      <c r="J2461" t="s">
        <v>8684</v>
      </c>
    </row>
    <row r="2462" spans="1:10" x14ac:dyDescent="0.25">
      <c r="A2462" t="s">
        <v>13446</v>
      </c>
      <c r="B2462">
        <v>27.992000000000001</v>
      </c>
      <c r="C2462" t="s">
        <v>13447</v>
      </c>
      <c r="D2462" t="s">
        <v>113</v>
      </c>
      <c r="E2462" t="s">
        <v>13395</v>
      </c>
      <c r="F2462" t="s">
        <v>7672</v>
      </c>
      <c r="G2462" t="s">
        <v>13396</v>
      </c>
      <c r="H2462" t="s">
        <v>8673</v>
      </c>
      <c r="I2462" t="s">
        <v>8747</v>
      </c>
      <c r="J2462" t="s">
        <v>8684</v>
      </c>
    </row>
    <row r="2463" spans="1:10" x14ac:dyDescent="0.25">
      <c r="A2463" t="s">
        <v>13448</v>
      </c>
      <c r="B2463">
        <v>27.992000000000001</v>
      </c>
      <c r="C2463" t="s">
        <v>13449</v>
      </c>
      <c r="D2463" t="s">
        <v>671</v>
      </c>
      <c r="E2463" t="s">
        <v>13395</v>
      </c>
      <c r="F2463" t="s">
        <v>7672</v>
      </c>
      <c r="G2463" t="s">
        <v>13396</v>
      </c>
      <c r="H2463" t="s">
        <v>8673</v>
      </c>
      <c r="I2463" t="s">
        <v>13420</v>
      </c>
      <c r="J2463" t="s">
        <v>8684</v>
      </c>
    </row>
    <row r="2464" spans="1:10" x14ac:dyDescent="0.25">
      <c r="A2464" t="s">
        <v>13450</v>
      </c>
      <c r="B2464">
        <v>8.3920000000000012</v>
      </c>
      <c r="C2464" t="s">
        <v>13451</v>
      </c>
      <c r="D2464" t="s">
        <v>342</v>
      </c>
      <c r="E2464" t="s">
        <v>13395</v>
      </c>
      <c r="F2464" t="s">
        <v>7672</v>
      </c>
      <c r="G2464" t="s">
        <v>13396</v>
      </c>
      <c r="H2464" t="s">
        <v>8673</v>
      </c>
      <c r="I2464" t="s">
        <v>13452</v>
      </c>
      <c r="J2464" t="s">
        <v>8684</v>
      </c>
    </row>
    <row r="2465" spans="1:10" x14ac:dyDescent="0.25">
      <c r="A2465" t="s">
        <v>13453</v>
      </c>
      <c r="B2465">
        <v>8.3920000000000012</v>
      </c>
      <c r="C2465" t="s">
        <v>13454</v>
      </c>
      <c r="D2465" t="s">
        <v>106</v>
      </c>
      <c r="E2465" t="s">
        <v>13395</v>
      </c>
      <c r="F2465" t="s">
        <v>7672</v>
      </c>
      <c r="G2465" t="s">
        <v>13396</v>
      </c>
      <c r="H2465" t="s">
        <v>8673</v>
      </c>
      <c r="I2465" t="s">
        <v>13423</v>
      </c>
      <c r="J2465" t="s">
        <v>8684</v>
      </c>
    </row>
    <row r="2466" spans="1:10" x14ac:dyDescent="0.25">
      <c r="A2466" t="s">
        <v>13455</v>
      </c>
      <c r="B2466">
        <v>27.992000000000001</v>
      </c>
      <c r="C2466" t="s">
        <v>13456</v>
      </c>
      <c r="D2466" t="s">
        <v>2697</v>
      </c>
      <c r="E2466" t="s">
        <v>13395</v>
      </c>
      <c r="F2466" t="s">
        <v>7672</v>
      </c>
      <c r="G2466" t="s">
        <v>13396</v>
      </c>
      <c r="H2466" t="s">
        <v>8673</v>
      </c>
      <c r="I2466" t="s">
        <v>76</v>
      </c>
      <c r="J2466" t="s">
        <v>9536</v>
      </c>
    </row>
    <row r="2467" spans="1:10" x14ac:dyDescent="0.25">
      <c r="A2467" t="s">
        <v>13457</v>
      </c>
      <c r="B2467">
        <v>27.992000000000001</v>
      </c>
      <c r="C2467" t="s">
        <v>13458</v>
      </c>
      <c r="D2467" t="s">
        <v>613</v>
      </c>
      <c r="E2467" t="s">
        <v>13395</v>
      </c>
      <c r="F2467" t="s">
        <v>7672</v>
      </c>
      <c r="G2467" t="s">
        <v>13396</v>
      </c>
      <c r="H2467" t="s">
        <v>8673</v>
      </c>
      <c r="I2467" t="s">
        <v>13399</v>
      </c>
      <c r="J2467" t="s">
        <v>9536</v>
      </c>
    </row>
    <row r="2468" spans="1:10" x14ac:dyDescent="0.25">
      <c r="A2468" t="s">
        <v>13459</v>
      </c>
      <c r="B2468">
        <v>27.992000000000001</v>
      </c>
      <c r="C2468" t="s">
        <v>13460</v>
      </c>
      <c r="D2468" t="s">
        <v>613</v>
      </c>
      <c r="E2468" t="s">
        <v>13395</v>
      </c>
      <c r="F2468" t="s">
        <v>7672</v>
      </c>
      <c r="G2468" t="s">
        <v>13396</v>
      </c>
      <c r="H2468" t="s">
        <v>8673</v>
      </c>
      <c r="I2468" t="s">
        <v>10415</v>
      </c>
      <c r="J2468" t="s">
        <v>9536</v>
      </c>
    </row>
    <row r="2469" spans="1:10" x14ac:dyDescent="0.25">
      <c r="A2469" t="s">
        <v>13461</v>
      </c>
      <c r="B2469">
        <v>27.992000000000001</v>
      </c>
      <c r="C2469" t="s">
        <v>13462</v>
      </c>
      <c r="D2469" t="s">
        <v>330</v>
      </c>
      <c r="E2469" t="s">
        <v>13395</v>
      </c>
      <c r="F2469" t="s">
        <v>7672</v>
      </c>
      <c r="G2469" t="s">
        <v>13396</v>
      </c>
      <c r="H2469" t="s">
        <v>8673</v>
      </c>
      <c r="I2469" t="s">
        <v>10387</v>
      </c>
      <c r="J2469" t="s">
        <v>9536</v>
      </c>
    </row>
    <row r="2470" spans="1:10" x14ac:dyDescent="0.25">
      <c r="A2470" t="s">
        <v>13463</v>
      </c>
      <c r="B2470">
        <v>27.992000000000001</v>
      </c>
      <c r="C2470" t="s">
        <v>13464</v>
      </c>
      <c r="D2470" t="s">
        <v>113</v>
      </c>
      <c r="E2470" t="s">
        <v>13395</v>
      </c>
      <c r="F2470" t="s">
        <v>7672</v>
      </c>
      <c r="G2470" t="s">
        <v>13396</v>
      </c>
      <c r="H2470" t="s">
        <v>8673</v>
      </c>
      <c r="I2470" t="s">
        <v>13412</v>
      </c>
      <c r="J2470" t="s">
        <v>9536</v>
      </c>
    </row>
    <row r="2471" spans="1:10" x14ac:dyDescent="0.25">
      <c r="A2471" t="s">
        <v>13465</v>
      </c>
      <c r="B2471">
        <v>27.992000000000001</v>
      </c>
      <c r="C2471" t="s">
        <v>13466</v>
      </c>
      <c r="D2471" t="s">
        <v>1143</v>
      </c>
      <c r="E2471" t="s">
        <v>13395</v>
      </c>
      <c r="F2471" t="s">
        <v>7672</v>
      </c>
      <c r="G2471" t="s">
        <v>13396</v>
      </c>
      <c r="H2471" t="s">
        <v>8673</v>
      </c>
      <c r="I2471" t="s">
        <v>13406</v>
      </c>
      <c r="J2471" t="s">
        <v>9536</v>
      </c>
    </row>
    <row r="2472" spans="1:10" x14ac:dyDescent="0.25">
      <c r="A2472" t="s">
        <v>13467</v>
      </c>
      <c r="B2472">
        <v>27.992000000000001</v>
      </c>
      <c r="C2472" t="s">
        <v>13468</v>
      </c>
      <c r="D2472" t="s">
        <v>359</v>
      </c>
      <c r="E2472" t="s">
        <v>13395</v>
      </c>
      <c r="F2472" t="s">
        <v>7672</v>
      </c>
      <c r="G2472" t="s">
        <v>13396</v>
      </c>
      <c r="H2472" t="s">
        <v>8673</v>
      </c>
      <c r="I2472" t="s">
        <v>13409</v>
      </c>
      <c r="J2472" t="s">
        <v>9536</v>
      </c>
    </row>
    <row r="2473" spans="1:10" x14ac:dyDescent="0.25">
      <c r="A2473" t="s">
        <v>13469</v>
      </c>
      <c r="B2473">
        <v>27.992000000000001</v>
      </c>
      <c r="C2473" t="s">
        <v>13470</v>
      </c>
      <c r="D2473" t="s">
        <v>385</v>
      </c>
      <c r="E2473" t="s">
        <v>13395</v>
      </c>
      <c r="F2473" t="s">
        <v>7672</v>
      </c>
      <c r="G2473" t="s">
        <v>13396</v>
      </c>
      <c r="H2473" t="s">
        <v>8673</v>
      </c>
      <c r="I2473" t="s">
        <v>13415</v>
      </c>
      <c r="J2473" t="s">
        <v>9536</v>
      </c>
    </row>
    <row r="2474" spans="1:10" x14ac:dyDescent="0.25">
      <c r="A2474" t="s">
        <v>13471</v>
      </c>
      <c r="B2474">
        <v>27.992000000000001</v>
      </c>
      <c r="C2474" t="s">
        <v>13472</v>
      </c>
      <c r="D2474" t="s">
        <v>290</v>
      </c>
      <c r="E2474" t="s">
        <v>13395</v>
      </c>
      <c r="F2474" t="s">
        <v>7672</v>
      </c>
      <c r="G2474" t="s">
        <v>13396</v>
      </c>
      <c r="H2474" t="s">
        <v>8673</v>
      </c>
      <c r="I2474" t="s">
        <v>8747</v>
      </c>
      <c r="J2474" t="s">
        <v>9536</v>
      </c>
    </row>
    <row r="2475" spans="1:10" x14ac:dyDescent="0.25">
      <c r="A2475" t="s">
        <v>13473</v>
      </c>
      <c r="B2475">
        <v>8.3920000000000012</v>
      </c>
      <c r="C2475" t="s">
        <v>13474</v>
      </c>
      <c r="D2475" t="s">
        <v>53</v>
      </c>
      <c r="E2475" t="s">
        <v>13395</v>
      </c>
      <c r="F2475" t="s">
        <v>7672</v>
      </c>
      <c r="G2475" t="s">
        <v>13396</v>
      </c>
      <c r="H2475" t="s">
        <v>8673</v>
      </c>
      <c r="I2475" t="s">
        <v>13426</v>
      </c>
      <c r="J2475" t="s">
        <v>9536</v>
      </c>
    </row>
    <row r="2476" spans="1:10" x14ac:dyDescent="0.25">
      <c r="A2476" t="s">
        <v>13475</v>
      </c>
      <c r="B2476">
        <v>8.3920000000000012</v>
      </c>
      <c r="C2476" t="s">
        <v>13476</v>
      </c>
      <c r="D2476" t="s">
        <v>342</v>
      </c>
      <c r="E2476" t="s">
        <v>13395</v>
      </c>
      <c r="F2476" t="s">
        <v>7672</v>
      </c>
      <c r="G2476" t="s">
        <v>13396</v>
      </c>
      <c r="H2476" t="s">
        <v>8673</v>
      </c>
      <c r="I2476" t="s">
        <v>13477</v>
      </c>
      <c r="J2476" t="s">
        <v>9536</v>
      </c>
    </row>
    <row r="2477" spans="1:10" x14ac:dyDescent="0.25">
      <c r="A2477" t="s">
        <v>13478</v>
      </c>
      <c r="B2477">
        <v>27.992000000000001</v>
      </c>
      <c r="C2477" t="s">
        <v>13479</v>
      </c>
      <c r="D2477" t="s">
        <v>1512</v>
      </c>
      <c r="E2477" t="s">
        <v>13395</v>
      </c>
      <c r="F2477" t="s">
        <v>7672</v>
      </c>
      <c r="G2477" t="s">
        <v>13396</v>
      </c>
      <c r="H2477" t="s">
        <v>8673</v>
      </c>
      <c r="I2477" t="s">
        <v>76</v>
      </c>
      <c r="J2477" t="s">
        <v>8687</v>
      </c>
    </row>
    <row r="2478" spans="1:10" x14ac:dyDescent="0.25">
      <c r="A2478" t="s">
        <v>13480</v>
      </c>
      <c r="B2478">
        <v>27.992000000000001</v>
      </c>
      <c r="C2478" t="s">
        <v>13481</v>
      </c>
      <c r="D2478" t="s">
        <v>671</v>
      </c>
      <c r="E2478" t="s">
        <v>13395</v>
      </c>
      <c r="F2478" t="s">
        <v>7672</v>
      </c>
      <c r="G2478" t="s">
        <v>13396</v>
      </c>
      <c r="H2478" t="s">
        <v>8673</v>
      </c>
      <c r="I2478" t="s">
        <v>13399</v>
      </c>
      <c r="J2478" t="s">
        <v>8687</v>
      </c>
    </row>
    <row r="2479" spans="1:10" x14ac:dyDescent="0.25">
      <c r="A2479" t="s">
        <v>13482</v>
      </c>
      <c r="B2479">
        <v>27.992000000000001</v>
      </c>
      <c r="C2479" t="s">
        <v>13483</v>
      </c>
      <c r="D2479" t="s">
        <v>301</v>
      </c>
      <c r="E2479" t="s">
        <v>13395</v>
      </c>
      <c r="F2479" t="s">
        <v>7672</v>
      </c>
      <c r="G2479" t="s">
        <v>13396</v>
      </c>
      <c r="H2479" t="s">
        <v>8673</v>
      </c>
      <c r="I2479" t="s">
        <v>10433</v>
      </c>
      <c r="J2479" t="s">
        <v>8687</v>
      </c>
    </row>
    <row r="2480" spans="1:10" x14ac:dyDescent="0.25">
      <c r="A2480" t="s">
        <v>13484</v>
      </c>
      <c r="B2480">
        <v>27.992000000000001</v>
      </c>
      <c r="C2480" t="s">
        <v>13485</v>
      </c>
      <c r="D2480" t="s">
        <v>1254</v>
      </c>
      <c r="E2480" t="s">
        <v>13395</v>
      </c>
      <c r="F2480" t="s">
        <v>7672</v>
      </c>
      <c r="G2480" t="s">
        <v>13396</v>
      </c>
      <c r="H2480" t="s">
        <v>8673</v>
      </c>
      <c r="I2480" t="s">
        <v>10415</v>
      </c>
      <c r="J2480" t="s">
        <v>8687</v>
      </c>
    </row>
    <row r="2481" spans="1:10" x14ac:dyDescent="0.25">
      <c r="A2481" t="s">
        <v>13486</v>
      </c>
      <c r="B2481">
        <v>27.992000000000001</v>
      </c>
      <c r="C2481" t="s">
        <v>13487</v>
      </c>
      <c r="D2481" t="s">
        <v>613</v>
      </c>
      <c r="E2481" t="s">
        <v>13395</v>
      </c>
      <c r="F2481" t="s">
        <v>7672</v>
      </c>
      <c r="G2481" t="s">
        <v>13396</v>
      </c>
      <c r="H2481" t="s">
        <v>8673</v>
      </c>
      <c r="I2481" t="s">
        <v>10387</v>
      </c>
      <c r="J2481" t="s">
        <v>8687</v>
      </c>
    </row>
    <row r="2482" spans="1:10" x14ac:dyDescent="0.25">
      <c r="A2482" t="s">
        <v>13488</v>
      </c>
      <c r="B2482">
        <v>27.992000000000001</v>
      </c>
      <c r="C2482" t="s">
        <v>13489</v>
      </c>
      <c r="D2482" t="s">
        <v>2879</v>
      </c>
      <c r="E2482" t="s">
        <v>13395</v>
      </c>
      <c r="F2482" t="s">
        <v>7672</v>
      </c>
      <c r="G2482" t="s">
        <v>13396</v>
      </c>
      <c r="H2482" t="s">
        <v>8673</v>
      </c>
      <c r="I2482" t="s">
        <v>13412</v>
      </c>
      <c r="J2482" t="s">
        <v>8687</v>
      </c>
    </row>
    <row r="2483" spans="1:10" x14ac:dyDescent="0.25">
      <c r="A2483" t="s">
        <v>13490</v>
      </c>
      <c r="B2483">
        <v>27.992000000000001</v>
      </c>
      <c r="C2483" t="s">
        <v>13491</v>
      </c>
      <c r="D2483" t="s">
        <v>229</v>
      </c>
      <c r="E2483" t="s">
        <v>13395</v>
      </c>
      <c r="F2483" t="s">
        <v>7672</v>
      </c>
      <c r="G2483" t="s">
        <v>13396</v>
      </c>
      <c r="H2483" t="s">
        <v>8673</v>
      </c>
      <c r="I2483" t="s">
        <v>13406</v>
      </c>
      <c r="J2483" t="s">
        <v>8687</v>
      </c>
    </row>
    <row r="2484" spans="1:10" x14ac:dyDescent="0.25">
      <c r="A2484" t="s">
        <v>13492</v>
      </c>
      <c r="B2484">
        <v>27.992000000000001</v>
      </c>
      <c r="C2484" t="s">
        <v>13493</v>
      </c>
      <c r="D2484" t="s">
        <v>588</v>
      </c>
      <c r="E2484" t="s">
        <v>13395</v>
      </c>
      <c r="F2484" t="s">
        <v>7672</v>
      </c>
      <c r="G2484" t="s">
        <v>13396</v>
      </c>
      <c r="H2484" t="s">
        <v>8673</v>
      </c>
      <c r="I2484" t="s">
        <v>13409</v>
      </c>
      <c r="J2484" t="s">
        <v>8687</v>
      </c>
    </row>
    <row r="2485" spans="1:10" x14ac:dyDescent="0.25">
      <c r="A2485" t="s">
        <v>13494</v>
      </c>
      <c r="B2485">
        <v>27.992000000000001</v>
      </c>
      <c r="C2485" t="s">
        <v>13495</v>
      </c>
      <c r="D2485" t="s">
        <v>311</v>
      </c>
      <c r="E2485" t="s">
        <v>13395</v>
      </c>
      <c r="F2485" t="s">
        <v>7672</v>
      </c>
      <c r="G2485" t="s">
        <v>13396</v>
      </c>
      <c r="H2485" t="s">
        <v>8673</v>
      </c>
      <c r="I2485" t="s">
        <v>13415</v>
      </c>
      <c r="J2485" t="s">
        <v>8687</v>
      </c>
    </row>
    <row r="2486" spans="1:10" x14ac:dyDescent="0.25">
      <c r="A2486" t="s">
        <v>13496</v>
      </c>
      <c r="B2486">
        <v>27.992000000000001</v>
      </c>
      <c r="C2486" t="s">
        <v>13497</v>
      </c>
      <c r="D2486" t="s">
        <v>113</v>
      </c>
      <c r="E2486" t="s">
        <v>13395</v>
      </c>
      <c r="F2486" t="s">
        <v>7672</v>
      </c>
      <c r="G2486" t="s">
        <v>13396</v>
      </c>
      <c r="H2486" t="s">
        <v>8673</v>
      </c>
      <c r="I2486" t="s">
        <v>8747</v>
      </c>
      <c r="J2486" t="s">
        <v>8687</v>
      </c>
    </row>
    <row r="2487" spans="1:10" x14ac:dyDescent="0.25">
      <c r="A2487" t="s">
        <v>13498</v>
      </c>
      <c r="B2487">
        <v>27.992000000000001</v>
      </c>
      <c r="C2487" t="s">
        <v>13499</v>
      </c>
      <c r="D2487" t="s">
        <v>379</v>
      </c>
      <c r="E2487" t="s">
        <v>13395</v>
      </c>
      <c r="F2487" t="s">
        <v>7672</v>
      </c>
      <c r="G2487" t="s">
        <v>13396</v>
      </c>
      <c r="H2487" t="s">
        <v>8673</v>
      </c>
      <c r="I2487" t="s">
        <v>13420</v>
      </c>
      <c r="J2487" t="s">
        <v>8687</v>
      </c>
    </row>
    <row r="2488" spans="1:10" x14ac:dyDescent="0.25">
      <c r="A2488" t="s">
        <v>13500</v>
      </c>
      <c r="B2488">
        <v>8.3920000000000012</v>
      </c>
      <c r="C2488" t="s">
        <v>13501</v>
      </c>
      <c r="D2488" t="s">
        <v>290</v>
      </c>
      <c r="E2488" t="s">
        <v>13395</v>
      </c>
      <c r="F2488" t="s">
        <v>7672</v>
      </c>
      <c r="G2488" t="s">
        <v>13396</v>
      </c>
      <c r="H2488" t="s">
        <v>8673</v>
      </c>
      <c r="I2488" t="s">
        <v>13426</v>
      </c>
      <c r="J2488" t="s">
        <v>8687</v>
      </c>
    </row>
    <row r="2489" spans="1:10" x14ac:dyDescent="0.25">
      <c r="A2489" t="s">
        <v>13502</v>
      </c>
      <c r="B2489">
        <v>8.3920000000000012</v>
      </c>
      <c r="C2489" t="s">
        <v>13503</v>
      </c>
      <c r="D2489" t="s">
        <v>277</v>
      </c>
      <c r="E2489" t="s">
        <v>13395</v>
      </c>
      <c r="F2489" t="s">
        <v>7672</v>
      </c>
      <c r="G2489" t="s">
        <v>13396</v>
      </c>
      <c r="H2489" t="s">
        <v>8673</v>
      </c>
      <c r="I2489" t="s">
        <v>13452</v>
      </c>
      <c r="J2489" t="s">
        <v>8687</v>
      </c>
    </row>
    <row r="2490" spans="1:10" x14ac:dyDescent="0.25">
      <c r="A2490" t="s">
        <v>13504</v>
      </c>
      <c r="B2490">
        <v>8.3920000000000012</v>
      </c>
      <c r="C2490" t="s">
        <v>13505</v>
      </c>
      <c r="D2490" t="s">
        <v>277</v>
      </c>
      <c r="E2490" t="s">
        <v>13395</v>
      </c>
      <c r="F2490" t="s">
        <v>7672</v>
      </c>
      <c r="G2490" t="s">
        <v>13396</v>
      </c>
      <c r="H2490" t="s">
        <v>8673</v>
      </c>
      <c r="I2490" t="s">
        <v>13477</v>
      </c>
      <c r="J2490" t="s">
        <v>8687</v>
      </c>
    </row>
    <row r="2491" spans="1:10" x14ac:dyDescent="0.25">
      <c r="A2491" t="s">
        <v>13506</v>
      </c>
      <c r="B2491">
        <v>8.3920000000000012</v>
      </c>
      <c r="C2491" t="s">
        <v>13507</v>
      </c>
      <c r="D2491" t="s">
        <v>95</v>
      </c>
      <c r="E2491" t="s">
        <v>13395</v>
      </c>
      <c r="F2491" t="s">
        <v>7672</v>
      </c>
      <c r="G2491" t="s">
        <v>13396</v>
      </c>
      <c r="H2491" t="s">
        <v>8673</v>
      </c>
      <c r="I2491" t="s">
        <v>13423</v>
      </c>
      <c r="J2491" t="s">
        <v>8687</v>
      </c>
    </row>
    <row r="2492" spans="1:10" x14ac:dyDescent="0.25">
      <c r="A2492" t="s">
        <v>13508</v>
      </c>
      <c r="B2492">
        <v>27.992000000000001</v>
      </c>
      <c r="C2492" t="s">
        <v>13509</v>
      </c>
      <c r="D2492" t="s">
        <v>2587</v>
      </c>
      <c r="E2492" t="s">
        <v>13395</v>
      </c>
      <c r="F2492" t="s">
        <v>7672</v>
      </c>
      <c r="G2492" t="s">
        <v>13396</v>
      </c>
      <c r="H2492" t="s">
        <v>8673</v>
      </c>
      <c r="I2492" t="s">
        <v>76</v>
      </c>
      <c r="J2492" t="s">
        <v>8692</v>
      </c>
    </row>
    <row r="2493" spans="1:10" x14ac:dyDescent="0.25">
      <c r="A2493" t="s">
        <v>13510</v>
      </c>
      <c r="B2493">
        <v>27.992000000000001</v>
      </c>
      <c r="C2493" t="s">
        <v>13511</v>
      </c>
      <c r="D2493" t="s">
        <v>330</v>
      </c>
      <c r="E2493" t="s">
        <v>13395</v>
      </c>
      <c r="F2493" t="s">
        <v>7672</v>
      </c>
      <c r="G2493" t="s">
        <v>13396</v>
      </c>
      <c r="H2493" t="s">
        <v>8673</v>
      </c>
      <c r="I2493" t="s">
        <v>13431</v>
      </c>
      <c r="J2493" t="s">
        <v>8692</v>
      </c>
    </row>
    <row r="2494" spans="1:10" x14ac:dyDescent="0.25">
      <c r="A2494" t="s">
        <v>13512</v>
      </c>
      <c r="B2494">
        <v>27.992000000000001</v>
      </c>
      <c r="C2494" t="s">
        <v>13513</v>
      </c>
      <c r="D2494" t="s">
        <v>3184</v>
      </c>
      <c r="E2494" t="s">
        <v>13395</v>
      </c>
      <c r="F2494" t="s">
        <v>7672</v>
      </c>
      <c r="G2494" t="s">
        <v>13396</v>
      </c>
      <c r="H2494" t="s">
        <v>8673</v>
      </c>
      <c r="I2494" t="s">
        <v>13399</v>
      </c>
      <c r="J2494" t="s">
        <v>8692</v>
      </c>
    </row>
    <row r="2495" spans="1:10" x14ac:dyDescent="0.25">
      <c r="A2495" t="s">
        <v>13514</v>
      </c>
      <c r="B2495">
        <v>27.992000000000001</v>
      </c>
      <c r="C2495" t="s">
        <v>13515</v>
      </c>
      <c r="D2495" t="s">
        <v>366</v>
      </c>
      <c r="E2495" t="s">
        <v>13395</v>
      </c>
      <c r="F2495" t="s">
        <v>7672</v>
      </c>
      <c r="G2495" t="s">
        <v>13396</v>
      </c>
      <c r="H2495" t="s">
        <v>8673</v>
      </c>
      <c r="I2495" t="s">
        <v>10433</v>
      </c>
      <c r="J2495" t="s">
        <v>8692</v>
      </c>
    </row>
    <row r="2496" spans="1:10" x14ac:dyDescent="0.25">
      <c r="A2496" t="s">
        <v>13516</v>
      </c>
      <c r="B2496">
        <v>27.992000000000001</v>
      </c>
      <c r="C2496" t="s">
        <v>13517</v>
      </c>
      <c r="D2496" t="s">
        <v>986</v>
      </c>
      <c r="E2496" t="s">
        <v>13395</v>
      </c>
      <c r="F2496" t="s">
        <v>7672</v>
      </c>
      <c r="G2496" t="s">
        <v>13396</v>
      </c>
      <c r="H2496" t="s">
        <v>8673</v>
      </c>
      <c r="I2496" t="s">
        <v>10415</v>
      </c>
      <c r="J2496" t="s">
        <v>8692</v>
      </c>
    </row>
    <row r="2497" spans="1:10" x14ac:dyDescent="0.25">
      <c r="A2497" t="s">
        <v>13518</v>
      </c>
      <c r="B2497">
        <v>27.992000000000001</v>
      </c>
      <c r="C2497" t="s">
        <v>13519</v>
      </c>
      <c r="D2497" t="s">
        <v>776</v>
      </c>
      <c r="E2497" t="s">
        <v>13395</v>
      </c>
      <c r="F2497" t="s">
        <v>7672</v>
      </c>
      <c r="G2497" t="s">
        <v>13396</v>
      </c>
      <c r="H2497" t="s">
        <v>8673</v>
      </c>
      <c r="I2497" t="s">
        <v>10387</v>
      </c>
      <c r="J2497" t="s">
        <v>8692</v>
      </c>
    </row>
    <row r="2498" spans="1:10" x14ac:dyDescent="0.25">
      <c r="A2498" t="s">
        <v>13520</v>
      </c>
      <c r="B2498">
        <v>27.992000000000001</v>
      </c>
      <c r="C2498" t="s">
        <v>13521</v>
      </c>
      <c r="D2498" t="s">
        <v>321</v>
      </c>
      <c r="E2498" t="s">
        <v>13395</v>
      </c>
      <c r="F2498" t="s">
        <v>7672</v>
      </c>
      <c r="G2498" t="s">
        <v>13396</v>
      </c>
      <c r="H2498" t="s">
        <v>8673</v>
      </c>
      <c r="I2498" t="s">
        <v>13420</v>
      </c>
      <c r="J2498" t="s">
        <v>8692</v>
      </c>
    </row>
    <row r="2499" spans="1:10" x14ac:dyDescent="0.25">
      <c r="A2499" t="s">
        <v>13522</v>
      </c>
      <c r="B2499">
        <v>27.992000000000001</v>
      </c>
      <c r="C2499" t="s">
        <v>13523</v>
      </c>
      <c r="D2499" t="s">
        <v>124</v>
      </c>
      <c r="E2499" t="s">
        <v>13395</v>
      </c>
      <c r="F2499" t="s">
        <v>7672</v>
      </c>
      <c r="G2499" t="s">
        <v>13396</v>
      </c>
      <c r="H2499" t="s">
        <v>8673</v>
      </c>
      <c r="I2499" t="s">
        <v>13409</v>
      </c>
      <c r="J2499" t="s">
        <v>8692</v>
      </c>
    </row>
    <row r="2500" spans="1:10" x14ac:dyDescent="0.25">
      <c r="A2500" t="s">
        <v>13524</v>
      </c>
      <c r="B2500">
        <v>27.992000000000001</v>
      </c>
      <c r="C2500" t="s">
        <v>13525</v>
      </c>
      <c r="D2500" t="s">
        <v>124</v>
      </c>
      <c r="E2500" t="s">
        <v>13395</v>
      </c>
      <c r="F2500" t="s">
        <v>7672</v>
      </c>
      <c r="G2500" t="s">
        <v>13396</v>
      </c>
      <c r="H2500" t="s">
        <v>8673</v>
      </c>
      <c r="I2500" t="s">
        <v>13412</v>
      </c>
      <c r="J2500" t="s">
        <v>8692</v>
      </c>
    </row>
    <row r="2501" spans="1:10" x14ac:dyDescent="0.25">
      <c r="A2501" t="s">
        <v>13526</v>
      </c>
      <c r="B2501">
        <v>27.992000000000001</v>
      </c>
      <c r="C2501" t="s">
        <v>13527</v>
      </c>
      <c r="D2501" t="s">
        <v>776</v>
      </c>
      <c r="E2501" t="s">
        <v>13395</v>
      </c>
      <c r="F2501" t="s">
        <v>7672</v>
      </c>
      <c r="G2501" t="s">
        <v>13396</v>
      </c>
      <c r="H2501" t="s">
        <v>8673</v>
      </c>
      <c r="I2501" t="s">
        <v>13406</v>
      </c>
      <c r="J2501" t="s">
        <v>8692</v>
      </c>
    </row>
    <row r="2502" spans="1:10" x14ac:dyDescent="0.25">
      <c r="A2502" t="s">
        <v>13528</v>
      </c>
      <c r="B2502">
        <v>27.992000000000001</v>
      </c>
      <c r="C2502" t="s">
        <v>13529</v>
      </c>
      <c r="D2502" t="s">
        <v>2253</v>
      </c>
      <c r="E2502" t="s">
        <v>13395</v>
      </c>
      <c r="F2502" t="s">
        <v>7672</v>
      </c>
      <c r="G2502" t="s">
        <v>13396</v>
      </c>
      <c r="H2502" t="s">
        <v>8673</v>
      </c>
      <c r="I2502" t="s">
        <v>13415</v>
      </c>
      <c r="J2502" t="s">
        <v>8692</v>
      </c>
    </row>
    <row r="2503" spans="1:10" x14ac:dyDescent="0.25">
      <c r="A2503" t="s">
        <v>13530</v>
      </c>
      <c r="B2503">
        <v>27.992000000000001</v>
      </c>
      <c r="C2503" t="s">
        <v>13531</v>
      </c>
      <c r="D2503" t="s">
        <v>698</v>
      </c>
      <c r="E2503" t="s">
        <v>13395</v>
      </c>
      <c r="F2503" t="s">
        <v>7672</v>
      </c>
      <c r="G2503" t="s">
        <v>13396</v>
      </c>
      <c r="H2503" t="s">
        <v>8673</v>
      </c>
      <c r="I2503" t="s">
        <v>8747</v>
      </c>
      <c r="J2503" t="s">
        <v>8692</v>
      </c>
    </row>
    <row r="2504" spans="1:10" x14ac:dyDescent="0.25">
      <c r="A2504" t="s">
        <v>13532</v>
      </c>
      <c r="B2504">
        <v>8.3920000000000012</v>
      </c>
      <c r="C2504" t="s">
        <v>13533</v>
      </c>
      <c r="D2504" t="s">
        <v>1097</v>
      </c>
      <c r="E2504" t="s">
        <v>13395</v>
      </c>
      <c r="F2504" t="s">
        <v>7672</v>
      </c>
      <c r="G2504" t="s">
        <v>13396</v>
      </c>
      <c r="H2504" t="s">
        <v>8673</v>
      </c>
      <c r="I2504" t="s">
        <v>13426</v>
      </c>
      <c r="J2504" t="s">
        <v>8692</v>
      </c>
    </row>
    <row r="2505" spans="1:10" x14ac:dyDescent="0.25">
      <c r="A2505" t="s">
        <v>13534</v>
      </c>
      <c r="B2505">
        <v>8.3920000000000012</v>
      </c>
      <c r="C2505" t="s">
        <v>13535</v>
      </c>
      <c r="D2505" t="s">
        <v>742</v>
      </c>
      <c r="E2505" t="s">
        <v>13395</v>
      </c>
      <c r="F2505" t="s">
        <v>7672</v>
      </c>
      <c r="G2505" t="s">
        <v>13396</v>
      </c>
      <c r="H2505" t="s">
        <v>8673</v>
      </c>
      <c r="I2505" t="s">
        <v>13477</v>
      </c>
      <c r="J2505" t="s">
        <v>8692</v>
      </c>
    </row>
    <row r="2506" spans="1:10" x14ac:dyDescent="0.25">
      <c r="A2506" t="s">
        <v>13536</v>
      </c>
      <c r="B2506">
        <v>8.3920000000000012</v>
      </c>
      <c r="C2506" t="s">
        <v>13537</v>
      </c>
      <c r="D2506" t="s">
        <v>330</v>
      </c>
      <c r="E2506" t="s">
        <v>13395</v>
      </c>
      <c r="F2506" t="s">
        <v>7672</v>
      </c>
      <c r="G2506" t="s">
        <v>13396</v>
      </c>
      <c r="H2506" t="s">
        <v>8673</v>
      </c>
      <c r="I2506" t="s">
        <v>13423</v>
      </c>
      <c r="J2506" t="s">
        <v>8692</v>
      </c>
    </row>
    <row r="2507" spans="1:10" x14ac:dyDescent="0.25">
      <c r="A2507" t="s">
        <v>13538</v>
      </c>
      <c r="B2507">
        <v>27.992000000000001</v>
      </c>
      <c r="C2507" t="s">
        <v>13539</v>
      </c>
      <c r="D2507" t="s">
        <v>981</v>
      </c>
      <c r="E2507" t="s">
        <v>13395</v>
      </c>
      <c r="F2507" t="s">
        <v>7672</v>
      </c>
      <c r="G2507" t="s">
        <v>13396</v>
      </c>
      <c r="H2507" t="s">
        <v>8673</v>
      </c>
      <c r="I2507" t="s">
        <v>76</v>
      </c>
      <c r="J2507" t="s">
        <v>8699</v>
      </c>
    </row>
    <row r="2508" spans="1:10" x14ac:dyDescent="0.25">
      <c r="A2508" t="s">
        <v>13540</v>
      </c>
      <c r="B2508">
        <v>27.992000000000001</v>
      </c>
      <c r="C2508" t="s">
        <v>13541</v>
      </c>
      <c r="D2508" t="s">
        <v>7850</v>
      </c>
      <c r="E2508" t="s">
        <v>13395</v>
      </c>
      <c r="F2508" t="s">
        <v>7672</v>
      </c>
      <c r="G2508" t="s">
        <v>13396</v>
      </c>
      <c r="H2508" t="s">
        <v>8673</v>
      </c>
      <c r="I2508" t="s">
        <v>13431</v>
      </c>
      <c r="J2508" t="s">
        <v>8699</v>
      </c>
    </row>
    <row r="2509" spans="1:10" x14ac:dyDescent="0.25">
      <c r="A2509" t="s">
        <v>13542</v>
      </c>
      <c r="B2509">
        <v>27.992000000000001</v>
      </c>
      <c r="C2509" t="s">
        <v>13543</v>
      </c>
      <c r="D2509" t="s">
        <v>290</v>
      </c>
      <c r="E2509" t="s">
        <v>13395</v>
      </c>
      <c r="F2509" t="s">
        <v>7672</v>
      </c>
      <c r="G2509" t="s">
        <v>13396</v>
      </c>
      <c r="H2509" t="s">
        <v>8673</v>
      </c>
      <c r="I2509" t="s">
        <v>13399</v>
      </c>
      <c r="J2509" t="s">
        <v>8699</v>
      </c>
    </row>
    <row r="2510" spans="1:10" x14ac:dyDescent="0.25">
      <c r="A2510" t="s">
        <v>13544</v>
      </c>
      <c r="B2510">
        <v>27.992000000000001</v>
      </c>
      <c r="C2510" t="s">
        <v>13545</v>
      </c>
      <c r="D2510" t="s">
        <v>255</v>
      </c>
      <c r="E2510" t="s">
        <v>13395</v>
      </c>
      <c r="F2510" t="s">
        <v>7672</v>
      </c>
      <c r="G2510" t="s">
        <v>13396</v>
      </c>
      <c r="H2510" t="s">
        <v>8673</v>
      </c>
      <c r="I2510" t="s">
        <v>10433</v>
      </c>
      <c r="J2510" t="s">
        <v>8699</v>
      </c>
    </row>
    <row r="2511" spans="1:10" x14ac:dyDescent="0.25">
      <c r="A2511" t="s">
        <v>13546</v>
      </c>
      <c r="B2511">
        <v>27.992000000000001</v>
      </c>
      <c r="C2511" t="s">
        <v>13547</v>
      </c>
      <c r="D2511" t="s">
        <v>229</v>
      </c>
      <c r="E2511" t="s">
        <v>13395</v>
      </c>
      <c r="F2511" t="s">
        <v>7672</v>
      </c>
      <c r="G2511" t="s">
        <v>13396</v>
      </c>
      <c r="H2511" t="s">
        <v>8673</v>
      </c>
      <c r="I2511" t="s">
        <v>10415</v>
      </c>
      <c r="J2511" t="s">
        <v>8699</v>
      </c>
    </row>
    <row r="2512" spans="1:10" x14ac:dyDescent="0.25">
      <c r="A2512" t="s">
        <v>13548</v>
      </c>
      <c r="B2512">
        <v>27.992000000000001</v>
      </c>
      <c r="C2512" t="s">
        <v>13549</v>
      </c>
      <c r="D2512" t="s">
        <v>250</v>
      </c>
      <c r="E2512" t="s">
        <v>13395</v>
      </c>
      <c r="F2512" t="s">
        <v>7672</v>
      </c>
      <c r="G2512" t="s">
        <v>13396</v>
      </c>
      <c r="H2512" t="s">
        <v>8673</v>
      </c>
      <c r="I2512" t="s">
        <v>10387</v>
      </c>
      <c r="J2512" t="s">
        <v>8699</v>
      </c>
    </row>
    <row r="2513" spans="1:10" x14ac:dyDescent="0.25">
      <c r="A2513" t="s">
        <v>13550</v>
      </c>
      <c r="B2513">
        <v>27.992000000000001</v>
      </c>
      <c r="C2513" t="s">
        <v>13551</v>
      </c>
      <c r="D2513" t="s">
        <v>330</v>
      </c>
      <c r="E2513" t="s">
        <v>13395</v>
      </c>
      <c r="F2513" t="s">
        <v>7672</v>
      </c>
      <c r="G2513" t="s">
        <v>13396</v>
      </c>
      <c r="H2513" t="s">
        <v>8673</v>
      </c>
      <c r="I2513" t="s">
        <v>13420</v>
      </c>
      <c r="J2513" t="s">
        <v>8699</v>
      </c>
    </row>
    <row r="2514" spans="1:10" x14ac:dyDescent="0.25">
      <c r="A2514" t="s">
        <v>13552</v>
      </c>
      <c r="B2514">
        <v>27.992000000000001</v>
      </c>
      <c r="C2514" t="s">
        <v>13553</v>
      </c>
      <c r="D2514" t="s">
        <v>95</v>
      </c>
      <c r="E2514" t="s">
        <v>13395</v>
      </c>
      <c r="F2514" t="s">
        <v>7672</v>
      </c>
      <c r="G2514" t="s">
        <v>13396</v>
      </c>
      <c r="H2514" t="s">
        <v>8673</v>
      </c>
      <c r="I2514" t="s">
        <v>13409</v>
      </c>
      <c r="J2514" t="s">
        <v>8699</v>
      </c>
    </row>
    <row r="2515" spans="1:10" x14ac:dyDescent="0.25">
      <c r="A2515" t="s">
        <v>13554</v>
      </c>
      <c r="B2515">
        <v>27.992000000000001</v>
      </c>
      <c r="C2515" t="s">
        <v>13555</v>
      </c>
      <c r="D2515" t="s">
        <v>959</v>
      </c>
      <c r="E2515" t="s">
        <v>13395</v>
      </c>
      <c r="F2515" t="s">
        <v>7672</v>
      </c>
      <c r="G2515" t="s">
        <v>13396</v>
      </c>
      <c r="H2515" t="s">
        <v>8673</v>
      </c>
      <c r="I2515" t="s">
        <v>13412</v>
      </c>
      <c r="J2515" t="s">
        <v>8699</v>
      </c>
    </row>
    <row r="2516" spans="1:10" x14ac:dyDescent="0.25">
      <c r="A2516" t="s">
        <v>13556</v>
      </c>
      <c r="B2516">
        <v>27.992000000000001</v>
      </c>
      <c r="C2516" t="s">
        <v>13557</v>
      </c>
      <c r="D2516" t="s">
        <v>352</v>
      </c>
      <c r="E2516" t="s">
        <v>13395</v>
      </c>
      <c r="F2516" t="s">
        <v>7672</v>
      </c>
      <c r="G2516" t="s">
        <v>13396</v>
      </c>
      <c r="H2516" t="s">
        <v>8673</v>
      </c>
      <c r="I2516" t="s">
        <v>13406</v>
      </c>
      <c r="J2516" t="s">
        <v>8699</v>
      </c>
    </row>
    <row r="2517" spans="1:10" x14ac:dyDescent="0.25">
      <c r="A2517" t="s">
        <v>13558</v>
      </c>
      <c r="B2517">
        <v>27.992000000000001</v>
      </c>
      <c r="C2517" t="s">
        <v>13559</v>
      </c>
      <c r="D2517" t="s">
        <v>964</v>
      </c>
      <c r="E2517" t="s">
        <v>13395</v>
      </c>
      <c r="F2517" t="s">
        <v>7672</v>
      </c>
      <c r="G2517" t="s">
        <v>13396</v>
      </c>
      <c r="H2517" t="s">
        <v>8673</v>
      </c>
      <c r="I2517" t="s">
        <v>13415</v>
      </c>
      <c r="J2517" t="s">
        <v>8699</v>
      </c>
    </row>
    <row r="2518" spans="1:10" x14ac:dyDescent="0.25">
      <c r="A2518" t="s">
        <v>13560</v>
      </c>
      <c r="B2518">
        <v>27.992000000000001</v>
      </c>
      <c r="C2518" t="s">
        <v>13561</v>
      </c>
      <c r="D2518" t="s">
        <v>199</v>
      </c>
      <c r="E2518" t="s">
        <v>13395</v>
      </c>
      <c r="F2518" t="s">
        <v>7672</v>
      </c>
      <c r="G2518" t="s">
        <v>13396</v>
      </c>
      <c r="H2518" t="s">
        <v>8673</v>
      </c>
      <c r="I2518" t="s">
        <v>8747</v>
      </c>
      <c r="J2518" t="s">
        <v>8699</v>
      </c>
    </row>
    <row r="2519" spans="1:10" x14ac:dyDescent="0.25">
      <c r="A2519" t="s">
        <v>13562</v>
      </c>
      <c r="B2519">
        <v>8.3920000000000012</v>
      </c>
      <c r="C2519" t="s">
        <v>13563</v>
      </c>
      <c r="D2519" t="s">
        <v>342</v>
      </c>
      <c r="E2519" t="s">
        <v>13395</v>
      </c>
      <c r="F2519" t="s">
        <v>7672</v>
      </c>
      <c r="G2519" t="s">
        <v>13396</v>
      </c>
      <c r="H2519" t="s">
        <v>8673</v>
      </c>
      <c r="I2519" t="s">
        <v>8674</v>
      </c>
      <c r="J2519" t="s">
        <v>8699</v>
      </c>
    </row>
    <row r="2520" spans="1:10" x14ac:dyDescent="0.25">
      <c r="A2520" t="s">
        <v>13564</v>
      </c>
      <c r="B2520">
        <v>8.3920000000000012</v>
      </c>
      <c r="C2520" t="s">
        <v>13565</v>
      </c>
      <c r="D2520" t="s">
        <v>88</v>
      </c>
      <c r="E2520" t="s">
        <v>13395</v>
      </c>
      <c r="F2520" t="s">
        <v>7672</v>
      </c>
      <c r="G2520" t="s">
        <v>13396</v>
      </c>
      <c r="H2520" t="s">
        <v>8673</v>
      </c>
      <c r="I2520" t="s">
        <v>13452</v>
      </c>
      <c r="J2520" t="s">
        <v>8699</v>
      </c>
    </row>
    <row r="2521" spans="1:10" x14ac:dyDescent="0.25">
      <c r="A2521" t="s">
        <v>13566</v>
      </c>
      <c r="B2521">
        <v>8.3920000000000012</v>
      </c>
      <c r="C2521" t="s">
        <v>13567</v>
      </c>
      <c r="D2521" t="s">
        <v>88</v>
      </c>
      <c r="E2521" t="s">
        <v>13395</v>
      </c>
      <c r="F2521" t="s">
        <v>7672</v>
      </c>
      <c r="G2521" t="s">
        <v>13396</v>
      </c>
      <c r="H2521" t="s">
        <v>8673</v>
      </c>
      <c r="I2521" t="s">
        <v>13423</v>
      </c>
      <c r="J2521" t="s">
        <v>8699</v>
      </c>
    </row>
    <row r="2522" spans="1:10" x14ac:dyDescent="0.25">
      <c r="A2522" t="s">
        <v>13568</v>
      </c>
      <c r="B2522">
        <v>27.992000000000001</v>
      </c>
      <c r="C2522" t="s">
        <v>13569</v>
      </c>
      <c r="D2522" t="s">
        <v>8262</v>
      </c>
      <c r="E2522" t="s">
        <v>13395</v>
      </c>
      <c r="F2522" t="s">
        <v>7672</v>
      </c>
      <c r="G2522" t="s">
        <v>13396</v>
      </c>
      <c r="H2522" t="s">
        <v>8673</v>
      </c>
      <c r="I2522" t="s">
        <v>76</v>
      </c>
      <c r="J2522" t="s">
        <v>8712</v>
      </c>
    </row>
    <row r="2523" spans="1:10" x14ac:dyDescent="0.25">
      <c r="A2523" t="s">
        <v>13570</v>
      </c>
      <c r="B2523">
        <v>27.992000000000001</v>
      </c>
      <c r="C2523" t="s">
        <v>13571</v>
      </c>
      <c r="D2523" t="s">
        <v>1811</v>
      </c>
      <c r="E2523" t="s">
        <v>13395</v>
      </c>
      <c r="F2523" t="s">
        <v>7672</v>
      </c>
      <c r="G2523" t="s">
        <v>13396</v>
      </c>
      <c r="H2523" t="s">
        <v>8673</v>
      </c>
      <c r="I2523" t="s">
        <v>13431</v>
      </c>
      <c r="J2523" t="s">
        <v>8712</v>
      </c>
    </row>
    <row r="2524" spans="1:10" x14ac:dyDescent="0.25">
      <c r="A2524" t="s">
        <v>13572</v>
      </c>
      <c r="B2524">
        <v>27.992000000000001</v>
      </c>
      <c r="C2524" t="s">
        <v>13573</v>
      </c>
      <c r="D2524" t="s">
        <v>290</v>
      </c>
      <c r="E2524" t="s">
        <v>13395</v>
      </c>
      <c r="F2524" t="s">
        <v>7672</v>
      </c>
      <c r="G2524" t="s">
        <v>13396</v>
      </c>
      <c r="H2524" t="s">
        <v>8673</v>
      </c>
      <c r="I2524" t="s">
        <v>13399</v>
      </c>
      <c r="J2524" t="s">
        <v>8712</v>
      </c>
    </row>
    <row r="2525" spans="1:10" x14ac:dyDescent="0.25">
      <c r="A2525" t="s">
        <v>13574</v>
      </c>
      <c r="B2525">
        <v>27.992000000000001</v>
      </c>
      <c r="C2525" t="s">
        <v>13575</v>
      </c>
      <c r="D2525" t="s">
        <v>330</v>
      </c>
      <c r="E2525" t="s">
        <v>13395</v>
      </c>
      <c r="F2525" t="s">
        <v>7672</v>
      </c>
      <c r="G2525" t="s">
        <v>13396</v>
      </c>
      <c r="H2525" t="s">
        <v>8673</v>
      </c>
      <c r="I2525" t="s">
        <v>10387</v>
      </c>
      <c r="J2525" t="s">
        <v>8712</v>
      </c>
    </row>
    <row r="2526" spans="1:10" x14ac:dyDescent="0.25">
      <c r="A2526" t="s">
        <v>13576</v>
      </c>
      <c r="B2526">
        <v>27.992000000000001</v>
      </c>
      <c r="C2526" t="s">
        <v>13577</v>
      </c>
      <c r="D2526" t="s">
        <v>106</v>
      </c>
      <c r="E2526" t="s">
        <v>13395</v>
      </c>
      <c r="F2526" t="s">
        <v>7672</v>
      </c>
      <c r="G2526" t="s">
        <v>13396</v>
      </c>
      <c r="H2526" t="s">
        <v>8673</v>
      </c>
      <c r="I2526" t="s">
        <v>10433</v>
      </c>
      <c r="J2526" t="s">
        <v>8712</v>
      </c>
    </row>
    <row r="2527" spans="1:10" x14ac:dyDescent="0.25">
      <c r="A2527" t="s">
        <v>13578</v>
      </c>
      <c r="B2527">
        <v>27.992000000000001</v>
      </c>
      <c r="C2527" t="s">
        <v>13579</v>
      </c>
      <c r="D2527" t="s">
        <v>875</v>
      </c>
      <c r="E2527" t="s">
        <v>13395</v>
      </c>
      <c r="F2527" t="s">
        <v>7672</v>
      </c>
      <c r="G2527" t="s">
        <v>13396</v>
      </c>
      <c r="H2527" t="s">
        <v>8673</v>
      </c>
      <c r="I2527" t="s">
        <v>10415</v>
      </c>
      <c r="J2527" t="s">
        <v>8712</v>
      </c>
    </row>
    <row r="2528" spans="1:10" x14ac:dyDescent="0.25">
      <c r="A2528" t="s">
        <v>13580</v>
      </c>
      <c r="B2528">
        <v>27.992000000000001</v>
      </c>
      <c r="C2528" t="s">
        <v>13581</v>
      </c>
      <c r="D2528" t="s">
        <v>286</v>
      </c>
      <c r="E2528" t="s">
        <v>13395</v>
      </c>
      <c r="F2528" t="s">
        <v>7672</v>
      </c>
      <c r="G2528" t="s">
        <v>13396</v>
      </c>
      <c r="H2528" t="s">
        <v>8673</v>
      </c>
      <c r="I2528" t="s">
        <v>13406</v>
      </c>
      <c r="J2528" t="s">
        <v>8712</v>
      </c>
    </row>
    <row r="2529" spans="1:10" x14ac:dyDescent="0.25">
      <c r="A2529" t="s">
        <v>13582</v>
      </c>
      <c r="B2529">
        <v>27.992000000000001</v>
      </c>
      <c r="C2529" t="s">
        <v>13583</v>
      </c>
      <c r="D2529" t="s">
        <v>250</v>
      </c>
      <c r="E2529" t="s">
        <v>13395</v>
      </c>
      <c r="F2529" t="s">
        <v>7672</v>
      </c>
      <c r="G2529" t="s">
        <v>13396</v>
      </c>
      <c r="H2529" t="s">
        <v>8673</v>
      </c>
      <c r="I2529" t="s">
        <v>13415</v>
      </c>
      <c r="J2529" t="s">
        <v>8712</v>
      </c>
    </row>
    <row r="2530" spans="1:10" x14ac:dyDescent="0.25">
      <c r="A2530" t="s">
        <v>13584</v>
      </c>
      <c r="B2530">
        <v>27.992000000000001</v>
      </c>
      <c r="C2530" t="s">
        <v>13585</v>
      </c>
      <c r="D2530" t="s">
        <v>113</v>
      </c>
      <c r="E2530" t="s">
        <v>13395</v>
      </c>
      <c r="F2530" t="s">
        <v>7672</v>
      </c>
      <c r="G2530" t="s">
        <v>13396</v>
      </c>
      <c r="H2530" t="s">
        <v>8673</v>
      </c>
      <c r="I2530" t="s">
        <v>13409</v>
      </c>
      <c r="J2530" t="s">
        <v>8712</v>
      </c>
    </row>
    <row r="2531" spans="1:10" x14ac:dyDescent="0.25">
      <c r="A2531" t="s">
        <v>13586</v>
      </c>
      <c r="B2531">
        <v>27.992000000000001</v>
      </c>
      <c r="C2531" t="s">
        <v>13587</v>
      </c>
      <c r="D2531" t="s">
        <v>113</v>
      </c>
      <c r="E2531" t="s">
        <v>13395</v>
      </c>
      <c r="F2531" t="s">
        <v>7672</v>
      </c>
      <c r="G2531" t="s">
        <v>13396</v>
      </c>
      <c r="H2531" t="s">
        <v>8673</v>
      </c>
      <c r="I2531" t="s">
        <v>13412</v>
      </c>
      <c r="J2531" t="s">
        <v>8712</v>
      </c>
    </row>
    <row r="2532" spans="1:10" x14ac:dyDescent="0.25">
      <c r="A2532" t="s">
        <v>13588</v>
      </c>
      <c r="B2532">
        <v>27.992000000000001</v>
      </c>
      <c r="C2532" t="s">
        <v>13589</v>
      </c>
      <c r="D2532" t="s">
        <v>385</v>
      </c>
      <c r="E2532" t="s">
        <v>13395</v>
      </c>
      <c r="F2532" t="s">
        <v>7672</v>
      </c>
      <c r="G2532" t="s">
        <v>13396</v>
      </c>
      <c r="H2532" t="s">
        <v>8673</v>
      </c>
      <c r="I2532" t="s">
        <v>8747</v>
      </c>
      <c r="J2532" t="s">
        <v>8712</v>
      </c>
    </row>
    <row r="2533" spans="1:10" x14ac:dyDescent="0.25">
      <c r="A2533" t="s">
        <v>13590</v>
      </c>
      <c r="B2533">
        <v>27.992000000000001</v>
      </c>
      <c r="C2533" t="s">
        <v>13591</v>
      </c>
      <c r="D2533" t="s">
        <v>698</v>
      </c>
      <c r="E2533" t="s">
        <v>13395</v>
      </c>
      <c r="F2533" t="s">
        <v>7672</v>
      </c>
      <c r="G2533" t="s">
        <v>13396</v>
      </c>
      <c r="H2533" t="s">
        <v>8673</v>
      </c>
      <c r="I2533" t="s">
        <v>13420</v>
      </c>
      <c r="J2533" t="s">
        <v>8712</v>
      </c>
    </row>
    <row r="2534" spans="1:10" x14ac:dyDescent="0.25">
      <c r="A2534" t="s">
        <v>13592</v>
      </c>
      <c r="B2534">
        <v>8.3920000000000012</v>
      </c>
      <c r="C2534" t="s">
        <v>13593</v>
      </c>
      <c r="D2534" t="s">
        <v>964</v>
      </c>
      <c r="E2534" t="s">
        <v>13395</v>
      </c>
      <c r="F2534" t="s">
        <v>7672</v>
      </c>
      <c r="G2534" t="s">
        <v>13396</v>
      </c>
      <c r="H2534" t="s">
        <v>8673</v>
      </c>
      <c r="I2534" t="s">
        <v>13426</v>
      </c>
      <c r="J2534" t="s">
        <v>8712</v>
      </c>
    </row>
    <row r="2535" spans="1:10" x14ac:dyDescent="0.25">
      <c r="A2535" t="s">
        <v>13594</v>
      </c>
      <c r="B2535">
        <v>8.3920000000000012</v>
      </c>
      <c r="C2535" t="s">
        <v>13595</v>
      </c>
      <c r="D2535" t="s">
        <v>88</v>
      </c>
      <c r="E2535" t="s">
        <v>13395</v>
      </c>
      <c r="F2535" t="s">
        <v>7672</v>
      </c>
      <c r="G2535" t="s">
        <v>13396</v>
      </c>
      <c r="H2535" t="s">
        <v>8673</v>
      </c>
      <c r="I2535" t="s">
        <v>13423</v>
      </c>
      <c r="J2535" t="s">
        <v>8712</v>
      </c>
    </row>
    <row r="2536" spans="1:10" x14ac:dyDescent="0.25">
      <c r="A2536" t="s">
        <v>13596</v>
      </c>
      <c r="B2536">
        <v>27.992000000000001</v>
      </c>
      <c r="C2536" t="s">
        <v>13597</v>
      </c>
      <c r="D2536" t="s">
        <v>975</v>
      </c>
      <c r="E2536" t="s">
        <v>13395</v>
      </c>
      <c r="F2536" t="s">
        <v>7672</v>
      </c>
      <c r="G2536" t="s">
        <v>13396</v>
      </c>
      <c r="H2536" t="s">
        <v>8673</v>
      </c>
      <c r="I2536" t="s">
        <v>76</v>
      </c>
      <c r="J2536" t="s">
        <v>8725</v>
      </c>
    </row>
    <row r="2537" spans="1:10" x14ac:dyDescent="0.25">
      <c r="A2537" t="s">
        <v>13598</v>
      </c>
      <c r="B2537">
        <v>27.992000000000001</v>
      </c>
      <c r="C2537" t="s">
        <v>13599</v>
      </c>
      <c r="D2537" t="s">
        <v>582</v>
      </c>
      <c r="E2537" t="s">
        <v>13395</v>
      </c>
      <c r="F2537" t="s">
        <v>7672</v>
      </c>
      <c r="G2537" t="s">
        <v>13396</v>
      </c>
      <c r="H2537" t="s">
        <v>8673</v>
      </c>
      <c r="I2537" t="s">
        <v>13399</v>
      </c>
      <c r="J2537" t="s">
        <v>8725</v>
      </c>
    </row>
    <row r="2538" spans="1:10" x14ac:dyDescent="0.25">
      <c r="A2538" t="s">
        <v>13600</v>
      </c>
      <c r="B2538">
        <v>27.992000000000001</v>
      </c>
      <c r="C2538" t="s">
        <v>13601</v>
      </c>
      <c r="D2538" t="s">
        <v>359</v>
      </c>
      <c r="E2538" t="s">
        <v>13395</v>
      </c>
      <c r="F2538" t="s">
        <v>7672</v>
      </c>
      <c r="G2538" t="s">
        <v>13396</v>
      </c>
      <c r="H2538" t="s">
        <v>8673</v>
      </c>
      <c r="I2538" t="s">
        <v>10387</v>
      </c>
      <c r="J2538" t="s">
        <v>8725</v>
      </c>
    </row>
    <row r="2539" spans="1:10" x14ac:dyDescent="0.25">
      <c r="A2539" t="s">
        <v>13602</v>
      </c>
      <c r="B2539">
        <v>27.992000000000001</v>
      </c>
      <c r="C2539" t="s">
        <v>13603</v>
      </c>
      <c r="D2539" t="s">
        <v>613</v>
      </c>
      <c r="E2539" t="s">
        <v>13395</v>
      </c>
      <c r="F2539" t="s">
        <v>7672</v>
      </c>
      <c r="G2539" t="s">
        <v>13396</v>
      </c>
      <c r="H2539" t="s">
        <v>8673</v>
      </c>
      <c r="I2539" t="s">
        <v>10433</v>
      </c>
      <c r="J2539" t="s">
        <v>8725</v>
      </c>
    </row>
    <row r="2540" spans="1:10" x14ac:dyDescent="0.25">
      <c r="A2540" t="s">
        <v>13604</v>
      </c>
      <c r="B2540">
        <v>27.992000000000001</v>
      </c>
      <c r="C2540" t="s">
        <v>13605</v>
      </c>
      <c r="D2540" t="s">
        <v>296</v>
      </c>
      <c r="E2540" t="s">
        <v>13395</v>
      </c>
      <c r="F2540" t="s">
        <v>7672</v>
      </c>
      <c r="G2540" t="s">
        <v>13396</v>
      </c>
      <c r="H2540" t="s">
        <v>8673</v>
      </c>
      <c r="I2540" t="s">
        <v>10415</v>
      </c>
      <c r="J2540" t="s">
        <v>8725</v>
      </c>
    </row>
    <row r="2541" spans="1:10" x14ac:dyDescent="0.25">
      <c r="A2541" t="s">
        <v>13606</v>
      </c>
      <c r="B2541">
        <v>27.992000000000001</v>
      </c>
      <c r="C2541" t="s">
        <v>13607</v>
      </c>
      <c r="D2541" t="s">
        <v>250</v>
      </c>
      <c r="E2541" t="s">
        <v>13395</v>
      </c>
      <c r="F2541" t="s">
        <v>7672</v>
      </c>
      <c r="G2541" t="s">
        <v>13396</v>
      </c>
      <c r="H2541" t="s">
        <v>8673</v>
      </c>
      <c r="I2541" t="s">
        <v>13412</v>
      </c>
      <c r="J2541" t="s">
        <v>8725</v>
      </c>
    </row>
    <row r="2542" spans="1:10" x14ac:dyDescent="0.25">
      <c r="A2542" t="s">
        <v>13608</v>
      </c>
      <c r="B2542">
        <v>27.992000000000001</v>
      </c>
      <c r="C2542" t="s">
        <v>13609</v>
      </c>
      <c r="D2542" t="s">
        <v>613</v>
      </c>
      <c r="E2542" t="s">
        <v>13395</v>
      </c>
      <c r="F2542" t="s">
        <v>7672</v>
      </c>
      <c r="G2542" t="s">
        <v>13396</v>
      </c>
      <c r="H2542" t="s">
        <v>8673</v>
      </c>
      <c r="I2542" t="s">
        <v>13406</v>
      </c>
      <c r="J2542" t="s">
        <v>8725</v>
      </c>
    </row>
    <row r="2543" spans="1:10" x14ac:dyDescent="0.25">
      <c r="A2543" t="s">
        <v>13610</v>
      </c>
      <c r="B2543">
        <v>27.992000000000001</v>
      </c>
      <c r="C2543" t="s">
        <v>13611</v>
      </c>
      <c r="D2543" t="s">
        <v>2879</v>
      </c>
      <c r="E2543" t="s">
        <v>13395</v>
      </c>
      <c r="F2543" t="s">
        <v>7672</v>
      </c>
      <c r="G2543" t="s">
        <v>13396</v>
      </c>
      <c r="H2543" t="s">
        <v>8673</v>
      </c>
      <c r="I2543" t="s">
        <v>13409</v>
      </c>
      <c r="J2543" t="s">
        <v>8725</v>
      </c>
    </row>
    <row r="2544" spans="1:10" x14ac:dyDescent="0.25">
      <c r="A2544" t="s">
        <v>13612</v>
      </c>
      <c r="B2544">
        <v>27.992000000000001</v>
      </c>
      <c r="C2544" t="s">
        <v>13613</v>
      </c>
      <c r="D2544" t="s">
        <v>229</v>
      </c>
      <c r="E2544" t="s">
        <v>13395</v>
      </c>
      <c r="F2544" t="s">
        <v>7672</v>
      </c>
      <c r="G2544" t="s">
        <v>13396</v>
      </c>
      <c r="H2544" t="s">
        <v>8673</v>
      </c>
      <c r="I2544" t="s">
        <v>13415</v>
      </c>
      <c r="J2544" t="s">
        <v>8725</v>
      </c>
    </row>
    <row r="2545" spans="1:10" x14ac:dyDescent="0.25">
      <c r="A2545" t="s">
        <v>13614</v>
      </c>
      <c r="B2545">
        <v>27.992000000000001</v>
      </c>
      <c r="C2545" t="s">
        <v>13615</v>
      </c>
      <c r="D2545" t="s">
        <v>250</v>
      </c>
      <c r="E2545" t="s">
        <v>13395</v>
      </c>
      <c r="F2545" t="s">
        <v>7672</v>
      </c>
      <c r="G2545" t="s">
        <v>13396</v>
      </c>
      <c r="H2545" t="s">
        <v>8673</v>
      </c>
      <c r="I2545" t="s">
        <v>8747</v>
      </c>
      <c r="J2545" t="s">
        <v>8725</v>
      </c>
    </row>
    <row r="2546" spans="1:10" x14ac:dyDescent="0.25">
      <c r="A2546" t="s">
        <v>13616</v>
      </c>
      <c r="B2546">
        <v>27.992000000000001</v>
      </c>
      <c r="C2546" t="s">
        <v>13617</v>
      </c>
      <c r="D2546" t="s">
        <v>234</v>
      </c>
      <c r="E2546" t="s">
        <v>13395</v>
      </c>
      <c r="F2546" t="s">
        <v>7672</v>
      </c>
      <c r="G2546" t="s">
        <v>13396</v>
      </c>
      <c r="H2546" t="s">
        <v>8673</v>
      </c>
      <c r="I2546" t="s">
        <v>13420</v>
      </c>
      <c r="J2546" t="s">
        <v>8725</v>
      </c>
    </row>
    <row r="2547" spans="1:10" x14ac:dyDescent="0.25">
      <c r="A2547" t="s">
        <v>13618</v>
      </c>
      <c r="B2547">
        <v>8.3920000000000012</v>
      </c>
      <c r="C2547" t="s">
        <v>13619</v>
      </c>
      <c r="D2547" t="s">
        <v>100</v>
      </c>
      <c r="E2547" t="s">
        <v>13395</v>
      </c>
      <c r="F2547" t="s">
        <v>7672</v>
      </c>
      <c r="G2547" t="s">
        <v>13396</v>
      </c>
      <c r="H2547" t="s">
        <v>8673</v>
      </c>
      <c r="I2547" t="s">
        <v>8674</v>
      </c>
      <c r="J2547" t="s">
        <v>8725</v>
      </c>
    </row>
    <row r="2548" spans="1:10" x14ac:dyDescent="0.25">
      <c r="A2548" t="s">
        <v>13620</v>
      </c>
      <c r="B2548">
        <v>8.3920000000000012</v>
      </c>
      <c r="C2548" t="s">
        <v>13621</v>
      </c>
      <c r="D2548" t="s">
        <v>229</v>
      </c>
      <c r="E2548" t="s">
        <v>13395</v>
      </c>
      <c r="F2548" t="s">
        <v>7672</v>
      </c>
      <c r="G2548" t="s">
        <v>13396</v>
      </c>
      <c r="H2548" t="s">
        <v>8673</v>
      </c>
      <c r="I2548" t="s">
        <v>13426</v>
      </c>
      <c r="J2548" t="s">
        <v>8725</v>
      </c>
    </row>
    <row r="2549" spans="1:10" x14ac:dyDescent="0.25">
      <c r="A2549" t="s">
        <v>13622</v>
      </c>
      <c r="B2549">
        <v>8.3920000000000012</v>
      </c>
      <c r="C2549" t="s">
        <v>13623</v>
      </c>
      <c r="D2549" t="s">
        <v>2697</v>
      </c>
      <c r="E2549" t="s">
        <v>13395</v>
      </c>
      <c r="F2549" t="s">
        <v>7672</v>
      </c>
      <c r="G2549" t="s">
        <v>13396</v>
      </c>
      <c r="H2549" t="s">
        <v>8673</v>
      </c>
      <c r="I2549" t="s">
        <v>13452</v>
      </c>
      <c r="J2549" t="s">
        <v>8725</v>
      </c>
    </row>
    <row r="2550" spans="1:10" x14ac:dyDescent="0.25">
      <c r="A2550" t="s">
        <v>13624</v>
      </c>
      <c r="B2550">
        <v>8.3920000000000012</v>
      </c>
      <c r="C2550" t="s">
        <v>13625</v>
      </c>
      <c r="D2550" t="s">
        <v>964</v>
      </c>
      <c r="E2550" t="s">
        <v>13395</v>
      </c>
      <c r="F2550" t="s">
        <v>7672</v>
      </c>
      <c r="G2550" t="s">
        <v>13396</v>
      </c>
      <c r="H2550" t="s">
        <v>8673</v>
      </c>
      <c r="I2550" t="s">
        <v>13477</v>
      </c>
      <c r="J2550" t="s">
        <v>8725</v>
      </c>
    </row>
    <row r="2551" spans="1:10" x14ac:dyDescent="0.25">
      <c r="A2551" t="s">
        <v>13626</v>
      </c>
      <c r="B2551">
        <v>8.3920000000000012</v>
      </c>
      <c r="C2551" t="s">
        <v>13627</v>
      </c>
      <c r="D2551" t="s">
        <v>385</v>
      </c>
      <c r="E2551" t="s">
        <v>13395</v>
      </c>
      <c r="F2551" t="s">
        <v>7672</v>
      </c>
      <c r="G2551" t="s">
        <v>13396</v>
      </c>
      <c r="H2551" t="s">
        <v>8673</v>
      </c>
      <c r="I2551" t="s">
        <v>13423</v>
      </c>
      <c r="J2551" t="s">
        <v>8725</v>
      </c>
    </row>
    <row r="2552" spans="1:10" x14ac:dyDescent="0.25">
      <c r="A2552" t="s">
        <v>13628</v>
      </c>
      <c r="B2552">
        <v>27.992000000000001</v>
      </c>
      <c r="C2552" t="s">
        <v>13629</v>
      </c>
      <c r="D2552" t="s">
        <v>352</v>
      </c>
      <c r="E2552" t="s">
        <v>13395</v>
      </c>
      <c r="F2552" t="s">
        <v>7672</v>
      </c>
      <c r="G2552" t="s">
        <v>13396</v>
      </c>
      <c r="H2552" t="s">
        <v>8673</v>
      </c>
      <c r="I2552" t="s">
        <v>76</v>
      </c>
      <c r="J2552" t="s">
        <v>8737</v>
      </c>
    </row>
    <row r="2553" spans="1:10" x14ac:dyDescent="0.25">
      <c r="A2553" t="s">
        <v>13630</v>
      </c>
      <c r="B2553">
        <v>27.992000000000001</v>
      </c>
      <c r="C2553" t="s">
        <v>13631</v>
      </c>
      <c r="D2553" t="s">
        <v>282</v>
      </c>
      <c r="E2553" t="s">
        <v>13395</v>
      </c>
      <c r="F2553" t="s">
        <v>7672</v>
      </c>
      <c r="G2553" t="s">
        <v>13396</v>
      </c>
      <c r="H2553" t="s">
        <v>8673</v>
      </c>
      <c r="I2553" t="s">
        <v>13431</v>
      </c>
      <c r="J2553" t="s">
        <v>8737</v>
      </c>
    </row>
    <row r="2554" spans="1:10" x14ac:dyDescent="0.25">
      <c r="A2554" t="s">
        <v>13632</v>
      </c>
      <c r="B2554">
        <v>27.992000000000001</v>
      </c>
      <c r="C2554" t="s">
        <v>13633</v>
      </c>
      <c r="D2554" t="s">
        <v>95</v>
      </c>
      <c r="E2554" t="s">
        <v>13395</v>
      </c>
      <c r="F2554" t="s">
        <v>7672</v>
      </c>
      <c r="G2554" t="s">
        <v>13396</v>
      </c>
      <c r="H2554" t="s">
        <v>8673</v>
      </c>
      <c r="I2554" t="s">
        <v>13399</v>
      </c>
      <c r="J2554" t="s">
        <v>8737</v>
      </c>
    </row>
    <row r="2555" spans="1:10" x14ac:dyDescent="0.25">
      <c r="A2555" t="s">
        <v>13634</v>
      </c>
      <c r="B2555">
        <v>27.992000000000001</v>
      </c>
      <c r="C2555" t="s">
        <v>13635</v>
      </c>
      <c r="D2555" t="s">
        <v>199</v>
      </c>
      <c r="E2555" t="s">
        <v>13395</v>
      </c>
      <c r="F2555" t="s">
        <v>7672</v>
      </c>
      <c r="G2555" t="s">
        <v>13396</v>
      </c>
      <c r="H2555" t="s">
        <v>8673</v>
      </c>
      <c r="I2555" t="s">
        <v>10387</v>
      </c>
      <c r="J2555" t="s">
        <v>8737</v>
      </c>
    </row>
    <row r="2556" spans="1:10" x14ac:dyDescent="0.25">
      <c r="A2556" t="s">
        <v>13636</v>
      </c>
      <c r="B2556">
        <v>27.992000000000001</v>
      </c>
      <c r="C2556" t="s">
        <v>13637</v>
      </c>
      <c r="D2556" t="s">
        <v>835</v>
      </c>
      <c r="E2556" t="s">
        <v>13395</v>
      </c>
      <c r="F2556" t="s">
        <v>7672</v>
      </c>
      <c r="G2556" t="s">
        <v>13396</v>
      </c>
      <c r="H2556" t="s">
        <v>8673</v>
      </c>
      <c r="I2556" t="s">
        <v>10415</v>
      </c>
      <c r="J2556" t="s">
        <v>8737</v>
      </c>
    </row>
    <row r="2557" spans="1:10" x14ac:dyDescent="0.25">
      <c r="A2557" t="s">
        <v>13638</v>
      </c>
      <c r="B2557">
        <v>27.992000000000001</v>
      </c>
      <c r="C2557" t="s">
        <v>13639</v>
      </c>
      <c r="D2557" t="s">
        <v>330</v>
      </c>
      <c r="E2557" t="s">
        <v>13395</v>
      </c>
      <c r="F2557" t="s">
        <v>7672</v>
      </c>
      <c r="G2557" t="s">
        <v>13396</v>
      </c>
      <c r="H2557" t="s">
        <v>8673</v>
      </c>
      <c r="I2557" t="s">
        <v>13415</v>
      </c>
      <c r="J2557" t="s">
        <v>8737</v>
      </c>
    </row>
    <row r="2558" spans="1:10" x14ac:dyDescent="0.25">
      <c r="A2558" t="s">
        <v>13640</v>
      </c>
      <c r="B2558">
        <v>27.992000000000001</v>
      </c>
      <c r="C2558" t="s">
        <v>13641</v>
      </c>
      <c r="D2558" t="s">
        <v>742</v>
      </c>
      <c r="E2558" t="s">
        <v>13395</v>
      </c>
      <c r="F2558" t="s">
        <v>7672</v>
      </c>
      <c r="G2558" t="s">
        <v>13396</v>
      </c>
      <c r="H2558" t="s">
        <v>8673</v>
      </c>
      <c r="I2558" t="s">
        <v>13420</v>
      </c>
      <c r="J2558" t="s">
        <v>8737</v>
      </c>
    </row>
    <row r="2559" spans="1:10" x14ac:dyDescent="0.25">
      <c r="A2559" t="s">
        <v>13642</v>
      </c>
      <c r="B2559">
        <v>27.992000000000001</v>
      </c>
      <c r="C2559" t="s">
        <v>13643</v>
      </c>
      <c r="D2559" t="s">
        <v>436</v>
      </c>
      <c r="E2559" t="s">
        <v>13395</v>
      </c>
      <c r="F2559" t="s">
        <v>7672</v>
      </c>
      <c r="G2559" t="s">
        <v>13396</v>
      </c>
      <c r="H2559" t="s">
        <v>8673</v>
      </c>
      <c r="I2559" t="s">
        <v>13412</v>
      </c>
      <c r="J2559" t="s">
        <v>8737</v>
      </c>
    </row>
    <row r="2560" spans="1:10" x14ac:dyDescent="0.25">
      <c r="A2560" t="s">
        <v>13644</v>
      </c>
      <c r="B2560">
        <v>27.992000000000001</v>
      </c>
      <c r="C2560" t="s">
        <v>13645</v>
      </c>
      <c r="D2560" t="s">
        <v>255</v>
      </c>
      <c r="E2560" t="s">
        <v>13395</v>
      </c>
      <c r="F2560" t="s">
        <v>7672</v>
      </c>
      <c r="G2560" t="s">
        <v>13396</v>
      </c>
      <c r="H2560" t="s">
        <v>8673</v>
      </c>
      <c r="I2560" t="s">
        <v>13406</v>
      </c>
      <c r="J2560" t="s">
        <v>8737</v>
      </c>
    </row>
    <row r="2561" spans="1:10" x14ac:dyDescent="0.25">
      <c r="A2561" t="s">
        <v>13646</v>
      </c>
      <c r="B2561">
        <v>27.992000000000001</v>
      </c>
      <c r="C2561" t="s">
        <v>13647</v>
      </c>
      <c r="D2561" t="s">
        <v>330</v>
      </c>
      <c r="E2561" t="s">
        <v>13395</v>
      </c>
      <c r="F2561" t="s">
        <v>7672</v>
      </c>
      <c r="G2561" t="s">
        <v>13396</v>
      </c>
      <c r="H2561" t="s">
        <v>8673</v>
      </c>
      <c r="I2561" t="s">
        <v>13409</v>
      </c>
      <c r="J2561" t="s">
        <v>8737</v>
      </c>
    </row>
    <row r="2562" spans="1:10" x14ac:dyDescent="0.25">
      <c r="A2562" t="s">
        <v>13648</v>
      </c>
      <c r="B2562">
        <v>27.992000000000001</v>
      </c>
      <c r="C2562" t="s">
        <v>13649</v>
      </c>
      <c r="D2562" t="s">
        <v>277</v>
      </c>
      <c r="E2562" t="s">
        <v>13395</v>
      </c>
      <c r="F2562" t="s">
        <v>7672</v>
      </c>
      <c r="G2562" t="s">
        <v>13396</v>
      </c>
      <c r="H2562" t="s">
        <v>8673</v>
      </c>
      <c r="I2562" t="s">
        <v>8747</v>
      </c>
      <c r="J2562" t="s">
        <v>8737</v>
      </c>
    </row>
    <row r="2563" spans="1:10" x14ac:dyDescent="0.25">
      <c r="A2563" t="s">
        <v>13650</v>
      </c>
      <c r="B2563">
        <v>8.3920000000000012</v>
      </c>
      <c r="C2563" t="s">
        <v>13651</v>
      </c>
      <c r="D2563" t="s">
        <v>100</v>
      </c>
      <c r="E2563" t="s">
        <v>13395</v>
      </c>
      <c r="F2563" t="s">
        <v>7672</v>
      </c>
      <c r="G2563" t="s">
        <v>13396</v>
      </c>
      <c r="H2563" t="s">
        <v>8673</v>
      </c>
      <c r="I2563" t="s">
        <v>13426</v>
      </c>
      <c r="J2563" t="s">
        <v>8737</v>
      </c>
    </row>
    <row r="2564" spans="1:10" x14ac:dyDescent="0.25">
      <c r="A2564" t="s">
        <v>13652</v>
      </c>
      <c r="B2564">
        <v>8.3920000000000012</v>
      </c>
      <c r="C2564" t="s">
        <v>13653</v>
      </c>
      <c r="D2564" t="s">
        <v>53</v>
      </c>
      <c r="E2564" t="s">
        <v>13395</v>
      </c>
      <c r="F2564" t="s">
        <v>7672</v>
      </c>
      <c r="G2564" t="s">
        <v>13396</v>
      </c>
      <c r="H2564" t="s">
        <v>8673</v>
      </c>
      <c r="I2564" t="s">
        <v>13477</v>
      </c>
      <c r="J2564" t="s">
        <v>8737</v>
      </c>
    </row>
    <row r="2565" spans="1:10" x14ac:dyDescent="0.25">
      <c r="A2565" t="s">
        <v>13654</v>
      </c>
      <c r="B2565">
        <v>27.992000000000001</v>
      </c>
      <c r="C2565" t="s">
        <v>13655</v>
      </c>
      <c r="D2565" t="s">
        <v>277</v>
      </c>
      <c r="E2565" t="s">
        <v>13395</v>
      </c>
      <c r="F2565" t="s">
        <v>7672</v>
      </c>
      <c r="G2565" t="s">
        <v>13396</v>
      </c>
      <c r="H2565" t="s">
        <v>8673</v>
      </c>
      <c r="I2565" t="s">
        <v>76</v>
      </c>
      <c r="J2565" t="s">
        <v>9540</v>
      </c>
    </row>
    <row r="2566" spans="1:10" x14ac:dyDescent="0.25">
      <c r="A2566" t="s">
        <v>13656</v>
      </c>
      <c r="B2566">
        <v>27.992000000000001</v>
      </c>
      <c r="C2566" t="s">
        <v>13657</v>
      </c>
      <c r="D2566" t="s">
        <v>53</v>
      </c>
      <c r="E2566" t="s">
        <v>13395</v>
      </c>
      <c r="F2566" t="s">
        <v>7672</v>
      </c>
      <c r="G2566" t="s">
        <v>13396</v>
      </c>
      <c r="H2566" t="s">
        <v>8673</v>
      </c>
      <c r="I2566" t="s">
        <v>13431</v>
      </c>
      <c r="J2566" t="s">
        <v>9540</v>
      </c>
    </row>
    <row r="2567" spans="1:10" x14ac:dyDescent="0.25">
      <c r="A2567" t="s">
        <v>13658</v>
      </c>
      <c r="B2567">
        <v>27.992000000000001</v>
      </c>
      <c r="C2567" t="s">
        <v>13659</v>
      </c>
      <c r="D2567" t="s">
        <v>1143</v>
      </c>
      <c r="E2567" t="s">
        <v>13395</v>
      </c>
      <c r="F2567" t="s">
        <v>7672</v>
      </c>
      <c r="G2567" t="s">
        <v>13396</v>
      </c>
      <c r="H2567" t="s">
        <v>8673</v>
      </c>
      <c r="I2567" t="s">
        <v>13399</v>
      </c>
      <c r="J2567" t="s">
        <v>9540</v>
      </c>
    </row>
    <row r="2568" spans="1:10" x14ac:dyDescent="0.25">
      <c r="A2568" t="s">
        <v>13660</v>
      </c>
      <c r="B2568">
        <v>27.992000000000001</v>
      </c>
      <c r="C2568" t="s">
        <v>13661</v>
      </c>
      <c r="D2568" t="s">
        <v>359</v>
      </c>
      <c r="E2568" t="s">
        <v>13395</v>
      </c>
      <c r="F2568" t="s">
        <v>7672</v>
      </c>
      <c r="G2568" t="s">
        <v>13396</v>
      </c>
      <c r="H2568" t="s">
        <v>8673</v>
      </c>
      <c r="I2568" t="s">
        <v>10433</v>
      </c>
      <c r="J2568" t="s">
        <v>9540</v>
      </c>
    </row>
    <row r="2569" spans="1:10" x14ac:dyDescent="0.25">
      <c r="A2569" t="s">
        <v>13662</v>
      </c>
      <c r="B2569">
        <v>27.992000000000001</v>
      </c>
      <c r="C2569" t="s">
        <v>13663</v>
      </c>
      <c r="D2569" t="s">
        <v>379</v>
      </c>
      <c r="E2569" t="s">
        <v>13395</v>
      </c>
      <c r="F2569" t="s">
        <v>7672</v>
      </c>
      <c r="G2569" t="s">
        <v>13396</v>
      </c>
      <c r="H2569" t="s">
        <v>8673</v>
      </c>
      <c r="I2569" t="s">
        <v>10415</v>
      </c>
      <c r="J2569" t="s">
        <v>9540</v>
      </c>
    </row>
    <row r="2570" spans="1:10" x14ac:dyDescent="0.25">
      <c r="A2570" t="s">
        <v>13664</v>
      </c>
      <c r="B2570">
        <v>27.992000000000001</v>
      </c>
      <c r="C2570" t="s">
        <v>13665</v>
      </c>
      <c r="D2570" t="s">
        <v>776</v>
      </c>
      <c r="E2570" t="s">
        <v>13395</v>
      </c>
      <c r="F2570" t="s">
        <v>7672</v>
      </c>
      <c r="G2570" t="s">
        <v>13396</v>
      </c>
      <c r="H2570" t="s">
        <v>8673</v>
      </c>
      <c r="I2570" t="s">
        <v>10387</v>
      </c>
      <c r="J2570" t="s">
        <v>9540</v>
      </c>
    </row>
    <row r="2571" spans="1:10" x14ac:dyDescent="0.25">
      <c r="A2571" t="s">
        <v>13666</v>
      </c>
      <c r="B2571">
        <v>27.992000000000001</v>
      </c>
      <c r="C2571" t="s">
        <v>13667</v>
      </c>
      <c r="D2571" t="s">
        <v>277</v>
      </c>
      <c r="E2571" t="s">
        <v>13395</v>
      </c>
      <c r="F2571" t="s">
        <v>7672</v>
      </c>
      <c r="G2571" t="s">
        <v>13396</v>
      </c>
      <c r="H2571" t="s">
        <v>8673</v>
      </c>
      <c r="I2571" t="s">
        <v>13406</v>
      </c>
      <c r="J2571" t="s">
        <v>9540</v>
      </c>
    </row>
    <row r="2572" spans="1:10" x14ac:dyDescent="0.25">
      <c r="A2572" t="s">
        <v>13668</v>
      </c>
      <c r="B2572">
        <v>27.992000000000001</v>
      </c>
      <c r="C2572" t="s">
        <v>13669</v>
      </c>
      <c r="D2572" t="s">
        <v>282</v>
      </c>
      <c r="E2572" t="s">
        <v>13395</v>
      </c>
      <c r="F2572" t="s">
        <v>7672</v>
      </c>
      <c r="G2572" t="s">
        <v>13396</v>
      </c>
      <c r="H2572" t="s">
        <v>8673</v>
      </c>
      <c r="I2572" t="s">
        <v>13412</v>
      </c>
      <c r="J2572" t="s">
        <v>9540</v>
      </c>
    </row>
    <row r="2573" spans="1:10" x14ac:dyDescent="0.25">
      <c r="A2573" t="s">
        <v>13670</v>
      </c>
      <c r="B2573">
        <v>27.992000000000001</v>
      </c>
      <c r="C2573" t="s">
        <v>13671</v>
      </c>
      <c r="D2573" t="s">
        <v>277</v>
      </c>
      <c r="E2573" t="s">
        <v>13395</v>
      </c>
      <c r="F2573" t="s">
        <v>7672</v>
      </c>
      <c r="G2573" t="s">
        <v>13396</v>
      </c>
      <c r="H2573" t="s">
        <v>8673</v>
      </c>
      <c r="I2573" t="s">
        <v>13409</v>
      </c>
      <c r="J2573" t="s">
        <v>9540</v>
      </c>
    </row>
    <row r="2574" spans="1:10" x14ac:dyDescent="0.25">
      <c r="A2574" t="s">
        <v>13672</v>
      </c>
      <c r="B2574">
        <v>27.992000000000001</v>
      </c>
      <c r="C2574" t="s">
        <v>13673</v>
      </c>
      <c r="D2574" t="s">
        <v>255</v>
      </c>
      <c r="E2574" t="s">
        <v>13395</v>
      </c>
      <c r="F2574" t="s">
        <v>7672</v>
      </c>
      <c r="G2574" t="s">
        <v>13396</v>
      </c>
      <c r="H2574" t="s">
        <v>8673</v>
      </c>
      <c r="I2574" t="s">
        <v>13415</v>
      </c>
      <c r="J2574" t="s">
        <v>9540</v>
      </c>
    </row>
    <row r="2575" spans="1:10" x14ac:dyDescent="0.25">
      <c r="A2575" t="s">
        <v>13674</v>
      </c>
      <c r="B2575">
        <v>27.992000000000001</v>
      </c>
      <c r="C2575" t="s">
        <v>13675</v>
      </c>
      <c r="D2575" t="s">
        <v>269</v>
      </c>
      <c r="E2575" t="s">
        <v>13395</v>
      </c>
      <c r="F2575" t="s">
        <v>7672</v>
      </c>
      <c r="G2575" t="s">
        <v>13396</v>
      </c>
      <c r="H2575" t="s">
        <v>8673</v>
      </c>
      <c r="I2575" t="s">
        <v>8747</v>
      </c>
      <c r="J2575" t="s">
        <v>9540</v>
      </c>
    </row>
    <row r="2576" spans="1:10" x14ac:dyDescent="0.25">
      <c r="A2576" t="s">
        <v>13676</v>
      </c>
      <c r="B2576">
        <v>27.992000000000001</v>
      </c>
      <c r="C2576" t="s">
        <v>13677</v>
      </c>
      <c r="D2576" t="s">
        <v>849</v>
      </c>
      <c r="E2576" t="s">
        <v>13395</v>
      </c>
      <c r="F2576" t="s">
        <v>7672</v>
      </c>
      <c r="G2576" t="s">
        <v>13396</v>
      </c>
      <c r="H2576" t="s">
        <v>8673</v>
      </c>
      <c r="I2576" t="s">
        <v>13420</v>
      </c>
      <c r="J2576" t="s">
        <v>9540</v>
      </c>
    </row>
    <row r="2577" spans="1:10" x14ac:dyDescent="0.25">
      <c r="A2577" t="s">
        <v>13678</v>
      </c>
      <c r="B2577">
        <v>8.3920000000000012</v>
      </c>
      <c r="C2577" t="s">
        <v>13679</v>
      </c>
      <c r="D2577" t="s">
        <v>131</v>
      </c>
      <c r="E2577" t="s">
        <v>13395</v>
      </c>
      <c r="F2577" t="s">
        <v>7672</v>
      </c>
      <c r="G2577" t="s">
        <v>13396</v>
      </c>
      <c r="H2577" t="s">
        <v>8673</v>
      </c>
      <c r="I2577" t="s">
        <v>13423</v>
      </c>
      <c r="J2577" t="s">
        <v>9540</v>
      </c>
    </row>
    <row r="2578" spans="1:10" x14ac:dyDescent="0.25">
      <c r="A2578" t="s">
        <v>13680</v>
      </c>
      <c r="B2578">
        <v>8.3920000000000012</v>
      </c>
      <c r="C2578" t="s">
        <v>13681</v>
      </c>
      <c r="D2578" t="s">
        <v>742</v>
      </c>
      <c r="E2578" t="s">
        <v>13395</v>
      </c>
      <c r="F2578" t="s">
        <v>7672</v>
      </c>
      <c r="G2578" t="s">
        <v>13396</v>
      </c>
      <c r="H2578" t="s">
        <v>8673</v>
      </c>
      <c r="I2578" t="s">
        <v>8674</v>
      </c>
      <c r="J2578" t="s">
        <v>9540</v>
      </c>
    </row>
    <row r="2579" spans="1:10" x14ac:dyDescent="0.25">
      <c r="A2579" t="s">
        <v>13682</v>
      </c>
      <c r="B2579">
        <v>8.3920000000000012</v>
      </c>
      <c r="C2579" t="s">
        <v>13683</v>
      </c>
      <c r="D2579" t="s">
        <v>255</v>
      </c>
      <c r="E2579" t="s">
        <v>13395</v>
      </c>
      <c r="F2579" t="s">
        <v>7672</v>
      </c>
      <c r="G2579" t="s">
        <v>13396</v>
      </c>
      <c r="H2579" t="s">
        <v>8673</v>
      </c>
      <c r="I2579" t="s">
        <v>13426</v>
      </c>
      <c r="J2579" t="s">
        <v>9540</v>
      </c>
    </row>
    <row r="2580" spans="1:10" x14ac:dyDescent="0.25">
      <c r="A2580" t="s">
        <v>13684</v>
      </c>
      <c r="B2580">
        <v>8.3920000000000012</v>
      </c>
      <c r="C2580" t="s">
        <v>13685</v>
      </c>
      <c r="D2580" t="s">
        <v>282</v>
      </c>
      <c r="E2580" t="s">
        <v>13395</v>
      </c>
      <c r="F2580" t="s">
        <v>7672</v>
      </c>
      <c r="G2580" t="s">
        <v>13396</v>
      </c>
      <c r="H2580" t="s">
        <v>8673</v>
      </c>
      <c r="I2580" t="s">
        <v>13452</v>
      </c>
      <c r="J2580" t="s">
        <v>9540</v>
      </c>
    </row>
    <row r="2581" spans="1:10" x14ac:dyDescent="0.25">
      <c r="A2581" t="s">
        <v>3170</v>
      </c>
      <c r="B2581">
        <v>6.08</v>
      </c>
      <c r="C2581" t="s">
        <v>3172</v>
      </c>
      <c r="D2581" t="s">
        <v>3175</v>
      </c>
      <c r="E2581" t="s">
        <v>3173</v>
      </c>
      <c r="F2581" t="s">
        <v>7672</v>
      </c>
      <c r="G2581" t="s">
        <v>13686</v>
      </c>
      <c r="H2581" t="s">
        <v>11496</v>
      </c>
      <c r="I2581" t="s">
        <v>13687</v>
      </c>
      <c r="J2581" t="s">
        <v>10369</v>
      </c>
    </row>
    <row r="2582" spans="1:10" x14ac:dyDescent="0.25">
      <c r="A2582" t="s">
        <v>3176</v>
      </c>
      <c r="B2582">
        <v>6.08</v>
      </c>
      <c r="C2582" t="s">
        <v>3178</v>
      </c>
      <c r="D2582" t="s">
        <v>659</v>
      </c>
      <c r="E2582" t="s">
        <v>3173</v>
      </c>
      <c r="F2582" t="s">
        <v>7672</v>
      </c>
      <c r="G2582" t="s">
        <v>13686</v>
      </c>
      <c r="H2582" t="s">
        <v>11496</v>
      </c>
      <c r="I2582" t="s">
        <v>13687</v>
      </c>
      <c r="J2582" t="s">
        <v>11590</v>
      </c>
    </row>
    <row r="2583" spans="1:10" x14ac:dyDescent="0.25">
      <c r="A2583" t="s">
        <v>3180</v>
      </c>
      <c r="B2583">
        <v>6.08</v>
      </c>
      <c r="C2583" t="s">
        <v>3182</v>
      </c>
      <c r="D2583" t="s">
        <v>3184</v>
      </c>
      <c r="E2583" t="s">
        <v>3173</v>
      </c>
      <c r="F2583" t="s">
        <v>7672</v>
      </c>
      <c r="G2583" t="s">
        <v>13686</v>
      </c>
      <c r="H2583" t="s">
        <v>11496</v>
      </c>
      <c r="I2583" t="s">
        <v>13687</v>
      </c>
      <c r="J2583" t="s">
        <v>11593</v>
      </c>
    </row>
    <row r="2584" spans="1:10" x14ac:dyDescent="0.25">
      <c r="A2584" t="s">
        <v>3185</v>
      </c>
      <c r="B2584">
        <v>7.6000000000000014</v>
      </c>
      <c r="C2584" t="s">
        <v>3187</v>
      </c>
      <c r="D2584" t="s">
        <v>296</v>
      </c>
      <c r="E2584" t="s">
        <v>3188</v>
      </c>
      <c r="F2584" t="s">
        <v>7672</v>
      </c>
      <c r="G2584" t="s">
        <v>13688</v>
      </c>
      <c r="H2584" t="s">
        <v>11496</v>
      </c>
      <c r="I2584" t="s">
        <v>5202</v>
      </c>
      <c r="J2584" t="s">
        <v>9423</v>
      </c>
    </row>
    <row r="2585" spans="1:10" x14ac:dyDescent="0.25">
      <c r="A2585" t="s">
        <v>3191</v>
      </c>
      <c r="B2585">
        <v>7.6000000000000014</v>
      </c>
      <c r="C2585" t="s">
        <v>3193</v>
      </c>
      <c r="D2585" t="s">
        <v>306</v>
      </c>
      <c r="E2585" t="s">
        <v>3188</v>
      </c>
      <c r="F2585" t="s">
        <v>7672</v>
      </c>
      <c r="G2585" t="s">
        <v>13688</v>
      </c>
      <c r="H2585" t="s">
        <v>11496</v>
      </c>
      <c r="I2585" t="s">
        <v>5202</v>
      </c>
      <c r="J2585" t="s">
        <v>10862</v>
      </c>
    </row>
    <row r="2586" spans="1:10" x14ac:dyDescent="0.25">
      <c r="A2586" t="s">
        <v>3195</v>
      </c>
      <c r="B2586">
        <v>7.6000000000000014</v>
      </c>
      <c r="C2586" t="s">
        <v>3197</v>
      </c>
      <c r="D2586" t="s">
        <v>67</v>
      </c>
      <c r="E2586" t="s">
        <v>3188</v>
      </c>
      <c r="F2586" t="s">
        <v>7672</v>
      </c>
      <c r="G2586" t="s">
        <v>13688</v>
      </c>
      <c r="H2586" t="s">
        <v>11496</v>
      </c>
      <c r="I2586" t="s">
        <v>5202</v>
      </c>
      <c r="J2586" t="s">
        <v>9426</v>
      </c>
    </row>
    <row r="2587" spans="1:10" x14ac:dyDescent="0.25">
      <c r="A2587" t="s">
        <v>3199</v>
      </c>
      <c r="B2587">
        <v>7.6000000000000014</v>
      </c>
      <c r="C2587" t="s">
        <v>3201</v>
      </c>
      <c r="D2587" t="s">
        <v>3203</v>
      </c>
      <c r="E2587" t="s">
        <v>3188</v>
      </c>
      <c r="F2587" t="s">
        <v>7672</v>
      </c>
      <c r="G2587" t="s">
        <v>13688</v>
      </c>
      <c r="H2587" t="s">
        <v>11496</v>
      </c>
      <c r="I2587" t="s">
        <v>5202</v>
      </c>
      <c r="J2587" t="s">
        <v>13084</v>
      </c>
    </row>
    <row r="2588" spans="1:10" x14ac:dyDescent="0.25">
      <c r="A2588" t="s">
        <v>3204</v>
      </c>
      <c r="B2588">
        <v>7.6000000000000014</v>
      </c>
      <c r="C2588" t="s">
        <v>3206</v>
      </c>
      <c r="D2588" t="s">
        <v>3208</v>
      </c>
      <c r="E2588" t="s">
        <v>3188</v>
      </c>
      <c r="F2588" t="s">
        <v>7672</v>
      </c>
      <c r="G2588" t="s">
        <v>13688</v>
      </c>
      <c r="H2588" t="s">
        <v>11496</v>
      </c>
      <c r="I2588" t="s">
        <v>5202</v>
      </c>
      <c r="J2588" t="s">
        <v>11767</v>
      </c>
    </row>
    <row r="2589" spans="1:10" x14ac:dyDescent="0.25">
      <c r="A2589" t="s">
        <v>3209</v>
      </c>
      <c r="B2589">
        <v>7.6000000000000014</v>
      </c>
      <c r="C2589" t="s">
        <v>3211</v>
      </c>
      <c r="D2589" t="s">
        <v>1790</v>
      </c>
      <c r="E2589" t="s">
        <v>3188</v>
      </c>
      <c r="F2589" t="s">
        <v>7672</v>
      </c>
      <c r="G2589" t="s">
        <v>13688</v>
      </c>
      <c r="H2589" t="s">
        <v>11496</v>
      </c>
      <c r="I2589" t="s">
        <v>5202</v>
      </c>
      <c r="J2589" t="s">
        <v>11582</v>
      </c>
    </row>
    <row r="2590" spans="1:10" x14ac:dyDescent="0.25">
      <c r="A2590" t="s">
        <v>13689</v>
      </c>
      <c r="B2590">
        <v>4</v>
      </c>
      <c r="C2590" t="s">
        <v>13690</v>
      </c>
      <c r="D2590" t="s">
        <v>311</v>
      </c>
      <c r="E2590" t="s">
        <v>13691</v>
      </c>
      <c r="F2590" t="s">
        <v>7672</v>
      </c>
      <c r="G2590" t="s">
        <v>13692</v>
      </c>
      <c r="H2590" t="s">
        <v>8515</v>
      </c>
      <c r="I2590" t="s">
        <v>13693</v>
      </c>
      <c r="J2590" t="s">
        <v>100</v>
      </c>
    </row>
    <row r="2591" spans="1:10" x14ac:dyDescent="0.25">
      <c r="A2591" t="s">
        <v>13694</v>
      </c>
      <c r="B2591">
        <v>4</v>
      </c>
      <c r="C2591" t="s">
        <v>13695</v>
      </c>
      <c r="D2591" t="s">
        <v>286</v>
      </c>
      <c r="E2591" t="s">
        <v>13691</v>
      </c>
      <c r="F2591" t="s">
        <v>7672</v>
      </c>
      <c r="G2591" t="s">
        <v>13692</v>
      </c>
      <c r="H2591" t="s">
        <v>8515</v>
      </c>
      <c r="I2591" t="s">
        <v>13696</v>
      </c>
      <c r="J2591" t="s">
        <v>100</v>
      </c>
    </row>
    <row r="2592" spans="1:10" x14ac:dyDescent="0.25">
      <c r="A2592" t="s">
        <v>13697</v>
      </c>
      <c r="B2592">
        <v>4</v>
      </c>
      <c r="C2592" t="s">
        <v>13698</v>
      </c>
      <c r="D2592" t="s">
        <v>3184</v>
      </c>
      <c r="E2592" t="s">
        <v>13691</v>
      </c>
      <c r="F2592" t="s">
        <v>7672</v>
      </c>
      <c r="G2592" t="s">
        <v>13692</v>
      </c>
      <c r="H2592" t="s">
        <v>8515</v>
      </c>
      <c r="I2592" t="s">
        <v>13693</v>
      </c>
      <c r="J2592" t="s">
        <v>106</v>
      </c>
    </row>
    <row r="2593" spans="1:10" x14ac:dyDescent="0.25">
      <c r="A2593" t="s">
        <v>13699</v>
      </c>
      <c r="B2593">
        <v>4</v>
      </c>
      <c r="C2593" t="s">
        <v>13700</v>
      </c>
      <c r="D2593" t="s">
        <v>1579</v>
      </c>
      <c r="E2593" t="s">
        <v>13691</v>
      </c>
      <c r="F2593" t="s">
        <v>7672</v>
      </c>
      <c r="G2593" t="s">
        <v>13692</v>
      </c>
      <c r="H2593" t="s">
        <v>8515</v>
      </c>
      <c r="I2593" t="s">
        <v>13696</v>
      </c>
      <c r="J2593" t="s">
        <v>106</v>
      </c>
    </row>
    <row r="2594" spans="1:10" x14ac:dyDescent="0.25">
      <c r="A2594" t="s">
        <v>13701</v>
      </c>
      <c r="B2594">
        <v>4</v>
      </c>
      <c r="C2594" t="s">
        <v>13702</v>
      </c>
      <c r="D2594" t="s">
        <v>1254</v>
      </c>
      <c r="E2594" t="s">
        <v>13691</v>
      </c>
      <c r="F2594" t="s">
        <v>7672</v>
      </c>
      <c r="G2594" t="s">
        <v>13692</v>
      </c>
      <c r="H2594" t="s">
        <v>8515</v>
      </c>
      <c r="I2594" t="s">
        <v>13703</v>
      </c>
      <c r="J2594" t="s">
        <v>106</v>
      </c>
    </row>
    <row r="2595" spans="1:10" x14ac:dyDescent="0.25">
      <c r="A2595" t="s">
        <v>13704</v>
      </c>
      <c r="B2595">
        <v>4</v>
      </c>
      <c r="C2595" t="s">
        <v>13705</v>
      </c>
      <c r="D2595" t="s">
        <v>5283</v>
      </c>
      <c r="E2595" t="s">
        <v>13691</v>
      </c>
      <c r="F2595" t="s">
        <v>7672</v>
      </c>
      <c r="G2595" t="s">
        <v>13692</v>
      </c>
      <c r="H2595" t="s">
        <v>8515</v>
      </c>
      <c r="I2595" t="s">
        <v>13693</v>
      </c>
      <c r="J2595" t="s">
        <v>88</v>
      </c>
    </row>
    <row r="2596" spans="1:10" x14ac:dyDescent="0.25">
      <c r="A2596" t="s">
        <v>13706</v>
      </c>
      <c r="B2596">
        <v>4</v>
      </c>
      <c r="C2596" t="s">
        <v>13707</v>
      </c>
      <c r="D2596" t="s">
        <v>3944</v>
      </c>
      <c r="E2596" t="s">
        <v>13691</v>
      </c>
      <c r="F2596" t="s">
        <v>7672</v>
      </c>
      <c r="G2596" t="s">
        <v>13692</v>
      </c>
      <c r="H2596" t="s">
        <v>8515</v>
      </c>
      <c r="I2596" t="s">
        <v>13696</v>
      </c>
      <c r="J2596" t="s">
        <v>88</v>
      </c>
    </row>
    <row r="2597" spans="1:10" x14ac:dyDescent="0.25">
      <c r="A2597" t="s">
        <v>13708</v>
      </c>
      <c r="B2597">
        <v>4</v>
      </c>
      <c r="C2597" t="s">
        <v>13709</v>
      </c>
      <c r="D2597" t="s">
        <v>13710</v>
      </c>
      <c r="E2597" t="s">
        <v>13691</v>
      </c>
      <c r="F2597" t="s">
        <v>7672</v>
      </c>
      <c r="G2597" t="s">
        <v>13692</v>
      </c>
      <c r="H2597" t="s">
        <v>8515</v>
      </c>
      <c r="I2597" t="s">
        <v>13703</v>
      </c>
      <c r="J2597" t="s">
        <v>88</v>
      </c>
    </row>
    <row r="2598" spans="1:10" x14ac:dyDescent="0.25">
      <c r="A2598" t="s">
        <v>13711</v>
      </c>
      <c r="B2598">
        <v>4</v>
      </c>
      <c r="C2598" t="s">
        <v>13712</v>
      </c>
      <c r="D2598" t="s">
        <v>1459</v>
      </c>
      <c r="E2598" t="s">
        <v>13691</v>
      </c>
      <c r="F2598" t="s">
        <v>7672</v>
      </c>
      <c r="G2598" t="s">
        <v>13692</v>
      </c>
      <c r="H2598" t="s">
        <v>8515</v>
      </c>
      <c r="I2598" t="s">
        <v>13693</v>
      </c>
      <c r="J2598" t="s">
        <v>8531</v>
      </c>
    </row>
    <row r="2599" spans="1:10" x14ac:dyDescent="0.25">
      <c r="A2599" t="s">
        <v>13713</v>
      </c>
      <c r="B2599">
        <v>4</v>
      </c>
      <c r="C2599" t="s">
        <v>13714</v>
      </c>
      <c r="D2599" t="s">
        <v>3175</v>
      </c>
      <c r="E2599" t="s">
        <v>13691</v>
      </c>
      <c r="F2599" t="s">
        <v>7672</v>
      </c>
      <c r="G2599" t="s">
        <v>13692</v>
      </c>
      <c r="H2599" t="s">
        <v>8515</v>
      </c>
      <c r="I2599" t="s">
        <v>13696</v>
      </c>
      <c r="J2599" t="s">
        <v>8531</v>
      </c>
    </row>
    <row r="2600" spans="1:10" x14ac:dyDescent="0.25">
      <c r="A2600" t="s">
        <v>13715</v>
      </c>
      <c r="B2600">
        <v>4</v>
      </c>
      <c r="C2600" t="s">
        <v>13716</v>
      </c>
      <c r="D2600" t="s">
        <v>2381</v>
      </c>
      <c r="E2600" t="s">
        <v>13691</v>
      </c>
      <c r="F2600" t="s">
        <v>7672</v>
      </c>
      <c r="G2600" t="s">
        <v>13692</v>
      </c>
      <c r="H2600" t="s">
        <v>8515</v>
      </c>
      <c r="I2600" t="s">
        <v>13703</v>
      </c>
      <c r="J2600" t="s">
        <v>8531</v>
      </c>
    </row>
    <row r="2601" spans="1:10" x14ac:dyDescent="0.25">
      <c r="A2601" t="s">
        <v>13717</v>
      </c>
      <c r="B2601">
        <v>4</v>
      </c>
      <c r="C2601" t="s">
        <v>13718</v>
      </c>
      <c r="D2601" t="s">
        <v>1827</v>
      </c>
      <c r="E2601" t="s">
        <v>13691</v>
      </c>
      <c r="F2601" t="s">
        <v>7672</v>
      </c>
      <c r="G2601" t="s">
        <v>13692</v>
      </c>
      <c r="H2601" t="s">
        <v>8515</v>
      </c>
      <c r="I2601" t="s">
        <v>13693</v>
      </c>
      <c r="J2601" t="s">
        <v>131</v>
      </c>
    </row>
    <row r="2602" spans="1:10" x14ac:dyDescent="0.25">
      <c r="A2602" t="s">
        <v>13719</v>
      </c>
      <c r="B2602">
        <v>4</v>
      </c>
      <c r="C2602" t="s">
        <v>13720</v>
      </c>
      <c r="D2602" t="s">
        <v>1014</v>
      </c>
      <c r="E2602" t="s">
        <v>13691</v>
      </c>
      <c r="F2602" t="s">
        <v>7672</v>
      </c>
      <c r="G2602" t="s">
        <v>13692</v>
      </c>
      <c r="H2602" t="s">
        <v>8515</v>
      </c>
      <c r="I2602" t="s">
        <v>13703</v>
      </c>
      <c r="J2602" t="s">
        <v>131</v>
      </c>
    </row>
    <row r="2603" spans="1:10" x14ac:dyDescent="0.25">
      <c r="A2603" t="s">
        <v>13721</v>
      </c>
      <c r="B2603">
        <v>4</v>
      </c>
      <c r="C2603" t="s">
        <v>13722</v>
      </c>
      <c r="D2603" t="s">
        <v>2238</v>
      </c>
      <c r="E2603" t="s">
        <v>13691</v>
      </c>
      <c r="F2603" t="s">
        <v>7672</v>
      </c>
      <c r="G2603" t="s">
        <v>13692</v>
      </c>
      <c r="H2603" t="s">
        <v>8515</v>
      </c>
      <c r="I2603" t="s">
        <v>13696</v>
      </c>
      <c r="J2603" t="s">
        <v>131</v>
      </c>
    </row>
    <row r="2604" spans="1:10" x14ac:dyDescent="0.25">
      <c r="A2604" t="s">
        <v>13723</v>
      </c>
      <c r="B2604">
        <v>4</v>
      </c>
      <c r="C2604" t="s">
        <v>13724</v>
      </c>
      <c r="D2604" t="s">
        <v>3086</v>
      </c>
      <c r="E2604" t="s">
        <v>13691</v>
      </c>
      <c r="F2604" t="s">
        <v>7672</v>
      </c>
      <c r="G2604" t="s">
        <v>13692</v>
      </c>
      <c r="H2604" t="s">
        <v>8515</v>
      </c>
      <c r="I2604" t="s">
        <v>13693</v>
      </c>
      <c r="J2604" t="s">
        <v>269</v>
      </c>
    </row>
    <row r="2605" spans="1:10" x14ac:dyDescent="0.25">
      <c r="A2605" t="s">
        <v>13725</v>
      </c>
      <c r="B2605">
        <v>4</v>
      </c>
      <c r="C2605" t="s">
        <v>13726</v>
      </c>
      <c r="D2605" t="s">
        <v>4141</v>
      </c>
      <c r="E2605" t="s">
        <v>13691</v>
      </c>
      <c r="F2605" t="s">
        <v>7672</v>
      </c>
      <c r="G2605" t="s">
        <v>13692</v>
      </c>
      <c r="H2605" t="s">
        <v>8515</v>
      </c>
      <c r="I2605" t="s">
        <v>13703</v>
      </c>
      <c r="J2605" t="s">
        <v>269</v>
      </c>
    </row>
    <row r="2606" spans="1:10" x14ac:dyDescent="0.25">
      <c r="A2606" t="s">
        <v>13727</v>
      </c>
      <c r="B2606">
        <v>4</v>
      </c>
      <c r="C2606" t="s">
        <v>13728</v>
      </c>
      <c r="D2606" t="s">
        <v>359</v>
      </c>
      <c r="E2606" t="s">
        <v>13691</v>
      </c>
      <c r="F2606" t="s">
        <v>7672</v>
      </c>
      <c r="G2606" t="s">
        <v>13692</v>
      </c>
      <c r="H2606" t="s">
        <v>8515</v>
      </c>
      <c r="I2606" t="s">
        <v>13696</v>
      </c>
      <c r="J2606" t="s">
        <v>269</v>
      </c>
    </row>
    <row r="2607" spans="1:10" x14ac:dyDescent="0.25">
      <c r="A2607" t="s">
        <v>13729</v>
      </c>
      <c r="B2607">
        <v>4</v>
      </c>
      <c r="C2607" t="s">
        <v>13730</v>
      </c>
      <c r="D2607" t="s">
        <v>2762</v>
      </c>
      <c r="E2607" t="s">
        <v>13691</v>
      </c>
      <c r="F2607" t="s">
        <v>7672</v>
      </c>
      <c r="G2607" t="s">
        <v>13692</v>
      </c>
      <c r="H2607" t="s">
        <v>8515</v>
      </c>
      <c r="I2607" t="s">
        <v>13693</v>
      </c>
      <c r="J2607" t="s">
        <v>255</v>
      </c>
    </row>
    <row r="2608" spans="1:10" x14ac:dyDescent="0.25">
      <c r="A2608" t="s">
        <v>13731</v>
      </c>
      <c r="B2608">
        <v>4</v>
      </c>
      <c r="C2608" t="s">
        <v>13732</v>
      </c>
      <c r="D2608" t="s">
        <v>6257</v>
      </c>
      <c r="E2608" t="s">
        <v>13691</v>
      </c>
      <c r="F2608" t="s">
        <v>7672</v>
      </c>
      <c r="G2608" t="s">
        <v>13692</v>
      </c>
      <c r="H2608" t="s">
        <v>8515</v>
      </c>
      <c r="I2608" t="s">
        <v>13703</v>
      </c>
      <c r="J2608" t="s">
        <v>255</v>
      </c>
    </row>
    <row r="2609" spans="1:10" x14ac:dyDescent="0.25">
      <c r="A2609" t="s">
        <v>13733</v>
      </c>
      <c r="B2609">
        <v>4</v>
      </c>
      <c r="C2609" t="s">
        <v>13734</v>
      </c>
      <c r="D2609" t="s">
        <v>1459</v>
      </c>
      <c r="E2609" t="s">
        <v>13691</v>
      </c>
      <c r="F2609" t="s">
        <v>7672</v>
      </c>
      <c r="G2609" t="s">
        <v>13692</v>
      </c>
      <c r="H2609" t="s">
        <v>8515</v>
      </c>
      <c r="I2609" t="s">
        <v>13696</v>
      </c>
      <c r="J2609" t="s">
        <v>255</v>
      </c>
    </row>
    <row r="2610" spans="1:10" x14ac:dyDescent="0.25">
      <c r="A2610" t="s">
        <v>13735</v>
      </c>
      <c r="B2610">
        <v>4</v>
      </c>
      <c r="C2610" t="s">
        <v>13736</v>
      </c>
      <c r="D2610" t="s">
        <v>4322</v>
      </c>
      <c r="E2610" t="s">
        <v>13691</v>
      </c>
      <c r="F2610" t="s">
        <v>7672</v>
      </c>
      <c r="G2610" t="s">
        <v>13692</v>
      </c>
      <c r="H2610" t="s">
        <v>8515</v>
      </c>
      <c r="I2610" t="s">
        <v>13693</v>
      </c>
      <c r="J2610" t="s">
        <v>277</v>
      </c>
    </row>
    <row r="2611" spans="1:10" x14ac:dyDescent="0.25">
      <c r="A2611" t="s">
        <v>13737</v>
      </c>
      <c r="B2611">
        <v>4</v>
      </c>
      <c r="C2611" t="s">
        <v>13738</v>
      </c>
      <c r="D2611" t="s">
        <v>633</v>
      </c>
      <c r="E2611" t="s">
        <v>13691</v>
      </c>
      <c r="F2611" t="s">
        <v>7672</v>
      </c>
      <c r="G2611" t="s">
        <v>13692</v>
      </c>
      <c r="H2611" t="s">
        <v>8515</v>
      </c>
      <c r="I2611" t="s">
        <v>13696</v>
      </c>
      <c r="J2611" t="s">
        <v>277</v>
      </c>
    </row>
    <row r="2612" spans="1:10" x14ac:dyDescent="0.25">
      <c r="A2612" t="s">
        <v>13739</v>
      </c>
      <c r="B2612">
        <v>23.8</v>
      </c>
      <c r="C2612" t="s">
        <v>13740</v>
      </c>
      <c r="D2612" t="s">
        <v>366</v>
      </c>
      <c r="E2612" t="s">
        <v>13741</v>
      </c>
      <c r="F2612" t="s">
        <v>7672</v>
      </c>
      <c r="G2612" t="s">
        <v>13742</v>
      </c>
      <c r="H2612" t="s">
        <v>7947</v>
      </c>
      <c r="I2612" t="s">
        <v>76</v>
      </c>
      <c r="J2612" t="s">
        <v>8427</v>
      </c>
    </row>
    <row r="2613" spans="1:10" x14ac:dyDescent="0.25">
      <c r="A2613" t="s">
        <v>13743</v>
      </c>
      <c r="B2613">
        <v>23.8</v>
      </c>
      <c r="C2613" t="s">
        <v>13744</v>
      </c>
      <c r="D2613" t="s">
        <v>926</v>
      </c>
      <c r="E2613" t="s">
        <v>13741</v>
      </c>
      <c r="F2613" t="s">
        <v>7672</v>
      </c>
      <c r="G2613" t="s">
        <v>13742</v>
      </c>
      <c r="H2613" t="s">
        <v>7947</v>
      </c>
      <c r="I2613" t="s">
        <v>278</v>
      </c>
      <c r="J2613" t="s">
        <v>8427</v>
      </c>
    </row>
    <row r="2614" spans="1:10" x14ac:dyDescent="0.25">
      <c r="A2614" t="s">
        <v>13745</v>
      </c>
      <c r="B2614">
        <v>23.8</v>
      </c>
      <c r="C2614" t="s">
        <v>13746</v>
      </c>
      <c r="D2614" t="s">
        <v>359</v>
      </c>
      <c r="E2614" t="s">
        <v>13741</v>
      </c>
      <c r="F2614" t="s">
        <v>7672</v>
      </c>
      <c r="G2614" t="s">
        <v>13742</v>
      </c>
      <c r="H2614" t="s">
        <v>7947</v>
      </c>
      <c r="I2614" t="s">
        <v>76</v>
      </c>
      <c r="J2614" t="s">
        <v>8439</v>
      </c>
    </row>
    <row r="2615" spans="1:10" x14ac:dyDescent="0.25">
      <c r="A2615" t="s">
        <v>13747</v>
      </c>
      <c r="B2615">
        <v>23.8</v>
      </c>
      <c r="C2615" t="s">
        <v>13748</v>
      </c>
      <c r="D2615" t="s">
        <v>598</v>
      </c>
      <c r="E2615" t="s">
        <v>13741</v>
      </c>
      <c r="F2615" t="s">
        <v>7672</v>
      </c>
      <c r="G2615" t="s">
        <v>13742</v>
      </c>
      <c r="H2615" t="s">
        <v>7947</v>
      </c>
      <c r="I2615" t="s">
        <v>278</v>
      </c>
      <c r="J2615" t="s">
        <v>8439</v>
      </c>
    </row>
    <row r="2616" spans="1:10" x14ac:dyDescent="0.25">
      <c r="A2616" t="s">
        <v>13749</v>
      </c>
      <c r="B2616">
        <v>23.8</v>
      </c>
      <c r="C2616" t="s">
        <v>13750</v>
      </c>
      <c r="D2616" t="s">
        <v>698</v>
      </c>
      <c r="E2616" t="s">
        <v>13741</v>
      </c>
      <c r="F2616" t="s">
        <v>7672</v>
      </c>
      <c r="G2616" t="s">
        <v>13742</v>
      </c>
      <c r="H2616" t="s">
        <v>7947</v>
      </c>
      <c r="I2616" t="s">
        <v>278</v>
      </c>
      <c r="J2616" t="s">
        <v>8451</v>
      </c>
    </row>
    <row r="2617" spans="1:10" x14ac:dyDescent="0.25">
      <c r="A2617" t="s">
        <v>13751</v>
      </c>
      <c r="B2617">
        <v>5.7600000000000007</v>
      </c>
      <c r="C2617" t="s">
        <v>13752</v>
      </c>
      <c r="D2617" t="s">
        <v>6379</v>
      </c>
      <c r="E2617" t="s">
        <v>13753</v>
      </c>
      <c r="F2617" t="s">
        <v>7672</v>
      </c>
      <c r="G2617" t="s">
        <v>13754</v>
      </c>
      <c r="H2617" t="s">
        <v>7674</v>
      </c>
      <c r="I2617" t="s">
        <v>5202</v>
      </c>
      <c r="J2617" t="s">
        <v>7981</v>
      </c>
    </row>
    <row r="2618" spans="1:10" x14ac:dyDescent="0.25">
      <c r="A2618" t="s">
        <v>13755</v>
      </c>
      <c r="B2618">
        <v>5.7600000000000007</v>
      </c>
      <c r="C2618" t="s">
        <v>13756</v>
      </c>
      <c r="D2618" t="s">
        <v>10764</v>
      </c>
      <c r="E2618" t="s">
        <v>13753</v>
      </c>
      <c r="F2618" t="s">
        <v>7672</v>
      </c>
      <c r="G2618" t="s">
        <v>13754</v>
      </c>
      <c r="H2618" t="s">
        <v>7674</v>
      </c>
      <c r="I2618" t="s">
        <v>1490</v>
      </c>
      <c r="J2618" t="s">
        <v>7981</v>
      </c>
    </row>
    <row r="2619" spans="1:10" x14ac:dyDescent="0.25">
      <c r="A2619" t="s">
        <v>13757</v>
      </c>
      <c r="B2619">
        <v>5.7600000000000007</v>
      </c>
      <c r="C2619" t="s">
        <v>13758</v>
      </c>
      <c r="D2619" t="s">
        <v>9399</v>
      </c>
      <c r="E2619" t="s">
        <v>13753</v>
      </c>
      <c r="F2619" t="s">
        <v>7672</v>
      </c>
      <c r="G2619" t="s">
        <v>13754</v>
      </c>
      <c r="H2619" t="s">
        <v>7674</v>
      </c>
      <c r="I2619" t="s">
        <v>76</v>
      </c>
      <c r="J2619" t="s">
        <v>7981</v>
      </c>
    </row>
    <row r="2620" spans="1:10" x14ac:dyDescent="0.25">
      <c r="A2620" t="s">
        <v>13759</v>
      </c>
      <c r="B2620">
        <v>5.7600000000000007</v>
      </c>
      <c r="C2620" t="s">
        <v>13760</v>
      </c>
      <c r="D2620" t="s">
        <v>8631</v>
      </c>
      <c r="E2620" t="s">
        <v>13753</v>
      </c>
      <c r="F2620" t="s">
        <v>7672</v>
      </c>
      <c r="G2620" t="s">
        <v>13754</v>
      </c>
      <c r="H2620" t="s">
        <v>7674</v>
      </c>
      <c r="I2620" t="s">
        <v>1490</v>
      </c>
      <c r="J2620" t="s">
        <v>7984</v>
      </c>
    </row>
    <row r="2621" spans="1:10" x14ac:dyDescent="0.25">
      <c r="A2621" t="s">
        <v>13761</v>
      </c>
      <c r="B2621">
        <v>5.7600000000000007</v>
      </c>
      <c r="C2621" t="s">
        <v>13762</v>
      </c>
      <c r="D2621" t="s">
        <v>9170</v>
      </c>
      <c r="E2621" t="s">
        <v>13753</v>
      </c>
      <c r="F2621" t="s">
        <v>7672</v>
      </c>
      <c r="G2621" t="s">
        <v>13754</v>
      </c>
      <c r="H2621" t="s">
        <v>7674</v>
      </c>
      <c r="I2621" t="s">
        <v>76</v>
      </c>
      <c r="J2621" t="s">
        <v>7984</v>
      </c>
    </row>
    <row r="2622" spans="1:10" x14ac:dyDescent="0.25">
      <c r="A2622" t="s">
        <v>13763</v>
      </c>
      <c r="B2622">
        <v>5.7600000000000007</v>
      </c>
      <c r="C2622" t="s">
        <v>13764</v>
      </c>
      <c r="D2622" t="s">
        <v>1746</v>
      </c>
      <c r="E2622" t="s">
        <v>13753</v>
      </c>
      <c r="F2622" t="s">
        <v>7672</v>
      </c>
      <c r="G2622" t="s">
        <v>13754</v>
      </c>
      <c r="H2622" t="s">
        <v>7674</v>
      </c>
      <c r="I2622" t="s">
        <v>5202</v>
      </c>
      <c r="J2622" t="s">
        <v>7984</v>
      </c>
    </row>
    <row r="2623" spans="1:10" x14ac:dyDescent="0.25">
      <c r="A2623" t="s">
        <v>13765</v>
      </c>
      <c r="B2623">
        <v>5.7600000000000007</v>
      </c>
      <c r="C2623" t="s">
        <v>13766</v>
      </c>
      <c r="D2623" t="s">
        <v>9240</v>
      </c>
      <c r="E2623" t="s">
        <v>13753</v>
      </c>
      <c r="F2623" t="s">
        <v>7672</v>
      </c>
      <c r="G2623" t="s">
        <v>13754</v>
      </c>
      <c r="H2623" t="s">
        <v>7674</v>
      </c>
      <c r="I2623" t="s">
        <v>1490</v>
      </c>
      <c r="J2623" t="s">
        <v>7987</v>
      </c>
    </row>
    <row r="2624" spans="1:10" x14ac:dyDescent="0.25">
      <c r="A2624" t="s">
        <v>13767</v>
      </c>
      <c r="B2624">
        <v>5.7600000000000007</v>
      </c>
      <c r="C2624" t="s">
        <v>13768</v>
      </c>
      <c r="D2624" t="s">
        <v>12711</v>
      </c>
      <c r="E2624" t="s">
        <v>13753</v>
      </c>
      <c r="F2624" t="s">
        <v>7672</v>
      </c>
      <c r="G2624" t="s">
        <v>13754</v>
      </c>
      <c r="H2624" t="s">
        <v>7674</v>
      </c>
      <c r="I2624" t="s">
        <v>76</v>
      </c>
      <c r="J2624" t="s">
        <v>7987</v>
      </c>
    </row>
    <row r="2625" spans="1:10" x14ac:dyDescent="0.25">
      <c r="A2625" t="s">
        <v>13769</v>
      </c>
      <c r="B2625">
        <v>5.7600000000000007</v>
      </c>
      <c r="C2625" t="s">
        <v>13770</v>
      </c>
      <c r="D2625" t="s">
        <v>1703</v>
      </c>
      <c r="E2625" t="s">
        <v>13753</v>
      </c>
      <c r="F2625" t="s">
        <v>7672</v>
      </c>
      <c r="G2625" t="s">
        <v>13754</v>
      </c>
      <c r="H2625" t="s">
        <v>7674</v>
      </c>
      <c r="I2625" t="s">
        <v>5202</v>
      </c>
      <c r="J2625" t="s">
        <v>7987</v>
      </c>
    </row>
    <row r="2626" spans="1:10" x14ac:dyDescent="0.25">
      <c r="A2626" t="s">
        <v>13771</v>
      </c>
      <c r="B2626">
        <v>5.7600000000000007</v>
      </c>
      <c r="C2626" t="s">
        <v>13772</v>
      </c>
      <c r="D2626" t="s">
        <v>9671</v>
      </c>
      <c r="E2626" t="s">
        <v>13753</v>
      </c>
      <c r="F2626" t="s">
        <v>7672</v>
      </c>
      <c r="G2626" t="s">
        <v>13754</v>
      </c>
      <c r="H2626" t="s">
        <v>7674</v>
      </c>
      <c r="I2626" t="s">
        <v>76</v>
      </c>
      <c r="J2626" t="s">
        <v>8001</v>
      </c>
    </row>
    <row r="2627" spans="1:10" x14ac:dyDescent="0.25">
      <c r="A2627" t="s">
        <v>13773</v>
      </c>
      <c r="B2627">
        <v>5.7600000000000007</v>
      </c>
      <c r="C2627" t="s">
        <v>13774</v>
      </c>
      <c r="D2627" t="s">
        <v>4685</v>
      </c>
      <c r="E2627" t="s">
        <v>13753</v>
      </c>
      <c r="F2627" t="s">
        <v>7672</v>
      </c>
      <c r="G2627" t="s">
        <v>13754</v>
      </c>
      <c r="H2627" t="s">
        <v>7674</v>
      </c>
      <c r="I2627" t="s">
        <v>5202</v>
      </c>
      <c r="J2627" t="s">
        <v>8001</v>
      </c>
    </row>
    <row r="2628" spans="1:10" x14ac:dyDescent="0.25">
      <c r="A2628" t="s">
        <v>13775</v>
      </c>
      <c r="B2628">
        <v>5.7600000000000007</v>
      </c>
      <c r="C2628" t="s">
        <v>13776</v>
      </c>
      <c r="D2628" t="s">
        <v>9951</v>
      </c>
      <c r="E2628" t="s">
        <v>13753</v>
      </c>
      <c r="F2628" t="s">
        <v>7672</v>
      </c>
      <c r="G2628" t="s">
        <v>13754</v>
      </c>
      <c r="H2628" t="s">
        <v>7674</v>
      </c>
      <c r="I2628" t="s">
        <v>1490</v>
      </c>
      <c r="J2628" t="s">
        <v>8001</v>
      </c>
    </row>
    <row r="2629" spans="1:10" x14ac:dyDescent="0.25">
      <c r="A2629" t="s">
        <v>13777</v>
      </c>
      <c r="B2629">
        <v>16.792000000000002</v>
      </c>
      <c r="C2629" t="s">
        <v>13778</v>
      </c>
      <c r="D2629" t="s">
        <v>742</v>
      </c>
      <c r="E2629" t="s">
        <v>13779</v>
      </c>
      <c r="F2629" t="s">
        <v>7672</v>
      </c>
      <c r="G2629" t="s">
        <v>13780</v>
      </c>
      <c r="H2629" t="s">
        <v>9127</v>
      </c>
      <c r="I2629" t="s">
        <v>13781</v>
      </c>
      <c r="J2629" t="s">
        <v>7942</v>
      </c>
    </row>
    <row r="2630" spans="1:10" x14ac:dyDescent="0.25">
      <c r="A2630" t="s">
        <v>13782</v>
      </c>
      <c r="B2630">
        <v>16.792000000000002</v>
      </c>
      <c r="C2630" t="s">
        <v>13783</v>
      </c>
      <c r="D2630" t="s">
        <v>229</v>
      </c>
      <c r="E2630" t="s">
        <v>13779</v>
      </c>
      <c r="F2630" t="s">
        <v>7672</v>
      </c>
      <c r="G2630" t="s">
        <v>13780</v>
      </c>
      <c r="H2630" t="s">
        <v>9127</v>
      </c>
      <c r="I2630" t="s">
        <v>13781</v>
      </c>
      <c r="J2630" t="s">
        <v>7981</v>
      </c>
    </row>
    <row r="2631" spans="1:10" x14ac:dyDescent="0.25">
      <c r="A2631" t="s">
        <v>13784</v>
      </c>
      <c r="B2631">
        <v>16.792000000000002</v>
      </c>
      <c r="C2631" t="s">
        <v>13785</v>
      </c>
      <c r="D2631" t="s">
        <v>88</v>
      </c>
      <c r="E2631" t="s">
        <v>13779</v>
      </c>
      <c r="F2631" t="s">
        <v>7672</v>
      </c>
      <c r="G2631" t="s">
        <v>13780</v>
      </c>
      <c r="H2631" t="s">
        <v>9127</v>
      </c>
      <c r="I2631" t="s">
        <v>13781</v>
      </c>
      <c r="J2631" t="s">
        <v>7984</v>
      </c>
    </row>
    <row r="2632" spans="1:10" x14ac:dyDescent="0.25">
      <c r="A2632" t="s">
        <v>13786</v>
      </c>
      <c r="B2632">
        <v>6.4</v>
      </c>
      <c r="C2632" t="s">
        <v>13787</v>
      </c>
      <c r="D2632" t="s">
        <v>516</v>
      </c>
      <c r="E2632" t="s">
        <v>13788</v>
      </c>
      <c r="F2632" t="s">
        <v>7672</v>
      </c>
      <c r="G2632" t="s">
        <v>13789</v>
      </c>
      <c r="H2632" t="s">
        <v>11496</v>
      </c>
      <c r="I2632" t="s">
        <v>145</v>
      </c>
      <c r="J2632" t="s">
        <v>11590</v>
      </c>
    </row>
    <row r="2633" spans="1:10" x14ac:dyDescent="0.25">
      <c r="A2633" t="s">
        <v>13790</v>
      </c>
      <c r="B2633">
        <v>6.4</v>
      </c>
      <c r="C2633" t="s">
        <v>13791</v>
      </c>
      <c r="D2633" t="s">
        <v>53</v>
      </c>
      <c r="E2633" t="s">
        <v>13788</v>
      </c>
      <c r="F2633" t="s">
        <v>7672</v>
      </c>
      <c r="G2633" t="s">
        <v>13789</v>
      </c>
      <c r="H2633" t="s">
        <v>11496</v>
      </c>
      <c r="I2633" t="s">
        <v>145</v>
      </c>
      <c r="J2633" t="s">
        <v>11593</v>
      </c>
    </row>
    <row r="2634" spans="1:10" x14ac:dyDescent="0.25">
      <c r="A2634" t="s">
        <v>13792</v>
      </c>
      <c r="B2634">
        <v>21.84</v>
      </c>
      <c r="C2634" t="s">
        <v>13793</v>
      </c>
      <c r="D2634" t="s">
        <v>106</v>
      </c>
      <c r="E2634" t="s">
        <v>13794</v>
      </c>
      <c r="F2634" t="s">
        <v>7672</v>
      </c>
      <c r="G2634" t="s">
        <v>13795</v>
      </c>
      <c r="H2634" t="s">
        <v>7947</v>
      </c>
      <c r="I2634" t="s">
        <v>11789</v>
      </c>
      <c r="J2634" t="s">
        <v>7942</v>
      </c>
    </row>
    <row r="2635" spans="1:10" x14ac:dyDescent="0.25">
      <c r="A2635" t="s">
        <v>13796</v>
      </c>
      <c r="B2635">
        <v>21.84</v>
      </c>
      <c r="C2635" t="s">
        <v>13797</v>
      </c>
      <c r="D2635" t="s">
        <v>330</v>
      </c>
      <c r="E2635" t="s">
        <v>13794</v>
      </c>
      <c r="F2635" t="s">
        <v>7672</v>
      </c>
      <c r="G2635" t="s">
        <v>13795</v>
      </c>
      <c r="H2635" t="s">
        <v>7947</v>
      </c>
      <c r="I2635" t="s">
        <v>11789</v>
      </c>
      <c r="J2635" t="s">
        <v>7981</v>
      </c>
    </row>
    <row r="2636" spans="1:10" x14ac:dyDescent="0.25">
      <c r="A2636" t="s">
        <v>13798</v>
      </c>
      <c r="B2636">
        <v>21.84</v>
      </c>
      <c r="C2636" t="s">
        <v>13799</v>
      </c>
      <c r="D2636" t="s">
        <v>53</v>
      </c>
      <c r="E2636" t="s">
        <v>13794</v>
      </c>
      <c r="F2636" t="s">
        <v>7672</v>
      </c>
      <c r="G2636" t="s">
        <v>13795</v>
      </c>
      <c r="H2636" t="s">
        <v>7947</v>
      </c>
      <c r="I2636" t="s">
        <v>11789</v>
      </c>
      <c r="J2636" t="s">
        <v>7984</v>
      </c>
    </row>
    <row r="2637" spans="1:10" x14ac:dyDescent="0.25">
      <c r="A2637" t="s">
        <v>3213</v>
      </c>
      <c r="B2637">
        <v>15.4</v>
      </c>
      <c r="C2637" t="s">
        <v>3215</v>
      </c>
      <c r="D2637" t="s">
        <v>277</v>
      </c>
      <c r="E2637" t="s">
        <v>3216</v>
      </c>
      <c r="F2637" t="s">
        <v>7672</v>
      </c>
      <c r="G2637" t="s">
        <v>13800</v>
      </c>
      <c r="H2637" t="s">
        <v>9232</v>
      </c>
      <c r="I2637" t="s">
        <v>13801</v>
      </c>
      <c r="J2637" t="s">
        <v>7675</v>
      </c>
    </row>
    <row r="2638" spans="1:10" x14ac:dyDescent="0.25">
      <c r="A2638" t="s">
        <v>3220</v>
      </c>
      <c r="B2638">
        <v>15.4</v>
      </c>
      <c r="C2638" t="s">
        <v>3222</v>
      </c>
      <c r="D2638" t="s">
        <v>3224</v>
      </c>
      <c r="E2638" t="s">
        <v>3216</v>
      </c>
      <c r="F2638" t="s">
        <v>7672</v>
      </c>
      <c r="G2638" t="s">
        <v>13800</v>
      </c>
      <c r="H2638" t="s">
        <v>9232</v>
      </c>
      <c r="I2638" t="s">
        <v>13801</v>
      </c>
      <c r="J2638" t="s">
        <v>7686</v>
      </c>
    </row>
    <row r="2639" spans="1:10" x14ac:dyDescent="0.25">
      <c r="A2639" t="s">
        <v>3225</v>
      </c>
      <c r="B2639">
        <v>15.4</v>
      </c>
      <c r="C2639" t="s">
        <v>3227</v>
      </c>
      <c r="D2639" t="s">
        <v>2347</v>
      </c>
      <c r="E2639" t="s">
        <v>3216</v>
      </c>
      <c r="F2639" t="s">
        <v>7672</v>
      </c>
      <c r="G2639" t="s">
        <v>13800</v>
      </c>
      <c r="H2639" t="s">
        <v>9232</v>
      </c>
      <c r="I2639" t="s">
        <v>13802</v>
      </c>
      <c r="J2639" t="s">
        <v>7686</v>
      </c>
    </row>
    <row r="2640" spans="1:10" x14ac:dyDescent="0.25">
      <c r="A2640" t="s">
        <v>3230</v>
      </c>
      <c r="B2640">
        <v>15.4</v>
      </c>
      <c r="C2640" t="s">
        <v>3232</v>
      </c>
      <c r="D2640" t="s">
        <v>3234</v>
      </c>
      <c r="E2640" t="s">
        <v>3216</v>
      </c>
      <c r="F2640" t="s">
        <v>7672</v>
      </c>
      <c r="G2640" t="s">
        <v>13800</v>
      </c>
      <c r="H2640" t="s">
        <v>9232</v>
      </c>
      <c r="I2640" t="s">
        <v>13801</v>
      </c>
      <c r="J2640" t="s">
        <v>7703</v>
      </c>
    </row>
    <row r="2641" spans="1:10" x14ac:dyDescent="0.25">
      <c r="A2641" t="s">
        <v>3235</v>
      </c>
      <c r="B2641">
        <v>15.4</v>
      </c>
      <c r="C2641" t="s">
        <v>3237</v>
      </c>
      <c r="D2641" t="s">
        <v>3239</v>
      </c>
      <c r="E2641" t="s">
        <v>3216</v>
      </c>
      <c r="F2641" t="s">
        <v>7672</v>
      </c>
      <c r="G2641" t="s">
        <v>13800</v>
      </c>
      <c r="H2641" t="s">
        <v>9232</v>
      </c>
      <c r="I2641" t="s">
        <v>13802</v>
      </c>
      <c r="J2641" t="s">
        <v>7703</v>
      </c>
    </row>
    <row r="2642" spans="1:10" x14ac:dyDescent="0.25">
      <c r="A2642" t="s">
        <v>3240</v>
      </c>
      <c r="B2642">
        <v>15.4</v>
      </c>
      <c r="C2642" t="s">
        <v>3242</v>
      </c>
      <c r="D2642" t="s">
        <v>3244</v>
      </c>
      <c r="E2642" t="s">
        <v>3216</v>
      </c>
      <c r="F2642" t="s">
        <v>7672</v>
      </c>
      <c r="G2642" t="s">
        <v>13800</v>
      </c>
      <c r="H2642" t="s">
        <v>9232</v>
      </c>
      <c r="I2642" t="s">
        <v>13801</v>
      </c>
      <c r="J2642" t="s">
        <v>7713</v>
      </c>
    </row>
    <row r="2643" spans="1:10" x14ac:dyDescent="0.25">
      <c r="A2643" t="s">
        <v>3245</v>
      </c>
      <c r="B2643">
        <v>15.4</v>
      </c>
      <c r="C2643" t="s">
        <v>3247</v>
      </c>
      <c r="D2643" t="s">
        <v>1800</v>
      </c>
      <c r="E2643" t="s">
        <v>3216</v>
      </c>
      <c r="F2643" t="s">
        <v>7672</v>
      </c>
      <c r="G2643" t="s">
        <v>13800</v>
      </c>
      <c r="H2643" t="s">
        <v>9232</v>
      </c>
      <c r="I2643" t="s">
        <v>13802</v>
      </c>
      <c r="J2643" t="s">
        <v>7713</v>
      </c>
    </row>
    <row r="2644" spans="1:10" x14ac:dyDescent="0.25">
      <c r="A2644" t="s">
        <v>3249</v>
      </c>
      <c r="B2644">
        <v>15.4</v>
      </c>
      <c r="C2644" t="s">
        <v>3251</v>
      </c>
      <c r="D2644" t="s">
        <v>3253</v>
      </c>
      <c r="E2644" t="s">
        <v>3216</v>
      </c>
      <c r="F2644" t="s">
        <v>7672</v>
      </c>
      <c r="G2644" t="s">
        <v>13800</v>
      </c>
      <c r="H2644" t="s">
        <v>9232</v>
      </c>
      <c r="I2644" t="s">
        <v>13801</v>
      </c>
      <c r="J2644" t="s">
        <v>7719</v>
      </c>
    </row>
    <row r="2645" spans="1:10" x14ac:dyDescent="0.25">
      <c r="A2645" t="s">
        <v>3254</v>
      </c>
      <c r="B2645">
        <v>15.4</v>
      </c>
      <c r="C2645" t="s">
        <v>3256</v>
      </c>
      <c r="D2645" t="s">
        <v>3258</v>
      </c>
      <c r="E2645" t="s">
        <v>3216</v>
      </c>
      <c r="F2645" t="s">
        <v>7672</v>
      </c>
      <c r="G2645" t="s">
        <v>13800</v>
      </c>
      <c r="H2645" t="s">
        <v>9232</v>
      </c>
      <c r="I2645" t="s">
        <v>13802</v>
      </c>
      <c r="J2645" t="s">
        <v>7719</v>
      </c>
    </row>
    <row r="2646" spans="1:10" x14ac:dyDescent="0.25">
      <c r="A2646" t="s">
        <v>13803</v>
      </c>
      <c r="B2646">
        <v>18.2</v>
      </c>
      <c r="C2646" t="s">
        <v>13804</v>
      </c>
      <c r="D2646" t="s">
        <v>106</v>
      </c>
      <c r="E2646" t="s">
        <v>13805</v>
      </c>
      <c r="F2646" t="s">
        <v>7672</v>
      </c>
      <c r="G2646" t="s">
        <v>13806</v>
      </c>
      <c r="H2646" t="s">
        <v>9232</v>
      </c>
      <c r="I2646" t="s">
        <v>76</v>
      </c>
      <c r="J2646" t="s">
        <v>7675</v>
      </c>
    </row>
    <row r="2647" spans="1:10" x14ac:dyDescent="0.25">
      <c r="A2647" t="s">
        <v>13807</v>
      </c>
      <c r="B2647">
        <v>18.2</v>
      </c>
      <c r="C2647" t="s">
        <v>13808</v>
      </c>
      <c r="D2647" t="s">
        <v>277</v>
      </c>
      <c r="E2647" t="s">
        <v>13805</v>
      </c>
      <c r="F2647" t="s">
        <v>7672</v>
      </c>
      <c r="G2647" t="s">
        <v>13806</v>
      </c>
      <c r="H2647" t="s">
        <v>9232</v>
      </c>
      <c r="I2647" t="s">
        <v>13809</v>
      </c>
      <c r="J2647" t="s">
        <v>7675</v>
      </c>
    </row>
    <row r="2648" spans="1:10" x14ac:dyDescent="0.25">
      <c r="A2648" t="s">
        <v>13810</v>
      </c>
      <c r="B2648">
        <v>18.2</v>
      </c>
      <c r="C2648" t="s">
        <v>13811</v>
      </c>
      <c r="D2648" t="s">
        <v>352</v>
      </c>
      <c r="E2648" t="s">
        <v>13805</v>
      </c>
      <c r="F2648" t="s">
        <v>7672</v>
      </c>
      <c r="G2648" t="s">
        <v>13806</v>
      </c>
      <c r="H2648" t="s">
        <v>9232</v>
      </c>
      <c r="I2648" t="s">
        <v>76</v>
      </c>
      <c r="J2648" t="s">
        <v>7686</v>
      </c>
    </row>
    <row r="2649" spans="1:10" x14ac:dyDescent="0.25">
      <c r="A2649" t="s">
        <v>13812</v>
      </c>
      <c r="B2649">
        <v>18.2</v>
      </c>
      <c r="C2649" t="s">
        <v>13813</v>
      </c>
      <c r="D2649" t="s">
        <v>286</v>
      </c>
      <c r="E2649" t="s">
        <v>13805</v>
      </c>
      <c r="F2649" t="s">
        <v>7672</v>
      </c>
      <c r="G2649" t="s">
        <v>13806</v>
      </c>
      <c r="H2649" t="s">
        <v>9232</v>
      </c>
      <c r="I2649" t="s">
        <v>2924</v>
      </c>
      <c r="J2649" t="s">
        <v>7686</v>
      </c>
    </row>
    <row r="2650" spans="1:10" x14ac:dyDescent="0.25">
      <c r="A2650" t="s">
        <v>13814</v>
      </c>
      <c r="B2650">
        <v>18.2</v>
      </c>
      <c r="C2650" t="s">
        <v>13815</v>
      </c>
      <c r="D2650" t="s">
        <v>1097</v>
      </c>
      <c r="E2650" t="s">
        <v>13805</v>
      </c>
      <c r="F2650" t="s">
        <v>7672</v>
      </c>
      <c r="G2650" t="s">
        <v>13806</v>
      </c>
      <c r="H2650" t="s">
        <v>9232</v>
      </c>
      <c r="I2650" t="s">
        <v>13809</v>
      </c>
      <c r="J2650" t="s">
        <v>7686</v>
      </c>
    </row>
    <row r="2651" spans="1:10" x14ac:dyDescent="0.25">
      <c r="A2651" t="s">
        <v>13816</v>
      </c>
      <c r="B2651">
        <v>18.2</v>
      </c>
      <c r="C2651" t="s">
        <v>13817</v>
      </c>
      <c r="D2651" t="s">
        <v>199</v>
      </c>
      <c r="E2651" t="s">
        <v>13805</v>
      </c>
      <c r="F2651" t="s">
        <v>7672</v>
      </c>
      <c r="G2651" t="s">
        <v>13806</v>
      </c>
      <c r="H2651" t="s">
        <v>9232</v>
      </c>
      <c r="I2651" t="s">
        <v>76</v>
      </c>
      <c r="J2651" t="s">
        <v>7703</v>
      </c>
    </row>
    <row r="2652" spans="1:10" x14ac:dyDescent="0.25">
      <c r="A2652" t="s">
        <v>13818</v>
      </c>
      <c r="B2652">
        <v>18.2</v>
      </c>
      <c r="C2652" t="s">
        <v>13819</v>
      </c>
      <c r="D2652" t="s">
        <v>229</v>
      </c>
      <c r="E2652" t="s">
        <v>13805</v>
      </c>
      <c r="F2652" t="s">
        <v>7672</v>
      </c>
      <c r="G2652" t="s">
        <v>13806</v>
      </c>
      <c r="H2652" t="s">
        <v>9232</v>
      </c>
      <c r="I2652" t="s">
        <v>2924</v>
      </c>
      <c r="J2652" t="s">
        <v>7703</v>
      </c>
    </row>
    <row r="2653" spans="1:10" x14ac:dyDescent="0.25">
      <c r="A2653" t="s">
        <v>13820</v>
      </c>
      <c r="B2653">
        <v>18.2</v>
      </c>
      <c r="C2653" t="s">
        <v>13821</v>
      </c>
      <c r="D2653" t="s">
        <v>379</v>
      </c>
      <c r="E2653" t="s">
        <v>13805</v>
      </c>
      <c r="F2653" t="s">
        <v>7672</v>
      </c>
      <c r="G2653" t="s">
        <v>13806</v>
      </c>
      <c r="H2653" t="s">
        <v>9232</v>
      </c>
      <c r="I2653" t="s">
        <v>13809</v>
      </c>
      <c r="J2653" t="s">
        <v>7703</v>
      </c>
    </row>
    <row r="2654" spans="1:10" x14ac:dyDescent="0.25">
      <c r="A2654" t="s">
        <v>13822</v>
      </c>
      <c r="B2654">
        <v>18.2</v>
      </c>
      <c r="C2654" t="s">
        <v>13823</v>
      </c>
      <c r="D2654" t="s">
        <v>113</v>
      </c>
      <c r="E2654" t="s">
        <v>13805</v>
      </c>
      <c r="F2654" t="s">
        <v>7672</v>
      </c>
      <c r="G2654" t="s">
        <v>13806</v>
      </c>
      <c r="H2654" t="s">
        <v>9232</v>
      </c>
      <c r="I2654" t="s">
        <v>76</v>
      </c>
      <c r="J2654" t="s">
        <v>7713</v>
      </c>
    </row>
    <row r="2655" spans="1:10" x14ac:dyDescent="0.25">
      <c r="A2655" t="s">
        <v>13824</v>
      </c>
      <c r="B2655">
        <v>18.2</v>
      </c>
      <c r="C2655" t="s">
        <v>13825</v>
      </c>
      <c r="D2655" t="s">
        <v>311</v>
      </c>
      <c r="E2655" t="s">
        <v>13805</v>
      </c>
      <c r="F2655" t="s">
        <v>7672</v>
      </c>
      <c r="G2655" t="s">
        <v>13806</v>
      </c>
      <c r="H2655" t="s">
        <v>9232</v>
      </c>
      <c r="I2655" t="s">
        <v>2924</v>
      </c>
      <c r="J2655" t="s">
        <v>7713</v>
      </c>
    </row>
    <row r="2656" spans="1:10" x14ac:dyDescent="0.25">
      <c r="A2656" t="s">
        <v>13826</v>
      </c>
      <c r="B2656">
        <v>18.2</v>
      </c>
      <c r="C2656" t="s">
        <v>13827</v>
      </c>
      <c r="D2656" t="s">
        <v>981</v>
      </c>
      <c r="E2656" t="s">
        <v>13805</v>
      </c>
      <c r="F2656" t="s">
        <v>7672</v>
      </c>
      <c r="G2656" t="s">
        <v>13806</v>
      </c>
      <c r="H2656" t="s">
        <v>9232</v>
      </c>
      <c r="I2656" t="s">
        <v>13809</v>
      </c>
      <c r="J2656" t="s">
        <v>7713</v>
      </c>
    </row>
    <row r="2657" spans="1:10" x14ac:dyDescent="0.25">
      <c r="A2657" t="s">
        <v>13828</v>
      </c>
      <c r="B2657">
        <v>18.2</v>
      </c>
      <c r="C2657" t="s">
        <v>13829</v>
      </c>
      <c r="D2657" t="s">
        <v>286</v>
      </c>
      <c r="E2657" t="s">
        <v>13805</v>
      </c>
      <c r="F2657" t="s">
        <v>7672</v>
      </c>
      <c r="G2657" t="s">
        <v>13806</v>
      </c>
      <c r="H2657" t="s">
        <v>9232</v>
      </c>
      <c r="I2657" t="s">
        <v>76</v>
      </c>
      <c r="J2657" t="s">
        <v>7719</v>
      </c>
    </row>
    <row r="2658" spans="1:10" x14ac:dyDescent="0.25">
      <c r="A2658" t="s">
        <v>13830</v>
      </c>
      <c r="B2658">
        <v>18.2</v>
      </c>
      <c r="C2658" t="s">
        <v>13831</v>
      </c>
      <c r="D2658" t="s">
        <v>582</v>
      </c>
      <c r="E2658" t="s">
        <v>13805</v>
      </c>
      <c r="F2658" t="s">
        <v>7672</v>
      </c>
      <c r="G2658" t="s">
        <v>13806</v>
      </c>
      <c r="H2658" t="s">
        <v>9232</v>
      </c>
      <c r="I2658" t="s">
        <v>2924</v>
      </c>
      <c r="J2658" t="s">
        <v>7719</v>
      </c>
    </row>
    <row r="2659" spans="1:10" x14ac:dyDescent="0.25">
      <c r="A2659" t="s">
        <v>13832</v>
      </c>
      <c r="B2659">
        <v>18.2</v>
      </c>
      <c r="C2659" t="s">
        <v>13833</v>
      </c>
      <c r="D2659" t="s">
        <v>671</v>
      </c>
      <c r="E2659" t="s">
        <v>13805</v>
      </c>
      <c r="F2659" t="s">
        <v>7672</v>
      </c>
      <c r="G2659" t="s">
        <v>13806</v>
      </c>
      <c r="H2659" t="s">
        <v>9232</v>
      </c>
      <c r="I2659" t="s">
        <v>13809</v>
      </c>
      <c r="J2659" t="s">
        <v>7719</v>
      </c>
    </row>
    <row r="2660" spans="1:10" x14ac:dyDescent="0.25">
      <c r="A2660" t="s">
        <v>3259</v>
      </c>
      <c r="B2660">
        <v>8.4</v>
      </c>
      <c r="C2660" t="s">
        <v>3261</v>
      </c>
      <c r="D2660" t="s">
        <v>240</v>
      </c>
      <c r="E2660" t="s">
        <v>3262</v>
      </c>
      <c r="F2660" t="s">
        <v>7672</v>
      </c>
      <c r="G2660" t="s">
        <v>13834</v>
      </c>
      <c r="H2660" t="s">
        <v>7954</v>
      </c>
      <c r="I2660" t="s">
        <v>8150</v>
      </c>
      <c r="J2660" t="s">
        <v>7942</v>
      </c>
    </row>
    <row r="2661" spans="1:10" x14ac:dyDescent="0.25">
      <c r="A2661" t="s">
        <v>3265</v>
      </c>
      <c r="B2661">
        <v>8.4</v>
      </c>
      <c r="C2661" t="s">
        <v>3267</v>
      </c>
      <c r="D2661" t="s">
        <v>588</v>
      </c>
      <c r="E2661" t="s">
        <v>3262</v>
      </c>
      <c r="F2661" t="s">
        <v>7672</v>
      </c>
      <c r="G2661" t="s">
        <v>13834</v>
      </c>
      <c r="H2661" t="s">
        <v>7954</v>
      </c>
      <c r="I2661" t="s">
        <v>13703</v>
      </c>
      <c r="J2661" t="s">
        <v>7942</v>
      </c>
    </row>
    <row r="2662" spans="1:10" x14ac:dyDescent="0.25">
      <c r="A2662" t="s">
        <v>3270</v>
      </c>
      <c r="B2662">
        <v>8.4</v>
      </c>
      <c r="C2662" t="s">
        <v>3272</v>
      </c>
      <c r="D2662" t="s">
        <v>240</v>
      </c>
      <c r="E2662" t="s">
        <v>3262</v>
      </c>
      <c r="F2662" t="s">
        <v>7672</v>
      </c>
      <c r="G2662" t="s">
        <v>13834</v>
      </c>
      <c r="H2662" t="s">
        <v>7954</v>
      </c>
      <c r="I2662" t="s">
        <v>8150</v>
      </c>
      <c r="J2662" t="s">
        <v>7981</v>
      </c>
    </row>
    <row r="2663" spans="1:10" x14ac:dyDescent="0.25">
      <c r="A2663" t="s">
        <v>3274</v>
      </c>
      <c r="B2663">
        <v>8.4</v>
      </c>
      <c r="C2663" t="s">
        <v>3276</v>
      </c>
      <c r="D2663" t="s">
        <v>366</v>
      </c>
      <c r="E2663" t="s">
        <v>3262</v>
      </c>
      <c r="F2663" t="s">
        <v>7672</v>
      </c>
      <c r="G2663" t="s">
        <v>13834</v>
      </c>
      <c r="H2663" t="s">
        <v>7954</v>
      </c>
      <c r="I2663" t="s">
        <v>13703</v>
      </c>
      <c r="J2663" t="s">
        <v>7981</v>
      </c>
    </row>
    <row r="2664" spans="1:10" x14ac:dyDescent="0.25">
      <c r="A2664" t="s">
        <v>13835</v>
      </c>
      <c r="B2664">
        <v>16.792000000000002</v>
      </c>
      <c r="C2664" t="s">
        <v>13836</v>
      </c>
      <c r="D2664" t="s">
        <v>576</v>
      </c>
      <c r="E2664" t="s">
        <v>13837</v>
      </c>
      <c r="F2664" t="s">
        <v>7672</v>
      </c>
      <c r="G2664" t="s">
        <v>13838</v>
      </c>
      <c r="H2664" t="s">
        <v>9127</v>
      </c>
      <c r="I2664" t="s">
        <v>12571</v>
      </c>
      <c r="J2664" t="s">
        <v>7942</v>
      </c>
    </row>
    <row r="2665" spans="1:10" x14ac:dyDescent="0.25">
      <c r="A2665" t="s">
        <v>13839</v>
      </c>
      <c r="B2665">
        <v>16.792000000000002</v>
      </c>
      <c r="C2665" t="s">
        <v>13840</v>
      </c>
      <c r="D2665" t="s">
        <v>613</v>
      </c>
      <c r="E2665" t="s">
        <v>13837</v>
      </c>
      <c r="F2665" t="s">
        <v>7672</v>
      </c>
      <c r="G2665" t="s">
        <v>13838</v>
      </c>
      <c r="H2665" t="s">
        <v>9127</v>
      </c>
      <c r="I2665" t="s">
        <v>12571</v>
      </c>
      <c r="J2665" t="s">
        <v>7981</v>
      </c>
    </row>
    <row r="2666" spans="1:10" x14ac:dyDescent="0.25">
      <c r="A2666" t="s">
        <v>13841</v>
      </c>
      <c r="B2666">
        <v>16.792000000000002</v>
      </c>
      <c r="C2666" t="s">
        <v>13842</v>
      </c>
      <c r="D2666" t="s">
        <v>4270</v>
      </c>
      <c r="E2666" t="s">
        <v>13837</v>
      </c>
      <c r="F2666" t="s">
        <v>7672</v>
      </c>
      <c r="G2666" t="s">
        <v>13838</v>
      </c>
      <c r="H2666" t="s">
        <v>9127</v>
      </c>
      <c r="I2666" t="s">
        <v>12571</v>
      </c>
      <c r="J2666" t="s">
        <v>7984</v>
      </c>
    </row>
    <row r="2667" spans="1:10" x14ac:dyDescent="0.25">
      <c r="A2667" t="s">
        <v>13843</v>
      </c>
      <c r="B2667">
        <v>16.792000000000002</v>
      </c>
      <c r="C2667" t="s">
        <v>13844</v>
      </c>
      <c r="D2667" t="s">
        <v>870</v>
      </c>
      <c r="E2667" t="s">
        <v>13837</v>
      </c>
      <c r="F2667" t="s">
        <v>7672</v>
      </c>
      <c r="G2667" t="s">
        <v>13838</v>
      </c>
      <c r="H2667" t="s">
        <v>9127</v>
      </c>
      <c r="I2667" t="s">
        <v>12571</v>
      </c>
      <c r="J2667" t="s">
        <v>7987</v>
      </c>
    </row>
    <row r="2668" spans="1:10" x14ac:dyDescent="0.25">
      <c r="A2668" t="s">
        <v>13845</v>
      </c>
      <c r="B2668">
        <v>16.792000000000002</v>
      </c>
      <c r="C2668" t="s">
        <v>13846</v>
      </c>
      <c r="D2668" t="s">
        <v>613</v>
      </c>
      <c r="E2668" t="s">
        <v>13837</v>
      </c>
      <c r="F2668" t="s">
        <v>7672</v>
      </c>
      <c r="G2668" t="s">
        <v>13838</v>
      </c>
      <c r="H2668" t="s">
        <v>9127</v>
      </c>
      <c r="I2668" t="s">
        <v>12571</v>
      </c>
      <c r="J2668" t="s">
        <v>8001</v>
      </c>
    </row>
    <row r="2669" spans="1:10" x14ac:dyDescent="0.25">
      <c r="A2669" t="s">
        <v>13847</v>
      </c>
      <c r="B2669">
        <v>16.792000000000002</v>
      </c>
      <c r="C2669" t="s">
        <v>13848</v>
      </c>
      <c r="D2669" t="s">
        <v>359</v>
      </c>
      <c r="E2669" t="s">
        <v>13837</v>
      </c>
      <c r="F2669" t="s">
        <v>7672</v>
      </c>
      <c r="G2669" t="s">
        <v>13838</v>
      </c>
      <c r="H2669" t="s">
        <v>9127</v>
      </c>
      <c r="I2669" t="s">
        <v>12571</v>
      </c>
      <c r="J2669" t="s">
        <v>8013</v>
      </c>
    </row>
    <row r="2670" spans="1:10" x14ac:dyDescent="0.25">
      <c r="A2670" t="s">
        <v>13849</v>
      </c>
      <c r="B2670">
        <v>11.192</v>
      </c>
      <c r="C2670" t="s">
        <v>13850</v>
      </c>
      <c r="D2670" t="s">
        <v>8786</v>
      </c>
      <c r="E2670" t="s">
        <v>13851</v>
      </c>
      <c r="F2670" t="s">
        <v>7672</v>
      </c>
      <c r="G2670" t="s">
        <v>13852</v>
      </c>
      <c r="H2670" t="s">
        <v>10298</v>
      </c>
      <c r="I2670" t="s">
        <v>76</v>
      </c>
      <c r="J2670" t="s">
        <v>7942</v>
      </c>
    </row>
    <row r="2671" spans="1:10" x14ac:dyDescent="0.25">
      <c r="A2671" t="s">
        <v>13853</v>
      </c>
      <c r="B2671">
        <v>11.192</v>
      </c>
      <c r="C2671" t="s">
        <v>13854</v>
      </c>
      <c r="D2671" t="s">
        <v>8111</v>
      </c>
      <c r="E2671" t="s">
        <v>13851</v>
      </c>
      <c r="F2671" t="s">
        <v>7672</v>
      </c>
      <c r="G2671" t="s">
        <v>13852</v>
      </c>
      <c r="H2671" t="s">
        <v>10298</v>
      </c>
      <c r="I2671" t="s">
        <v>76</v>
      </c>
      <c r="J2671" t="s">
        <v>7981</v>
      </c>
    </row>
    <row r="2672" spans="1:10" x14ac:dyDescent="0.25">
      <c r="A2672" t="s">
        <v>13855</v>
      </c>
      <c r="B2672">
        <v>11.192</v>
      </c>
      <c r="C2672" t="s">
        <v>13856</v>
      </c>
      <c r="D2672" t="s">
        <v>3954</v>
      </c>
      <c r="E2672" t="s">
        <v>13851</v>
      </c>
      <c r="F2672" t="s">
        <v>7672</v>
      </c>
      <c r="G2672" t="s">
        <v>13852</v>
      </c>
      <c r="H2672" t="s">
        <v>10298</v>
      </c>
      <c r="I2672" t="s">
        <v>76</v>
      </c>
      <c r="J2672" t="s">
        <v>7984</v>
      </c>
    </row>
    <row r="2673" spans="1:10" x14ac:dyDescent="0.25">
      <c r="A2673" t="s">
        <v>13857</v>
      </c>
      <c r="B2673">
        <v>11.192</v>
      </c>
      <c r="C2673" t="s">
        <v>13858</v>
      </c>
      <c r="D2673" t="s">
        <v>13859</v>
      </c>
      <c r="E2673" t="s">
        <v>13851</v>
      </c>
      <c r="F2673" t="s">
        <v>7672</v>
      </c>
      <c r="G2673" t="s">
        <v>13852</v>
      </c>
      <c r="H2673" t="s">
        <v>10298</v>
      </c>
      <c r="I2673" t="s">
        <v>76</v>
      </c>
      <c r="J2673" t="s">
        <v>7987</v>
      </c>
    </row>
    <row r="2674" spans="1:10" x14ac:dyDescent="0.25">
      <c r="A2674" t="s">
        <v>13860</v>
      </c>
      <c r="B2674">
        <v>11.192</v>
      </c>
      <c r="C2674" t="s">
        <v>13861</v>
      </c>
      <c r="D2674" t="s">
        <v>1811</v>
      </c>
      <c r="E2674" t="s">
        <v>13851</v>
      </c>
      <c r="F2674" t="s">
        <v>7672</v>
      </c>
      <c r="G2674" t="s">
        <v>13852</v>
      </c>
      <c r="H2674" t="s">
        <v>10298</v>
      </c>
      <c r="I2674" t="s">
        <v>76</v>
      </c>
      <c r="J2674" t="s">
        <v>8001</v>
      </c>
    </row>
    <row r="2675" spans="1:10" x14ac:dyDescent="0.25">
      <c r="A2675" t="s">
        <v>13862</v>
      </c>
      <c r="B2675">
        <v>11.192</v>
      </c>
      <c r="C2675" t="s">
        <v>13863</v>
      </c>
      <c r="D2675" t="s">
        <v>53</v>
      </c>
      <c r="E2675" t="s">
        <v>13851</v>
      </c>
      <c r="F2675" t="s">
        <v>7672</v>
      </c>
      <c r="G2675" t="s">
        <v>13852</v>
      </c>
      <c r="H2675" t="s">
        <v>10298</v>
      </c>
      <c r="I2675" t="s">
        <v>76</v>
      </c>
      <c r="J2675" t="s">
        <v>8636</v>
      </c>
    </row>
    <row r="2676" spans="1:10" x14ac:dyDescent="0.25">
      <c r="A2676" t="s">
        <v>13864</v>
      </c>
      <c r="B2676">
        <v>7.0400000000000009</v>
      </c>
      <c r="C2676" t="s">
        <v>13865</v>
      </c>
      <c r="D2676" t="s">
        <v>588</v>
      </c>
      <c r="E2676" t="s">
        <v>13866</v>
      </c>
      <c r="F2676" t="s">
        <v>7672</v>
      </c>
      <c r="G2676" t="s">
        <v>13867</v>
      </c>
      <c r="H2676" t="s">
        <v>11496</v>
      </c>
      <c r="I2676" t="s">
        <v>497</v>
      </c>
      <c r="J2676" t="s">
        <v>131</v>
      </c>
    </row>
    <row r="2677" spans="1:10" x14ac:dyDescent="0.25">
      <c r="A2677" t="s">
        <v>13868</v>
      </c>
      <c r="B2677">
        <v>7.0400000000000009</v>
      </c>
      <c r="C2677" t="s">
        <v>13869</v>
      </c>
      <c r="D2677" t="s">
        <v>698</v>
      </c>
      <c r="E2677" t="s">
        <v>13866</v>
      </c>
      <c r="F2677" t="s">
        <v>7672</v>
      </c>
      <c r="G2677" t="s">
        <v>13867</v>
      </c>
      <c r="H2677" t="s">
        <v>11496</v>
      </c>
      <c r="I2677" t="s">
        <v>497</v>
      </c>
      <c r="J2677" t="s">
        <v>269</v>
      </c>
    </row>
    <row r="2678" spans="1:10" x14ac:dyDescent="0.25">
      <c r="A2678" t="s">
        <v>13870</v>
      </c>
      <c r="B2678">
        <v>7.0400000000000009</v>
      </c>
      <c r="C2678" t="s">
        <v>13871</v>
      </c>
      <c r="D2678" t="s">
        <v>2198</v>
      </c>
      <c r="E2678" t="s">
        <v>13866</v>
      </c>
      <c r="F2678" t="s">
        <v>7672</v>
      </c>
      <c r="G2678" t="s">
        <v>13867</v>
      </c>
      <c r="H2678" t="s">
        <v>11496</v>
      </c>
      <c r="I2678" t="s">
        <v>497</v>
      </c>
      <c r="J2678" t="s">
        <v>8789</v>
      </c>
    </row>
    <row r="2679" spans="1:10" x14ac:dyDescent="0.25">
      <c r="A2679" t="s">
        <v>13872</v>
      </c>
      <c r="B2679">
        <v>7.0400000000000009</v>
      </c>
      <c r="C2679" t="s">
        <v>13873</v>
      </c>
      <c r="D2679" t="s">
        <v>2072</v>
      </c>
      <c r="E2679" t="s">
        <v>13866</v>
      </c>
      <c r="F2679" t="s">
        <v>7672</v>
      </c>
      <c r="G2679" t="s">
        <v>13867</v>
      </c>
      <c r="H2679" t="s">
        <v>11496</v>
      </c>
      <c r="I2679" t="s">
        <v>497</v>
      </c>
      <c r="J2679" t="s">
        <v>255</v>
      </c>
    </row>
    <row r="2680" spans="1:10" x14ac:dyDescent="0.25">
      <c r="A2680" t="s">
        <v>13874</v>
      </c>
      <c r="B2680">
        <v>7.0400000000000009</v>
      </c>
      <c r="C2680" t="s">
        <v>13875</v>
      </c>
      <c r="D2680" t="s">
        <v>2910</v>
      </c>
      <c r="E2680" t="s">
        <v>13866</v>
      </c>
      <c r="F2680" t="s">
        <v>7672</v>
      </c>
      <c r="G2680" t="s">
        <v>13867</v>
      </c>
      <c r="H2680" t="s">
        <v>11496</v>
      </c>
      <c r="I2680" t="s">
        <v>497</v>
      </c>
      <c r="J2680" t="s">
        <v>277</v>
      </c>
    </row>
    <row r="2681" spans="1:10" x14ac:dyDescent="0.25">
      <c r="A2681" t="s">
        <v>13876</v>
      </c>
      <c r="B2681">
        <v>7.0400000000000009</v>
      </c>
      <c r="C2681" t="s">
        <v>13877</v>
      </c>
      <c r="D2681" t="s">
        <v>2099</v>
      </c>
      <c r="E2681" t="s">
        <v>13866</v>
      </c>
      <c r="F2681" t="s">
        <v>7672</v>
      </c>
      <c r="G2681" t="s">
        <v>13867</v>
      </c>
      <c r="H2681" t="s">
        <v>11496</v>
      </c>
      <c r="I2681" t="s">
        <v>497</v>
      </c>
      <c r="J2681" t="s">
        <v>164</v>
      </c>
    </row>
    <row r="2682" spans="1:10" x14ac:dyDescent="0.25">
      <c r="A2682" t="s">
        <v>13878</v>
      </c>
      <c r="B2682">
        <v>9.6000000000000014</v>
      </c>
      <c r="C2682" t="s">
        <v>13879</v>
      </c>
      <c r="D2682" t="s">
        <v>199</v>
      </c>
      <c r="E2682" t="s">
        <v>13880</v>
      </c>
      <c r="F2682" t="s">
        <v>7672</v>
      </c>
      <c r="G2682" t="s">
        <v>13881</v>
      </c>
      <c r="H2682" t="s">
        <v>8301</v>
      </c>
      <c r="I2682" t="s">
        <v>13882</v>
      </c>
      <c r="J2682" t="s">
        <v>277</v>
      </c>
    </row>
    <row r="2683" spans="1:10" x14ac:dyDescent="0.25">
      <c r="A2683" t="s">
        <v>13883</v>
      </c>
      <c r="B2683">
        <v>9.6000000000000014</v>
      </c>
      <c r="C2683" t="s">
        <v>13884</v>
      </c>
      <c r="D2683" t="s">
        <v>2099</v>
      </c>
      <c r="E2683" t="s">
        <v>13880</v>
      </c>
      <c r="F2683" t="s">
        <v>7672</v>
      </c>
      <c r="G2683" t="s">
        <v>13881</v>
      </c>
      <c r="H2683" t="s">
        <v>8301</v>
      </c>
      <c r="I2683" t="s">
        <v>13885</v>
      </c>
      <c r="J2683" t="s">
        <v>277</v>
      </c>
    </row>
    <row r="2684" spans="1:10" x14ac:dyDescent="0.25">
      <c r="A2684" t="s">
        <v>13886</v>
      </c>
      <c r="B2684">
        <v>9.6000000000000014</v>
      </c>
      <c r="C2684" t="s">
        <v>13887</v>
      </c>
      <c r="D2684" t="s">
        <v>598</v>
      </c>
      <c r="E2684" t="s">
        <v>13880</v>
      </c>
      <c r="F2684" t="s">
        <v>7672</v>
      </c>
      <c r="G2684" t="s">
        <v>13881</v>
      </c>
      <c r="H2684" t="s">
        <v>8301</v>
      </c>
      <c r="I2684" t="s">
        <v>13882</v>
      </c>
      <c r="J2684" t="s">
        <v>164</v>
      </c>
    </row>
    <row r="2685" spans="1:10" x14ac:dyDescent="0.25">
      <c r="A2685" t="s">
        <v>13888</v>
      </c>
      <c r="B2685">
        <v>9.6000000000000014</v>
      </c>
      <c r="C2685" t="s">
        <v>13889</v>
      </c>
      <c r="D2685" t="s">
        <v>316</v>
      </c>
      <c r="E2685" t="s">
        <v>13880</v>
      </c>
      <c r="F2685" t="s">
        <v>7672</v>
      </c>
      <c r="G2685" t="s">
        <v>13881</v>
      </c>
      <c r="H2685" t="s">
        <v>8301</v>
      </c>
      <c r="I2685" t="s">
        <v>13885</v>
      </c>
      <c r="J2685" t="s">
        <v>164</v>
      </c>
    </row>
    <row r="2686" spans="1:10" x14ac:dyDescent="0.25">
      <c r="A2686" t="s">
        <v>3278</v>
      </c>
      <c r="B2686">
        <v>5.4960000000000004</v>
      </c>
      <c r="C2686" t="s">
        <v>3280</v>
      </c>
      <c r="D2686" t="s">
        <v>88</v>
      </c>
      <c r="E2686" t="s">
        <v>3281</v>
      </c>
      <c r="F2686" t="s">
        <v>7672</v>
      </c>
      <c r="G2686" t="s">
        <v>13890</v>
      </c>
      <c r="H2686" t="s">
        <v>13891</v>
      </c>
      <c r="I2686" t="s">
        <v>3284</v>
      </c>
      <c r="J2686" t="s">
        <v>11503</v>
      </c>
    </row>
    <row r="2687" spans="1:10" x14ac:dyDescent="0.25">
      <c r="A2687" t="s">
        <v>3285</v>
      </c>
      <c r="B2687">
        <v>5.4960000000000004</v>
      </c>
      <c r="C2687" t="s">
        <v>3287</v>
      </c>
      <c r="D2687" t="s">
        <v>3289</v>
      </c>
      <c r="E2687" t="s">
        <v>3281</v>
      </c>
      <c r="F2687" t="s">
        <v>7672</v>
      </c>
      <c r="G2687" t="s">
        <v>13890</v>
      </c>
      <c r="H2687" t="s">
        <v>13891</v>
      </c>
      <c r="I2687" t="s">
        <v>3284</v>
      </c>
      <c r="J2687" t="s">
        <v>282</v>
      </c>
    </row>
    <row r="2688" spans="1:10" x14ac:dyDescent="0.25">
      <c r="A2688" t="s">
        <v>3290</v>
      </c>
      <c r="B2688">
        <v>5.4960000000000004</v>
      </c>
      <c r="C2688" t="s">
        <v>3292</v>
      </c>
      <c r="D2688" t="s">
        <v>1847</v>
      </c>
      <c r="E2688" t="s">
        <v>3281</v>
      </c>
      <c r="F2688" t="s">
        <v>7672</v>
      </c>
      <c r="G2688" t="s">
        <v>13890</v>
      </c>
      <c r="H2688" t="s">
        <v>13891</v>
      </c>
      <c r="I2688" t="s">
        <v>13892</v>
      </c>
      <c r="J2688" t="s">
        <v>282</v>
      </c>
    </row>
    <row r="2689" spans="1:10" x14ac:dyDescent="0.25">
      <c r="A2689" t="s">
        <v>3296</v>
      </c>
      <c r="B2689">
        <v>5.4960000000000004</v>
      </c>
      <c r="C2689" t="s">
        <v>3298</v>
      </c>
      <c r="D2689" t="s">
        <v>316</v>
      </c>
      <c r="E2689" t="s">
        <v>3281</v>
      </c>
      <c r="F2689" t="s">
        <v>7672</v>
      </c>
      <c r="G2689" t="s">
        <v>13890</v>
      </c>
      <c r="H2689" t="s">
        <v>13891</v>
      </c>
      <c r="I2689" t="s">
        <v>3284</v>
      </c>
      <c r="J2689" t="s">
        <v>277</v>
      </c>
    </row>
    <row r="2690" spans="1:10" x14ac:dyDescent="0.25">
      <c r="A2690" t="s">
        <v>3300</v>
      </c>
      <c r="B2690">
        <v>5.4960000000000004</v>
      </c>
      <c r="C2690" t="s">
        <v>3302</v>
      </c>
      <c r="D2690" t="s">
        <v>3086</v>
      </c>
      <c r="E2690" t="s">
        <v>3281</v>
      </c>
      <c r="F2690" t="s">
        <v>7672</v>
      </c>
      <c r="G2690" t="s">
        <v>13890</v>
      </c>
      <c r="H2690" t="s">
        <v>13891</v>
      </c>
      <c r="I2690" t="s">
        <v>13892</v>
      </c>
      <c r="J2690" t="s">
        <v>277</v>
      </c>
    </row>
    <row r="2691" spans="1:10" x14ac:dyDescent="0.25">
      <c r="A2691" t="s">
        <v>13893</v>
      </c>
      <c r="B2691">
        <v>9.2240000000000002</v>
      </c>
      <c r="C2691" t="s">
        <v>13894</v>
      </c>
      <c r="D2691" t="s">
        <v>385</v>
      </c>
      <c r="E2691" t="s">
        <v>13895</v>
      </c>
      <c r="F2691" t="s">
        <v>7672</v>
      </c>
      <c r="G2691" t="s">
        <v>13896</v>
      </c>
      <c r="H2691" t="s">
        <v>13897</v>
      </c>
      <c r="I2691" t="s">
        <v>13898</v>
      </c>
      <c r="J2691" t="s">
        <v>9423</v>
      </c>
    </row>
    <row r="2692" spans="1:10" x14ac:dyDescent="0.25">
      <c r="A2692" t="s">
        <v>13899</v>
      </c>
      <c r="B2692">
        <v>9.2240000000000002</v>
      </c>
      <c r="C2692" t="s">
        <v>13900</v>
      </c>
      <c r="D2692" t="s">
        <v>330</v>
      </c>
      <c r="E2692" t="s">
        <v>13895</v>
      </c>
      <c r="F2692" t="s">
        <v>7672</v>
      </c>
      <c r="G2692" t="s">
        <v>13896</v>
      </c>
      <c r="H2692" t="s">
        <v>13897</v>
      </c>
      <c r="I2692" t="s">
        <v>13898</v>
      </c>
      <c r="J2692" t="s">
        <v>9426</v>
      </c>
    </row>
    <row r="2693" spans="1:10" x14ac:dyDescent="0.25">
      <c r="A2693" t="s">
        <v>13901</v>
      </c>
      <c r="B2693">
        <v>3.9119999999999999</v>
      </c>
      <c r="C2693" t="s">
        <v>13902</v>
      </c>
      <c r="D2693" t="s">
        <v>106</v>
      </c>
      <c r="E2693" t="s">
        <v>13903</v>
      </c>
      <c r="F2693" t="s">
        <v>7672</v>
      </c>
      <c r="G2693" t="s">
        <v>13904</v>
      </c>
      <c r="H2693" t="s">
        <v>7974</v>
      </c>
      <c r="I2693" t="s">
        <v>10022</v>
      </c>
      <c r="J2693" t="s">
        <v>7981</v>
      </c>
    </row>
    <row r="2694" spans="1:10" x14ac:dyDescent="0.25">
      <c r="A2694" t="s">
        <v>13905</v>
      </c>
      <c r="B2694">
        <v>3.9119999999999999</v>
      </c>
      <c r="C2694" t="s">
        <v>13906</v>
      </c>
      <c r="D2694" t="s">
        <v>781</v>
      </c>
      <c r="E2694" t="s">
        <v>13903</v>
      </c>
      <c r="F2694" t="s">
        <v>7672</v>
      </c>
      <c r="G2694" t="s">
        <v>13904</v>
      </c>
      <c r="H2694" t="s">
        <v>7974</v>
      </c>
      <c r="I2694" t="s">
        <v>13907</v>
      </c>
      <c r="J2694" t="s">
        <v>7981</v>
      </c>
    </row>
    <row r="2695" spans="1:10" x14ac:dyDescent="0.25">
      <c r="A2695" t="s">
        <v>13908</v>
      </c>
      <c r="B2695">
        <v>3.9119999999999999</v>
      </c>
      <c r="C2695" t="s">
        <v>13909</v>
      </c>
      <c r="D2695" t="s">
        <v>903</v>
      </c>
      <c r="E2695" t="s">
        <v>13903</v>
      </c>
      <c r="F2695" t="s">
        <v>7672</v>
      </c>
      <c r="G2695" t="s">
        <v>13904</v>
      </c>
      <c r="H2695" t="s">
        <v>7974</v>
      </c>
      <c r="I2695" t="s">
        <v>13907</v>
      </c>
      <c r="J2695" t="s">
        <v>7984</v>
      </c>
    </row>
    <row r="2696" spans="1:10" x14ac:dyDescent="0.25">
      <c r="A2696" t="s">
        <v>13910</v>
      </c>
      <c r="B2696">
        <v>3.9119999999999999</v>
      </c>
      <c r="C2696" t="s">
        <v>13911</v>
      </c>
      <c r="D2696" t="s">
        <v>3999</v>
      </c>
      <c r="E2696" t="s">
        <v>13903</v>
      </c>
      <c r="F2696" t="s">
        <v>7672</v>
      </c>
      <c r="G2696" t="s">
        <v>13904</v>
      </c>
      <c r="H2696" t="s">
        <v>7974</v>
      </c>
      <c r="I2696" t="s">
        <v>13907</v>
      </c>
      <c r="J2696" t="s">
        <v>7987</v>
      </c>
    </row>
    <row r="2697" spans="1:10" x14ac:dyDescent="0.25">
      <c r="A2697" t="s">
        <v>13912</v>
      </c>
      <c r="B2697">
        <v>3.9119999999999999</v>
      </c>
      <c r="C2697" t="s">
        <v>13913</v>
      </c>
      <c r="D2697" t="s">
        <v>7712</v>
      </c>
      <c r="E2697" t="s">
        <v>13903</v>
      </c>
      <c r="F2697" t="s">
        <v>7672</v>
      </c>
      <c r="G2697" t="s">
        <v>13904</v>
      </c>
      <c r="H2697" t="s">
        <v>7974</v>
      </c>
      <c r="I2697" t="s">
        <v>145</v>
      </c>
      <c r="J2697" t="s">
        <v>8001</v>
      </c>
    </row>
    <row r="2698" spans="1:10" x14ac:dyDescent="0.25">
      <c r="A2698" t="s">
        <v>13914</v>
      </c>
      <c r="B2698">
        <v>3.9119999999999999</v>
      </c>
      <c r="C2698" t="s">
        <v>13915</v>
      </c>
      <c r="D2698" t="s">
        <v>1767</v>
      </c>
      <c r="E2698" t="s">
        <v>13903</v>
      </c>
      <c r="F2698" t="s">
        <v>7672</v>
      </c>
      <c r="G2698" t="s">
        <v>13904</v>
      </c>
      <c r="H2698" t="s">
        <v>7974</v>
      </c>
      <c r="I2698" t="s">
        <v>13907</v>
      </c>
      <c r="J2698" t="s">
        <v>8001</v>
      </c>
    </row>
    <row r="2699" spans="1:10" x14ac:dyDescent="0.25">
      <c r="A2699" t="s">
        <v>13916</v>
      </c>
      <c r="B2699">
        <v>3.9119999999999999</v>
      </c>
      <c r="C2699" t="s">
        <v>13917</v>
      </c>
      <c r="D2699" t="s">
        <v>10295</v>
      </c>
      <c r="E2699" t="s">
        <v>13903</v>
      </c>
      <c r="F2699" t="s">
        <v>7672</v>
      </c>
      <c r="G2699" t="s">
        <v>13904</v>
      </c>
      <c r="H2699" t="s">
        <v>7974</v>
      </c>
      <c r="I2699" t="s">
        <v>145</v>
      </c>
      <c r="J2699" t="s">
        <v>8013</v>
      </c>
    </row>
    <row r="2700" spans="1:10" x14ac:dyDescent="0.25">
      <c r="A2700" t="s">
        <v>13918</v>
      </c>
      <c r="B2700">
        <v>3.9119999999999999</v>
      </c>
      <c r="C2700" t="s">
        <v>13919</v>
      </c>
      <c r="D2700" t="s">
        <v>13920</v>
      </c>
      <c r="E2700" t="s">
        <v>13903</v>
      </c>
      <c r="F2700" t="s">
        <v>7672</v>
      </c>
      <c r="G2700" t="s">
        <v>13904</v>
      </c>
      <c r="H2700" t="s">
        <v>7974</v>
      </c>
      <c r="I2700" t="s">
        <v>278</v>
      </c>
      <c r="J2700" t="s">
        <v>8013</v>
      </c>
    </row>
    <row r="2701" spans="1:10" x14ac:dyDescent="0.25">
      <c r="A2701" t="s">
        <v>13921</v>
      </c>
      <c r="B2701">
        <v>3.9119999999999999</v>
      </c>
      <c r="C2701" t="s">
        <v>13922</v>
      </c>
      <c r="D2701" t="s">
        <v>3076</v>
      </c>
      <c r="E2701" t="s">
        <v>13903</v>
      </c>
      <c r="F2701" t="s">
        <v>7672</v>
      </c>
      <c r="G2701" t="s">
        <v>13904</v>
      </c>
      <c r="H2701" t="s">
        <v>7974</v>
      </c>
      <c r="I2701" t="s">
        <v>278</v>
      </c>
      <c r="J2701" t="s">
        <v>8013</v>
      </c>
    </row>
    <row r="2702" spans="1:10" x14ac:dyDescent="0.25">
      <c r="A2702" t="s">
        <v>13923</v>
      </c>
      <c r="B2702">
        <v>3.9119999999999999</v>
      </c>
      <c r="C2702" t="s">
        <v>13924</v>
      </c>
      <c r="D2702" t="s">
        <v>40</v>
      </c>
      <c r="E2702" t="s">
        <v>13903</v>
      </c>
      <c r="F2702" t="s">
        <v>7672</v>
      </c>
      <c r="G2702" t="s">
        <v>13904</v>
      </c>
      <c r="H2702" t="s">
        <v>7974</v>
      </c>
      <c r="I2702" t="s">
        <v>13907</v>
      </c>
      <c r="J2702" t="s">
        <v>8013</v>
      </c>
    </row>
    <row r="2703" spans="1:10" x14ac:dyDescent="0.25">
      <c r="A2703" t="s">
        <v>13925</v>
      </c>
      <c r="B2703">
        <v>6.08</v>
      </c>
      <c r="C2703" t="s">
        <v>13926</v>
      </c>
      <c r="D2703" t="s">
        <v>199</v>
      </c>
      <c r="E2703" t="s">
        <v>13927</v>
      </c>
      <c r="F2703" t="s">
        <v>7672</v>
      </c>
      <c r="G2703" t="s">
        <v>13928</v>
      </c>
      <c r="H2703" t="s">
        <v>11496</v>
      </c>
      <c r="I2703" t="s">
        <v>532</v>
      </c>
      <c r="J2703" t="s">
        <v>10862</v>
      </c>
    </row>
    <row r="2704" spans="1:10" x14ac:dyDescent="0.25">
      <c r="A2704" t="s">
        <v>13929</v>
      </c>
      <c r="B2704">
        <v>6.08</v>
      </c>
      <c r="C2704" t="s">
        <v>13930</v>
      </c>
      <c r="D2704" t="s">
        <v>2022</v>
      </c>
      <c r="E2704" t="s">
        <v>13927</v>
      </c>
      <c r="F2704" t="s">
        <v>7672</v>
      </c>
      <c r="G2704" t="s">
        <v>13928</v>
      </c>
      <c r="H2704" t="s">
        <v>11496</v>
      </c>
      <c r="I2704" t="s">
        <v>532</v>
      </c>
      <c r="J2704" t="s">
        <v>9426</v>
      </c>
    </row>
    <row r="2705" spans="1:10" x14ac:dyDescent="0.25">
      <c r="A2705" t="s">
        <v>13931</v>
      </c>
      <c r="B2705">
        <v>6.08</v>
      </c>
      <c r="C2705" t="s">
        <v>13932</v>
      </c>
      <c r="D2705" t="s">
        <v>255</v>
      </c>
      <c r="E2705" t="s">
        <v>13927</v>
      </c>
      <c r="F2705" t="s">
        <v>7672</v>
      </c>
      <c r="G2705" t="s">
        <v>13928</v>
      </c>
      <c r="H2705" t="s">
        <v>11496</v>
      </c>
      <c r="I2705" t="s">
        <v>532</v>
      </c>
      <c r="J2705" t="s">
        <v>13084</v>
      </c>
    </row>
    <row r="2706" spans="1:10" x14ac:dyDescent="0.25">
      <c r="A2706" t="s">
        <v>13933</v>
      </c>
      <c r="B2706">
        <v>6.08</v>
      </c>
      <c r="C2706" t="s">
        <v>13934</v>
      </c>
      <c r="D2706" t="s">
        <v>576</v>
      </c>
      <c r="E2706" t="s">
        <v>13927</v>
      </c>
      <c r="F2706" t="s">
        <v>7672</v>
      </c>
      <c r="G2706" t="s">
        <v>13928</v>
      </c>
      <c r="H2706" t="s">
        <v>11496</v>
      </c>
      <c r="I2706" t="s">
        <v>532</v>
      </c>
      <c r="J2706" t="s">
        <v>11767</v>
      </c>
    </row>
    <row r="2707" spans="1:10" x14ac:dyDescent="0.25">
      <c r="A2707" t="s">
        <v>13935</v>
      </c>
      <c r="B2707">
        <v>6.08</v>
      </c>
      <c r="C2707" t="s">
        <v>13936</v>
      </c>
      <c r="D2707" t="s">
        <v>229</v>
      </c>
      <c r="E2707" t="s">
        <v>13927</v>
      </c>
      <c r="F2707" t="s">
        <v>7672</v>
      </c>
      <c r="G2707" t="s">
        <v>13928</v>
      </c>
      <c r="H2707" t="s">
        <v>11496</v>
      </c>
      <c r="I2707" t="s">
        <v>532</v>
      </c>
      <c r="J2707" t="s">
        <v>11582</v>
      </c>
    </row>
    <row r="2708" spans="1:10" x14ac:dyDescent="0.25">
      <c r="A2708" t="s">
        <v>13937</v>
      </c>
      <c r="B2708">
        <v>18.192</v>
      </c>
      <c r="C2708" t="s">
        <v>13938</v>
      </c>
      <c r="D2708" t="s">
        <v>1837</v>
      </c>
      <c r="E2708" t="s">
        <v>13939</v>
      </c>
      <c r="F2708" t="s">
        <v>7672</v>
      </c>
      <c r="G2708" t="s">
        <v>13940</v>
      </c>
      <c r="H2708" t="s">
        <v>11598</v>
      </c>
      <c r="I2708" t="s">
        <v>9128</v>
      </c>
      <c r="J2708" t="s">
        <v>7942</v>
      </c>
    </row>
    <row r="2709" spans="1:10" x14ac:dyDescent="0.25">
      <c r="A2709" t="s">
        <v>13941</v>
      </c>
      <c r="B2709">
        <v>18.192</v>
      </c>
      <c r="C2709" t="s">
        <v>13942</v>
      </c>
      <c r="D2709" t="s">
        <v>8076</v>
      </c>
      <c r="E2709" t="s">
        <v>13939</v>
      </c>
      <c r="F2709" t="s">
        <v>7672</v>
      </c>
      <c r="G2709" t="s">
        <v>13940</v>
      </c>
      <c r="H2709" t="s">
        <v>11598</v>
      </c>
      <c r="I2709" t="s">
        <v>9128</v>
      </c>
      <c r="J2709" t="s">
        <v>7981</v>
      </c>
    </row>
    <row r="2710" spans="1:10" x14ac:dyDescent="0.25">
      <c r="A2710" t="s">
        <v>13943</v>
      </c>
      <c r="B2710">
        <v>18.192</v>
      </c>
      <c r="C2710" t="s">
        <v>13944</v>
      </c>
      <c r="D2710" t="s">
        <v>1837</v>
      </c>
      <c r="E2710" t="s">
        <v>13939</v>
      </c>
      <c r="F2710" t="s">
        <v>7672</v>
      </c>
      <c r="G2710" t="s">
        <v>13940</v>
      </c>
      <c r="H2710" t="s">
        <v>11598</v>
      </c>
      <c r="I2710" t="s">
        <v>9128</v>
      </c>
      <c r="J2710" t="s">
        <v>7984</v>
      </c>
    </row>
    <row r="2711" spans="1:10" x14ac:dyDescent="0.25">
      <c r="A2711" t="s">
        <v>13945</v>
      </c>
      <c r="B2711">
        <v>18.192</v>
      </c>
      <c r="C2711" t="s">
        <v>13946</v>
      </c>
      <c r="D2711" t="s">
        <v>60</v>
      </c>
      <c r="E2711" t="s">
        <v>13939</v>
      </c>
      <c r="F2711" t="s">
        <v>7672</v>
      </c>
      <c r="G2711" t="s">
        <v>13940</v>
      </c>
      <c r="H2711" t="s">
        <v>11598</v>
      </c>
      <c r="I2711" t="s">
        <v>9128</v>
      </c>
      <c r="J2711" t="s">
        <v>8013</v>
      </c>
    </row>
    <row r="2712" spans="1:10" x14ac:dyDescent="0.25">
      <c r="A2712" t="s">
        <v>13947</v>
      </c>
      <c r="B2712">
        <v>11.992000000000001</v>
      </c>
      <c r="C2712" t="s">
        <v>13948</v>
      </c>
      <c r="D2712" t="s">
        <v>964</v>
      </c>
      <c r="E2712" t="s">
        <v>13949</v>
      </c>
      <c r="F2712" t="s">
        <v>7672</v>
      </c>
      <c r="G2712" t="s">
        <v>13950</v>
      </c>
      <c r="H2712" t="s">
        <v>13951</v>
      </c>
      <c r="I2712" t="s">
        <v>13952</v>
      </c>
      <c r="J2712" t="s">
        <v>282</v>
      </c>
    </row>
    <row r="2713" spans="1:10" x14ac:dyDescent="0.25">
      <c r="A2713" t="s">
        <v>13953</v>
      </c>
      <c r="B2713">
        <v>11.992000000000001</v>
      </c>
      <c r="C2713" t="s">
        <v>13954</v>
      </c>
      <c r="D2713" t="s">
        <v>118</v>
      </c>
      <c r="E2713" t="s">
        <v>13949</v>
      </c>
      <c r="F2713" t="s">
        <v>7672</v>
      </c>
      <c r="G2713" t="s">
        <v>13950</v>
      </c>
      <c r="H2713" t="s">
        <v>13951</v>
      </c>
      <c r="I2713" t="s">
        <v>13952</v>
      </c>
      <c r="J2713" t="s">
        <v>277</v>
      </c>
    </row>
    <row r="2714" spans="1:10" x14ac:dyDescent="0.25">
      <c r="A2714" t="s">
        <v>13955</v>
      </c>
      <c r="B2714">
        <v>11.992000000000001</v>
      </c>
      <c r="C2714" t="s">
        <v>13956</v>
      </c>
      <c r="D2714" t="s">
        <v>113</v>
      </c>
      <c r="E2714" t="s">
        <v>13949</v>
      </c>
      <c r="F2714" t="s">
        <v>7672</v>
      </c>
      <c r="G2714" t="s">
        <v>13950</v>
      </c>
      <c r="H2714" t="s">
        <v>13951</v>
      </c>
      <c r="I2714" t="s">
        <v>13952</v>
      </c>
      <c r="J2714" t="s">
        <v>436</v>
      </c>
    </row>
    <row r="2715" spans="1:10" x14ac:dyDescent="0.25">
      <c r="A2715" t="s">
        <v>13957</v>
      </c>
      <c r="B2715">
        <v>11.992000000000001</v>
      </c>
      <c r="C2715" t="s">
        <v>13958</v>
      </c>
      <c r="D2715" t="s">
        <v>436</v>
      </c>
      <c r="E2715" t="s">
        <v>13949</v>
      </c>
      <c r="F2715" t="s">
        <v>7672</v>
      </c>
      <c r="G2715" t="s">
        <v>13950</v>
      </c>
      <c r="H2715" t="s">
        <v>13951</v>
      </c>
      <c r="I2715" t="s">
        <v>13952</v>
      </c>
      <c r="J2715" t="s">
        <v>53</v>
      </c>
    </row>
    <row r="2716" spans="1:10" x14ac:dyDescent="0.25">
      <c r="A2716" t="s">
        <v>13959</v>
      </c>
      <c r="B2716">
        <v>11.992000000000001</v>
      </c>
      <c r="C2716" t="s">
        <v>13960</v>
      </c>
      <c r="D2716" t="s">
        <v>1097</v>
      </c>
      <c r="E2716" t="s">
        <v>13949</v>
      </c>
      <c r="F2716" t="s">
        <v>7672</v>
      </c>
      <c r="G2716" t="s">
        <v>13950</v>
      </c>
      <c r="H2716" t="s">
        <v>13951</v>
      </c>
      <c r="I2716" t="s">
        <v>13952</v>
      </c>
      <c r="J2716" t="s">
        <v>60</v>
      </c>
    </row>
    <row r="2717" spans="1:10" x14ac:dyDescent="0.25">
      <c r="A2717" t="s">
        <v>13961</v>
      </c>
      <c r="B2717">
        <v>8</v>
      </c>
      <c r="C2717" t="s">
        <v>13962</v>
      </c>
      <c r="D2717" t="s">
        <v>450</v>
      </c>
      <c r="E2717" t="s">
        <v>13963</v>
      </c>
      <c r="F2717" t="s">
        <v>7672</v>
      </c>
      <c r="G2717" t="s">
        <v>13964</v>
      </c>
      <c r="H2717" t="s">
        <v>7674</v>
      </c>
      <c r="I2717" t="s">
        <v>13965</v>
      </c>
      <c r="J2717" t="s">
        <v>7675</v>
      </c>
    </row>
    <row r="2718" spans="1:10" x14ac:dyDescent="0.25">
      <c r="A2718" t="s">
        <v>13966</v>
      </c>
      <c r="B2718">
        <v>8</v>
      </c>
      <c r="C2718" t="s">
        <v>13967</v>
      </c>
      <c r="D2718" t="s">
        <v>2138</v>
      </c>
      <c r="E2718" t="s">
        <v>13963</v>
      </c>
      <c r="F2718" t="s">
        <v>7672</v>
      </c>
      <c r="G2718" t="s">
        <v>13964</v>
      </c>
      <c r="H2718" t="s">
        <v>7674</v>
      </c>
      <c r="I2718" t="s">
        <v>235</v>
      </c>
      <c r="J2718" t="s">
        <v>7675</v>
      </c>
    </row>
    <row r="2719" spans="1:10" x14ac:dyDescent="0.25">
      <c r="A2719" t="s">
        <v>13968</v>
      </c>
      <c r="B2719">
        <v>8</v>
      </c>
      <c r="C2719" t="s">
        <v>13969</v>
      </c>
      <c r="D2719" t="s">
        <v>7735</v>
      </c>
      <c r="E2719" t="s">
        <v>13963</v>
      </c>
      <c r="F2719" t="s">
        <v>7672</v>
      </c>
      <c r="G2719" t="s">
        <v>13964</v>
      </c>
      <c r="H2719" t="s">
        <v>7674</v>
      </c>
      <c r="I2719" t="s">
        <v>1490</v>
      </c>
      <c r="J2719" t="s">
        <v>7675</v>
      </c>
    </row>
    <row r="2720" spans="1:10" x14ac:dyDescent="0.25">
      <c r="A2720" t="s">
        <v>13970</v>
      </c>
      <c r="B2720">
        <v>8</v>
      </c>
      <c r="C2720" t="s">
        <v>13971</v>
      </c>
      <c r="D2720" t="s">
        <v>4579</v>
      </c>
      <c r="E2720" t="s">
        <v>13963</v>
      </c>
      <c r="F2720" t="s">
        <v>7672</v>
      </c>
      <c r="G2720" t="s">
        <v>13964</v>
      </c>
      <c r="H2720" t="s">
        <v>7674</v>
      </c>
      <c r="I2720" t="s">
        <v>8357</v>
      </c>
      <c r="J2720" t="s">
        <v>7675</v>
      </c>
    </row>
    <row r="2721" spans="1:10" x14ac:dyDescent="0.25">
      <c r="A2721" t="s">
        <v>13972</v>
      </c>
      <c r="B2721">
        <v>8</v>
      </c>
      <c r="C2721" t="s">
        <v>13973</v>
      </c>
      <c r="D2721" t="s">
        <v>106</v>
      </c>
      <c r="E2721" t="s">
        <v>13963</v>
      </c>
      <c r="F2721" t="s">
        <v>7672</v>
      </c>
      <c r="G2721" t="s">
        <v>13964</v>
      </c>
      <c r="H2721" t="s">
        <v>7674</v>
      </c>
      <c r="I2721" t="s">
        <v>3799</v>
      </c>
      <c r="J2721" t="s">
        <v>7675</v>
      </c>
    </row>
    <row r="2722" spans="1:10" x14ac:dyDescent="0.25">
      <c r="A2722" t="s">
        <v>13974</v>
      </c>
      <c r="B2722">
        <v>8</v>
      </c>
      <c r="C2722" t="s">
        <v>13975</v>
      </c>
      <c r="D2722" t="s">
        <v>4799</v>
      </c>
      <c r="E2722" t="s">
        <v>13963</v>
      </c>
      <c r="F2722" t="s">
        <v>7672</v>
      </c>
      <c r="G2722" t="s">
        <v>13964</v>
      </c>
      <c r="H2722" t="s">
        <v>7674</v>
      </c>
      <c r="I2722" t="s">
        <v>13965</v>
      </c>
      <c r="J2722" t="s">
        <v>7686</v>
      </c>
    </row>
    <row r="2723" spans="1:10" x14ac:dyDescent="0.25">
      <c r="A2723" t="s">
        <v>13976</v>
      </c>
      <c r="B2723">
        <v>8</v>
      </c>
      <c r="C2723" t="s">
        <v>13977</v>
      </c>
      <c r="D2723" t="s">
        <v>2253</v>
      </c>
      <c r="E2723" t="s">
        <v>13963</v>
      </c>
      <c r="F2723" t="s">
        <v>7672</v>
      </c>
      <c r="G2723" t="s">
        <v>13964</v>
      </c>
      <c r="H2723" t="s">
        <v>7674</v>
      </c>
      <c r="I2723" t="s">
        <v>1490</v>
      </c>
      <c r="J2723" t="s">
        <v>7686</v>
      </c>
    </row>
    <row r="2724" spans="1:10" x14ac:dyDescent="0.25">
      <c r="A2724" t="s">
        <v>13978</v>
      </c>
      <c r="B2724">
        <v>8</v>
      </c>
      <c r="C2724" t="s">
        <v>13979</v>
      </c>
      <c r="D2724" t="s">
        <v>1811</v>
      </c>
      <c r="E2724" t="s">
        <v>13963</v>
      </c>
      <c r="F2724" t="s">
        <v>7672</v>
      </c>
      <c r="G2724" t="s">
        <v>13964</v>
      </c>
      <c r="H2724" t="s">
        <v>7674</v>
      </c>
      <c r="I2724" t="s">
        <v>8357</v>
      </c>
      <c r="J2724" t="s">
        <v>7686</v>
      </c>
    </row>
    <row r="2725" spans="1:10" x14ac:dyDescent="0.25">
      <c r="A2725" t="s">
        <v>13980</v>
      </c>
      <c r="B2725">
        <v>4.68</v>
      </c>
      <c r="C2725" t="s">
        <v>13981</v>
      </c>
      <c r="D2725" t="s">
        <v>7917</v>
      </c>
      <c r="E2725" t="s">
        <v>13982</v>
      </c>
      <c r="F2725" t="s">
        <v>7672</v>
      </c>
      <c r="G2725" t="s">
        <v>12092</v>
      </c>
      <c r="H2725" t="s">
        <v>11496</v>
      </c>
      <c r="I2725" t="s">
        <v>13983</v>
      </c>
      <c r="J2725" t="s">
        <v>8780</v>
      </c>
    </row>
    <row r="2726" spans="1:10" x14ac:dyDescent="0.25">
      <c r="A2726" t="s">
        <v>13984</v>
      </c>
      <c r="B2726">
        <v>4.68</v>
      </c>
      <c r="C2726" t="s">
        <v>13985</v>
      </c>
      <c r="D2726" t="s">
        <v>13986</v>
      </c>
      <c r="E2726" t="s">
        <v>13982</v>
      </c>
      <c r="F2726" t="s">
        <v>7672</v>
      </c>
      <c r="G2726" t="s">
        <v>12092</v>
      </c>
      <c r="H2726" t="s">
        <v>11496</v>
      </c>
      <c r="I2726" t="s">
        <v>13983</v>
      </c>
      <c r="J2726" t="s">
        <v>12096</v>
      </c>
    </row>
    <row r="2727" spans="1:10" x14ac:dyDescent="0.25">
      <c r="A2727" t="s">
        <v>13987</v>
      </c>
      <c r="B2727">
        <v>4.68</v>
      </c>
      <c r="C2727" t="s">
        <v>13988</v>
      </c>
      <c r="D2727" t="s">
        <v>8871</v>
      </c>
      <c r="E2727" t="s">
        <v>13982</v>
      </c>
      <c r="F2727" t="s">
        <v>7672</v>
      </c>
      <c r="G2727" t="s">
        <v>12092</v>
      </c>
      <c r="H2727" t="s">
        <v>11496</v>
      </c>
      <c r="I2727" t="s">
        <v>13983</v>
      </c>
      <c r="J2727" t="s">
        <v>12099</v>
      </c>
    </row>
    <row r="2728" spans="1:10" x14ac:dyDescent="0.25">
      <c r="A2728" t="s">
        <v>13989</v>
      </c>
      <c r="B2728">
        <v>4.68</v>
      </c>
      <c r="C2728" t="s">
        <v>13990</v>
      </c>
      <c r="D2728" t="s">
        <v>13991</v>
      </c>
      <c r="E2728" t="s">
        <v>13982</v>
      </c>
      <c r="F2728" t="s">
        <v>7672</v>
      </c>
      <c r="G2728" t="s">
        <v>12092</v>
      </c>
      <c r="H2728" t="s">
        <v>11496</v>
      </c>
      <c r="I2728" t="s">
        <v>13983</v>
      </c>
      <c r="J2728" t="s">
        <v>12103</v>
      </c>
    </row>
    <row r="2729" spans="1:10" x14ac:dyDescent="0.25">
      <c r="A2729" t="s">
        <v>13992</v>
      </c>
      <c r="B2729">
        <v>4</v>
      </c>
      <c r="C2729" t="s">
        <v>13993</v>
      </c>
      <c r="D2729" t="s">
        <v>791</v>
      </c>
      <c r="E2729" t="s">
        <v>13994</v>
      </c>
      <c r="F2729" t="s">
        <v>7672</v>
      </c>
      <c r="G2729" t="s">
        <v>13995</v>
      </c>
      <c r="H2729" t="s">
        <v>8027</v>
      </c>
      <c r="I2729" t="s">
        <v>13996</v>
      </c>
      <c r="J2729" t="s">
        <v>7942</v>
      </c>
    </row>
    <row r="2730" spans="1:10" x14ac:dyDescent="0.25">
      <c r="A2730" t="s">
        <v>13997</v>
      </c>
      <c r="B2730">
        <v>4</v>
      </c>
      <c r="C2730" t="s">
        <v>13998</v>
      </c>
      <c r="D2730" t="s">
        <v>13999</v>
      </c>
      <c r="E2730" t="s">
        <v>13994</v>
      </c>
      <c r="F2730" t="s">
        <v>7672</v>
      </c>
      <c r="G2730" t="s">
        <v>13995</v>
      </c>
      <c r="H2730" t="s">
        <v>8027</v>
      </c>
      <c r="I2730" t="s">
        <v>13996</v>
      </c>
      <c r="J2730" t="s">
        <v>7981</v>
      </c>
    </row>
    <row r="2731" spans="1:10" x14ac:dyDescent="0.25">
      <c r="A2731" t="s">
        <v>14000</v>
      </c>
      <c r="B2731">
        <v>4</v>
      </c>
      <c r="C2731" t="s">
        <v>14001</v>
      </c>
      <c r="D2731" t="s">
        <v>14002</v>
      </c>
      <c r="E2731" t="s">
        <v>13994</v>
      </c>
      <c r="F2731" t="s">
        <v>7672</v>
      </c>
      <c r="G2731" t="s">
        <v>13995</v>
      </c>
      <c r="H2731" t="s">
        <v>8027</v>
      </c>
      <c r="I2731" t="s">
        <v>13996</v>
      </c>
      <c r="J2731" t="s">
        <v>7984</v>
      </c>
    </row>
    <row r="2732" spans="1:10" x14ac:dyDescent="0.25">
      <c r="A2732" t="s">
        <v>14003</v>
      </c>
      <c r="B2732">
        <v>4</v>
      </c>
      <c r="C2732" t="s">
        <v>14004</v>
      </c>
      <c r="D2732" t="s">
        <v>14005</v>
      </c>
      <c r="E2732" t="s">
        <v>13994</v>
      </c>
      <c r="F2732" t="s">
        <v>7672</v>
      </c>
      <c r="G2732" t="s">
        <v>13995</v>
      </c>
      <c r="H2732" t="s">
        <v>8027</v>
      </c>
      <c r="I2732" t="s">
        <v>13996</v>
      </c>
      <c r="J2732" t="s">
        <v>7987</v>
      </c>
    </row>
    <row r="2733" spans="1:10" x14ac:dyDescent="0.25">
      <c r="A2733" t="s">
        <v>14006</v>
      </c>
      <c r="B2733">
        <v>4</v>
      </c>
      <c r="C2733" t="s">
        <v>14007</v>
      </c>
      <c r="D2733" t="s">
        <v>14008</v>
      </c>
      <c r="E2733" t="s">
        <v>13994</v>
      </c>
      <c r="F2733" t="s">
        <v>7672</v>
      </c>
      <c r="G2733" t="s">
        <v>13995</v>
      </c>
      <c r="H2733" t="s">
        <v>8027</v>
      </c>
      <c r="I2733" t="s">
        <v>13996</v>
      </c>
      <c r="J2733" t="s">
        <v>8001</v>
      </c>
    </row>
    <row r="2734" spans="1:10" x14ac:dyDescent="0.25">
      <c r="A2734" t="s">
        <v>14009</v>
      </c>
      <c r="B2734">
        <v>4</v>
      </c>
      <c r="C2734" t="s">
        <v>14010</v>
      </c>
      <c r="D2734" t="s">
        <v>14011</v>
      </c>
      <c r="E2734" t="s">
        <v>13994</v>
      </c>
      <c r="F2734" t="s">
        <v>7672</v>
      </c>
      <c r="G2734" t="s">
        <v>13995</v>
      </c>
      <c r="H2734" t="s">
        <v>8027</v>
      </c>
      <c r="I2734" t="s">
        <v>13996</v>
      </c>
      <c r="J2734" t="s">
        <v>8013</v>
      </c>
    </row>
    <row r="2735" spans="1:10" x14ac:dyDescent="0.25">
      <c r="A2735" t="s">
        <v>14012</v>
      </c>
      <c r="B2735">
        <v>5.7600000000000007</v>
      </c>
      <c r="C2735" t="s">
        <v>14013</v>
      </c>
      <c r="D2735" t="s">
        <v>3389</v>
      </c>
      <c r="E2735" t="s">
        <v>14014</v>
      </c>
      <c r="F2735" t="s">
        <v>7672</v>
      </c>
      <c r="G2735" t="s">
        <v>14015</v>
      </c>
      <c r="H2735" t="s">
        <v>11496</v>
      </c>
      <c r="I2735" t="s">
        <v>14016</v>
      </c>
      <c r="J2735" t="s">
        <v>10369</v>
      </c>
    </row>
    <row r="2736" spans="1:10" x14ac:dyDescent="0.25">
      <c r="A2736" t="s">
        <v>14017</v>
      </c>
      <c r="B2736">
        <v>5.7600000000000007</v>
      </c>
      <c r="C2736" t="s">
        <v>14018</v>
      </c>
      <c r="D2736" t="s">
        <v>8111</v>
      </c>
      <c r="E2736" t="s">
        <v>14014</v>
      </c>
      <c r="F2736" t="s">
        <v>7672</v>
      </c>
      <c r="G2736" t="s">
        <v>14015</v>
      </c>
      <c r="H2736" t="s">
        <v>11496</v>
      </c>
      <c r="I2736" t="s">
        <v>14016</v>
      </c>
      <c r="J2736" t="s">
        <v>11590</v>
      </c>
    </row>
    <row r="2737" spans="1:10" x14ac:dyDescent="0.25">
      <c r="A2737" t="s">
        <v>14019</v>
      </c>
      <c r="B2737">
        <v>5.7600000000000007</v>
      </c>
      <c r="C2737" t="s">
        <v>14020</v>
      </c>
      <c r="D2737" t="s">
        <v>4100</v>
      </c>
      <c r="E2737" t="s">
        <v>14014</v>
      </c>
      <c r="F2737" t="s">
        <v>7672</v>
      </c>
      <c r="G2737" t="s">
        <v>14015</v>
      </c>
      <c r="H2737" t="s">
        <v>11496</v>
      </c>
      <c r="I2737" t="s">
        <v>14016</v>
      </c>
      <c r="J2737" t="s">
        <v>11593</v>
      </c>
    </row>
    <row r="2738" spans="1:10" x14ac:dyDescent="0.25">
      <c r="A2738" t="s">
        <v>14021</v>
      </c>
      <c r="B2738">
        <v>5.7600000000000007</v>
      </c>
      <c r="C2738" t="s">
        <v>14022</v>
      </c>
      <c r="D2738" t="s">
        <v>715</v>
      </c>
      <c r="E2738" t="s">
        <v>14014</v>
      </c>
      <c r="F2738" t="s">
        <v>7672</v>
      </c>
      <c r="G2738" t="s">
        <v>14015</v>
      </c>
      <c r="H2738" t="s">
        <v>11496</v>
      </c>
      <c r="I2738" t="s">
        <v>14016</v>
      </c>
      <c r="J2738" t="s">
        <v>11783</v>
      </c>
    </row>
    <row r="2739" spans="1:10" x14ac:dyDescent="0.25">
      <c r="A2739" t="s">
        <v>14023</v>
      </c>
      <c r="B2739">
        <v>6.08</v>
      </c>
      <c r="C2739" t="s">
        <v>14024</v>
      </c>
      <c r="D2739" t="s">
        <v>2910</v>
      </c>
      <c r="E2739" t="s">
        <v>14025</v>
      </c>
      <c r="F2739" t="s">
        <v>7672</v>
      </c>
      <c r="G2739" t="s">
        <v>14026</v>
      </c>
      <c r="H2739" t="s">
        <v>11496</v>
      </c>
      <c r="I2739" t="s">
        <v>14027</v>
      </c>
      <c r="J2739" t="s">
        <v>164</v>
      </c>
    </row>
    <row r="2740" spans="1:10" x14ac:dyDescent="0.25">
      <c r="A2740" t="s">
        <v>14028</v>
      </c>
      <c r="B2740">
        <v>5.5119999999999996</v>
      </c>
      <c r="C2740" t="s">
        <v>14029</v>
      </c>
      <c r="D2740" t="s">
        <v>1949</v>
      </c>
      <c r="E2740" t="s">
        <v>14030</v>
      </c>
      <c r="F2740" t="s">
        <v>7672</v>
      </c>
      <c r="G2740" t="s">
        <v>14031</v>
      </c>
      <c r="H2740" t="s">
        <v>10298</v>
      </c>
      <c r="I2740" t="s">
        <v>14032</v>
      </c>
      <c r="J2740" t="s">
        <v>7942</v>
      </c>
    </row>
    <row r="2741" spans="1:10" x14ac:dyDescent="0.25">
      <c r="A2741" t="s">
        <v>14033</v>
      </c>
      <c r="B2741">
        <v>5.5119999999999996</v>
      </c>
      <c r="C2741" t="s">
        <v>14034</v>
      </c>
      <c r="D2741" t="s">
        <v>10436</v>
      </c>
      <c r="E2741" t="s">
        <v>14030</v>
      </c>
      <c r="F2741" t="s">
        <v>7672</v>
      </c>
      <c r="G2741" t="s">
        <v>14031</v>
      </c>
      <c r="H2741" t="s">
        <v>10298</v>
      </c>
      <c r="I2741" t="s">
        <v>14032</v>
      </c>
      <c r="J2741" t="s">
        <v>7981</v>
      </c>
    </row>
    <row r="2742" spans="1:10" x14ac:dyDescent="0.25">
      <c r="A2742" t="s">
        <v>14035</v>
      </c>
      <c r="B2742">
        <v>5.5119999999999996</v>
      </c>
      <c r="C2742" t="s">
        <v>14036</v>
      </c>
      <c r="D2742" t="s">
        <v>9275</v>
      </c>
      <c r="E2742" t="s">
        <v>14030</v>
      </c>
      <c r="F2742" t="s">
        <v>7672</v>
      </c>
      <c r="G2742" t="s">
        <v>14031</v>
      </c>
      <c r="H2742" t="s">
        <v>10298</v>
      </c>
      <c r="I2742" t="s">
        <v>14032</v>
      </c>
      <c r="J2742" t="s">
        <v>7984</v>
      </c>
    </row>
    <row r="2743" spans="1:10" x14ac:dyDescent="0.25">
      <c r="A2743" t="s">
        <v>14037</v>
      </c>
      <c r="B2743">
        <v>5.5119999999999996</v>
      </c>
      <c r="C2743" t="s">
        <v>14038</v>
      </c>
      <c r="D2743" t="s">
        <v>14039</v>
      </c>
      <c r="E2743" t="s">
        <v>14030</v>
      </c>
      <c r="F2743" t="s">
        <v>7672</v>
      </c>
      <c r="G2743" t="s">
        <v>14031</v>
      </c>
      <c r="H2743" t="s">
        <v>10298</v>
      </c>
      <c r="I2743" t="s">
        <v>14032</v>
      </c>
      <c r="J2743" t="s">
        <v>7987</v>
      </c>
    </row>
    <row r="2744" spans="1:10" x14ac:dyDescent="0.25">
      <c r="A2744" t="s">
        <v>14040</v>
      </c>
      <c r="B2744">
        <v>5.5119999999999996</v>
      </c>
      <c r="C2744" t="s">
        <v>14041</v>
      </c>
      <c r="D2744" t="s">
        <v>4114</v>
      </c>
      <c r="E2744" t="s">
        <v>14030</v>
      </c>
      <c r="F2744" t="s">
        <v>7672</v>
      </c>
      <c r="G2744" t="s">
        <v>14031</v>
      </c>
      <c r="H2744" t="s">
        <v>10298</v>
      </c>
      <c r="I2744" t="s">
        <v>14032</v>
      </c>
      <c r="J2744" t="s">
        <v>8001</v>
      </c>
    </row>
    <row r="2745" spans="1:10" x14ac:dyDescent="0.25">
      <c r="A2745" t="s">
        <v>3304</v>
      </c>
      <c r="B2745">
        <v>12.6</v>
      </c>
      <c r="C2745" t="s">
        <v>3306</v>
      </c>
      <c r="D2745" t="s">
        <v>240</v>
      </c>
      <c r="E2745" t="s">
        <v>3307</v>
      </c>
      <c r="F2745" t="s">
        <v>7672</v>
      </c>
      <c r="G2745" t="s">
        <v>14042</v>
      </c>
      <c r="H2745" t="s">
        <v>8078</v>
      </c>
      <c r="I2745" t="s">
        <v>76</v>
      </c>
      <c r="J2745" t="s">
        <v>7942</v>
      </c>
    </row>
    <row r="2746" spans="1:10" x14ac:dyDescent="0.25">
      <c r="A2746" t="s">
        <v>3310</v>
      </c>
      <c r="B2746">
        <v>12.6</v>
      </c>
      <c r="C2746" t="s">
        <v>3312</v>
      </c>
      <c r="D2746" t="s">
        <v>781</v>
      </c>
      <c r="E2746" t="s">
        <v>3307</v>
      </c>
      <c r="F2746" t="s">
        <v>7672</v>
      </c>
      <c r="G2746" t="s">
        <v>14042</v>
      </c>
      <c r="H2746" t="s">
        <v>8078</v>
      </c>
      <c r="I2746" t="s">
        <v>7952</v>
      </c>
      <c r="J2746" t="s">
        <v>7942</v>
      </c>
    </row>
    <row r="2747" spans="1:10" x14ac:dyDescent="0.25">
      <c r="A2747" t="s">
        <v>14043</v>
      </c>
      <c r="B2747">
        <v>6</v>
      </c>
      <c r="C2747" t="s">
        <v>14044</v>
      </c>
      <c r="D2747" t="s">
        <v>100</v>
      </c>
      <c r="E2747" t="s">
        <v>14045</v>
      </c>
      <c r="F2747" t="s">
        <v>7672</v>
      </c>
      <c r="G2747" t="s">
        <v>14046</v>
      </c>
      <c r="H2747" t="s">
        <v>11622</v>
      </c>
      <c r="I2747" t="s">
        <v>278</v>
      </c>
      <c r="J2747" t="s">
        <v>7675</v>
      </c>
    </row>
    <row r="2748" spans="1:10" x14ac:dyDescent="0.25">
      <c r="A2748" t="s">
        <v>14047</v>
      </c>
      <c r="B2748">
        <v>6</v>
      </c>
      <c r="C2748" t="s">
        <v>14048</v>
      </c>
      <c r="D2748" t="s">
        <v>290</v>
      </c>
      <c r="E2748" t="s">
        <v>14045</v>
      </c>
      <c r="F2748" t="s">
        <v>7672</v>
      </c>
      <c r="G2748" t="s">
        <v>14046</v>
      </c>
      <c r="H2748" t="s">
        <v>11622</v>
      </c>
      <c r="I2748" t="s">
        <v>76</v>
      </c>
      <c r="J2748" t="s">
        <v>7675</v>
      </c>
    </row>
    <row r="2749" spans="1:10" x14ac:dyDescent="0.25">
      <c r="A2749" t="s">
        <v>14049</v>
      </c>
      <c r="B2749">
        <v>6</v>
      </c>
      <c r="C2749" t="s">
        <v>14050</v>
      </c>
      <c r="D2749" t="s">
        <v>290</v>
      </c>
      <c r="E2749" t="s">
        <v>14045</v>
      </c>
      <c r="F2749" t="s">
        <v>7672</v>
      </c>
      <c r="G2749" t="s">
        <v>14046</v>
      </c>
      <c r="H2749" t="s">
        <v>11622</v>
      </c>
      <c r="I2749" t="s">
        <v>14051</v>
      </c>
      <c r="J2749" t="s">
        <v>7675</v>
      </c>
    </row>
    <row r="2750" spans="1:10" x14ac:dyDescent="0.25">
      <c r="A2750" t="s">
        <v>14052</v>
      </c>
      <c r="B2750">
        <v>6</v>
      </c>
      <c r="C2750" t="s">
        <v>14053</v>
      </c>
      <c r="D2750" t="s">
        <v>385</v>
      </c>
      <c r="E2750" t="s">
        <v>14045</v>
      </c>
      <c r="F2750" t="s">
        <v>7672</v>
      </c>
      <c r="G2750" t="s">
        <v>14046</v>
      </c>
      <c r="H2750" t="s">
        <v>11622</v>
      </c>
      <c r="I2750" t="s">
        <v>1490</v>
      </c>
      <c r="J2750" t="s">
        <v>7675</v>
      </c>
    </row>
    <row r="2751" spans="1:10" x14ac:dyDescent="0.25">
      <c r="A2751" t="s">
        <v>14054</v>
      </c>
      <c r="B2751">
        <v>6</v>
      </c>
      <c r="C2751" t="s">
        <v>14055</v>
      </c>
      <c r="D2751" t="s">
        <v>95</v>
      </c>
      <c r="E2751" t="s">
        <v>14045</v>
      </c>
      <c r="F2751" t="s">
        <v>7672</v>
      </c>
      <c r="G2751" t="s">
        <v>14046</v>
      </c>
      <c r="H2751" t="s">
        <v>11622</v>
      </c>
      <c r="I2751" t="s">
        <v>278</v>
      </c>
      <c r="J2751" t="s">
        <v>7686</v>
      </c>
    </row>
    <row r="2752" spans="1:10" x14ac:dyDescent="0.25">
      <c r="A2752" t="s">
        <v>14056</v>
      </c>
      <c r="B2752">
        <v>6</v>
      </c>
      <c r="C2752" t="s">
        <v>14057</v>
      </c>
      <c r="D2752" t="s">
        <v>250</v>
      </c>
      <c r="E2752" t="s">
        <v>14045</v>
      </c>
      <c r="F2752" t="s">
        <v>7672</v>
      </c>
      <c r="G2752" t="s">
        <v>14046</v>
      </c>
      <c r="H2752" t="s">
        <v>11622</v>
      </c>
      <c r="I2752" t="s">
        <v>278</v>
      </c>
      <c r="J2752" t="s">
        <v>7703</v>
      </c>
    </row>
    <row r="2753" spans="1:10" x14ac:dyDescent="0.25">
      <c r="A2753" t="s">
        <v>14058</v>
      </c>
      <c r="B2753">
        <v>16.8</v>
      </c>
      <c r="C2753" t="s">
        <v>14059</v>
      </c>
      <c r="D2753" t="s">
        <v>626</v>
      </c>
      <c r="E2753" t="s">
        <v>14060</v>
      </c>
      <c r="F2753" t="s">
        <v>7672</v>
      </c>
      <c r="G2753" t="s">
        <v>14061</v>
      </c>
      <c r="H2753" t="s">
        <v>7974</v>
      </c>
      <c r="I2753" t="s">
        <v>8158</v>
      </c>
      <c r="J2753" t="s">
        <v>7984</v>
      </c>
    </row>
    <row r="2754" spans="1:10" x14ac:dyDescent="0.25">
      <c r="A2754" t="s">
        <v>14062</v>
      </c>
      <c r="B2754">
        <v>16.8</v>
      </c>
      <c r="C2754" t="s">
        <v>14063</v>
      </c>
      <c r="D2754" t="s">
        <v>1822</v>
      </c>
      <c r="E2754" t="s">
        <v>14060</v>
      </c>
      <c r="F2754" t="s">
        <v>7672</v>
      </c>
      <c r="G2754" t="s">
        <v>14061</v>
      </c>
      <c r="H2754" t="s">
        <v>7974</v>
      </c>
      <c r="I2754" t="s">
        <v>8158</v>
      </c>
      <c r="J2754" t="s">
        <v>8001</v>
      </c>
    </row>
    <row r="2755" spans="1:10" x14ac:dyDescent="0.25">
      <c r="A2755" t="s">
        <v>14064</v>
      </c>
      <c r="B2755">
        <v>16.8</v>
      </c>
      <c r="C2755" t="s">
        <v>14065</v>
      </c>
      <c r="D2755" t="s">
        <v>164</v>
      </c>
      <c r="E2755" t="s">
        <v>14060</v>
      </c>
      <c r="F2755" t="s">
        <v>7672</v>
      </c>
      <c r="G2755" t="s">
        <v>14061</v>
      </c>
      <c r="H2755" t="s">
        <v>7974</v>
      </c>
      <c r="I2755" t="s">
        <v>8158</v>
      </c>
      <c r="J2755" t="s">
        <v>8013</v>
      </c>
    </row>
    <row r="2756" spans="1:10" x14ac:dyDescent="0.25">
      <c r="A2756" t="s">
        <v>14066</v>
      </c>
      <c r="B2756">
        <v>14.4</v>
      </c>
      <c r="C2756" t="s">
        <v>14067</v>
      </c>
      <c r="D2756" t="s">
        <v>14068</v>
      </c>
      <c r="E2756" t="s">
        <v>14069</v>
      </c>
      <c r="F2756" t="s">
        <v>7672</v>
      </c>
      <c r="G2756" t="s">
        <v>14070</v>
      </c>
      <c r="H2756" t="s">
        <v>10298</v>
      </c>
      <c r="I2756" t="s">
        <v>9245</v>
      </c>
      <c r="J2756" t="s">
        <v>8427</v>
      </c>
    </row>
    <row r="2757" spans="1:10" x14ac:dyDescent="0.25">
      <c r="A2757" t="s">
        <v>14071</v>
      </c>
      <c r="B2757">
        <v>14.4</v>
      </c>
      <c r="C2757" t="s">
        <v>14072</v>
      </c>
      <c r="D2757" t="s">
        <v>1573</v>
      </c>
      <c r="E2757" t="s">
        <v>14069</v>
      </c>
      <c r="F2757" t="s">
        <v>7672</v>
      </c>
      <c r="G2757" t="s">
        <v>14070</v>
      </c>
      <c r="H2757" t="s">
        <v>10298</v>
      </c>
      <c r="I2757" t="s">
        <v>76</v>
      </c>
      <c r="J2757" t="s">
        <v>8427</v>
      </c>
    </row>
    <row r="2758" spans="1:10" x14ac:dyDescent="0.25">
      <c r="A2758" t="s">
        <v>14073</v>
      </c>
      <c r="B2758">
        <v>14.4</v>
      </c>
      <c r="C2758" t="s">
        <v>14074</v>
      </c>
      <c r="D2758" t="s">
        <v>12553</v>
      </c>
      <c r="E2758" t="s">
        <v>14069</v>
      </c>
      <c r="F2758" t="s">
        <v>7672</v>
      </c>
      <c r="G2758" t="s">
        <v>14070</v>
      </c>
      <c r="H2758" t="s">
        <v>10298</v>
      </c>
      <c r="I2758" t="s">
        <v>9245</v>
      </c>
      <c r="J2758" t="s">
        <v>8439</v>
      </c>
    </row>
    <row r="2759" spans="1:10" x14ac:dyDescent="0.25">
      <c r="A2759" t="s">
        <v>14075</v>
      </c>
      <c r="B2759">
        <v>14.4</v>
      </c>
      <c r="C2759" t="s">
        <v>14076</v>
      </c>
      <c r="D2759" t="s">
        <v>1536</v>
      </c>
      <c r="E2759" t="s">
        <v>14069</v>
      </c>
      <c r="F2759" t="s">
        <v>7672</v>
      </c>
      <c r="G2759" t="s">
        <v>14070</v>
      </c>
      <c r="H2759" t="s">
        <v>10298</v>
      </c>
      <c r="I2759" t="s">
        <v>76</v>
      </c>
      <c r="J2759" t="s">
        <v>8439</v>
      </c>
    </row>
    <row r="2760" spans="1:10" x14ac:dyDescent="0.25">
      <c r="A2760" t="s">
        <v>14077</v>
      </c>
      <c r="B2760">
        <v>14.4</v>
      </c>
      <c r="C2760" t="s">
        <v>14078</v>
      </c>
      <c r="D2760" t="s">
        <v>12223</v>
      </c>
      <c r="E2760" t="s">
        <v>14069</v>
      </c>
      <c r="F2760" t="s">
        <v>7672</v>
      </c>
      <c r="G2760" t="s">
        <v>14070</v>
      </c>
      <c r="H2760" t="s">
        <v>10298</v>
      </c>
      <c r="I2760" t="s">
        <v>9245</v>
      </c>
      <c r="J2760" t="s">
        <v>8451</v>
      </c>
    </row>
    <row r="2761" spans="1:10" x14ac:dyDescent="0.25">
      <c r="A2761" t="s">
        <v>14079</v>
      </c>
      <c r="B2761">
        <v>14.4</v>
      </c>
      <c r="C2761" t="s">
        <v>14080</v>
      </c>
      <c r="D2761" t="s">
        <v>671</v>
      </c>
      <c r="E2761" t="s">
        <v>14069</v>
      </c>
      <c r="F2761" t="s">
        <v>7672</v>
      </c>
      <c r="G2761" t="s">
        <v>14070</v>
      </c>
      <c r="H2761" t="s">
        <v>10298</v>
      </c>
      <c r="I2761" t="s">
        <v>76</v>
      </c>
      <c r="J2761" t="s">
        <v>8451</v>
      </c>
    </row>
    <row r="2762" spans="1:10" x14ac:dyDescent="0.25">
      <c r="A2762" t="s">
        <v>14081</v>
      </c>
      <c r="B2762">
        <v>5.5920000000000014</v>
      </c>
      <c r="C2762" t="s">
        <v>14082</v>
      </c>
      <c r="D2762" t="s">
        <v>330</v>
      </c>
      <c r="E2762" t="s">
        <v>14083</v>
      </c>
      <c r="F2762" t="s">
        <v>7672</v>
      </c>
      <c r="G2762" t="s">
        <v>14084</v>
      </c>
      <c r="H2762" t="s">
        <v>7974</v>
      </c>
      <c r="I2762" t="s">
        <v>14085</v>
      </c>
      <c r="J2762" t="s">
        <v>9237</v>
      </c>
    </row>
    <row r="2763" spans="1:10" x14ac:dyDescent="0.25">
      <c r="A2763" t="s">
        <v>14086</v>
      </c>
      <c r="B2763">
        <v>5.5920000000000014</v>
      </c>
      <c r="C2763" t="s">
        <v>14087</v>
      </c>
      <c r="D2763" t="s">
        <v>975</v>
      </c>
      <c r="E2763" t="s">
        <v>14083</v>
      </c>
      <c r="F2763" t="s">
        <v>7672</v>
      </c>
      <c r="G2763" t="s">
        <v>14084</v>
      </c>
      <c r="H2763" t="s">
        <v>7974</v>
      </c>
      <c r="I2763" t="s">
        <v>8158</v>
      </c>
      <c r="J2763" t="s">
        <v>9237</v>
      </c>
    </row>
    <row r="2764" spans="1:10" x14ac:dyDescent="0.25">
      <c r="A2764" t="s">
        <v>14088</v>
      </c>
      <c r="B2764">
        <v>5.5920000000000014</v>
      </c>
      <c r="C2764" t="s">
        <v>14089</v>
      </c>
      <c r="D2764" t="s">
        <v>926</v>
      </c>
      <c r="E2764" t="s">
        <v>14083</v>
      </c>
      <c r="F2764" t="s">
        <v>7672</v>
      </c>
      <c r="G2764" t="s">
        <v>14084</v>
      </c>
      <c r="H2764" t="s">
        <v>7974</v>
      </c>
      <c r="I2764" t="s">
        <v>14090</v>
      </c>
      <c r="J2764" t="s">
        <v>9237</v>
      </c>
    </row>
    <row r="2765" spans="1:10" x14ac:dyDescent="0.25">
      <c r="A2765" t="s">
        <v>14091</v>
      </c>
      <c r="B2765">
        <v>5.5920000000000014</v>
      </c>
      <c r="C2765" t="s">
        <v>14092</v>
      </c>
      <c r="D2765" t="s">
        <v>8618</v>
      </c>
      <c r="E2765" t="s">
        <v>14083</v>
      </c>
      <c r="F2765" t="s">
        <v>7672</v>
      </c>
      <c r="G2765" t="s">
        <v>14084</v>
      </c>
      <c r="H2765" t="s">
        <v>7974</v>
      </c>
      <c r="I2765" t="s">
        <v>14090</v>
      </c>
      <c r="J2765" t="s">
        <v>8427</v>
      </c>
    </row>
    <row r="2766" spans="1:10" x14ac:dyDescent="0.25">
      <c r="A2766" t="s">
        <v>14093</v>
      </c>
      <c r="B2766">
        <v>5.5920000000000014</v>
      </c>
      <c r="C2766" t="s">
        <v>14094</v>
      </c>
      <c r="D2766" t="s">
        <v>1893</v>
      </c>
      <c r="E2766" t="s">
        <v>14083</v>
      </c>
      <c r="F2766" t="s">
        <v>7672</v>
      </c>
      <c r="G2766" t="s">
        <v>14084</v>
      </c>
      <c r="H2766" t="s">
        <v>7974</v>
      </c>
      <c r="I2766" t="s">
        <v>8158</v>
      </c>
      <c r="J2766" t="s">
        <v>8427</v>
      </c>
    </row>
    <row r="2767" spans="1:10" x14ac:dyDescent="0.25">
      <c r="A2767" t="s">
        <v>14095</v>
      </c>
      <c r="B2767">
        <v>5.5920000000000014</v>
      </c>
      <c r="C2767" t="s">
        <v>14096</v>
      </c>
      <c r="D2767" t="s">
        <v>13263</v>
      </c>
      <c r="E2767" t="s">
        <v>14083</v>
      </c>
      <c r="F2767" t="s">
        <v>7672</v>
      </c>
      <c r="G2767" t="s">
        <v>14084</v>
      </c>
      <c r="H2767" t="s">
        <v>7974</v>
      </c>
      <c r="I2767" t="s">
        <v>14085</v>
      </c>
      <c r="J2767" t="s">
        <v>8427</v>
      </c>
    </row>
    <row r="2768" spans="1:10" x14ac:dyDescent="0.25">
      <c r="A2768" t="s">
        <v>14097</v>
      </c>
      <c r="B2768">
        <v>5.5920000000000014</v>
      </c>
      <c r="C2768" t="s">
        <v>14098</v>
      </c>
      <c r="D2768" t="s">
        <v>10616</v>
      </c>
      <c r="E2768" t="s">
        <v>14083</v>
      </c>
      <c r="F2768" t="s">
        <v>7672</v>
      </c>
      <c r="G2768" t="s">
        <v>14084</v>
      </c>
      <c r="H2768" t="s">
        <v>7974</v>
      </c>
      <c r="I2768" t="s">
        <v>14090</v>
      </c>
      <c r="J2768" t="s">
        <v>8439</v>
      </c>
    </row>
    <row r="2769" spans="1:10" x14ac:dyDescent="0.25">
      <c r="A2769" t="s">
        <v>14099</v>
      </c>
      <c r="B2769">
        <v>5.5920000000000014</v>
      </c>
      <c r="C2769" t="s">
        <v>14100</v>
      </c>
      <c r="D2769" t="s">
        <v>10933</v>
      </c>
      <c r="E2769" t="s">
        <v>14083</v>
      </c>
      <c r="F2769" t="s">
        <v>7672</v>
      </c>
      <c r="G2769" t="s">
        <v>14084</v>
      </c>
      <c r="H2769" t="s">
        <v>7974</v>
      </c>
      <c r="I2769" t="s">
        <v>14085</v>
      </c>
      <c r="J2769" t="s">
        <v>8439</v>
      </c>
    </row>
    <row r="2770" spans="1:10" x14ac:dyDescent="0.25">
      <c r="A2770" t="s">
        <v>14101</v>
      </c>
      <c r="B2770">
        <v>5.5920000000000014</v>
      </c>
      <c r="C2770" t="s">
        <v>14102</v>
      </c>
      <c r="D2770" t="s">
        <v>8217</v>
      </c>
      <c r="E2770" t="s">
        <v>14083</v>
      </c>
      <c r="F2770" t="s">
        <v>7672</v>
      </c>
      <c r="G2770" t="s">
        <v>14084</v>
      </c>
      <c r="H2770" t="s">
        <v>7974</v>
      </c>
      <c r="I2770" t="s">
        <v>8158</v>
      </c>
      <c r="J2770" t="s">
        <v>8439</v>
      </c>
    </row>
    <row r="2771" spans="1:10" x14ac:dyDescent="0.25">
      <c r="A2771" t="s">
        <v>14103</v>
      </c>
      <c r="B2771">
        <v>5.5920000000000014</v>
      </c>
      <c r="C2771" t="s">
        <v>14104</v>
      </c>
      <c r="D2771" t="s">
        <v>14105</v>
      </c>
      <c r="E2771" t="s">
        <v>14083</v>
      </c>
      <c r="F2771" t="s">
        <v>7672</v>
      </c>
      <c r="G2771" t="s">
        <v>14084</v>
      </c>
      <c r="H2771" t="s">
        <v>7974</v>
      </c>
      <c r="I2771" t="s">
        <v>14090</v>
      </c>
      <c r="J2771" t="s">
        <v>8451</v>
      </c>
    </row>
    <row r="2772" spans="1:10" x14ac:dyDescent="0.25">
      <c r="A2772" t="s">
        <v>14106</v>
      </c>
      <c r="B2772">
        <v>5.5920000000000014</v>
      </c>
      <c r="C2772" t="s">
        <v>14107</v>
      </c>
      <c r="D2772" t="s">
        <v>10464</v>
      </c>
      <c r="E2772" t="s">
        <v>14083</v>
      </c>
      <c r="F2772" t="s">
        <v>7672</v>
      </c>
      <c r="G2772" t="s">
        <v>14084</v>
      </c>
      <c r="H2772" t="s">
        <v>7974</v>
      </c>
      <c r="I2772" t="s">
        <v>8158</v>
      </c>
      <c r="J2772" t="s">
        <v>8451</v>
      </c>
    </row>
    <row r="2773" spans="1:10" x14ac:dyDescent="0.25">
      <c r="A2773" t="s">
        <v>14108</v>
      </c>
      <c r="B2773">
        <v>5.5920000000000014</v>
      </c>
      <c r="C2773" t="s">
        <v>14109</v>
      </c>
      <c r="D2773" t="s">
        <v>14110</v>
      </c>
      <c r="E2773" t="s">
        <v>14083</v>
      </c>
      <c r="F2773" t="s">
        <v>7672</v>
      </c>
      <c r="G2773" t="s">
        <v>14084</v>
      </c>
      <c r="H2773" t="s">
        <v>7974</v>
      </c>
      <c r="I2773" t="s">
        <v>14085</v>
      </c>
      <c r="J2773" t="s">
        <v>8451</v>
      </c>
    </row>
    <row r="2774" spans="1:10" x14ac:dyDescent="0.25">
      <c r="A2774" t="s">
        <v>14111</v>
      </c>
      <c r="B2774">
        <v>5.5920000000000014</v>
      </c>
      <c r="C2774" t="s">
        <v>14112</v>
      </c>
      <c r="D2774" t="s">
        <v>2697</v>
      </c>
      <c r="E2774" t="s">
        <v>14083</v>
      </c>
      <c r="F2774" t="s">
        <v>7672</v>
      </c>
      <c r="G2774" t="s">
        <v>14084</v>
      </c>
      <c r="H2774" t="s">
        <v>7974</v>
      </c>
      <c r="I2774" t="s">
        <v>14113</v>
      </c>
      <c r="J2774" t="s">
        <v>8462</v>
      </c>
    </row>
    <row r="2775" spans="1:10" x14ac:dyDescent="0.25">
      <c r="A2775" t="s">
        <v>14114</v>
      </c>
      <c r="B2775">
        <v>5.5920000000000014</v>
      </c>
      <c r="C2775" t="s">
        <v>14115</v>
      </c>
      <c r="D2775" t="s">
        <v>639</v>
      </c>
      <c r="E2775" t="s">
        <v>14083</v>
      </c>
      <c r="F2775" t="s">
        <v>7672</v>
      </c>
      <c r="G2775" t="s">
        <v>14084</v>
      </c>
      <c r="H2775" t="s">
        <v>7974</v>
      </c>
      <c r="I2775" t="s">
        <v>14090</v>
      </c>
      <c r="J2775" t="s">
        <v>8462</v>
      </c>
    </row>
    <row r="2776" spans="1:10" x14ac:dyDescent="0.25">
      <c r="A2776" t="s">
        <v>14116</v>
      </c>
      <c r="B2776">
        <v>5.5920000000000014</v>
      </c>
      <c r="C2776" t="s">
        <v>14117</v>
      </c>
      <c r="D2776" t="s">
        <v>1852</v>
      </c>
      <c r="E2776" t="s">
        <v>14083</v>
      </c>
      <c r="F2776" t="s">
        <v>7672</v>
      </c>
      <c r="G2776" t="s">
        <v>14084</v>
      </c>
      <c r="H2776" t="s">
        <v>7974</v>
      </c>
      <c r="I2776" t="s">
        <v>14085</v>
      </c>
      <c r="J2776" t="s">
        <v>8462</v>
      </c>
    </row>
    <row r="2777" spans="1:10" x14ac:dyDescent="0.25">
      <c r="A2777" t="s">
        <v>14118</v>
      </c>
      <c r="B2777">
        <v>5.5920000000000014</v>
      </c>
      <c r="C2777" t="s">
        <v>14119</v>
      </c>
      <c r="D2777" t="s">
        <v>991</v>
      </c>
      <c r="E2777" t="s">
        <v>14083</v>
      </c>
      <c r="F2777" t="s">
        <v>7672</v>
      </c>
      <c r="G2777" t="s">
        <v>14084</v>
      </c>
      <c r="H2777" t="s">
        <v>7974</v>
      </c>
      <c r="I2777" t="s">
        <v>8158</v>
      </c>
      <c r="J2777" t="s">
        <v>8462</v>
      </c>
    </row>
    <row r="2778" spans="1:10" x14ac:dyDescent="0.25">
      <c r="A2778" t="s">
        <v>14120</v>
      </c>
      <c r="B2778">
        <v>5.5920000000000014</v>
      </c>
      <c r="C2778" t="s">
        <v>14121</v>
      </c>
      <c r="D2778" t="s">
        <v>849</v>
      </c>
      <c r="E2778" t="s">
        <v>14083</v>
      </c>
      <c r="F2778" t="s">
        <v>7672</v>
      </c>
      <c r="G2778" t="s">
        <v>14084</v>
      </c>
      <c r="H2778" t="s">
        <v>7974</v>
      </c>
      <c r="I2778" t="s">
        <v>14113</v>
      </c>
      <c r="J2778" t="s">
        <v>9998</v>
      </c>
    </row>
    <row r="2779" spans="1:10" x14ac:dyDescent="0.25">
      <c r="A2779" t="s">
        <v>14122</v>
      </c>
      <c r="B2779">
        <v>5.5920000000000014</v>
      </c>
      <c r="C2779" t="s">
        <v>14123</v>
      </c>
      <c r="D2779" t="s">
        <v>3258</v>
      </c>
      <c r="E2779" t="s">
        <v>14083</v>
      </c>
      <c r="F2779" t="s">
        <v>7672</v>
      </c>
      <c r="G2779" t="s">
        <v>14084</v>
      </c>
      <c r="H2779" t="s">
        <v>7974</v>
      </c>
      <c r="I2779" t="s">
        <v>14090</v>
      </c>
      <c r="J2779" t="s">
        <v>9998</v>
      </c>
    </row>
    <row r="2780" spans="1:10" x14ac:dyDescent="0.25">
      <c r="A2780" t="s">
        <v>14124</v>
      </c>
      <c r="B2780">
        <v>5.5920000000000014</v>
      </c>
      <c r="C2780" t="s">
        <v>14125</v>
      </c>
      <c r="D2780" t="s">
        <v>626</v>
      </c>
      <c r="E2780" t="s">
        <v>14083</v>
      </c>
      <c r="F2780" t="s">
        <v>7672</v>
      </c>
      <c r="G2780" t="s">
        <v>14084</v>
      </c>
      <c r="H2780" t="s">
        <v>7974</v>
      </c>
      <c r="I2780" t="s">
        <v>8158</v>
      </c>
      <c r="J2780" t="s">
        <v>9998</v>
      </c>
    </row>
    <row r="2781" spans="1:10" x14ac:dyDescent="0.25">
      <c r="A2781" t="s">
        <v>14126</v>
      </c>
      <c r="B2781">
        <v>5.5920000000000014</v>
      </c>
      <c r="C2781" t="s">
        <v>14127</v>
      </c>
      <c r="D2781" t="s">
        <v>2072</v>
      </c>
      <c r="E2781" t="s">
        <v>14083</v>
      </c>
      <c r="F2781" t="s">
        <v>7672</v>
      </c>
      <c r="G2781" t="s">
        <v>14084</v>
      </c>
      <c r="H2781" t="s">
        <v>7974</v>
      </c>
      <c r="I2781" t="s">
        <v>14085</v>
      </c>
      <c r="J2781" t="s">
        <v>9998</v>
      </c>
    </row>
    <row r="2782" spans="1:10" x14ac:dyDescent="0.25">
      <c r="A2782" t="s">
        <v>14128</v>
      </c>
      <c r="B2782">
        <v>8</v>
      </c>
      <c r="C2782" t="s">
        <v>14129</v>
      </c>
      <c r="D2782" t="s">
        <v>14130</v>
      </c>
      <c r="E2782" t="s">
        <v>14131</v>
      </c>
      <c r="F2782" t="s">
        <v>7672</v>
      </c>
      <c r="G2782" t="s">
        <v>14132</v>
      </c>
      <c r="H2782" t="s">
        <v>11381</v>
      </c>
      <c r="I2782" t="s">
        <v>14133</v>
      </c>
      <c r="J2782" t="s">
        <v>14134</v>
      </c>
    </row>
    <row r="2783" spans="1:10" x14ac:dyDescent="0.25">
      <c r="A2783" t="s">
        <v>14135</v>
      </c>
      <c r="B2783">
        <v>8</v>
      </c>
      <c r="C2783" t="s">
        <v>14136</v>
      </c>
      <c r="D2783" t="s">
        <v>10084</v>
      </c>
      <c r="E2783" t="s">
        <v>14131</v>
      </c>
      <c r="F2783" t="s">
        <v>7672</v>
      </c>
      <c r="G2783" t="s">
        <v>14132</v>
      </c>
      <c r="H2783" t="s">
        <v>11381</v>
      </c>
      <c r="I2783" t="s">
        <v>14137</v>
      </c>
      <c r="J2783" t="s">
        <v>14134</v>
      </c>
    </row>
    <row r="2784" spans="1:10" x14ac:dyDescent="0.25">
      <c r="A2784" t="s">
        <v>14138</v>
      </c>
      <c r="B2784">
        <v>8</v>
      </c>
      <c r="C2784" t="s">
        <v>14139</v>
      </c>
      <c r="D2784" t="s">
        <v>6194</v>
      </c>
      <c r="E2784" t="s">
        <v>14131</v>
      </c>
      <c r="F2784" t="s">
        <v>7672</v>
      </c>
      <c r="G2784" t="s">
        <v>14132</v>
      </c>
      <c r="H2784" t="s">
        <v>11381</v>
      </c>
      <c r="I2784" t="s">
        <v>14140</v>
      </c>
      <c r="J2784" t="s">
        <v>14134</v>
      </c>
    </row>
    <row r="2785" spans="1:10" x14ac:dyDescent="0.25">
      <c r="A2785" t="s">
        <v>14141</v>
      </c>
      <c r="B2785">
        <v>8</v>
      </c>
      <c r="C2785" t="s">
        <v>14142</v>
      </c>
      <c r="D2785" t="s">
        <v>14143</v>
      </c>
      <c r="E2785" t="s">
        <v>14131</v>
      </c>
      <c r="F2785" t="s">
        <v>7672</v>
      </c>
      <c r="G2785" t="s">
        <v>14132</v>
      </c>
      <c r="H2785" t="s">
        <v>11381</v>
      </c>
      <c r="I2785" t="s">
        <v>14133</v>
      </c>
      <c r="J2785" t="s">
        <v>12099</v>
      </c>
    </row>
    <row r="2786" spans="1:10" x14ac:dyDescent="0.25">
      <c r="A2786" t="s">
        <v>14144</v>
      </c>
      <c r="B2786">
        <v>8</v>
      </c>
      <c r="C2786" t="s">
        <v>14145</v>
      </c>
      <c r="D2786" t="s">
        <v>14146</v>
      </c>
      <c r="E2786" t="s">
        <v>14131</v>
      </c>
      <c r="F2786" t="s">
        <v>7672</v>
      </c>
      <c r="G2786" t="s">
        <v>14132</v>
      </c>
      <c r="H2786" t="s">
        <v>11381</v>
      </c>
      <c r="I2786" t="s">
        <v>14137</v>
      </c>
      <c r="J2786" t="s">
        <v>12099</v>
      </c>
    </row>
    <row r="2787" spans="1:10" x14ac:dyDescent="0.25">
      <c r="A2787" t="s">
        <v>14147</v>
      </c>
      <c r="B2787">
        <v>8</v>
      </c>
      <c r="C2787" t="s">
        <v>14148</v>
      </c>
      <c r="D2787" t="s">
        <v>1741</v>
      </c>
      <c r="E2787" t="s">
        <v>14131</v>
      </c>
      <c r="F2787" t="s">
        <v>7672</v>
      </c>
      <c r="G2787" t="s">
        <v>14132</v>
      </c>
      <c r="H2787" t="s">
        <v>11381</v>
      </c>
      <c r="I2787" t="s">
        <v>14140</v>
      </c>
      <c r="J2787" t="s">
        <v>12099</v>
      </c>
    </row>
    <row r="2788" spans="1:10" x14ac:dyDescent="0.25">
      <c r="A2788" t="s">
        <v>14149</v>
      </c>
      <c r="B2788">
        <v>8</v>
      </c>
      <c r="C2788" t="s">
        <v>14150</v>
      </c>
      <c r="D2788" t="s">
        <v>14151</v>
      </c>
      <c r="E2788" t="s">
        <v>14131</v>
      </c>
      <c r="F2788" t="s">
        <v>7672</v>
      </c>
      <c r="G2788" t="s">
        <v>14132</v>
      </c>
      <c r="H2788" t="s">
        <v>11381</v>
      </c>
      <c r="I2788" t="s">
        <v>14133</v>
      </c>
      <c r="J2788" t="s">
        <v>12103</v>
      </c>
    </row>
    <row r="2789" spans="1:10" x14ac:dyDescent="0.25">
      <c r="A2789" t="s">
        <v>14152</v>
      </c>
      <c r="B2789">
        <v>8</v>
      </c>
      <c r="C2789" t="s">
        <v>14153</v>
      </c>
      <c r="D2789" t="s">
        <v>14154</v>
      </c>
      <c r="E2789" t="s">
        <v>14131</v>
      </c>
      <c r="F2789" t="s">
        <v>7672</v>
      </c>
      <c r="G2789" t="s">
        <v>14132</v>
      </c>
      <c r="H2789" t="s">
        <v>11381</v>
      </c>
      <c r="I2789" t="s">
        <v>14140</v>
      </c>
      <c r="J2789" t="s">
        <v>12103</v>
      </c>
    </row>
    <row r="2790" spans="1:10" x14ac:dyDescent="0.25">
      <c r="A2790" t="s">
        <v>14155</v>
      </c>
      <c r="B2790">
        <v>8</v>
      </c>
      <c r="C2790" t="s">
        <v>14156</v>
      </c>
      <c r="D2790" t="s">
        <v>14157</v>
      </c>
      <c r="E2790" t="s">
        <v>14131</v>
      </c>
      <c r="F2790" t="s">
        <v>7672</v>
      </c>
      <c r="G2790" t="s">
        <v>14132</v>
      </c>
      <c r="H2790" t="s">
        <v>11381</v>
      </c>
      <c r="I2790" t="s">
        <v>14137</v>
      </c>
      <c r="J2790" t="s">
        <v>12103</v>
      </c>
    </row>
    <row r="2791" spans="1:10" x14ac:dyDescent="0.25">
      <c r="A2791" t="s">
        <v>14158</v>
      </c>
      <c r="B2791">
        <v>24.696000000000002</v>
      </c>
      <c r="C2791" t="s">
        <v>14159</v>
      </c>
      <c r="D2791" t="s">
        <v>53</v>
      </c>
      <c r="E2791" t="s">
        <v>14160</v>
      </c>
      <c r="F2791" t="s">
        <v>7672</v>
      </c>
      <c r="G2791" t="s">
        <v>14161</v>
      </c>
      <c r="H2791" t="s">
        <v>7965</v>
      </c>
      <c r="I2791" t="s">
        <v>14162</v>
      </c>
      <c r="J2791" t="s">
        <v>88</v>
      </c>
    </row>
    <row r="2792" spans="1:10" x14ac:dyDescent="0.25">
      <c r="A2792" t="s">
        <v>14163</v>
      </c>
      <c r="B2792">
        <v>5.7600000000000007</v>
      </c>
      <c r="C2792" t="s">
        <v>14164</v>
      </c>
      <c r="D2792" t="s">
        <v>282</v>
      </c>
      <c r="E2792" t="s">
        <v>14165</v>
      </c>
      <c r="F2792" t="s">
        <v>7672</v>
      </c>
      <c r="G2792" t="s">
        <v>14166</v>
      </c>
      <c r="H2792" t="s">
        <v>8673</v>
      </c>
      <c r="I2792" t="s">
        <v>13965</v>
      </c>
      <c r="J2792" t="s">
        <v>8293</v>
      </c>
    </row>
    <row r="2793" spans="1:10" x14ac:dyDescent="0.25">
      <c r="A2793" t="s">
        <v>14167</v>
      </c>
      <c r="B2793">
        <v>5.7600000000000007</v>
      </c>
      <c r="C2793" t="s">
        <v>14168</v>
      </c>
      <c r="D2793" t="s">
        <v>516</v>
      </c>
      <c r="E2793" t="s">
        <v>14165</v>
      </c>
      <c r="F2793" t="s">
        <v>7672</v>
      </c>
      <c r="G2793" t="s">
        <v>14166</v>
      </c>
      <c r="H2793" t="s">
        <v>8673</v>
      </c>
      <c r="I2793" t="s">
        <v>14169</v>
      </c>
      <c r="J2793" t="s">
        <v>8293</v>
      </c>
    </row>
    <row r="2794" spans="1:10" x14ac:dyDescent="0.25">
      <c r="A2794" t="s">
        <v>14170</v>
      </c>
      <c r="B2794">
        <v>5.7600000000000007</v>
      </c>
      <c r="C2794" t="s">
        <v>14171</v>
      </c>
      <c r="D2794" t="s">
        <v>3572</v>
      </c>
      <c r="E2794" t="s">
        <v>14165</v>
      </c>
      <c r="F2794" t="s">
        <v>7672</v>
      </c>
      <c r="G2794" t="s">
        <v>14166</v>
      </c>
      <c r="H2794" t="s">
        <v>8673</v>
      </c>
      <c r="I2794" t="s">
        <v>14172</v>
      </c>
      <c r="J2794" t="s">
        <v>8293</v>
      </c>
    </row>
    <row r="2795" spans="1:10" x14ac:dyDescent="0.25">
      <c r="A2795" t="s">
        <v>14173</v>
      </c>
      <c r="B2795">
        <v>5.7600000000000007</v>
      </c>
      <c r="C2795" t="s">
        <v>14174</v>
      </c>
      <c r="D2795" t="s">
        <v>742</v>
      </c>
      <c r="E2795" t="s">
        <v>14165</v>
      </c>
      <c r="F2795" t="s">
        <v>7672</v>
      </c>
      <c r="G2795" t="s">
        <v>14166</v>
      </c>
      <c r="H2795" t="s">
        <v>8673</v>
      </c>
      <c r="I2795" t="s">
        <v>14175</v>
      </c>
      <c r="J2795" t="s">
        <v>8293</v>
      </c>
    </row>
    <row r="2796" spans="1:10" x14ac:dyDescent="0.25">
      <c r="A2796" t="s">
        <v>14176</v>
      </c>
      <c r="B2796">
        <v>5.7600000000000007</v>
      </c>
      <c r="C2796" t="s">
        <v>14177</v>
      </c>
      <c r="D2796" t="s">
        <v>1236</v>
      </c>
      <c r="E2796" t="s">
        <v>14165</v>
      </c>
      <c r="F2796" t="s">
        <v>7672</v>
      </c>
      <c r="G2796" t="s">
        <v>14166</v>
      </c>
      <c r="H2796" t="s">
        <v>8673</v>
      </c>
      <c r="I2796" t="s">
        <v>14178</v>
      </c>
      <c r="J2796" t="s">
        <v>8293</v>
      </c>
    </row>
    <row r="2797" spans="1:10" x14ac:dyDescent="0.25">
      <c r="A2797" t="s">
        <v>14179</v>
      </c>
      <c r="B2797">
        <v>5.7600000000000007</v>
      </c>
      <c r="C2797" t="s">
        <v>14180</v>
      </c>
      <c r="D2797" t="s">
        <v>118</v>
      </c>
      <c r="E2797" t="s">
        <v>14165</v>
      </c>
      <c r="F2797" t="s">
        <v>7672</v>
      </c>
      <c r="G2797" t="s">
        <v>14166</v>
      </c>
      <c r="H2797" t="s">
        <v>8673</v>
      </c>
      <c r="I2797" t="s">
        <v>14169</v>
      </c>
      <c r="J2797" t="s">
        <v>9023</v>
      </c>
    </row>
    <row r="2798" spans="1:10" x14ac:dyDescent="0.25">
      <c r="A2798" t="s">
        <v>14181</v>
      </c>
      <c r="B2798">
        <v>5.7600000000000007</v>
      </c>
      <c r="C2798" t="s">
        <v>14182</v>
      </c>
      <c r="D2798" t="s">
        <v>2381</v>
      </c>
      <c r="E2798" t="s">
        <v>14165</v>
      </c>
      <c r="F2798" t="s">
        <v>7672</v>
      </c>
      <c r="G2798" t="s">
        <v>14166</v>
      </c>
      <c r="H2798" t="s">
        <v>8673</v>
      </c>
      <c r="I2798" t="s">
        <v>14172</v>
      </c>
      <c r="J2798" t="s">
        <v>9023</v>
      </c>
    </row>
    <row r="2799" spans="1:10" x14ac:dyDescent="0.25">
      <c r="A2799" t="s">
        <v>14183</v>
      </c>
      <c r="B2799">
        <v>5.7600000000000007</v>
      </c>
      <c r="C2799" t="s">
        <v>14184</v>
      </c>
      <c r="D2799" t="s">
        <v>88</v>
      </c>
      <c r="E2799" t="s">
        <v>14165</v>
      </c>
      <c r="F2799" t="s">
        <v>7672</v>
      </c>
      <c r="G2799" t="s">
        <v>14166</v>
      </c>
      <c r="H2799" t="s">
        <v>8673</v>
      </c>
      <c r="I2799" t="s">
        <v>14178</v>
      </c>
      <c r="J2799" t="s">
        <v>9023</v>
      </c>
    </row>
    <row r="2800" spans="1:10" x14ac:dyDescent="0.25">
      <c r="A2800" t="s">
        <v>14185</v>
      </c>
      <c r="B2800">
        <v>5.7600000000000007</v>
      </c>
      <c r="C2800" t="s">
        <v>14186</v>
      </c>
      <c r="D2800" t="s">
        <v>1254</v>
      </c>
      <c r="E2800" t="s">
        <v>14165</v>
      </c>
      <c r="F2800" t="s">
        <v>7672</v>
      </c>
      <c r="G2800" t="s">
        <v>14166</v>
      </c>
      <c r="H2800" t="s">
        <v>8673</v>
      </c>
      <c r="I2800" t="s">
        <v>14172</v>
      </c>
      <c r="J2800" t="s">
        <v>10918</v>
      </c>
    </row>
    <row r="2801" spans="1:10" x14ac:dyDescent="0.25">
      <c r="A2801" t="s">
        <v>14187</v>
      </c>
      <c r="B2801">
        <v>5.7600000000000007</v>
      </c>
      <c r="C2801" t="s">
        <v>14188</v>
      </c>
      <c r="D2801" t="s">
        <v>903</v>
      </c>
      <c r="E2801" t="s">
        <v>14165</v>
      </c>
      <c r="F2801" t="s">
        <v>7672</v>
      </c>
      <c r="G2801" t="s">
        <v>14166</v>
      </c>
      <c r="H2801" t="s">
        <v>8673</v>
      </c>
      <c r="I2801" t="s">
        <v>14172</v>
      </c>
      <c r="J2801" t="s">
        <v>10926</v>
      </c>
    </row>
    <row r="2802" spans="1:10" x14ac:dyDescent="0.25">
      <c r="A2802" t="s">
        <v>14189</v>
      </c>
      <c r="B2802">
        <v>5.7600000000000007</v>
      </c>
      <c r="C2802" t="s">
        <v>14190</v>
      </c>
      <c r="D2802" t="s">
        <v>296</v>
      </c>
      <c r="E2802" t="s">
        <v>14165</v>
      </c>
      <c r="F2802" t="s">
        <v>7672</v>
      </c>
      <c r="G2802" t="s">
        <v>14166</v>
      </c>
      <c r="H2802" t="s">
        <v>8673</v>
      </c>
      <c r="I2802" t="s">
        <v>14169</v>
      </c>
      <c r="J2802" t="s">
        <v>14191</v>
      </c>
    </row>
    <row r="2803" spans="1:10" x14ac:dyDescent="0.25">
      <c r="A2803" t="s">
        <v>14192</v>
      </c>
      <c r="B2803">
        <v>5.7600000000000007</v>
      </c>
      <c r="C2803" t="s">
        <v>14193</v>
      </c>
      <c r="D2803" t="s">
        <v>2652</v>
      </c>
      <c r="E2803" t="s">
        <v>14165</v>
      </c>
      <c r="F2803" t="s">
        <v>7672</v>
      </c>
      <c r="G2803" t="s">
        <v>14166</v>
      </c>
      <c r="H2803" t="s">
        <v>8673</v>
      </c>
      <c r="I2803" t="s">
        <v>13965</v>
      </c>
      <c r="J2803" t="s">
        <v>14191</v>
      </c>
    </row>
    <row r="2804" spans="1:10" x14ac:dyDescent="0.25">
      <c r="A2804" t="s">
        <v>14194</v>
      </c>
      <c r="B2804">
        <v>5.7600000000000007</v>
      </c>
      <c r="C2804" t="s">
        <v>14195</v>
      </c>
      <c r="D2804" t="s">
        <v>7993</v>
      </c>
      <c r="E2804" t="s">
        <v>14165</v>
      </c>
      <c r="F2804" t="s">
        <v>7672</v>
      </c>
      <c r="G2804" t="s">
        <v>14166</v>
      </c>
      <c r="H2804" t="s">
        <v>8673</v>
      </c>
      <c r="I2804" t="s">
        <v>14172</v>
      </c>
      <c r="J2804" t="s">
        <v>14191</v>
      </c>
    </row>
    <row r="2805" spans="1:10" x14ac:dyDescent="0.25">
      <c r="A2805" t="s">
        <v>14196</v>
      </c>
      <c r="B2805">
        <v>5.7600000000000007</v>
      </c>
      <c r="C2805" t="s">
        <v>14197</v>
      </c>
      <c r="D2805" t="s">
        <v>144</v>
      </c>
      <c r="E2805" t="s">
        <v>14165</v>
      </c>
      <c r="F2805" t="s">
        <v>7672</v>
      </c>
      <c r="G2805" t="s">
        <v>14166</v>
      </c>
      <c r="H2805" t="s">
        <v>8673</v>
      </c>
      <c r="I2805" t="s">
        <v>14198</v>
      </c>
      <c r="J2805" t="s">
        <v>14191</v>
      </c>
    </row>
    <row r="2806" spans="1:10" x14ac:dyDescent="0.25">
      <c r="A2806" t="s">
        <v>14199</v>
      </c>
      <c r="B2806">
        <v>5.7600000000000007</v>
      </c>
      <c r="C2806" t="s">
        <v>14200</v>
      </c>
      <c r="D2806" t="s">
        <v>996</v>
      </c>
      <c r="E2806" t="s">
        <v>14165</v>
      </c>
      <c r="F2806" t="s">
        <v>7672</v>
      </c>
      <c r="G2806" t="s">
        <v>14166</v>
      </c>
      <c r="H2806" t="s">
        <v>8673</v>
      </c>
      <c r="I2806" t="s">
        <v>14178</v>
      </c>
      <c r="J2806" t="s">
        <v>14191</v>
      </c>
    </row>
    <row r="2807" spans="1:10" x14ac:dyDescent="0.25">
      <c r="A2807" t="s">
        <v>14201</v>
      </c>
      <c r="B2807">
        <v>5.7600000000000007</v>
      </c>
      <c r="C2807" t="s">
        <v>14202</v>
      </c>
      <c r="D2807" t="s">
        <v>10070</v>
      </c>
      <c r="E2807" t="s">
        <v>14165</v>
      </c>
      <c r="F2807" t="s">
        <v>7672</v>
      </c>
      <c r="G2807" t="s">
        <v>14166</v>
      </c>
      <c r="H2807" t="s">
        <v>8673</v>
      </c>
      <c r="I2807" t="s">
        <v>14169</v>
      </c>
      <c r="J2807" t="s">
        <v>9061</v>
      </c>
    </row>
    <row r="2808" spans="1:10" x14ac:dyDescent="0.25">
      <c r="A2808" t="s">
        <v>14203</v>
      </c>
      <c r="B2808">
        <v>5.7600000000000007</v>
      </c>
      <c r="C2808" t="s">
        <v>14204</v>
      </c>
      <c r="D2808" t="s">
        <v>8193</v>
      </c>
      <c r="E2808" t="s">
        <v>14165</v>
      </c>
      <c r="F2808" t="s">
        <v>7672</v>
      </c>
      <c r="G2808" t="s">
        <v>14166</v>
      </c>
      <c r="H2808" t="s">
        <v>8673</v>
      </c>
      <c r="I2808" t="s">
        <v>13965</v>
      </c>
      <c r="J2808" t="s">
        <v>9061</v>
      </c>
    </row>
    <row r="2809" spans="1:10" x14ac:dyDescent="0.25">
      <c r="A2809" t="s">
        <v>14205</v>
      </c>
      <c r="B2809">
        <v>5.7600000000000007</v>
      </c>
      <c r="C2809" t="s">
        <v>14206</v>
      </c>
      <c r="D2809" t="s">
        <v>14207</v>
      </c>
      <c r="E2809" t="s">
        <v>14165</v>
      </c>
      <c r="F2809" t="s">
        <v>7672</v>
      </c>
      <c r="G2809" t="s">
        <v>14166</v>
      </c>
      <c r="H2809" t="s">
        <v>8673</v>
      </c>
      <c r="I2809" t="s">
        <v>14172</v>
      </c>
      <c r="J2809" t="s">
        <v>9061</v>
      </c>
    </row>
    <row r="2810" spans="1:10" x14ac:dyDescent="0.25">
      <c r="A2810" t="s">
        <v>14208</v>
      </c>
      <c r="B2810">
        <v>5.7600000000000007</v>
      </c>
      <c r="C2810" t="s">
        <v>14209</v>
      </c>
      <c r="D2810" t="s">
        <v>3653</v>
      </c>
      <c r="E2810" t="s">
        <v>14165</v>
      </c>
      <c r="F2810" t="s">
        <v>7672</v>
      </c>
      <c r="G2810" t="s">
        <v>14166</v>
      </c>
      <c r="H2810" t="s">
        <v>8673</v>
      </c>
      <c r="I2810" t="s">
        <v>14178</v>
      </c>
      <c r="J2810" t="s">
        <v>9061</v>
      </c>
    </row>
    <row r="2811" spans="1:10" x14ac:dyDescent="0.25">
      <c r="A2811" t="s">
        <v>14210</v>
      </c>
      <c r="B2811">
        <v>5.7600000000000007</v>
      </c>
      <c r="C2811" t="s">
        <v>14211</v>
      </c>
      <c r="D2811" t="s">
        <v>4100</v>
      </c>
      <c r="E2811" t="s">
        <v>14165</v>
      </c>
      <c r="F2811" t="s">
        <v>7672</v>
      </c>
      <c r="G2811" t="s">
        <v>14166</v>
      </c>
      <c r="H2811" t="s">
        <v>8673</v>
      </c>
      <c r="I2811" t="s">
        <v>14175</v>
      </c>
      <c r="J2811" t="s">
        <v>9061</v>
      </c>
    </row>
    <row r="2812" spans="1:10" x14ac:dyDescent="0.25">
      <c r="A2812" t="s">
        <v>14212</v>
      </c>
      <c r="B2812">
        <v>5.7600000000000007</v>
      </c>
      <c r="C2812" t="s">
        <v>14213</v>
      </c>
      <c r="D2812" t="s">
        <v>4127</v>
      </c>
      <c r="E2812" t="s">
        <v>14165</v>
      </c>
      <c r="F2812" t="s">
        <v>7672</v>
      </c>
      <c r="G2812" t="s">
        <v>14166</v>
      </c>
      <c r="H2812" t="s">
        <v>8673</v>
      </c>
      <c r="I2812" t="s">
        <v>14198</v>
      </c>
      <c r="J2812" t="s">
        <v>9061</v>
      </c>
    </row>
    <row r="2813" spans="1:10" x14ac:dyDescent="0.25">
      <c r="A2813" t="s">
        <v>3315</v>
      </c>
      <c r="B2813">
        <v>39.6</v>
      </c>
      <c r="C2813" t="s">
        <v>3317</v>
      </c>
      <c r="D2813" t="s">
        <v>385</v>
      </c>
      <c r="E2813" t="s">
        <v>3318</v>
      </c>
      <c r="F2813" t="s">
        <v>7672</v>
      </c>
      <c r="G2813" t="s">
        <v>14214</v>
      </c>
      <c r="H2813" t="s">
        <v>9232</v>
      </c>
      <c r="I2813" t="s">
        <v>1406</v>
      </c>
      <c r="J2813" t="s">
        <v>7675</v>
      </c>
    </row>
    <row r="2814" spans="1:10" x14ac:dyDescent="0.25">
      <c r="A2814" t="s">
        <v>3321</v>
      </c>
      <c r="B2814">
        <v>39.6</v>
      </c>
      <c r="C2814" t="s">
        <v>3323</v>
      </c>
      <c r="D2814" t="s">
        <v>835</v>
      </c>
      <c r="E2814" t="s">
        <v>3318</v>
      </c>
      <c r="F2814" t="s">
        <v>7672</v>
      </c>
      <c r="G2814" t="s">
        <v>14214</v>
      </c>
      <c r="H2814" t="s">
        <v>9232</v>
      </c>
      <c r="I2814" t="s">
        <v>2213</v>
      </c>
      <c r="J2814" t="s">
        <v>7675</v>
      </c>
    </row>
    <row r="2815" spans="1:10" x14ac:dyDescent="0.25">
      <c r="A2815" t="s">
        <v>3325</v>
      </c>
      <c r="B2815">
        <v>39.6</v>
      </c>
      <c r="C2815" t="s">
        <v>3327</v>
      </c>
      <c r="D2815" t="s">
        <v>1236</v>
      </c>
      <c r="E2815" t="s">
        <v>3318</v>
      </c>
      <c r="F2815" t="s">
        <v>7672</v>
      </c>
      <c r="G2815" t="s">
        <v>14214</v>
      </c>
      <c r="H2815" t="s">
        <v>9232</v>
      </c>
      <c r="I2815" t="s">
        <v>2866</v>
      </c>
      <c r="J2815" t="s">
        <v>7675</v>
      </c>
    </row>
    <row r="2816" spans="1:10" x14ac:dyDescent="0.25">
      <c r="A2816" t="s">
        <v>3330</v>
      </c>
      <c r="B2816">
        <v>39.6</v>
      </c>
      <c r="C2816" t="s">
        <v>3332</v>
      </c>
      <c r="D2816" t="s">
        <v>286</v>
      </c>
      <c r="E2816" t="s">
        <v>3318</v>
      </c>
      <c r="F2816" t="s">
        <v>7672</v>
      </c>
      <c r="G2816" t="s">
        <v>14214</v>
      </c>
      <c r="H2816" t="s">
        <v>9232</v>
      </c>
      <c r="I2816" t="s">
        <v>2213</v>
      </c>
      <c r="J2816" t="s">
        <v>7686</v>
      </c>
    </row>
    <row r="2817" spans="1:10" x14ac:dyDescent="0.25">
      <c r="A2817" t="s">
        <v>3334</v>
      </c>
      <c r="B2817">
        <v>39.6</v>
      </c>
      <c r="C2817" t="s">
        <v>3336</v>
      </c>
      <c r="D2817" t="s">
        <v>964</v>
      </c>
      <c r="E2817" t="s">
        <v>3318</v>
      </c>
      <c r="F2817" t="s">
        <v>7672</v>
      </c>
      <c r="G2817" t="s">
        <v>14214</v>
      </c>
      <c r="H2817" t="s">
        <v>9232</v>
      </c>
      <c r="I2817" t="s">
        <v>2866</v>
      </c>
      <c r="J2817" t="s">
        <v>7686</v>
      </c>
    </row>
    <row r="2818" spans="1:10" x14ac:dyDescent="0.25">
      <c r="A2818" t="s">
        <v>3338</v>
      </c>
      <c r="B2818">
        <v>39.6</v>
      </c>
      <c r="C2818" t="s">
        <v>3340</v>
      </c>
      <c r="D2818" t="s">
        <v>2697</v>
      </c>
      <c r="E2818" t="s">
        <v>3318</v>
      </c>
      <c r="F2818" t="s">
        <v>7672</v>
      </c>
      <c r="G2818" t="s">
        <v>14214</v>
      </c>
      <c r="H2818" t="s">
        <v>9232</v>
      </c>
      <c r="I2818" t="s">
        <v>2213</v>
      </c>
      <c r="J2818" t="s">
        <v>7703</v>
      </c>
    </row>
    <row r="2819" spans="1:10" x14ac:dyDescent="0.25">
      <c r="A2819" t="s">
        <v>3342</v>
      </c>
      <c r="B2819">
        <v>39.6</v>
      </c>
      <c r="C2819" t="s">
        <v>3344</v>
      </c>
      <c r="D2819" t="s">
        <v>359</v>
      </c>
      <c r="E2819" t="s">
        <v>3318</v>
      </c>
      <c r="F2819" t="s">
        <v>7672</v>
      </c>
      <c r="G2819" t="s">
        <v>14214</v>
      </c>
      <c r="H2819" t="s">
        <v>9232</v>
      </c>
      <c r="I2819" t="s">
        <v>2213</v>
      </c>
      <c r="J2819" t="s">
        <v>7713</v>
      </c>
    </row>
    <row r="2820" spans="1:10" x14ac:dyDescent="0.25">
      <c r="A2820" t="s">
        <v>3346</v>
      </c>
      <c r="B2820">
        <v>39.6</v>
      </c>
      <c r="C2820" t="s">
        <v>3348</v>
      </c>
      <c r="D2820" t="s">
        <v>1143</v>
      </c>
      <c r="E2820" t="s">
        <v>3318</v>
      </c>
      <c r="F2820" t="s">
        <v>7672</v>
      </c>
      <c r="G2820" t="s">
        <v>14214</v>
      </c>
      <c r="H2820" t="s">
        <v>9232</v>
      </c>
      <c r="I2820" t="s">
        <v>2866</v>
      </c>
      <c r="J2820" t="s">
        <v>7713</v>
      </c>
    </row>
    <row r="2821" spans="1:10" x14ac:dyDescent="0.25">
      <c r="A2821" t="s">
        <v>3350</v>
      </c>
      <c r="B2821">
        <v>39.6</v>
      </c>
      <c r="C2821" t="s">
        <v>3352</v>
      </c>
      <c r="D2821" t="s">
        <v>2697</v>
      </c>
      <c r="E2821" t="s">
        <v>3318</v>
      </c>
      <c r="F2821" t="s">
        <v>7672</v>
      </c>
      <c r="G2821" t="s">
        <v>14214</v>
      </c>
      <c r="H2821" t="s">
        <v>9232</v>
      </c>
      <c r="I2821" t="s">
        <v>76</v>
      </c>
      <c r="J2821" t="s">
        <v>7713</v>
      </c>
    </row>
    <row r="2822" spans="1:10" x14ac:dyDescent="0.25">
      <c r="A2822" t="s">
        <v>3354</v>
      </c>
      <c r="B2822">
        <v>39.6</v>
      </c>
      <c r="C2822" t="s">
        <v>3356</v>
      </c>
      <c r="D2822" t="s">
        <v>199</v>
      </c>
      <c r="E2822" t="s">
        <v>3318</v>
      </c>
      <c r="F2822" t="s">
        <v>7672</v>
      </c>
      <c r="G2822" t="s">
        <v>14214</v>
      </c>
      <c r="H2822" t="s">
        <v>9232</v>
      </c>
      <c r="I2822" t="s">
        <v>2213</v>
      </c>
      <c r="J2822" t="s">
        <v>7719</v>
      </c>
    </row>
    <row r="2823" spans="1:10" x14ac:dyDescent="0.25">
      <c r="A2823" t="s">
        <v>3358</v>
      </c>
      <c r="B2823">
        <v>39.6</v>
      </c>
      <c r="C2823" t="s">
        <v>3360</v>
      </c>
      <c r="D2823" t="s">
        <v>164</v>
      </c>
      <c r="E2823" t="s">
        <v>3318</v>
      </c>
      <c r="F2823" t="s">
        <v>7672</v>
      </c>
      <c r="G2823" t="s">
        <v>14214</v>
      </c>
      <c r="H2823" t="s">
        <v>9232</v>
      </c>
      <c r="I2823" t="s">
        <v>2866</v>
      </c>
      <c r="J2823" t="s">
        <v>7719</v>
      </c>
    </row>
    <row r="2824" spans="1:10" x14ac:dyDescent="0.25">
      <c r="A2824" t="s">
        <v>3362</v>
      </c>
      <c r="B2824">
        <v>39.6</v>
      </c>
      <c r="C2824" t="s">
        <v>3364</v>
      </c>
      <c r="D2824" t="s">
        <v>742</v>
      </c>
      <c r="E2824" t="s">
        <v>3318</v>
      </c>
      <c r="F2824" t="s">
        <v>7672</v>
      </c>
      <c r="G2824" t="s">
        <v>14214</v>
      </c>
      <c r="H2824" t="s">
        <v>9232</v>
      </c>
      <c r="I2824" t="s">
        <v>76</v>
      </c>
      <c r="J2824" t="s">
        <v>7719</v>
      </c>
    </row>
    <row r="2825" spans="1:10" x14ac:dyDescent="0.25">
      <c r="A2825" t="s">
        <v>14215</v>
      </c>
      <c r="B2825">
        <v>5.4960000000000004</v>
      </c>
      <c r="C2825" t="s">
        <v>14216</v>
      </c>
      <c r="D2825" t="s">
        <v>113</v>
      </c>
      <c r="E2825" t="s">
        <v>14217</v>
      </c>
      <c r="F2825" t="s">
        <v>7672</v>
      </c>
      <c r="G2825" t="s">
        <v>14218</v>
      </c>
      <c r="H2825" t="s">
        <v>11622</v>
      </c>
      <c r="I2825" t="s">
        <v>14219</v>
      </c>
      <c r="J2825" t="s">
        <v>7675</v>
      </c>
    </row>
    <row r="2826" spans="1:10" x14ac:dyDescent="0.25">
      <c r="A2826" t="s">
        <v>14220</v>
      </c>
      <c r="B2826">
        <v>5.4960000000000004</v>
      </c>
      <c r="C2826" t="s">
        <v>14221</v>
      </c>
      <c r="D2826" t="s">
        <v>113</v>
      </c>
      <c r="E2826" t="s">
        <v>14217</v>
      </c>
      <c r="F2826" t="s">
        <v>7672</v>
      </c>
      <c r="G2826" t="s">
        <v>14218</v>
      </c>
      <c r="H2826" t="s">
        <v>11622</v>
      </c>
      <c r="I2826" t="s">
        <v>14222</v>
      </c>
      <c r="J2826" t="s">
        <v>7675</v>
      </c>
    </row>
    <row r="2827" spans="1:10" x14ac:dyDescent="0.25">
      <c r="A2827" t="s">
        <v>14223</v>
      </c>
      <c r="B2827">
        <v>5.4960000000000004</v>
      </c>
      <c r="C2827" t="s">
        <v>14224</v>
      </c>
      <c r="D2827" t="s">
        <v>255</v>
      </c>
      <c r="E2827" t="s">
        <v>14217</v>
      </c>
      <c r="F2827" t="s">
        <v>7672</v>
      </c>
      <c r="G2827" t="s">
        <v>14218</v>
      </c>
      <c r="H2827" t="s">
        <v>11622</v>
      </c>
      <c r="I2827" t="s">
        <v>14225</v>
      </c>
      <c r="J2827" t="s">
        <v>7675</v>
      </c>
    </row>
    <row r="2828" spans="1:10" x14ac:dyDescent="0.25">
      <c r="A2828" t="s">
        <v>14226</v>
      </c>
      <c r="B2828">
        <v>5.4960000000000004</v>
      </c>
      <c r="C2828" t="s">
        <v>14227</v>
      </c>
      <c r="D2828" t="s">
        <v>229</v>
      </c>
      <c r="E2828" t="s">
        <v>14217</v>
      </c>
      <c r="F2828" t="s">
        <v>7672</v>
      </c>
      <c r="G2828" t="s">
        <v>14218</v>
      </c>
      <c r="H2828" t="s">
        <v>11622</v>
      </c>
      <c r="I2828" t="s">
        <v>14228</v>
      </c>
      <c r="J2828" t="s">
        <v>7675</v>
      </c>
    </row>
    <row r="2829" spans="1:10" x14ac:dyDescent="0.25">
      <c r="A2829" t="s">
        <v>14229</v>
      </c>
      <c r="B2829">
        <v>5.4960000000000004</v>
      </c>
      <c r="C2829" t="s">
        <v>14230</v>
      </c>
      <c r="D2829" t="s">
        <v>2910</v>
      </c>
      <c r="E2829" t="s">
        <v>14217</v>
      </c>
      <c r="F2829" t="s">
        <v>7672</v>
      </c>
      <c r="G2829" t="s">
        <v>14218</v>
      </c>
      <c r="H2829" t="s">
        <v>11622</v>
      </c>
      <c r="I2829" t="s">
        <v>14219</v>
      </c>
      <c r="J2829" t="s">
        <v>7686</v>
      </c>
    </row>
    <row r="2830" spans="1:10" x14ac:dyDescent="0.25">
      <c r="A2830" t="s">
        <v>14231</v>
      </c>
      <c r="B2830">
        <v>5.4960000000000004</v>
      </c>
      <c r="C2830" t="s">
        <v>14232</v>
      </c>
      <c r="D2830" t="s">
        <v>981</v>
      </c>
      <c r="E2830" t="s">
        <v>14217</v>
      </c>
      <c r="F2830" t="s">
        <v>7672</v>
      </c>
      <c r="G2830" t="s">
        <v>14218</v>
      </c>
      <c r="H2830" t="s">
        <v>11622</v>
      </c>
      <c r="I2830" t="s">
        <v>14222</v>
      </c>
      <c r="J2830" t="s">
        <v>7686</v>
      </c>
    </row>
    <row r="2831" spans="1:10" x14ac:dyDescent="0.25">
      <c r="A2831" t="s">
        <v>14233</v>
      </c>
      <c r="B2831">
        <v>5.4960000000000004</v>
      </c>
      <c r="C2831" t="s">
        <v>14234</v>
      </c>
      <c r="D2831" t="s">
        <v>2620</v>
      </c>
      <c r="E2831" t="s">
        <v>14217</v>
      </c>
      <c r="F2831" t="s">
        <v>7672</v>
      </c>
      <c r="G2831" t="s">
        <v>14218</v>
      </c>
      <c r="H2831" t="s">
        <v>11622</v>
      </c>
      <c r="I2831" t="s">
        <v>14228</v>
      </c>
      <c r="J2831" t="s">
        <v>7686</v>
      </c>
    </row>
    <row r="2832" spans="1:10" x14ac:dyDescent="0.25">
      <c r="A2832" t="s">
        <v>14235</v>
      </c>
      <c r="B2832">
        <v>5.4960000000000004</v>
      </c>
      <c r="C2832" t="s">
        <v>14236</v>
      </c>
      <c r="D2832" t="s">
        <v>849</v>
      </c>
      <c r="E2832" t="s">
        <v>14217</v>
      </c>
      <c r="F2832" t="s">
        <v>7672</v>
      </c>
      <c r="G2832" t="s">
        <v>14218</v>
      </c>
      <c r="H2832" t="s">
        <v>11622</v>
      </c>
      <c r="I2832" t="s">
        <v>14225</v>
      </c>
      <c r="J2832" t="s">
        <v>7686</v>
      </c>
    </row>
    <row r="2833" spans="1:10" x14ac:dyDescent="0.25">
      <c r="A2833" t="s">
        <v>14237</v>
      </c>
      <c r="B2833">
        <v>5.4960000000000004</v>
      </c>
      <c r="C2833" t="s">
        <v>14238</v>
      </c>
      <c r="D2833" t="s">
        <v>843</v>
      </c>
      <c r="E2833" t="s">
        <v>14217</v>
      </c>
      <c r="F2833" t="s">
        <v>7672</v>
      </c>
      <c r="G2833" t="s">
        <v>14218</v>
      </c>
      <c r="H2833" t="s">
        <v>11622</v>
      </c>
      <c r="I2833" t="s">
        <v>14219</v>
      </c>
      <c r="J2833" t="s">
        <v>7703</v>
      </c>
    </row>
    <row r="2834" spans="1:10" x14ac:dyDescent="0.25">
      <c r="A2834" t="s">
        <v>14239</v>
      </c>
      <c r="B2834">
        <v>5.4960000000000004</v>
      </c>
      <c r="C2834" t="s">
        <v>14240</v>
      </c>
      <c r="D2834" t="s">
        <v>1852</v>
      </c>
      <c r="E2834" t="s">
        <v>14217</v>
      </c>
      <c r="F2834" t="s">
        <v>7672</v>
      </c>
      <c r="G2834" t="s">
        <v>14218</v>
      </c>
      <c r="H2834" t="s">
        <v>11622</v>
      </c>
      <c r="I2834" t="s">
        <v>14222</v>
      </c>
      <c r="J2834" t="s">
        <v>7703</v>
      </c>
    </row>
    <row r="2835" spans="1:10" x14ac:dyDescent="0.25">
      <c r="A2835" t="s">
        <v>14241</v>
      </c>
      <c r="B2835">
        <v>5.4960000000000004</v>
      </c>
      <c r="C2835" t="s">
        <v>14242</v>
      </c>
      <c r="D2835" t="s">
        <v>1852</v>
      </c>
      <c r="E2835" t="s">
        <v>14217</v>
      </c>
      <c r="F2835" t="s">
        <v>7672</v>
      </c>
      <c r="G2835" t="s">
        <v>14218</v>
      </c>
      <c r="H2835" t="s">
        <v>11622</v>
      </c>
      <c r="I2835" t="s">
        <v>14228</v>
      </c>
      <c r="J2835" t="s">
        <v>7703</v>
      </c>
    </row>
    <row r="2836" spans="1:10" x14ac:dyDescent="0.25">
      <c r="A2836" t="s">
        <v>14243</v>
      </c>
      <c r="B2836">
        <v>5.4960000000000004</v>
      </c>
      <c r="C2836" t="s">
        <v>14244</v>
      </c>
      <c r="D2836" t="s">
        <v>776</v>
      </c>
      <c r="E2836" t="s">
        <v>14217</v>
      </c>
      <c r="F2836" t="s">
        <v>7672</v>
      </c>
      <c r="G2836" t="s">
        <v>14218</v>
      </c>
      <c r="H2836" t="s">
        <v>11622</v>
      </c>
      <c r="I2836" t="s">
        <v>14222</v>
      </c>
      <c r="J2836" t="s">
        <v>7713</v>
      </c>
    </row>
    <row r="2837" spans="1:10" x14ac:dyDescent="0.25">
      <c r="A2837" t="s">
        <v>14245</v>
      </c>
      <c r="B2837">
        <v>5.4960000000000004</v>
      </c>
      <c r="C2837" t="s">
        <v>14246</v>
      </c>
      <c r="D2837" t="s">
        <v>875</v>
      </c>
      <c r="E2837" t="s">
        <v>14217</v>
      </c>
      <c r="F2837" t="s">
        <v>7672</v>
      </c>
      <c r="G2837" t="s">
        <v>14218</v>
      </c>
      <c r="H2837" t="s">
        <v>11622</v>
      </c>
      <c r="I2837" t="s">
        <v>14228</v>
      </c>
      <c r="J2837" t="s">
        <v>7713</v>
      </c>
    </row>
    <row r="2838" spans="1:10" x14ac:dyDescent="0.25">
      <c r="A2838" t="s">
        <v>14247</v>
      </c>
      <c r="B2838">
        <v>5.4960000000000004</v>
      </c>
      <c r="C2838" t="s">
        <v>14248</v>
      </c>
      <c r="D2838" t="s">
        <v>698</v>
      </c>
      <c r="E2838" t="s">
        <v>14217</v>
      </c>
      <c r="F2838" t="s">
        <v>7672</v>
      </c>
      <c r="G2838" t="s">
        <v>14218</v>
      </c>
      <c r="H2838" t="s">
        <v>11622</v>
      </c>
      <c r="I2838" t="s">
        <v>14219</v>
      </c>
      <c r="J2838" t="s">
        <v>7713</v>
      </c>
    </row>
    <row r="2839" spans="1:10" x14ac:dyDescent="0.25">
      <c r="A2839" t="s">
        <v>14249</v>
      </c>
      <c r="B2839">
        <v>5.4960000000000004</v>
      </c>
      <c r="C2839" t="s">
        <v>14250</v>
      </c>
      <c r="D2839" t="s">
        <v>277</v>
      </c>
      <c r="E2839" t="s">
        <v>14217</v>
      </c>
      <c r="F2839" t="s">
        <v>7672</v>
      </c>
      <c r="G2839" t="s">
        <v>14218</v>
      </c>
      <c r="H2839" t="s">
        <v>11622</v>
      </c>
      <c r="I2839" t="s">
        <v>14222</v>
      </c>
      <c r="J2839" t="s">
        <v>7719</v>
      </c>
    </row>
    <row r="2840" spans="1:10" x14ac:dyDescent="0.25">
      <c r="A2840" t="s">
        <v>14251</v>
      </c>
      <c r="B2840">
        <v>5.4960000000000004</v>
      </c>
      <c r="C2840" t="s">
        <v>14252</v>
      </c>
      <c r="D2840" t="s">
        <v>100</v>
      </c>
      <c r="E2840" t="s">
        <v>14217</v>
      </c>
      <c r="F2840" t="s">
        <v>7672</v>
      </c>
      <c r="G2840" t="s">
        <v>14218</v>
      </c>
      <c r="H2840" t="s">
        <v>11622</v>
      </c>
      <c r="I2840" t="s">
        <v>14228</v>
      </c>
      <c r="J2840" t="s">
        <v>7719</v>
      </c>
    </row>
    <row r="2841" spans="1:10" x14ac:dyDescent="0.25">
      <c r="A2841" t="s">
        <v>14253</v>
      </c>
      <c r="B2841">
        <v>50.991999999999997</v>
      </c>
      <c r="C2841" t="s">
        <v>14254</v>
      </c>
      <c r="D2841" t="s">
        <v>1459</v>
      </c>
      <c r="E2841" t="s">
        <v>14255</v>
      </c>
      <c r="F2841" t="s">
        <v>7672</v>
      </c>
      <c r="G2841" t="s">
        <v>14256</v>
      </c>
      <c r="H2841" t="s">
        <v>10314</v>
      </c>
      <c r="I2841" t="s">
        <v>76</v>
      </c>
      <c r="J2841" t="s">
        <v>9694</v>
      </c>
    </row>
    <row r="2842" spans="1:10" x14ac:dyDescent="0.25">
      <c r="A2842" t="s">
        <v>14257</v>
      </c>
      <c r="B2842">
        <v>10</v>
      </c>
      <c r="C2842" t="s">
        <v>14258</v>
      </c>
      <c r="D2842" t="s">
        <v>416</v>
      </c>
      <c r="E2842" t="s">
        <v>14259</v>
      </c>
      <c r="F2842" t="s">
        <v>7672</v>
      </c>
      <c r="G2842" t="s">
        <v>14260</v>
      </c>
      <c r="H2842" t="s">
        <v>7674</v>
      </c>
      <c r="I2842" t="s">
        <v>14261</v>
      </c>
      <c r="J2842" t="s">
        <v>7675</v>
      </c>
    </row>
    <row r="2843" spans="1:10" x14ac:dyDescent="0.25">
      <c r="A2843" t="s">
        <v>14262</v>
      </c>
      <c r="B2843">
        <v>10</v>
      </c>
      <c r="C2843" t="s">
        <v>14263</v>
      </c>
      <c r="D2843" t="s">
        <v>11430</v>
      </c>
      <c r="E2843" t="s">
        <v>14259</v>
      </c>
      <c r="F2843" t="s">
        <v>7672</v>
      </c>
      <c r="G2843" t="s">
        <v>14260</v>
      </c>
      <c r="H2843" t="s">
        <v>7674</v>
      </c>
      <c r="I2843" t="s">
        <v>14264</v>
      </c>
      <c r="J2843" t="s">
        <v>7675</v>
      </c>
    </row>
    <row r="2844" spans="1:10" x14ac:dyDescent="0.25">
      <c r="A2844" t="s">
        <v>14265</v>
      </c>
      <c r="B2844">
        <v>10</v>
      </c>
      <c r="C2844" t="s">
        <v>14266</v>
      </c>
      <c r="D2844" t="s">
        <v>3457</v>
      </c>
      <c r="E2844" t="s">
        <v>14259</v>
      </c>
      <c r="F2844" t="s">
        <v>7672</v>
      </c>
      <c r="G2844" t="s">
        <v>14260</v>
      </c>
      <c r="H2844" t="s">
        <v>7674</v>
      </c>
      <c r="I2844" t="s">
        <v>14267</v>
      </c>
      <c r="J2844" t="s">
        <v>7675</v>
      </c>
    </row>
    <row r="2845" spans="1:10" x14ac:dyDescent="0.25">
      <c r="A2845" t="s">
        <v>14268</v>
      </c>
      <c r="B2845">
        <v>10</v>
      </c>
      <c r="C2845" t="s">
        <v>14269</v>
      </c>
      <c r="D2845" t="s">
        <v>14270</v>
      </c>
      <c r="E2845" t="s">
        <v>14259</v>
      </c>
      <c r="F2845" t="s">
        <v>7672</v>
      </c>
      <c r="G2845" t="s">
        <v>14260</v>
      </c>
      <c r="H2845" t="s">
        <v>7674</v>
      </c>
      <c r="I2845" t="s">
        <v>14271</v>
      </c>
      <c r="J2845" t="s">
        <v>7675</v>
      </c>
    </row>
    <row r="2846" spans="1:10" x14ac:dyDescent="0.25">
      <c r="A2846" t="s">
        <v>14272</v>
      </c>
      <c r="B2846">
        <v>10</v>
      </c>
      <c r="C2846" t="s">
        <v>14273</v>
      </c>
      <c r="D2846" t="s">
        <v>10963</v>
      </c>
      <c r="E2846" t="s">
        <v>14259</v>
      </c>
      <c r="F2846" t="s">
        <v>7672</v>
      </c>
      <c r="G2846" t="s">
        <v>14260</v>
      </c>
      <c r="H2846" t="s">
        <v>7674</v>
      </c>
      <c r="I2846" t="s">
        <v>14264</v>
      </c>
      <c r="J2846" t="s">
        <v>7686</v>
      </c>
    </row>
    <row r="2847" spans="1:10" x14ac:dyDescent="0.25">
      <c r="A2847" t="s">
        <v>14274</v>
      </c>
      <c r="B2847">
        <v>10</v>
      </c>
      <c r="C2847" t="s">
        <v>14275</v>
      </c>
      <c r="D2847" t="s">
        <v>14276</v>
      </c>
      <c r="E2847" t="s">
        <v>14259</v>
      </c>
      <c r="F2847" t="s">
        <v>7672</v>
      </c>
      <c r="G2847" t="s">
        <v>14260</v>
      </c>
      <c r="H2847" t="s">
        <v>7674</v>
      </c>
      <c r="I2847" t="s">
        <v>14261</v>
      </c>
      <c r="J2847" t="s">
        <v>7686</v>
      </c>
    </row>
    <row r="2848" spans="1:10" x14ac:dyDescent="0.25">
      <c r="A2848" t="s">
        <v>14277</v>
      </c>
      <c r="B2848">
        <v>10</v>
      </c>
      <c r="C2848" t="s">
        <v>14278</v>
      </c>
      <c r="D2848" t="s">
        <v>9668</v>
      </c>
      <c r="E2848" t="s">
        <v>14259</v>
      </c>
      <c r="F2848" t="s">
        <v>7672</v>
      </c>
      <c r="G2848" t="s">
        <v>14260</v>
      </c>
      <c r="H2848" t="s">
        <v>7674</v>
      </c>
      <c r="I2848" t="s">
        <v>14267</v>
      </c>
      <c r="J2848" t="s">
        <v>7686</v>
      </c>
    </row>
    <row r="2849" spans="1:10" x14ac:dyDescent="0.25">
      <c r="A2849" t="s">
        <v>14279</v>
      </c>
      <c r="B2849">
        <v>10</v>
      </c>
      <c r="C2849" t="s">
        <v>14280</v>
      </c>
      <c r="D2849" t="s">
        <v>8457</v>
      </c>
      <c r="E2849" t="s">
        <v>14259</v>
      </c>
      <c r="F2849" t="s">
        <v>7672</v>
      </c>
      <c r="G2849" t="s">
        <v>14260</v>
      </c>
      <c r="H2849" t="s">
        <v>7674</v>
      </c>
      <c r="I2849" t="s">
        <v>14271</v>
      </c>
      <c r="J2849" t="s">
        <v>7686</v>
      </c>
    </row>
    <row r="2850" spans="1:10" x14ac:dyDescent="0.25">
      <c r="A2850" t="s">
        <v>14281</v>
      </c>
      <c r="B2850">
        <v>10</v>
      </c>
      <c r="C2850" t="s">
        <v>14282</v>
      </c>
      <c r="D2850" t="s">
        <v>13333</v>
      </c>
      <c r="E2850" t="s">
        <v>14259</v>
      </c>
      <c r="F2850" t="s">
        <v>7672</v>
      </c>
      <c r="G2850" t="s">
        <v>14260</v>
      </c>
      <c r="H2850" t="s">
        <v>7674</v>
      </c>
      <c r="I2850" t="s">
        <v>14267</v>
      </c>
      <c r="J2850" t="s">
        <v>7703</v>
      </c>
    </row>
    <row r="2851" spans="1:10" x14ac:dyDescent="0.25">
      <c r="A2851" t="s">
        <v>14283</v>
      </c>
      <c r="B2851">
        <v>10</v>
      </c>
      <c r="C2851" t="s">
        <v>14284</v>
      </c>
      <c r="D2851" t="s">
        <v>14285</v>
      </c>
      <c r="E2851" t="s">
        <v>14259</v>
      </c>
      <c r="F2851" t="s">
        <v>7672</v>
      </c>
      <c r="G2851" t="s">
        <v>14260</v>
      </c>
      <c r="H2851" t="s">
        <v>7674</v>
      </c>
      <c r="I2851" t="s">
        <v>14264</v>
      </c>
      <c r="J2851" t="s">
        <v>7703</v>
      </c>
    </row>
    <row r="2852" spans="1:10" x14ac:dyDescent="0.25">
      <c r="A2852" t="s">
        <v>14286</v>
      </c>
      <c r="B2852">
        <v>10</v>
      </c>
      <c r="C2852" t="s">
        <v>14287</v>
      </c>
      <c r="D2852" t="s">
        <v>12952</v>
      </c>
      <c r="E2852" t="s">
        <v>14259</v>
      </c>
      <c r="F2852" t="s">
        <v>7672</v>
      </c>
      <c r="G2852" t="s">
        <v>14260</v>
      </c>
      <c r="H2852" t="s">
        <v>7674</v>
      </c>
      <c r="I2852" t="s">
        <v>14261</v>
      </c>
      <c r="J2852" t="s">
        <v>7703</v>
      </c>
    </row>
    <row r="2853" spans="1:10" x14ac:dyDescent="0.25">
      <c r="A2853" t="s">
        <v>14288</v>
      </c>
      <c r="B2853">
        <v>10</v>
      </c>
      <c r="C2853" t="s">
        <v>14289</v>
      </c>
      <c r="D2853" t="s">
        <v>14290</v>
      </c>
      <c r="E2853" t="s">
        <v>14259</v>
      </c>
      <c r="F2853" t="s">
        <v>7672</v>
      </c>
      <c r="G2853" t="s">
        <v>14260</v>
      </c>
      <c r="H2853" t="s">
        <v>7674</v>
      </c>
      <c r="I2853" t="s">
        <v>14271</v>
      </c>
      <c r="J2853" t="s">
        <v>7703</v>
      </c>
    </row>
    <row r="2854" spans="1:10" x14ac:dyDescent="0.25">
      <c r="A2854" t="s">
        <v>14291</v>
      </c>
      <c r="B2854">
        <v>10</v>
      </c>
      <c r="C2854" t="s">
        <v>14292</v>
      </c>
      <c r="D2854" t="s">
        <v>9379</v>
      </c>
      <c r="E2854" t="s">
        <v>14259</v>
      </c>
      <c r="F2854" t="s">
        <v>7672</v>
      </c>
      <c r="G2854" t="s">
        <v>14260</v>
      </c>
      <c r="H2854" t="s">
        <v>7674</v>
      </c>
      <c r="I2854" t="s">
        <v>14267</v>
      </c>
      <c r="J2854" t="s">
        <v>7713</v>
      </c>
    </row>
    <row r="2855" spans="1:10" x14ac:dyDescent="0.25">
      <c r="A2855" t="s">
        <v>14293</v>
      </c>
      <c r="B2855">
        <v>10</v>
      </c>
      <c r="C2855" t="s">
        <v>14294</v>
      </c>
      <c r="D2855" t="s">
        <v>14295</v>
      </c>
      <c r="E2855" t="s">
        <v>14259</v>
      </c>
      <c r="F2855" t="s">
        <v>7672</v>
      </c>
      <c r="G2855" t="s">
        <v>14260</v>
      </c>
      <c r="H2855" t="s">
        <v>7674</v>
      </c>
      <c r="I2855" t="s">
        <v>14271</v>
      </c>
      <c r="J2855" t="s">
        <v>7713</v>
      </c>
    </row>
    <row r="2856" spans="1:10" x14ac:dyDescent="0.25">
      <c r="A2856" t="s">
        <v>14296</v>
      </c>
      <c r="B2856">
        <v>10</v>
      </c>
      <c r="C2856" t="s">
        <v>14297</v>
      </c>
      <c r="D2856" t="s">
        <v>14298</v>
      </c>
      <c r="E2856" t="s">
        <v>14259</v>
      </c>
      <c r="F2856" t="s">
        <v>7672</v>
      </c>
      <c r="G2856" t="s">
        <v>14260</v>
      </c>
      <c r="H2856" t="s">
        <v>7674</v>
      </c>
      <c r="I2856" t="s">
        <v>14264</v>
      </c>
      <c r="J2856" t="s">
        <v>7713</v>
      </c>
    </row>
    <row r="2857" spans="1:10" x14ac:dyDescent="0.25">
      <c r="A2857" t="s">
        <v>14299</v>
      </c>
      <c r="B2857">
        <v>10</v>
      </c>
      <c r="C2857" t="s">
        <v>14300</v>
      </c>
      <c r="D2857" t="s">
        <v>9275</v>
      </c>
      <c r="E2857" t="s">
        <v>14259</v>
      </c>
      <c r="F2857" t="s">
        <v>7672</v>
      </c>
      <c r="G2857" t="s">
        <v>14260</v>
      </c>
      <c r="H2857" t="s">
        <v>7674</v>
      </c>
      <c r="I2857" t="s">
        <v>14261</v>
      </c>
      <c r="J2857" t="s">
        <v>7713</v>
      </c>
    </row>
    <row r="2858" spans="1:10" x14ac:dyDescent="0.25">
      <c r="A2858" t="s">
        <v>14301</v>
      </c>
      <c r="B2858">
        <v>10</v>
      </c>
      <c r="C2858" t="s">
        <v>14302</v>
      </c>
      <c r="D2858" t="s">
        <v>10439</v>
      </c>
      <c r="E2858" t="s">
        <v>14259</v>
      </c>
      <c r="F2858" t="s">
        <v>7672</v>
      </c>
      <c r="G2858" t="s">
        <v>14260</v>
      </c>
      <c r="H2858" t="s">
        <v>7674</v>
      </c>
      <c r="I2858" t="s">
        <v>14267</v>
      </c>
      <c r="J2858" t="s">
        <v>7719</v>
      </c>
    </row>
    <row r="2859" spans="1:10" x14ac:dyDescent="0.25">
      <c r="A2859" t="s">
        <v>14303</v>
      </c>
      <c r="B2859">
        <v>10</v>
      </c>
      <c r="C2859" t="s">
        <v>14304</v>
      </c>
      <c r="D2859" t="s">
        <v>5611</v>
      </c>
      <c r="E2859" t="s">
        <v>14259</v>
      </c>
      <c r="F2859" t="s">
        <v>7672</v>
      </c>
      <c r="G2859" t="s">
        <v>14260</v>
      </c>
      <c r="H2859" t="s">
        <v>7674</v>
      </c>
      <c r="I2859" t="s">
        <v>14271</v>
      </c>
      <c r="J2859" t="s">
        <v>7719</v>
      </c>
    </row>
    <row r="2860" spans="1:10" x14ac:dyDescent="0.25">
      <c r="A2860" t="s">
        <v>14305</v>
      </c>
      <c r="B2860">
        <v>10</v>
      </c>
      <c r="C2860" t="s">
        <v>14306</v>
      </c>
      <c r="D2860" t="s">
        <v>3076</v>
      </c>
      <c r="E2860" t="s">
        <v>14259</v>
      </c>
      <c r="F2860" t="s">
        <v>7672</v>
      </c>
      <c r="G2860" t="s">
        <v>14260</v>
      </c>
      <c r="H2860" t="s">
        <v>7674</v>
      </c>
      <c r="I2860" t="s">
        <v>14261</v>
      </c>
      <c r="J2860" t="s">
        <v>7719</v>
      </c>
    </row>
    <row r="2861" spans="1:10" x14ac:dyDescent="0.25">
      <c r="A2861" t="s">
        <v>14307</v>
      </c>
      <c r="B2861">
        <v>10</v>
      </c>
      <c r="C2861" t="s">
        <v>14308</v>
      </c>
      <c r="D2861" t="s">
        <v>9800</v>
      </c>
      <c r="E2861" t="s">
        <v>14259</v>
      </c>
      <c r="F2861" t="s">
        <v>7672</v>
      </c>
      <c r="G2861" t="s">
        <v>14260</v>
      </c>
      <c r="H2861" t="s">
        <v>7674</v>
      </c>
      <c r="I2861" t="s">
        <v>14264</v>
      </c>
      <c r="J2861" t="s">
        <v>7719</v>
      </c>
    </row>
    <row r="2862" spans="1:10" x14ac:dyDescent="0.25">
      <c r="A2862" t="s">
        <v>14309</v>
      </c>
      <c r="B2862">
        <v>13.992000000000001</v>
      </c>
      <c r="C2862" t="s">
        <v>14310</v>
      </c>
      <c r="D2862" t="s">
        <v>255</v>
      </c>
      <c r="E2862" t="s">
        <v>14311</v>
      </c>
      <c r="F2862" t="s">
        <v>7672</v>
      </c>
      <c r="G2862" t="s">
        <v>14312</v>
      </c>
      <c r="H2862" t="s">
        <v>11598</v>
      </c>
      <c r="I2862" t="s">
        <v>76</v>
      </c>
      <c r="J2862" t="s">
        <v>7942</v>
      </c>
    </row>
    <row r="2863" spans="1:10" x14ac:dyDescent="0.25">
      <c r="A2863" t="s">
        <v>14313</v>
      </c>
      <c r="B2863">
        <v>13.992000000000001</v>
      </c>
      <c r="C2863" t="s">
        <v>14314</v>
      </c>
      <c r="D2863" t="s">
        <v>95</v>
      </c>
      <c r="E2863" t="s">
        <v>14311</v>
      </c>
      <c r="F2863" t="s">
        <v>7672</v>
      </c>
      <c r="G2863" t="s">
        <v>14312</v>
      </c>
      <c r="H2863" t="s">
        <v>11598</v>
      </c>
      <c r="I2863" t="s">
        <v>76</v>
      </c>
      <c r="J2863" t="s">
        <v>7981</v>
      </c>
    </row>
    <row r="2864" spans="1:10" x14ac:dyDescent="0.25">
      <c r="A2864" t="s">
        <v>14315</v>
      </c>
      <c r="B2864">
        <v>13.992000000000001</v>
      </c>
      <c r="C2864" t="s">
        <v>14316</v>
      </c>
      <c r="D2864" t="s">
        <v>164</v>
      </c>
      <c r="E2864" t="s">
        <v>14311</v>
      </c>
      <c r="F2864" t="s">
        <v>7672</v>
      </c>
      <c r="G2864" t="s">
        <v>14312</v>
      </c>
      <c r="H2864" t="s">
        <v>11598</v>
      </c>
      <c r="I2864" t="s">
        <v>76</v>
      </c>
      <c r="J2864" t="s">
        <v>8013</v>
      </c>
    </row>
    <row r="2865" spans="1:10" x14ac:dyDescent="0.25">
      <c r="A2865" t="s">
        <v>14317</v>
      </c>
      <c r="B2865">
        <v>13.992000000000001</v>
      </c>
      <c r="C2865" t="s">
        <v>14318</v>
      </c>
      <c r="D2865" t="s">
        <v>290</v>
      </c>
      <c r="E2865" t="s">
        <v>14311</v>
      </c>
      <c r="F2865" t="s">
        <v>7672</v>
      </c>
      <c r="G2865" t="s">
        <v>14312</v>
      </c>
      <c r="H2865" t="s">
        <v>11598</v>
      </c>
      <c r="I2865" t="s">
        <v>14319</v>
      </c>
      <c r="J2865" t="s">
        <v>8013</v>
      </c>
    </row>
    <row r="2866" spans="1:10" x14ac:dyDescent="0.25">
      <c r="A2866" t="s">
        <v>14320</v>
      </c>
      <c r="B2866">
        <v>3.92</v>
      </c>
      <c r="C2866" t="s">
        <v>14321</v>
      </c>
      <c r="D2866" t="s">
        <v>396</v>
      </c>
      <c r="E2866" t="s">
        <v>14322</v>
      </c>
      <c r="F2866" t="s">
        <v>7672</v>
      </c>
      <c r="G2866" t="s">
        <v>14323</v>
      </c>
      <c r="H2866" t="s">
        <v>14324</v>
      </c>
      <c r="I2866" t="s">
        <v>14325</v>
      </c>
      <c r="J2866" t="s">
        <v>106</v>
      </c>
    </row>
    <row r="2867" spans="1:10" x14ac:dyDescent="0.25">
      <c r="A2867" t="s">
        <v>14326</v>
      </c>
      <c r="B2867">
        <v>3.92</v>
      </c>
      <c r="C2867" t="s">
        <v>14327</v>
      </c>
      <c r="D2867" t="s">
        <v>3653</v>
      </c>
      <c r="E2867" t="s">
        <v>14322</v>
      </c>
      <c r="F2867" t="s">
        <v>7672</v>
      </c>
      <c r="G2867" t="s">
        <v>14323</v>
      </c>
      <c r="H2867" t="s">
        <v>14324</v>
      </c>
      <c r="I2867" t="s">
        <v>14325</v>
      </c>
      <c r="J2867" t="s">
        <v>88</v>
      </c>
    </row>
    <row r="2868" spans="1:10" x14ac:dyDescent="0.25">
      <c r="A2868" t="s">
        <v>14328</v>
      </c>
      <c r="B2868">
        <v>3.92</v>
      </c>
      <c r="C2868" t="s">
        <v>14329</v>
      </c>
      <c r="D2868" t="s">
        <v>9240</v>
      </c>
      <c r="E2868" t="s">
        <v>14322</v>
      </c>
      <c r="F2868" t="s">
        <v>7672</v>
      </c>
      <c r="G2868" t="s">
        <v>14323</v>
      </c>
      <c r="H2868" t="s">
        <v>14324</v>
      </c>
      <c r="I2868" t="s">
        <v>14325</v>
      </c>
      <c r="J2868" t="s">
        <v>8531</v>
      </c>
    </row>
    <row r="2869" spans="1:10" x14ac:dyDescent="0.25">
      <c r="A2869" t="s">
        <v>14330</v>
      </c>
      <c r="B2869">
        <v>3.92</v>
      </c>
      <c r="C2869" t="s">
        <v>14331</v>
      </c>
      <c r="D2869" t="s">
        <v>14332</v>
      </c>
      <c r="E2869" t="s">
        <v>14322</v>
      </c>
      <c r="F2869" t="s">
        <v>7672</v>
      </c>
      <c r="G2869" t="s">
        <v>14323</v>
      </c>
      <c r="H2869" t="s">
        <v>14324</v>
      </c>
      <c r="I2869" t="s">
        <v>14325</v>
      </c>
      <c r="J2869" t="s">
        <v>131</v>
      </c>
    </row>
    <row r="2870" spans="1:10" x14ac:dyDescent="0.25">
      <c r="A2870" t="s">
        <v>14333</v>
      </c>
      <c r="B2870">
        <v>3.92</v>
      </c>
      <c r="C2870" t="s">
        <v>14334</v>
      </c>
      <c r="D2870" t="s">
        <v>1596</v>
      </c>
      <c r="E2870" t="s">
        <v>14322</v>
      </c>
      <c r="F2870" t="s">
        <v>7672</v>
      </c>
      <c r="G2870" t="s">
        <v>14323</v>
      </c>
      <c r="H2870" t="s">
        <v>14324</v>
      </c>
      <c r="I2870" t="s">
        <v>14325</v>
      </c>
      <c r="J2870" t="s">
        <v>269</v>
      </c>
    </row>
    <row r="2871" spans="1:10" x14ac:dyDescent="0.25">
      <c r="A2871" t="s">
        <v>14335</v>
      </c>
      <c r="B2871">
        <v>3.92</v>
      </c>
      <c r="C2871" t="s">
        <v>14336</v>
      </c>
      <c r="D2871" t="s">
        <v>14337</v>
      </c>
      <c r="E2871" t="s">
        <v>14322</v>
      </c>
      <c r="F2871" t="s">
        <v>7672</v>
      </c>
      <c r="G2871" t="s">
        <v>14323</v>
      </c>
      <c r="H2871" t="s">
        <v>14324</v>
      </c>
      <c r="I2871" t="s">
        <v>14325</v>
      </c>
      <c r="J2871" t="s">
        <v>255</v>
      </c>
    </row>
    <row r="2872" spans="1:10" x14ac:dyDescent="0.25">
      <c r="A2872" t="s">
        <v>14338</v>
      </c>
      <c r="B2872">
        <v>3.92</v>
      </c>
      <c r="C2872" t="s">
        <v>14339</v>
      </c>
      <c r="D2872" t="s">
        <v>11292</v>
      </c>
      <c r="E2872" t="s">
        <v>14322</v>
      </c>
      <c r="F2872" t="s">
        <v>7672</v>
      </c>
      <c r="G2872" t="s">
        <v>14323</v>
      </c>
      <c r="H2872" t="s">
        <v>14324</v>
      </c>
      <c r="I2872" t="s">
        <v>14325</v>
      </c>
      <c r="J2872" t="s">
        <v>277</v>
      </c>
    </row>
    <row r="2873" spans="1:10" x14ac:dyDescent="0.25">
      <c r="A2873" t="s">
        <v>14340</v>
      </c>
      <c r="B2873">
        <v>4.16</v>
      </c>
      <c r="C2873" t="s">
        <v>14341</v>
      </c>
      <c r="D2873" t="s">
        <v>282</v>
      </c>
      <c r="E2873" t="s">
        <v>14342</v>
      </c>
      <c r="F2873" t="s">
        <v>7672</v>
      </c>
      <c r="G2873" t="s">
        <v>14343</v>
      </c>
      <c r="H2873" t="s">
        <v>7674</v>
      </c>
      <c r="I2873" t="s">
        <v>14344</v>
      </c>
      <c r="J2873" t="s">
        <v>7981</v>
      </c>
    </row>
    <row r="2874" spans="1:10" x14ac:dyDescent="0.25">
      <c r="A2874" t="s">
        <v>14345</v>
      </c>
      <c r="B2874">
        <v>4.16</v>
      </c>
      <c r="C2874" t="s">
        <v>14346</v>
      </c>
      <c r="D2874" t="s">
        <v>626</v>
      </c>
      <c r="E2874" t="s">
        <v>14342</v>
      </c>
      <c r="F2874" t="s">
        <v>7672</v>
      </c>
      <c r="G2874" t="s">
        <v>14343</v>
      </c>
      <c r="H2874" t="s">
        <v>7674</v>
      </c>
      <c r="I2874" t="s">
        <v>14347</v>
      </c>
      <c r="J2874" t="s">
        <v>7981</v>
      </c>
    </row>
    <row r="2875" spans="1:10" x14ac:dyDescent="0.25">
      <c r="A2875" t="s">
        <v>14348</v>
      </c>
      <c r="B2875">
        <v>4.16</v>
      </c>
      <c r="C2875" t="s">
        <v>14349</v>
      </c>
      <c r="D2875" t="s">
        <v>6257</v>
      </c>
      <c r="E2875" t="s">
        <v>14342</v>
      </c>
      <c r="F2875" t="s">
        <v>7672</v>
      </c>
      <c r="G2875" t="s">
        <v>14343</v>
      </c>
      <c r="H2875" t="s">
        <v>7674</v>
      </c>
      <c r="I2875" t="s">
        <v>14344</v>
      </c>
      <c r="J2875" t="s">
        <v>7984</v>
      </c>
    </row>
    <row r="2876" spans="1:10" x14ac:dyDescent="0.25">
      <c r="A2876" t="s">
        <v>14350</v>
      </c>
      <c r="B2876">
        <v>4.16</v>
      </c>
      <c r="C2876" t="s">
        <v>14351</v>
      </c>
      <c r="D2876" t="s">
        <v>2001</v>
      </c>
      <c r="E2876" t="s">
        <v>14342</v>
      </c>
      <c r="F2876" t="s">
        <v>7672</v>
      </c>
      <c r="G2876" t="s">
        <v>14343</v>
      </c>
      <c r="H2876" t="s">
        <v>7674</v>
      </c>
      <c r="I2876" t="s">
        <v>14347</v>
      </c>
      <c r="J2876" t="s">
        <v>7984</v>
      </c>
    </row>
    <row r="2877" spans="1:10" x14ac:dyDescent="0.25">
      <c r="A2877" t="s">
        <v>14352</v>
      </c>
      <c r="B2877">
        <v>4.16</v>
      </c>
      <c r="C2877" t="s">
        <v>14353</v>
      </c>
      <c r="D2877" t="s">
        <v>2072</v>
      </c>
      <c r="E2877" t="s">
        <v>14342</v>
      </c>
      <c r="F2877" t="s">
        <v>7672</v>
      </c>
      <c r="G2877" t="s">
        <v>14343</v>
      </c>
      <c r="H2877" t="s">
        <v>7674</v>
      </c>
      <c r="I2877" t="s">
        <v>14344</v>
      </c>
      <c r="J2877" t="s">
        <v>7987</v>
      </c>
    </row>
    <row r="2878" spans="1:10" x14ac:dyDescent="0.25">
      <c r="A2878" t="s">
        <v>14354</v>
      </c>
      <c r="B2878">
        <v>4.16</v>
      </c>
      <c r="C2878" t="s">
        <v>14355</v>
      </c>
      <c r="D2878" t="s">
        <v>8770</v>
      </c>
      <c r="E2878" t="s">
        <v>14342</v>
      </c>
      <c r="F2878" t="s">
        <v>7672</v>
      </c>
      <c r="G2878" t="s">
        <v>14343</v>
      </c>
      <c r="H2878" t="s">
        <v>7674</v>
      </c>
      <c r="I2878" t="s">
        <v>14347</v>
      </c>
      <c r="J2878" t="s">
        <v>7987</v>
      </c>
    </row>
    <row r="2879" spans="1:10" x14ac:dyDescent="0.25">
      <c r="A2879" t="s">
        <v>14356</v>
      </c>
      <c r="B2879">
        <v>4.16</v>
      </c>
      <c r="C2879" t="s">
        <v>14357</v>
      </c>
      <c r="D2879" t="s">
        <v>613</v>
      </c>
      <c r="E2879" t="s">
        <v>14342</v>
      </c>
      <c r="F2879" t="s">
        <v>7672</v>
      </c>
      <c r="G2879" t="s">
        <v>14343</v>
      </c>
      <c r="H2879" t="s">
        <v>7674</v>
      </c>
      <c r="I2879" t="s">
        <v>14347</v>
      </c>
      <c r="J2879" t="s">
        <v>8001</v>
      </c>
    </row>
    <row r="2880" spans="1:10" x14ac:dyDescent="0.25">
      <c r="A2880" t="s">
        <v>14358</v>
      </c>
      <c r="B2880">
        <v>3.2959999999999998</v>
      </c>
      <c r="C2880" t="s">
        <v>14359</v>
      </c>
      <c r="D2880" t="s">
        <v>1236</v>
      </c>
      <c r="E2880" t="s">
        <v>14360</v>
      </c>
      <c r="F2880" t="s">
        <v>7672</v>
      </c>
      <c r="G2880" t="s">
        <v>14361</v>
      </c>
      <c r="H2880" t="s">
        <v>9127</v>
      </c>
      <c r="I2880" t="s">
        <v>12787</v>
      </c>
      <c r="J2880" t="s">
        <v>106</v>
      </c>
    </row>
    <row r="2881" spans="1:10" x14ac:dyDescent="0.25">
      <c r="A2881" t="s">
        <v>14362</v>
      </c>
      <c r="B2881">
        <v>3.2959999999999998</v>
      </c>
      <c r="C2881" t="s">
        <v>14363</v>
      </c>
      <c r="D2881" t="s">
        <v>53</v>
      </c>
      <c r="E2881" t="s">
        <v>14360</v>
      </c>
      <c r="F2881" t="s">
        <v>7672</v>
      </c>
      <c r="G2881" t="s">
        <v>14361</v>
      </c>
      <c r="H2881" t="s">
        <v>9127</v>
      </c>
      <c r="I2881" t="s">
        <v>9326</v>
      </c>
      <c r="J2881" t="s">
        <v>576</v>
      </c>
    </row>
    <row r="2882" spans="1:10" x14ac:dyDescent="0.25">
      <c r="A2882" t="s">
        <v>14364</v>
      </c>
      <c r="B2882">
        <v>3.2959999999999998</v>
      </c>
      <c r="C2882" t="s">
        <v>14365</v>
      </c>
      <c r="D2882" t="s">
        <v>991</v>
      </c>
      <c r="E2882" t="s">
        <v>14360</v>
      </c>
      <c r="F2882" t="s">
        <v>7672</v>
      </c>
      <c r="G2882" t="s">
        <v>14361</v>
      </c>
      <c r="H2882" t="s">
        <v>9127</v>
      </c>
      <c r="I2882" t="s">
        <v>9326</v>
      </c>
      <c r="J2882" t="s">
        <v>255</v>
      </c>
    </row>
    <row r="2883" spans="1:10" x14ac:dyDescent="0.25">
      <c r="A2883" t="s">
        <v>14366</v>
      </c>
      <c r="B2883">
        <v>3.2959999999999998</v>
      </c>
      <c r="C2883" t="s">
        <v>14367</v>
      </c>
      <c r="D2883" t="s">
        <v>659</v>
      </c>
      <c r="E2883" t="s">
        <v>14360</v>
      </c>
      <c r="F2883" t="s">
        <v>7672</v>
      </c>
      <c r="G2883" t="s">
        <v>14361</v>
      </c>
      <c r="H2883" t="s">
        <v>9127</v>
      </c>
      <c r="I2883" t="s">
        <v>12787</v>
      </c>
      <c r="J2883" t="s">
        <v>282</v>
      </c>
    </row>
    <row r="2884" spans="1:10" x14ac:dyDescent="0.25">
      <c r="A2884" t="s">
        <v>14368</v>
      </c>
      <c r="B2884">
        <v>3.2959999999999998</v>
      </c>
      <c r="C2884" t="s">
        <v>14369</v>
      </c>
      <c r="D2884" t="s">
        <v>7993</v>
      </c>
      <c r="E2884" t="s">
        <v>14360</v>
      </c>
      <c r="F2884" t="s">
        <v>7672</v>
      </c>
      <c r="G2884" t="s">
        <v>14361</v>
      </c>
      <c r="H2884" t="s">
        <v>9127</v>
      </c>
      <c r="I2884" t="s">
        <v>9326</v>
      </c>
      <c r="J2884" t="s">
        <v>282</v>
      </c>
    </row>
    <row r="2885" spans="1:10" x14ac:dyDescent="0.25">
      <c r="A2885" t="s">
        <v>14370</v>
      </c>
      <c r="B2885">
        <v>8</v>
      </c>
      <c r="C2885" t="s">
        <v>14371</v>
      </c>
      <c r="D2885" t="s">
        <v>311</v>
      </c>
      <c r="E2885" t="s">
        <v>14372</v>
      </c>
      <c r="F2885" t="s">
        <v>7672</v>
      </c>
      <c r="G2885" t="s">
        <v>14373</v>
      </c>
      <c r="H2885" t="s">
        <v>7974</v>
      </c>
      <c r="I2885" t="s">
        <v>14374</v>
      </c>
      <c r="J2885" t="s">
        <v>8001</v>
      </c>
    </row>
    <row r="2886" spans="1:10" x14ac:dyDescent="0.25">
      <c r="A2886" t="s">
        <v>14375</v>
      </c>
      <c r="B2886">
        <v>8</v>
      </c>
      <c r="C2886" t="s">
        <v>14376</v>
      </c>
      <c r="D2886" t="s">
        <v>359</v>
      </c>
      <c r="E2886" t="s">
        <v>14372</v>
      </c>
      <c r="F2886" t="s">
        <v>7672</v>
      </c>
      <c r="G2886" t="s">
        <v>14373</v>
      </c>
      <c r="H2886" t="s">
        <v>7974</v>
      </c>
      <c r="I2886" t="s">
        <v>14377</v>
      </c>
      <c r="J2886" t="s">
        <v>8001</v>
      </c>
    </row>
    <row r="2887" spans="1:10" x14ac:dyDescent="0.25">
      <c r="A2887" t="s">
        <v>14378</v>
      </c>
      <c r="B2887">
        <v>8</v>
      </c>
      <c r="C2887" t="s">
        <v>14379</v>
      </c>
      <c r="D2887" t="s">
        <v>359</v>
      </c>
      <c r="E2887" t="s">
        <v>14372</v>
      </c>
      <c r="F2887" t="s">
        <v>7672</v>
      </c>
      <c r="G2887" t="s">
        <v>14373</v>
      </c>
      <c r="H2887" t="s">
        <v>7974</v>
      </c>
      <c r="I2887" t="s">
        <v>14374</v>
      </c>
      <c r="J2887" t="s">
        <v>8013</v>
      </c>
    </row>
    <row r="2888" spans="1:10" x14ac:dyDescent="0.25">
      <c r="A2888" t="s">
        <v>14380</v>
      </c>
      <c r="B2888">
        <v>8</v>
      </c>
      <c r="C2888" t="s">
        <v>14381</v>
      </c>
      <c r="D2888" t="s">
        <v>2697</v>
      </c>
      <c r="E2888" t="s">
        <v>14372</v>
      </c>
      <c r="F2888" t="s">
        <v>7672</v>
      </c>
      <c r="G2888" t="s">
        <v>14373</v>
      </c>
      <c r="H2888" t="s">
        <v>7974</v>
      </c>
      <c r="I2888" t="s">
        <v>14382</v>
      </c>
      <c r="J2888" t="s">
        <v>8013</v>
      </c>
    </row>
    <row r="2889" spans="1:10" x14ac:dyDescent="0.25">
      <c r="A2889" t="s">
        <v>14383</v>
      </c>
      <c r="B2889">
        <v>6.9920000000000009</v>
      </c>
      <c r="C2889" t="s">
        <v>14384</v>
      </c>
      <c r="D2889" t="s">
        <v>11430</v>
      </c>
      <c r="E2889" t="s">
        <v>14385</v>
      </c>
      <c r="F2889" t="s">
        <v>7672</v>
      </c>
      <c r="G2889" t="s">
        <v>14386</v>
      </c>
      <c r="H2889" t="s">
        <v>10298</v>
      </c>
      <c r="I2889" t="s">
        <v>76</v>
      </c>
      <c r="J2889" t="s">
        <v>7942</v>
      </c>
    </row>
    <row r="2890" spans="1:10" x14ac:dyDescent="0.25">
      <c r="A2890" t="s">
        <v>14387</v>
      </c>
      <c r="B2890">
        <v>6.9920000000000009</v>
      </c>
      <c r="C2890" t="s">
        <v>14388</v>
      </c>
      <c r="D2890" t="s">
        <v>5283</v>
      </c>
      <c r="E2890" t="s">
        <v>14385</v>
      </c>
      <c r="F2890" t="s">
        <v>7672</v>
      </c>
      <c r="G2890" t="s">
        <v>14386</v>
      </c>
      <c r="H2890" t="s">
        <v>10298</v>
      </c>
      <c r="I2890" t="s">
        <v>14389</v>
      </c>
      <c r="J2890" t="s">
        <v>7942</v>
      </c>
    </row>
    <row r="2891" spans="1:10" x14ac:dyDescent="0.25">
      <c r="A2891" t="s">
        <v>14390</v>
      </c>
      <c r="B2891">
        <v>6.9920000000000009</v>
      </c>
      <c r="C2891" t="s">
        <v>14391</v>
      </c>
      <c r="D2891" t="s">
        <v>5716</v>
      </c>
      <c r="E2891" t="s">
        <v>14385</v>
      </c>
      <c r="F2891" t="s">
        <v>7672</v>
      </c>
      <c r="G2891" t="s">
        <v>14386</v>
      </c>
      <c r="H2891" t="s">
        <v>10298</v>
      </c>
      <c r="I2891" t="s">
        <v>76</v>
      </c>
      <c r="J2891" t="s">
        <v>7981</v>
      </c>
    </row>
    <row r="2892" spans="1:10" x14ac:dyDescent="0.25">
      <c r="A2892" t="s">
        <v>14392</v>
      </c>
      <c r="B2892">
        <v>6.9920000000000009</v>
      </c>
      <c r="C2892" t="s">
        <v>14393</v>
      </c>
      <c r="D2892" t="s">
        <v>11257</v>
      </c>
      <c r="E2892" t="s">
        <v>14385</v>
      </c>
      <c r="F2892" t="s">
        <v>7672</v>
      </c>
      <c r="G2892" t="s">
        <v>14386</v>
      </c>
      <c r="H2892" t="s">
        <v>10298</v>
      </c>
      <c r="I2892" t="s">
        <v>14389</v>
      </c>
      <c r="J2892" t="s">
        <v>7981</v>
      </c>
    </row>
    <row r="2893" spans="1:10" x14ac:dyDescent="0.25">
      <c r="A2893" t="s">
        <v>14394</v>
      </c>
      <c r="B2893">
        <v>6.9920000000000009</v>
      </c>
      <c r="C2893" t="s">
        <v>14395</v>
      </c>
      <c r="D2893" t="s">
        <v>13198</v>
      </c>
      <c r="E2893" t="s">
        <v>14385</v>
      </c>
      <c r="F2893" t="s">
        <v>7672</v>
      </c>
      <c r="G2893" t="s">
        <v>14386</v>
      </c>
      <c r="H2893" t="s">
        <v>10298</v>
      </c>
      <c r="I2893" t="s">
        <v>76</v>
      </c>
      <c r="J2893" t="s">
        <v>7984</v>
      </c>
    </row>
    <row r="2894" spans="1:10" x14ac:dyDescent="0.25">
      <c r="A2894" t="s">
        <v>14396</v>
      </c>
      <c r="B2894">
        <v>6.9920000000000009</v>
      </c>
      <c r="C2894" t="s">
        <v>14397</v>
      </c>
      <c r="D2894" t="s">
        <v>7699</v>
      </c>
      <c r="E2894" t="s">
        <v>14385</v>
      </c>
      <c r="F2894" t="s">
        <v>7672</v>
      </c>
      <c r="G2894" t="s">
        <v>14386</v>
      </c>
      <c r="H2894" t="s">
        <v>10298</v>
      </c>
      <c r="I2894" t="s">
        <v>14389</v>
      </c>
      <c r="J2894" t="s">
        <v>7984</v>
      </c>
    </row>
    <row r="2895" spans="1:10" x14ac:dyDescent="0.25">
      <c r="A2895" t="s">
        <v>14398</v>
      </c>
      <c r="B2895">
        <v>6.9920000000000009</v>
      </c>
      <c r="C2895" t="s">
        <v>14399</v>
      </c>
      <c r="D2895" t="s">
        <v>715</v>
      </c>
      <c r="E2895" t="s">
        <v>14385</v>
      </c>
      <c r="F2895" t="s">
        <v>7672</v>
      </c>
      <c r="G2895" t="s">
        <v>14386</v>
      </c>
      <c r="H2895" t="s">
        <v>10298</v>
      </c>
      <c r="I2895" t="s">
        <v>76</v>
      </c>
      <c r="J2895" t="s">
        <v>7987</v>
      </c>
    </row>
    <row r="2896" spans="1:10" x14ac:dyDescent="0.25">
      <c r="A2896" t="s">
        <v>14400</v>
      </c>
      <c r="B2896">
        <v>6.9920000000000009</v>
      </c>
      <c r="C2896" t="s">
        <v>14401</v>
      </c>
      <c r="D2896" t="s">
        <v>1972</v>
      </c>
      <c r="E2896" t="s">
        <v>14385</v>
      </c>
      <c r="F2896" t="s">
        <v>7672</v>
      </c>
      <c r="G2896" t="s">
        <v>14386</v>
      </c>
      <c r="H2896" t="s">
        <v>10298</v>
      </c>
      <c r="I2896" t="s">
        <v>14389</v>
      </c>
      <c r="J2896" t="s">
        <v>7987</v>
      </c>
    </row>
    <row r="2897" spans="1:10" x14ac:dyDescent="0.25">
      <c r="A2897" t="s">
        <v>14402</v>
      </c>
      <c r="B2897">
        <v>6.9920000000000009</v>
      </c>
      <c r="C2897" t="s">
        <v>14403</v>
      </c>
      <c r="D2897" t="s">
        <v>301</v>
      </c>
      <c r="E2897" t="s">
        <v>14385</v>
      </c>
      <c r="F2897" t="s">
        <v>7672</v>
      </c>
      <c r="G2897" t="s">
        <v>14386</v>
      </c>
      <c r="H2897" t="s">
        <v>10298</v>
      </c>
      <c r="I2897" t="s">
        <v>76</v>
      </c>
      <c r="J2897" t="s">
        <v>8001</v>
      </c>
    </row>
    <row r="2898" spans="1:10" x14ac:dyDescent="0.25">
      <c r="A2898" t="s">
        <v>14404</v>
      </c>
      <c r="B2898">
        <v>6.9920000000000009</v>
      </c>
      <c r="C2898" t="s">
        <v>14405</v>
      </c>
      <c r="D2898" t="s">
        <v>2884</v>
      </c>
      <c r="E2898" t="s">
        <v>14385</v>
      </c>
      <c r="F2898" t="s">
        <v>7672</v>
      </c>
      <c r="G2898" t="s">
        <v>14386</v>
      </c>
      <c r="H2898" t="s">
        <v>10298</v>
      </c>
      <c r="I2898" t="s">
        <v>14389</v>
      </c>
      <c r="J2898" t="s">
        <v>8001</v>
      </c>
    </row>
    <row r="2899" spans="1:10" x14ac:dyDescent="0.25">
      <c r="A2899" t="s">
        <v>14406</v>
      </c>
      <c r="B2899">
        <v>13.992000000000001</v>
      </c>
      <c r="C2899" t="s">
        <v>14407</v>
      </c>
      <c r="D2899" t="s">
        <v>964</v>
      </c>
      <c r="E2899" t="s">
        <v>14408</v>
      </c>
      <c r="F2899" t="s">
        <v>7672</v>
      </c>
      <c r="G2899" t="s">
        <v>14409</v>
      </c>
      <c r="H2899" t="s">
        <v>11598</v>
      </c>
      <c r="I2899" t="s">
        <v>14410</v>
      </c>
      <c r="J2899" t="s">
        <v>7942</v>
      </c>
    </row>
    <row r="2900" spans="1:10" x14ac:dyDescent="0.25">
      <c r="A2900" t="s">
        <v>14411</v>
      </c>
      <c r="B2900">
        <v>13.992000000000001</v>
      </c>
      <c r="C2900" t="s">
        <v>14412</v>
      </c>
      <c r="D2900" t="s">
        <v>290</v>
      </c>
      <c r="E2900" t="s">
        <v>14408</v>
      </c>
      <c r="F2900" t="s">
        <v>7672</v>
      </c>
      <c r="G2900" t="s">
        <v>14409</v>
      </c>
      <c r="H2900" t="s">
        <v>11598</v>
      </c>
      <c r="I2900" t="s">
        <v>14413</v>
      </c>
      <c r="J2900" t="s">
        <v>7942</v>
      </c>
    </row>
    <row r="2901" spans="1:10" x14ac:dyDescent="0.25">
      <c r="A2901" t="s">
        <v>14414</v>
      </c>
      <c r="B2901">
        <v>13.992000000000001</v>
      </c>
      <c r="C2901" t="s">
        <v>14415</v>
      </c>
      <c r="D2901" t="s">
        <v>366</v>
      </c>
      <c r="E2901" t="s">
        <v>14408</v>
      </c>
      <c r="F2901" t="s">
        <v>7672</v>
      </c>
      <c r="G2901" t="s">
        <v>14409</v>
      </c>
      <c r="H2901" t="s">
        <v>11598</v>
      </c>
      <c r="I2901" t="s">
        <v>11206</v>
      </c>
      <c r="J2901" t="s">
        <v>7942</v>
      </c>
    </row>
    <row r="2902" spans="1:10" x14ac:dyDescent="0.25">
      <c r="A2902" t="s">
        <v>14416</v>
      </c>
      <c r="B2902">
        <v>13.992000000000001</v>
      </c>
      <c r="C2902" t="s">
        <v>14417</v>
      </c>
      <c r="D2902" t="s">
        <v>613</v>
      </c>
      <c r="E2902" t="s">
        <v>14408</v>
      </c>
      <c r="F2902" t="s">
        <v>7672</v>
      </c>
      <c r="G2902" t="s">
        <v>14409</v>
      </c>
      <c r="H2902" t="s">
        <v>11598</v>
      </c>
      <c r="I2902" t="s">
        <v>12216</v>
      </c>
      <c r="J2902" t="s">
        <v>7981</v>
      </c>
    </row>
    <row r="2903" spans="1:10" x14ac:dyDescent="0.25">
      <c r="A2903" t="s">
        <v>14418</v>
      </c>
      <c r="B2903">
        <v>13.992000000000001</v>
      </c>
      <c r="C2903" t="s">
        <v>14419</v>
      </c>
      <c r="D2903" t="s">
        <v>240</v>
      </c>
      <c r="E2903" t="s">
        <v>14408</v>
      </c>
      <c r="F2903" t="s">
        <v>7672</v>
      </c>
      <c r="G2903" t="s">
        <v>14409</v>
      </c>
      <c r="H2903" t="s">
        <v>11598</v>
      </c>
      <c r="I2903" t="s">
        <v>14410</v>
      </c>
      <c r="J2903" t="s">
        <v>7981</v>
      </c>
    </row>
    <row r="2904" spans="1:10" x14ac:dyDescent="0.25">
      <c r="A2904" t="s">
        <v>14420</v>
      </c>
      <c r="B2904">
        <v>13.992000000000001</v>
      </c>
      <c r="C2904" t="s">
        <v>14421</v>
      </c>
      <c r="D2904" t="s">
        <v>705</v>
      </c>
      <c r="E2904" t="s">
        <v>14408</v>
      </c>
      <c r="F2904" t="s">
        <v>7672</v>
      </c>
      <c r="G2904" t="s">
        <v>14409</v>
      </c>
      <c r="H2904" t="s">
        <v>11598</v>
      </c>
      <c r="I2904" t="s">
        <v>14413</v>
      </c>
      <c r="J2904" t="s">
        <v>7981</v>
      </c>
    </row>
    <row r="2905" spans="1:10" x14ac:dyDescent="0.25">
      <c r="A2905" t="s">
        <v>14422</v>
      </c>
      <c r="B2905">
        <v>13.992000000000001</v>
      </c>
      <c r="C2905" t="s">
        <v>14423</v>
      </c>
      <c r="D2905" t="s">
        <v>975</v>
      </c>
      <c r="E2905" t="s">
        <v>14408</v>
      </c>
      <c r="F2905" t="s">
        <v>7672</v>
      </c>
      <c r="G2905" t="s">
        <v>14409</v>
      </c>
      <c r="H2905" t="s">
        <v>11598</v>
      </c>
      <c r="I2905" t="s">
        <v>11206</v>
      </c>
      <c r="J2905" t="s">
        <v>7981</v>
      </c>
    </row>
    <row r="2906" spans="1:10" x14ac:dyDescent="0.25">
      <c r="A2906" t="s">
        <v>14424</v>
      </c>
      <c r="B2906">
        <v>13.992000000000001</v>
      </c>
      <c r="C2906" t="s">
        <v>14425</v>
      </c>
      <c r="D2906" t="s">
        <v>705</v>
      </c>
      <c r="E2906" t="s">
        <v>14408</v>
      </c>
      <c r="F2906" t="s">
        <v>7672</v>
      </c>
      <c r="G2906" t="s">
        <v>14409</v>
      </c>
      <c r="H2906" t="s">
        <v>11598</v>
      </c>
      <c r="I2906" t="s">
        <v>12216</v>
      </c>
      <c r="J2906" t="s">
        <v>7984</v>
      </c>
    </row>
    <row r="2907" spans="1:10" x14ac:dyDescent="0.25">
      <c r="A2907" t="s">
        <v>14426</v>
      </c>
      <c r="B2907">
        <v>13.992000000000001</v>
      </c>
      <c r="C2907" t="s">
        <v>14427</v>
      </c>
      <c r="D2907" t="s">
        <v>40</v>
      </c>
      <c r="E2907" t="s">
        <v>14408</v>
      </c>
      <c r="F2907" t="s">
        <v>7672</v>
      </c>
      <c r="G2907" t="s">
        <v>14409</v>
      </c>
      <c r="H2907" t="s">
        <v>11598</v>
      </c>
      <c r="I2907" t="s">
        <v>14410</v>
      </c>
      <c r="J2907" t="s">
        <v>7984</v>
      </c>
    </row>
    <row r="2908" spans="1:10" x14ac:dyDescent="0.25">
      <c r="A2908" t="s">
        <v>14428</v>
      </c>
      <c r="B2908">
        <v>13.992000000000001</v>
      </c>
      <c r="C2908" t="s">
        <v>14429</v>
      </c>
      <c r="D2908" t="s">
        <v>6257</v>
      </c>
      <c r="E2908" t="s">
        <v>14408</v>
      </c>
      <c r="F2908" t="s">
        <v>7672</v>
      </c>
      <c r="G2908" t="s">
        <v>14409</v>
      </c>
      <c r="H2908" t="s">
        <v>11598</v>
      </c>
      <c r="I2908" t="s">
        <v>14413</v>
      </c>
      <c r="J2908" t="s">
        <v>7984</v>
      </c>
    </row>
    <row r="2909" spans="1:10" x14ac:dyDescent="0.25">
      <c r="A2909" t="s">
        <v>14430</v>
      </c>
      <c r="B2909">
        <v>13.992000000000001</v>
      </c>
      <c r="C2909" t="s">
        <v>14431</v>
      </c>
      <c r="D2909" t="s">
        <v>3175</v>
      </c>
      <c r="E2909" t="s">
        <v>14408</v>
      </c>
      <c r="F2909" t="s">
        <v>7672</v>
      </c>
      <c r="G2909" t="s">
        <v>14409</v>
      </c>
      <c r="H2909" t="s">
        <v>11598</v>
      </c>
      <c r="I2909" t="s">
        <v>11206</v>
      </c>
      <c r="J2909" t="s">
        <v>7984</v>
      </c>
    </row>
    <row r="2910" spans="1:10" x14ac:dyDescent="0.25">
      <c r="A2910" t="s">
        <v>14432</v>
      </c>
      <c r="B2910">
        <v>13.992000000000001</v>
      </c>
      <c r="C2910" t="s">
        <v>14433</v>
      </c>
      <c r="D2910" t="s">
        <v>1097</v>
      </c>
      <c r="E2910" t="s">
        <v>14408</v>
      </c>
      <c r="F2910" t="s">
        <v>7672</v>
      </c>
      <c r="G2910" t="s">
        <v>14409</v>
      </c>
      <c r="H2910" t="s">
        <v>11598</v>
      </c>
      <c r="I2910" t="s">
        <v>12216</v>
      </c>
      <c r="J2910" t="s">
        <v>7987</v>
      </c>
    </row>
    <row r="2911" spans="1:10" x14ac:dyDescent="0.25">
      <c r="A2911" t="s">
        <v>14434</v>
      </c>
      <c r="B2911">
        <v>13.992000000000001</v>
      </c>
      <c r="C2911" t="s">
        <v>14435</v>
      </c>
      <c r="D2911" t="s">
        <v>3944</v>
      </c>
      <c r="E2911" t="s">
        <v>14408</v>
      </c>
      <c r="F2911" t="s">
        <v>7672</v>
      </c>
      <c r="G2911" t="s">
        <v>14409</v>
      </c>
      <c r="H2911" t="s">
        <v>11598</v>
      </c>
      <c r="I2911" t="s">
        <v>14410</v>
      </c>
      <c r="J2911" t="s">
        <v>7987</v>
      </c>
    </row>
    <row r="2912" spans="1:10" x14ac:dyDescent="0.25">
      <c r="A2912" t="s">
        <v>14436</v>
      </c>
      <c r="B2912">
        <v>13.992000000000001</v>
      </c>
      <c r="C2912" t="s">
        <v>14437</v>
      </c>
      <c r="D2912" t="s">
        <v>6194</v>
      </c>
      <c r="E2912" t="s">
        <v>14408</v>
      </c>
      <c r="F2912" t="s">
        <v>7672</v>
      </c>
      <c r="G2912" t="s">
        <v>14409</v>
      </c>
      <c r="H2912" t="s">
        <v>11598</v>
      </c>
      <c r="I2912" t="s">
        <v>14413</v>
      </c>
      <c r="J2912" t="s">
        <v>7987</v>
      </c>
    </row>
    <row r="2913" spans="1:10" x14ac:dyDescent="0.25">
      <c r="A2913" t="s">
        <v>14438</v>
      </c>
      <c r="B2913">
        <v>13.992000000000001</v>
      </c>
      <c r="C2913" t="s">
        <v>14439</v>
      </c>
      <c r="D2913" t="s">
        <v>9653</v>
      </c>
      <c r="E2913" t="s">
        <v>14408</v>
      </c>
      <c r="F2913" t="s">
        <v>7672</v>
      </c>
      <c r="G2913" t="s">
        <v>14409</v>
      </c>
      <c r="H2913" t="s">
        <v>11598</v>
      </c>
      <c r="I2913" t="s">
        <v>11206</v>
      </c>
      <c r="J2913" t="s">
        <v>7987</v>
      </c>
    </row>
    <row r="2914" spans="1:10" x14ac:dyDescent="0.25">
      <c r="A2914" t="s">
        <v>14440</v>
      </c>
      <c r="B2914">
        <v>13.992000000000001</v>
      </c>
      <c r="C2914" t="s">
        <v>14441</v>
      </c>
      <c r="D2914" t="s">
        <v>2787</v>
      </c>
      <c r="E2914" t="s">
        <v>14408</v>
      </c>
      <c r="F2914" t="s">
        <v>7672</v>
      </c>
      <c r="G2914" t="s">
        <v>14409</v>
      </c>
      <c r="H2914" t="s">
        <v>11598</v>
      </c>
      <c r="I2914" t="s">
        <v>12216</v>
      </c>
      <c r="J2914" t="s">
        <v>8001</v>
      </c>
    </row>
    <row r="2915" spans="1:10" x14ac:dyDescent="0.25">
      <c r="A2915" t="s">
        <v>14442</v>
      </c>
      <c r="B2915">
        <v>13.992000000000001</v>
      </c>
      <c r="C2915" t="s">
        <v>14443</v>
      </c>
      <c r="D2915" t="s">
        <v>74</v>
      </c>
      <c r="E2915" t="s">
        <v>14408</v>
      </c>
      <c r="F2915" t="s">
        <v>7672</v>
      </c>
      <c r="G2915" t="s">
        <v>14409</v>
      </c>
      <c r="H2915" t="s">
        <v>11598</v>
      </c>
      <c r="I2915" t="s">
        <v>14410</v>
      </c>
      <c r="J2915" t="s">
        <v>8001</v>
      </c>
    </row>
    <row r="2916" spans="1:10" x14ac:dyDescent="0.25">
      <c r="A2916" t="s">
        <v>14444</v>
      </c>
      <c r="B2916">
        <v>13.992000000000001</v>
      </c>
      <c r="C2916" t="s">
        <v>14445</v>
      </c>
      <c r="D2916" t="s">
        <v>1710</v>
      </c>
      <c r="E2916" t="s">
        <v>14408</v>
      </c>
      <c r="F2916" t="s">
        <v>7672</v>
      </c>
      <c r="G2916" t="s">
        <v>14409</v>
      </c>
      <c r="H2916" t="s">
        <v>11598</v>
      </c>
      <c r="I2916" t="s">
        <v>14413</v>
      </c>
      <c r="J2916" t="s">
        <v>8001</v>
      </c>
    </row>
    <row r="2917" spans="1:10" x14ac:dyDescent="0.25">
      <c r="A2917" t="s">
        <v>14446</v>
      </c>
      <c r="B2917">
        <v>13.992000000000001</v>
      </c>
      <c r="C2917" t="s">
        <v>14447</v>
      </c>
      <c r="D2917" t="s">
        <v>11485</v>
      </c>
      <c r="E2917" t="s">
        <v>14408</v>
      </c>
      <c r="F2917" t="s">
        <v>7672</v>
      </c>
      <c r="G2917" t="s">
        <v>14409</v>
      </c>
      <c r="H2917" t="s">
        <v>11598</v>
      </c>
      <c r="I2917" t="s">
        <v>11206</v>
      </c>
      <c r="J2917" t="s">
        <v>8001</v>
      </c>
    </row>
    <row r="2918" spans="1:10" x14ac:dyDescent="0.25">
      <c r="A2918" t="s">
        <v>14448</v>
      </c>
      <c r="B2918">
        <v>13.992000000000001</v>
      </c>
      <c r="C2918" t="s">
        <v>14449</v>
      </c>
      <c r="D2918" t="s">
        <v>849</v>
      </c>
      <c r="E2918" t="s">
        <v>14408</v>
      </c>
      <c r="F2918" t="s">
        <v>7672</v>
      </c>
      <c r="G2918" t="s">
        <v>14409</v>
      </c>
      <c r="H2918" t="s">
        <v>11598</v>
      </c>
      <c r="I2918" t="s">
        <v>12216</v>
      </c>
      <c r="J2918" t="s">
        <v>8013</v>
      </c>
    </row>
    <row r="2919" spans="1:10" x14ac:dyDescent="0.25">
      <c r="A2919" t="s">
        <v>14450</v>
      </c>
      <c r="B2919">
        <v>13.992000000000001</v>
      </c>
      <c r="C2919" t="s">
        <v>14451</v>
      </c>
      <c r="D2919" t="s">
        <v>2787</v>
      </c>
      <c r="E2919" t="s">
        <v>14408</v>
      </c>
      <c r="F2919" t="s">
        <v>7672</v>
      </c>
      <c r="G2919" t="s">
        <v>14409</v>
      </c>
      <c r="H2919" t="s">
        <v>11598</v>
      </c>
      <c r="I2919" t="s">
        <v>14410</v>
      </c>
      <c r="J2919" t="s">
        <v>8013</v>
      </c>
    </row>
    <row r="2920" spans="1:10" x14ac:dyDescent="0.25">
      <c r="A2920" t="s">
        <v>14452</v>
      </c>
      <c r="B2920">
        <v>13.992000000000001</v>
      </c>
      <c r="C2920" t="s">
        <v>14453</v>
      </c>
      <c r="D2920" t="s">
        <v>2620</v>
      </c>
      <c r="E2920" t="s">
        <v>14408</v>
      </c>
      <c r="F2920" t="s">
        <v>7672</v>
      </c>
      <c r="G2920" t="s">
        <v>14409</v>
      </c>
      <c r="H2920" t="s">
        <v>11598</v>
      </c>
      <c r="I2920" t="s">
        <v>14413</v>
      </c>
      <c r="J2920" t="s">
        <v>8013</v>
      </c>
    </row>
    <row r="2921" spans="1:10" x14ac:dyDescent="0.25">
      <c r="A2921" t="s">
        <v>14454</v>
      </c>
      <c r="B2921">
        <v>13.992000000000001</v>
      </c>
      <c r="C2921" t="s">
        <v>14455</v>
      </c>
      <c r="D2921" t="s">
        <v>1644</v>
      </c>
      <c r="E2921" t="s">
        <v>14408</v>
      </c>
      <c r="F2921" t="s">
        <v>7672</v>
      </c>
      <c r="G2921" t="s">
        <v>14409</v>
      </c>
      <c r="H2921" t="s">
        <v>11598</v>
      </c>
      <c r="I2921" t="s">
        <v>11206</v>
      </c>
      <c r="J2921" t="s">
        <v>8013</v>
      </c>
    </row>
    <row r="2922" spans="1:10" x14ac:dyDescent="0.25">
      <c r="A2922" t="s">
        <v>14456</v>
      </c>
      <c r="B2922">
        <v>19.992000000000001</v>
      </c>
      <c r="C2922" t="s">
        <v>14457</v>
      </c>
      <c r="D2922" t="s">
        <v>588</v>
      </c>
      <c r="E2922" t="s">
        <v>14458</v>
      </c>
      <c r="F2922" t="s">
        <v>7672</v>
      </c>
      <c r="G2922" t="s">
        <v>14459</v>
      </c>
      <c r="H2922" t="s">
        <v>12137</v>
      </c>
      <c r="I2922" t="s">
        <v>14460</v>
      </c>
      <c r="J2922" t="s">
        <v>7966</v>
      </c>
    </row>
    <row r="2923" spans="1:10" x14ac:dyDescent="0.25">
      <c r="A2923" t="s">
        <v>14461</v>
      </c>
      <c r="B2923">
        <v>19.992000000000001</v>
      </c>
      <c r="C2923" t="s">
        <v>14462</v>
      </c>
      <c r="D2923" t="s">
        <v>926</v>
      </c>
      <c r="E2923" t="s">
        <v>14458</v>
      </c>
      <c r="F2923" t="s">
        <v>7672</v>
      </c>
      <c r="G2923" t="s">
        <v>14459</v>
      </c>
      <c r="H2923" t="s">
        <v>12137</v>
      </c>
      <c r="I2923" t="s">
        <v>14460</v>
      </c>
      <c r="J2923" t="s">
        <v>131</v>
      </c>
    </row>
    <row r="2924" spans="1:10" x14ac:dyDescent="0.25">
      <c r="A2924" t="s">
        <v>14463</v>
      </c>
      <c r="B2924">
        <v>19.992000000000001</v>
      </c>
      <c r="C2924" t="s">
        <v>14464</v>
      </c>
      <c r="D2924" t="s">
        <v>3184</v>
      </c>
      <c r="E2924" t="s">
        <v>14458</v>
      </c>
      <c r="F2924" t="s">
        <v>7672</v>
      </c>
      <c r="G2924" t="s">
        <v>14459</v>
      </c>
      <c r="H2924" t="s">
        <v>12137</v>
      </c>
      <c r="I2924" t="s">
        <v>14460</v>
      </c>
      <c r="J2924" t="s">
        <v>269</v>
      </c>
    </row>
    <row r="2925" spans="1:10" x14ac:dyDescent="0.25">
      <c r="A2925" t="s">
        <v>14465</v>
      </c>
      <c r="B2925">
        <v>19.992000000000001</v>
      </c>
      <c r="C2925" t="s">
        <v>14466</v>
      </c>
      <c r="D2925" t="s">
        <v>1852</v>
      </c>
      <c r="E2925" t="s">
        <v>14458</v>
      </c>
      <c r="F2925" t="s">
        <v>7672</v>
      </c>
      <c r="G2925" t="s">
        <v>14459</v>
      </c>
      <c r="H2925" t="s">
        <v>12137</v>
      </c>
      <c r="I2925" t="s">
        <v>14460</v>
      </c>
      <c r="J2925" t="s">
        <v>7968</v>
      </c>
    </row>
    <row r="2926" spans="1:10" x14ac:dyDescent="0.25">
      <c r="A2926" t="s">
        <v>14467</v>
      </c>
      <c r="B2926">
        <v>19.992000000000001</v>
      </c>
      <c r="C2926" t="s">
        <v>14468</v>
      </c>
      <c r="D2926" t="s">
        <v>296</v>
      </c>
      <c r="E2926" t="s">
        <v>14458</v>
      </c>
      <c r="F2926" t="s">
        <v>7672</v>
      </c>
      <c r="G2926" t="s">
        <v>14459</v>
      </c>
      <c r="H2926" t="s">
        <v>12137</v>
      </c>
      <c r="I2926" t="s">
        <v>14460</v>
      </c>
      <c r="J2926" t="s">
        <v>576</v>
      </c>
    </row>
    <row r="2927" spans="1:10" x14ac:dyDescent="0.25">
      <c r="A2927" t="s">
        <v>14469</v>
      </c>
      <c r="B2927">
        <v>19.992000000000001</v>
      </c>
      <c r="C2927" t="s">
        <v>14470</v>
      </c>
      <c r="D2927" t="s">
        <v>613</v>
      </c>
      <c r="E2927" t="s">
        <v>14458</v>
      </c>
      <c r="F2927" t="s">
        <v>7672</v>
      </c>
      <c r="G2927" t="s">
        <v>14459</v>
      </c>
      <c r="H2927" t="s">
        <v>12137</v>
      </c>
      <c r="I2927" t="s">
        <v>14460</v>
      </c>
      <c r="J2927" t="s">
        <v>7969</v>
      </c>
    </row>
    <row r="2928" spans="1:10" x14ac:dyDescent="0.25">
      <c r="A2928" t="s">
        <v>14471</v>
      </c>
      <c r="B2928">
        <v>19.992000000000001</v>
      </c>
      <c r="C2928" t="s">
        <v>14472</v>
      </c>
      <c r="D2928" t="s">
        <v>88</v>
      </c>
      <c r="E2928" t="s">
        <v>14458</v>
      </c>
      <c r="F2928" t="s">
        <v>7672</v>
      </c>
      <c r="G2928" t="s">
        <v>14459</v>
      </c>
      <c r="H2928" t="s">
        <v>12137</v>
      </c>
      <c r="I2928" t="s">
        <v>14460</v>
      </c>
      <c r="J2928" t="s">
        <v>255</v>
      </c>
    </row>
    <row r="2929" spans="1:10" x14ac:dyDescent="0.25">
      <c r="A2929" t="s">
        <v>14473</v>
      </c>
      <c r="B2929">
        <v>4.16</v>
      </c>
      <c r="C2929" t="s">
        <v>14474</v>
      </c>
      <c r="D2929" t="s">
        <v>342</v>
      </c>
      <c r="E2929" t="s">
        <v>14475</v>
      </c>
      <c r="F2929" t="s">
        <v>7672</v>
      </c>
      <c r="G2929" t="s">
        <v>14476</v>
      </c>
      <c r="H2929" t="s">
        <v>7674</v>
      </c>
      <c r="I2929" t="s">
        <v>1490</v>
      </c>
      <c r="J2929" t="s">
        <v>7981</v>
      </c>
    </row>
    <row r="2930" spans="1:10" x14ac:dyDescent="0.25">
      <c r="A2930" t="s">
        <v>14477</v>
      </c>
      <c r="B2930">
        <v>4.16</v>
      </c>
      <c r="C2930" t="s">
        <v>14478</v>
      </c>
      <c r="D2930" t="s">
        <v>342</v>
      </c>
      <c r="E2930" t="s">
        <v>14475</v>
      </c>
      <c r="F2930" t="s">
        <v>7672</v>
      </c>
      <c r="G2930" t="s">
        <v>14476</v>
      </c>
      <c r="H2930" t="s">
        <v>7674</v>
      </c>
      <c r="I2930" t="s">
        <v>11439</v>
      </c>
      <c r="J2930" t="s">
        <v>7981</v>
      </c>
    </row>
    <row r="2931" spans="1:10" x14ac:dyDescent="0.25">
      <c r="A2931" t="s">
        <v>14479</v>
      </c>
      <c r="B2931">
        <v>4.16</v>
      </c>
      <c r="C2931" t="s">
        <v>14480</v>
      </c>
      <c r="D2931" t="s">
        <v>781</v>
      </c>
      <c r="E2931" t="s">
        <v>14475</v>
      </c>
      <c r="F2931" t="s">
        <v>7672</v>
      </c>
      <c r="G2931" t="s">
        <v>14476</v>
      </c>
      <c r="H2931" t="s">
        <v>7674</v>
      </c>
      <c r="I2931" t="s">
        <v>11439</v>
      </c>
      <c r="J2931" t="s">
        <v>7984</v>
      </c>
    </row>
    <row r="2932" spans="1:10" x14ac:dyDescent="0.25">
      <c r="A2932" t="s">
        <v>14481</v>
      </c>
      <c r="B2932">
        <v>4.16</v>
      </c>
      <c r="C2932" t="s">
        <v>14482</v>
      </c>
      <c r="D2932" t="s">
        <v>2850</v>
      </c>
      <c r="E2932" t="s">
        <v>14475</v>
      </c>
      <c r="F2932" t="s">
        <v>7672</v>
      </c>
      <c r="G2932" t="s">
        <v>14476</v>
      </c>
      <c r="H2932" t="s">
        <v>7674</v>
      </c>
      <c r="I2932" t="s">
        <v>1490</v>
      </c>
      <c r="J2932" t="s">
        <v>7984</v>
      </c>
    </row>
    <row r="2933" spans="1:10" x14ac:dyDescent="0.25">
      <c r="A2933" t="s">
        <v>14483</v>
      </c>
      <c r="B2933">
        <v>4.16</v>
      </c>
      <c r="C2933" t="s">
        <v>14484</v>
      </c>
      <c r="D2933" t="s">
        <v>5283</v>
      </c>
      <c r="E2933" t="s">
        <v>14475</v>
      </c>
      <c r="F2933" t="s">
        <v>7672</v>
      </c>
      <c r="G2933" t="s">
        <v>14476</v>
      </c>
      <c r="H2933" t="s">
        <v>7674</v>
      </c>
      <c r="I2933" t="s">
        <v>11439</v>
      </c>
      <c r="J2933" t="s">
        <v>7987</v>
      </c>
    </row>
    <row r="2934" spans="1:10" x14ac:dyDescent="0.25">
      <c r="A2934" t="s">
        <v>14485</v>
      </c>
      <c r="B2934">
        <v>4.16</v>
      </c>
      <c r="C2934" t="s">
        <v>14486</v>
      </c>
      <c r="D2934" t="s">
        <v>14487</v>
      </c>
      <c r="E2934" t="s">
        <v>14475</v>
      </c>
      <c r="F2934" t="s">
        <v>7672</v>
      </c>
      <c r="G2934" t="s">
        <v>14476</v>
      </c>
      <c r="H2934" t="s">
        <v>7674</v>
      </c>
      <c r="I2934" t="s">
        <v>1490</v>
      </c>
      <c r="J2934" t="s">
        <v>7987</v>
      </c>
    </row>
    <row r="2935" spans="1:10" x14ac:dyDescent="0.25">
      <c r="A2935" t="s">
        <v>14488</v>
      </c>
      <c r="B2935">
        <v>4.16</v>
      </c>
      <c r="C2935" t="s">
        <v>14489</v>
      </c>
      <c r="D2935" t="s">
        <v>835</v>
      </c>
      <c r="E2935" t="s">
        <v>14475</v>
      </c>
      <c r="F2935" t="s">
        <v>7672</v>
      </c>
      <c r="G2935" t="s">
        <v>14476</v>
      </c>
      <c r="H2935" t="s">
        <v>7674</v>
      </c>
      <c r="I2935" t="s">
        <v>11439</v>
      </c>
      <c r="J2935" t="s">
        <v>8001</v>
      </c>
    </row>
    <row r="2936" spans="1:10" x14ac:dyDescent="0.25">
      <c r="A2936" t="s">
        <v>14490</v>
      </c>
      <c r="B2936">
        <v>4.16</v>
      </c>
      <c r="C2936" t="s">
        <v>14491</v>
      </c>
      <c r="D2936" t="s">
        <v>2347</v>
      </c>
      <c r="E2936" t="s">
        <v>14475</v>
      </c>
      <c r="F2936" t="s">
        <v>7672</v>
      </c>
      <c r="G2936" t="s">
        <v>14476</v>
      </c>
      <c r="H2936" t="s">
        <v>7674</v>
      </c>
      <c r="I2936" t="s">
        <v>1490</v>
      </c>
      <c r="J2936" t="s">
        <v>8001</v>
      </c>
    </row>
    <row r="2937" spans="1:10" x14ac:dyDescent="0.25">
      <c r="A2937" t="s">
        <v>14492</v>
      </c>
      <c r="B2937">
        <v>4.16</v>
      </c>
      <c r="C2937" t="s">
        <v>14493</v>
      </c>
      <c r="D2937" t="s">
        <v>3988</v>
      </c>
      <c r="E2937" t="s">
        <v>14475</v>
      </c>
      <c r="F2937" t="s">
        <v>7672</v>
      </c>
      <c r="G2937" t="s">
        <v>14476</v>
      </c>
      <c r="H2937" t="s">
        <v>7674</v>
      </c>
      <c r="I2937" t="s">
        <v>11439</v>
      </c>
      <c r="J2937" t="s">
        <v>8422</v>
      </c>
    </row>
    <row r="2938" spans="1:10" x14ac:dyDescent="0.25">
      <c r="A2938" t="s">
        <v>14494</v>
      </c>
      <c r="B2938">
        <v>4.16</v>
      </c>
      <c r="C2938" t="s">
        <v>14495</v>
      </c>
      <c r="D2938" t="s">
        <v>6155</v>
      </c>
      <c r="E2938" t="s">
        <v>14475</v>
      </c>
      <c r="F2938" t="s">
        <v>7672</v>
      </c>
      <c r="G2938" t="s">
        <v>14476</v>
      </c>
      <c r="H2938" t="s">
        <v>7674</v>
      </c>
      <c r="I2938" t="s">
        <v>1490</v>
      </c>
      <c r="J2938" t="s">
        <v>8422</v>
      </c>
    </row>
    <row r="2939" spans="1:10" x14ac:dyDescent="0.25">
      <c r="A2939" t="s">
        <v>14496</v>
      </c>
      <c r="B2939">
        <v>4.16</v>
      </c>
      <c r="C2939" t="s">
        <v>14497</v>
      </c>
      <c r="D2939" t="s">
        <v>2072</v>
      </c>
      <c r="E2939" t="s">
        <v>14475</v>
      </c>
      <c r="F2939" t="s">
        <v>7672</v>
      </c>
      <c r="G2939" t="s">
        <v>14476</v>
      </c>
      <c r="H2939" t="s">
        <v>7674</v>
      </c>
      <c r="I2939" t="s">
        <v>1490</v>
      </c>
      <c r="J2939" t="s">
        <v>11023</v>
      </c>
    </row>
    <row r="2940" spans="1:10" x14ac:dyDescent="0.25">
      <c r="A2940" t="s">
        <v>14498</v>
      </c>
      <c r="B2940">
        <v>4.16</v>
      </c>
      <c r="C2940" t="s">
        <v>14499</v>
      </c>
      <c r="D2940" t="s">
        <v>8164</v>
      </c>
      <c r="E2940" t="s">
        <v>14475</v>
      </c>
      <c r="F2940" t="s">
        <v>7672</v>
      </c>
      <c r="G2940" t="s">
        <v>14476</v>
      </c>
      <c r="H2940" t="s">
        <v>7674</v>
      </c>
      <c r="I2940" t="s">
        <v>11439</v>
      </c>
      <c r="J2940" t="s">
        <v>11023</v>
      </c>
    </row>
    <row r="2941" spans="1:10" x14ac:dyDescent="0.25">
      <c r="A2941" t="s">
        <v>14500</v>
      </c>
      <c r="B2941">
        <v>4.16</v>
      </c>
      <c r="C2941" t="s">
        <v>14501</v>
      </c>
      <c r="D2941" t="s">
        <v>598</v>
      </c>
      <c r="E2941" t="s">
        <v>14475</v>
      </c>
      <c r="F2941" t="s">
        <v>7672</v>
      </c>
      <c r="G2941" t="s">
        <v>14476</v>
      </c>
      <c r="H2941" t="s">
        <v>7674</v>
      </c>
      <c r="I2941" t="s">
        <v>11439</v>
      </c>
      <c r="J2941" t="s">
        <v>11030</v>
      </c>
    </row>
    <row r="2942" spans="1:10" x14ac:dyDescent="0.25">
      <c r="A2942" t="s">
        <v>14502</v>
      </c>
      <c r="B2942">
        <v>10</v>
      </c>
      <c r="C2942" t="s">
        <v>14503</v>
      </c>
      <c r="D2942" t="s">
        <v>1579</v>
      </c>
      <c r="E2942" t="s">
        <v>14504</v>
      </c>
      <c r="F2942" t="s">
        <v>7672</v>
      </c>
      <c r="G2942" t="s">
        <v>14505</v>
      </c>
      <c r="H2942" t="s">
        <v>8673</v>
      </c>
      <c r="I2942" t="s">
        <v>14506</v>
      </c>
      <c r="J2942" t="s">
        <v>7675</v>
      </c>
    </row>
    <row r="2943" spans="1:10" x14ac:dyDescent="0.25">
      <c r="A2943" t="s">
        <v>14507</v>
      </c>
      <c r="B2943">
        <v>10</v>
      </c>
      <c r="C2943" t="s">
        <v>14508</v>
      </c>
      <c r="D2943" t="s">
        <v>379</v>
      </c>
      <c r="E2943" t="s">
        <v>14504</v>
      </c>
      <c r="F2943" t="s">
        <v>7672</v>
      </c>
      <c r="G2943" t="s">
        <v>14505</v>
      </c>
      <c r="H2943" t="s">
        <v>8673</v>
      </c>
      <c r="I2943" t="s">
        <v>14509</v>
      </c>
      <c r="J2943" t="s">
        <v>7675</v>
      </c>
    </row>
    <row r="2944" spans="1:10" x14ac:dyDescent="0.25">
      <c r="A2944" t="s">
        <v>14510</v>
      </c>
      <c r="B2944">
        <v>10</v>
      </c>
      <c r="C2944" t="s">
        <v>14511</v>
      </c>
      <c r="D2944" t="s">
        <v>151</v>
      </c>
      <c r="E2944" t="s">
        <v>14504</v>
      </c>
      <c r="F2944" t="s">
        <v>7672</v>
      </c>
      <c r="G2944" t="s">
        <v>14505</v>
      </c>
      <c r="H2944" t="s">
        <v>8673</v>
      </c>
      <c r="I2944" t="s">
        <v>14506</v>
      </c>
      <c r="J2944" t="s">
        <v>7686</v>
      </c>
    </row>
    <row r="2945" spans="1:10" x14ac:dyDescent="0.25">
      <c r="A2945" t="s">
        <v>14512</v>
      </c>
      <c r="B2945">
        <v>10</v>
      </c>
      <c r="C2945" t="s">
        <v>14513</v>
      </c>
      <c r="D2945" t="s">
        <v>908</v>
      </c>
      <c r="E2945" t="s">
        <v>14504</v>
      </c>
      <c r="F2945" t="s">
        <v>7672</v>
      </c>
      <c r="G2945" t="s">
        <v>14505</v>
      </c>
      <c r="H2945" t="s">
        <v>8673</v>
      </c>
      <c r="I2945" t="s">
        <v>14509</v>
      </c>
      <c r="J2945" t="s">
        <v>7686</v>
      </c>
    </row>
    <row r="2946" spans="1:10" x14ac:dyDescent="0.25">
      <c r="A2946" t="s">
        <v>14514</v>
      </c>
      <c r="B2946">
        <v>10</v>
      </c>
      <c r="C2946" t="s">
        <v>14515</v>
      </c>
      <c r="D2946" t="s">
        <v>11257</v>
      </c>
      <c r="E2946" t="s">
        <v>14504</v>
      </c>
      <c r="F2946" t="s">
        <v>7672</v>
      </c>
      <c r="G2946" t="s">
        <v>14505</v>
      </c>
      <c r="H2946" t="s">
        <v>8673</v>
      </c>
      <c r="I2946" t="s">
        <v>14506</v>
      </c>
      <c r="J2946" t="s">
        <v>7703</v>
      </c>
    </row>
    <row r="2947" spans="1:10" x14ac:dyDescent="0.25">
      <c r="A2947" t="s">
        <v>14516</v>
      </c>
      <c r="B2947">
        <v>10</v>
      </c>
      <c r="C2947" t="s">
        <v>14517</v>
      </c>
      <c r="D2947" t="s">
        <v>8971</v>
      </c>
      <c r="E2947" t="s">
        <v>14504</v>
      </c>
      <c r="F2947" t="s">
        <v>7672</v>
      </c>
      <c r="G2947" t="s">
        <v>14505</v>
      </c>
      <c r="H2947" t="s">
        <v>8673</v>
      </c>
      <c r="I2947" t="s">
        <v>14509</v>
      </c>
      <c r="J2947" t="s">
        <v>7703</v>
      </c>
    </row>
    <row r="2948" spans="1:10" x14ac:dyDescent="0.25">
      <c r="A2948" t="s">
        <v>14518</v>
      </c>
      <c r="B2948">
        <v>10</v>
      </c>
      <c r="C2948" t="s">
        <v>14519</v>
      </c>
      <c r="D2948" t="s">
        <v>8111</v>
      </c>
      <c r="E2948" t="s">
        <v>14504</v>
      </c>
      <c r="F2948" t="s">
        <v>7672</v>
      </c>
      <c r="G2948" t="s">
        <v>14505</v>
      </c>
      <c r="H2948" t="s">
        <v>8673</v>
      </c>
      <c r="I2948" t="s">
        <v>14509</v>
      </c>
      <c r="J2948" t="s">
        <v>7713</v>
      </c>
    </row>
    <row r="2949" spans="1:10" x14ac:dyDescent="0.25">
      <c r="A2949" t="s">
        <v>14520</v>
      </c>
      <c r="B2949">
        <v>10</v>
      </c>
      <c r="C2949" t="s">
        <v>14521</v>
      </c>
      <c r="D2949" t="s">
        <v>10771</v>
      </c>
      <c r="E2949" t="s">
        <v>14504</v>
      </c>
      <c r="F2949" t="s">
        <v>7672</v>
      </c>
      <c r="G2949" t="s">
        <v>14505</v>
      </c>
      <c r="H2949" t="s">
        <v>8673</v>
      </c>
      <c r="I2949" t="s">
        <v>14506</v>
      </c>
      <c r="J2949" t="s">
        <v>7713</v>
      </c>
    </row>
    <row r="2950" spans="1:10" x14ac:dyDescent="0.25">
      <c r="A2950" t="s">
        <v>14522</v>
      </c>
      <c r="B2950">
        <v>10</v>
      </c>
      <c r="C2950" t="s">
        <v>14523</v>
      </c>
      <c r="D2950" t="s">
        <v>2879</v>
      </c>
      <c r="E2950" t="s">
        <v>14504</v>
      </c>
      <c r="F2950" t="s">
        <v>7672</v>
      </c>
      <c r="G2950" t="s">
        <v>14505</v>
      </c>
      <c r="H2950" t="s">
        <v>8673</v>
      </c>
      <c r="I2950" t="s">
        <v>9116</v>
      </c>
      <c r="J2950" t="s">
        <v>7719</v>
      </c>
    </row>
    <row r="2951" spans="1:10" x14ac:dyDescent="0.25">
      <c r="A2951" t="s">
        <v>14524</v>
      </c>
      <c r="B2951">
        <v>10</v>
      </c>
      <c r="C2951" t="s">
        <v>14525</v>
      </c>
      <c r="D2951" t="s">
        <v>8164</v>
      </c>
      <c r="E2951" t="s">
        <v>14504</v>
      </c>
      <c r="F2951" t="s">
        <v>7672</v>
      </c>
      <c r="G2951" t="s">
        <v>14505</v>
      </c>
      <c r="H2951" t="s">
        <v>8673</v>
      </c>
      <c r="I2951" t="s">
        <v>14509</v>
      </c>
      <c r="J2951" t="s">
        <v>7719</v>
      </c>
    </row>
    <row r="2952" spans="1:10" x14ac:dyDescent="0.25">
      <c r="A2952" t="s">
        <v>14526</v>
      </c>
      <c r="B2952">
        <v>10</v>
      </c>
      <c r="C2952" t="s">
        <v>14527</v>
      </c>
      <c r="D2952" t="s">
        <v>1893</v>
      </c>
      <c r="E2952" t="s">
        <v>14504</v>
      </c>
      <c r="F2952" t="s">
        <v>7672</v>
      </c>
      <c r="G2952" t="s">
        <v>14505</v>
      </c>
      <c r="H2952" t="s">
        <v>8673</v>
      </c>
      <c r="I2952" t="s">
        <v>14506</v>
      </c>
      <c r="J2952" t="s">
        <v>7719</v>
      </c>
    </row>
    <row r="2953" spans="1:10" x14ac:dyDescent="0.25">
      <c r="A2953" t="s">
        <v>14528</v>
      </c>
      <c r="B2953">
        <v>5.7200000000000006</v>
      </c>
      <c r="C2953" t="s">
        <v>14529</v>
      </c>
      <c r="D2953" t="s">
        <v>74</v>
      </c>
      <c r="E2953" t="s">
        <v>14530</v>
      </c>
      <c r="F2953" t="s">
        <v>7672</v>
      </c>
      <c r="G2953" t="s">
        <v>14531</v>
      </c>
      <c r="H2953" t="s">
        <v>8081</v>
      </c>
      <c r="I2953" t="s">
        <v>14532</v>
      </c>
      <c r="J2953" t="s">
        <v>7984</v>
      </c>
    </row>
    <row r="2954" spans="1:10" x14ac:dyDescent="0.25">
      <c r="A2954" t="s">
        <v>14533</v>
      </c>
      <c r="B2954">
        <v>5.7200000000000006</v>
      </c>
      <c r="C2954" t="s">
        <v>14534</v>
      </c>
      <c r="D2954" t="s">
        <v>5145</v>
      </c>
      <c r="E2954" t="s">
        <v>14530</v>
      </c>
      <c r="F2954" t="s">
        <v>7672</v>
      </c>
      <c r="G2954" t="s">
        <v>14531</v>
      </c>
      <c r="H2954" t="s">
        <v>8081</v>
      </c>
      <c r="I2954" t="s">
        <v>76</v>
      </c>
      <c r="J2954" t="s">
        <v>7987</v>
      </c>
    </row>
    <row r="2955" spans="1:10" x14ac:dyDescent="0.25">
      <c r="A2955" t="s">
        <v>14535</v>
      </c>
      <c r="B2955">
        <v>5.7200000000000006</v>
      </c>
      <c r="C2955" t="s">
        <v>14536</v>
      </c>
      <c r="D2955" t="s">
        <v>14537</v>
      </c>
      <c r="E2955" t="s">
        <v>14530</v>
      </c>
      <c r="F2955" t="s">
        <v>7672</v>
      </c>
      <c r="G2955" t="s">
        <v>14531</v>
      </c>
      <c r="H2955" t="s">
        <v>8081</v>
      </c>
      <c r="I2955" t="s">
        <v>14538</v>
      </c>
      <c r="J2955" t="s">
        <v>7987</v>
      </c>
    </row>
    <row r="2956" spans="1:10" x14ac:dyDescent="0.25">
      <c r="A2956" t="s">
        <v>14539</v>
      </c>
      <c r="B2956">
        <v>5.7200000000000006</v>
      </c>
      <c r="C2956" t="s">
        <v>14540</v>
      </c>
      <c r="D2956" t="s">
        <v>8527</v>
      </c>
      <c r="E2956" t="s">
        <v>14530</v>
      </c>
      <c r="F2956" t="s">
        <v>7672</v>
      </c>
      <c r="G2956" t="s">
        <v>14531</v>
      </c>
      <c r="H2956" t="s">
        <v>8081</v>
      </c>
      <c r="I2956" t="s">
        <v>14532</v>
      </c>
      <c r="J2956" t="s">
        <v>7987</v>
      </c>
    </row>
    <row r="2957" spans="1:10" x14ac:dyDescent="0.25">
      <c r="A2957" t="s">
        <v>14541</v>
      </c>
      <c r="B2957">
        <v>5.7200000000000006</v>
      </c>
      <c r="C2957" t="s">
        <v>14542</v>
      </c>
      <c r="D2957" t="s">
        <v>1644</v>
      </c>
      <c r="E2957" t="s">
        <v>14530</v>
      </c>
      <c r="F2957" t="s">
        <v>7672</v>
      </c>
      <c r="G2957" t="s">
        <v>14531</v>
      </c>
      <c r="H2957" t="s">
        <v>8081</v>
      </c>
      <c r="I2957" t="s">
        <v>76</v>
      </c>
      <c r="J2957" t="s">
        <v>8001</v>
      </c>
    </row>
    <row r="2958" spans="1:10" x14ac:dyDescent="0.25">
      <c r="A2958" t="s">
        <v>14543</v>
      </c>
      <c r="B2958">
        <v>5.7200000000000006</v>
      </c>
      <c r="C2958" t="s">
        <v>14544</v>
      </c>
      <c r="D2958" t="s">
        <v>416</v>
      </c>
      <c r="E2958" t="s">
        <v>14530</v>
      </c>
      <c r="F2958" t="s">
        <v>7672</v>
      </c>
      <c r="G2958" t="s">
        <v>14531</v>
      </c>
      <c r="H2958" t="s">
        <v>8081</v>
      </c>
      <c r="I2958" t="s">
        <v>14538</v>
      </c>
      <c r="J2958" t="s">
        <v>8001</v>
      </c>
    </row>
    <row r="2959" spans="1:10" x14ac:dyDescent="0.25">
      <c r="A2959" t="s">
        <v>14545</v>
      </c>
      <c r="B2959">
        <v>5.7200000000000006</v>
      </c>
      <c r="C2959" t="s">
        <v>14546</v>
      </c>
      <c r="D2959" t="s">
        <v>8010</v>
      </c>
      <c r="E2959" t="s">
        <v>14530</v>
      </c>
      <c r="F2959" t="s">
        <v>7672</v>
      </c>
      <c r="G2959" t="s">
        <v>14531</v>
      </c>
      <c r="H2959" t="s">
        <v>8081</v>
      </c>
      <c r="I2959" t="s">
        <v>14532</v>
      </c>
      <c r="J2959" t="s">
        <v>8001</v>
      </c>
    </row>
    <row r="2960" spans="1:10" x14ac:dyDescent="0.25">
      <c r="A2960" t="s">
        <v>14547</v>
      </c>
      <c r="B2960">
        <v>6.6000000000000014</v>
      </c>
      <c r="C2960" t="s">
        <v>14548</v>
      </c>
      <c r="D2960" t="s">
        <v>164</v>
      </c>
      <c r="E2960" t="s">
        <v>14549</v>
      </c>
      <c r="F2960" t="s">
        <v>7672</v>
      </c>
      <c r="G2960" t="s">
        <v>14550</v>
      </c>
      <c r="H2960" t="s">
        <v>11622</v>
      </c>
      <c r="I2960" t="s">
        <v>14551</v>
      </c>
      <c r="J2960" t="s">
        <v>7675</v>
      </c>
    </row>
    <row r="2961" spans="1:10" x14ac:dyDescent="0.25">
      <c r="A2961" t="s">
        <v>14552</v>
      </c>
      <c r="B2961">
        <v>6.6000000000000014</v>
      </c>
      <c r="C2961" t="s">
        <v>14553</v>
      </c>
      <c r="D2961" t="s">
        <v>582</v>
      </c>
      <c r="E2961" t="s">
        <v>14549</v>
      </c>
      <c r="F2961" t="s">
        <v>7672</v>
      </c>
      <c r="G2961" t="s">
        <v>14550</v>
      </c>
      <c r="H2961" t="s">
        <v>11622</v>
      </c>
      <c r="I2961" t="s">
        <v>9116</v>
      </c>
      <c r="J2961" t="s">
        <v>7675</v>
      </c>
    </row>
    <row r="2962" spans="1:10" x14ac:dyDescent="0.25">
      <c r="A2962" t="s">
        <v>14554</v>
      </c>
      <c r="B2962">
        <v>6.6000000000000014</v>
      </c>
      <c r="C2962" t="s">
        <v>14555</v>
      </c>
      <c r="D2962" t="s">
        <v>1097</v>
      </c>
      <c r="E2962" t="s">
        <v>14549</v>
      </c>
      <c r="F2962" t="s">
        <v>7672</v>
      </c>
      <c r="G2962" t="s">
        <v>14550</v>
      </c>
      <c r="H2962" t="s">
        <v>11622</v>
      </c>
      <c r="I2962" t="s">
        <v>278</v>
      </c>
      <c r="J2962" t="s">
        <v>7675</v>
      </c>
    </row>
    <row r="2963" spans="1:10" x14ac:dyDescent="0.25">
      <c r="A2963" t="s">
        <v>14556</v>
      </c>
      <c r="B2963">
        <v>6.6000000000000014</v>
      </c>
      <c r="C2963" t="s">
        <v>14557</v>
      </c>
      <c r="D2963" t="s">
        <v>240</v>
      </c>
      <c r="E2963" t="s">
        <v>14549</v>
      </c>
      <c r="F2963" t="s">
        <v>7672</v>
      </c>
      <c r="G2963" t="s">
        <v>14550</v>
      </c>
      <c r="H2963" t="s">
        <v>11622</v>
      </c>
      <c r="I2963" t="s">
        <v>14558</v>
      </c>
      <c r="J2963" t="s">
        <v>7675</v>
      </c>
    </row>
    <row r="2964" spans="1:10" x14ac:dyDescent="0.25">
      <c r="A2964" t="s">
        <v>14559</v>
      </c>
      <c r="B2964">
        <v>6.6000000000000014</v>
      </c>
      <c r="C2964" t="s">
        <v>14560</v>
      </c>
      <c r="D2964" t="s">
        <v>250</v>
      </c>
      <c r="E2964" t="s">
        <v>14549</v>
      </c>
      <c r="F2964" t="s">
        <v>7672</v>
      </c>
      <c r="G2964" t="s">
        <v>14550</v>
      </c>
      <c r="H2964" t="s">
        <v>11622</v>
      </c>
      <c r="I2964" t="s">
        <v>14561</v>
      </c>
      <c r="J2964" t="s">
        <v>7675</v>
      </c>
    </row>
    <row r="2965" spans="1:10" x14ac:dyDescent="0.25">
      <c r="A2965" t="s">
        <v>14562</v>
      </c>
      <c r="B2965">
        <v>6.6000000000000014</v>
      </c>
      <c r="C2965" t="s">
        <v>14563</v>
      </c>
      <c r="D2965" t="s">
        <v>698</v>
      </c>
      <c r="E2965" t="s">
        <v>14549</v>
      </c>
      <c r="F2965" t="s">
        <v>7672</v>
      </c>
      <c r="G2965" t="s">
        <v>14550</v>
      </c>
      <c r="H2965" t="s">
        <v>11622</v>
      </c>
      <c r="I2965" t="s">
        <v>278</v>
      </c>
      <c r="J2965" t="s">
        <v>7686</v>
      </c>
    </row>
    <row r="2966" spans="1:10" x14ac:dyDescent="0.25">
      <c r="A2966" t="s">
        <v>14564</v>
      </c>
      <c r="B2966">
        <v>6.6000000000000014</v>
      </c>
      <c r="C2966" t="s">
        <v>14565</v>
      </c>
      <c r="D2966" t="s">
        <v>1621</v>
      </c>
      <c r="E2966" t="s">
        <v>14549</v>
      </c>
      <c r="F2966" t="s">
        <v>7672</v>
      </c>
      <c r="G2966" t="s">
        <v>14550</v>
      </c>
      <c r="H2966" t="s">
        <v>11622</v>
      </c>
      <c r="I2966" t="s">
        <v>14561</v>
      </c>
      <c r="J2966" t="s">
        <v>7686</v>
      </c>
    </row>
    <row r="2967" spans="1:10" x14ac:dyDescent="0.25">
      <c r="A2967" t="s">
        <v>14566</v>
      </c>
      <c r="B2967">
        <v>6.6000000000000014</v>
      </c>
      <c r="C2967" t="s">
        <v>14567</v>
      </c>
      <c r="D2967" t="s">
        <v>240</v>
      </c>
      <c r="E2967" t="s">
        <v>14549</v>
      </c>
      <c r="F2967" t="s">
        <v>7672</v>
      </c>
      <c r="G2967" t="s">
        <v>14550</v>
      </c>
      <c r="H2967" t="s">
        <v>11622</v>
      </c>
      <c r="I2967" t="s">
        <v>9116</v>
      </c>
      <c r="J2967" t="s">
        <v>7686</v>
      </c>
    </row>
    <row r="2968" spans="1:10" x14ac:dyDescent="0.25">
      <c r="A2968" t="s">
        <v>14568</v>
      </c>
      <c r="B2968">
        <v>6.6000000000000014</v>
      </c>
      <c r="C2968" t="s">
        <v>14569</v>
      </c>
      <c r="D2968" t="s">
        <v>385</v>
      </c>
      <c r="E2968" t="s">
        <v>14549</v>
      </c>
      <c r="F2968" t="s">
        <v>7672</v>
      </c>
      <c r="G2968" t="s">
        <v>14550</v>
      </c>
      <c r="H2968" t="s">
        <v>11622</v>
      </c>
      <c r="I2968" t="s">
        <v>278</v>
      </c>
      <c r="J2968" t="s">
        <v>7703</v>
      </c>
    </row>
    <row r="2969" spans="1:10" x14ac:dyDescent="0.25">
      <c r="A2969" t="s">
        <v>14570</v>
      </c>
      <c r="B2969">
        <v>6.6000000000000014</v>
      </c>
      <c r="C2969" t="s">
        <v>14571</v>
      </c>
      <c r="D2969" t="s">
        <v>106</v>
      </c>
      <c r="E2969" t="s">
        <v>14549</v>
      </c>
      <c r="F2969" t="s">
        <v>7672</v>
      </c>
      <c r="G2969" t="s">
        <v>14550</v>
      </c>
      <c r="H2969" t="s">
        <v>11622</v>
      </c>
      <c r="I2969" t="s">
        <v>14561</v>
      </c>
      <c r="J2969" t="s">
        <v>7703</v>
      </c>
    </row>
    <row r="2970" spans="1:10" x14ac:dyDescent="0.25">
      <c r="A2970" t="s">
        <v>14572</v>
      </c>
      <c r="B2970">
        <v>6.6000000000000014</v>
      </c>
      <c r="C2970" t="s">
        <v>14573</v>
      </c>
      <c r="D2970" t="s">
        <v>60</v>
      </c>
      <c r="E2970" t="s">
        <v>14549</v>
      </c>
      <c r="F2970" t="s">
        <v>7672</v>
      </c>
      <c r="G2970" t="s">
        <v>14550</v>
      </c>
      <c r="H2970" t="s">
        <v>11622</v>
      </c>
      <c r="I2970" t="s">
        <v>9116</v>
      </c>
      <c r="J2970" t="s">
        <v>7703</v>
      </c>
    </row>
    <row r="2971" spans="1:10" x14ac:dyDescent="0.25">
      <c r="A2971" t="s">
        <v>14574</v>
      </c>
      <c r="B2971">
        <v>6.6000000000000014</v>
      </c>
      <c r="C2971" t="s">
        <v>14575</v>
      </c>
      <c r="D2971" t="s">
        <v>95</v>
      </c>
      <c r="E2971" t="s">
        <v>14549</v>
      </c>
      <c r="F2971" t="s">
        <v>7672</v>
      </c>
      <c r="G2971" t="s">
        <v>14550</v>
      </c>
      <c r="H2971" t="s">
        <v>11622</v>
      </c>
      <c r="I2971" t="s">
        <v>278</v>
      </c>
      <c r="J2971" t="s">
        <v>7713</v>
      </c>
    </row>
    <row r="2972" spans="1:10" x14ac:dyDescent="0.25">
      <c r="A2972" t="s">
        <v>3366</v>
      </c>
      <c r="B2972">
        <v>15.6</v>
      </c>
      <c r="C2972" t="s">
        <v>3368</v>
      </c>
      <c r="D2972" t="s">
        <v>53</v>
      </c>
      <c r="E2972" t="s">
        <v>3369</v>
      </c>
      <c r="F2972" t="s">
        <v>7672</v>
      </c>
      <c r="G2972" t="s">
        <v>14576</v>
      </c>
      <c r="H2972" t="s">
        <v>7954</v>
      </c>
      <c r="I2972" t="s">
        <v>14577</v>
      </c>
      <c r="J2972" t="s">
        <v>106</v>
      </c>
    </row>
    <row r="2973" spans="1:10" x14ac:dyDescent="0.25">
      <c r="A2973" t="s">
        <v>14578</v>
      </c>
      <c r="B2973">
        <v>12.592000000000001</v>
      </c>
      <c r="C2973" t="s">
        <v>14579</v>
      </c>
      <c r="D2973" t="s">
        <v>959</v>
      </c>
      <c r="E2973" t="s">
        <v>14580</v>
      </c>
      <c r="F2973" t="s">
        <v>7672</v>
      </c>
      <c r="G2973" t="s">
        <v>14581</v>
      </c>
      <c r="H2973" t="s">
        <v>7674</v>
      </c>
      <c r="I2973" t="s">
        <v>76</v>
      </c>
      <c r="J2973" t="s">
        <v>106</v>
      </c>
    </row>
    <row r="2974" spans="1:10" x14ac:dyDescent="0.25">
      <c r="A2974" t="s">
        <v>14582</v>
      </c>
      <c r="B2974">
        <v>12.592000000000001</v>
      </c>
      <c r="C2974" t="s">
        <v>14583</v>
      </c>
      <c r="D2974" t="s">
        <v>3184</v>
      </c>
      <c r="E2974" t="s">
        <v>14580</v>
      </c>
      <c r="F2974" t="s">
        <v>7672</v>
      </c>
      <c r="G2974" t="s">
        <v>14581</v>
      </c>
      <c r="H2974" t="s">
        <v>7674</v>
      </c>
      <c r="I2974" t="s">
        <v>14584</v>
      </c>
      <c r="J2974" t="s">
        <v>106</v>
      </c>
    </row>
    <row r="2975" spans="1:10" x14ac:dyDescent="0.25">
      <c r="A2975" t="s">
        <v>14585</v>
      </c>
      <c r="B2975">
        <v>12.592000000000001</v>
      </c>
      <c r="C2975" t="s">
        <v>14586</v>
      </c>
      <c r="D2975" t="s">
        <v>2253</v>
      </c>
      <c r="E2975" t="s">
        <v>14580</v>
      </c>
      <c r="F2975" t="s">
        <v>7672</v>
      </c>
      <c r="G2975" t="s">
        <v>14581</v>
      </c>
      <c r="H2975" t="s">
        <v>7674</v>
      </c>
      <c r="I2975" t="s">
        <v>14584</v>
      </c>
      <c r="J2975" t="s">
        <v>11421</v>
      </c>
    </row>
    <row r="2976" spans="1:10" x14ac:dyDescent="0.25">
      <c r="A2976" t="s">
        <v>14587</v>
      </c>
      <c r="B2976">
        <v>12.592000000000001</v>
      </c>
      <c r="C2976" t="s">
        <v>14588</v>
      </c>
      <c r="D2976" t="s">
        <v>3577</v>
      </c>
      <c r="E2976" t="s">
        <v>14580</v>
      </c>
      <c r="F2976" t="s">
        <v>7672</v>
      </c>
      <c r="G2976" t="s">
        <v>14581</v>
      </c>
      <c r="H2976" t="s">
        <v>7674</v>
      </c>
      <c r="I2976" t="s">
        <v>11508</v>
      </c>
      <c r="J2976" t="s">
        <v>88</v>
      </c>
    </row>
    <row r="2977" spans="1:10" x14ac:dyDescent="0.25">
      <c r="A2977" t="s">
        <v>14589</v>
      </c>
      <c r="B2977">
        <v>12.592000000000001</v>
      </c>
      <c r="C2977" t="s">
        <v>14590</v>
      </c>
      <c r="D2977" t="s">
        <v>2036</v>
      </c>
      <c r="E2977" t="s">
        <v>14580</v>
      </c>
      <c r="F2977" t="s">
        <v>7672</v>
      </c>
      <c r="G2977" t="s">
        <v>14581</v>
      </c>
      <c r="H2977" t="s">
        <v>7674</v>
      </c>
      <c r="I2977" t="s">
        <v>76</v>
      </c>
      <c r="J2977" t="s">
        <v>88</v>
      </c>
    </row>
    <row r="2978" spans="1:10" x14ac:dyDescent="0.25">
      <c r="A2978" t="s">
        <v>14591</v>
      </c>
      <c r="B2978">
        <v>12.592000000000001</v>
      </c>
      <c r="C2978" t="s">
        <v>14592</v>
      </c>
      <c r="D2978" t="s">
        <v>46</v>
      </c>
      <c r="E2978" t="s">
        <v>14580</v>
      </c>
      <c r="F2978" t="s">
        <v>7672</v>
      </c>
      <c r="G2978" t="s">
        <v>14581</v>
      </c>
      <c r="H2978" t="s">
        <v>7674</v>
      </c>
      <c r="I2978" t="s">
        <v>14584</v>
      </c>
      <c r="J2978" t="s">
        <v>88</v>
      </c>
    </row>
    <row r="2979" spans="1:10" x14ac:dyDescent="0.25">
      <c r="A2979" t="s">
        <v>14593</v>
      </c>
      <c r="B2979">
        <v>12.592000000000001</v>
      </c>
      <c r="C2979" t="s">
        <v>14594</v>
      </c>
      <c r="D2979" t="s">
        <v>4141</v>
      </c>
      <c r="E2979" t="s">
        <v>14580</v>
      </c>
      <c r="F2979" t="s">
        <v>7672</v>
      </c>
      <c r="G2979" t="s">
        <v>14581</v>
      </c>
      <c r="H2979" t="s">
        <v>7674</v>
      </c>
      <c r="I2979" t="s">
        <v>14584</v>
      </c>
      <c r="J2979" t="s">
        <v>7966</v>
      </c>
    </row>
    <row r="2980" spans="1:10" x14ac:dyDescent="0.25">
      <c r="A2980" t="s">
        <v>14595</v>
      </c>
      <c r="B2980">
        <v>12.592000000000001</v>
      </c>
      <c r="C2980" t="s">
        <v>14596</v>
      </c>
      <c r="D2980" t="s">
        <v>2078</v>
      </c>
      <c r="E2980" t="s">
        <v>14580</v>
      </c>
      <c r="F2980" t="s">
        <v>7672</v>
      </c>
      <c r="G2980" t="s">
        <v>14581</v>
      </c>
      <c r="H2980" t="s">
        <v>7674</v>
      </c>
      <c r="I2980" t="s">
        <v>11508</v>
      </c>
      <c r="J2980" t="s">
        <v>131</v>
      </c>
    </row>
    <row r="2981" spans="1:10" x14ac:dyDescent="0.25">
      <c r="A2981" t="s">
        <v>14597</v>
      </c>
      <c r="B2981">
        <v>12.592000000000001</v>
      </c>
      <c r="C2981" t="s">
        <v>14598</v>
      </c>
      <c r="D2981" t="s">
        <v>3944</v>
      </c>
      <c r="E2981" t="s">
        <v>14580</v>
      </c>
      <c r="F2981" t="s">
        <v>7672</v>
      </c>
      <c r="G2981" t="s">
        <v>14581</v>
      </c>
      <c r="H2981" t="s">
        <v>7674</v>
      </c>
      <c r="I2981" t="s">
        <v>76</v>
      </c>
      <c r="J2981" t="s">
        <v>131</v>
      </c>
    </row>
    <row r="2982" spans="1:10" x14ac:dyDescent="0.25">
      <c r="A2982" t="s">
        <v>14599</v>
      </c>
      <c r="B2982">
        <v>12.592000000000001</v>
      </c>
      <c r="C2982" t="s">
        <v>14600</v>
      </c>
      <c r="D2982" t="s">
        <v>9124</v>
      </c>
      <c r="E2982" t="s">
        <v>14580</v>
      </c>
      <c r="F2982" t="s">
        <v>7672</v>
      </c>
      <c r="G2982" t="s">
        <v>14581</v>
      </c>
      <c r="H2982" t="s">
        <v>7674</v>
      </c>
      <c r="I2982" t="s">
        <v>14584</v>
      </c>
      <c r="J2982" t="s">
        <v>131</v>
      </c>
    </row>
    <row r="2983" spans="1:10" x14ac:dyDescent="0.25">
      <c r="A2983" t="s">
        <v>14601</v>
      </c>
      <c r="B2983">
        <v>12.592000000000001</v>
      </c>
      <c r="C2983" t="s">
        <v>14602</v>
      </c>
      <c r="D2983" t="s">
        <v>277</v>
      </c>
      <c r="E2983" t="s">
        <v>14580</v>
      </c>
      <c r="F2983" t="s">
        <v>7672</v>
      </c>
      <c r="G2983" t="s">
        <v>14581</v>
      </c>
      <c r="H2983" t="s">
        <v>7674</v>
      </c>
      <c r="I2983" t="s">
        <v>11508</v>
      </c>
      <c r="J2983" t="s">
        <v>7967</v>
      </c>
    </row>
    <row r="2984" spans="1:10" x14ac:dyDescent="0.25">
      <c r="A2984" t="s">
        <v>14603</v>
      </c>
      <c r="B2984">
        <v>12.592000000000001</v>
      </c>
      <c r="C2984" t="s">
        <v>14604</v>
      </c>
      <c r="D2984" t="s">
        <v>3850</v>
      </c>
      <c r="E2984" t="s">
        <v>14580</v>
      </c>
      <c r="F2984" t="s">
        <v>7672</v>
      </c>
      <c r="G2984" t="s">
        <v>14581</v>
      </c>
      <c r="H2984" t="s">
        <v>7674</v>
      </c>
      <c r="I2984" t="s">
        <v>14584</v>
      </c>
      <c r="J2984" t="s">
        <v>7967</v>
      </c>
    </row>
    <row r="2985" spans="1:10" x14ac:dyDescent="0.25">
      <c r="A2985" t="s">
        <v>14605</v>
      </c>
      <c r="B2985">
        <v>12.592000000000001</v>
      </c>
      <c r="C2985" t="s">
        <v>14606</v>
      </c>
      <c r="D2985" t="s">
        <v>3827</v>
      </c>
      <c r="E2985" t="s">
        <v>14580</v>
      </c>
      <c r="F2985" t="s">
        <v>7672</v>
      </c>
      <c r="G2985" t="s">
        <v>14581</v>
      </c>
      <c r="H2985" t="s">
        <v>7674</v>
      </c>
      <c r="I2985" t="s">
        <v>11508</v>
      </c>
      <c r="J2985" t="s">
        <v>269</v>
      </c>
    </row>
    <row r="2986" spans="1:10" x14ac:dyDescent="0.25">
      <c r="A2986" t="s">
        <v>14607</v>
      </c>
      <c r="B2986">
        <v>12.592000000000001</v>
      </c>
      <c r="C2986" t="s">
        <v>14608</v>
      </c>
      <c r="D2986" t="s">
        <v>8111</v>
      </c>
      <c r="E2986" t="s">
        <v>14580</v>
      </c>
      <c r="F2986" t="s">
        <v>7672</v>
      </c>
      <c r="G2986" t="s">
        <v>14581</v>
      </c>
      <c r="H2986" t="s">
        <v>7674</v>
      </c>
      <c r="I2986" t="s">
        <v>76</v>
      </c>
      <c r="J2986" t="s">
        <v>269</v>
      </c>
    </row>
    <row r="2987" spans="1:10" x14ac:dyDescent="0.25">
      <c r="A2987" t="s">
        <v>14609</v>
      </c>
      <c r="B2987">
        <v>12.592000000000001</v>
      </c>
      <c r="C2987" t="s">
        <v>14610</v>
      </c>
      <c r="D2987" t="s">
        <v>9509</v>
      </c>
      <c r="E2987" t="s">
        <v>14580</v>
      </c>
      <c r="F2987" t="s">
        <v>7672</v>
      </c>
      <c r="G2987" t="s">
        <v>14581</v>
      </c>
      <c r="H2987" t="s">
        <v>7674</v>
      </c>
      <c r="I2987" t="s">
        <v>14584</v>
      </c>
      <c r="J2987" t="s">
        <v>269</v>
      </c>
    </row>
    <row r="2988" spans="1:10" x14ac:dyDescent="0.25">
      <c r="A2988" t="s">
        <v>14611</v>
      </c>
      <c r="B2988">
        <v>12.592000000000001</v>
      </c>
      <c r="C2988" t="s">
        <v>14612</v>
      </c>
      <c r="D2988" t="s">
        <v>352</v>
      </c>
      <c r="E2988" t="s">
        <v>14580</v>
      </c>
      <c r="F2988" t="s">
        <v>7672</v>
      </c>
      <c r="G2988" t="s">
        <v>14581</v>
      </c>
      <c r="H2988" t="s">
        <v>7674</v>
      </c>
      <c r="I2988" t="s">
        <v>76</v>
      </c>
      <c r="J2988" t="s">
        <v>7968</v>
      </c>
    </row>
    <row r="2989" spans="1:10" x14ac:dyDescent="0.25">
      <c r="A2989" t="s">
        <v>14613</v>
      </c>
      <c r="B2989">
        <v>12.592000000000001</v>
      </c>
      <c r="C2989" t="s">
        <v>14614</v>
      </c>
      <c r="D2989" t="s">
        <v>3665</v>
      </c>
      <c r="E2989" t="s">
        <v>14580</v>
      </c>
      <c r="F2989" t="s">
        <v>7672</v>
      </c>
      <c r="G2989" t="s">
        <v>14581</v>
      </c>
      <c r="H2989" t="s">
        <v>7674</v>
      </c>
      <c r="I2989" t="s">
        <v>14584</v>
      </c>
      <c r="J2989" t="s">
        <v>7968</v>
      </c>
    </row>
    <row r="2990" spans="1:10" x14ac:dyDescent="0.25">
      <c r="A2990" t="s">
        <v>14615</v>
      </c>
      <c r="B2990">
        <v>12.592000000000001</v>
      </c>
      <c r="C2990" t="s">
        <v>14616</v>
      </c>
      <c r="D2990" t="s">
        <v>3289</v>
      </c>
      <c r="E2990" t="s">
        <v>14580</v>
      </c>
      <c r="F2990" t="s">
        <v>7672</v>
      </c>
      <c r="G2990" t="s">
        <v>14581</v>
      </c>
      <c r="H2990" t="s">
        <v>7674</v>
      </c>
      <c r="I2990" t="s">
        <v>11508</v>
      </c>
      <c r="J2990" t="s">
        <v>576</v>
      </c>
    </row>
    <row r="2991" spans="1:10" x14ac:dyDescent="0.25">
      <c r="A2991" t="s">
        <v>14617</v>
      </c>
      <c r="B2991">
        <v>12.592000000000001</v>
      </c>
      <c r="C2991" t="s">
        <v>14618</v>
      </c>
      <c r="D2991" t="s">
        <v>11566</v>
      </c>
      <c r="E2991" t="s">
        <v>14580</v>
      </c>
      <c r="F2991" t="s">
        <v>7672</v>
      </c>
      <c r="G2991" t="s">
        <v>14581</v>
      </c>
      <c r="H2991" t="s">
        <v>7674</v>
      </c>
      <c r="I2991" t="s">
        <v>76</v>
      </c>
      <c r="J2991" t="s">
        <v>576</v>
      </c>
    </row>
    <row r="2992" spans="1:10" x14ac:dyDescent="0.25">
      <c r="A2992" t="s">
        <v>14619</v>
      </c>
      <c r="B2992">
        <v>12.592000000000001</v>
      </c>
      <c r="C2992" t="s">
        <v>14620</v>
      </c>
      <c r="D2992" t="s">
        <v>11239</v>
      </c>
      <c r="E2992" t="s">
        <v>14580</v>
      </c>
      <c r="F2992" t="s">
        <v>7672</v>
      </c>
      <c r="G2992" t="s">
        <v>14581</v>
      </c>
      <c r="H2992" t="s">
        <v>7674</v>
      </c>
      <c r="I2992" t="s">
        <v>14584</v>
      </c>
      <c r="J2992" t="s">
        <v>576</v>
      </c>
    </row>
    <row r="2993" spans="1:10" x14ac:dyDescent="0.25">
      <c r="A2993" t="s">
        <v>14621</v>
      </c>
      <c r="B2993">
        <v>12.592000000000001</v>
      </c>
      <c r="C2993" t="s">
        <v>14622</v>
      </c>
      <c r="D2993" t="s">
        <v>2910</v>
      </c>
      <c r="E2993" t="s">
        <v>14580</v>
      </c>
      <c r="F2993" t="s">
        <v>7672</v>
      </c>
      <c r="G2993" t="s">
        <v>14581</v>
      </c>
      <c r="H2993" t="s">
        <v>7674</v>
      </c>
      <c r="I2993" t="s">
        <v>11508</v>
      </c>
      <c r="J2993" t="s">
        <v>7969</v>
      </c>
    </row>
    <row r="2994" spans="1:10" x14ac:dyDescent="0.25">
      <c r="A2994" t="s">
        <v>14623</v>
      </c>
      <c r="B2994">
        <v>12.592000000000001</v>
      </c>
      <c r="C2994" t="s">
        <v>14624</v>
      </c>
      <c r="D2994" t="s">
        <v>359</v>
      </c>
      <c r="E2994" t="s">
        <v>14580</v>
      </c>
      <c r="F2994" t="s">
        <v>7672</v>
      </c>
      <c r="G2994" t="s">
        <v>14581</v>
      </c>
      <c r="H2994" t="s">
        <v>7674</v>
      </c>
      <c r="I2994" t="s">
        <v>76</v>
      </c>
      <c r="J2994" t="s">
        <v>7969</v>
      </c>
    </row>
    <row r="2995" spans="1:10" x14ac:dyDescent="0.25">
      <c r="A2995" t="s">
        <v>14625</v>
      </c>
      <c r="B2995">
        <v>12.592000000000001</v>
      </c>
      <c r="C2995" t="s">
        <v>14626</v>
      </c>
      <c r="D2995" t="s">
        <v>3289</v>
      </c>
      <c r="E2995" t="s">
        <v>14580</v>
      </c>
      <c r="F2995" t="s">
        <v>7672</v>
      </c>
      <c r="G2995" t="s">
        <v>14581</v>
      </c>
      <c r="H2995" t="s">
        <v>7674</v>
      </c>
      <c r="I2995" t="s">
        <v>14584</v>
      </c>
      <c r="J2995" t="s">
        <v>7969</v>
      </c>
    </row>
    <row r="2996" spans="1:10" x14ac:dyDescent="0.25">
      <c r="A2996" t="s">
        <v>14627</v>
      </c>
      <c r="B2996">
        <v>12.592000000000001</v>
      </c>
      <c r="C2996" t="s">
        <v>14628</v>
      </c>
      <c r="D2996" t="s">
        <v>1573</v>
      </c>
      <c r="E2996" t="s">
        <v>14580</v>
      </c>
      <c r="F2996" t="s">
        <v>7672</v>
      </c>
      <c r="G2996" t="s">
        <v>14581</v>
      </c>
      <c r="H2996" t="s">
        <v>7674</v>
      </c>
      <c r="I2996" t="s">
        <v>11508</v>
      </c>
      <c r="J2996" t="s">
        <v>255</v>
      </c>
    </row>
    <row r="2997" spans="1:10" x14ac:dyDescent="0.25">
      <c r="A2997" t="s">
        <v>14629</v>
      </c>
      <c r="B2997">
        <v>12.592000000000001</v>
      </c>
      <c r="C2997" t="s">
        <v>14630</v>
      </c>
      <c r="D2997" t="s">
        <v>2652</v>
      </c>
      <c r="E2997" t="s">
        <v>14580</v>
      </c>
      <c r="F2997" t="s">
        <v>7672</v>
      </c>
      <c r="G2997" t="s">
        <v>14581</v>
      </c>
      <c r="H2997" t="s">
        <v>7674</v>
      </c>
      <c r="I2997" t="s">
        <v>76</v>
      </c>
      <c r="J2997" t="s">
        <v>255</v>
      </c>
    </row>
    <row r="2998" spans="1:10" x14ac:dyDescent="0.25">
      <c r="A2998" t="s">
        <v>14631</v>
      </c>
      <c r="B2998">
        <v>12.592000000000001</v>
      </c>
      <c r="C2998" t="s">
        <v>14632</v>
      </c>
      <c r="D2998" t="s">
        <v>2001</v>
      </c>
      <c r="E2998" t="s">
        <v>14580</v>
      </c>
      <c r="F2998" t="s">
        <v>7672</v>
      </c>
      <c r="G2998" t="s">
        <v>14581</v>
      </c>
      <c r="H2998" t="s">
        <v>7674</v>
      </c>
      <c r="I2998" t="s">
        <v>14584</v>
      </c>
      <c r="J2998" t="s">
        <v>255</v>
      </c>
    </row>
    <row r="2999" spans="1:10" x14ac:dyDescent="0.25">
      <c r="A2999" t="s">
        <v>14633</v>
      </c>
      <c r="B2999">
        <v>12.592000000000001</v>
      </c>
      <c r="C2999" t="s">
        <v>14634</v>
      </c>
      <c r="D2999" t="s">
        <v>720</v>
      </c>
      <c r="E2999" t="s">
        <v>14580</v>
      </c>
      <c r="F2999" t="s">
        <v>7672</v>
      </c>
      <c r="G2999" t="s">
        <v>14581</v>
      </c>
      <c r="H2999" t="s">
        <v>7674</v>
      </c>
      <c r="I2999" t="s">
        <v>14584</v>
      </c>
      <c r="J2999" t="s">
        <v>282</v>
      </c>
    </row>
    <row r="3000" spans="1:10" x14ac:dyDescent="0.25">
      <c r="A3000" t="s">
        <v>14635</v>
      </c>
      <c r="B3000">
        <v>16.015999999999998</v>
      </c>
      <c r="C3000" t="s">
        <v>14636</v>
      </c>
      <c r="D3000" t="s">
        <v>290</v>
      </c>
      <c r="E3000" t="s">
        <v>14637</v>
      </c>
      <c r="F3000" t="s">
        <v>7672</v>
      </c>
      <c r="G3000" t="s">
        <v>14638</v>
      </c>
      <c r="H3000" t="s">
        <v>14639</v>
      </c>
      <c r="I3000" t="s">
        <v>1243</v>
      </c>
      <c r="J3000" t="s">
        <v>60</v>
      </c>
    </row>
    <row r="3001" spans="1:10" x14ac:dyDescent="0.25">
      <c r="A3001" t="s">
        <v>14640</v>
      </c>
      <c r="B3001">
        <v>16.015999999999998</v>
      </c>
      <c r="C3001" t="s">
        <v>14641</v>
      </c>
      <c r="D3001" t="s">
        <v>164</v>
      </c>
      <c r="E3001" t="s">
        <v>14637</v>
      </c>
      <c r="F3001" t="s">
        <v>7672</v>
      </c>
      <c r="G3001" t="s">
        <v>14638</v>
      </c>
      <c r="H3001" t="s">
        <v>14639</v>
      </c>
      <c r="I3001" t="s">
        <v>935</v>
      </c>
      <c r="J3001" t="s">
        <v>60</v>
      </c>
    </row>
    <row r="3002" spans="1:10" x14ac:dyDescent="0.25">
      <c r="A3002" t="s">
        <v>3373</v>
      </c>
      <c r="B3002">
        <v>6.4</v>
      </c>
      <c r="C3002" t="s">
        <v>3375</v>
      </c>
      <c r="D3002" t="s">
        <v>3378</v>
      </c>
      <c r="E3002" t="s">
        <v>3376</v>
      </c>
      <c r="F3002" t="s">
        <v>7672</v>
      </c>
      <c r="G3002" t="s">
        <v>14642</v>
      </c>
      <c r="H3002" t="s">
        <v>11496</v>
      </c>
      <c r="I3002" t="s">
        <v>935</v>
      </c>
      <c r="J3002" t="s">
        <v>9423</v>
      </c>
    </row>
    <row r="3003" spans="1:10" x14ac:dyDescent="0.25">
      <c r="A3003" t="s">
        <v>3381</v>
      </c>
      <c r="B3003">
        <v>6.4</v>
      </c>
      <c r="C3003" t="s">
        <v>3383</v>
      </c>
      <c r="D3003" t="s">
        <v>720</v>
      </c>
      <c r="E3003" t="s">
        <v>3376</v>
      </c>
      <c r="F3003" t="s">
        <v>7672</v>
      </c>
      <c r="G3003" t="s">
        <v>14642</v>
      </c>
      <c r="H3003" t="s">
        <v>11496</v>
      </c>
      <c r="I3003" t="s">
        <v>935</v>
      </c>
      <c r="J3003" t="s">
        <v>10862</v>
      </c>
    </row>
    <row r="3004" spans="1:10" x14ac:dyDescent="0.25">
      <c r="A3004" t="s">
        <v>3385</v>
      </c>
      <c r="B3004">
        <v>6.4</v>
      </c>
      <c r="C3004" t="s">
        <v>3387</v>
      </c>
      <c r="D3004" t="s">
        <v>3389</v>
      </c>
      <c r="E3004" t="s">
        <v>3376</v>
      </c>
      <c r="F3004" t="s">
        <v>7672</v>
      </c>
      <c r="G3004" t="s">
        <v>14642</v>
      </c>
      <c r="H3004" t="s">
        <v>11496</v>
      </c>
      <c r="I3004" t="s">
        <v>935</v>
      </c>
      <c r="J3004" t="s">
        <v>9426</v>
      </c>
    </row>
    <row r="3005" spans="1:10" x14ac:dyDescent="0.25">
      <c r="A3005" t="s">
        <v>3390</v>
      </c>
      <c r="B3005">
        <v>6.4</v>
      </c>
      <c r="C3005" t="s">
        <v>3392</v>
      </c>
      <c r="D3005" t="s">
        <v>3394</v>
      </c>
      <c r="E3005" t="s">
        <v>3376</v>
      </c>
      <c r="F3005" t="s">
        <v>7672</v>
      </c>
      <c r="G3005" t="s">
        <v>14642</v>
      </c>
      <c r="H3005" t="s">
        <v>11496</v>
      </c>
      <c r="I3005" t="s">
        <v>935</v>
      </c>
      <c r="J3005" t="s">
        <v>13084</v>
      </c>
    </row>
    <row r="3006" spans="1:10" x14ac:dyDescent="0.25">
      <c r="A3006" t="s">
        <v>3395</v>
      </c>
      <c r="B3006">
        <v>6.4</v>
      </c>
      <c r="C3006" t="s">
        <v>3397</v>
      </c>
      <c r="D3006" t="s">
        <v>3399</v>
      </c>
      <c r="E3006" t="s">
        <v>3376</v>
      </c>
      <c r="F3006" t="s">
        <v>7672</v>
      </c>
      <c r="G3006" t="s">
        <v>14642</v>
      </c>
      <c r="H3006" t="s">
        <v>11496</v>
      </c>
      <c r="I3006" t="s">
        <v>935</v>
      </c>
      <c r="J3006" t="s">
        <v>11767</v>
      </c>
    </row>
    <row r="3007" spans="1:10" x14ac:dyDescent="0.25">
      <c r="A3007" t="s">
        <v>3400</v>
      </c>
      <c r="B3007">
        <v>6.4</v>
      </c>
      <c r="C3007" t="s">
        <v>3402</v>
      </c>
      <c r="D3007" t="s">
        <v>3404</v>
      </c>
      <c r="E3007" t="s">
        <v>3376</v>
      </c>
      <c r="F3007" t="s">
        <v>7672</v>
      </c>
      <c r="G3007" t="s">
        <v>14642</v>
      </c>
      <c r="H3007" t="s">
        <v>11496</v>
      </c>
      <c r="I3007" t="s">
        <v>935</v>
      </c>
      <c r="J3007" t="s">
        <v>11582</v>
      </c>
    </row>
    <row r="3008" spans="1:10" x14ac:dyDescent="0.25">
      <c r="A3008" t="s">
        <v>3405</v>
      </c>
      <c r="B3008">
        <v>6.4</v>
      </c>
      <c r="C3008" t="s">
        <v>3407</v>
      </c>
      <c r="D3008" t="s">
        <v>3409</v>
      </c>
      <c r="E3008" t="s">
        <v>3376</v>
      </c>
      <c r="F3008" t="s">
        <v>7672</v>
      </c>
      <c r="G3008" t="s">
        <v>14642</v>
      </c>
      <c r="H3008" t="s">
        <v>11496</v>
      </c>
      <c r="I3008" t="s">
        <v>935</v>
      </c>
      <c r="J3008" t="s">
        <v>11585</v>
      </c>
    </row>
    <row r="3009" spans="1:10" x14ac:dyDescent="0.25">
      <c r="A3009" t="s">
        <v>14643</v>
      </c>
      <c r="B3009">
        <v>9</v>
      </c>
      <c r="C3009" t="s">
        <v>14644</v>
      </c>
      <c r="D3009" t="s">
        <v>106</v>
      </c>
      <c r="E3009" t="s">
        <v>14645</v>
      </c>
      <c r="F3009" t="s">
        <v>7672</v>
      </c>
      <c r="G3009" t="s">
        <v>14646</v>
      </c>
      <c r="H3009" t="s">
        <v>14647</v>
      </c>
      <c r="I3009" t="s">
        <v>14648</v>
      </c>
      <c r="J3009" t="s">
        <v>7981</v>
      </c>
    </row>
    <row r="3010" spans="1:10" x14ac:dyDescent="0.25">
      <c r="A3010" t="s">
        <v>14649</v>
      </c>
      <c r="B3010">
        <v>9</v>
      </c>
      <c r="C3010" t="s">
        <v>14650</v>
      </c>
      <c r="D3010" t="s">
        <v>113</v>
      </c>
      <c r="E3010" t="s">
        <v>14645</v>
      </c>
      <c r="F3010" t="s">
        <v>7672</v>
      </c>
      <c r="G3010" t="s">
        <v>14646</v>
      </c>
      <c r="H3010" t="s">
        <v>14647</v>
      </c>
      <c r="I3010" t="s">
        <v>14651</v>
      </c>
      <c r="J3010" t="s">
        <v>7981</v>
      </c>
    </row>
    <row r="3011" spans="1:10" x14ac:dyDescent="0.25">
      <c r="A3011" t="s">
        <v>14652</v>
      </c>
      <c r="B3011">
        <v>9</v>
      </c>
      <c r="C3011" t="s">
        <v>14653</v>
      </c>
      <c r="D3011" t="s">
        <v>229</v>
      </c>
      <c r="E3011" t="s">
        <v>14645</v>
      </c>
      <c r="F3011" t="s">
        <v>7672</v>
      </c>
      <c r="G3011" t="s">
        <v>14646</v>
      </c>
      <c r="H3011" t="s">
        <v>14647</v>
      </c>
      <c r="I3011" t="s">
        <v>14654</v>
      </c>
      <c r="J3011" t="s">
        <v>7981</v>
      </c>
    </row>
    <row r="3012" spans="1:10" x14ac:dyDescent="0.25">
      <c r="A3012" t="s">
        <v>14655</v>
      </c>
      <c r="B3012">
        <v>9</v>
      </c>
      <c r="C3012" t="s">
        <v>14656</v>
      </c>
      <c r="D3012" t="s">
        <v>1536</v>
      </c>
      <c r="E3012" t="s">
        <v>14645</v>
      </c>
      <c r="F3012" t="s">
        <v>7672</v>
      </c>
      <c r="G3012" t="s">
        <v>14646</v>
      </c>
      <c r="H3012" t="s">
        <v>14647</v>
      </c>
      <c r="I3012" t="s">
        <v>76</v>
      </c>
      <c r="J3012" t="s">
        <v>7981</v>
      </c>
    </row>
    <row r="3013" spans="1:10" x14ac:dyDescent="0.25">
      <c r="A3013" t="s">
        <v>14657</v>
      </c>
      <c r="B3013">
        <v>9</v>
      </c>
      <c r="C3013" t="s">
        <v>14658</v>
      </c>
      <c r="D3013" t="s">
        <v>870</v>
      </c>
      <c r="E3013" t="s">
        <v>14645</v>
      </c>
      <c r="F3013" t="s">
        <v>7672</v>
      </c>
      <c r="G3013" t="s">
        <v>14646</v>
      </c>
      <c r="H3013" t="s">
        <v>14647</v>
      </c>
      <c r="I3013" t="s">
        <v>14654</v>
      </c>
      <c r="J3013" t="s">
        <v>7984</v>
      </c>
    </row>
    <row r="3014" spans="1:10" x14ac:dyDescent="0.25">
      <c r="A3014" t="s">
        <v>14659</v>
      </c>
      <c r="B3014">
        <v>9</v>
      </c>
      <c r="C3014" t="s">
        <v>14660</v>
      </c>
      <c r="D3014" t="s">
        <v>2697</v>
      </c>
      <c r="E3014" t="s">
        <v>14645</v>
      </c>
      <c r="F3014" t="s">
        <v>7672</v>
      </c>
      <c r="G3014" t="s">
        <v>14646</v>
      </c>
      <c r="H3014" t="s">
        <v>14647</v>
      </c>
      <c r="I3014" t="s">
        <v>14648</v>
      </c>
      <c r="J3014" t="s">
        <v>7984</v>
      </c>
    </row>
    <row r="3015" spans="1:10" x14ac:dyDescent="0.25">
      <c r="A3015" t="s">
        <v>14661</v>
      </c>
      <c r="B3015">
        <v>9</v>
      </c>
      <c r="C3015" t="s">
        <v>14662</v>
      </c>
      <c r="D3015" t="s">
        <v>875</v>
      </c>
      <c r="E3015" t="s">
        <v>14645</v>
      </c>
      <c r="F3015" t="s">
        <v>7672</v>
      </c>
      <c r="G3015" t="s">
        <v>14646</v>
      </c>
      <c r="H3015" t="s">
        <v>14647</v>
      </c>
      <c r="I3015" t="s">
        <v>14651</v>
      </c>
      <c r="J3015" t="s">
        <v>7984</v>
      </c>
    </row>
    <row r="3016" spans="1:10" x14ac:dyDescent="0.25">
      <c r="A3016" t="s">
        <v>14663</v>
      </c>
      <c r="B3016">
        <v>9</v>
      </c>
      <c r="C3016" t="s">
        <v>14664</v>
      </c>
      <c r="D3016" t="s">
        <v>786</v>
      </c>
      <c r="E3016" t="s">
        <v>14645</v>
      </c>
      <c r="F3016" t="s">
        <v>7672</v>
      </c>
      <c r="G3016" t="s">
        <v>14646</v>
      </c>
      <c r="H3016" t="s">
        <v>14647</v>
      </c>
      <c r="I3016" t="s">
        <v>76</v>
      </c>
      <c r="J3016" t="s">
        <v>7984</v>
      </c>
    </row>
    <row r="3017" spans="1:10" x14ac:dyDescent="0.25">
      <c r="A3017" t="s">
        <v>14665</v>
      </c>
      <c r="B3017">
        <v>9</v>
      </c>
      <c r="C3017" t="s">
        <v>14666</v>
      </c>
      <c r="D3017" t="s">
        <v>1236</v>
      </c>
      <c r="E3017" t="s">
        <v>14645</v>
      </c>
      <c r="F3017" t="s">
        <v>7672</v>
      </c>
      <c r="G3017" t="s">
        <v>14646</v>
      </c>
      <c r="H3017" t="s">
        <v>14647</v>
      </c>
      <c r="I3017" t="s">
        <v>14654</v>
      </c>
      <c r="J3017" t="s">
        <v>7987</v>
      </c>
    </row>
    <row r="3018" spans="1:10" x14ac:dyDescent="0.25">
      <c r="A3018" t="s">
        <v>14667</v>
      </c>
      <c r="B3018">
        <v>9</v>
      </c>
      <c r="C3018" t="s">
        <v>14668</v>
      </c>
      <c r="D3018" t="s">
        <v>282</v>
      </c>
      <c r="E3018" t="s">
        <v>14645</v>
      </c>
      <c r="F3018" t="s">
        <v>7672</v>
      </c>
      <c r="G3018" t="s">
        <v>14646</v>
      </c>
      <c r="H3018" t="s">
        <v>14647</v>
      </c>
      <c r="I3018" t="s">
        <v>14648</v>
      </c>
      <c r="J3018" t="s">
        <v>7987</v>
      </c>
    </row>
    <row r="3019" spans="1:10" x14ac:dyDescent="0.25">
      <c r="A3019" t="s">
        <v>14669</v>
      </c>
      <c r="B3019">
        <v>9</v>
      </c>
      <c r="C3019" t="s">
        <v>14670</v>
      </c>
      <c r="D3019" t="s">
        <v>1621</v>
      </c>
      <c r="E3019" t="s">
        <v>14645</v>
      </c>
      <c r="F3019" t="s">
        <v>7672</v>
      </c>
      <c r="G3019" t="s">
        <v>14646</v>
      </c>
      <c r="H3019" t="s">
        <v>14647</v>
      </c>
      <c r="I3019" t="s">
        <v>76</v>
      </c>
      <c r="J3019" t="s">
        <v>7987</v>
      </c>
    </row>
    <row r="3020" spans="1:10" x14ac:dyDescent="0.25">
      <c r="A3020" t="s">
        <v>14671</v>
      </c>
      <c r="B3020">
        <v>9</v>
      </c>
      <c r="C3020" t="s">
        <v>14672</v>
      </c>
      <c r="D3020" t="s">
        <v>849</v>
      </c>
      <c r="E3020" t="s">
        <v>14645</v>
      </c>
      <c r="F3020" t="s">
        <v>7672</v>
      </c>
      <c r="G3020" t="s">
        <v>14646</v>
      </c>
      <c r="H3020" t="s">
        <v>14647</v>
      </c>
      <c r="I3020" t="s">
        <v>11789</v>
      </c>
      <c r="J3020" t="s">
        <v>8001</v>
      </c>
    </row>
    <row r="3021" spans="1:10" x14ac:dyDescent="0.25">
      <c r="A3021" t="s">
        <v>14673</v>
      </c>
      <c r="B3021">
        <v>9</v>
      </c>
      <c r="C3021" t="s">
        <v>14674</v>
      </c>
      <c r="D3021" t="s">
        <v>1236</v>
      </c>
      <c r="E3021" t="s">
        <v>14645</v>
      </c>
      <c r="F3021" t="s">
        <v>7672</v>
      </c>
      <c r="G3021" t="s">
        <v>14646</v>
      </c>
      <c r="H3021" t="s">
        <v>14647</v>
      </c>
      <c r="I3021" t="s">
        <v>14654</v>
      </c>
      <c r="J3021" t="s">
        <v>8001</v>
      </c>
    </row>
    <row r="3022" spans="1:10" x14ac:dyDescent="0.25">
      <c r="A3022" t="s">
        <v>14675</v>
      </c>
      <c r="B3022">
        <v>9</v>
      </c>
      <c r="C3022" t="s">
        <v>14676</v>
      </c>
      <c r="D3022" t="s">
        <v>342</v>
      </c>
      <c r="E3022" t="s">
        <v>14645</v>
      </c>
      <c r="F3022" t="s">
        <v>7672</v>
      </c>
      <c r="G3022" t="s">
        <v>14646</v>
      </c>
      <c r="H3022" t="s">
        <v>14647</v>
      </c>
      <c r="I3022" t="s">
        <v>14648</v>
      </c>
      <c r="J3022" t="s">
        <v>8001</v>
      </c>
    </row>
    <row r="3023" spans="1:10" x14ac:dyDescent="0.25">
      <c r="A3023" t="s">
        <v>3410</v>
      </c>
      <c r="B3023">
        <v>12.48</v>
      </c>
      <c r="C3023" t="s">
        <v>3412</v>
      </c>
      <c r="D3023" t="s">
        <v>3415</v>
      </c>
      <c r="E3023" t="s">
        <v>3413</v>
      </c>
      <c r="F3023" t="s">
        <v>7672</v>
      </c>
      <c r="G3023" t="s">
        <v>14677</v>
      </c>
      <c r="H3023" t="s">
        <v>8979</v>
      </c>
      <c r="I3023" t="s">
        <v>3416</v>
      </c>
      <c r="J3023" t="s">
        <v>290</v>
      </c>
    </row>
    <row r="3024" spans="1:10" x14ac:dyDescent="0.25">
      <c r="A3024" t="s">
        <v>3417</v>
      </c>
      <c r="B3024">
        <v>12.48</v>
      </c>
      <c r="C3024" t="s">
        <v>3419</v>
      </c>
      <c r="D3024" t="s">
        <v>164</v>
      </c>
      <c r="E3024" t="s">
        <v>3413</v>
      </c>
      <c r="F3024" t="s">
        <v>7672</v>
      </c>
      <c r="G3024" t="s">
        <v>14677</v>
      </c>
      <c r="H3024" t="s">
        <v>8979</v>
      </c>
      <c r="I3024" t="s">
        <v>3421</v>
      </c>
      <c r="J3024" t="s">
        <v>290</v>
      </c>
    </row>
    <row r="3025" spans="1:10" x14ac:dyDescent="0.25">
      <c r="A3025" t="s">
        <v>3422</v>
      </c>
      <c r="B3025">
        <v>12.48</v>
      </c>
      <c r="C3025" t="s">
        <v>3424</v>
      </c>
      <c r="D3025" t="s">
        <v>1837</v>
      </c>
      <c r="E3025" t="s">
        <v>3413</v>
      </c>
      <c r="F3025" t="s">
        <v>7672</v>
      </c>
      <c r="G3025" t="s">
        <v>14677</v>
      </c>
      <c r="H3025" t="s">
        <v>8979</v>
      </c>
      <c r="I3025" t="s">
        <v>2089</v>
      </c>
      <c r="J3025" t="s">
        <v>290</v>
      </c>
    </row>
    <row r="3026" spans="1:10" x14ac:dyDescent="0.25">
      <c r="A3026" t="s">
        <v>3426</v>
      </c>
      <c r="B3026">
        <v>12.48</v>
      </c>
      <c r="C3026" t="s">
        <v>3428</v>
      </c>
      <c r="D3026" t="s">
        <v>3430</v>
      </c>
      <c r="E3026" t="s">
        <v>3413</v>
      </c>
      <c r="F3026" t="s">
        <v>7672</v>
      </c>
      <c r="G3026" t="s">
        <v>14677</v>
      </c>
      <c r="H3026" t="s">
        <v>8979</v>
      </c>
      <c r="I3026" t="s">
        <v>2089</v>
      </c>
      <c r="J3026" t="s">
        <v>199</v>
      </c>
    </row>
    <row r="3027" spans="1:10" x14ac:dyDescent="0.25">
      <c r="A3027" t="s">
        <v>14678</v>
      </c>
      <c r="B3027">
        <v>12.48</v>
      </c>
      <c r="C3027" t="s">
        <v>14679</v>
      </c>
      <c r="D3027" t="s">
        <v>6257</v>
      </c>
      <c r="E3027" t="s">
        <v>3413</v>
      </c>
      <c r="F3027" t="s">
        <v>7672</v>
      </c>
      <c r="G3027" t="s">
        <v>14677</v>
      </c>
      <c r="H3027" t="s">
        <v>8979</v>
      </c>
      <c r="I3027" t="s">
        <v>14680</v>
      </c>
      <c r="J3027" t="s">
        <v>199</v>
      </c>
    </row>
    <row r="3028" spans="1:10" x14ac:dyDescent="0.25">
      <c r="A3028" t="s">
        <v>3431</v>
      </c>
      <c r="B3028">
        <v>12.48</v>
      </c>
      <c r="C3028" t="s">
        <v>3433</v>
      </c>
      <c r="D3028" t="s">
        <v>3435</v>
      </c>
      <c r="E3028" t="s">
        <v>3413</v>
      </c>
      <c r="F3028" t="s">
        <v>7672</v>
      </c>
      <c r="G3028" t="s">
        <v>14677</v>
      </c>
      <c r="H3028" t="s">
        <v>8979</v>
      </c>
      <c r="I3028" t="s">
        <v>3416</v>
      </c>
      <c r="J3028" t="s">
        <v>199</v>
      </c>
    </row>
    <row r="3029" spans="1:10" x14ac:dyDescent="0.25">
      <c r="A3029" t="s">
        <v>3436</v>
      </c>
      <c r="B3029">
        <v>12.48</v>
      </c>
      <c r="C3029" t="s">
        <v>3438</v>
      </c>
      <c r="D3029" t="s">
        <v>3070</v>
      </c>
      <c r="E3029" t="s">
        <v>3413</v>
      </c>
      <c r="F3029" t="s">
        <v>7672</v>
      </c>
      <c r="G3029" t="s">
        <v>14677</v>
      </c>
      <c r="H3029" t="s">
        <v>8979</v>
      </c>
      <c r="I3029" t="s">
        <v>3421</v>
      </c>
      <c r="J3029" t="s">
        <v>199</v>
      </c>
    </row>
    <row r="3030" spans="1:10" x14ac:dyDescent="0.25">
      <c r="A3030" t="s">
        <v>3440</v>
      </c>
      <c r="B3030">
        <v>12.48</v>
      </c>
      <c r="C3030" t="s">
        <v>3442</v>
      </c>
      <c r="D3030" t="s">
        <v>3444</v>
      </c>
      <c r="E3030" t="s">
        <v>3413</v>
      </c>
      <c r="F3030" t="s">
        <v>7672</v>
      </c>
      <c r="G3030" t="s">
        <v>14677</v>
      </c>
      <c r="H3030" t="s">
        <v>8979</v>
      </c>
      <c r="I3030" t="s">
        <v>2089</v>
      </c>
      <c r="J3030" t="s">
        <v>95</v>
      </c>
    </row>
    <row r="3031" spans="1:10" x14ac:dyDescent="0.25">
      <c r="A3031" t="s">
        <v>3445</v>
      </c>
      <c r="B3031">
        <v>12.48</v>
      </c>
      <c r="C3031" t="s">
        <v>3447</v>
      </c>
      <c r="D3031" t="s">
        <v>436</v>
      </c>
      <c r="E3031" t="s">
        <v>3413</v>
      </c>
      <c r="F3031" t="s">
        <v>7672</v>
      </c>
      <c r="G3031" t="s">
        <v>14677</v>
      </c>
      <c r="H3031" t="s">
        <v>8979</v>
      </c>
      <c r="I3031" t="s">
        <v>1622</v>
      </c>
      <c r="J3031" t="s">
        <v>95</v>
      </c>
    </row>
    <row r="3032" spans="1:10" x14ac:dyDescent="0.25">
      <c r="A3032" t="s">
        <v>14681</v>
      </c>
      <c r="B3032">
        <v>12.48</v>
      </c>
      <c r="C3032" t="s">
        <v>14682</v>
      </c>
      <c r="D3032" t="s">
        <v>40</v>
      </c>
      <c r="E3032" t="s">
        <v>3413</v>
      </c>
      <c r="F3032" t="s">
        <v>7672</v>
      </c>
      <c r="G3032" t="s">
        <v>14677</v>
      </c>
      <c r="H3032" t="s">
        <v>8979</v>
      </c>
      <c r="I3032" t="s">
        <v>14680</v>
      </c>
      <c r="J3032" t="s">
        <v>95</v>
      </c>
    </row>
    <row r="3033" spans="1:10" x14ac:dyDescent="0.25">
      <c r="A3033" t="s">
        <v>3449</v>
      </c>
      <c r="B3033">
        <v>12.48</v>
      </c>
      <c r="C3033" t="s">
        <v>3451</v>
      </c>
      <c r="D3033" t="s">
        <v>2248</v>
      </c>
      <c r="E3033" t="s">
        <v>3413</v>
      </c>
      <c r="F3033" t="s">
        <v>7672</v>
      </c>
      <c r="G3033" t="s">
        <v>14677</v>
      </c>
      <c r="H3033" t="s">
        <v>8979</v>
      </c>
      <c r="I3033" t="s">
        <v>3421</v>
      </c>
      <c r="J3033" t="s">
        <v>95</v>
      </c>
    </row>
    <row r="3034" spans="1:10" x14ac:dyDescent="0.25">
      <c r="A3034" t="s">
        <v>3453</v>
      </c>
      <c r="B3034">
        <v>12.48</v>
      </c>
      <c r="C3034" t="s">
        <v>3455</v>
      </c>
      <c r="D3034" t="s">
        <v>3457</v>
      </c>
      <c r="E3034" t="s">
        <v>3413</v>
      </c>
      <c r="F3034" t="s">
        <v>7672</v>
      </c>
      <c r="G3034" t="s">
        <v>14677</v>
      </c>
      <c r="H3034" t="s">
        <v>8979</v>
      </c>
      <c r="I3034" t="s">
        <v>3416</v>
      </c>
      <c r="J3034" t="s">
        <v>95</v>
      </c>
    </row>
    <row r="3035" spans="1:10" x14ac:dyDescent="0.25">
      <c r="A3035" t="s">
        <v>14683</v>
      </c>
      <c r="B3035">
        <v>12.48</v>
      </c>
      <c r="C3035" t="s">
        <v>14684</v>
      </c>
      <c r="D3035" t="s">
        <v>436</v>
      </c>
      <c r="E3035" t="s">
        <v>3413</v>
      </c>
      <c r="F3035" t="s">
        <v>7672</v>
      </c>
      <c r="G3035" t="s">
        <v>14677</v>
      </c>
      <c r="H3035" t="s">
        <v>8979</v>
      </c>
      <c r="I3035" t="s">
        <v>14680</v>
      </c>
      <c r="J3035" t="s">
        <v>849</v>
      </c>
    </row>
    <row r="3036" spans="1:10" x14ac:dyDescent="0.25">
      <c r="A3036" t="s">
        <v>3458</v>
      </c>
      <c r="B3036">
        <v>12.48</v>
      </c>
      <c r="C3036" t="s">
        <v>3460</v>
      </c>
      <c r="D3036" t="s">
        <v>2238</v>
      </c>
      <c r="E3036" t="s">
        <v>3413</v>
      </c>
      <c r="F3036" t="s">
        <v>7672</v>
      </c>
      <c r="G3036" t="s">
        <v>14677</v>
      </c>
      <c r="H3036" t="s">
        <v>8979</v>
      </c>
      <c r="I3036" t="s">
        <v>3416</v>
      </c>
      <c r="J3036" t="s">
        <v>849</v>
      </c>
    </row>
    <row r="3037" spans="1:10" x14ac:dyDescent="0.25">
      <c r="A3037" t="s">
        <v>3462</v>
      </c>
      <c r="B3037">
        <v>12.48</v>
      </c>
      <c r="C3037" t="s">
        <v>3464</v>
      </c>
      <c r="D3037" t="s">
        <v>1459</v>
      </c>
      <c r="E3037" t="s">
        <v>3413</v>
      </c>
      <c r="F3037" t="s">
        <v>7672</v>
      </c>
      <c r="G3037" t="s">
        <v>14677</v>
      </c>
      <c r="H3037" t="s">
        <v>8979</v>
      </c>
      <c r="I3037" t="s">
        <v>3421</v>
      </c>
      <c r="J3037" t="s">
        <v>849</v>
      </c>
    </row>
    <row r="3038" spans="1:10" x14ac:dyDescent="0.25">
      <c r="A3038" t="s">
        <v>3466</v>
      </c>
      <c r="B3038">
        <v>12.48</v>
      </c>
      <c r="C3038" t="s">
        <v>3468</v>
      </c>
      <c r="D3038" t="s">
        <v>3470</v>
      </c>
      <c r="E3038" t="s">
        <v>3413</v>
      </c>
      <c r="F3038" t="s">
        <v>7672</v>
      </c>
      <c r="G3038" t="s">
        <v>14677</v>
      </c>
      <c r="H3038" t="s">
        <v>8979</v>
      </c>
      <c r="I3038" t="s">
        <v>2089</v>
      </c>
      <c r="J3038" t="s">
        <v>849</v>
      </c>
    </row>
    <row r="3039" spans="1:10" x14ac:dyDescent="0.25">
      <c r="A3039" t="s">
        <v>3471</v>
      </c>
      <c r="B3039">
        <v>12.48</v>
      </c>
      <c r="C3039" t="s">
        <v>3473</v>
      </c>
      <c r="D3039" t="s">
        <v>870</v>
      </c>
      <c r="E3039" t="s">
        <v>3413</v>
      </c>
      <c r="F3039" t="s">
        <v>7672</v>
      </c>
      <c r="G3039" t="s">
        <v>14677</v>
      </c>
      <c r="H3039" t="s">
        <v>8979</v>
      </c>
      <c r="I3039" t="s">
        <v>3416</v>
      </c>
      <c r="J3039" t="s">
        <v>286</v>
      </c>
    </row>
    <row r="3040" spans="1:10" x14ac:dyDescent="0.25">
      <c r="A3040" t="s">
        <v>3475</v>
      </c>
      <c r="B3040">
        <v>12.48</v>
      </c>
      <c r="C3040" t="s">
        <v>3477</v>
      </c>
      <c r="D3040" t="s">
        <v>106</v>
      </c>
      <c r="E3040" t="s">
        <v>3413</v>
      </c>
      <c r="F3040" t="s">
        <v>7672</v>
      </c>
      <c r="G3040" t="s">
        <v>14677</v>
      </c>
      <c r="H3040" t="s">
        <v>8979</v>
      </c>
      <c r="I3040" t="s">
        <v>1622</v>
      </c>
      <c r="J3040" t="s">
        <v>286</v>
      </c>
    </row>
    <row r="3041" spans="1:10" x14ac:dyDescent="0.25">
      <c r="A3041" t="s">
        <v>3479</v>
      </c>
      <c r="B3041">
        <v>12.48</v>
      </c>
      <c r="C3041" t="s">
        <v>3481</v>
      </c>
      <c r="D3041" t="s">
        <v>516</v>
      </c>
      <c r="E3041" t="s">
        <v>3413</v>
      </c>
      <c r="F3041" t="s">
        <v>7672</v>
      </c>
      <c r="G3041" t="s">
        <v>14677</v>
      </c>
      <c r="H3041" t="s">
        <v>8979</v>
      </c>
      <c r="I3041" t="s">
        <v>3421</v>
      </c>
      <c r="J3041" t="s">
        <v>286</v>
      </c>
    </row>
    <row r="3042" spans="1:10" x14ac:dyDescent="0.25">
      <c r="A3042" t="s">
        <v>3483</v>
      </c>
      <c r="B3042">
        <v>12.48</v>
      </c>
      <c r="C3042" t="s">
        <v>3485</v>
      </c>
      <c r="D3042" t="s">
        <v>991</v>
      </c>
      <c r="E3042" t="s">
        <v>3413</v>
      </c>
      <c r="F3042" t="s">
        <v>7672</v>
      </c>
      <c r="G3042" t="s">
        <v>14677</v>
      </c>
      <c r="H3042" t="s">
        <v>8979</v>
      </c>
      <c r="I3042" t="s">
        <v>2089</v>
      </c>
      <c r="J3042" t="s">
        <v>286</v>
      </c>
    </row>
    <row r="3043" spans="1:10" x14ac:dyDescent="0.25">
      <c r="A3043" t="s">
        <v>14685</v>
      </c>
      <c r="B3043">
        <v>25.2</v>
      </c>
      <c r="C3043" t="s">
        <v>14686</v>
      </c>
      <c r="D3043" t="s">
        <v>1097</v>
      </c>
      <c r="E3043" t="s">
        <v>14687</v>
      </c>
      <c r="F3043" t="s">
        <v>7672</v>
      </c>
      <c r="G3043" t="s">
        <v>14688</v>
      </c>
      <c r="H3043" t="s">
        <v>8331</v>
      </c>
      <c r="I3043" t="s">
        <v>76</v>
      </c>
      <c r="J3043" t="s">
        <v>8001</v>
      </c>
    </row>
    <row r="3044" spans="1:10" x14ac:dyDescent="0.25">
      <c r="A3044" t="s">
        <v>14689</v>
      </c>
      <c r="B3044">
        <v>25.2</v>
      </c>
      <c r="C3044" t="s">
        <v>14690</v>
      </c>
      <c r="D3044" t="s">
        <v>1097</v>
      </c>
      <c r="E3044" t="s">
        <v>14687</v>
      </c>
      <c r="F3044" t="s">
        <v>7672</v>
      </c>
      <c r="G3044" t="s">
        <v>14688</v>
      </c>
      <c r="H3044" t="s">
        <v>8331</v>
      </c>
      <c r="I3044" t="s">
        <v>10433</v>
      </c>
      <c r="J3044" t="s">
        <v>8001</v>
      </c>
    </row>
    <row r="3045" spans="1:10" x14ac:dyDescent="0.25">
      <c r="A3045" t="s">
        <v>14691</v>
      </c>
      <c r="B3045">
        <v>25.2</v>
      </c>
      <c r="C3045" t="s">
        <v>14692</v>
      </c>
      <c r="D3045" t="s">
        <v>576</v>
      </c>
      <c r="E3045" t="s">
        <v>14687</v>
      </c>
      <c r="F3045" t="s">
        <v>7672</v>
      </c>
      <c r="G3045" t="s">
        <v>14688</v>
      </c>
      <c r="H3045" t="s">
        <v>8331</v>
      </c>
      <c r="I3045" t="s">
        <v>76</v>
      </c>
      <c r="J3045" t="s">
        <v>8013</v>
      </c>
    </row>
    <row r="3046" spans="1:10" x14ac:dyDescent="0.25">
      <c r="A3046" t="s">
        <v>14693</v>
      </c>
      <c r="B3046">
        <v>25.2</v>
      </c>
      <c r="C3046" t="s">
        <v>14694</v>
      </c>
      <c r="D3046" t="s">
        <v>53</v>
      </c>
      <c r="E3046" t="s">
        <v>14687</v>
      </c>
      <c r="F3046" t="s">
        <v>7672</v>
      </c>
      <c r="G3046" t="s">
        <v>14688</v>
      </c>
      <c r="H3046" t="s">
        <v>8331</v>
      </c>
      <c r="I3046" t="s">
        <v>10433</v>
      </c>
      <c r="J3046" t="s">
        <v>8013</v>
      </c>
    </row>
    <row r="3047" spans="1:10" x14ac:dyDescent="0.25">
      <c r="A3047" t="s">
        <v>14695</v>
      </c>
      <c r="B3047">
        <v>10.08</v>
      </c>
      <c r="C3047" t="s">
        <v>14696</v>
      </c>
      <c r="D3047" t="s">
        <v>2910</v>
      </c>
      <c r="E3047" t="s">
        <v>14697</v>
      </c>
      <c r="F3047" t="s">
        <v>7672</v>
      </c>
      <c r="G3047" t="s">
        <v>14698</v>
      </c>
      <c r="H3047" t="s">
        <v>8301</v>
      </c>
      <c r="I3047" t="s">
        <v>76</v>
      </c>
      <c r="J3047" t="s">
        <v>11315</v>
      </c>
    </row>
    <row r="3048" spans="1:10" x14ac:dyDescent="0.25">
      <c r="A3048" t="s">
        <v>14699</v>
      </c>
      <c r="B3048">
        <v>10.08</v>
      </c>
      <c r="C3048" t="s">
        <v>14700</v>
      </c>
      <c r="D3048" t="s">
        <v>2253</v>
      </c>
      <c r="E3048" t="s">
        <v>14697</v>
      </c>
      <c r="F3048" t="s">
        <v>7672</v>
      </c>
      <c r="G3048" t="s">
        <v>14698</v>
      </c>
      <c r="H3048" t="s">
        <v>8301</v>
      </c>
      <c r="I3048" t="s">
        <v>14701</v>
      </c>
      <c r="J3048" t="s">
        <v>11315</v>
      </c>
    </row>
    <row r="3049" spans="1:10" x14ac:dyDescent="0.25">
      <c r="A3049" t="s">
        <v>14702</v>
      </c>
      <c r="B3049">
        <v>10.08</v>
      </c>
      <c r="C3049" t="s">
        <v>14703</v>
      </c>
      <c r="D3049" t="s">
        <v>2376</v>
      </c>
      <c r="E3049" t="s">
        <v>14697</v>
      </c>
      <c r="F3049" t="s">
        <v>7672</v>
      </c>
      <c r="G3049" t="s">
        <v>14698</v>
      </c>
      <c r="H3049" t="s">
        <v>8301</v>
      </c>
      <c r="I3049" t="s">
        <v>76</v>
      </c>
      <c r="J3049" t="s">
        <v>9730</v>
      </c>
    </row>
    <row r="3050" spans="1:10" x14ac:dyDescent="0.25">
      <c r="A3050" t="s">
        <v>14704</v>
      </c>
      <c r="B3050">
        <v>10.08</v>
      </c>
      <c r="C3050" t="s">
        <v>14705</v>
      </c>
      <c r="D3050" t="s">
        <v>516</v>
      </c>
      <c r="E3050" t="s">
        <v>14697</v>
      </c>
      <c r="F3050" t="s">
        <v>7672</v>
      </c>
      <c r="G3050" t="s">
        <v>14698</v>
      </c>
      <c r="H3050" t="s">
        <v>8301</v>
      </c>
      <c r="I3050" t="s">
        <v>14706</v>
      </c>
      <c r="J3050" t="s">
        <v>9730</v>
      </c>
    </row>
    <row r="3051" spans="1:10" x14ac:dyDescent="0.25">
      <c r="A3051" t="s">
        <v>14707</v>
      </c>
      <c r="B3051">
        <v>10.08</v>
      </c>
      <c r="C3051" t="s">
        <v>14708</v>
      </c>
      <c r="D3051" t="s">
        <v>10764</v>
      </c>
      <c r="E3051" t="s">
        <v>14697</v>
      </c>
      <c r="F3051" t="s">
        <v>7672</v>
      </c>
      <c r="G3051" t="s">
        <v>14698</v>
      </c>
      <c r="H3051" t="s">
        <v>8301</v>
      </c>
      <c r="I3051" t="s">
        <v>14701</v>
      </c>
      <c r="J3051" t="s">
        <v>9730</v>
      </c>
    </row>
    <row r="3052" spans="1:10" x14ac:dyDescent="0.25">
      <c r="A3052" t="s">
        <v>14709</v>
      </c>
      <c r="B3052">
        <v>10.08</v>
      </c>
      <c r="C3052" t="s">
        <v>14710</v>
      </c>
      <c r="D3052" t="s">
        <v>4799</v>
      </c>
      <c r="E3052" t="s">
        <v>14697</v>
      </c>
      <c r="F3052" t="s">
        <v>7672</v>
      </c>
      <c r="G3052" t="s">
        <v>14698</v>
      </c>
      <c r="H3052" t="s">
        <v>8301</v>
      </c>
      <c r="I3052" t="s">
        <v>76</v>
      </c>
      <c r="J3052" t="s">
        <v>9739</v>
      </c>
    </row>
    <row r="3053" spans="1:10" x14ac:dyDescent="0.25">
      <c r="A3053" t="s">
        <v>14711</v>
      </c>
      <c r="B3053">
        <v>10.08</v>
      </c>
      <c r="C3053" t="s">
        <v>14712</v>
      </c>
      <c r="D3053" t="s">
        <v>10764</v>
      </c>
      <c r="E3053" t="s">
        <v>14697</v>
      </c>
      <c r="F3053" t="s">
        <v>7672</v>
      </c>
      <c r="G3053" t="s">
        <v>14698</v>
      </c>
      <c r="H3053" t="s">
        <v>8301</v>
      </c>
      <c r="I3053" t="s">
        <v>14701</v>
      </c>
      <c r="J3053" t="s">
        <v>9739</v>
      </c>
    </row>
    <row r="3054" spans="1:10" x14ac:dyDescent="0.25">
      <c r="A3054" t="s">
        <v>14713</v>
      </c>
      <c r="B3054">
        <v>10.08</v>
      </c>
      <c r="C3054" t="s">
        <v>14714</v>
      </c>
      <c r="D3054" t="s">
        <v>742</v>
      </c>
      <c r="E3054" t="s">
        <v>14697</v>
      </c>
      <c r="F3054" t="s">
        <v>7672</v>
      </c>
      <c r="G3054" t="s">
        <v>14698</v>
      </c>
      <c r="H3054" t="s">
        <v>8301</v>
      </c>
      <c r="I3054" t="s">
        <v>14706</v>
      </c>
      <c r="J3054" t="s">
        <v>9739</v>
      </c>
    </row>
    <row r="3055" spans="1:10" x14ac:dyDescent="0.25">
      <c r="A3055" t="s">
        <v>14715</v>
      </c>
      <c r="B3055">
        <v>10.08</v>
      </c>
      <c r="C3055" t="s">
        <v>14716</v>
      </c>
      <c r="D3055" t="s">
        <v>4100</v>
      </c>
      <c r="E3055" t="s">
        <v>14697</v>
      </c>
      <c r="F3055" t="s">
        <v>7672</v>
      </c>
      <c r="G3055" t="s">
        <v>14698</v>
      </c>
      <c r="H3055" t="s">
        <v>8301</v>
      </c>
      <c r="I3055" t="s">
        <v>76</v>
      </c>
      <c r="J3055" t="s">
        <v>9746</v>
      </c>
    </row>
    <row r="3056" spans="1:10" x14ac:dyDescent="0.25">
      <c r="A3056" t="s">
        <v>14717</v>
      </c>
      <c r="B3056">
        <v>10.08</v>
      </c>
      <c r="C3056" t="s">
        <v>14718</v>
      </c>
      <c r="D3056" t="s">
        <v>8193</v>
      </c>
      <c r="E3056" t="s">
        <v>14697</v>
      </c>
      <c r="F3056" t="s">
        <v>7672</v>
      </c>
      <c r="G3056" t="s">
        <v>14698</v>
      </c>
      <c r="H3056" t="s">
        <v>8301</v>
      </c>
      <c r="I3056" t="s">
        <v>14701</v>
      </c>
      <c r="J3056" t="s">
        <v>9746</v>
      </c>
    </row>
    <row r="3057" spans="1:10" x14ac:dyDescent="0.25">
      <c r="A3057" t="s">
        <v>14719</v>
      </c>
      <c r="B3057">
        <v>10.08</v>
      </c>
      <c r="C3057" t="s">
        <v>14720</v>
      </c>
      <c r="D3057" t="s">
        <v>913</v>
      </c>
      <c r="E3057" t="s">
        <v>14697</v>
      </c>
      <c r="F3057" t="s">
        <v>7672</v>
      </c>
      <c r="G3057" t="s">
        <v>14698</v>
      </c>
      <c r="H3057" t="s">
        <v>8301</v>
      </c>
      <c r="I3057" t="s">
        <v>14706</v>
      </c>
      <c r="J3057" t="s">
        <v>9746</v>
      </c>
    </row>
    <row r="3058" spans="1:10" x14ac:dyDescent="0.25">
      <c r="A3058" t="s">
        <v>14721</v>
      </c>
      <c r="B3058">
        <v>10.08</v>
      </c>
      <c r="C3058" t="s">
        <v>14722</v>
      </c>
      <c r="D3058" t="s">
        <v>626</v>
      </c>
      <c r="E3058" t="s">
        <v>14697</v>
      </c>
      <c r="F3058" t="s">
        <v>7672</v>
      </c>
      <c r="G3058" t="s">
        <v>14698</v>
      </c>
      <c r="H3058" t="s">
        <v>8301</v>
      </c>
      <c r="I3058" t="s">
        <v>76</v>
      </c>
      <c r="J3058" t="s">
        <v>11326</v>
      </c>
    </row>
    <row r="3059" spans="1:10" x14ac:dyDescent="0.25">
      <c r="A3059" t="s">
        <v>14723</v>
      </c>
      <c r="B3059">
        <v>10.08</v>
      </c>
      <c r="C3059" t="s">
        <v>14724</v>
      </c>
      <c r="D3059" t="s">
        <v>903</v>
      </c>
      <c r="E3059" t="s">
        <v>14697</v>
      </c>
      <c r="F3059" t="s">
        <v>7672</v>
      </c>
      <c r="G3059" t="s">
        <v>14698</v>
      </c>
      <c r="H3059" t="s">
        <v>8301</v>
      </c>
      <c r="I3059" t="s">
        <v>14701</v>
      </c>
      <c r="J3059" t="s">
        <v>11326</v>
      </c>
    </row>
    <row r="3060" spans="1:10" x14ac:dyDescent="0.25">
      <c r="A3060" t="s">
        <v>14725</v>
      </c>
      <c r="B3060">
        <v>10.08</v>
      </c>
      <c r="C3060" t="s">
        <v>14726</v>
      </c>
      <c r="D3060" t="s">
        <v>1134</v>
      </c>
      <c r="E3060" t="s">
        <v>14697</v>
      </c>
      <c r="F3060" t="s">
        <v>7672</v>
      </c>
      <c r="G3060" t="s">
        <v>14698</v>
      </c>
      <c r="H3060" t="s">
        <v>8301</v>
      </c>
      <c r="I3060" t="s">
        <v>14706</v>
      </c>
      <c r="J3060" t="s">
        <v>11326</v>
      </c>
    </row>
    <row r="3061" spans="1:10" x14ac:dyDescent="0.25">
      <c r="A3061" t="s">
        <v>14727</v>
      </c>
      <c r="B3061">
        <v>10.08</v>
      </c>
      <c r="C3061" t="s">
        <v>14728</v>
      </c>
      <c r="D3061" t="s">
        <v>2149</v>
      </c>
      <c r="E3061" t="s">
        <v>14697</v>
      </c>
      <c r="F3061" t="s">
        <v>7672</v>
      </c>
      <c r="G3061" t="s">
        <v>14698</v>
      </c>
      <c r="H3061" t="s">
        <v>8301</v>
      </c>
      <c r="I3061" t="s">
        <v>76</v>
      </c>
      <c r="J3061" t="s">
        <v>9753</v>
      </c>
    </row>
    <row r="3062" spans="1:10" x14ac:dyDescent="0.25">
      <c r="A3062" t="s">
        <v>14729</v>
      </c>
      <c r="B3062">
        <v>10.08</v>
      </c>
      <c r="C3062" t="s">
        <v>14730</v>
      </c>
      <c r="D3062" t="s">
        <v>725</v>
      </c>
      <c r="E3062" t="s">
        <v>14697</v>
      </c>
      <c r="F3062" t="s">
        <v>7672</v>
      </c>
      <c r="G3062" t="s">
        <v>14698</v>
      </c>
      <c r="H3062" t="s">
        <v>8301</v>
      </c>
      <c r="I3062" t="s">
        <v>14706</v>
      </c>
      <c r="J3062" t="s">
        <v>9753</v>
      </c>
    </row>
    <row r="3063" spans="1:10" x14ac:dyDescent="0.25">
      <c r="A3063" t="s">
        <v>14731</v>
      </c>
      <c r="B3063">
        <v>10.08</v>
      </c>
      <c r="C3063" t="s">
        <v>14732</v>
      </c>
      <c r="D3063" t="s">
        <v>903</v>
      </c>
      <c r="E3063" t="s">
        <v>14697</v>
      </c>
      <c r="F3063" t="s">
        <v>7672</v>
      </c>
      <c r="G3063" t="s">
        <v>14698</v>
      </c>
      <c r="H3063" t="s">
        <v>8301</v>
      </c>
      <c r="I3063" t="s">
        <v>14701</v>
      </c>
      <c r="J3063" t="s">
        <v>9753</v>
      </c>
    </row>
    <row r="3064" spans="1:10" x14ac:dyDescent="0.25">
      <c r="A3064" t="s">
        <v>14733</v>
      </c>
      <c r="B3064">
        <v>10.08</v>
      </c>
      <c r="C3064" t="s">
        <v>14734</v>
      </c>
      <c r="D3064" t="s">
        <v>60</v>
      </c>
      <c r="E3064" t="s">
        <v>14697</v>
      </c>
      <c r="F3064" t="s">
        <v>7672</v>
      </c>
      <c r="G3064" t="s">
        <v>14698</v>
      </c>
      <c r="H3064" t="s">
        <v>8301</v>
      </c>
      <c r="I3064" t="s">
        <v>14706</v>
      </c>
      <c r="J3064" t="s">
        <v>9760</v>
      </c>
    </row>
    <row r="3065" spans="1:10" x14ac:dyDescent="0.25">
      <c r="A3065" t="s">
        <v>14735</v>
      </c>
      <c r="B3065">
        <v>13.992000000000001</v>
      </c>
      <c r="C3065" t="s">
        <v>14736</v>
      </c>
      <c r="D3065" t="s">
        <v>436</v>
      </c>
      <c r="E3065" t="s">
        <v>14737</v>
      </c>
      <c r="F3065" t="s">
        <v>7672</v>
      </c>
      <c r="G3065" t="s">
        <v>14738</v>
      </c>
      <c r="H3065" t="s">
        <v>11598</v>
      </c>
      <c r="I3065" t="s">
        <v>12401</v>
      </c>
      <c r="J3065" t="s">
        <v>7942</v>
      </c>
    </row>
    <row r="3066" spans="1:10" x14ac:dyDescent="0.25">
      <c r="A3066" t="s">
        <v>14739</v>
      </c>
      <c r="B3066">
        <v>13.992000000000001</v>
      </c>
      <c r="C3066" t="s">
        <v>14740</v>
      </c>
      <c r="D3066" t="s">
        <v>113</v>
      </c>
      <c r="E3066" t="s">
        <v>14737</v>
      </c>
      <c r="F3066" t="s">
        <v>7672</v>
      </c>
      <c r="G3066" t="s">
        <v>14738</v>
      </c>
      <c r="H3066" t="s">
        <v>11598</v>
      </c>
      <c r="I3066" t="s">
        <v>76</v>
      </c>
      <c r="J3066" t="s">
        <v>7942</v>
      </c>
    </row>
    <row r="3067" spans="1:10" x14ac:dyDescent="0.25">
      <c r="A3067" t="s">
        <v>14741</v>
      </c>
      <c r="B3067">
        <v>13.992000000000001</v>
      </c>
      <c r="C3067" t="s">
        <v>14742</v>
      </c>
      <c r="D3067" t="s">
        <v>301</v>
      </c>
      <c r="E3067" t="s">
        <v>14737</v>
      </c>
      <c r="F3067" t="s">
        <v>7672</v>
      </c>
      <c r="G3067" t="s">
        <v>14738</v>
      </c>
      <c r="H3067" t="s">
        <v>11598</v>
      </c>
      <c r="I3067" t="s">
        <v>12401</v>
      </c>
      <c r="J3067" t="s">
        <v>7981</v>
      </c>
    </row>
    <row r="3068" spans="1:10" x14ac:dyDescent="0.25">
      <c r="A3068" t="s">
        <v>14743</v>
      </c>
      <c r="B3068">
        <v>13.992000000000001</v>
      </c>
      <c r="C3068" t="s">
        <v>14744</v>
      </c>
      <c r="D3068" t="s">
        <v>88</v>
      </c>
      <c r="E3068" t="s">
        <v>14737</v>
      </c>
      <c r="F3068" t="s">
        <v>7672</v>
      </c>
      <c r="G3068" t="s">
        <v>14738</v>
      </c>
      <c r="H3068" t="s">
        <v>11598</v>
      </c>
      <c r="I3068" t="s">
        <v>76</v>
      </c>
      <c r="J3068" t="s">
        <v>7981</v>
      </c>
    </row>
    <row r="3069" spans="1:10" x14ac:dyDescent="0.25">
      <c r="A3069" t="s">
        <v>14745</v>
      </c>
      <c r="B3069">
        <v>13.992000000000001</v>
      </c>
      <c r="C3069" t="s">
        <v>14746</v>
      </c>
      <c r="D3069" t="s">
        <v>250</v>
      </c>
      <c r="E3069" t="s">
        <v>14737</v>
      </c>
      <c r="F3069" t="s">
        <v>7672</v>
      </c>
      <c r="G3069" t="s">
        <v>14738</v>
      </c>
      <c r="H3069" t="s">
        <v>11598</v>
      </c>
      <c r="I3069" t="s">
        <v>12401</v>
      </c>
      <c r="J3069" t="s">
        <v>7984</v>
      </c>
    </row>
    <row r="3070" spans="1:10" x14ac:dyDescent="0.25">
      <c r="A3070" t="s">
        <v>14747</v>
      </c>
      <c r="B3070">
        <v>13.992000000000001</v>
      </c>
      <c r="C3070" t="s">
        <v>14748</v>
      </c>
      <c r="D3070" t="s">
        <v>2072</v>
      </c>
      <c r="E3070" t="s">
        <v>14737</v>
      </c>
      <c r="F3070" t="s">
        <v>7672</v>
      </c>
      <c r="G3070" t="s">
        <v>14738</v>
      </c>
      <c r="H3070" t="s">
        <v>11598</v>
      </c>
      <c r="I3070" t="s">
        <v>76</v>
      </c>
      <c r="J3070" t="s">
        <v>7984</v>
      </c>
    </row>
    <row r="3071" spans="1:10" x14ac:dyDescent="0.25">
      <c r="A3071" t="s">
        <v>14749</v>
      </c>
      <c r="B3071">
        <v>13.992000000000001</v>
      </c>
      <c r="C3071" t="s">
        <v>14750</v>
      </c>
      <c r="D3071" t="s">
        <v>2879</v>
      </c>
      <c r="E3071" t="s">
        <v>14737</v>
      </c>
      <c r="F3071" t="s">
        <v>7672</v>
      </c>
      <c r="G3071" t="s">
        <v>14738</v>
      </c>
      <c r="H3071" t="s">
        <v>11598</v>
      </c>
      <c r="I3071" t="s">
        <v>76</v>
      </c>
      <c r="J3071" t="s">
        <v>7987</v>
      </c>
    </row>
    <row r="3072" spans="1:10" x14ac:dyDescent="0.25">
      <c r="A3072" t="s">
        <v>14751</v>
      </c>
      <c r="B3072">
        <v>13.992000000000001</v>
      </c>
      <c r="C3072" t="s">
        <v>14752</v>
      </c>
      <c r="D3072" t="s">
        <v>255</v>
      </c>
      <c r="E3072" t="s">
        <v>14737</v>
      </c>
      <c r="F3072" t="s">
        <v>7672</v>
      </c>
      <c r="G3072" t="s">
        <v>14738</v>
      </c>
      <c r="H3072" t="s">
        <v>11598</v>
      </c>
      <c r="I3072" t="s">
        <v>12401</v>
      </c>
      <c r="J3072" t="s">
        <v>8013</v>
      </c>
    </row>
    <row r="3073" spans="1:10" x14ac:dyDescent="0.25">
      <c r="A3073" t="s">
        <v>14753</v>
      </c>
      <c r="B3073">
        <v>13.992000000000001</v>
      </c>
      <c r="C3073" t="s">
        <v>14754</v>
      </c>
      <c r="D3073" t="s">
        <v>164</v>
      </c>
      <c r="E3073" t="s">
        <v>14737</v>
      </c>
      <c r="F3073" t="s">
        <v>7672</v>
      </c>
      <c r="G3073" t="s">
        <v>14738</v>
      </c>
      <c r="H3073" t="s">
        <v>11598</v>
      </c>
      <c r="I3073" t="s">
        <v>76</v>
      </c>
      <c r="J3073" t="s">
        <v>8013</v>
      </c>
    </row>
    <row r="3074" spans="1:10" x14ac:dyDescent="0.25">
      <c r="A3074" t="s">
        <v>3487</v>
      </c>
      <c r="B3074">
        <v>8.0960000000000001</v>
      </c>
      <c r="C3074" t="s">
        <v>3489</v>
      </c>
      <c r="D3074" t="s">
        <v>576</v>
      </c>
      <c r="E3074" t="s">
        <v>3490</v>
      </c>
      <c r="F3074" t="s">
        <v>7672</v>
      </c>
      <c r="G3074" t="s">
        <v>14755</v>
      </c>
      <c r="H3074" t="s">
        <v>14756</v>
      </c>
      <c r="I3074" t="s">
        <v>14757</v>
      </c>
      <c r="J3074" t="s">
        <v>7719</v>
      </c>
    </row>
    <row r="3075" spans="1:10" x14ac:dyDescent="0.25">
      <c r="A3075" t="s">
        <v>3494</v>
      </c>
      <c r="B3075">
        <v>24</v>
      </c>
      <c r="C3075" t="s">
        <v>3496</v>
      </c>
      <c r="D3075" t="s">
        <v>269</v>
      </c>
      <c r="E3075" t="s">
        <v>3497</v>
      </c>
      <c r="F3075" t="s">
        <v>7672</v>
      </c>
      <c r="G3075" t="s">
        <v>14758</v>
      </c>
      <c r="H3075" t="s">
        <v>9232</v>
      </c>
      <c r="I3075" t="s">
        <v>14759</v>
      </c>
      <c r="J3075" t="s">
        <v>7981</v>
      </c>
    </row>
    <row r="3076" spans="1:10" x14ac:dyDescent="0.25">
      <c r="A3076" t="s">
        <v>3501</v>
      </c>
      <c r="B3076">
        <v>24</v>
      </c>
      <c r="C3076" t="s">
        <v>3503</v>
      </c>
      <c r="D3076" t="s">
        <v>113</v>
      </c>
      <c r="E3076" t="s">
        <v>3497</v>
      </c>
      <c r="F3076" t="s">
        <v>7672</v>
      </c>
      <c r="G3076" t="s">
        <v>14758</v>
      </c>
      <c r="H3076" t="s">
        <v>9232</v>
      </c>
      <c r="I3076" t="s">
        <v>14760</v>
      </c>
      <c r="J3076" t="s">
        <v>7981</v>
      </c>
    </row>
    <row r="3077" spans="1:10" x14ac:dyDescent="0.25">
      <c r="A3077" t="s">
        <v>3506</v>
      </c>
      <c r="B3077">
        <v>24</v>
      </c>
      <c r="C3077" t="s">
        <v>3508</v>
      </c>
      <c r="D3077" t="s">
        <v>981</v>
      </c>
      <c r="E3077" t="s">
        <v>3497</v>
      </c>
      <c r="F3077" t="s">
        <v>7672</v>
      </c>
      <c r="G3077" t="s">
        <v>14758</v>
      </c>
      <c r="H3077" t="s">
        <v>9232</v>
      </c>
      <c r="I3077" t="s">
        <v>14760</v>
      </c>
      <c r="J3077" t="s">
        <v>7984</v>
      </c>
    </row>
    <row r="3078" spans="1:10" x14ac:dyDescent="0.25">
      <c r="A3078" t="s">
        <v>3510</v>
      </c>
      <c r="B3078">
        <v>24</v>
      </c>
      <c r="C3078" t="s">
        <v>3512</v>
      </c>
      <c r="D3078" t="s">
        <v>40</v>
      </c>
      <c r="E3078" t="s">
        <v>3497</v>
      </c>
      <c r="F3078" t="s">
        <v>7672</v>
      </c>
      <c r="G3078" t="s">
        <v>14758</v>
      </c>
      <c r="H3078" t="s">
        <v>9232</v>
      </c>
      <c r="I3078" t="s">
        <v>14760</v>
      </c>
      <c r="J3078" t="s">
        <v>7987</v>
      </c>
    </row>
    <row r="3079" spans="1:10" x14ac:dyDescent="0.25">
      <c r="A3079" t="s">
        <v>3514</v>
      </c>
      <c r="B3079">
        <v>24</v>
      </c>
      <c r="C3079" t="s">
        <v>3516</v>
      </c>
      <c r="D3079" t="s">
        <v>229</v>
      </c>
      <c r="E3079" t="s">
        <v>3497</v>
      </c>
      <c r="F3079" t="s">
        <v>7672</v>
      </c>
      <c r="G3079" t="s">
        <v>14758</v>
      </c>
      <c r="H3079" t="s">
        <v>9232</v>
      </c>
      <c r="I3079" t="s">
        <v>14759</v>
      </c>
      <c r="J3079" t="s">
        <v>7987</v>
      </c>
    </row>
    <row r="3080" spans="1:10" x14ac:dyDescent="0.25">
      <c r="A3080" t="s">
        <v>3518</v>
      </c>
      <c r="B3080">
        <v>24</v>
      </c>
      <c r="C3080" t="s">
        <v>3520</v>
      </c>
      <c r="D3080" t="s">
        <v>321</v>
      </c>
      <c r="E3080" t="s">
        <v>3497</v>
      </c>
      <c r="F3080" t="s">
        <v>7672</v>
      </c>
      <c r="G3080" t="s">
        <v>14758</v>
      </c>
      <c r="H3080" t="s">
        <v>9232</v>
      </c>
      <c r="I3080" t="s">
        <v>14760</v>
      </c>
      <c r="J3080" t="s">
        <v>8001</v>
      </c>
    </row>
    <row r="3081" spans="1:10" x14ac:dyDescent="0.25">
      <c r="A3081" t="s">
        <v>3522</v>
      </c>
      <c r="B3081">
        <v>24</v>
      </c>
      <c r="C3081" t="s">
        <v>3524</v>
      </c>
      <c r="D3081" t="s">
        <v>359</v>
      </c>
      <c r="E3081" t="s">
        <v>3497</v>
      </c>
      <c r="F3081" t="s">
        <v>7672</v>
      </c>
      <c r="G3081" t="s">
        <v>14758</v>
      </c>
      <c r="H3081" t="s">
        <v>9232</v>
      </c>
      <c r="I3081" t="s">
        <v>14759</v>
      </c>
      <c r="J3081" t="s">
        <v>8001</v>
      </c>
    </row>
    <row r="3082" spans="1:10" x14ac:dyDescent="0.25">
      <c r="A3082" t="s">
        <v>3526</v>
      </c>
      <c r="B3082">
        <v>24</v>
      </c>
      <c r="C3082" t="s">
        <v>3528</v>
      </c>
      <c r="D3082" t="s">
        <v>436</v>
      </c>
      <c r="E3082" t="s">
        <v>3497</v>
      </c>
      <c r="F3082" t="s">
        <v>7672</v>
      </c>
      <c r="G3082" t="s">
        <v>14758</v>
      </c>
      <c r="H3082" t="s">
        <v>9232</v>
      </c>
      <c r="I3082" t="s">
        <v>14761</v>
      </c>
      <c r="J3082" t="s">
        <v>8001</v>
      </c>
    </row>
    <row r="3083" spans="1:10" x14ac:dyDescent="0.25">
      <c r="A3083" t="s">
        <v>3531</v>
      </c>
      <c r="B3083">
        <v>24</v>
      </c>
      <c r="C3083" t="s">
        <v>3533</v>
      </c>
      <c r="D3083" t="s">
        <v>835</v>
      </c>
      <c r="E3083" t="s">
        <v>3497</v>
      </c>
      <c r="F3083" t="s">
        <v>7672</v>
      </c>
      <c r="G3083" t="s">
        <v>14758</v>
      </c>
      <c r="H3083" t="s">
        <v>9232</v>
      </c>
      <c r="I3083" t="s">
        <v>14762</v>
      </c>
      <c r="J3083" t="s">
        <v>8001</v>
      </c>
    </row>
    <row r="3084" spans="1:10" x14ac:dyDescent="0.25">
      <c r="A3084" t="s">
        <v>3536</v>
      </c>
      <c r="B3084">
        <v>24</v>
      </c>
      <c r="C3084" t="s">
        <v>3538</v>
      </c>
      <c r="D3084" t="s">
        <v>269</v>
      </c>
      <c r="E3084" t="s">
        <v>3497</v>
      </c>
      <c r="F3084" t="s">
        <v>7672</v>
      </c>
      <c r="G3084" t="s">
        <v>14758</v>
      </c>
      <c r="H3084" t="s">
        <v>9232</v>
      </c>
      <c r="I3084" t="s">
        <v>14761</v>
      </c>
      <c r="J3084" t="s">
        <v>8013</v>
      </c>
    </row>
    <row r="3085" spans="1:10" x14ac:dyDescent="0.25">
      <c r="A3085" t="s">
        <v>3540</v>
      </c>
      <c r="B3085">
        <v>24</v>
      </c>
      <c r="C3085" t="s">
        <v>3542</v>
      </c>
      <c r="D3085" t="s">
        <v>95</v>
      </c>
      <c r="E3085" t="s">
        <v>3497</v>
      </c>
      <c r="F3085" t="s">
        <v>7672</v>
      </c>
      <c r="G3085" t="s">
        <v>14758</v>
      </c>
      <c r="H3085" t="s">
        <v>9232</v>
      </c>
      <c r="I3085" t="s">
        <v>14762</v>
      </c>
      <c r="J3085" t="s">
        <v>8013</v>
      </c>
    </row>
    <row r="3086" spans="1:10" x14ac:dyDescent="0.25">
      <c r="A3086" t="s">
        <v>3544</v>
      </c>
      <c r="B3086">
        <v>24</v>
      </c>
      <c r="C3086" t="s">
        <v>3546</v>
      </c>
      <c r="D3086" t="s">
        <v>301</v>
      </c>
      <c r="E3086" t="s">
        <v>3497</v>
      </c>
      <c r="F3086" t="s">
        <v>7672</v>
      </c>
      <c r="G3086" t="s">
        <v>14758</v>
      </c>
      <c r="H3086" t="s">
        <v>9232</v>
      </c>
      <c r="I3086" t="s">
        <v>14759</v>
      </c>
      <c r="J3086" t="s">
        <v>8013</v>
      </c>
    </row>
    <row r="3087" spans="1:10" x14ac:dyDescent="0.25">
      <c r="A3087" t="s">
        <v>3548</v>
      </c>
      <c r="B3087">
        <v>24</v>
      </c>
      <c r="C3087" t="s">
        <v>3550</v>
      </c>
      <c r="D3087" t="s">
        <v>311</v>
      </c>
      <c r="E3087" t="s">
        <v>3497</v>
      </c>
      <c r="F3087" t="s">
        <v>7672</v>
      </c>
      <c r="G3087" t="s">
        <v>14758</v>
      </c>
      <c r="H3087" t="s">
        <v>9232</v>
      </c>
      <c r="I3087" t="s">
        <v>14760</v>
      </c>
      <c r="J3087" t="s">
        <v>8013</v>
      </c>
    </row>
    <row r="3088" spans="1:10" x14ac:dyDescent="0.25">
      <c r="A3088" t="s">
        <v>14763</v>
      </c>
      <c r="B3088">
        <v>16.792000000000002</v>
      </c>
      <c r="C3088" t="s">
        <v>14764</v>
      </c>
      <c r="D3088" t="s">
        <v>1236</v>
      </c>
      <c r="E3088" t="s">
        <v>14765</v>
      </c>
      <c r="F3088" t="s">
        <v>7672</v>
      </c>
      <c r="G3088" t="s">
        <v>14766</v>
      </c>
      <c r="H3088" t="s">
        <v>9127</v>
      </c>
      <c r="I3088" t="s">
        <v>76</v>
      </c>
      <c r="J3088" t="s">
        <v>7942</v>
      </c>
    </row>
    <row r="3089" spans="1:10" x14ac:dyDescent="0.25">
      <c r="A3089" t="s">
        <v>14767</v>
      </c>
      <c r="B3089">
        <v>16.792000000000002</v>
      </c>
      <c r="C3089" t="s">
        <v>14768</v>
      </c>
      <c r="D3089" t="s">
        <v>3572</v>
      </c>
      <c r="E3089" t="s">
        <v>14765</v>
      </c>
      <c r="F3089" t="s">
        <v>7672</v>
      </c>
      <c r="G3089" t="s">
        <v>14766</v>
      </c>
      <c r="H3089" t="s">
        <v>9127</v>
      </c>
      <c r="I3089" t="s">
        <v>76</v>
      </c>
      <c r="J3089" t="s">
        <v>7981</v>
      </c>
    </row>
    <row r="3090" spans="1:10" x14ac:dyDescent="0.25">
      <c r="A3090" t="s">
        <v>14769</v>
      </c>
      <c r="B3090">
        <v>16.792000000000002</v>
      </c>
      <c r="C3090" t="s">
        <v>14770</v>
      </c>
      <c r="D3090" t="s">
        <v>941</v>
      </c>
      <c r="E3090" t="s">
        <v>14765</v>
      </c>
      <c r="F3090" t="s">
        <v>7672</v>
      </c>
      <c r="G3090" t="s">
        <v>14766</v>
      </c>
      <c r="H3090" t="s">
        <v>9127</v>
      </c>
      <c r="I3090" t="s">
        <v>76</v>
      </c>
      <c r="J3090" t="s">
        <v>7984</v>
      </c>
    </row>
    <row r="3091" spans="1:10" x14ac:dyDescent="0.25">
      <c r="A3091" t="s">
        <v>14771</v>
      </c>
      <c r="B3091">
        <v>16.792000000000002</v>
      </c>
      <c r="C3091" t="s">
        <v>14772</v>
      </c>
      <c r="D3091" t="s">
        <v>639</v>
      </c>
      <c r="E3091" t="s">
        <v>14765</v>
      </c>
      <c r="F3091" t="s">
        <v>7672</v>
      </c>
      <c r="G3091" t="s">
        <v>14766</v>
      </c>
      <c r="H3091" t="s">
        <v>9127</v>
      </c>
      <c r="I3091" t="s">
        <v>76</v>
      </c>
      <c r="J3091" t="s">
        <v>7987</v>
      </c>
    </row>
    <row r="3092" spans="1:10" x14ac:dyDescent="0.25">
      <c r="A3092" t="s">
        <v>14773</v>
      </c>
      <c r="B3092">
        <v>16.792000000000002</v>
      </c>
      <c r="C3092" t="s">
        <v>14774</v>
      </c>
      <c r="D3092" t="s">
        <v>8618</v>
      </c>
      <c r="E3092" t="s">
        <v>14765</v>
      </c>
      <c r="F3092" t="s">
        <v>7672</v>
      </c>
      <c r="G3092" t="s">
        <v>14766</v>
      </c>
      <c r="H3092" t="s">
        <v>9127</v>
      </c>
      <c r="I3092" t="s">
        <v>76</v>
      </c>
      <c r="J3092" t="s">
        <v>8001</v>
      </c>
    </row>
    <row r="3093" spans="1:10" x14ac:dyDescent="0.25">
      <c r="A3093" t="s">
        <v>14775</v>
      </c>
      <c r="B3093">
        <v>16.792000000000002</v>
      </c>
      <c r="C3093" t="s">
        <v>14776</v>
      </c>
      <c r="D3093" t="s">
        <v>776</v>
      </c>
      <c r="E3093" t="s">
        <v>14765</v>
      </c>
      <c r="F3093" t="s">
        <v>7672</v>
      </c>
      <c r="G3093" t="s">
        <v>14766</v>
      </c>
      <c r="H3093" t="s">
        <v>9127</v>
      </c>
      <c r="I3093" t="s">
        <v>76</v>
      </c>
      <c r="J3093" t="s">
        <v>8013</v>
      </c>
    </row>
    <row r="3094" spans="1:10" x14ac:dyDescent="0.25">
      <c r="A3094" t="s">
        <v>14777</v>
      </c>
      <c r="B3094">
        <v>5.9920000000000009</v>
      </c>
      <c r="C3094" t="s">
        <v>14778</v>
      </c>
      <c r="D3094" t="s">
        <v>1536</v>
      </c>
      <c r="E3094" t="s">
        <v>14779</v>
      </c>
      <c r="F3094" t="s">
        <v>7672</v>
      </c>
      <c r="G3094" t="s">
        <v>14780</v>
      </c>
      <c r="H3094" t="s">
        <v>7674</v>
      </c>
      <c r="I3094" t="s">
        <v>14781</v>
      </c>
      <c r="J3094" t="s">
        <v>7675</v>
      </c>
    </row>
    <row r="3095" spans="1:10" x14ac:dyDescent="0.25">
      <c r="A3095" t="s">
        <v>14782</v>
      </c>
      <c r="B3095">
        <v>5.9920000000000009</v>
      </c>
      <c r="C3095" t="s">
        <v>14783</v>
      </c>
      <c r="D3095" t="s">
        <v>67</v>
      </c>
      <c r="E3095" t="s">
        <v>14779</v>
      </c>
      <c r="F3095" t="s">
        <v>7672</v>
      </c>
      <c r="G3095" t="s">
        <v>14780</v>
      </c>
      <c r="H3095" t="s">
        <v>7674</v>
      </c>
      <c r="I3095" t="s">
        <v>805</v>
      </c>
      <c r="J3095" t="s">
        <v>7675</v>
      </c>
    </row>
    <row r="3096" spans="1:10" x14ac:dyDescent="0.25">
      <c r="A3096" t="s">
        <v>14784</v>
      </c>
      <c r="B3096">
        <v>5.9920000000000009</v>
      </c>
      <c r="C3096" t="s">
        <v>14785</v>
      </c>
      <c r="D3096" t="s">
        <v>3389</v>
      </c>
      <c r="E3096" t="s">
        <v>14779</v>
      </c>
      <c r="F3096" t="s">
        <v>7672</v>
      </c>
      <c r="G3096" t="s">
        <v>14780</v>
      </c>
      <c r="H3096" t="s">
        <v>7674</v>
      </c>
      <c r="I3096" t="s">
        <v>14781</v>
      </c>
      <c r="J3096" t="s">
        <v>7686</v>
      </c>
    </row>
    <row r="3097" spans="1:10" x14ac:dyDescent="0.25">
      <c r="A3097" t="s">
        <v>14786</v>
      </c>
      <c r="B3097">
        <v>5.9920000000000009</v>
      </c>
      <c r="C3097" t="s">
        <v>14787</v>
      </c>
      <c r="D3097" t="s">
        <v>13263</v>
      </c>
      <c r="E3097" t="s">
        <v>14779</v>
      </c>
      <c r="F3097" t="s">
        <v>7672</v>
      </c>
      <c r="G3097" t="s">
        <v>14780</v>
      </c>
      <c r="H3097" t="s">
        <v>7674</v>
      </c>
      <c r="I3097" t="s">
        <v>805</v>
      </c>
      <c r="J3097" t="s">
        <v>7686</v>
      </c>
    </row>
    <row r="3098" spans="1:10" x14ac:dyDescent="0.25">
      <c r="A3098" t="s">
        <v>14788</v>
      </c>
      <c r="B3098">
        <v>5.9920000000000009</v>
      </c>
      <c r="C3098" t="s">
        <v>14789</v>
      </c>
      <c r="D3098" t="s">
        <v>14790</v>
      </c>
      <c r="E3098" t="s">
        <v>14779</v>
      </c>
      <c r="F3098" t="s">
        <v>7672</v>
      </c>
      <c r="G3098" t="s">
        <v>14780</v>
      </c>
      <c r="H3098" t="s">
        <v>7674</v>
      </c>
      <c r="I3098" t="s">
        <v>14781</v>
      </c>
      <c r="J3098" t="s">
        <v>7703</v>
      </c>
    </row>
    <row r="3099" spans="1:10" x14ac:dyDescent="0.25">
      <c r="A3099" t="s">
        <v>14791</v>
      </c>
      <c r="B3099">
        <v>5.9920000000000009</v>
      </c>
      <c r="C3099" t="s">
        <v>14792</v>
      </c>
      <c r="D3099" t="s">
        <v>10036</v>
      </c>
      <c r="E3099" t="s">
        <v>14779</v>
      </c>
      <c r="F3099" t="s">
        <v>7672</v>
      </c>
      <c r="G3099" t="s">
        <v>14780</v>
      </c>
      <c r="H3099" t="s">
        <v>7674</v>
      </c>
      <c r="I3099" t="s">
        <v>805</v>
      </c>
      <c r="J3099" t="s">
        <v>7703</v>
      </c>
    </row>
    <row r="3100" spans="1:10" x14ac:dyDescent="0.25">
      <c r="A3100" t="s">
        <v>14793</v>
      </c>
      <c r="B3100">
        <v>5.9920000000000009</v>
      </c>
      <c r="C3100" t="s">
        <v>14794</v>
      </c>
      <c r="D3100" t="s">
        <v>352</v>
      </c>
      <c r="E3100" t="s">
        <v>14779</v>
      </c>
      <c r="F3100" t="s">
        <v>7672</v>
      </c>
      <c r="G3100" t="s">
        <v>14780</v>
      </c>
      <c r="H3100" t="s">
        <v>7674</v>
      </c>
      <c r="I3100" t="s">
        <v>14781</v>
      </c>
      <c r="J3100" t="s">
        <v>7713</v>
      </c>
    </row>
    <row r="3101" spans="1:10" x14ac:dyDescent="0.25">
      <c r="A3101" t="s">
        <v>14795</v>
      </c>
      <c r="B3101">
        <v>5.9920000000000009</v>
      </c>
      <c r="C3101" t="s">
        <v>14796</v>
      </c>
      <c r="D3101" t="s">
        <v>7731</v>
      </c>
      <c r="E3101" t="s">
        <v>14779</v>
      </c>
      <c r="F3101" t="s">
        <v>7672</v>
      </c>
      <c r="G3101" t="s">
        <v>14780</v>
      </c>
      <c r="H3101" t="s">
        <v>7674</v>
      </c>
      <c r="I3101" t="s">
        <v>805</v>
      </c>
      <c r="J3101" t="s">
        <v>7713</v>
      </c>
    </row>
    <row r="3102" spans="1:10" x14ac:dyDescent="0.25">
      <c r="A3102" t="s">
        <v>14797</v>
      </c>
      <c r="B3102">
        <v>5.9920000000000009</v>
      </c>
      <c r="C3102" t="s">
        <v>14798</v>
      </c>
      <c r="D3102" t="s">
        <v>5119</v>
      </c>
      <c r="E3102" t="s">
        <v>14779</v>
      </c>
      <c r="F3102" t="s">
        <v>7672</v>
      </c>
      <c r="G3102" t="s">
        <v>14780</v>
      </c>
      <c r="H3102" t="s">
        <v>7674</v>
      </c>
      <c r="I3102" t="s">
        <v>14781</v>
      </c>
      <c r="J3102" t="s">
        <v>7719</v>
      </c>
    </row>
    <row r="3103" spans="1:10" x14ac:dyDescent="0.25">
      <c r="A3103" t="s">
        <v>14799</v>
      </c>
      <c r="B3103">
        <v>5.9920000000000009</v>
      </c>
      <c r="C3103" t="s">
        <v>14800</v>
      </c>
      <c r="D3103" t="s">
        <v>12349</v>
      </c>
      <c r="E3103" t="s">
        <v>14779</v>
      </c>
      <c r="F3103" t="s">
        <v>7672</v>
      </c>
      <c r="G3103" t="s">
        <v>14780</v>
      </c>
      <c r="H3103" t="s">
        <v>7674</v>
      </c>
      <c r="I3103" t="s">
        <v>805</v>
      </c>
      <c r="J3103" t="s">
        <v>7719</v>
      </c>
    </row>
    <row r="3104" spans="1:10" x14ac:dyDescent="0.25">
      <c r="A3104" t="s">
        <v>14801</v>
      </c>
      <c r="B3104">
        <v>13.992000000000001</v>
      </c>
      <c r="C3104" t="s">
        <v>14802</v>
      </c>
      <c r="D3104" t="s">
        <v>240</v>
      </c>
      <c r="E3104" t="s">
        <v>14803</v>
      </c>
      <c r="F3104" t="s">
        <v>7672</v>
      </c>
      <c r="G3104" t="s">
        <v>14804</v>
      </c>
      <c r="H3104" t="s">
        <v>11598</v>
      </c>
      <c r="I3104" t="s">
        <v>14805</v>
      </c>
      <c r="J3104" t="s">
        <v>12994</v>
      </c>
    </row>
    <row r="3105" spans="1:10" x14ac:dyDescent="0.25">
      <c r="A3105" t="s">
        <v>14806</v>
      </c>
      <c r="B3105">
        <v>13.992000000000001</v>
      </c>
      <c r="C3105" t="s">
        <v>14807</v>
      </c>
      <c r="D3105" t="s">
        <v>255</v>
      </c>
      <c r="E3105" t="s">
        <v>14803</v>
      </c>
      <c r="F3105" t="s">
        <v>7672</v>
      </c>
      <c r="G3105" t="s">
        <v>14804</v>
      </c>
      <c r="H3105" t="s">
        <v>11598</v>
      </c>
      <c r="I3105" t="s">
        <v>14805</v>
      </c>
      <c r="J3105" t="s">
        <v>12514</v>
      </c>
    </row>
    <row r="3106" spans="1:10" x14ac:dyDescent="0.25">
      <c r="A3106" t="s">
        <v>14808</v>
      </c>
      <c r="B3106">
        <v>13.992000000000001</v>
      </c>
      <c r="C3106" t="s">
        <v>14809</v>
      </c>
      <c r="D3106" t="s">
        <v>269</v>
      </c>
      <c r="E3106" t="s">
        <v>14803</v>
      </c>
      <c r="F3106" t="s">
        <v>7672</v>
      </c>
      <c r="G3106" t="s">
        <v>14804</v>
      </c>
      <c r="H3106" t="s">
        <v>11598</v>
      </c>
      <c r="I3106" t="s">
        <v>14810</v>
      </c>
      <c r="J3106" t="s">
        <v>12514</v>
      </c>
    </row>
    <row r="3107" spans="1:10" x14ac:dyDescent="0.25">
      <c r="A3107" t="s">
        <v>14811</v>
      </c>
      <c r="B3107">
        <v>13.992000000000001</v>
      </c>
      <c r="C3107" t="s">
        <v>14812</v>
      </c>
      <c r="D3107" t="s">
        <v>282</v>
      </c>
      <c r="E3107" t="s">
        <v>14803</v>
      </c>
      <c r="F3107" t="s">
        <v>7672</v>
      </c>
      <c r="G3107" t="s">
        <v>14804</v>
      </c>
      <c r="H3107" t="s">
        <v>11598</v>
      </c>
      <c r="I3107" t="s">
        <v>14805</v>
      </c>
      <c r="J3107" t="s">
        <v>8980</v>
      </c>
    </row>
    <row r="3108" spans="1:10" x14ac:dyDescent="0.25">
      <c r="A3108" t="s">
        <v>14813</v>
      </c>
      <c r="B3108">
        <v>13.992000000000001</v>
      </c>
      <c r="C3108" t="s">
        <v>14814</v>
      </c>
      <c r="D3108" t="s">
        <v>60</v>
      </c>
      <c r="E3108" t="s">
        <v>14803</v>
      </c>
      <c r="F3108" t="s">
        <v>7672</v>
      </c>
      <c r="G3108" t="s">
        <v>14804</v>
      </c>
      <c r="H3108" t="s">
        <v>11598</v>
      </c>
      <c r="I3108" t="s">
        <v>14810</v>
      </c>
      <c r="J3108" t="s">
        <v>60</v>
      </c>
    </row>
    <row r="3109" spans="1:10" x14ac:dyDescent="0.25">
      <c r="A3109" t="s">
        <v>14815</v>
      </c>
      <c r="B3109">
        <v>13.992000000000001</v>
      </c>
      <c r="C3109" t="s">
        <v>14816</v>
      </c>
      <c r="D3109" t="s">
        <v>255</v>
      </c>
      <c r="E3109" t="s">
        <v>14803</v>
      </c>
      <c r="F3109" t="s">
        <v>7672</v>
      </c>
      <c r="G3109" t="s">
        <v>14804</v>
      </c>
      <c r="H3109" t="s">
        <v>11598</v>
      </c>
      <c r="I3109" t="s">
        <v>14805</v>
      </c>
      <c r="J3109" t="s">
        <v>269</v>
      </c>
    </row>
    <row r="3110" spans="1:10" x14ac:dyDescent="0.25">
      <c r="A3110" t="s">
        <v>14817</v>
      </c>
      <c r="B3110">
        <v>13.992000000000001</v>
      </c>
      <c r="C3110" t="s">
        <v>14818</v>
      </c>
      <c r="D3110" t="s">
        <v>870</v>
      </c>
      <c r="E3110" t="s">
        <v>14803</v>
      </c>
      <c r="F3110" t="s">
        <v>7672</v>
      </c>
      <c r="G3110" t="s">
        <v>14804</v>
      </c>
      <c r="H3110" t="s">
        <v>11598</v>
      </c>
      <c r="I3110" t="s">
        <v>14805</v>
      </c>
      <c r="J3110" t="s">
        <v>255</v>
      </c>
    </row>
    <row r="3111" spans="1:10" x14ac:dyDescent="0.25">
      <c r="A3111" t="s">
        <v>14819</v>
      </c>
      <c r="B3111">
        <v>13.992000000000001</v>
      </c>
      <c r="C3111" t="s">
        <v>14820</v>
      </c>
      <c r="D3111" t="s">
        <v>3086</v>
      </c>
      <c r="E3111" t="s">
        <v>14803</v>
      </c>
      <c r="F3111" t="s">
        <v>7672</v>
      </c>
      <c r="G3111" t="s">
        <v>14804</v>
      </c>
      <c r="H3111" t="s">
        <v>11598</v>
      </c>
      <c r="I3111" t="s">
        <v>14805</v>
      </c>
      <c r="J3111" t="s">
        <v>277</v>
      </c>
    </row>
    <row r="3112" spans="1:10" x14ac:dyDescent="0.25">
      <c r="A3112" t="s">
        <v>14821</v>
      </c>
      <c r="B3112">
        <v>13.992000000000001</v>
      </c>
      <c r="C3112" t="s">
        <v>14822</v>
      </c>
      <c r="D3112" t="s">
        <v>593</v>
      </c>
      <c r="E3112" t="s">
        <v>14803</v>
      </c>
      <c r="F3112" t="s">
        <v>7672</v>
      </c>
      <c r="G3112" t="s">
        <v>14804</v>
      </c>
      <c r="H3112" t="s">
        <v>11598</v>
      </c>
      <c r="I3112" t="s">
        <v>14805</v>
      </c>
      <c r="J3112" t="s">
        <v>164</v>
      </c>
    </row>
    <row r="3113" spans="1:10" x14ac:dyDescent="0.25">
      <c r="A3113" t="s">
        <v>14823</v>
      </c>
      <c r="B3113">
        <v>13.992000000000001</v>
      </c>
      <c r="C3113" t="s">
        <v>14824</v>
      </c>
      <c r="D3113" t="s">
        <v>2056</v>
      </c>
      <c r="E3113" t="s">
        <v>14803</v>
      </c>
      <c r="F3113" t="s">
        <v>7672</v>
      </c>
      <c r="G3113" t="s">
        <v>14804</v>
      </c>
      <c r="H3113" t="s">
        <v>11598</v>
      </c>
      <c r="I3113" t="s">
        <v>14810</v>
      </c>
      <c r="J3113" t="s">
        <v>290</v>
      </c>
    </row>
    <row r="3114" spans="1:10" x14ac:dyDescent="0.25">
      <c r="A3114" t="s">
        <v>14825</v>
      </c>
      <c r="B3114">
        <v>13.992000000000001</v>
      </c>
      <c r="C3114" t="s">
        <v>14826</v>
      </c>
      <c r="D3114" t="s">
        <v>2804</v>
      </c>
      <c r="E3114" t="s">
        <v>14803</v>
      </c>
      <c r="F3114" t="s">
        <v>7672</v>
      </c>
      <c r="G3114" t="s">
        <v>14804</v>
      </c>
      <c r="H3114" t="s">
        <v>11598</v>
      </c>
      <c r="I3114" t="s">
        <v>14805</v>
      </c>
      <c r="J3114" t="s">
        <v>290</v>
      </c>
    </row>
    <row r="3115" spans="1:10" x14ac:dyDescent="0.25">
      <c r="A3115" t="s">
        <v>14827</v>
      </c>
      <c r="B3115">
        <v>13.992000000000001</v>
      </c>
      <c r="C3115" t="s">
        <v>14828</v>
      </c>
      <c r="D3115" t="s">
        <v>1573</v>
      </c>
      <c r="E3115" t="s">
        <v>14803</v>
      </c>
      <c r="F3115" t="s">
        <v>7672</v>
      </c>
      <c r="G3115" t="s">
        <v>14804</v>
      </c>
      <c r="H3115" t="s">
        <v>11598</v>
      </c>
      <c r="I3115" t="s">
        <v>14805</v>
      </c>
      <c r="J3115" t="s">
        <v>199</v>
      </c>
    </row>
    <row r="3116" spans="1:10" x14ac:dyDescent="0.25">
      <c r="A3116" t="s">
        <v>14829</v>
      </c>
      <c r="B3116">
        <v>13.992000000000001</v>
      </c>
      <c r="C3116" t="s">
        <v>14830</v>
      </c>
      <c r="D3116" t="s">
        <v>240</v>
      </c>
      <c r="E3116" t="s">
        <v>14803</v>
      </c>
      <c r="F3116" t="s">
        <v>7672</v>
      </c>
      <c r="G3116" t="s">
        <v>14804</v>
      </c>
      <c r="H3116" t="s">
        <v>11598</v>
      </c>
      <c r="I3116" t="s">
        <v>14810</v>
      </c>
      <c r="J3116" t="s">
        <v>199</v>
      </c>
    </row>
    <row r="3117" spans="1:10" x14ac:dyDescent="0.25">
      <c r="A3117" t="s">
        <v>14831</v>
      </c>
      <c r="B3117">
        <v>11.52</v>
      </c>
      <c r="C3117" t="s">
        <v>14832</v>
      </c>
      <c r="D3117" t="s">
        <v>277</v>
      </c>
      <c r="E3117" t="s">
        <v>14833</v>
      </c>
      <c r="F3117" t="s">
        <v>7672</v>
      </c>
      <c r="G3117" t="s">
        <v>14834</v>
      </c>
      <c r="H3117" t="s">
        <v>10298</v>
      </c>
      <c r="I3117" t="s">
        <v>14835</v>
      </c>
      <c r="J3117" t="s">
        <v>290</v>
      </c>
    </row>
    <row r="3118" spans="1:10" x14ac:dyDescent="0.25">
      <c r="A3118" t="s">
        <v>14836</v>
      </c>
      <c r="B3118">
        <v>9.5920000000000005</v>
      </c>
      <c r="C3118" t="s">
        <v>14837</v>
      </c>
      <c r="D3118" t="s">
        <v>95</v>
      </c>
      <c r="E3118" t="s">
        <v>14833</v>
      </c>
      <c r="F3118" t="s">
        <v>7672</v>
      </c>
      <c r="G3118" t="s">
        <v>14834</v>
      </c>
      <c r="H3118" t="s">
        <v>10298</v>
      </c>
      <c r="I3118" t="s">
        <v>235</v>
      </c>
      <c r="J3118" t="s">
        <v>290</v>
      </c>
    </row>
    <row r="3119" spans="1:10" x14ac:dyDescent="0.25">
      <c r="A3119" t="s">
        <v>14838</v>
      </c>
      <c r="B3119">
        <v>8.3920000000000012</v>
      </c>
      <c r="C3119" t="s">
        <v>14839</v>
      </c>
      <c r="D3119" t="s">
        <v>131</v>
      </c>
      <c r="E3119" t="s">
        <v>14833</v>
      </c>
      <c r="F3119" t="s">
        <v>7672</v>
      </c>
      <c r="G3119" t="s">
        <v>14834</v>
      </c>
      <c r="H3119" t="s">
        <v>10298</v>
      </c>
      <c r="I3119" t="s">
        <v>9736</v>
      </c>
      <c r="J3119" t="s">
        <v>290</v>
      </c>
    </row>
    <row r="3120" spans="1:10" x14ac:dyDescent="0.25">
      <c r="A3120" t="s">
        <v>14840</v>
      </c>
      <c r="B3120">
        <v>9.5920000000000005</v>
      </c>
      <c r="C3120" t="s">
        <v>14841</v>
      </c>
      <c r="D3120" t="s">
        <v>7850</v>
      </c>
      <c r="E3120" t="s">
        <v>14833</v>
      </c>
      <c r="F3120" t="s">
        <v>7672</v>
      </c>
      <c r="G3120" t="s">
        <v>14834</v>
      </c>
      <c r="H3120" t="s">
        <v>10298</v>
      </c>
      <c r="I3120" t="s">
        <v>14842</v>
      </c>
      <c r="J3120" t="s">
        <v>199</v>
      </c>
    </row>
    <row r="3121" spans="1:10" x14ac:dyDescent="0.25">
      <c r="A3121" t="s">
        <v>14843</v>
      </c>
      <c r="B3121">
        <v>9.5920000000000005</v>
      </c>
      <c r="C3121" t="s">
        <v>14844</v>
      </c>
      <c r="D3121" t="s">
        <v>2797</v>
      </c>
      <c r="E3121" t="s">
        <v>14833</v>
      </c>
      <c r="F3121" t="s">
        <v>7672</v>
      </c>
      <c r="G3121" t="s">
        <v>14834</v>
      </c>
      <c r="H3121" t="s">
        <v>10298</v>
      </c>
      <c r="I3121" t="s">
        <v>14845</v>
      </c>
      <c r="J3121" t="s">
        <v>199</v>
      </c>
    </row>
    <row r="3122" spans="1:10" x14ac:dyDescent="0.25">
      <c r="A3122" t="s">
        <v>14846</v>
      </c>
      <c r="B3122">
        <v>11.52</v>
      </c>
      <c r="C3122" t="s">
        <v>14847</v>
      </c>
      <c r="D3122" t="s">
        <v>13710</v>
      </c>
      <c r="E3122" t="s">
        <v>14833</v>
      </c>
      <c r="F3122" t="s">
        <v>7672</v>
      </c>
      <c r="G3122" t="s">
        <v>14834</v>
      </c>
      <c r="H3122" t="s">
        <v>10298</v>
      </c>
      <c r="I3122" t="s">
        <v>76</v>
      </c>
      <c r="J3122" t="s">
        <v>199</v>
      </c>
    </row>
    <row r="3123" spans="1:10" x14ac:dyDescent="0.25">
      <c r="A3123" t="s">
        <v>14848</v>
      </c>
      <c r="B3123">
        <v>11.52</v>
      </c>
      <c r="C3123" t="s">
        <v>14849</v>
      </c>
      <c r="D3123" t="s">
        <v>8744</v>
      </c>
      <c r="E3123" t="s">
        <v>14833</v>
      </c>
      <c r="F3123" t="s">
        <v>7672</v>
      </c>
      <c r="G3123" t="s">
        <v>14834</v>
      </c>
      <c r="H3123" t="s">
        <v>10298</v>
      </c>
      <c r="I3123" t="s">
        <v>14835</v>
      </c>
      <c r="J3123" t="s">
        <v>199</v>
      </c>
    </row>
    <row r="3124" spans="1:10" x14ac:dyDescent="0.25">
      <c r="A3124" t="s">
        <v>14850</v>
      </c>
      <c r="B3124">
        <v>11.52</v>
      </c>
      <c r="C3124" t="s">
        <v>14851</v>
      </c>
      <c r="D3124" t="s">
        <v>4924</v>
      </c>
      <c r="E3124" t="s">
        <v>14833</v>
      </c>
      <c r="F3124" t="s">
        <v>7672</v>
      </c>
      <c r="G3124" t="s">
        <v>14834</v>
      </c>
      <c r="H3124" t="s">
        <v>10298</v>
      </c>
      <c r="I3124" t="s">
        <v>14852</v>
      </c>
      <c r="J3124" t="s">
        <v>199</v>
      </c>
    </row>
    <row r="3125" spans="1:10" x14ac:dyDescent="0.25">
      <c r="A3125" t="s">
        <v>14853</v>
      </c>
      <c r="B3125">
        <v>9.5920000000000005</v>
      </c>
      <c r="C3125" t="s">
        <v>14854</v>
      </c>
      <c r="D3125" t="s">
        <v>4327</v>
      </c>
      <c r="E3125" t="s">
        <v>14833</v>
      </c>
      <c r="F3125" t="s">
        <v>7672</v>
      </c>
      <c r="G3125" t="s">
        <v>14834</v>
      </c>
      <c r="H3125" t="s">
        <v>10298</v>
      </c>
      <c r="I3125" t="s">
        <v>235</v>
      </c>
      <c r="J3125" t="s">
        <v>199</v>
      </c>
    </row>
    <row r="3126" spans="1:10" x14ac:dyDescent="0.25">
      <c r="A3126" t="s">
        <v>14855</v>
      </c>
      <c r="B3126">
        <v>8.3920000000000012</v>
      </c>
      <c r="C3126" t="s">
        <v>14856</v>
      </c>
      <c r="D3126" t="s">
        <v>576</v>
      </c>
      <c r="E3126" t="s">
        <v>14833</v>
      </c>
      <c r="F3126" t="s">
        <v>7672</v>
      </c>
      <c r="G3126" t="s">
        <v>14834</v>
      </c>
      <c r="H3126" t="s">
        <v>10298</v>
      </c>
      <c r="I3126" t="s">
        <v>9736</v>
      </c>
      <c r="J3126" t="s">
        <v>199</v>
      </c>
    </row>
    <row r="3127" spans="1:10" x14ac:dyDescent="0.25">
      <c r="A3127" t="s">
        <v>14857</v>
      </c>
      <c r="B3127">
        <v>9.5920000000000005</v>
      </c>
      <c r="C3127" t="s">
        <v>14858</v>
      </c>
      <c r="D3127" t="s">
        <v>311</v>
      </c>
      <c r="E3127" t="s">
        <v>14833</v>
      </c>
      <c r="F3127" t="s">
        <v>7672</v>
      </c>
      <c r="G3127" t="s">
        <v>14834</v>
      </c>
      <c r="H3127" t="s">
        <v>10298</v>
      </c>
      <c r="I3127" t="s">
        <v>14842</v>
      </c>
      <c r="J3127" t="s">
        <v>95</v>
      </c>
    </row>
    <row r="3128" spans="1:10" x14ac:dyDescent="0.25">
      <c r="A3128" t="s">
        <v>14859</v>
      </c>
      <c r="B3128">
        <v>9.5920000000000005</v>
      </c>
      <c r="C3128" t="s">
        <v>14860</v>
      </c>
      <c r="D3128" t="s">
        <v>843</v>
      </c>
      <c r="E3128" t="s">
        <v>14833</v>
      </c>
      <c r="F3128" t="s">
        <v>7672</v>
      </c>
      <c r="G3128" t="s">
        <v>14834</v>
      </c>
      <c r="H3128" t="s">
        <v>10298</v>
      </c>
      <c r="I3128" t="s">
        <v>14845</v>
      </c>
      <c r="J3128" t="s">
        <v>95</v>
      </c>
    </row>
    <row r="3129" spans="1:10" x14ac:dyDescent="0.25">
      <c r="A3129" t="s">
        <v>14861</v>
      </c>
      <c r="B3129">
        <v>11.52</v>
      </c>
      <c r="C3129" t="s">
        <v>14862</v>
      </c>
      <c r="D3129" t="s">
        <v>7934</v>
      </c>
      <c r="E3129" t="s">
        <v>14833</v>
      </c>
      <c r="F3129" t="s">
        <v>7672</v>
      </c>
      <c r="G3129" t="s">
        <v>14834</v>
      </c>
      <c r="H3129" t="s">
        <v>10298</v>
      </c>
      <c r="I3129" t="s">
        <v>76</v>
      </c>
      <c r="J3129" t="s">
        <v>95</v>
      </c>
    </row>
    <row r="3130" spans="1:10" x14ac:dyDescent="0.25">
      <c r="A3130" t="s">
        <v>14863</v>
      </c>
      <c r="B3130">
        <v>11.52</v>
      </c>
      <c r="C3130" t="s">
        <v>14864</v>
      </c>
      <c r="D3130" t="s">
        <v>2262</v>
      </c>
      <c r="E3130" t="s">
        <v>14833</v>
      </c>
      <c r="F3130" t="s">
        <v>7672</v>
      </c>
      <c r="G3130" t="s">
        <v>14834</v>
      </c>
      <c r="H3130" t="s">
        <v>10298</v>
      </c>
      <c r="I3130" t="s">
        <v>14835</v>
      </c>
      <c r="J3130" t="s">
        <v>95</v>
      </c>
    </row>
    <row r="3131" spans="1:10" x14ac:dyDescent="0.25">
      <c r="A3131" t="s">
        <v>14865</v>
      </c>
      <c r="B3131">
        <v>11.52</v>
      </c>
      <c r="C3131" t="s">
        <v>14866</v>
      </c>
      <c r="D3131" t="s">
        <v>40</v>
      </c>
      <c r="E3131" t="s">
        <v>14833</v>
      </c>
      <c r="F3131" t="s">
        <v>7672</v>
      </c>
      <c r="G3131" t="s">
        <v>14834</v>
      </c>
      <c r="H3131" t="s">
        <v>10298</v>
      </c>
      <c r="I3131" t="s">
        <v>14852</v>
      </c>
      <c r="J3131" t="s">
        <v>95</v>
      </c>
    </row>
    <row r="3132" spans="1:10" x14ac:dyDescent="0.25">
      <c r="A3132" t="s">
        <v>14867</v>
      </c>
      <c r="B3132">
        <v>9.5920000000000005</v>
      </c>
      <c r="C3132" t="s">
        <v>14868</v>
      </c>
      <c r="D3132" t="s">
        <v>6257</v>
      </c>
      <c r="E3132" t="s">
        <v>14833</v>
      </c>
      <c r="F3132" t="s">
        <v>7672</v>
      </c>
      <c r="G3132" t="s">
        <v>14834</v>
      </c>
      <c r="H3132" t="s">
        <v>10298</v>
      </c>
      <c r="I3132" t="s">
        <v>235</v>
      </c>
      <c r="J3132" t="s">
        <v>95</v>
      </c>
    </row>
    <row r="3133" spans="1:10" x14ac:dyDescent="0.25">
      <c r="A3133" t="s">
        <v>14869</v>
      </c>
      <c r="B3133">
        <v>8.3920000000000012</v>
      </c>
      <c r="C3133" t="s">
        <v>14870</v>
      </c>
      <c r="D3133" t="s">
        <v>282</v>
      </c>
      <c r="E3133" t="s">
        <v>14833</v>
      </c>
      <c r="F3133" t="s">
        <v>7672</v>
      </c>
      <c r="G3133" t="s">
        <v>14834</v>
      </c>
      <c r="H3133" t="s">
        <v>10298</v>
      </c>
      <c r="I3133" t="s">
        <v>9736</v>
      </c>
      <c r="J3133" t="s">
        <v>95</v>
      </c>
    </row>
    <row r="3134" spans="1:10" x14ac:dyDescent="0.25">
      <c r="A3134" t="s">
        <v>14871</v>
      </c>
      <c r="B3134">
        <v>11.52</v>
      </c>
      <c r="C3134" t="s">
        <v>14872</v>
      </c>
      <c r="D3134" t="s">
        <v>865</v>
      </c>
      <c r="E3134" t="s">
        <v>14833</v>
      </c>
      <c r="F3134" t="s">
        <v>7672</v>
      </c>
      <c r="G3134" t="s">
        <v>14834</v>
      </c>
      <c r="H3134" t="s">
        <v>10298</v>
      </c>
      <c r="I3134" t="s">
        <v>76</v>
      </c>
      <c r="J3134" t="s">
        <v>849</v>
      </c>
    </row>
    <row r="3135" spans="1:10" x14ac:dyDescent="0.25">
      <c r="A3135" t="s">
        <v>14873</v>
      </c>
      <c r="B3135">
        <v>11.52</v>
      </c>
      <c r="C3135" t="s">
        <v>14874</v>
      </c>
      <c r="D3135" t="s">
        <v>903</v>
      </c>
      <c r="E3135" t="s">
        <v>14833</v>
      </c>
      <c r="F3135" t="s">
        <v>7672</v>
      </c>
      <c r="G3135" t="s">
        <v>14834</v>
      </c>
      <c r="H3135" t="s">
        <v>10298</v>
      </c>
      <c r="I3135" t="s">
        <v>14835</v>
      </c>
      <c r="J3135" t="s">
        <v>849</v>
      </c>
    </row>
    <row r="3136" spans="1:10" x14ac:dyDescent="0.25">
      <c r="A3136" t="s">
        <v>14875</v>
      </c>
      <c r="B3136">
        <v>11.52</v>
      </c>
      <c r="C3136" t="s">
        <v>14876</v>
      </c>
      <c r="D3136" t="s">
        <v>124</v>
      </c>
      <c r="E3136" t="s">
        <v>14833</v>
      </c>
      <c r="F3136" t="s">
        <v>7672</v>
      </c>
      <c r="G3136" t="s">
        <v>14834</v>
      </c>
      <c r="H3136" t="s">
        <v>10298</v>
      </c>
      <c r="I3136" t="s">
        <v>14852</v>
      </c>
      <c r="J3136" t="s">
        <v>849</v>
      </c>
    </row>
    <row r="3137" spans="1:10" x14ac:dyDescent="0.25">
      <c r="A3137" t="s">
        <v>14877</v>
      </c>
      <c r="B3137">
        <v>9.5920000000000005</v>
      </c>
      <c r="C3137" t="s">
        <v>14878</v>
      </c>
      <c r="D3137" t="s">
        <v>245</v>
      </c>
      <c r="E3137" t="s">
        <v>14833</v>
      </c>
      <c r="F3137" t="s">
        <v>7672</v>
      </c>
      <c r="G3137" t="s">
        <v>14834</v>
      </c>
      <c r="H3137" t="s">
        <v>10298</v>
      </c>
      <c r="I3137" t="s">
        <v>235</v>
      </c>
      <c r="J3137" t="s">
        <v>849</v>
      </c>
    </row>
    <row r="3138" spans="1:10" x14ac:dyDescent="0.25">
      <c r="A3138" t="s">
        <v>14879</v>
      </c>
      <c r="B3138">
        <v>11.52</v>
      </c>
      <c r="C3138" t="s">
        <v>14880</v>
      </c>
      <c r="D3138" t="s">
        <v>269</v>
      </c>
      <c r="E3138" t="s">
        <v>14833</v>
      </c>
      <c r="F3138" t="s">
        <v>7672</v>
      </c>
      <c r="G3138" t="s">
        <v>14834</v>
      </c>
      <c r="H3138" t="s">
        <v>10298</v>
      </c>
      <c r="I3138" t="s">
        <v>76</v>
      </c>
      <c r="J3138" t="s">
        <v>286</v>
      </c>
    </row>
    <row r="3139" spans="1:10" x14ac:dyDescent="0.25">
      <c r="A3139" t="s">
        <v>14881</v>
      </c>
      <c r="B3139">
        <v>11.52</v>
      </c>
      <c r="C3139" t="s">
        <v>14882</v>
      </c>
      <c r="D3139" t="s">
        <v>849</v>
      </c>
      <c r="E3139" t="s">
        <v>14833</v>
      </c>
      <c r="F3139" t="s">
        <v>7672</v>
      </c>
      <c r="G3139" t="s">
        <v>14834</v>
      </c>
      <c r="H3139" t="s">
        <v>10298</v>
      </c>
      <c r="I3139" t="s">
        <v>14835</v>
      </c>
      <c r="J3139" t="s">
        <v>286</v>
      </c>
    </row>
    <row r="3140" spans="1:10" x14ac:dyDescent="0.25">
      <c r="A3140" t="s">
        <v>14883</v>
      </c>
      <c r="B3140">
        <v>11.52</v>
      </c>
      <c r="C3140" t="s">
        <v>14884</v>
      </c>
      <c r="D3140" t="s">
        <v>576</v>
      </c>
      <c r="E3140" t="s">
        <v>14833</v>
      </c>
      <c r="F3140" t="s">
        <v>7672</v>
      </c>
      <c r="G3140" t="s">
        <v>14834</v>
      </c>
      <c r="H3140" t="s">
        <v>10298</v>
      </c>
      <c r="I3140" t="s">
        <v>14852</v>
      </c>
      <c r="J3140" t="s">
        <v>286</v>
      </c>
    </row>
    <row r="3141" spans="1:10" x14ac:dyDescent="0.25">
      <c r="A3141" t="s">
        <v>14885</v>
      </c>
      <c r="B3141">
        <v>9.5920000000000005</v>
      </c>
      <c r="C3141" t="s">
        <v>14886</v>
      </c>
      <c r="D3141" t="s">
        <v>385</v>
      </c>
      <c r="E3141" t="s">
        <v>14833</v>
      </c>
      <c r="F3141" t="s">
        <v>7672</v>
      </c>
      <c r="G3141" t="s">
        <v>14834</v>
      </c>
      <c r="H3141" t="s">
        <v>10298</v>
      </c>
      <c r="I3141" t="s">
        <v>235</v>
      </c>
      <c r="J3141" t="s">
        <v>286</v>
      </c>
    </row>
    <row r="3142" spans="1:10" x14ac:dyDescent="0.25">
      <c r="A3142" t="s">
        <v>14887</v>
      </c>
      <c r="B3142">
        <v>4.32</v>
      </c>
      <c r="C3142" t="s">
        <v>14888</v>
      </c>
      <c r="D3142" t="s">
        <v>40</v>
      </c>
      <c r="E3142" t="s">
        <v>14889</v>
      </c>
      <c r="F3142" t="s">
        <v>7672</v>
      </c>
      <c r="G3142" t="s">
        <v>14890</v>
      </c>
      <c r="H3142" t="s">
        <v>10298</v>
      </c>
      <c r="I3142" t="s">
        <v>11655</v>
      </c>
      <c r="J3142" t="s">
        <v>7942</v>
      </c>
    </row>
    <row r="3143" spans="1:10" x14ac:dyDescent="0.25">
      <c r="A3143" t="s">
        <v>14891</v>
      </c>
      <c r="B3143">
        <v>4.32</v>
      </c>
      <c r="C3143" t="s">
        <v>14892</v>
      </c>
      <c r="D3143" t="s">
        <v>3577</v>
      </c>
      <c r="E3143" t="s">
        <v>14889</v>
      </c>
      <c r="F3143" t="s">
        <v>7672</v>
      </c>
      <c r="G3143" t="s">
        <v>14890</v>
      </c>
      <c r="H3143" t="s">
        <v>10298</v>
      </c>
      <c r="I3143" t="s">
        <v>11206</v>
      </c>
      <c r="J3143" t="s">
        <v>7942</v>
      </c>
    </row>
    <row r="3144" spans="1:10" x14ac:dyDescent="0.25">
      <c r="A3144" t="s">
        <v>14893</v>
      </c>
      <c r="B3144">
        <v>4.32</v>
      </c>
      <c r="C3144" t="s">
        <v>14894</v>
      </c>
      <c r="D3144" t="s">
        <v>5592</v>
      </c>
      <c r="E3144" t="s">
        <v>14889</v>
      </c>
      <c r="F3144" t="s">
        <v>7672</v>
      </c>
      <c r="G3144" t="s">
        <v>14890</v>
      </c>
      <c r="H3144" t="s">
        <v>10298</v>
      </c>
      <c r="I3144" t="s">
        <v>10394</v>
      </c>
      <c r="J3144" t="s">
        <v>7942</v>
      </c>
    </row>
    <row r="3145" spans="1:10" x14ac:dyDescent="0.25">
      <c r="A3145" t="s">
        <v>14895</v>
      </c>
      <c r="B3145">
        <v>4.32</v>
      </c>
      <c r="C3145" t="s">
        <v>14896</v>
      </c>
      <c r="D3145" t="s">
        <v>1254</v>
      </c>
      <c r="E3145" t="s">
        <v>14889</v>
      </c>
      <c r="F3145" t="s">
        <v>7672</v>
      </c>
      <c r="G3145" t="s">
        <v>14890</v>
      </c>
      <c r="H3145" t="s">
        <v>10298</v>
      </c>
      <c r="I3145" t="s">
        <v>14897</v>
      </c>
      <c r="J3145" t="s">
        <v>7942</v>
      </c>
    </row>
    <row r="3146" spans="1:10" x14ac:dyDescent="0.25">
      <c r="A3146" t="s">
        <v>14898</v>
      </c>
      <c r="B3146">
        <v>4.32</v>
      </c>
      <c r="C3146" t="s">
        <v>14899</v>
      </c>
      <c r="D3146" t="s">
        <v>286</v>
      </c>
      <c r="E3146" t="s">
        <v>14889</v>
      </c>
      <c r="F3146" t="s">
        <v>7672</v>
      </c>
      <c r="G3146" t="s">
        <v>14890</v>
      </c>
      <c r="H3146" t="s">
        <v>10298</v>
      </c>
      <c r="I3146" t="s">
        <v>11206</v>
      </c>
      <c r="J3146" t="s">
        <v>7981</v>
      </c>
    </row>
    <row r="3147" spans="1:10" x14ac:dyDescent="0.25">
      <c r="A3147" t="s">
        <v>14900</v>
      </c>
      <c r="B3147">
        <v>4.32</v>
      </c>
      <c r="C3147" t="s">
        <v>14901</v>
      </c>
      <c r="D3147" t="s">
        <v>3184</v>
      </c>
      <c r="E3147" t="s">
        <v>14889</v>
      </c>
      <c r="F3147" t="s">
        <v>7672</v>
      </c>
      <c r="G3147" t="s">
        <v>14890</v>
      </c>
      <c r="H3147" t="s">
        <v>10298</v>
      </c>
      <c r="I3147" t="s">
        <v>10394</v>
      </c>
      <c r="J3147" t="s">
        <v>7981</v>
      </c>
    </row>
    <row r="3148" spans="1:10" x14ac:dyDescent="0.25">
      <c r="A3148" t="s">
        <v>14902</v>
      </c>
      <c r="B3148">
        <v>4.32</v>
      </c>
      <c r="C3148" t="s">
        <v>14903</v>
      </c>
      <c r="D3148" t="s">
        <v>301</v>
      </c>
      <c r="E3148" t="s">
        <v>14889</v>
      </c>
      <c r="F3148" t="s">
        <v>7672</v>
      </c>
      <c r="G3148" t="s">
        <v>14890</v>
      </c>
      <c r="H3148" t="s">
        <v>10298</v>
      </c>
      <c r="I3148" t="s">
        <v>14897</v>
      </c>
      <c r="J3148" t="s">
        <v>7981</v>
      </c>
    </row>
    <row r="3149" spans="1:10" x14ac:dyDescent="0.25">
      <c r="A3149" t="s">
        <v>14904</v>
      </c>
      <c r="B3149">
        <v>10</v>
      </c>
      <c r="C3149" t="s">
        <v>14905</v>
      </c>
      <c r="D3149" t="s">
        <v>8164</v>
      </c>
      <c r="E3149" t="s">
        <v>14906</v>
      </c>
      <c r="F3149" t="s">
        <v>7672</v>
      </c>
      <c r="G3149" t="s">
        <v>14907</v>
      </c>
      <c r="H3149" t="s">
        <v>7674</v>
      </c>
      <c r="I3149" t="s">
        <v>5202</v>
      </c>
      <c r="J3149" t="s">
        <v>7675</v>
      </c>
    </row>
    <row r="3150" spans="1:10" x14ac:dyDescent="0.25">
      <c r="A3150" t="s">
        <v>14908</v>
      </c>
      <c r="B3150">
        <v>10</v>
      </c>
      <c r="C3150" t="s">
        <v>14909</v>
      </c>
      <c r="D3150" t="s">
        <v>6155</v>
      </c>
      <c r="E3150" t="s">
        <v>14906</v>
      </c>
      <c r="F3150" t="s">
        <v>7672</v>
      </c>
      <c r="G3150" t="s">
        <v>14907</v>
      </c>
      <c r="H3150" t="s">
        <v>7674</v>
      </c>
      <c r="I3150" t="s">
        <v>14910</v>
      </c>
      <c r="J3150" t="s">
        <v>7675</v>
      </c>
    </row>
    <row r="3151" spans="1:10" x14ac:dyDescent="0.25">
      <c r="A3151" t="s">
        <v>14911</v>
      </c>
      <c r="B3151">
        <v>10</v>
      </c>
      <c r="C3151" t="s">
        <v>14912</v>
      </c>
      <c r="D3151" t="s">
        <v>644</v>
      </c>
      <c r="E3151" t="s">
        <v>14906</v>
      </c>
      <c r="F3151" t="s">
        <v>7672</v>
      </c>
      <c r="G3151" t="s">
        <v>14907</v>
      </c>
      <c r="H3151" t="s">
        <v>7674</v>
      </c>
      <c r="I3151" t="s">
        <v>12274</v>
      </c>
      <c r="J3151" t="s">
        <v>7675</v>
      </c>
    </row>
    <row r="3152" spans="1:10" x14ac:dyDescent="0.25">
      <c r="A3152" t="s">
        <v>14913</v>
      </c>
      <c r="B3152">
        <v>10</v>
      </c>
      <c r="C3152" t="s">
        <v>14914</v>
      </c>
      <c r="D3152" t="s">
        <v>649</v>
      </c>
      <c r="E3152" t="s">
        <v>14906</v>
      </c>
      <c r="F3152" t="s">
        <v>7672</v>
      </c>
      <c r="G3152" t="s">
        <v>14907</v>
      </c>
      <c r="H3152" t="s">
        <v>7674</v>
      </c>
      <c r="I3152" t="s">
        <v>1243</v>
      </c>
      <c r="J3152" t="s">
        <v>7675</v>
      </c>
    </row>
    <row r="3153" spans="1:10" x14ac:dyDescent="0.25">
      <c r="A3153" t="s">
        <v>14915</v>
      </c>
      <c r="B3153">
        <v>10</v>
      </c>
      <c r="C3153" t="s">
        <v>14916</v>
      </c>
      <c r="D3153" t="s">
        <v>12964</v>
      </c>
      <c r="E3153" t="s">
        <v>14906</v>
      </c>
      <c r="F3153" t="s">
        <v>7672</v>
      </c>
      <c r="G3153" t="s">
        <v>14907</v>
      </c>
      <c r="H3153" t="s">
        <v>7674</v>
      </c>
      <c r="I3153" t="s">
        <v>14910</v>
      </c>
      <c r="J3153" t="s">
        <v>7686</v>
      </c>
    </row>
    <row r="3154" spans="1:10" x14ac:dyDescent="0.25">
      <c r="A3154" t="s">
        <v>14917</v>
      </c>
      <c r="B3154">
        <v>10</v>
      </c>
      <c r="C3154" t="s">
        <v>14918</v>
      </c>
      <c r="D3154" t="s">
        <v>7808</v>
      </c>
      <c r="E3154" t="s">
        <v>14906</v>
      </c>
      <c r="F3154" t="s">
        <v>7672</v>
      </c>
      <c r="G3154" t="s">
        <v>14907</v>
      </c>
      <c r="H3154" t="s">
        <v>7674</v>
      </c>
      <c r="I3154" t="s">
        <v>12274</v>
      </c>
      <c r="J3154" t="s">
        <v>7686</v>
      </c>
    </row>
    <row r="3155" spans="1:10" x14ac:dyDescent="0.25">
      <c r="A3155" t="s">
        <v>14919</v>
      </c>
      <c r="B3155">
        <v>10</v>
      </c>
      <c r="C3155" t="s">
        <v>14920</v>
      </c>
      <c r="D3155" t="s">
        <v>4227</v>
      </c>
      <c r="E3155" t="s">
        <v>14906</v>
      </c>
      <c r="F3155" t="s">
        <v>7672</v>
      </c>
      <c r="G3155" t="s">
        <v>14907</v>
      </c>
      <c r="H3155" t="s">
        <v>7674</v>
      </c>
      <c r="I3155" t="s">
        <v>1243</v>
      </c>
      <c r="J3155" t="s">
        <v>7686</v>
      </c>
    </row>
    <row r="3156" spans="1:10" x14ac:dyDescent="0.25">
      <c r="A3156" t="s">
        <v>14921</v>
      </c>
      <c r="B3156">
        <v>10</v>
      </c>
      <c r="C3156" t="s">
        <v>14922</v>
      </c>
      <c r="D3156" t="s">
        <v>11308</v>
      </c>
      <c r="E3156" t="s">
        <v>14906</v>
      </c>
      <c r="F3156" t="s">
        <v>7672</v>
      </c>
      <c r="G3156" t="s">
        <v>14907</v>
      </c>
      <c r="H3156" t="s">
        <v>7674</v>
      </c>
      <c r="I3156" t="s">
        <v>5202</v>
      </c>
      <c r="J3156" t="s">
        <v>7686</v>
      </c>
    </row>
    <row r="3157" spans="1:10" x14ac:dyDescent="0.25">
      <c r="A3157" t="s">
        <v>14923</v>
      </c>
      <c r="B3157">
        <v>10</v>
      </c>
      <c r="C3157" t="s">
        <v>14924</v>
      </c>
      <c r="D3157" t="s">
        <v>14925</v>
      </c>
      <c r="E3157" t="s">
        <v>14906</v>
      </c>
      <c r="F3157" t="s">
        <v>7672</v>
      </c>
      <c r="G3157" t="s">
        <v>14907</v>
      </c>
      <c r="H3157" t="s">
        <v>7674</v>
      </c>
      <c r="I3157" t="s">
        <v>14910</v>
      </c>
      <c r="J3157" t="s">
        <v>7703</v>
      </c>
    </row>
    <row r="3158" spans="1:10" x14ac:dyDescent="0.25">
      <c r="A3158" t="s">
        <v>14926</v>
      </c>
      <c r="B3158">
        <v>10</v>
      </c>
      <c r="C3158" t="s">
        <v>14927</v>
      </c>
      <c r="D3158" t="s">
        <v>11329</v>
      </c>
      <c r="E3158" t="s">
        <v>14906</v>
      </c>
      <c r="F3158" t="s">
        <v>7672</v>
      </c>
      <c r="G3158" t="s">
        <v>14907</v>
      </c>
      <c r="H3158" t="s">
        <v>7674</v>
      </c>
      <c r="I3158" t="s">
        <v>12274</v>
      </c>
      <c r="J3158" t="s">
        <v>7703</v>
      </c>
    </row>
    <row r="3159" spans="1:10" x14ac:dyDescent="0.25">
      <c r="A3159" t="s">
        <v>14928</v>
      </c>
      <c r="B3159">
        <v>10</v>
      </c>
      <c r="C3159" t="s">
        <v>14929</v>
      </c>
      <c r="D3159" t="s">
        <v>14930</v>
      </c>
      <c r="E3159" t="s">
        <v>14906</v>
      </c>
      <c r="F3159" t="s">
        <v>7672</v>
      </c>
      <c r="G3159" t="s">
        <v>14907</v>
      </c>
      <c r="H3159" t="s">
        <v>7674</v>
      </c>
      <c r="I3159" t="s">
        <v>1243</v>
      </c>
      <c r="J3159" t="s">
        <v>7703</v>
      </c>
    </row>
    <row r="3160" spans="1:10" x14ac:dyDescent="0.25">
      <c r="A3160" t="s">
        <v>14931</v>
      </c>
      <c r="B3160">
        <v>10</v>
      </c>
      <c r="C3160" t="s">
        <v>14932</v>
      </c>
      <c r="D3160" t="s">
        <v>14933</v>
      </c>
      <c r="E3160" t="s">
        <v>14906</v>
      </c>
      <c r="F3160" t="s">
        <v>7672</v>
      </c>
      <c r="G3160" t="s">
        <v>14907</v>
      </c>
      <c r="H3160" t="s">
        <v>7674</v>
      </c>
      <c r="I3160" t="s">
        <v>5202</v>
      </c>
      <c r="J3160" t="s">
        <v>7703</v>
      </c>
    </row>
    <row r="3161" spans="1:10" x14ac:dyDescent="0.25">
      <c r="A3161" t="s">
        <v>14934</v>
      </c>
      <c r="B3161">
        <v>10</v>
      </c>
      <c r="C3161" t="s">
        <v>14935</v>
      </c>
      <c r="D3161" t="s">
        <v>12084</v>
      </c>
      <c r="E3161" t="s">
        <v>14906</v>
      </c>
      <c r="F3161" t="s">
        <v>7672</v>
      </c>
      <c r="G3161" t="s">
        <v>14907</v>
      </c>
      <c r="H3161" t="s">
        <v>7674</v>
      </c>
      <c r="I3161" t="s">
        <v>14910</v>
      </c>
      <c r="J3161" t="s">
        <v>7713</v>
      </c>
    </row>
    <row r="3162" spans="1:10" x14ac:dyDescent="0.25">
      <c r="A3162" t="s">
        <v>14936</v>
      </c>
      <c r="B3162">
        <v>10</v>
      </c>
      <c r="C3162" t="s">
        <v>14937</v>
      </c>
      <c r="D3162" t="s">
        <v>10633</v>
      </c>
      <c r="E3162" t="s">
        <v>14906</v>
      </c>
      <c r="F3162" t="s">
        <v>7672</v>
      </c>
      <c r="G3162" t="s">
        <v>14907</v>
      </c>
      <c r="H3162" t="s">
        <v>7674</v>
      </c>
      <c r="I3162" t="s">
        <v>12274</v>
      </c>
      <c r="J3162" t="s">
        <v>7713</v>
      </c>
    </row>
    <row r="3163" spans="1:10" x14ac:dyDescent="0.25">
      <c r="A3163" t="s">
        <v>14938</v>
      </c>
      <c r="B3163">
        <v>10</v>
      </c>
      <c r="C3163" t="s">
        <v>14939</v>
      </c>
      <c r="D3163" t="s">
        <v>14940</v>
      </c>
      <c r="E3163" t="s">
        <v>14906</v>
      </c>
      <c r="F3163" t="s">
        <v>7672</v>
      </c>
      <c r="G3163" t="s">
        <v>14907</v>
      </c>
      <c r="H3163" t="s">
        <v>7674</v>
      </c>
      <c r="I3163" t="s">
        <v>1243</v>
      </c>
      <c r="J3163" t="s">
        <v>7713</v>
      </c>
    </row>
    <row r="3164" spans="1:10" x14ac:dyDescent="0.25">
      <c r="A3164" t="s">
        <v>14941</v>
      </c>
      <c r="B3164">
        <v>10</v>
      </c>
      <c r="C3164" t="s">
        <v>14942</v>
      </c>
      <c r="D3164" t="s">
        <v>14943</v>
      </c>
      <c r="E3164" t="s">
        <v>14906</v>
      </c>
      <c r="F3164" t="s">
        <v>7672</v>
      </c>
      <c r="G3164" t="s">
        <v>14907</v>
      </c>
      <c r="H3164" t="s">
        <v>7674</v>
      </c>
      <c r="I3164" t="s">
        <v>5202</v>
      </c>
      <c r="J3164" t="s">
        <v>7713</v>
      </c>
    </row>
    <row r="3165" spans="1:10" x14ac:dyDescent="0.25">
      <c r="A3165" t="s">
        <v>14944</v>
      </c>
      <c r="B3165">
        <v>10</v>
      </c>
      <c r="C3165" t="s">
        <v>14945</v>
      </c>
      <c r="D3165" t="s">
        <v>9648</v>
      </c>
      <c r="E3165" t="s">
        <v>14906</v>
      </c>
      <c r="F3165" t="s">
        <v>7672</v>
      </c>
      <c r="G3165" t="s">
        <v>14907</v>
      </c>
      <c r="H3165" t="s">
        <v>7674</v>
      </c>
      <c r="I3165" t="s">
        <v>12274</v>
      </c>
      <c r="J3165" t="s">
        <v>7719</v>
      </c>
    </row>
    <row r="3166" spans="1:10" x14ac:dyDescent="0.25">
      <c r="A3166" t="s">
        <v>14946</v>
      </c>
      <c r="B3166">
        <v>10</v>
      </c>
      <c r="C3166" t="s">
        <v>14947</v>
      </c>
      <c r="D3166" t="s">
        <v>9325</v>
      </c>
      <c r="E3166" t="s">
        <v>14906</v>
      </c>
      <c r="F3166" t="s">
        <v>7672</v>
      </c>
      <c r="G3166" t="s">
        <v>14907</v>
      </c>
      <c r="H3166" t="s">
        <v>7674</v>
      </c>
      <c r="I3166" t="s">
        <v>1243</v>
      </c>
      <c r="J3166" t="s">
        <v>7719</v>
      </c>
    </row>
    <row r="3167" spans="1:10" x14ac:dyDescent="0.25">
      <c r="A3167" t="s">
        <v>14948</v>
      </c>
      <c r="B3167">
        <v>10</v>
      </c>
      <c r="C3167" t="s">
        <v>14949</v>
      </c>
      <c r="D3167" t="s">
        <v>8971</v>
      </c>
      <c r="E3167" t="s">
        <v>14906</v>
      </c>
      <c r="F3167" t="s">
        <v>7672</v>
      </c>
      <c r="G3167" t="s">
        <v>14907</v>
      </c>
      <c r="H3167" t="s">
        <v>7674</v>
      </c>
      <c r="I3167" t="s">
        <v>5202</v>
      </c>
      <c r="J3167" t="s">
        <v>7719</v>
      </c>
    </row>
    <row r="3168" spans="1:10" x14ac:dyDescent="0.25">
      <c r="A3168" t="s">
        <v>14950</v>
      </c>
      <c r="B3168">
        <v>10</v>
      </c>
      <c r="C3168" t="s">
        <v>14951</v>
      </c>
      <c r="D3168" t="s">
        <v>4679</v>
      </c>
      <c r="E3168" t="s">
        <v>14906</v>
      </c>
      <c r="F3168" t="s">
        <v>7672</v>
      </c>
      <c r="G3168" t="s">
        <v>14907</v>
      </c>
      <c r="H3168" t="s">
        <v>7674</v>
      </c>
      <c r="I3168" t="s">
        <v>14910</v>
      </c>
      <c r="J3168" t="s">
        <v>7719</v>
      </c>
    </row>
    <row r="3169" spans="1:10" x14ac:dyDescent="0.25">
      <c r="A3169" t="s">
        <v>14952</v>
      </c>
      <c r="B3169">
        <v>6.2960000000000003</v>
      </c>
      <c r="C3169" t="s">
        <v>14953</v>
      </c>
      <c r="D3169" t="s">
        <v>2253</v>
      </c>
      <c r="E3169" t="s">
        <v>14954</v>
      </c>
      <c r="F3169" t="s">
        <v>7672</v>
      </c>
      <c r="G3169" t="s">
        <v>14955</v>
      </c>
      <c r="H3169" t="s">
        <v>10298</v>
      </c>
      <c r="I3169" t="s">
        <v>145</v>
      </c>
      <c r="J3169" t="s">
        <v>100</v>
      </c>
    </row>
    <row r="3170" spans="1:10" x14ac:dyDescent="0.25">
      <c r="A3170" t="s">
        <v>14956</v>
      </c>
      <c r="B3170">
        <v>6.2960000000000003</v>
      </c>
      <c r="C3170" t="s">
        <v>14957</v>
      </c>
      <c r="D3170" t="s">
        <v>1644</v>
      </c>
      <c r="E3170" t="s">
        <v>14954</v>
      </c>
      <c r="F3170" t="s">
        <v>7672</v>
      </c>
      <c r="G3170" t="s">
        <v>14955</v>
      </c>
      <c r="H3170" t="s">
        <v>10298</v>
      </c>
      <c r="I3170" t="s">
        <v>145</v>
      </c>
      <c r="J3170" t="s">
        <v>106</v>
      </c>
    </row>
    <row r="3171" spans="1:10" x14ac:dyDescent="0.25">
      <c r="A3171" t="s">
        <v>3552</v>
      </c>
      <c r="B3171">
        <v>10.56</v>
      </c>
      <c r="C3171" t="s">
        <v>3554</v>
      </c>
      <c r="D3171" t="s">
        <v>296</v>
      </c>
      <c r="E3171" t="s">
        <v>3555</v>
      </c>
      <c r="F3171" t="s">
        <v>7672</v>
      </c>
      <c r="G3171" t="s">
        <v>14958</v>
      </c>
      <c r="H3171" t="s">
        <v>14959</v>
      </c>
      <c r="I3171" t="s">
        <v>76</v>
      </c>
      <c r="J3171" t="s">
        <v>8980</v>
      </c>
    </row>
    <row r="3172" spans="1:10" x14ac:dyDescent="0.25">
      <c r="A3172" t="s">
        <v>3558</v>
      </c>
      <c r="B3172">
        <v>10.56</v>
      </c>
      <c r="C3172" t="s">
        <v>3560</v>
      </c>
      <c r="D3172" t="s">
        <v>1536</v>
      </c>
      <c r="E3172" t="s">
        <v>3555</v>
      </c>
      <c r="F3172" t="s">
        <v>7672</v>
      </c>
      <c r="G3172" t="s">
        <v>14958</v>
      </c>
      <c r="H3172" t="s">
        <v>14959</v>
      </c>
      <c r="I3172" t="s">
        <v>14960</v>
      </c>
      <c r="J3172" t="s">
        <v>8980</v>
      </c>
    </row>
    <row r="3173" spans="1:10" x14ac:dyDescent="0.25">
      <c r="A3173" t="s">
        <v>3563</v>
      </c>
      <c r="B3173">
        <v>10.56</v>
      </c>
      <c r="C3173" t="s">
        <v>3565</v>
      </c>
      <c r="D3173" t="s">
        <v>705</v>
      </c>
      <c r="E3173" t="s">
        <v>3555</v>
      </c>
      <c r="F3173" t="s">
        <v>7672</v>
      </c>
      <c r="G3173" t="s">
        <v>14958</v>
      </c>
      <c r="H3173" t="s">
        <v>14959</v>
      </c>
      <c r="I3173" t="s">
        <v>3567</v>
      </c>
      <c r="J3173" t="s">
        <v>8980</v>
      </c>
    </row>
    <row r="3174" spans="1:10" x14ac:dyDescent="0.25">
      <c r="A3174" t="s">
        <v>3568</v>
      </c>
      <c r="B3174">
        <v>10.56</v>
      </c>
      <c r="C3174" t="s">
        <v>3570</v>
      </c>
      <c r="D3174" t="s">
        <v>3572</v>
      </c>
      <c r="E3174" t="s">
        <v>3555</v>
      </c>
      <c r="F3174" t="s">
        <v>7672</v>
      </c>
      <c r="G3174" t="s">
        <v>14958</v>
      </c>
      <c r="H3174" t="s">
        <v>14959</v>
      </c>
      <c r="I3174" t="s">
        <v>76</v>
      </c>
      <c r="J3174" t="s">
        <v>53</v>
      </c>
    </row>
    <row r="3175" spans="1:10" x14ac:dyDescent="0.25">
      <c r="A3175" t="s">
        <v>3573</v>
      </c>
      <c r="B3175">
        <v>10.56</v>
      </c>
      <c r="C3175" t="s">
        <v>3575</v>
      </c>
      <c r="D3175" t="s">
        <v>3577</v>
      </c>
      <c r="E3175" t="s">
        <v>3555</v>
      </c>
      <c r="F3175" t="s">
        <v>7672</v>
      </c>
      <c r="G3175" t="s">
        <v>14958</v>
      </c>
      <c r="H3175" t="s">
        <v>14959</v>
      </c>
      <c r="I3175" t="s">
        <v>14960</v>
      </c>
      <c r="J3175" t="s">
        <v>53</v>
      </c>
    </row>
    <row r="3176" spans="1:10" x14ac:dyDescent="0.25">
      <c r="A3176" t="s">
        <v>3578</v>
      </c>
      <c r="B3176">
        <v>10.56</v>
      </c>
      <c r="C3176" t="s">
        <v>3580</v>
      </c>
      <c r="D3176" t="s">
        <v>3253</v>
      </c>
      <c r="E3176" t="s">
        <v>3555</v>
      </c>
      <c r="F3176" t="s">
        <v>7672</v>
      </c>
      <c r="G3176" t="s">
        <v>14958</v>
      </c>
      <c r="H3176" t="s">
        <v>14959</v>
      </c>
      <c r="I3176" t="s">
        <v>3567</v>
      </c>
      <c r="J3176" t="s">
        <v>53</v>
      </c>
    </row>
    <row r="3177" spans="1:10" x14ac:dyDescent="0.25">
      <c r="A3177" t="s">
        <v>3582</v>
      </c>
      <c r="B3177">
        <v>10.56</v>
      </c>
      <c r="C3177" t="s">
        <v>3584</v>
      </c>
      <c r="D3177" t="s">
        <v>2879</v>
      </c>
      <c r="E3177" t="s">
        <v>3555</v>
      </c>
      <c r="F3177" t="s">
        <v>7672</v>
      </c>
      <c r="G3177" t="s">
        <v>14958</v>
      </c>
      <c r="H3177" t="s">
        <v>14959</v>
      </c>
      <c r="I3177" t="s">
        <v>76</v>
      </c>
      <c r="J3177" t="s">
        <v>342</v>
      </c>
    </row>
    <row r="3178" spans="1:10" x14ac:dyDescent="0.25">
      <c r="A3178" t="s">
        <v>3586</v>
      </c>
      <c r="B3178">
        <v>10.56</v>
      </c>
      <c r="C3178" t="s">
        <v>3588</v>
      </c>
      <c r="D3178" t="s">
        <v>3590</v>
      </c>
      <c r="E3178" t="s">
        <v>3555</v>
      </c>
      <c r="F3178" t="s">
        <v>7672</v>
      </c>
      <c r="G3178" t="s">
        <v>14958</v>
      </c>
      <c r="H3178" t="s">
        <v>14959</v>
      </c>
      <c r="I3178" t="s">
        <v>3567</v>
      </c>
      <c r="J3178" t="s">
        <v>342</v>
      </c>
    </row>
    <row r="3179" spans="1:10" x14ac:dyDescent="0.25">
      <c r="A3179" t="s">
        <v>3591</v>
      </c>
      <c r="B3179">
        <v>10.56</v>
      </c>
      <c r="C3179" t="s">
        <v>3593</v>
      </c>
      <c r="D3179" t="s">
        <v>626</v>
      </c>
      <c r="E3179" t="s">
        <v>3555</v>
      </c>
      <c r="F3179" t="s">
        <v>7672</v>
      </c>
      <c r="G3179" t="s">
        <v>14958</v>
      </c>
      <c r="H3179" t="s">
        <v>14959</v>
      </c>
      <c r="I3179" t="s">
        <v>76</v>
      </c>
      <c r="J3179" t="s">
        <v>106</v>
      </c>
    </row>
    <row r="3180" spans="1:10" x14ac:dyDescent="0.25">
      <c r="A3180" t="s">
        <v>3595</v>
      </c>
      <c r="B3180">
        <v>10.56</v>
      </c>
      <c r="C3180" t="s">
        <v>3597</v>
      </c>
      <c r="D3180" t="s">
        <v>3599</v>
      </c>
      <c r="E3180" t="s">
        <v>3555</v>
      </c>
      <c r="F3180" t="s">
        <v>7672</v>
      </c>
      <c r="G3180" t="s">
        <v>14958</v>
      </c>
      <c r="H3180" t="s">
        <v>14959</v>
      </c>
      <c r="I3180" t="s">
        <v>3567</v>
      </c>
      <c r="J3180" t="s">
        <v>106</v>
      </c>
    </row>
    <row r="3181" spans="1:10" x14ac:dyDescent="0.25">
      <c r="A3181" t="s">
        <v>3600</v>
      </c>
      <c r="B3181">
        <v>10.56</v>
      </c>
      <c r="C3181" t="s">
        <v>3602</v>
      </c>
      <c r="D3181" t="s">
        <v>3604</v>
      </c>
      <c r="E3181" t="s">
        <v>3555</v>
      </c>
      <c r="F3181" t="s">
        <v>7672</v>
      </c>
      <c r="G3181" t="s">
        <v>14958</v>
      </c>
      <c r="H3181" t="s">
        <v>14959</v>
      </c>
      <c r="I3181" t="s">
        <v>3567</v>
      </c>
      <c r="J3181" t="s">
        <v>131</v>
      </c>
    </row>
    <row r="3182" spans="1:10" x14ac:dyDescent="0.25">
      <c r="A3182" t="s">
        <v>3605</v>
      </c>
      <c r="B3182">
        <v>10.56</v>
      </c>
      <c r="C3182" t="s">
        <v>3607</v>
      </c>
      <c r="D3182" t="s">
        <v>2149</v>
      </c>
      <c r="E3182" t="s">
        <v>3555</v>
      </c>
      <c r="F3182" t="s">
        <v>7672</v>
      </c>
      <c r="G3182" t="s">
        <v>14958</v>
      </c>
      <c r="H3182" t="s">
        <v>14959</v>
      </c>
      <c r="I3182" t="s">
        <v>3567</v>
      </c>
      <c r="J3182" t="s">
        <v>576</v>
      </c>
    </row>
    <row r="3183" spans="1:10" x14ac:dyDescent="0.25">
      <c r="A3183" t="s">
        <v>3609</v>
      </c>
      <c r="B3183">
        <v>10.56</v>
      </c>
      <c r="C3183" t="s">
        <v>3611</v>
      </c>
      <c r="D3183" t="s">
        <v>3613</v>
      </c>
      <c r="E3183" t="s">
        <v>3555</v>
      </c>
      <c r="F3183" t="s">
        <v>7672</v>
      </c>
      <c r="G3183" t="s">
        <v>14958</v>
      </c>
      <c r="H3183" t="s">
        <v>14959</v>
      </c>
      <c r="I3183" t="s">
        <v>3567</v>
      </c>
      <c r="J3183" t="s">
        <v>282</v>
      </c>
    </row>
    <row r="3184" spans="1:10" x14ac:dyDescent="0.25">
      <c r="A3184" t="s">
        <v>3614</v>
      </c>
      <c r="B3184">
        <v>10.56</v>
      </c>
      <c r="C3184" t="s">
        <v>3616</v>
      </c>
      <c r="D3184" t="s">
        <v>2884</v>
      </c>
      <c r="E3184" t="s">
        <v>3555</v>
      </c>
      <c r="F3184" t="s">
        <v>7672</v>
      </c>
      <c r="G3184" t="s">
        <v>14958</v>
      </c>
      <c r="H3184" t="s">
        <v>14959</v>
      </c>
      <c r="I3184" t="s">
        <v>3567</v>
      </c>
      <c r="J3184" t="s">
        <v>436</v>
      </c>
    </row>
    <row r="3185" spans="1:10" x14ac:dyDescent="0.25">
      <c r="A3185" t="s">
        <v>3618</v>
      </c>
      <c r="B3185">
        <v>10.56</v>
      </c>
      <c r="C3185" t="s">
        <v>3620</v>
      </c>
      <c r="D3185" t="s">
        <v>2248</v>
      </c>
      <c r="E3185" t="s">
        <v>3555</v>
      </c>
      <c r="F3185" t="s">
        <v>7672</v>
      </c>
      <c r="G3185" t="s">
        <v>14958</v>
      </c>
      <c r="H3185" t="s">
        <v>14959</v>
      </c>
      <c r="I3185" t="s">
        <v>3567</v>
      </c>
      <c r="J3185" t="s">
        <v>330</v>
      </c>
    </row>
    <row r="3186" spans="1:10" x14ac:dyDescent="0.25">
      <c r="A3186" t="s">
        <v>3622</v>
      </c>
      <c r="B3186">
        <v>10.56</v>
      </c>
      <c r="C3186" t="s">
        <v>3624</v>
      </c>
      <c r="D3186" t="s">
        <v>106</v>
      </c>
      <c r="E3186" t="s">
        <v>3555</v>
      </c>
      <c r="F3186" t="s">
        <v>7672</v>
      </c>
      <c r="G3186" t="s">
        <v>14958</v>
      </c>
      <c r="H3186" t="s">
        <v>14959</v>
      </c>
      <c r="I3186" t="s">
        <v>76</v>
      </c>
      <c r="J3186" t="s">
        <v>330</v>
      </c>
    </row>
    <row r="3187" spans="1:10" x14ac:dyDescent="0.25">
      <c r="A3187" t="s">
        <v>3626</v>
      </c>
      <c r="B3187">
        <v>10.56</v>
      </c>
      <c r="C3187" t="s">
        <v>3628</v>
      </c>
      <c r="D3187" t="s">
        <v>164</v>
      </c>
      <c r="E3187" t="s">
        <v>3555</v>
      </c>
      <c r="F3187" t="s">
        <v>7672</v>
      </c>
      <c r="G3187" t="s">
        <v>14958</v>
      </c>
      <c r="H3187" t="s">
        <v>14959</v>
      </c>
      <c r="I3187" t="s">
        <v>76</v>
      </c>
      <c r="J3187" t="s">
        <v>352</v>
      </c>
    </row>
    <row r="3188" spans="1:10" x14ac:dyDescent="0.25">
      <c r="A3188" t="s">
        <v>14961</v>
      </c>
      <c r="B3188">
        <v>7.8000000000000007</v>
      </c>
      <c r="C3188" t="s">
        <v>14962</v>
      </c>
      <c r="D3188" t="s">
        <v>14963</v>
      </c>
      <c r="E3188" t="s">
        <v>14964</v>
      </c>
      <c r="F3188" t="s">
        <v>7672</v>
      </c>
      <c r="G3188" t="s">
        <v>14965</v>
      </c>
      <c r="H3188" t="s">
        <v>8027</v>
      </c>
      <c r="I3188" t="s">
        <v>14966</v>
      </c>
      <c r="J3188" t="s">
        <v>7984</v>
      </c>
    </row>
    <row r="3189" spans="1:10" x14ac:dyDescent="0.25">
      <c r="A3189" t="s">
        <v>14967</v>
      </c>
      <c r="B3189">
        <v>12.592000000000001</v>
      </c>
      <c r="C3189" t="s">
        <v>14968</v>
      </c>
      <c r="D3189" t="s">
        <v>269</v>
      </c>
      <c r="E3189" t="s">
        <v>14969</v>
      </c>
      <c r="F3189" t="s">
        <v>7672</v>
      </c>
      <c r="G3189" t="s">
        <v>14970</v>
      </c>
      <c r="H3189" t="s">
        <v>10298</v>
      </c>
      <c r="I3189" t="s">
        <v>14584</v>
      </c>
      <c r="J3189" t="s">
        <v>11421</v>
      </c>
    </row>
    <row r="3190" spans="1:10" x14ac:dyDescent="0.25">
      <c r="A3190" t="s">
        <v>14971</v>
      </c>
      <c r="B3190">
        <v>12.592000000000001</v>
      </c>
      <c r="C3190" t="s">
        <v>14972</v>
      </c>
      <c r="D3190" t="s">
        <v>436</v>
      </c>
      <c r="E3190" t="s">
        <v>14969</v>
      </c>
      <c r="F3190" t="s">
        <v>7672</v>
      </c>
      <c r="G3190" t="s">
        <v>14970</v>
      </c>
      <c r="H3190" t="s">
        <v>10298</v>
      </c>
      <c r="I3190" t="s">
        <v>76</v>
      </c>
      <c r="J3190" t="s">
        <v>14973</v>
      </c>
    </row>
    <row r="3191" spans="1:10" x14ac:dyDescent="0.25">
      <c r="A3191" t="s">
        <v>14974</v>
      </c>
      <c r="B3191">
        <v>12.592000000000001</v>
      </c>
      <c r="C3191" t="s">
        <v>14975</v>
      </c>
      <c r="D3191" t="s">
        <v>1822</v>
      </c>
      <c r="E3191" t="s">
        <v>14969</v>
      </c>
      <c r="F3191" t="s">
        <v>7672</v>
      </c>
      <c r="G3191" t="s">
        <v>14970</v>
      </c>
      <c r="H3191" t="s">
        <v>10298</v>
      </c>
      <c r="I3191" t="s">
        <v>76</v>
      </c>
      <c r="J3191" t="s">
        <v>14976</v>
      </c>
    </row>
    <row r="3192" spans="1:10" x14ac:dyDescent="0.25">
      <c r="A3192" t="s">
        <v>14977</v>
      </c>
      <c r="B3192">
        <v>12.592000000000001</v>
      </c>
      <c r="C3192" t="s">
        <v>14978</v>
      </c>
      <c r="D3192" t="s">
        <v>311</v>
      </c>
      <c r="E3192" t="s">
        <v>14969</v>
      </c>
      <c r="F3192" t="s">
        <v>7672</v>
      </c>
      <c r="G3192" t="s">
        <v>14970</v>
      </c>
      <c r="H3192" t="s">
        <v>10298</v>
      </c>
      <c r="I3192" t="s">
        <v>76</v>
      </c>
      <c r="J3192" t="s">
        <v>14979</v>
      </c>
    </row>
    <row r="3193" spans="1:10" x14ac:dyDescent="0.25">
      <c r="A3193" t="s">
        <v>14980</v>
      </c>
      <c r="B3193">
        <v>12.592000000000001</v>
      </c>
      <c r="C3193" t="s">
        <v>14981</v>
      </c>
      <c r="D3193" t="s">
        <v>10774</v>
      </c>
      <c r="E3193" t="s">
        <v>14969</v>
      </c>
      <c r="F3193" t="s">
        <v>7672</v>
      </c>
      <c r="G3193" t="s">
        <v>14970</v>
      </c>
      <c r="H3193" t="s">
        <v>10298</v>
      </c>
      <c r="I3193" t="s">
        <v>76</v>
      </c>
      <c r="J3193" t="s">
        <v>14982</v>
      </c>
    </row>
    <row r="3194" spans="1:10" x14ac:dyDescent="0.25">
      <c r="A3194" t="s">
        <v>14983</v>
      </c>
      <c r="B3194">
        <v>12.592000000000001</v>
      </c>
      <c r="C3194" t="s">
        <v>14984</v>
      </c>
      <c r="D3194" t="s">
        <v>2138</v>
      </c>
      <c r="E3194" t="s">
        <v>14969</v>
      </c>
      <c r="F3194" t="s">
        <v>7672</v>
      </c>
      <c r="G3194" t="s">
        <v>14970</v>
      </c>
      <c r="H3194" t="s">
        <v>10298</v>
      </c>
      <c r="I3194" t="s">
        <v>76</v>
      </c>
      <c r="J3194" t="s">
        <v>14985</v>
      </c>
    </row>
    <row r="3195" spans="1:10" x14ac:dyDescent="0.25">
      <c r="A3195" t="s">
        <v>14986</v>
      </c>
      <c r="B3195">
        <v>12.592000000000001</v>
      </c>
      <c r="C3195" t="s">
        <v>14987</v>
      </c>
      <c r="D3195" t="s">
        <v>3815</v>
      </c>
      <c r="E3195" t="s">
        <v>14969</v>
      </c>
      <c r="F3195" t="s">
        <v>7672</v>
      </c>
      <c r="G3195" t="s">
        <v>14970</v>
      </c>
      <c r="H3195" t="s">
        <v>10298</v>
      </c>
      <c r="I3195" t="s">
        <v>76</v>
      </c>
      <c r="J3195" t="s">
        <v>14988</v>
      </c>
    </row>
    <row r="3196" spans="1:10" x14ac:dyDescent="0.25">
      <c r="A3196" t="s">
        <v>14989</v>
      </c>
      <c r="B3196">
        <v>12.592000000000001</v>
      </c>
      <c r="C3196" t="s">
        <v>14990</v>
      </c>
      <c r="D3196" t="s">
        <v>8450</v>
      </c>
      <c r="E3196" t="s">
        <v>14969</v>
      </c>
      <c r="F3196" t="s">
        <v>7672</v>
      </c>
      <c r="G3196" t="s">
        <v>14970</v>
      </c>
      <c r="H3196" t="s">
        <v>10298</v>
      </c>
      <c r="I3196" t="s">
        <v>76</v>
      </c>
      <c r="J3196" t="s">
        <v>14991</v>
      </c>
    </row>
    <row r="3197" spans="1:10" x14ac:dyDescent="0.25">
      <c r="A3197" t="s">
        <v>14992</v>
      </c>
      <c r="B3197">
        <v>12.592000000000001</v>
      </c>
      <c r="C3197" t="s">
        <v>14993</v>
      </c>
      <c r="D3197" t="s">
        <v>8759</v>
      </c>
      <c r="E3197" t="s">
        <v>14969</v>
      </c>
      <c r="F3197" t="s">
        <v>7672</v>
      </c>
      <c r="G3197" t="s">
        <v>14970</v>
      </c>
      <c r="H3197" t="s">
        <v>10298</v>
      </c>
      <c r="I3197" t="s">
        <v>76</v>
      </c>
      <c r="J3197" t="s">
        <v>14994</v>
      </c>
    </row>
    <row r="3198" spans="1:10" x14ac:dyDescent="0.25">
      <c r="A3198" t="s">
        <v>14995</v>
      </c>
      <c r="B3198">
        <v>12.592000000000001</v>
      </c>
      <c r="C3198" t="s">
        <v>14996</v>
      </c>
      <c r="D3198" t="s">
        <v>742</v>
      </c>
      <c r="E3198" t="s">
        <v>14969</v>
      </c>
      <c r="F3198" t="s">
        <v>7672</v>
      </c>
      <c r="G3198" t="s">
        <v>14970</v>
      </c>
      <c r="H3198" t="s">
        <v>10298</v>
      </c>
      <c r="I3198" t="s">
        <v>76</v>
      </c>
      <c r="J3198" t="s">
        <v>14997</v>
      </c>
    </row>
    <row r="3199" spans="1:10" x14ac:dyDescent="0.25">
      <c r="A3199" t="s">
        <v>14998</v>
      </c>
      <c r="B3199">
        <v>12.592000000000001</v>
      </c>
      <c r="C3199" t="s">
        <v>14999</v>
      </c>
      <c r="D3199" t="s">
        <v>10774</v>
      </c>
      <c r="E3199" t="s">
        <v>14969</v>
      </c>
      <c r="F3199" t="s">
        <v>7672</v>
      </c>
      <c r="G3199" t="s">
        <v>14970</v>
      </c>
      <c r="H3199" t="s">
        <v>10298</v>
      </c>
      <c r="I3199" t="s">
        <v>76</v>
      </c>
      <c r="J3199" t="s">
        <v>15000</v>
      </c>
    </row>
    <row r="3200" spans="1:10" x14ac:dyDescent="0.25">
      <c r="A3200" t="s">
        <v>3630</v>
      </c>
      <c r="B3200">
        <v>11.44</v>
      </c>
      <c r="C3200" t="s">
        <v>3632</v>
      </c>
      <c r="D3200" t="s">
        <v>3378</v>
      </c>
      <c r="E3200" t="s">
        <v>3633</v>
      </c>
      <c r="F3200" t="s">
        <v>7672</v>
      </c>
      <c r="G3200" t="s">
        <v>15001</v>
      </c>
      <c r="H3200" t="s">
        <v>8078</v>
      </c>
      <c r="I3200" t="s">
        <v>15002</v>
      </c>
      <c r="J3200" t="s">
        <v>7981</v>
      </c>
    </row>
    <row r="3201" spans="1:10" x14ac:dyDescent="0.25">
      <c r="A3201" t="s">
        <v>3637</v>
      </c>
      <c r="B3201">
        <v>11.44</v>
      </c>
      <c r="C3201" t="s">
        <v>3639</v>
      </c>
      <c r="D3201" t="s">
        <v>3640</v>
      </c>
      <c r="E3201" t="s">
        <v>3633</v>
      </c>
      <c r="F3201" t="s">
        <v>7672</v>
      </c>
      <c r="G3201" t="s">
        <v>15001</v>
      </c>
      <c r="H3201" t="s">
        <v>8078</v>
      </c>
      <c r="I3201" t="s">
        <v>15002</v>
      </c>
      <c r="J3201" t="s">
        <v>7984</v>
      </c>
    </row>
    <row r="3202" spans="1:10" x14ac:dyDescent="0.25">
      <c r="A3202" t="s">
        <v>3641</v>
      </c>
      <c r="B3202">
        <v>11.44</v>
      </c>
      <c r="C3202" t="s">
        <v>3643</v>
      </c>
      <c r="D3202" t="s">
        <v>3644</v>
      </c>
      <c r="E3202" t="s">
        <v>3633</v>
      </c>
      <c r="F3202" t="s">
        <v>7672</v>
      </c>
      <c r="G3202" t="s">
        <v>15001</v>
      </c>
      <c r="H3202" t="s">
        <v>8078</v>
      </c>
      <c r="I3202" t="s">
        <v>15002</v>
      </c>
      <c r="J3202" t="s">
        <v>7987</v>
      </c>
    </row>
    <row r="3203" spans="1:10" x14ac:dyDescent="0.25">
      <c r="A3203" t="s">
        <v>3645</v>
      </c>
      <c r="B3203">
        <v>11.44</v>
      </c>
      <c r="C3203" t="s">
        <v>3647</v>
      </c>
      <c r="D3203" t="s">
        <v>903</v>
      </c>
      <c r="E3203" t="s">
        <v>3633</v>
      </c>
      <c r="F3203" t="s">
        <v>7672</v>
      </c>
      <c r="G3203" t="s">
        <v>15001</v>
      </c>
      <c r="H3203" t="s">
        <v>8078</v>
      </c>
      <c r="I3203" t="s">
        <v>15002</v>
      </c>
      <c r="J3203" t="s">
        <v>8001</v>
      </c>
    </row>
    <row r="3204" spans="1:10" x14ac:dyDescent="0.25">
      <c r="A3204" t="s">
        <v>15003</v>
      </c>
      <c r="B3204">
        <v>3.6</v>
      </c>
      <c r="C3204" t="s">
        <v>15004</v>
      </c>
      <c r="D3204" t="s">
        <v>3577</v>
      </c>
      <c r="E3204" t="s">
        <v>15005</v>
      </c>
      <c r="F3204" t="s">
        <v>7672</v>
      </c>
      <c r="G3204" t="s">
        <v>15006</v>
      </c>
      <c r="H3204" t="s">
        <v>10298</v>
      </c>
      <c r="I3204" t="s">
        <v>11699</v>
      </c>
      <c r="J3204" t="s">
        <v>8427</v>
      </c>
    </row>
    <row r="3205" spans="1:10" x14ac:dyDescent="0.25">
      <c r="A3205" t="s">
        <v>15007</v>
      </c>
      <c r="B3205">
        <v>3.6</v>
      </c>
      <c r="C3205" t="s">
        <v>15008</v>
      </c>
      <c r="D3205" t="s">
        <v>1459</v>
      </c>
      <c r="E3205" t="s">
        <v>15005</v>
      </c>
      <c r="F3205" t="s">
        <v>7672</v>
      </c>
      <c r="G3205" t="s">
        <v>15006</v>
      </c>
      <c r="H3205" t="s">
        <v>10298</v>
      </c>
      <c r="I3205" t="s">
        <v>11206</v>
      </c>
      <c r="J3205" t="s">
        <v>8427</v>
      </c>
    </row>
    <row r="3206" spans="1:10" x14ac:dyDescent="0.25">
      <c r="A3206" t="s">
        <v>15009</v>
      </c>
      <c r="B3206">
        <v>3.6</v>
      </c>
      <c r="C3206" t="s">
        <v>15010</v>
      </c>
      <c r="D3206" t="s">
        <v>3023</v>
      </c>
      <c r="E3206" t="s">
        <v>15005</v>
      </c>
      <c r="F3206" t="s">
        <v>7672</v>
      </c>
      <c r="G3206" t="s">
        <v>15006</v>
      </c>
      <c r="H3206" t="s">
        <v>10298</v>
      </c>
      <c r="I3206" t="s">
        <v>10394</v>
      </c>
      <c r="J3206" t="s">
        <v>8427</v>
      </c>
    </row>
    <row r="3207" spans="1:10" x14ac:dyDescent="0.25">
      <c r="A3207" t="s">
        <v>15011</v>
      </c>
      <c r="B3207">
        <v>3.6</v>
      </c>
      <c r="C3207" t="s">
        <v>15012</v>
      </c>
      <c r="D3207" t="s">
        <v>2253</v>
      </c>
      <c r="E3207" t="s">
        <v>15005</v>
      </c>
      <c r="F3207" t="s">
        <v>7672</v>
      </c>
      <c r="G3207" t="s">
        <v>15006</v>
      </c>
      <c r="H3207" t="s">
        <v>10298</v>
      </c>
      <c r="I3207" t="s">
        <v>15013</v>
      </c>
      <c r="J3207" t="s">
        <v>8427</v>
      </c>
    </row>
    <row r="3208" spans="1:10" x14ac:dyDescent="0.25">
      <c r="A3208" t="s">
        <v>15014</v>
      </c>
      <c r="B3208">
        <v>3.6</v>
      </c>
      <c r="C3208" t="s">
        <v>15015</v>
      </c>
      <c r="D3208" t="s">
        <v>396</v>
      </c>
      <c r="E3208" t="s">
        <v>15005</v>
      </c>
      <c r="F3208" t="s">
        <v>7672</v>
      </c>
      <c r="G3208" t="s">
        <v>15006</v>
      </c>
      <c r="H3208" t="s">
        <v>10298</v>
      </c>
      <c r="I3208" t="s">
        <v>15016</v>
      </c>
      <c r="J3208" t="s">
        <v>8427</v>
      </c>
    </row>
    <row r="3209" spans="1:10" x14ac:dyDescent="0.25">
      <c r="A3209" t="s">
        <v>15017</v>
      </c>
      <c r="B3209">
        <v>3.6</v>
      </c>
      <c r="C3209" t="s">
        <v>15018</v>
      </c>
      <c r="D3209" t="s">
        <v>2056</v>
      </c>
      <c r="E3209" t="s">
        <v>15005</v>
      </c>
      <c r="F3209" t="s">
        <v>7672</v>
      </c>
      <c r="G3209" t="s">
        <v>15006</v>
      </c>
      <c r="H3209" t="s">
        <v>10298</v>
      </c>
      <c r="I3209" t="s">
        <v>11699</v>
      </c>
      <c r="J3209" t="s">
        <v>8439</v>
      </c>
    </row>
    <row r="3210" spans="1:10" x14ac:dyDescent="0.25">
      <c r="A3210" t="s">
        <v>15019</v>
      </c>
      <c r="B3210">
        <v>3.6</v>
      </c>
      <c r="C3210" t="s">
        <v>15020</v>
      </c>
      <c r="D3210" t="s">
        <v>1536</v>
      </c>
      <c r="E3210" t="s">
        <v>15005</v>
      </c>
      <c r="F3210" t="s">
        <v>7672</v>
      </c>
      <c r="G3210" t="s">
        <v>15006</v>
      </c>
      <c r="H3210" t="s">
        <v>10298</v>
      </c>
      <c r="I3210" t="s">
        <v>10394</v>
      </c>
      <c r="J3210" t="s">
        <v>8439</v>
      </c>
    </row>
    <row r="3211" spans="1:10" x14ac:dyDescent="0.25">
      <c r="A3211" t="s">
        <v>15021</v>
      </c>
      <c r="B3211">
        <v>3.6</v>
      </c>
      <c r="C3211" t="s">
        <v>15022</v>
      </c>
      <c r="D3211" t="s">
        <v>849</v>
      </c>
      <c r="E3211" t="s">
        <v>15005</v>
      </c>
      <c r="F3211" t="s">
        <v>7672</v>
      </c>
      <c r="G3211" t="s">
        <v>15006</v>
      </c>
      <c r="H3211" t="s">
        <v>10298</v>
      </c>
      <c r="I3211" t="s">
        <v>15013</v>
      </c>
      <c r="J3211" t="s">
        <v>8439</v>
      </c>
    </row>
    <row r="3212" spans="1:10" x14ac:dyDescent="0.25">
      <c r="A3212" t="s">
        <v>15023</v>
      </c>
      <c r="B3212">
        <v>3.6</v>
      </c>
      <c r="C3212" t="s">
        <v>15024</v>
      </c>
      <c r="D3212" t="s">
        <v>95</v>
      </c>
      <c r="E3212" t="s">
        <v>15005</v>
      </c>
      <c r="F3212" t="s">
        <v>7672</v>
      </c>
      <c r="G3212" t="s">
        <v>15006</v>
      </c>
      <c r="H3212" t="s">
        <v>10298</v>
      </c>
      <c r="I3212" t="s">
        <v>15016</v>
      </c>
      <c r="J3212" t="s">
        <v>8439</v>
      </c>
    </row>
    <row r="3213" spans="1:10" x14ac:dyDescent="0.25">
      <c r="A3213" t="s">
        <v>15025</v>
      </c>
      <c r="B3213">
        <v>3.6</v>
      </c>
      <c r="C3213" t="s">
        <v>15026</v>
      </c>
      <c r="D3213" t="s">
        <v>1512</v>
      </c>
      <c r="E3213" t="s">
        <v>15005</v>
      </c>
      <c r="F3213" t="s">
        <v>7672</v>
      </c>
      <c r="G3213" t="s">
        <v>15006</v>
      </c>
      <c r="H3213" t="s">
        <v>10298</v>
      </c>
      <c r="I3213" t="s">
        <v>11206</v>
      </c>
      <c r="J3213" t="s">
        <v>8439</v>
      </c>
    </row>
    <row r="3214" spans="1:10" x14ac:dyDescent="0.25">
      <c r="A3214" t="s">
        <v>15027</v>
      </c>
      <c r="B3214">
        <v>3.6</v>
      </c>
      <c r="C3214" t="s">
        <v>15028</v>
      </c>
      <c r="D3214" t="s">
        <v>981</v>
      </c>
      <c r="E3214" t="s">
        <v>15005</v>
      </c>
      <c r="F3214" t="s">
        <v>7672</v>
      </c>
      <c r="G3214" t="s">
        <v>15006</v>
      </c>
      <c r="H3214" t="s">
        <v>10298</v>
      </c>
      <c r="I3214" t="s">
        <v>11699</v>
      </c>
      <c r="J3214" t="s">
        <v>8451</v>
      </c>
    </row>
    <row r="3215" spans="1:10" x14ac:dyDescent="0.25">
      <c r="A3215" t="s">
        <v>15029</v>
      </c>
      <c r="B3215">
        <v>3.6</v>
      </c>
      <c r="C3215" t="s">
        <v>15030</v>
      </c>
      <c r="D3215" t="s">
        <v>144</v>
      </c>
      <c r="E3215" t="s">
        <v>15005</v>
      </c>
      <c r="F3215" t="s">
        <v>7672</v>
      </c>
      <c r="G3215" t="s">
        <v>15006</v>
      </c>
      <c r="H3215" t="s">
        <v>10298</v>
      </c>
      <c r="I3215" t="s">
        <v>10394</v>
      </c>
      <c r="J3215" t="s">
        <v>8451</v>
      </c>
    </row>
    <row r="3216" spans="1:10" x14ac:dyDescent="0.25">
      <c r="A3216" t="s">
        <v>15031</v>
      </c>
      <c r="B3216">
        <v>3.6</v>
      </c>
      <c r="C3216" t="s">
        <v>15032</v>
      </c>
      <c r="D3216" t="s">
        <v>742</v>
      </c>
      <c r="E3216" t="s">
        <v>15005</v>
      </c>
      <c r="F3216" t="s">
        <v>7672</v>
      </c>
      <c r="G3216" t="s">
        <v>15006</v>
      </c>
      <c r="H3216" t="s">
        <v>10298</v>
      </c>
      <c r="I3216" t="s">
        <v>15013</v>
      </c>
      <c r="J3216" t="s">
        <v>8451</v>
      </c>
    </row>
    <row r="3217" spans="1:10" x14ac:dyDescent="0.25">
      <c r="A3217" t="s">
        <v>15033</v>
      </c>
      <c r="B3217">
        <v>3.6</v>
      </c>
      <c r="C3217" t="s">
        <v>15034</v>
      </c>
      <c r="D3217" t="s">
        <v>53</v>
      </c>
      <c r="E3217" t="s">
        <v>15005</v>
      </c>
      <c r="F3217" t="s">
        <v>7672</v>
      </c>
      <c r="G3217" t="s">
        <v>15006</v>
      </c>
      <c r="H3217" t="s">
        <v>10298</v>
      </c>
      <c r="I3217" t="s">
        <v>15016</v>
      </c>
      <c r="J3217" t="s">
        <v>8451</v>
      </c>
    </row>
    <row r="3218" spans="1:10" x14ac:dyDescent="0.25">
      <c r="A3218" t="s">
        <v>15035</v>
      </c>
      <c r="B3218">
        <v>3.6</v>
      </c>
      <c r="C3218" t="s">
        <v>15036</v>
      </c>
      <c r="D3218" t="s">
        <v>8618</v>
      </c>
      <c r="E3218" t="s">
        <v>15005</v>
      </c>
      <c r="F3218" t="s">
        <v>7672</v>
      </c>
      <c r="G3218" t="s">
        <v>15006</v>
      </c>
      <c r="H3218" t="s">
        <v>10298</v>
      </c>
      <c r="I3218" t="s">
        <v>11206</v>
      </c>
      <c r="J3218" t="s">
        <v>8451</v>
      </c>
    </row>
    <row r="3219" spans="1:10" x14ac:dyDescent="0.25">
      <c r="A3219" t="s">
        <v>15037</v>
      </c>
      <c r="B3219">
        <v>8.3920000000000012</v>
      </c>
      <c r="C3219" t="s">
        <v>15038</v>
      </c>
      <c r="D3219" t="s">
        <v>359</v>
      </c>
      <c r="E3219" t="s">
        <v>15039</v>
      </c>
      <c r="F3219" t="s">
        <v>7672</v>
      </c>
      <c r="G3219" t="s">
        <v>15040</v>
      </c>
      <c r="H3219" t="s">
        <v>10298</v>
      </c>
      <c r="I3219" t="s">
        <v>15041</v>
      </c>
      <c r="J3219" t="s">
        <v>290</v>
      </c>
    </row>
    <row r="3220" spans="1:10" x14ac:dyDescent="0.25">
      <c r="A3220" t="s">
        <v>15042</v>
      </c>
      <c r="B3220">
        <v>8.3920000000000012</v>
      </c>
      <c r="C3220" t="s">
        <v>15043</v>
      </c>
      <c r="D3220" t="s">
        <v>5966</v>
      </c>
      <c r="E3220" t="s">
        <v>15039</v>
      </c>
      <c r="F3220" t="s">
        <v>7672</v>
      </c>
      <c r="G3220" t="s">
        <v>15040</v>
      </c>
      <c r="H3220" t="s">
        <v>10298</v>
      </c>
      <c r="I3220" t="s">
        <v>15044</v>
      </c>
      <c r="J3220" t="s">
        <v>290</v>
      </c>
    </row>
    <row r="3221" spans="1:10" x14ac:dyDescent="0.25">
      <c r="A3221" t="s">
        <v>15045</v>
      </c>
      <c r="B3221">
        <v>8.3920000000000012</v>
      </c>
      <c r="C3221" t="s">
        <v>15046</v>
      </c>
      <c r="D3221" t="s">
        <v>11143</v>
      </c>
      <c r="E3221" t="s">
        <v>15039</v>
      </c>
      <c r="F3221" t="s">
        <v>7672</v>
      </c>
      <c r="G3221" t="s">
        <v>15040</v>
      </c>
      <c r="H3221" t="s">
        <v>10298</v>
      </c>
      <c r="I3221" t="s">
        <v>15047</v>
      </c>
      <c r="J3221" t="s">
        <v>290</v>
      </c>
    </row>
    <row r="3222" spans="1:10" x14ac:dyDescent="0.25">
      <c r="A3222" t="s">
        <v>15048</v>
      </c>
      <c r="B3222">
        <v>8.3920000000000012</v>
      </c>
      <c r="C3222" t="s">
        <v>15049</v>
      </c>
      <c r="D3222" t="s">
        <v>100</v>
      </c>
      <c r="E3222" t="s">
        <v>15039</v>
      </c>
      <c r="F3222" t="s">
        <v>7672</v>
      </c>
      <c r="G3222" t="s">
        <v>15040</v>
      </c>
      <c r="H3222" t="s">
        <v>10298</v>
      </c>
      <c r="I3222" t="s">
        <v>15044</v>
      </c>
      <c r="J3222" t="s">
        <v>88</v>
      </c>
    </row>
    <row r="3223" spans="1:10" x14ac:dyDescent="0.25">
      <c r="A3223" t="s">
        <v>15050</v>
      </c>
      <c r="B3223">
        <v>8.3920000000000012</v>
      </c>
      <c r="C3223" t="s">
        <v>15051</v>
      </c>
      <c r="D3223" t="s">
        <v>639</v>
      </c>
      <c r="E3223" t="s">
        <v>15039</v>
      </c>
      <c r="F3223" t="s">
        <v>7672</v>
      </c>
      <c r="G3223" t="s">
        <v>15040</v>
      </c>
      <c r="H3223" t="s">
        <v>10298</v>
      </c>
      <c r="I3223" t="s">
        <v>15044</v>
      </c>
      <c r="J3223" t="s">
        <v>269</v>
      </c>
    </row>
    <row r="3224" spans="1:10" x14ac:dyDescent="0.25">
      <c r="A3224" t="s">
        <v>15052</v>
      </c>
      <c r="B3224">
        <v>8.3920000000000012</v>
      </c>
      <c r="C3224" t="s">
        <v>15053</v>
      </c>
      <c r="D3224" t="s">
        <v>164</v>
      </c>
      <c r="E3224" t="s">
        <v>15039</v>
      </c>
      <c r="F3224" t="s">
        <v>7672</v>
      </c>
      <c r="G3224" t="s">
        <v>15040</v>
      </c>
      <c r="H3224" t="s">
        <v>10298</v>
      </c>
      <c r="I3224" t="s">
        <v>15047</v>
      </c>
      <c r="J3224" t="s">
        <v>269</v>
      </c>
    </row>
    <row r="3225" spans="1:10" x14ac:dyDescent="0.25">
      <c r="A3225" t="s">
        <v>15054</v>
      </c>
      <c r="B3225">
        <v>8.3920000000000012</v>
      </c>
      <c r="C3225" t="s">
        <v>15055</v>
      </c>
      <c r="D3225" t="s">
        <v>2371</v>
      </c>
      <c r="E3225" t="s">
        <v>15039</v>
      </c>
      <c r="F3225" t="s">
        <v>7672</v>
      </c>
      <c r="G3225" t="s">
        <v>15040</v>
      </c>
      <c r="H3225" t="s">
        <v>10298</v>
      </c>
      <c r="I3225" t="s">
        <v>15044</v>
      </c>
      <c r="J3225" t="s">
        <v>255</v>
      </c>
    </row>
    <row r="3226" spans="1:10" x14ac:dyDescent="0.25">
      <c r="A3226" t="s">
        <v>15056</v>
      </c>
      <c r="B3226">
        <v>8.3920000000000012</v>
      </c>
      <c r="C3226" t="s">
        <v>15057</v>
      </c>
      <c r="D3226" t="s">
        <v>2845</v>
      </c>
      <c r="E3226" t="s">
        <v>15039</v>
      </c>
      <c r="F3226" t="s">
        <v>7672</v>
      </c>
      <c r="G3226" t="s">
        <v>15040</v>
      </c>
      <c r="H3226" t="s">
        <v>10298</v>
      </c>
      <c r="I3226" t="s">
        <v>15044</v>
      </c>
      <c r="J3226" t="s">
        <v>277</v>
      </c>
    </row>
    <row r="3227" spans="1:10" x14ac:dyDescent="0.25">
      <c r="A3227" t="s">
        <v>15058</v>
      </c>
      <c r="B3227">
        <v>8.3920000000000012</v>
      </c>
      <c r="C3227" t="s">
        <v>15059</v>
      </c>
      <c r="D3227" t="s">
        <v>593</v>
      </c>
      <c r="E3227" t="s">
        <v>15039</v>
      </c>
      <c r="F3227" t="s">
        <v>7672</v>
      </c>
      <c r="G3227" t="s">
        <v>15040</v>
      </c>
      <c r="H3227" t="s">
        <v>10298</v>
      </c>
      <c r="I3227" t="s">
        <v>15047</v>
      </c>
      <c r="J3227" t="s">
        <v>277</v>
      </c>
    </row>
    <row r="3228" spans="1:10" x14ac:dyDescent="0.25">
      <c r="A3228" t="s">
        <v>15060</v>
      </c>
      <c r="B3228">
        <v>8.3920000000000012</v>
      </c>
      <c r="C3228" t="s">
        <v>15061</v>
      </c>
      <c r="D3228" t="s">
        <v>2138</v>
      </c>
      <c r="E3228" t="s">
        <v>15039</v>
      </c>
      <c r="F3228" t="s">
        <v>7672</v>
      </c>
      <c r="G3228" t="s">
        <v>15040</v>
      </c>
      <c r="H3228" t="s">
        <v>10298</v>
      </c>
      <c r="I3228" t="s">
        <v>15044</v>
      </c>
      <c r="J3228" t="s">
        <v>164</v>
      </c>
    </row>
    <row r="3229" spans="1:10" x14ac:dyDescent="0.25">
      <c r="A3229" t="s">
        <v>15062</v>
      </c>
      <c r="B3229">
        <v>8.3920000000000012</v>
      </c>
      <c r="C3229" t="s">
        <v>15063</v>
      </c>
      <c r="D3229" t="s">
        <v>396</v>
      </c>
      <c r="E3229" t="s">
        <v>15039</v>
      </c>
      <c r="F3229" t="s">
        <v>7672</v>
      </c>
      <c r="G3229" t="s">
        <v>15040</v>
      </c>
      <c r="H3229" t="s">
        <v>10298</v>
      </c>
      <c r="I3229" t="s">
        <v>15047</v>
      </c>
      <c r="J3229" t="s">
        <v>164</v>
      </c>
    </row>
    <row r="3230" spans="1:10" x14ac:dyDescent="0.25">
      <c r="A3230" t="s">
        <v>15064</v>
      </c>
      <c r="B3230">
        <v>8.3920000000000012</v>
      </c>
      <c r="C3230" t="s">
        <v>15065</v>
      </c>
      <c r="D3230" t="s">
        <v>3110</v>
      </c>
      <c r="E3230" t="s">
        <v>15039</v>
      </c>
      <c r="F3230" t="s">
        <v>7672</v>
      </c>
      <c r="G3230" t="s">
        <v>15040</v>
      </c>
      <c r="H3230" t="s">
        <v>10298</v>
      </c>
      <c r="I3230" t="s">
        <v>15044</v>
      </c>
      <c r="J3230" t="s">
        <v>199</v>
      </c>
    </row>
    <row r="3231" spans="1:10" x14ac:dyDescent="0.25">
      <c r="A3231" t="s">
        <v>15066</v>
      </c>
      <c r="B3231">
        <v>8.3920000000000012</v>
      </c>
      <c r="C3231" t="s">
        <v>15067</v>
      </c>
      <c r="D3231" t="s">
        <v>742</v>
      </c>
      <c r="E3231" t="s">
        <v>15039</v>
      </c>
      <c r="F3231" t="s">
        <v>7672</v>
      </c>
      <c r="G3231" t="s">
        <v>15040</v>
      </c>
      <c r="H3231" t="s">
        <v>10298</v>
      </c>
      <c r="I3231" t="s">
        <v>15047</v>
      </c>
      <c r="J3231" t="s">
        <v>199</v>
      </c>
    </row>
    <row r="3232" spans="1:10" x14ac:dyDescent="0.25">
      <c r="A3232" t="s">
        <v>15068</v>
      </c>
      <c r="B3232">
        <v>8.3920000000000012</v>
      </c>
      <c r="C3232" t="s">
        <v>15069</v>
      </c>
      <c r="D3232" t="s">
        <v>342</v>
      </c>
      <c r="E3232" t="s">
        <v>15039</v>
      </c>
      <c r="F3232" t="s">
        <v>7672</v>
      </c>
      <c r="G3232" t="s">
        <v>15040</v>
      </c>
      <c r="H3232" t="s">
        <v>10298</v>
      </c>
      <c r="I3232" t="s">
        <v>15044</v>
      </c>
      <c r="J3232" t="s">
        <v>15070</v>
      </c>
    </row>
    <row r="3233" spans="1:10" x14ac:dyDescent="0.25">
      <c r="A3233" t="s">
        <v>15071</v>
      </c>
      <c r="B3233">
        <v>8.3920000000000012</v>
      </c>
      <c r="C3233" t="s">
        <v>15072</v>
      </c>
      <c r="D3233" t="s">
        <v>352</v>
      </c>
      <c r="E3233" t="s">
        <v>15039</v>
      </c>
      <c r="F3233" t="s">
        <v>7672</v>
      </c>
      <c r="G3233" t="s">
        <v>15040</v>
      </c>
      <c r="H3233" t="s">
        <v>10298</v>
      </c>
      <c r="I3233" t="s">
        <v>15044</v>
      </c>
      <c r="J3233" t="s">
        <v>15073</v>
      </c>
    </row>
    <row r="3234" spans="1:10" x14ac:dyDescent="0.25">
      <c r="A3234" t="s">
        <v>15074</v>
      </c>
      <c r="B3234">
        <v>8.3920000000000012</v>
      </c>
      <c r="C3234" t="s">
        <v>15075</v>
      </c>
      <c r="D3234" t="s">
        <v>2879</v>
      </c>
      <c r="E3234" t="s">
        <v>15039</v>
      </c>
      <c r="F3234" t="s">
        <v>7672</v>
      </c>
      <c r="G3234" t="s">
        <v>15040</v>
      </c>
      <c r="H3234" t="s">
        <v>10298</v>
      </c>
      <c r="I3234" t="s">
        <v>15044</v>
      </c>
      <c r="J3234" t="s">
        <v>15076</v>
      </c>
    </row>
    <row r="3235" spans="1:10" x14ac:dyDescent="0.25">
      <c r="A3235" t="s">
        <v>15077</v>
      </c>
      <c r="B3235">
        <v>8.3920000000000012</v>
      </c>
      <c r="C3235" t="s">
        <v>15078</v>
      </c>
      <c r="D3235" t="s">
        <v>959</v>
      </c>
      <c r="E3235" t="s">
        <v>15039</v>
      </c>
      <c r="F3235" t="s">
        <v>7672</v>
      </c>
      <c r="G3235" t="s">
        <v>15040</v>
      </c>
      <c r="H3235" t="s">
        <v>10298</v>
      </c>
      <c r="I3235" t="s">
        <v>15044</v>
      </c>
      <c r="J3235" t="s">
        <v>15079</v>
      </c>
    </row>
    <row r="3236" spans="1:10" x14ac:dyDescent="0.25">
      <c r="A3236" t="s">
        <v>15080</v>
      </c>
      <c r="B3236">
        <v>2.6</v>
      </c>
      <c r="C3236" t="s">
        <v>15081</v>
      </c>
      <c r="D3236" t="s">
        <v>626</v>
      </c>
      <c r="E3236" t="s">
        <v>15082</v>
      </c>
      <c r="F3236" t="s">
        <v>7672</v>
      </c>
      <c r="G3236" t="s">
        <v>15083</v>
      </c>
      <c r="H3236" t="s">
        <v>10298</v>
      </c>
      <c r="I3236" t="s">
        <v>13406</v>
      </c>
      <c r="J3236" t="s">
        <v>7981</v>
      </c>
    </row>
    <row r="3237" spans="1:10" x14ac:dyDescent="0.25">
      <c r="A3237" t="s">
        <v>15084</v>
      </c>
      <c r="B3237">
        <v>2.6</v>
      </c>
      <c r="C3237" t="s">
        <v>15085</v>
      </c>
      <c r="D3237" t="s">
        <v>649</v>
      </c>
      <c r="E3237" t="s">
        <v>15082</v>
      </c>
      <c r="F3237" t="s">
        <v>7672</v>
      </c>
      <c r="G3237" t="s">
        <v>15083</v>
      </c>
      <c r="H3237" t="s">
        <v>10298</v>
      </c>
      <c r="I3237" t="s">
        <v>15086</v>
      </c>
      <c r="J3237" t="s">
        <v>7981</v>
      </c>
    </row>
    <row r="3238" spans="1:10" x14ac:dyDescent="0.25">
      <c r="A3238" t="s">
        <v>15087</v>
      </c>
      <c r="B3238">
        <v>2.6</v>
      </c>
      <c r="C3238" t="s">
        <v>15088</v>
      </c>
      <c r="D3238" t="s">
        <v>2371</v>
      </c>
      <c r="E3238" t="s">
        <v>15082</v>
      </c>
      <c r="F3238" t="s">
        <v>7672</v>
      </c>
      <c r="G3238" t="s">
        <v>15083</v>
      </c>
      <c r="H3238" t="s">
        <v>10298</v>
      </c>
      <c r="I3238" t="s">
        <v>15089</v>
      </c>
      <c r="J3238" t="s">
        <v>7984</v>
      </c>
    </row>
    <row r="3239" spans="1:10" x14ac:dyDescent="0.25">
      <c r="A3239" t="s">
        <v>15090</v>
      </c>
      <c r="B3239">
        <v>2.6</v>
      </c>
      <c r="C3239" t="s">
        <v>15091</v>
      </c>
      <c r="D3239" t="s">
        <v>13257</v>
      </c>
      <c r="E3239" t="s">
        <v>15082</v>
      </c>
      <c r="F3239" t="s">
        <v>7672</v>
      </c>
      <c r="G3239" t="s">
        <v>15083</v>
      </c>
      <c r="H3239" t="s">
        <v>10298</v>
      </c>
      <c r="I3239" t="s">
        <v>13406</v>
      </c>
      <c r="J3239" t="s">
        <v>7984</v>
      </c>
    </row>
    <row r="3240" spans="1:10" x14ac:dyDescent="0.25">
      <c r="A3240" t="s">
        <v>15092</v>
      </c>
      <c r="B3240">
        <v>2.6</v>
      </c>
      <c r="C3240" t="s">
        <v>15093</v>
      </c>
      <c r="D3240" t="s">
        <v>9592</v>
      </c>
      <c r="E3240" t="s">
        <v>15082</v>
      </c>
      <c r="F3240" t="s">
        <v>7672</v>
      </c>
      <c r="G3240" t="s">
        <v>15083</v>
      </c>
      <c r="H3240" t="s">
        <v>10298</v>
      </c>
      <c r="I3240" t="s">
        <v>15086</v>
      </c>
      <c r="J3240" t="s">
        <v>7984</v>
      </c>
    </row>
    <row r="3241" spans="1:10" x14ac:dyDescent="0.25">
      <c r="A3241" t="s">
        <v>15094</v>
      </c>
      <c r="B3241">
        <v>2.6</v>
      </c>
      <c r="C3241" t="s">
        <v>15095</v>
      </c>
      <c r="D3241" t="s">
        <v>8881</v>
      </c>
      <c r="E3241" t="s">
        <v>15082</v>
      </c>
      <c r="F3241" t="s">
        <v>7672</v>
      </c>
      <c r="G3241" t="s">
        <v>15083</v>
      </c>
      <c r="H3241" t="s">
        <v>10298</v>
      </c>
      <c r="I3241" t="s">
        <v>15086</v>
      </c>
      <c r="J3241" t="s">
        <v>7987</v>
      </c>
    </row>
    <row r="3242" spans="1:10" x14ac:dyDescent="0.25">
      <c r="A3242" t="s">
        <v>15096</v>
      </c>
      <c r="B3242">
        <v>2.6</v>
      </c>
      <c r="C3242" t="s">
        <v>15097</v>
      </c>
      <c r="D3242" t="s">
        <v>3060</v>
      </c>
      <c r="E3242" t="s">
        <v>15082</v>
      </c>
      <c r="F3242" t="s">
        <v>7672</v>
      </c>
      <c r="G3242" t="s">
        <v>15083</v>
      </c>
      <c r="H3242" t="s">
        <v>10298</v>
      </c>
      <c r="I3242" t="s">
        <v>15086</v>
      </c>
      <c r="J3242" t="s">
        <v>8001</v>
      </c>
    </row>
    <row r="3243" spans="1:10" x14ac:dyDescent="0.25">
      <c r="A3243" t="s">
        <v>15098</v>
      </c>
      <c r="B3243">
        <v>36</v>
      </c>
      <c r="C3243" t="s">
        <v>15099</v>
      </c>
      <c r="D3243" t="s">
        <v>113</v>
      </c>
      <c r="E3243" t="s">
        <v>15100</v>
      </c>
      <c r="F3243" t="s">
        <v>7672</v>
      </c>
      <c r="G3243" t="s">
        <v>15101</v>
      </c>
      <c r="H3243" t="s">
        <v>8779</v>
      </c>
      <c r="I3243" t="s">
        <v>15102</v>
      </c>
      <c r="J3243" t="s">
        <v>7981</v>
      </c>
    </row>
    <row r="3244" spans="1:10" x14ac:dyDescent="0.25">
      <c r="A3244" t="s">
        <v>15103</v>
      </c>
      <c r="B3244">
        <v>36</v>
      </c>
      <c r="C3244" t="s">
        <v>15104</v>
      </c>
      <c r="D3244" t="s">
        <v>330</v>
      </c>
      <c r="E3244" t="s">
        <v>15100</v>
      </c>
      <c r="F3244" t="s">
        <v>7672</v>
      </c>
      <c r="G3244" t="s">
        <v>15101</v>
      </c>
      <c r="H3244" t="s">
        <v>8779</v>
      </c>
      <c r="I3244" t="s">
        <v>3676</v>
      </c>
      <c r="J3244" t="s">
        <v>7981</v>
      </c>
    </row>
    <row r="3245" spans="1:10" x14ac:dyDescent="0.25">
      <c r="A3245" t="s">
        <v>15105</v>
      </c>
      <c r="B3245">
        <v>36</v>
      </c>
      <c r="C3245" t="s">
        <v>15106</v>
      </c>
      <c r="D3245" t="s">
        <v>664</v>
      </c>
      <c r="E3245" t="s">
        <v>15100</v>
      </c>
      <c r="F3245" t="s">
        <v>7672</v>
      </c>
      <c r="G3245" t="s">
        <v>15101</v>
      </c>
      <c r="H3245" t="s">
        <v>8779</v>
      </c>
      <c r="I3245" t="s">
        <v>15102</v>
      </c>
      <c r="J3245" t="s">
        <v>7984</v>
      </c>
    </row>
    <row r="3246" spans="1:10" x14ac:dyDescent="0.25">
      <c r="A3246" t="s">
        <v>15107</v>
      </c>
      <c r="B3246">
        <v>36</v>
      </c>
      <c r="C3246" t="s">
        <v>15108</v>
      </c>
      <c r="D3246" t="s">
        <v>613</v>
      </c>
      <c r="E3246" t="s">
        <v>15100</v>
      </c>
      <c r="F3246" t="s">
        <v>7672</v>
      </c>
      <c r="G3246" t="s">
        <v>15101</v>
      </c>
      <c r="H3246" t="s">
        <v>8779</v>
      </c>
      <c r="I3246" t="s">
        <v>3676</v>
      </c>
      <c r="J3246" t="s">
        <v>7984</v>
      </c>
    </row>
    <row r="3247" spans="1:10" x14ac:dyDescent="0.25">
      <c r="A3247" t="s">
        <v>15109</v>
      </c>
      <c r="B3247">
        <v>36</v>
      </c>
      <c r="C3247" t="s">
        <v>15110</v>
      </c>
      <c r="D3247" t="s">
        <v>60</v>
      </c>
      <c r="E3247" t="s">
        <v>15100</v>
      </c>
      <c r="F3247" t="s">
        <v>7672</v>
      </c>
      <c r="G3247" t="s">
        <v>15101</v>
      </c>
      <c r="H3247" t="s">
        <v>8779</v>
      </c>
      <c r="I3247" t="s">
        <v>15102</v>
      </c>
      <c r="J3247" t="s">
        <v>7987</v>
      </c>
    </row>
    <row r="3248" spans="1:10" x14ac:dyDescent="0.25">
      <c r="A3248" t="s">
        <v>15111</v>
      </c>
      <c r="B3248">
        <v>36</v>
      </c>
      <c r="C3248" t="s">
        <v>15112</v>
      </c>
      <c r="D3248" t="s">
        <v>964</v>
      </c>
      <c r="E3248" t="s">
        <v>15100</v>
      </c>
      <c r="F3248" t="s">
        <v>7672</v>
      </c>
      <c r="G3248" t="s">
        <v>15101</v>
      </c>
      <c r="H3248" t="s">
        <v>8779</v>
      </c>
      <c r="I3248" t="s">
        <v>15102</v>
      </c>
      <c r="J3248" t="s">
        <v>8001</v>
      </c>
    </row>
    <row r="3249" spans="1:10" x14ac:dyDescent="0.25">
      <c r="A3249" t="s">
        <v>15113</v>
      </c>
      <c r="B3249">
        <v>36</v>
      </c>
      <c r="C3249" t="s">
        <v>15114</v>
      </c>
      <c r="D3249" t="s">
        <v>875</v>
      </c>
      <c r="E3249" t="s">
        <v>15100</v>
      </c>
      <c r="F3249" t="s">
        <v>7672</v>
      </c>
      <c r="G3249" t="s">
        <v>15101</v>
      </c>
      <c r="H3249" t="s">
        <v>8779</v>
      </c>
      <c r="I3249" t="s">
        <v>3676</v>
      </c>
      <c r="J3249" t="s">
        <v>8013</v>
      </c>
    </row>
    <row r="3250" spans="1:10" x14ac:dyDescent="0.25">
      <c r="A3250" t="s">
        <v>15115</v>
      </c>
      <c r="B3250">
        <v>36</v>
      </c>
      <c r="C3250" t="s">
        <v>15116</v>
      </c>
      <c r="D3250" t="s">
        <v>1236</v>
      </c>
      <c r="E3250" t="s">
        <v>15100</v>
      </c>
      <c r="F3250" t="s">
        <v>7672</v>
      </c>
      <c r="G3250" t="s">
        <v>15101</v>
      </c>
      <c r="H3250" t="s">
        <v>8779</v>
      </c>
      <c r="I3250" t="s">
        <v>15102</v>
      </c>
      <c r="J3250" t="s">
        <v>8013</v>
      </c>
    </row>
    <row r="3251" spans="1:10" x14ac:dyDescent="0.25">
      <c r="A3251" t="s">
        <v>3648</v>
      </c>
      <c r="B3251">
        <v>11.44</v>
      </c>
      <c r="C3251" t="s">
        <v>3650</v>
      </c>
      <c r="D3251" t="s">
        <v>3653</v>
      </c>
      <c r="E3251" t="s">
        <v>3651</v>
      </c>
      <c r="F3251" t="s">
        <v>7672</v>
      </c>
      <c r="G3251" t="s">
        <v>15117</v>
      </c>
      <c r="H3251" t="s">
        <v>12519</v>
      </c>
      <c r="I3251" t="s">
        <v>5986</v>
      </c>
      <c r="J3251" t="s">
        <v>7981</v>
      </c>
    </row>
    <row r="3252" spans="1:10" x14ac:dyDescent="0.25">
      <c r="A3252" t="s">
        <v>3656</v>
      </c>
      <c r="B3252">
        <v>11.44</v>
      </c>
      <c r="C3252" t="s">
        <v>3658</v>
      </c>
      <c r="D3252" t="s">
        <v>3660</v>
      </c>
      <c r="E3252" t="s">
        <v>3651</v>
      </c>
      <c r="F3252" t="s">
        <v>7672</v>
      </c>
      <c r="G3252" t="s">
        <v>15117</v>
      </c>
      <c r="H3252" t="s">
        <v>12519</v>
      </c>
      <c r="I3252" t="s">
        <v>5986</v>
      </c>
      <c r="J3252" t="s">
        <v>7984</v>
      </c>
    </row>
    <row r="3253" spans="1:10" x14ac:dyDescent="0.25">
      <c r="A3253" t="s">
        <v>3661</v>
      </c>
      <c r="B3253">
        <v>11.44</v>
      </c>
      <c r="C3253" t="s">
        <v>3663</v>
      </c>
      <c r="D3253" t="s">
        <v>3665</v>
      </c>
      <c r="E3253" t="s">
        <v>3651</v>
      </c>
      <c r="F3253" t="s">
        <v>7672</v>
      </c>
      <c r="G3253" t="s">
        <v>15117</v>
      </c>
      <c r="H3253" t="s">
        <v>12519</v>
      </c>
      <c r="I3253" t="s">
        <v>5986</v>
      </c>
      <c r="J3253" t="s">
        <v>7987</v>
      </c>
    </row>
    <row r="3254" spans="1:10" x14ac:dyDescent="0.25">
      <c r="A3254" t="s">
        <v>15118</v>
      </c>
      <c r="B3254">
        <v>8.32</v>
      </c>
      <c r="C3254" t="s">
        <v>15119</v>
      </c>
      <c r="D3254" t="s">
        <v>2620</v>
      </c>
      <c r="E3254" t="s">
        <v>15120</v>
      </c>
      <c r="F3254" t="s">
        <v>7672</v>
      </c>
      <c r="G3254" t="s">
        <v>15121</v>
      </c>
      <c r="H3254" t="s">
        <v>15122</v>
      </c>
      <c r="I3254" t="s">
        <v>1490</v>
      </c>
      <c r="J3254" t="s">
        <v>11585</v>
      </c>
    </row>
    <row r="3255" spans="1:10" x14ac:dyDescent="0.25">
      <c r="A3255" t="s">
        <v>15123</v>
      </c>
      <c r="B3255">
        <v>8.32</v>
      </c>
      <c r="C3255" t="s">
        <v>15124</v>
      </c>
      <c r="D3255" t="s">
        <v>2762</v>
      </c>
      <c r="E3255" t="s">
        <v>15120</v>
      </c>
      <c r="F3255" t="s">
        <v>7672</v>
      </c>
      <c r="G3255" t="s">
        <v>15121</v>
      </c>
      <c r="H3255" t="s">
        <v>15122</v>
      </c>
      <c r="I3255" t="s">
        <v>1490</v>
      </c>
      <c r="J3255" t="s">
        <v>10369</v>
      </c>
    </row>
    <row r="3256" spans="1:10" x14ac:dyDescent="0.25">
      <c r="A3256" t="s">
        <v>15125</v>
      </c>
      <c r="B3256">
        <v>8.32</v>
      </c>
      <c r="C3256" t="s">
        <v>15126</v>
      </c>
      <c r="D3256" t="s">
        <v>516</v>
      </c>
      <c r="E3256" t="s">
        <v>15120</v>
      </c>
      <c r="F3256" t="s">
        <v>7672</v>
      </c>
      <c r="G3256" t="s">
        <v>15121</v>
      </c>
      <c r="H3256" t="s">
        <v>15122</v>
      </c>
      <c r="I3256" t="s">
        <v>1490</v>
      </c>
      <c r="J3256" t="s">
        <v>11590</v>
      </c>
    </row>
    <row r="3257" spans="1:10" x14ac:dyDescent="0.25">
      <c r="A3257" t="s">
        <v>15127</v>
      </c>
      <c r="B3257">
        <v>7.4960000000000004</v>
      </c>
      <c r="C3257" t="s">
        <v>15128</v>
      </c>
      <c r="D3257" t="s">
        <v>60</v>
      </c>
      <c r="E3257" t="s">
        <v>15129</v>
      </c>
      <c r="F3257" t="s">
        <v>7672</v>
      </c>
      <c r="G3257" t="s">
        <v>15130</v>
      </c>
      <c r="H3257" t="s">
        <v>7674</v>
      </c>
      <c r="I3257" t="s">
        <v>15131</v>
      </c>
      <c r="J3257" t="s">
        <v>9556</v>
      </c>
    </row>
    <row r="3258" spans="1:10" x14ac:dyDescent="0.25">
      <c r="A3258" t="s">
        <v>15132</v>
      </c>
      <c r="B3258">
        <v>7.4960000000000004</v>
      </c>
      <c r="C3258" t="s">
        <v>15133</v>
      </c>
      <c r="D3258" t="s">
        <v>8816</v>
      </c>
      <c r="E3258" t="s">
        <v>15129</v>
      </c>
      <c r="F3258" t="s">
        <v>7672</v>
      </c>
      <c r="G3258" t="s">
        <v>15130</v>
      </c>
      <c r="H3258" t="s">
        <v>7674</v>
      </c>
      <c r="I3258" t="s">
        <v>15131</v>
      </c>
      <c r="J3258" t="s">
        <v>131</v>
      </c>
    </row>
    <row r="3259" spans="1:10" x14ac:dyDescent="0.25">
      <c r="A3259" t="s">
        <v>15134</v>
      </c>
      <c r="B3259">
        <v>7.4960000000000004</v>
      </c>
      <c r="C3259" t="s">
        <v>15135</v>
      </c>
      <c r="D3259" t="s">
        <v>4679</v>
      </c>
      <c r="E3259" t="s">
        <v>15129</v>
      </c>
      <c r="F3259" t="s">
        <v>7672</v>
      </c>
      <c r="G3259" t="s">
        <v>15130</v>
      </c>
      <c r="H3259" t="s">
        <v>7674</v>
      </c>
      <c r="I3259" t="s">
        <v>15136</v>
      </c>
      <c r="J3259" t="s">
        <v>131</v>
      </c>
    </row>
    <row r="3260" spans="1:10" x14ac:dyDescent="0.25">
      <c r="A3260" t="s">
        <v>15137</v>
      </c>
      <c r="B3260">
        <v>7.4960000000000004</v>
      </c>
      <c r="C3260" t="s">
        <v>15138</v>
      </c>
      <c r="D3260" t="s">
        <v>2376</v>
      </c>
      <c r="E3260" t="s">
        <v>15129</v>
      </c>
      <c r="F3260" t="s">
        <v>7672</v>
      </c>
      <c r="G3260" t="s">
        <v>15130</v>
      </c>
      <c r="H3260" t="s">
        <v>7674</v>
      </c>
      <c r="I3260" t="s">
        <v>15131</v>
      </c>
      <c r="J3260" t="s">
        <v>269</v>
      </c>
    </row>
    <row r="3261" spans="1:10" x14ac:dyDescent="0.25">
      <c r="A3261" t="s">
        <v>15139</v>
      </c>
      <c r="B3261">
        <v>7.4960000000000004</v>
      </c>
      <c r="C3261" t="s">
        <v>15140</v>
      </c>
      <c r="D3261" t="s">
        <v>8628</v>
      </c>
      <c r="E3261" t="s">
        <v>15129</v>
      </c>
      <c r="F3261" t="s">
        <v>7672</v>
      </c>
      <c r="G3261" t="s">
        <v>15130</v>
      </c>
      <c r="H3261" t="s">
        <v>7674</v>
      </c>
      <c r="I3261" t="s">
        <v>15136</v>
      </c>
      <c r="J3261" t="s">
        <v>269</v>
      </c>
    </row>
    <row r="3262" spans="1:10" x14ac:dyDescent="0.25">
      <c r="A3262" t="s">
        <v>15141</v>
      </c>
      <c r="B3262">
        <v>7.4960000000000004</v>
      </c>
      <c r="C3262" t="s">
        <v>15142</v>
      </c>
      <c r="D3262" t="s">
        <v>3070</v>
      </c>
      <c r="E3262" t="s">
        <v>15129</v>
      </c>
      <c r="F3262" t="s">
        <v>7672</v>
      </c>
      <c r="G3262" t="s">
        <v>15130</v>
      </c>
      <c r="H3262" t="s">
        <v>7674</v>
      </c>
      <c r="I3262" t="s">
        <v>15136</v>
      </c>
      <c r="J3262" t="s">
        <v>95</v>
      </c>
    </row>
    <row r="3263" spans="1:10" x14ac:dyDescent="0.25">
      <c r="A3263" t="s">
        <v>15143</v>
      </c>
      <c r="B3263">
        <v>7.4960000000000004</v>
      </c>
      <c r="C3263" t="s">
        <v>15144</v>
      </c>
      <c r="D3263" t="s">
        <v>2376</v>
      </c>
      <c r="E3263" t="s">
        <v>15129</v>
      </c>
      <c r="F3263" t="s">
        <v>7672</v>
      </c>
      <c r="G3263" t="s">
        <v>15130</v>
      </c>
      <c r="H3263" t="s">
        <v>7674</v>
      </c>
      <c r="I3263" t="s">
        <v>15131</v>
      </c>
      <c r="J3263" t="s">
        <v>95</v>
      </c>
    </row>
    <row r="3264" spans="1:10" x14ac:dyDescent="0.25">
      <c r="A3264" t="s">
        <v>15145</v>
      </c>
      <c r="B3264">
        <v>7.4960000000000004</v>
      </c>
      <c r="C3264" t="s">
        <v>15146</v>
      </c>
      <c r="D3264" t="s">
        <v>791</v>
      </c>
      <c r="E3264" t="s">
        <v>15129</v>
      </c>
      <c r="F3264" t="s">
        <v>7672</v>
      </c>
      <c r="G3264" t="s">
        <v>15130</v>
      </c>
      <c r="H3264" t="s">
        <v>7674</v>
      </c>
      <c r="I3264" t="s">
        <v>15136</v>
      </c>
      <c r="J3264" t="s">
        <v>9183</v>
      </c>
    </row>
    <row r="3265" spans="1:10" x14ac:dyDescent="0.25">
      <c r="A3265" t="s">
        <v>15147</v>
      </c>
      <c r="B3265">
        <v>7.4960000000000004</v>
      </c>
      <c r="C3265" t="s">
        <v>15148</v>
      </c>
      <c r="D3265" t="s">
        <v>2855</v>
      </c>
      <c r="E3265" t="s">
        <v>15129</v>
      </c>
      <c r="F3265" t="s">
        <v>7672</v>
      </c>
      <c r="G3265" t="s">
        <v>15130</v>
      </c>
      <c r="H3265" t="s">
        <v>7674</v>
      </c>
      <c r="I3265" t="s">
        <v>15131</v>
      </c>
      <c r="J3265" t="s">
        <v>9183</v>
      </c>
    </row>
    <row r="3266" spans="1:10" x14ac:dyDescent="0.25">
      <c r="A3266" t="s">
        <v>15149</v>
      </c>
      <c r="B3266">
        <v>7.4960000000000004</v>
      </c>
      <c r="C3266" t="s">
        <v>15150</v>
      </c>
      <c r="D3266" t="s">
        <v>964</v>
      </c>
      <c r="E3266" t="s">
        <v>15129</v>
      </c>
      <c r="F3266" t="s">
        <v>7672</v>
      </c>
      <c r="G3266" t="s">
        <v>15130</v>
      </c>
      <c r="H3266" t="s">
        <v>7674</v>
      </c>
      <c r="I3266" t="s">
        <v>15151</v>
      </c>
      <c r="J3266" t="s">
        <v>9183</v>
      </c>
    </row>
    <row r="3267" spans="1:10" x14ac:dyDescent="0.25">
      <c r="A3267" t="s">
        <v>15152</v>
      </c>
      <c r="B3267">
        <v>7.4960000000000004</v>
      </c>
      <c r="C3267" t="s">
        <v>15153</v>
      </c>
      <c r="D3267" t="s">
        <v>598</v>
      </c>
      <c r="E3267" t="s">
        <v>15129</v>
      </c>
      <c r="F3267" t="s">
        <v>7672</v>
      </c>
      <c r="G3267" t="s">
        <v>15130</v>
      </c>
      <c r="H3267" t="s">
        <v>7674</v>
      </c>
      <c r="I3267" t="s">
        <v>15131</v>
      </c>
      <c r="J3267" t="s">
        <v>9229</v>
      </c>
    </row>
    <row r="3268" spans="1:10" x14ac:dyDescent="0.25">
      <c r="A3268" t="s">
        <v>15154</v>
      </c>
      <c r="B3268">
        <v>11.992000000000001</v>
      </c>
      <c r="C3268" t="s">
        <v>15155</v>
      </c>
      <c r="D3268" t="s">
        <v>95</v>
      </c>
      <c r="E3268" t="s">
        <v>15156</v>
      </c>
      <c r="F3268" t="s">
        <v>7672</v>
      </c>
      <c r="G3268" t="s">
        <v>15157</v>
      </c>
      <c r="H3268" t="s">
        <v>12137</v>
      </c>
      <c r="I3268" t="s">
        <v>15158</v>
      </c>
      <c r="J3268" t="s">
        <v>15159</v>
      </c>
    </row>
    <row r="3269" spans="1:10" x14ac:dyDescent="0.25">
      <c r="A3269" t="s">
        <v>15160</v>
      </c>
      <c r="B3269">
        <v>11.992000000000001</v>
      </c>
      <c r="C3269" t="s">
        <v>15161</v>
      </c>
      <c r="D3269" t="s">
        <v>3184</v>
      </c>
      <c r="E3269" t="s">
        <v>15156</v>
      </c>
      <c r="F3269" t="s">
        <v>7672</v>
      </c>
      <c r="G3269" t="s">
        <v>15157</v>
      </c>
      <c r="H3269" t="s">
        <v>12137</v>
      </c>
      <c r="I3269" t="s">
        <v>15158</v>
      </c>
      <c r="J3269" t="s">
        <v>15162</v>
      </c>
    </row>
    <row r="3270" spans="1:10" x14ac:dyDescent="0.25">
      <c r="A3270" t="s">
        <v>15163</v>
      </c>
      <c r="B3270">
        <v>11.992000000000001</v>
      </c>
      <c r="C3270" t="s">
        <v>15164</v>
      </c>
      <c r="D3270" t="s">
        <v>4327</v>
      </c>
      <c r="E3270" t="s">
        <v>15156</v>
      </c>
      <c r="F3270" t="s">
        <v>7672</v>
      </c>
      <c r="G3270" t="s">
        <v>15157</v>
      </c>
      <c r="H3270" t="s">
        <v>12137</v>
      </c>
      <c r="I3270" t="s">
        <v>15158</v>
      </c>
      <c r="J3270" t="s">
        <v>15165</v>
      </c>
    </row>
    <row r="3271" spans="1:10" x14ac:dyDescent="0.25">
      <c r="A3271" t="s">
        <v>15166</v>
      </c>
      <c r="B3271">
        <v>11.992000000000001</v>
      </c>
      <c r="C3271" t="s">
        <v>15167</v>
      </c>
      <c r="D3271" t="s">
        <v>1134</v>
      </c>
      <c r="E3271" t="s">
        <v>15156</v>
      </c>
      <c r="F3271" t="s">
        <v>7672</v>
      </c>
      <c r="G3271" t="s">
        <v>15157</v>
      </c>
      <c r="H3271" t="s">
        <v>12137</v>
      </c>
      <c r="I3271" t="s">
        <v>15158</v>
      </c>
      <c r="J3271" t="s">
        <v>15168</v>
      </c>
    </row>
    <row r="3272" spans="1:10" x14ac:dyDescent="0.25">
      <c r="A3272" t="s">
        <v>15169</v>
      </c>
      <c r="B3272">
        <v>11.992000000000001</v>
      </c>
      <c r="C3272" t="s">
        <v>15170</v>
      </c>
      <c r="D3272" t="s">
        <v>659</v>
      </c>
      <c r="E3272" t="s">
        <v>15156</v>
      </c>
      <c r="F3272" t="s">
        <v>7672</v>
      </c>
      <c r="G3272" t="s">
        <v>15157</v>
      </c>
      <c r="H3272" t="s">
        <v>12137</v>
      </c>
      <c r="I3272" t="s">
        <v>15158</v>
      </c>
      <c r="J3272" t="s">
        <v>15171</v>
      </c>
    </row>
    <row r="3273" spans="1:10" x14ac:dyDescent="0.25">
      <c r="A3273" t="s">
        <v>15172</v>
      </c>
      <c r="B3273">
        <v>11.992000000000001</v>
      </c>
      <c r="C3273" t="s">
        <v>15173</v>
      </c>
      <c r="D3273" t="s">
        <v>1097</v>
      </c>
      <c r="E3273" t="s">
        <v>15156</v>
      </c>
      <c r="F3273" t="s">
        <v>7672</v>
      </c>
      <c r="G3273" t="s">
        <v>15157</v>
      </c>
      <c r="H3273" t="s">
        <v>12137</v>
      </c>
      <c r="I3273" t="s">
        <v>15158</v>
      </c>
      <c r="J3273" t="s">
        <v>15174</v>
      </c>
    </row>
    <row r="3274" spans="1:10" x14ac:dyDescent="0.25">
      <c r="A3274" t="s">
        <v>15175</v>
      </c>
      <c r="B3274">
        <v>11.992000000000001</v>
      </c>
      <c r="C3274" t="s">
        <v>15176</v>
      </c>
      <c r="D3274" t="s">
        <v>843</v>
      </c>
      <c r="E3274" t="s">
        <v>15156</v>
      </c>
      <c r="F3274" t="s">
        <v>7672</v>
      </c>
      <c r="G3274" t="s">
        <v>15157</v>
      </c>
      <c r="H3274" t="s">
        <v>12137</v>
      </c>
      <c r="I3274" t="s">
        <v>15158</v>
      </c>
      <c r="J3274" t="s">
        <v>15177</v>
      </c>
    </row>
    <row r="3275" spans="1:10" x14ac:dyDescent="0.25">
      <c r="A3275" t="s">
        <v>15178</v>
      </c>
      <c r="B3275">
        <v>16.495999999999999</v>
      </c>
      <c r="C3275" t="s">
        <v>15179</v>
      </c>
      <c r="D3275" t="s">
        <v>396</v>
      </c>
      <c r="E3275" t="s">
        <v>15180</v>
      </c>
      <c r="F3275" t="s">
        <v>7672</v>
      </c>
      <c r="G3275" t="s">
        <v>15181</v>
      </c>
      <c r="H3275" t="s">
        <v>7954</v>
      </c>
      <c r="I3275" t="s">
        <v>15182</v>
      </c>
      <c r="J3275" t="s">
        <v>7981</v>
      </c>
    </row>
    <row r="3276" spans="1:10" x14ac:dyDescent="0.25">
      <c r="A3276" t="s">
        <v>15183</v>
      </c>
      <c r="B3276">
        <v>16.495999999999999</v>
      </c>
      <c r="C3276" t="s">
        <v>15184</v>
      </c>
      <c r="D3276" t="s">
        <v>1134</v>
      </c>
      <c r="E3276" t="s">
        <v>15180</v>
      </c>
      <c r="F3276" t="s">
        <v>7672</v>
      </c>
      <c r="G3276" t="s">
        <v>15181</v>
      </c>
      <c r="H3276" t="s">
        <v>7954</v>
      </c>
      <c r="I3276" t="s">
        <v>76</v>
      </c>
      <c r="J3276" t="s">
        <v>7981</v>
      </c>
    </row>
    <row r="3277" spans="1:10" x14ac:dyDescent="0.25">
      <c r="A3277" t="s">
        <v>15185</v>
      </c>
      <c r="B3277">
        <v>16.495999999999999</v>
      </c>
      <c r="C3277" t="s">
        <v>15186</v>
      </c>
      <c r="D3277" t="s">
        <v>2072</v>
      </c>
      <c r="E3277" t="s">
        <v>15180</v>
      </c>
      <c r="F3277" t="s">
        <v>7672</v>
      </c>
      <c r="G3277" t="s">
        <v>15181</v>
      </c>
      <c r="H3277" t="s">
        <v>7954</v>
      </c>
      <c r="I3277" t="s">
        <v>76</v>
      </c>
      <c r="J3277" t="s">
        <v>7984</v>
      </c>
    </row>
    <row r="3278" spans="1:10" x14ac:dyDescent="0.25">
      <c r="A3278" t="s">
        <v>15187</v>
      </c>
      <c r="B3278">
        <v>16.495999999999999</v>
      </c>
      <c r="C3278" t="s">
        <v>15188</v>
      </c>
      <c r="D3278" t="s">
        <v>2198</v>
      </c>
      <c r="E3278" t="s">
        <v>15180</v>
      </c>
      <c r="F3278" t="s">
        <v>7672</v>
      </c>
      <c r="G3278" t="s">
        <v>15181</v>
      </c>
      <c r="H3278" t="s">
        <v>7954</v>
      </c>
      <c r="I3278" t="s">
        <v>15182</v>
      </c>
      <c r="J3278" t="s">
        <v>7984</v>
      </c>
    </row>
    <row r="3279" spans="1:10" x14ac:dyDescent="0.25">
      <c r="A3279" t="s">
        <v>15189</v>
      </c>
      <c r="B3279">
        <v>16.495999999999999</v>
      </c>
      <c r="C3279" t="s">
        <v>15190</v>
      </c>
      <c r="D3279" t="s">
        <v>664</v>
      </c>
      <c r="E3279" t="s">
        <v>15180</v>
      </c>
      <c r="F3279" t="s">
        <v>7672</v>
      </c>
      <c r="G3279" t="s">
        <v>15181</v>
      </c>
      <c r="H3279" t="s">
        <v>7954</v>
      </c>
      <c r="I3279" t="s">
        <v>76</v>
      </c>
      <c r="J3279" t="s">
        <v>7987</v>
      </c>
    </row>
    <row r="3280" spans="1:10" x14ac:dyDescent="0.25">
      <c r="A3280" t="s">
        <v>15191</v>
      </c>
      <c r="B3280">
        <v>16.495999999999999</v>
      </c>
      <c r="C3280" t="s">
        <v>15192</v>
      </c>
      <c r="D3280" t="s">
        <v>2381</v>
      </c>
      <c r="E3280" t="s">
        <v>15180</v>
      </c>
      <c r="F3280" t="s">
        <v>7672</v>
      </c>
      <c r="G3280" t="s">
        <v>15181</v>
      </c>
      <c r="H3280" t="s">
        <v>7954</v>
      </c>
      <c r="I3280" t="s">
        <v>15182</v>
      </c>
      <c r="J3280" t="s">
        <v>7987</v>
      </c>
    </row>
    <row r="3281" spans="1:10" x14ac:dyDescent="0.25">
      <c r="A3281" t="s">
        <v>15193</v>
      </c>
      <c r="B3281">
        <v>16.495999999999999</v>
      </c>
      <c r="C3281" t="s">
        <v>15194</v>
      </c>
      <c r="D3281" t="s">
        <v>1621</v>
      </c>
      <c r="E3281" t="s">
        <v>15180</v>
      </c>
      <c r="F3281" t="s">
        <v>7672</v>
      </c>
      <c r="G3281" t="s">
        <v>15181</v>
      </c>
      <c r="H3281" t="s">
        <v>7954</v>
      </c>
      <c r="I3281" t="s">
        <v>76</v>
      </c>
      <c r="J3281" t="s">
        <v>8001</v>
      </c>
    </row>
    <row r="3282" spans="1:10" x14ac:dyDescent="0.25">
      <c r="A3282" t="s">
        <v>15195</v>
      </c>
      <c r="B3282">
        <v>16.495999999999999</v>
      </c>
      <c r="C3282" t="s">
        <v>15196</v>
      </c>
      <c r="D3282" t="s">
        <v>2078</v>
      </c>
      <c r="E3282" t="s">
        <v>15180</v>
      </c>
      <c r="F3282" t="s">
        <v>7672</v>
      </c>
      <c r="G3282" t="s">
        <v>15181</v>
      </c>
      <c r="H3282" t="s">
        <v>7954</v>
      </c>
      <c r="I3282" t="s">
        <v>15182</v>
      </c>
      <c r="J3282" t="s">
        <v>8001</v>
      </c>
    </row>
    <row r="3283" spans="1:10" x14ac:dyDescent="0.25">
      <c r="A3283" t="s">
        <v>15197</v>
      </c>
      <c r="B3283">
        <v>6.9920000000000009</v>
      </c>
      <c r="C3283" t="s">
        <v>15198</v>
      </c>
      <c r="D3283" t="s">
        <v>626</v>
      </c>
      <c r="E3283" t="s">
        <v>15199</v>
      </c>
      <c r="F3283" t="s">
        <v>7672</v>
      </c>
      <c r="G3283" t="s">
        <v>15200</v>
      </c>
      <c r="H3283" t="s">
        <v>10298</v>
      </c>
      <c r="I3283" t="s">
        <v>15201</v>
      </c>
      <c r="J3283" t="s">
        <v>131</v>
      </c>
    </row>
    <row r="3284" spans="1:10" x14ac:dyDescent="0.25">
      <c r="A3284" t="s">
        <v>15202</v>
      </c>
      <c r="B3284">
        <v>6.9920000000000009</v>
      </c>
      <c r="C3284" t="s">
        <v>15203</v>
      </c>
      <c r="D3284" t="s">
        <v>2253</v>
      </c>
      <c r="E3284" t="s">
        <v>15199</v>
      </c>
      <c r="F3284" t="s">
        <v>7672</v>
      </c>
      <c r="G3284" t="s">
        <v>15200</v>
      </c>
      <c r="H3284" t="s">
        <v>10298</v>
      </c>
      <c r="I3284" t="s">
        <v>9245</v>
      </c>
      <c r="J3284" t="s">
        <v>131</v>
      </c>
    </row>
    <row r="3285" spans="1:10" x14ac:dyDescent="0.25">
      <c r="A3285" t="s">
        <v>15204</v>
      </c>
      <c r="B3285">
        <v>6.9920000000000009</v>
      </c>
      <c r="C3285" t="s">
        <v>15205</v>
      </c>
      <c r="D3285" t="s">
        <v>124</v>
      </c>
      <c r="E3285" t="s">
        <v>15199</v>
      </c>
      <c r="F3285" t="s">
        <v>7672</v>
      </c>
      <c r="G3285" t="s">
        <v>15200</v>
      </c>
      <c r="H3285" t="s">
        <v>10298</v>
      </c>
      <c r="I3285" t="s">
        <v>9245</v>
      </c>
      <c r="J3285" t="s">
        <v>290</v>
      </c>
    </row>
    <row r="3286" spans="1:10" x14ac:dyDescent="0.25">
      <c r="A3286" t="s">
        <v>15206</v>
      </c>
      <c r="B3286">
        <v>6.9920000000000009</v>
      </c>
      <c r="C3286" t="s">
        <v>15207</v>
      </c>
      <c r="D3286" t="s">
        <v>234</v>
      </c>
      <c r="E3286" t="s">
        <v>15199</v>
      </c>
      <c r="F3286" t="s">
        <v>7672</v>
      </c>
      <c r="G3286" t="s">
        <v>15200</v>
      </c>
      <c r="H3286" t="s">
        <v>10298</v>
      </c>
      <c r="I3286" t="s">
        <v>15201</v>
      </c>
      <c r="J3286" t="s">
        <v>290</v>
      </c>
    </row>
    <row r="3287" spans="1:10" x14ac:dyDescent="0.25">
      <c r="A3287" t="s">
        <v>15208</v>
      </c>
      <c r="B3287">
        <v>6.9920000000000009</v>
      </c>
      <c r="C3287" t="s">
        <v>15209</v>
      </c>
      <c r="D3287" t="s">
        <v>633</v>
      </c>
      <c r="E3287" t="s">
        <v>15199</v>
      </c>
      <c r="F3287" t="s">
        <v>7672</v>
      </c>
      <c r="G3287" t="s">
        <v>15200</v>
      </c>
      <c r="H3287" t="s">
        <v>10298</v>
      </c>
      <c r="I3287" t="s">
        <v>9245</v>
      </c>
      <c r="J3287" t="s">
        <v>88</v>
      </c>
    </row>
    <row r="3288" spans="1:10" x14ac:dyDescent="0.25">
      <c r="A3288" t="s">
        <v>15210</v>
      </c>
      <c r="B3288">
        <v>6.9920000000000009</v>
      </c>
      <c r="C3288" t="s">
        <v>15211</v>
      </c>
      <c r="D3288" t="s">
        <v>379</v>
      </c>
      <c r="E3288" t="s">
        <v>15199</v>
      </c>
      <c r="F3288" t="s">
        <v>7672</v>
      </c>
      <c r="G3288" t="s">
        <v>15200</v>
      </c>
      <c r="H3288" t="s">
        <v>10298</v>
      </c>
      <c r="I3288" t="s">
        <v>15201</v>
      </c>
      <c r="J3288" t="s">
        <v>88</v>
      </c>
    </row>
    <row r="3289" spans="1:10" x14ac:dyDescent="0.25">
      <c r="A3289" t="s">
        <v>15212</v>
      </c>
      <c r="B3289">
        <v>6.9920000000000009</v>
      </c>
      <c r="C3289" t="s">
        <v>15213</v>
      </c>
      <c r="D3289" t="s">
        <v>1134</v>
      </c>
      <c r="E3289" t="s">
        <v>15199</v>
      </c>
      <c r="F3289" t="s">
        <v>7672</v>
      </c>
      <c r="G3289" t="s">
        <v>15200</v>
      </c>
      <c r="H3289" t="s">
        <v>10298</v>
      </c>
      <c r="I3289" t="s">
        <v>15201</v>
      </c>
      <c r="J3289" t="s">
        <v>8531</v>
      </c>
    </row>
    <row r="3290" spans="1:10" x14ac:dyDescent="0.25">
      <c r="A3290" t="s">
        <v>15214</v>
      </c>
      <c r="B3290">
        <v>6.9920000000000009</v>
      </c>
      <c r="C3290" t="s">
        <v>15215</v>
      </c>
      <c r="D3290" t="s">
        <v>781</v>
      </c>
      <c r="E3290" t="s">
        <v>15199</v>
      </c>
      <c r="F3290" t="s">
        <v>7672</v>
      </c>
      <c r="G3290" t="s">
        <v>15200</v>
      </c>
      <c r="H3290" t="s">
        <v>10298</v>
      </c>
      <c r="I3290" t="s">
        <v>9245</v>
      </c>
      <c r="J3290" t="s">
        <v>8531</v>
      </c>
    </row>
    <row r="3291" spans="1:10" x14ac:dyDescent="0.25">
      <c r="A3291" t="s">
        <v>15216</v>
      </c>
      <c r="B3291">
        <v>6.9920000000000009</v>
      </c>
      <c r="C3291" t="s">
        <v>15217</v>
      </c>
      <c r="D3291" t="s">
        <v>3153</v>
      </c>
      <c r="E3291" t="s">
        <v>15199</v>
      </c>
      <c r="F3291" t="s">
        <v>7672</v>
      </c>
      <c r="G3291" t="s">
        <v>15200</v>
      </c>
      <c r="H3291" t="s">
        <v>10298</v>
      </c>
      <c r="I3291" t="s">
        <v>15201</v>
      </c>
      <c r="J3291" t="s">
        <v>269</v>
      </c>
    </row>
    <row r="3292" spans="1:10" x14ac:dyDescent="0.25">
      <c r="A3292" t="s">
        <v>15218</v>
      </c>
      <c r="B3292">
        <v>6.9920000000000009</v>
      </c>
      <c r="C3292" t="s">
        <v>15219</v>
      </c>
      <c r="D3292" t="s">
        <v>903</v>
      </c>
      <c r="E3292" t="s">
        <v>15199</v>
      </c>
      <c r="F3292" t="s">
        <v>7672</v>
      </c>
      <c r="G3292" t="s">
        <v>15200</v>
      </c>
      <c r="H3292" t="s">
        <v>10298</v>
      </c>
      <c r="I3292" t="s">
        <v>9245</v>
      </c>
      <c r="J3292" t="s">
        <v>269</v>
      </c>
    </row>
    <row r="3293" spans="1:10" x14ac:dyDescent="0.25">
      <c r="A3293" t="s">
        <v>15220</v>
      </c>
      <c r="B3293">
        <v>6.9920000000000009</v>
      </c>
      <c r="C3293" t="s">
        <v>15221</v>
      </c>
      <c r="D3293" t="s">
        <v>1644</v>
      </c>
      <c r="E3293" t="s">
        <v>15199</v>
      </c>
      <c r="F3293" t="s">
        <v>7672</v>
      </c>
      <c r="G3293" t="s">
        <v>15200</v>
      </c>
      <c r="H3293" t="s">
        <v>10298</v>
      </c>
      <c r="I3293" t="s">
        <v>15201</v>
      </c>
      <c r="J3293" t="s">
        <v>255</v>
      </c>
    </row>
    <row r="3294" spans="1:10" x14ac:dyDescent="0.25">
      <c r="A3294" t="s">
        <v>15222</v>
      </c>
      <c r="B3294">
        <v>6.9920000000000009</v>
      </c>
      <c r="C3294" t="s">
        <v>15223</v>
      </c>
      <c r="D3294" t="s">
        <v>2804</v>
      </c>
      <c r="E3294" t="s">
        <v>15199</v>
      </c>
      <c r="F3294" t="s">
        <v>7672</v>
      </c>
      <c r="G3294" t="s">
        <v>15200</v>
      </c>
      <c r="H3294" t="s">
        <v>10298</v>
      </c>
      <c r="I3294" t="s">
        <v>9245</v>
      </c>
      <c r="J3294" t="s">
        <v>255</v>
      </c>
    </row>
    <row r="3295" spans="1:10" x14ac:dyDescent="0.25">
      <c r="A3295" t="s">
        <v>15224</v>
      </c>
      <c r="B3295">
        <v>6.9920000000000009</v>
      </c>
      <c r="C3295" t="s">
        <v>15225</v>
      </c>
      <c r="D3295" t="s">
        <v>639</v>
      </c>
      <c r="E3295" t="s">
        <v>15199</v>
      </c>
      <c r="F3295" t="s">
        <v>7672</v>
      </c>
      <c r="G3295" t="s">
        <v>15200</v>
      </c>
      <c r="H3295" t="s">
        <v>10298</v>
      </c>
      <c r="I3295" t="s">
        <v>9245</v>
      </c>
      <c r="J3295" t="s">
        <v>277</v>
      </c>
    </row>
    <row r="3296" spans="1:10" x14ac:dyDescent="0.25">
      <c r="A3296" t="s">
        <v>15226</v>
      </c>
      <c r="B3296">
        <v>6.9920000000000009</v>
      </c>
      <c r="C3296" t="s">
        <v>15227</v>
      </c>
      <c r="D3296" t="s">
        <v>941</v>
      </c>
      <c r="E3296" t="s">
        <v>15199</v>
      </c>
      <c r="F3296" t="s">
        <v>7672</v>
      </c>
      <c r="G3296" t="s">
        <v>15200</v>
      </c>
      <c r="H3296" t="s">
        <v>10298</v>
      </c>
      <c r="I3296" t="s">
        <v>15201</v>
      </c>
      <c r="J3296" t="s">
        <v>277</v>
      </c>
    </row>
    <row r="3297" spans="1:10" x14ac:dyDescent="0.25">
      <c r="A3297" t="s">
        <v>15228</v>
      </c>
      <c r="B3297">
        <v>6.9920000000000009</v>
      </c>
      <c r="C3297" t="s">
        <v>15229</v>
      </c>
      <c r="D3297" t="s">
        <v>3153</v>
      </c>
      <c r="E3297" t="s">
        <v>15199</v>
      </c>
      <c r="F3297" t="s">
        <v>7672</v>
      </c>
      <c r="G3297" t="s">
        <v>15200</v>
      </c>
      <c r="H3297" t="s">
        <v>10298</v>
      </c>
      <c r="I3297" t="s">
        <v>9245</v>
      </c>
      <c r="J3297" t="s">
        <v>164</v>
      </c>
    </row>
    <row r="3298" spans="1:10" x14ac:dyDescent="0.25">
      <c r="A3298" t="s">
        <v>15230</v>
      </c>
      <c r="B3298">
        <v>6.9920000000000009</v>
      </c>
      <c r="C3298" t="s">
        <v>15231</v>
      </c>
      <c r="D3298" t="s">
        <v>3378</v>
      </c>
      <c r="E3298" t="s">
        <v>15199</v>
      </c>
      <c r="F3298" t="s">
        <v>7672</v>
      </c>
      <c r="G3298" t="s">
        <v>15200</v>
      </c>
      <c r="H3298" t="s">
        <v>10298</v>
      </c>
      <c r="I3298" t="s">
        <v>15201</v>
      </c>
      <c r="J3298" t="s">
        <v>164</v>
      </c>
    </row>
    <row r="3299" spans="1:10" x14ac:dyDescent="0.25">
      <c r="A3299" t="s">
        <v>15232</v>
      </c>
      <c r="B3299">
        <v>6.9920000000000009</v>
      </c>
      <c r="C3299" t="s">
        <v>15233</v>
      </c>
      <c r="D3299" t="s">
        <v>776</v>
      </c>
      <c r="E3299" t="s">
        <v>15199</v>
      </c>
      <c r="F3299" t="s">
        <v>7672</v>
      </c>
      <c r="G3299" t="s">
        <v>15200</v>
      </c>
      <c r="H3299" t="s">
        <v>10298</v>
      </c>
      <c r="I3299" t="s">
        <v>9245</v>
      </c>
      <c r="J3299" t="s">
        <v>199</v>
      </c>
    </row>
    <row r="3300" spans="1:10" x14ac:dyDescent="0.25">
      <c r="A3300" t="s">
        <v>15234</v>
      </c>
      <c r="B3300">
        <v>6.9920000000000009</v>
      </c>
      <c r="C3300" t="s">
        <v>15235</v>
      </c>
      <c r="D3300" t="s">
        <v>124</v>
      </c>
      <c r="E3300" t="s">
        <v>15199</v>
      </c>
      <c r="F3300" t="s">
        <v>7672</v>
      </c>
      <c r="G3300" t="s">
        <v>15200</v>
      </c>
      <c r="H3300" t="s">
        <v>10298</v>
      </c>
      <c r="I3300" t="s">
        <v>15201</v>
      </c>
      <c r="J3300" t="s">
        <v>199</v>
      </c>
    </row>
    <row r="3301" spans="1:10" x14ac:dyDescent="0.25">
      <c r="A3301" t="s">
        <v>15236</v>
      </c>
      <c r="B3301">
        <v>6.9920000000000009</v>
      </c>
      <c r="C3301" t="s">
        <v>15237</v>
      </c>
      <c r="D3301" t="s">
        <v>269</v>
      </c>
      <c r="E3301" t="s">
        <v>15199</v>
      </c>
      <c r="F3301" t="s">
        <v>7672</v>
      </c>
      <c r="G3301" t="s">
        <v>15200</v>
      </c>
      <c r="H3301" t="s">
        <v>10298</v>
      </c>
      <c r="I3301" t="s">
        <v>15201</v>
      </c>
      <c r="J3301" t="s">
        <v>15238</v>
      </c>
    </row>
    <row r="3302" spans="1:10" x14ac:dyDescent="0.25">
      <c r="A3302" t="s">
        <v>15239</v>
      </c>
      <c r="B3302">
        <v>6.9920000000000009</v>
      </c>
      <c r="C3302" t="s">
        <v>15240</v>
      </c>
      <c r="D3302" t="s">
        <v>964</v>
      </c>
      <c r="E3302" t="s">
        <v>15199</v>
      </c>
      <c r="F3302" t="s">
        <v>7672</v>
      </c>
      <c r="G3302" t="s">
        <v>15200</v>
      </c>
      <c r="H3302" t="s">
        <v>10298</v>
      </c>
      <c r="I3302" t="s">
        <v>9245</v>
      </c>
      <c r="J3302" t="s">
        <v>15238</v>
      </c>
    </row>
    <row r="3303" spans="1:10" x14ac:dyDescent="0.25">
      <c r="A3303" t="s">
        <v>15241</v>
      </c>
      <c r="B3303">
        <v>6.9920000000000009</v>
      </c>
      <c r="C3303" t="s">
        <v>15242</v>
      </c>
      <c r="D3303" t="s">
        <v>277</v>
      </c>
      <c r="E3303" t="s">
        <v>15199</v>
      </c>
      <c r="F3303" t="s">
        <v>7672</v>
      </c>
      <c r="G3303" t="s">
        <v>15200</v>
      </c>
      <c r="H3303" t="s">
        <v>10298</v>
      </c>
      <c r="I3303" t="s">
        <v>15201</v>
      </c>
      <c r="J3303" t="s">
        <v>15070</v>
      </c>
    </row>
    <row r="3304" spans="1:10" x14ac:dyDescent="0.25">
      <c r="A3304" t="s">
        <v>15243</v>
      </c>
      <c r="B3304">
        <v>6.9920000000000009</v>
      </c>
      <c r="C3304" t="s">
        <v>15244</v>
      </c>
      <c r="D3304" t="s">
        <v>240</v>
      </c>
      <c r="E3304" t="s">
        <v>15199</v>
      </c>
      <c r="F3304" t="s">
        <v>7672</v>
      </c>
      <c r="G3304" t="s">
        <v>15200</v>
      </c>
      <c r="H3304" t="s">
        <v>10298</v>
      </c>
      <c r="I3304" t="s">
        <v>9245</v>
      </c>
      <c r="J3304" t="s">
        <v>15070</v>
      </c>
    </row>
    <row r="3305" spans="1:10" x14ac:dyDescent="0.25">
      <c r="A3305" t="s">
        <v>15245</v>
      </c>
      <c r="B3305">
        <v>6.9920000000000009</v>
      </c>
      <c r="C3305" t="s">
        <v>15246</v>
      </c>
      <c r="D3305" t="s">
        <v>250</v>
      </c>
      <c r="E3305" t="s">
        <v>15199</v>
      </c>
      <c r="F3305" t="s">
        <v>7672</v>
      </c>
      <c r="G3305" t="s">
        <v>15200</v>
      </c>
      <c r="H3305" t="s">
        <v>10298</v>
      </c>
      <c r="I3305" t="s">
        <v>9245</v>
      </c>
      <c r="J3305" t="s">
        <v>15073</v>
      </c>
    </row>
    <row r="3306" spans="1:10" x14ac:dyDescent="0.25">
      <c r="A3306" t="s">
        <v>15247</v>
      </c>
      <c r="B3306">
        <v>6.9920000000000009</v>
      </c>
      <c r="C3306" t="s">
        <v>15248</v>
      </c>
      <c r="D3306" t="s">
        <v>255</v>
      </c>
      <c r="E3306" t="s">
        <v>15199</v>
      </c>
      <c r="F3306" t="s">
        <v>7672</v>
      </c>
      <c r="G3306" t="s">
        <v>15200</v>
      </c>
      <c r="H3306" t="s">
        <v>10298</v>
      </c>
      <c r="I3306" t="s">
        <v>15201</v>
      </c>
      <c r="J3306" t="s">
        <v>15073</v>
      </c>
    </row>
    <row r="3307" spans="1:10" x14ac:dyDescent="0.25">
      <c r="A3307" t="s">
        <v>15249</v>
      </c>
      <c r="B3307">
        <v>6.9920000000000009</v>
      </c>
      <c r="C3307" t="s">
        <v>15250</v>
      </c>
      <c r="D3307" t="s">
        <v>250</v>
      </c>
      <c r="E3307" t="s">
        <v>15199</v>
      </c>
      <c r="F3307" t="s">
        <v>7672</v>
      </c>
      <c r="G3307" t="s">
        <v>15200</v>
      </c>
      <c r="H3307" t="s">
        <v>10298</v>
      </c>
      <c r="I3307" t="s">
        <v>9245</v>
      </c>
      <c r="J3307" t="s">
        <v>15076</v>
      </c>
    </row>
    <row r="3308" spans="1:10" x14ac:dyDescent="0.25">
      <c r="A3308" t="s">
        <v>15251</v>
      </c>
      <c r="B3308">
        <v>6.9920000000000009</v>
      </c>
      <c r="C3308" t="s">
        <v>15252</v>
      </c>
      <c r="D3308" t="s">
        <v>2879</v>
      </c>
      <c r="E3308" t="s">
        <v>15199</v>
      </c>
      <c r="F3308" t="s">
        <v>7672</v>
      </c>
      <c r="G3308" t="s">
        <v>15200</v>
      </c>
      <c r="H3308" t="s">
        <v>10298</v>
      </c>
      <c r="I3308" t="s">
        <v>15201</v>
      </c>
      <c r="J3308" t="s">
        <v>15076</v>
      </c>
    </row>
    <row r="3309" spans="1:10" x14ac:dyDescent="0.25">
      <c r="A3309" t="s">
        <v>15253</v>
      </c>
      <c r="B3309">
        <v>6.9920000000000009</v>
      </c>
      <c r="C3309" t="s">
        <v>15254</v>
      </c>
      <c r="D3309" t="s">
        <v>245</v>
      </c>
      <c r="E3309" t="s">
        <v>15199</v>
      </c>
      <c r="F3309" t="s">
        <v>7672</v>
      </c>
      <c r="G3309" t="s">
        <v>15200</v>
      </c>
      <c r="H3309" t="s">
        <v>10298</v>
      </c>
      <c r="I3309" t="s">
        <v>9245</v>
      </c>
      <c r="J3309" t="s">
        <v>15079</v>
      </c>
    </row>
    <row r="3310" spans="1:10" x14ac:dyDescent="0.25">
      <c r="A3310" t="s">
        <v>15255</v>
      </c>
      <c r="B3310">
        <v>6.9920000000000009</v>
      </c>
      <c r="C3310" t="s">
        <v>15256</v>
      </c>
      <c r="D3310" t="s">
        <v>1822</v>
      </c>
      <c r="E3310" t="s">
        <v>15199</v>
      </c>
      <c r="F3310" t="s">
        <v>7672</v>
      </c>
      <c r="G3310" t="s">
        <v>15200</v>
      </c>
      <c r="H3310" t="s">
        <v>10298</v>
      </c>
      <c r="I3310" t="s">
        <v>15201</v>
      </c>
      <c r="J3310" t="s">
        <v>15079</v>
      </c>
    </row>
    <row r="3311" spans="1:10" x14ac:dyDescent="0.25">
      <c r="A3311" t="s">
        <v>15257</v>
      </c>
      <c r="B3311">
        <v>3.0720000000000001</v>
      </c>
      <c r="C3311" t="s">
        <v>15258</v>
      </c>
      <c r="D3311" t="s">
        <v>926</v>
      </c>
      <c r="E3311" t="s">
        <v>15259</v>
      </c>
      <c r="F3311" t="s">
        <v>7672</v>
      </c>
      <c r="G3311" t="s">
        <v>15260</v>
      </c>
      <c r="H3311" t="s">
        <v>8515</v>
      </c>
      <c r="I3311" t="s">
        <v>15261</v>
      </c>
      <c r="J3311" t="s">
        <v>10369</v>
      </c>
    </row>
    <row r="3312" spans="1:10" x14ac:dyDescent="0.25">
      <c r="A3312" t="s">
        <v>15262</v>
      </c>
      <c r="B3312">
        <v>16.8</v>
      </c>
      <c r="C3312" t="s">
        <v>15263</v>
      </c>
      <c r="D3312" t="s">
        <v>106</v>
      </c>
      <c r="E3312" t="s">
        <v>15264</v>
      </c>
      <c r="F3312" t="s">
        <v>7672</v>
      </c>
      <c r="G3312" t="s">
        <v>15265</v>
      </c>
      <c r="H3312" t="s">
        <v>8087</v>
      </c>
      <c r="I3312" t="s">
        <v>8088</v>
      </c>
      <c r="J3312" t="s">
        <v>10174</v>
      </c>
    </row>
    <row r="3313" spans="1:10" x14ac:dyDescent="0.25">
      <c r="A3313" t="s">
        <v>15266</v>
      </c>
      <c r="B3313">
        <v>16.8</v>
      </c>
      <c r="C3313" t="s">
        <v>15267</v>
      </c>
      <c r="D3313" t="s">
        <v>301</v>
      </c>
      <c r="E3313" t="s">
        <v>15264</v>
      </c>
      <c r="F3313" t="s">
        <v>7672</v>
      </c>
      <c r="G3313" t="s">
        <v>15265</v>
      </c>
      <c r="H3313" t="s">
        <v>8087</v>
      </c>
      <c r="I3313" t="s">
        <v>11720</v>
      </c>
      <c r="J3313" t="s">
        <v>10195</v>
      </c>
    </row>
    <row r="3314" spans="1:10" x14ac:dyDescent="0.25">
      <c r="A3314" t="s">
        <v>15268</v>
      </c>
      <c r="B3314">
        <v>16.8</v>
      </c>
      <c r="C3314" t="s">
        <v>15269</v>
      </c>
      <c r="D3314" t="s">
        <v>277</v>
      </c>
      <c r="E3314" t="s">
        <v>15264</v>
      </c>
      <c r="F3314" t="s">
        <v>7672</v>
      </c>
      <c r="G3314" t="s">
        <v>15265</v>
      </c>
      <c r="H3314" t="s">
        <v>8087</v>
      </c>
      <c r="I3314" t="s">
        <v>4045</v>
      </c>
      <c r="J3314" t="s">
        <v>10195</v>
      </c>
    </row>
    <row r="3315" spans="1:10" x14ac:dyDescent="0.25">
      <c r="A3315" t="s">
        <v>15270</v>
      </c>
      <c r="B3315">
        <v>16.8</v>
      </c>
      <c r="C3315" t="s">
        <v>15271</v>
      </c>
      <c r="D3315" t="s">
        <v>3184</v>
      </c>
      <c r="E3315" t="s">
        <v>15264</v>
      </c>
      <c r="F3315" t="s">
        <v>7672</v>
      </c>
      <c r="G3315" t="s">
        <v>15265</v>
      </c>
      <c r="H3315" t="s">
        <v>8087</v>
      </c>
      <c r="I3315" t="s">
        <v>8088</v>
      </c>
      <c r="J3315" t="s">
        <v>10195</v>
      </c>
    </row>
    <row r="3316" spans="1:10" x14ac:dyDescent="0.25">
      <c r="A3316" t="s">
        <v>15272</v>
      </c>
      <c r="B3316">
        <v>16.8</v>
      </c>
      <c r="C3316" t="s">
        <v>15273</v>
      </c>
      <c r="D3316" t="s">
        <v>245</v>
      </c>
      <c r="E3316" t="s">
        <v>15264</v>
      </c>
      <c r="F3316" t="s">
        <v>7672</v>
      </c>
      <c r="G3316" t="s">
        <v>15265</v>
      </c>
      <c r="H3316" t="s">
        <v>8087</v>
      </c>
      <c r="I3316" t="s">
        <v>11720</v>
      </c>
      <c r="J3316" t="s">
        <v>10206</v>
      </c>
    </row>
    <row r="3317" spans="1:10" x14ac:dyDescent="0.25">
      <c r="A3317" t="s">
        <v>15274</v>
      </c>
      <c r="B3317">
        <v>16.8</v>
      </c>
      <c r="C3317" t="s">
        <v>15275</v>
      </c>
      <c r="D3317" t="s">
        <v>113</v>
      </c>
      <c r="E3317" t="s">
        <v>15264</v>
      </c>
      <c r="F3317" t="s">
        <v>7672</v>
      </c>
      <c r="G3317" t="s">
        <v>15265</v>
      </c>
      <c r="H3317" t="s">
        <v>8087</v>
      </c>
      <c r="I3317" t="s">
        <v>4045</v>
      </c>
      <c r="J3317" t="s">
        <v>10206</v>
      </c>
    </row>
    <row r="3318" spans="1:10" x14ac:dyDescent="0.25">
      <c r="A3318" t="s">
        <v>15276</v>
      </c>
      <c r="B3318">
        <v>16.8</v>
      </c>
      <c r="C3318" t="s">
        <v>15277</v>
      </c>
      <c r="D3318" t="s">
        <v>379</v>
      </c>
      <c r="E3318" t="s">
        <v>15264</v>
      </c>
      <c r="F3318" t="s">
        <v>7672</v>
      </c>
      <c r="G3318" t="s">
        <v>15265</v>
      </c>
      <c r="H3318" t="s">
        <v>8087</v>
      </c>
      <c r="I3318" t="s">
        <v>8088</v>
      </c>
      <c r="J3318" t="s">
        <v>10206</v>
      </c>
    </row>
    <row r="3319" spans="1:10" x14ac:dyDescent="0.25">
      <c r="A3319" t="s">
        <v>15278</v>
      </c>
      <c r="B3319">
        <v>16.8</v>
      </c>
      <c r="C3319" t="s">
        <v>15279</v>
      </c>
      <c r="D3319" t="s">
        <v>1134</v>
      </c>
      <c r="E3319" t="s">
        <v>15264</v>
      </c>
      <c r="F3319" t="s">
        <v>7672</v>
      </c>
      <c r="G3319" t="s">
        <v>15265</v>
      </c>
      <c r="H3319" t="s">
        <v>8087</v>
      </c>
      <c r="I3319" t="s">
        <v>11720</v>
      </c>
      <c r="J3319" t="s">
        <v>10211</v>
      </c>
    </row>
    <row r="3320" spans="1:10" x14ac:dyDescent="0.25">
      <c r="A3320" t="s">
        <v>15280</v>
      </c>
      <c r="B3320">
        <v>16.8</v>
      </c>
      <c r="C3320" t="s">
        <v>15281</v>
      </c>
      <c r="D3320" t="s">
        <v>843</v>
      </c>
      <c r="E3320" t="s">
        <v>15264</v>
      </c>
      <c r="F3320" t="s">
        <v>7672</v>
      </c>
      <c r="G3320" t="s">
        <v>15265</v>
      </c>
      <c r="H3320" t="s">
        <v>8087</v>
      </c>
      <c r="I3320" t="s">
        <v>4045</v>
      </c>
      <c r="J3320" t="s">
        <v>10211</v>
      </c>
    </row>
    <row r="3321" spans="1:10" x14ac:dyDescent="0.25">
      <c r="A3321" t="s">
        <v>15282</v>
      </c>
      <c r="B3321">
        <v>16.8</v>
      </c>
      <c r="C3321" t="s">
        <v>15283</v>
      </c>
      <c r="D3321" t="s">
        <v>715</v>
      </c>
      <c r="E3321" t="s">
        <v>15264</v>
      </c>
      <c r="F3321" t="s">
        <v>7672</v>
      </c>
      <c r="G3321" t="s">
        <v>15265</v>
      </c>
      <c r="H3321" t="s">
        <v>8087</v>
      </c>
      <c r="I3321" t="s">
        <v>8088</v>
      </c>
      <c r="J3321" t="s">
        <v>10211</v>
      </c>
    </row>
    <row r="3322" spans="1:10" x14ac:dyDescent="0.25">
      <c r="A3322" t="s">
        <v>15284</v>
      </c>
      <c r="B3322">
        <v>16.8</v>
      </c>
      <c r="C3322" t="s">
        <v>15285</v>
      </c>
      <c r="D3322" t="s">
        <v>359</v>
      </c>
      <c r="E3322" t="s">
        <v>15264</v>
      </c>
      <c r="F3322" t="s">
        <v>7672</v>
      </c>
      <c r="G3322" t="s">
        <v>15265</v>
      </c>
      <c r="H3322" t="s">
        <v>8087</v>
      </c>
      <c r="I3322" t="s">
        <v>11720</v>
      </c>
      <c r="J3322" t="s">
        <v>10222</v>
      </c>
    </row>
    <row r="3323" spans="1:10" x14ac:dyDescent="0.25">
      <c r="A3323" t="s">
        <v>15286</v>
      </c>
      <c r="B3323">
        <v>16.8</v>
      </c>
      <c r="C3323" t="s">
        <v>15287</v>
      </c>
      <c r="D3323" t="s">
        <v>588</v>
      </c>
      <c r="E3323" t="s">
        <v>15264</v>
      </c>
      <c r="F3323" t="s">
        <v>7672</v>
      </c>
      <c r="G3323" t="s">
        <v>15265</v>
      </c>
      <c r="H3323" t="s">
        <v>8087</v>
      </c>
      <c r="I3323" t="s">
        <v>4045</v>
      </c>
      <c r="J3323" t="s">
        <v>10222</v>
      </c>
    </row>
    <row r="3324" spans="1:10" x14ac:dyDescent="0.25">
      <c r="A3324" t="s">
        <v>15288</v>
      </c>
      <c r="B3324">
        <v>16.8</v>
      </c>
      <c r="C3324" t="s">
        <v>15289</v>
      </c>
      <c r="D3324" t="s">
        <v>2620</v>
      </c>
      <c r="E3324" t="s">
        <v>15264</v>
      </c>
      <c r="F3324" t="s">
        <v>7672</v>
      </c>
      <c r="G3324" t="s">
        <v>15265</v>
      </c>
      <c r="H3324" t="s">
        <v>8087</v>
      </c>
      <c r="I3324" t="s">
        <v>8088</v>
      </c>
      <c r="J3324" t="s">
        <v>10222</v>
      </c>
    </row>
    <row r="3325" spans="1:10" x14ac:dyDescent="0.25">
      <c r="A3325" t="s">
        <v>15290</v>
      </c>
      <c r="B3325">
        <v>16.8</v>
      </c>
      <c r="C3325" t="s">
        <v>15291</v>
      </c>
      <c r="D3325" t="s">
        <v>436</v>
      </c>
      <c r="E3325" t="s">
        <v>15264</v>
      </c>
      <c r="F3325" t="s">
        <v>7672</v>
      </c>
      <c r="G3325" t="s">
        <v>15265</v>
      </c>
      <c r="H3325" t="s">
        <v>8087</v>
      </c>
      <c r="I3325" t="s">
        <v>4045</v>
      </c>
      <c r="J3325" t="s">
        <v>10233</v>
      </c>
    </row>
    <row r="3326" spans="1:10" x14ac:dyDescent="0.25">
      <c r="A3326" t="s">
        <v>15292</v>
      </c>
      <c r="B3326">
        <v>16.8</v>
      </c>
      <c r="C3326" t="s">
        <v>15293</v>
      </c>
      <c r="D3326" t="s">
        <v>516</v>
      </c>
      <c r="E3326" t="s">
        <v>15264</v>
      </c>
      <c r="F3326" t="s">
        <v>7672</v>
      </c>
      <c r="G3326" t="s">
        <v>15265</v>
      </c>
      <c r="H3326" t="s">
        <v>8087</v>
      </c>
      <c r="I3326" t="s">
        <v>8088</v>
      </c>
      <c r="J3326" t="s">
        <v>10233</v>
      </c>
    </row>
    <row r="3327" spans="1:10" x14ac:dyDescent="0.25">
      <c r="A3327" t="s">
        <v>15294</v>
      </c>
      <c r="B3327">
        <v>16.8</v>
      </c>
      <c r="C3327" t="s">
        <v>15295</v>
      </c>
      <c r="D3327" t="s">
        <v>981</v>
      </c>
      <c r="E3327" t="s">
        <v>15264</v>
      </c>
      <c r="F3327" t="s">
        <v>7672</v>
      </c>
      <c r="G3327" t="s">
        <v>15265</v>
      </c>
      <c r="H3327" t="s">
        <v>8087</v>
      </c>
      <c r="I3327" t="s">
        <v>4045</v>
      </c>
      <c r="J3327" t="s">
        <v>10251</v>
      </c>
    </row>
    <row r="3328" spans="1:10" x14ac:dyDescent="0.25">
      <c r="A3328" t="s">
        <v>15296</v>
      </c>
      <c r="B3328">
        <v>16.8</v>
      </c>
      <c r="C3328" t="s">
        <v>15297</v>
      </c>
      <c r="D3328" t="s">
        <v>306</v>
      </c>
      <c r="E3328" t="s">
        <v>15264</v>
      </c>
      <c r="F3328" t="s">
        <v>7672</v>
      </c>
      <c r="G3328" t="s">
        <v>15265</v>
      </c>
      <c r="H3328" t="s">
        <v>8087</v>
      </c>
      <c r="I3328" t="s">
        <v>8088</v>
      </c>
      <c r="J3328" t="s">
        <v>10251</v>
      </c>
    </row>
    <row r="3329" spans="1:10" x14ac:dyDescent="0.25">
      <c r="A3329" t="s">
        <v>15298</v>
      </c>
      <c r="B3329">
        <v>16.8</v>
      </c>
      <c r="C3329" t="s">
        <v>15299</v>
      </c>
      <c r="D3329" t="s">
        <v>2620</v>
      </c>
      <c r="E3329" t="s">
        <v>15264</v>
      </c>
      <c r="F3329" t="s">
        <v>7672</v>
      </c>
      <c r="G3329" t="s">
        <v>15265</v>
      </c>
      <c r="H3329" t="s">
        <v>8087</v>
      </c>
      <c r="I3329" t="s">
        <v>11720</v>
      </c>
      <c r="J3329" t="s">
        <v>10251</v>
      </c>
    </row>
    <row r="3330" spans="1:10" x14ac:dyDescent="0.25">
      <c r="A3330" t="s">
        <v>15300</v>
      </c>
      <c r="B3330">
        <v>16.8</v>
      </c>
      <c r="C3330" t="s">
        <v>15301</v>
      </c>
      <c r="D3330" t="s">
        <v>330</v>
      </c>
      <c r="E3330" t="s">
        <v>15264</v>
      </c>
      <c r="F3330" t="s">
        <v>7672</v>
      </c>
      <c r="G3330" t="s">
        <v>15265</v>
      </c>
      <c r="H3330" t="s">
        <v>8087</v>
      </c>
      <c r="I3330" t="s">
        <v>4045</v>
      </c>
      <c r="J3330" t="s">
        <v>10262</v>
      </c>
    </row>
    <row r="3331" spans="1:10" x14ac:dyDescent="0.25">
      <c r="A3331" t="s">
        <v>15302</v>
      </c>
      <c r="B3331">
        <v>16.8</v>
      </c>
      <c r="C3331" t="s">
        <v>15303</v>
      </c>
      <c r="D3331" t="s">
        <v>124</v>
      </c>
      <c r="E3331" t="s">
        <v>15264</v>
      </c>
      <c r="F3331" t="s">
        <v>7672</v>
      </c>
      <c r="G3331" t="s">
        <v>15265</v>
      </c>
      <c r="H3331" t="s">
        <v>8087</v>
      </c>
      <c r="I3331" t="s">
        <v>8088</v>
      </c>
      <c r="J3331" t="s">
        <v>10262</v>
      </c>
    </row>
    <row r="3332" spans="1:10" x14ac:dyDescent="0.25">
      <c r="A3332" t="s">
        <v>15304</v>
      </c>
      <c r="B3332">
        <v>16.8</v>
      </c>
      <c r="C3332" t="s">
        <v>15305</v>
      </c>
      <c r="D3332" t="s">
        <v>742</v>
      </c>
      <c r="E3332" t="s">
        <v>15264</v>
      </c>
      <c r="F3332" t="s">
        <v>7672</v>
      </c>
      <c r="G3332" t="s">
        <v>15265</v>
      </c>
      <c r="H3332" t="s">
        <v>8087</v>
      </c>
      <c r="I3332" t="s">
        <v>11720</v>
      </c>
      <c r="J3332" t="s">
        <v>10262</v>
      </c>
    </row>
    <row r="3333" spans="1:10" x14ac:dyDescent="0.25">
      <c r="A3333" t="s">
        <v>15306</v>
      </c>
      <c r="B3333">
        <v>16.8</v>
      </c>
      <c r="C3333" t="s">
        <v>15307</v>
      </c>
      <c r="D3333" t="s">
        <v>131</v>
      </c>
      <c r="E3333" t="s">
        <v>15264</v>
      </c>
      <c r="F3333" t="s">
        <v>7672</v>
      </c>
      <c r="G3333" t="s">
        <v>15265</v>
      </c>
      <c r="H3333" t="s">
        <v>8087</v>
      </c>
      <c r="I3333" t="s">
        <v>8088</v>
      </c>
      <c r="J3333" t="s">
        <v>8658</v>
      </c>
    </row>
    <row r="3334" spans="1:10" x14ac:dyDescent="0.25">
      <c r="A3334" t="s">
        <v>15308</v>
      </c>
      <c r="B3334">
        <v>16.8</v>
      </c>
      <c r="C3334" t="s">
        <v>15309</v>
      </c>
      <c r="D3334" t="s">
        <v>290</v>
      </c>
      <c r="E3334" t="s">
        <v>15264</v>
      </c>
      <c r="F3334" t="s">
        <v>7672</v>
      </c>
      <c r="G3334" t="s">
        <v>15265</v>
      </c>
      <c r="H3334" t="s">
        <v>8087</v>
      </c>
      <c r="I3334" t="s">
        <v>8088</v>
      </c>
      <c r="J3334" t="s">
        <v>10283</v>
      </c>
    </row>
    <row r="3335" spans="1:10" x14ac:dyDescent="0.25">
      <c r="A3335" t="s">
        <v>15310</v>
      </c>
      <c r="B3335">
        <v>16.8</v>
      </c>
      <c r="C3335" t="s">
        <v>15311</v>
      </c>
      <c r="D3335" t="s">
        <v>95</v>
      </c>
      <c r="E3335" t="s">
        <v>15264</v>
      </c>
      <c r="F3335" t="s">
        <v>7672</v>
      </c>
      <c r="G3335" t="s">
        <v>15265</v>
      </c>
      <c r="H3335" t="s">
        <v>8087</v>
      </c>
      <c r="I3335" t="s">
        <v>8088</v>
      </c>
      <c r="J3335" t="s">
        <v>15312</v>
      </c>
    </row>
    <row r="3336" spans="1:10" x14ac:dyDescent="0.25">
      <c r="A3336" t="s">
        <v>15313</v>
      </c>
      <c r="B3336">
        <v>26.096</v>
      </c>
      <c r="C3336" t="s">
        <v>15314</v>
      </c>
      <c r="D3336" t="s">
        <v>1767</v>
      </c>
      <c r="E3336" t="s">
        <v>15315</v>
      </c>
      <c r="F3336" t="s">
        <v>7672</v>
      </c>
      <c r="G3336" t="s">
        <v>15316</v>
      </c>
      <c r="H3336" t="s">
        <v>8779</v>
      </c>
      <c r="I3336" t="s">
        <v>935</v>
      </c>
      <c r="J3336" t="s">
        <v>10131</v>
      </c>
    </row>
    <row r="3337" spans="1:10" x14ac:dyDescent="0.25">
      <c r="A3337" t="s">
        <v>15317</v>
      </c>
      <c r="B3337">
        <v>26.096</v>
      </c>
      <c r="C3337" t="s">
        <v>15318</v>
      </c>
      <c r="D3337" t="s">
        <v>8744</v>
      </c>
      <c r="E3337" t="s">
        <v>15315</v>
      </c>
      <c r="F3337" t="s">
        <v>7672</v>
      </c>
      <c r="G3337" t="s">
        <v>15316</v>
      </c>
      <c r="H3337" t="s">
        <v>8779</v>
      </c>
      <c r="I3337" t="s">
        <v>15319</v>
      </c>
      <c r="J3337" t="s">
        <v>10131</v>
      </c>
    </row>
    <row r="3338" spans="1:10" x14ac:dyDescent="0.25">
      <c r="A3338" t="s">
        <v>15320</v>
      </c>
      <c r="B3338">
        <v>26.096</v>
      </c>
      <c r="C3338" t="s">
        <v>15321</v>
      </c>
      <c r="D3338" t="s">
        <v>15322</v>
      </c>
      <c r="E3338" t="s">
        <v>15315</v>
      </c>
      <c r="F3338" t="s">
        <v>7672</v>
      </c>
      <c r="G3338" t="s">
        <v>15316</v>
      </c>
      <c r="H3338" t="s">
        <v>8779</v>
      </c>
      <c r="I3338" t="s">
        <v>935</v>
      </c>
      <c r="J3338" t="s">
        <v>10137</v>
      </c>
    </row>
    <row r="3339" spans="1:10" x14ac:dyDescent="0.25">
      <c r="A3339" t="s">
        <v>15323</v>
      </c>
      <c r="B3339">
        <v>26.096</v>
      </c>
      <c r="C3339" t="s">
        <v>15324</v>
      </c>
      <c r="D3339" t="s">
        <v>15325</v>
      </c>
      <c r="E3339" t="s">
        <v>15315</v>
      </c>
      <c r="F3339" t="s">
        <v>7672</v>
      </c>
      <c r="G3339" t="s">
        <v>15316</v>
      </c>
      <c r="H3339" t="s">
        <v>8779</v>
      </c>
      <c r="I3339" t="s">
        <v>15319</v>
      </c>
      <c r="J3339" t="s">
        <v>10137</v>
      </c>
    </row>
    <row r="3340" spans="1:10" x14ac:dyDescent="0.25">
      <c r="A3340" t="s">
        <v>15326</v>
      </c>
      <c r="B3340">
        <v>26.096</v>
      </c>
      <c r="C3340" t="s">
        <v>15327</v>
      </c>
      <c r="D3340" t="s">
        <v>849</v>
      </c>
      <c r="E3340" t="s">
        <v>15315</v>
      </c>
      <c r="F3340" t="s">
        <v>7672</v>
      </c>
      <c r="G3340" t="s">
        <v>15316</v>
      </c>
      <c r="H3340" t="s">
        <v>8779</v>
      </c>
      <c r="I3340" t="s">
        <v>5202</v>
      </c>
      <c r="J3340" t="s">
        <v>10131</v>
      </c>
    </row>
    <row r="3341" spans="1:10" x14ac:dyDescent="0.25">
      <c r="A3341" t="s">
        <v>15328</v>
      </c>
      <c r="B3341">
        <v>26.096</v>
      </c>
      <c r="C3341" t="s">
        <v>15329</v>
      </c>
      <c r="D3341" t="s">
        <v>776</v>
      </c>
      <c r="E3341" t="s">
        <v>15315</v>
      </c>
      <c r="F3341" t="s">
        <v>7672</v>
      </c>
      <c r="G3341" t="s">
        <v>15316</v>
      </c>
      <c r="H3341" t="s">
        <v>8779</v>
      </c>
      <c r="I3341" t="s">
        <v>5202</v>
      </c>
      <c r="J3341" t="s">
        <v>10137</v>
      </c>
    </row>
    <row r="3342" spans="1:10" x14ac:dyDescent="0.25">
      <c r="A3342" t="s">
        <v>3666</v>
      </c>
      <c r="B3342">
        <v>45</v>
      </c>
      <c r="C3342" t="s">
        <v>3668</v>
      </c>
      <c r="D3342" t="s">
        <v>359</v>
      </c>
      <c r="E3342" t="s">
        <v>3669</v>
      </c>
      <c r="F3342" t="s">
        <v>7672</v>
      </c>
      <c r="G3342" t="s">
        <v>15330</v>
      </c>
      <c r="H3342" t="s">
        <v>12423</v>
      </c>
      <c r="I3342" t="s">
        <v>1490</v>
      </c>
      <c r="J3342" t="s">
        <v>7981</v>
      </c>
    </row>
    <row r="3343" spans="1:10" x14ac:dyDescent="0.25">
      <c r="A3343" t="s">
        <v>3672</v>
      </c>
      <c r="B3343">
        <v>45</v>
      </c>
      <c r="C3343" t="s">
        <v>3674</v>
      </c>
      <c r="D3343" t="s">
        <v>843</v>
      </c>
      <c r="E3343" t="s">
        <v>3669</v>
      </c>
      <c r="F3343" t="s">
        <v>7672</v>
      </c>
      <c r="G3343" t="s">
        <v>15330</v>
      </c>
      <c r="H3343" t="s">
        <v>12423</v>
      </c>
      <c r="I3343" t="s">
        <v>3676</v>
      </c>
      <c r="J3343" t="s">
        <v>7981</v>
      </c>
    </row>
    <row r="3344" spans="1:10" x14ac:dyDescent="0.25">
      <c r="A3344" t="s">
        <v>3677</v>
      </c>
      <c r="B3344">
        <v>45</v>
      </c>
      <c r="C3344" t="s">
        <v>3679</v>
      </c>
      <c r="D3344" t="s">
        <v>240</v>
      </c>
      <c r="E3344" t="s">
        <v>3669</v>
      </c>
      <c r="F3344" t="s">
        <v>7672</v>
      </c>
      <c r="G3344" t="s">
        <v>15330</v>
      </c>
      <c r="H3344" t="s">
        <v>12423</v>
      </c>
      <c r="I3344" t="s">
        <v>76</v>
      </c>
      <c r="J3344" t="s">
        <v>7981</v>
      </c>
    </row>
    <row r="3345" spans="1:10" x14ac:dyDescent="0.25">
      <c r="A3345" t="s">
        <v>3682</v>
      </c>
      <c r="B3345">
        <v>45</v>
      </c>
      <c r="C3345" t="s">
        <v>3684</v>
      </c>
      <c r="D3345" t="s">
        <v>626</v>
      </c>
      <c r="E3345" t="s">
        <v>3669</v>
      </c>
      <c r="F3345" t="s">
        <v>7672</v>
      </c>
      <c r="G3345" t="s">
        <v>15330</v>
      </c>
      <c r="H3345" t="s">
        <v>12423</v>
      </c>
      <c r="I3345" t="s">
        <v>3676</v>
      </c>
      <c r="J3345" t="s">
        <v>7984</v>
      </c>
    </row>
    <row r="3346" spans="1:10" x14ac:dyDescent="0.25">
      <c r="A3346" t="s">
        <v>3686</v>
      </c>
      <c r="B3346">
        <v>45</v>
      </c>
      <c r="C3346" t="s">
        <v>3688</v>
      </c>
      <c r="D3346" t="s">
        <v>903</v>
      </c>
      <c r="E3346" t="s">
        <v>3669</v>
      </c>
      <c r="F3346" t="s">
        <v>7672</v>
      </c>
      <c r="G3346" t="s">
        <v>15330</v>
      </c>
      <c r="H3346" t="s">
        <v>12423</v>
      </c>
      <c r="I3346" t="s">
        <v>1490</v>
      </c>
      <c r="J3346" t="s">
        <v>7984</v>
      </c>
    </row>
    <row r="3347" spans="1:10" x14ac:dyDescent="0.25">
      <c r="A3347" t="s">
        <v>3690</v>
      </c>
      <c r="B3347">
        <v>45</v>
      </c>
      <c r="C3347" t="s">
        <v>3692</v>
      </c>
      <c r="D3347" t="s">
        <v>2253</v>
      </c>
      <c r="E3347" t="s">
        <v>3669</v>
      </c>
      <c r="F3347" t="s">
        <v>7672</v>
      </c>
      <c r="G3347" t="s">
        <v>15330</v>
      </c>
      <c r="H3347" t="s">
        <v>12423</v>
      </c>
      <c r="I3347" t="s">
        <v>76</v>
      </c>
      <c r="J3347" t="s">
        <v>7984</v>
      </c>
    </row>
    <row r="3348" spans="1:10" x14ac:dyDescent="0.25">
      <c r="A3348" t="s">
        <v>3694</v>
      </c>
      <c r="B3348">
        <v>45</v>
      </c>
      <c r="C3348" t="s">
        <v>3696</v>
      </c>
      <c r="D3348" t="s">
        <v>1822</v>
      </c>
      <c r="E3348" t="s">
        <v>3669</v>
      </c>
      <c r="F3348" t="s">
        <v>7672</v>
      </c>
      <c r="G3348" t="s">
        <v>15330</v>
      </c>
      <c r="H3348" t="s">
        <v>12423</v>
      </c>
      <c r="I3348" t="s">
        <v>3676</v>
      </c>
      <c r="J3348" t="s">
        <v>7987</v>
      </c>
    </row>
    <row r="3349" spans="1:10" x14ac:dyDescent="0.25">
      <c r="A3349" t="s">
        <v>15331</v>
      </c>
      <c r="B3349">
        <v>8.3920000000000012</v>
      </c>
      <c r="C3349" t="s">
        <v>15332</v>
      </c>
      <c r="D3349" t="s">
        <v>1143</v>
      </c>
      <c r="E3349" t="s">
        <v>15333</v>
      </c>
      <c r="F3349" t="s">
        <v>7672</v>
      </c>
      <c r="G3349" t="s">
        <v>15334</v>
      </c>
      <c r="H3349" t="s">
        <v>10298</v>
      </c>
      <c r="I3349" t="s">
        <v>15335</v>
      </c>
      <c r="J3349" t="s">
        <v>11696</v>
      </c>
    </row>
    <row r="3350" spans="1:10" x14ac:dyDescent="0.25">
      <c r="A3350" t="s">
        <v>15336</v>
      </c>
      <c r="B3350">
        <v>8.3920000000000012</v>
      </c>
      <c r="C3350" t="s">
        <v>15337</v>
      </c>
      <c r="D3350" t="s">
        <v>964</v>
      </c>
      <c r="E3350" t="s">
        <v>15333</v>
      </c>
      <c r="F3350" t="s">
        <v>7672</v>
      </c>
      <c r="G3350" t="s">
        <v>15334</v>
      </c>
      <c r="H3350" t="s">
        <v>10298</v>
      </c>
      <c r="I3350" t="s">
        <v>15335</v>
      </c>
      <c r="J3350" t="s">
        <v>11702</v>
      </c>
    </row>
    <row r="3351" spans="1:10" x14ac:dyDescent="0.25">
      <c r="A3351" t="s">
        <v>15338</v>
      </c>
      <c r="B3351">
        <v>8.3920000000000012</v>
      </c>
      <c r="C3351" t="s">
        <v>15339</v>
      </c>
      <c r="D3351" t="s">
        <v>352</v>
      </c>
      <c r="E3351" t="s">
        <v>15333</v>
      </c>
      <c r="F3351" t="s">
        <v>7672</v>
      </c>
      <c r="G3351" t="s">
        <v>15334</v>
      </c>
      <c r="H3351" t="s">
        <v>10298</v>
      </c>
      <c r="I3351" t="s">
        <v>15335</v>
      </c>
      <c r="J3351" t="s">
        <v>11710</v>
      </c>
    </row>
    <row r="3352" spans="1:10" x14ac:dyDescent="0.25">
      <c r="A3352" t="s">
        <v>15340</v>
      </c>
      <c r="B3352">
        <v>8.3920000000000012</v>
      </c>
      <c r="C3352" t="s">
        <v>15341</v>
      </c>
      <c r="D3352" t="s">
        <v>53</v>
      </c>
      <c r="E3352" t="s">
        <v>15333</v>
      </c>
      <c r="F3352" t="s">
        <v>7672</v>
      </c>
      <c r="G3352" t="s">
        <v>15334</v>
      </c>
      <c r="H3352" t="s">
        <v>10298</v>
      </c>
      <c r="I3352" t="s">
        <v>15335</v>
      </c>
      <c r="J3352" t="s">
        <v>10150</v>
      </c>
    </row>
    <row r="3353" spans="1:10" x14ac:dyDescent="0.25">
      <c r="A3353" t="s">
        <v>15342</v>
      </c>
      <c r="B3353">
        <v>8.3920000000000012</v>
      </c>
      <c r="C3353" t="s">
        <v>15343</v>
      </c>
      <c r="D3353" t="s">
        <v>60</v>
      </c>
      <c r="E3353" t="s">
        <v>15333</v>
      </c>
      <c r="F3353" t="s">
        <v>7672</v>
      </c>
      <c r="G3353" t="s">
        <v>15334</v>
      </c>
      <c r="H3353" t="s">
        <v>10298</v>
      </c>
      <c r="I3353" t="s">
        <v>15335</v>
      </c>
      <c r="J3353" t="s">
        <v>15238</v>
      </c>
    </row>
    <row r="3354" spans="1:10" x14ac:dyDescent="0.25">
      <c r="A3354" t="s">
        <v>15344</v>
      </c>
      <c r="B3354">
        <v>8.3920000000000012</v>
      </c>
      <c r="C3354" t="s">
        <v>15345</v>
      </c>
      <c r="D3354" t="s">
        <v>436</v>
      </c>
      <c r="E3354" t="s">
        <v>15333</v>
      </c>
      <c r="F3354" t="s">
        <v>7672</v>
      </c>
      <c r="G3354" t="s">
        <v>15334</v>
      </c>
      <c r="H3354" t="s">
        <v>10298</v>
      </c>
      <c r="I3354" t="s">
        <v>15335</v>
      </c>
      <c r="J3354" t="s">
        <v>15070</v>
      </c>
    </row>
    <row r="3355" spans="1:10" x14ac:dyDescent="0.25">
      <c r="A3355" t="s">
        <v>15346</v>
      </c>
      <c r="B3355">
        <v>8.3920000000000012</v>
      </c>
      <c r="C3355" t="s">
        <v>15347</v>
      </c>
      <c r="D3355" t="s">
        <v>164</v>
      </c>
      <c r="E3355" t="s">
        <v>15333</v>
      </c>
      <c r="F3355" t="s">
        <v>7672</v>
      </c>
      <c r="G3355" t="s">
        <v>15334</v>
      </c>
      <c r="H3355" t="s">
        <v>10298</v>
      </c>
      <c r="I3355" t="s">
        <v>15335</v>
      </c>
      <c r="J3355" t="s">
        <v>15073</v>
      </c>
    </row>
    <row r="3356" spans="1:10" x14ac:dyDescent="0.25">
      <c r="A3356" t="s">
        <v>15348</v>
      </c>
      <c r="B3356">
        <v>8.3920000000000012</v>
      </c>
      <c r="C3356" t="s">
        <v>15349</v>
      </c>
      <c r="D3356" t="s">
        <v>2697</v>
      </c>
      <c r="E3356" t="s">
        <v>15333</v>
      </c>
      <c r="F3356" t="s">
        <v>7672</v>
      </c>
      <c r="G3356" t="s">
        <v>15334</v>
      </c>
      <c r="H3356" t="s">
        <v>10298</v>
      </c>
      <c r="I3356" t="s">
        <v>15335</v>
      </c>
      <c r="J3356" t="s">
        <v>15076</v>
      </c>
    </row>
    <row r="3357" spans="1:10" x14ac:dyDescent="0.25">
      <c r="A3357" t="s">
        <v>15350</v>
      </c>
      <c r="B3357">
        <v>8.3920000000000012</v>
      </c>
      <c r="C3357" t="s">
        <v>15351</v>
      </c>
      <c r="D3357" t="s">
        <v>269</v>
      </c>
      <c r="E3357" t="s">
        <v>15333</v>
      </c>
      <c r="F3357" t="s">
        <v>7672</v>
      </c>
      <c r="G3357" t="s">
        <v>15334</v>
      </c>
      <c r="H3357" t="s">
        <v>10298</v>
      </c>
      <c r="I3357" t="s">
        <v>15352</v>
      </c>
      <c r="J3357" t="s">
        <v>15076</v>
      </c>
    </row>
    <row r="3358" spans="1:10" x14ac:dyDescent="0.25">
      <c r="A3358" t="s">
        <v>15353</v>
      </c>
      <c r="B3358">
        <v>8.3920000000000012</v>
      </c>
      <c r="C3358" t="s">
        <v>15354</v>
      </c>
      <c r="D3358" t="s">
        <v>250</v>
      </c>
      <c r="E3358" t="s">
        <v>15333</v>
      </c>
      <c r="F3358" t="s">
        <v>7672</v>
      </c>
      <c r="G3358" t="s">
        <v>15334</v>
      </c>
      <c r="H3358" t="s">
        <v>10298</v>
      </c>
      <c r="I3358" t="s">
        <v>15335</v>
      </c>
      <c r="J3358" t="s">
        <v>15079</v>
      </c>
    </row>
    <row r="3359" spans="1:10" x14ac:dyDescent="0.25">
      <c r="A3359" t="s">
        <v>15355</v>
      </c>
      <c r="B3359">
        <v>8.3920000000000012</v>
      </c>
      <c r="C3359" t="s">
        <v>15356</v>
      </c>
      <c r="D3359" t="s">
        <v>964</v>
      </c>
      <c r="E3359" t="s">
        <v>15333</v>
      </c>
      <c r="F3359" t="s">
        <v>7672</v>
      </c>
      <c r="G3359" t="s">
        <v>15334</v>
      </c>
      <c r="H3359" t="s">
        <v>10298</v>
      </c>
      <c r="I3359" t="s">
        <v>15352</v>
      </c>
      <c r="J3359" t="s">
        <v>15079</v>
      </c>
    </row>
    <row r="3360" spans="1:10" x14ac:dyDescent="0.25">
      <c r="A3360" t="s">
        <v>15357</v>
      </c>
      <c r="B3360">
        <v>12.48</v>
      </c>
      <c r="C3360" t="s">
        <v>15358</v>
      </c>
      <c r="D3360" t="s">
        <v>67</v>
      </c>
      <c r="E3360" t="s">
        <v>15359</v>
      </c>
      <c r="F3360" t="s">
        <v>7672</v>
      </c>
      <c r="G3360" t="s">
        <v>15360</v>
      </c>
      <c r="H3360" t="s">
        <v>7947</v>
      </c>
      <c r="I3360" t="s">
        <v>15361</v>
      </c>
      <c r="J3360" t="s">
        <v>10369</v>
      </c>
    </row>
    <row r="3361" spans="1:10" x14ac:dyDescent="0.25">
      <c r="A3361" t="s">
        <v>15362</v>
      </c>
      <c r="B3361">
        <v>3.8319999999999999</v>
      </c>
      <c r="C3361" t="s">
        <v>15363</v>
      </c>
      <c r="D3361" t="s">
        <v>15364</v>
      </c>
      <c r="E3361" t="s">
        <v>15365</v>
      </c>
      <c r="F3361" t="s">
        <v>7672</v>
      </c>
      <c r="G3361" t="s">
        <v>15366</v>
      </c>
      <c r="H3361" t="s">
        <v>7674</v>
      </c>
      <c r="I3361" t="s">
        <v>8467</v>
      </c>
      <c r="J3361" t="s">
        <v>8001</v>
      </c>
    </row>
    <row r="3362" spans="1:10" x14ac:dyDescent="0.25">
      <c r="A3362" t="s">
        <v>15367</v>
      </c>
      <c r="B3362">
        <v>3.8319999999999999</v>
      </c>
      <c r="C3362" t="s">
        <v>15368</v>
      </c>
      <c r="D3362" t="s">
        <v>2262</v>
      </c>
      <c r="E3362" t="s">
        <v>15365</v>
      </c>
      <c r="F3362" t="s">
        <v>7672</v>
      </c>
      <c r="G3362" t="s">
        <v>15366</v>
      </c>
      <c r="H3362" t="s">
        <v>7674</v>
      </c>
      <c r="I3362" t="s">
        <v>15369</v>
      </c>
      <c r="J3362" t="s">
        <v>8013</v>
      </c>
    </row>
    <row r="3363" spans="1:10" x14ac:dyDescent="0.25">
      <c r="A3363" t="s">
        <v>15370</v>
      </c>
      <c r="B3363">
        <v>3.8319999999999999</v>
      </c>
      <c r="C3363" t="s">
        <v>15371</v>
      </c>
      <c r="D3363" t="s">
        <v>9300</v>
      </c>
      <c r="E3363" t="s">
        <v>15365</v>
      </c>
      <c r="F3363" t="s">
        <v>7672</v>
      </c>
      <c r="G3363" t="s">
        <v>15366</v>
      </c>
      <c r="H3363" t="s">
        <v>7674</v>
      </c>
      <c r="I3363" t="s">
        <v>8467</v>
      </c>
      <c r="J3363" t="s">
        <v>8013</v>
      </c>
    </row>
    <row r="3364" spans="1:10" x14ac:dyDescent="0.25">
      <c r="A3364" t="s">
        <v>15372</v>
      </c>
      <c r="B3364">
        <v>12</v>
      </c>
      <c r="C3364" t="s">
        <v>15373</v>
      </c>
      <c r="D3364" t="s">
        <v>1621</v>
      </c>
      <c r="E3364" t="s">
        <v>3701</v>
      </c>
      <c r="F3364" t="s">
        <v>7672</v>
      </c>
      <c r="G3364" t="s">
        <v>15374</v>
      </c>
      <c r="H3364" t="s">
        <v>10321</v>
      </c>
      <c r="I3364" t="s">
        <v>10349</v>
      </c>
      <c r="J3364" t="s">
        <v>8427</v>
      </c>
    </row>
    <row r="3365" spans="1:10" x14ac:dyDescent="0.25">
      <c r="A3365" t="s">
        <v>3698</v>
      </c>
      <c r="B3365">
        <v>12</v>
      </c>
      <c r="C3365" t="s">
        <v>3700</v>
      </c>
      <c r="D3365" t="s">
        <v>613</v>
      </c>
      <c r="E3365" t="s">
        <v>3701</v>
      </c>
      <c r="F3365" t="s">
        <v>7672</v>
      </c>
      <c r="G3365" t="s">
        <v>15374</v>
      </c>
      <c r="H3365" t="s">
        <v>10321</v>
      </c>
      <c r="I3365" t="s">
        <v>481</v>
      </c>
      <c r="J3365" t="s">
        <v>8427</v>
      </c>
    </row>
    <row r="3366" spans="1:10" x14ac:dyDescent="0.25">
      <c r="A3366" t="s">
        <v>15375</v>
      </c>
      <c r="B3366">
        <v>12</v>
      </c>
      <c r="C3366" t="s">
        <v>15376</v>
      </c>
      <c r="D3366" t="s">
        <v>3153</v>
      </c>
      <c r="E3366" t="s">
        <v>3701</v>
      </c>
      <c r="F3366" t="s">
        <v>7672</v>
      </c>
      <c r="G3366" t="s">
        <v>15374</v>
      </c>
      <c r="H3366" t="s">
        <v>10321</v>
      </c>
      <c r="I3366" t="s">
        <v>145</v>
      </c>
      <c r="J3366" t="s">
        <v>8427</v>
      </c>
    </row>
    <row r="3367" spans="1:10" x14ac:dyDescent="0.25">
      <c r="A3367" t="s">
        <v>15377</v>
      </c>
      <c r="B3367">
        <v>12</v>
      </c>
      <c r="C3367" t="s">
        <v>15378</v>
      </c>
      <c r="D3367" t="s">
        <v>671</v>
      </c>
      <c r="E3367" t="s">
        <v>3701</v>
      </c>
      <c r="F3367" t="s">
        <v>7672</v>
      </c>
      <c r="G3367" t="s">
        <v>15374</v>
      </c>
      <c r="H3367" t="s">
        <v>10321</v>
      </c>
      <c r="I3367" t="s">
        <v>10335</v>
      </c>
      <c r="J3367" t="s">
        <v>8427</v>
      </c>
    </row>
    <row r="3368" spans="1:10" x14ac:dyDescent="0.25">
      <c r="A3368" t="s">
        <v>15379</v>
      </c>
      <c r="B3368">
        <v>12</v>
      </c>
      <c r="C3368" t="s">
        <v>15380</v>
      </c>
      <c r="D3368" t="s">
        <v>250</v>
      </c>
      <c r="E3368" t="s">
        <v>3701</v>
      </c>
      <c r="F3368" t="s">
        <v>7672</v>
      </c>
      <c r="G3368" t="s">
        <v>15374</v>
      </c>
      <c r="H3368" t="s">
        <v>10321</v>
      </c>
      <c r="I3368" t="s">
        <v>10322</v>
      </c>
      <c r="J3368" t="s">
        <v>8427</v>
      </c>
    </row>
    <row r="3369" spans="1:10" x14ac:dyDescent="0.25">
      <c r="A3369" t="s">
        <v>3704</v>
      </c>
      <c r="B3369">
        <v>12</v>
      </c>
      <c r="C3369" t="s">
        <v>3706</v>
      </c>
      <c r="D3369" t="s">
        <v>781</v>
      </c>
      <c r="E3369" t="s">
        <v>3701</v>
      </c>
      <c r="F3369" t="s">
        <v>7672</v>
      </c>
      <c r="G3369" t="s">
        <v>15374</v>
      </c>
      <c r="H3369" t="s">
        <v>10321</v>
      </c>
      <c r="I3369" t="s">
        <v>10330</v>
      </c>
      <c r="J3369" t="s">
        <v>8427</v>
      </c>
    </row>
    <row r="3370" spans="1:10" x14ac:dyDescent="0.25">
      <c r="A3370" t="s">
        <v>3709</v>
      </c>
      <c r="B3370">
        <v>12</v>
      </c>
      <c r="C3370" t="s">
        <v>3711</v>
      </c>
      <c r="D3370" t="s">
        <v>234</v>
      </c>
      <c r="E3370" t="s">
        <v>3701</v>
      </c>
      <c r="F3370" t="s">
        <v>7672</v>
      </c>
      <c r="G3370" t="s">
        <v>15374</v>
      </c>
      <c r="H3370" t="s">
        <v>10321</v>
      </c>
      <c r="I3370" t="s">
        <v>10338</v>
      </c>
      <c r="J3370" t="s">
        <v>8427</v>
      </c>
    </row>
    <row r="3371" spans="1:10" x14ac:dyDescent="0.25">
      <c r="A3371" t="s">
        <v>15381</v>
      </c>
      <c r="B3371">
        <v>12</v>
      </c>
      <c r="C3371" t="s">
        <v>15382</v>
      </c>
      <c r="D3371" t="s">
        <v>366</v>
      </c>
      <c r="E3371" t="s">
        <v>3701</v>
      </c>
      <c r="F3371" t="s">
        <v>7672</v>
      </c>
      <c r="G3371" t="s">
        <v>15374</v>
      </c>
      <c r="H3371" t="s">
        <v>10321</v>
      </c>
      <c r="I3371" t="s">
        <v>15383</v>
      </c>
      <c r="J3371" t="s">
        <v>8427</v>
      </c>
    </row>
    <row r="3372" spans="1:10" x14ac:dyDescent="0.25">
      <c r="A3372" t="s">
        <v>15384</v>
      </c>
      <c r="B3372">
        <v>12</v>
      </c>
      <c r="C3372" t="s">
        <v>15385</v>
      </c>
      <c r="D3372" t="s">
        <v>781</v>
      </c>
      <c r="E3372" t="s">
        <v>3701</v>
      </c>
      <c r="F3372" t="s">
        <v>7672</v>
      </c>
      <c r="G3372" t="s">
        <v>15374</v>
      </c>
      <c r="H3372" t="s">
        <v>10321</v>
      </c>
      <c r="I3372" t="s">
        <v>10327</v>
      </c>
      <c r="J3372" t="s">
        <v>8427</v>
      </c>
    </row>
    <row r="3373" spans="1:10" x14ac:dyDescent="0.25">
      <c r="A3373" t="s">
        <v>15386</v>
      </c>
      <c r="B3373">
        <v>12</v>
      </c>
      <c r="C3373" t="s">
        <v>15387</v>
      </c>
      <c r="D3373" t="s">
        <v>2022</v>
      </c>
      <c r="E3373" t="s">
        <v>3701</v>
      </c>
      <c r="F3373" t="s">
        <v>7672</v>
      </c>
      <c r="G3373" t="s">
        <v>15374</v>
      </c>
      <c r="H3373" t="s">
        <v>10321</v>
      </c>
      <c r="I3373" t="s">
        <v>1243</v>
      </c>
      <c r="J3373" t="s">
        <v>8427</v>
      </c>
    </row>
    <row r="3374" spans="1:10" x14ac:dyDescent="0.25">
      <c r="A3374" t="s">
        <v>15388</v>
      </c>
      <c r="B3374">
        <v>12</v>
      </c>
      <c r="C3374" t="s">
        <v>15389</v>
      </c>
      <c r="D3374" t="s">
        <v>113</v>
      </c>
      <c r="E3374" t="s">
        <v>3701</v>
      </c>
      <c r="F3374" t="s">
        <v>7672</v>
      </c>
      <c r="G3374" t="s">
        <v>15374</v>
      </c>
      <c r="H3374" t="s">
        <v>10321</v>
      </c>
      <c r="I3374" t="s">
        <v>15383</v>
      </c>
      <c r="J3374" t="s">
        <v>8439</v>
      </c>
    </row>
    <row r="3375" spans="1:10" x14ac:dyDescent="0.25">
      <c r="A3375" t="s">
        <v>15390</v>
      </c>
      <c r="B3375">
        <v>12</v>
      </c>
      <c r="C3375" t="s">
        <v>15391</v>
      </c>
      <c r="D3375" t="s">
        <v>1143</v>
      </c>
      <c r="E3375" t="s">
        <v>3701</v>
      </c>
      <c r="F3375" t="s">
        <v>7672</v>
      </c>
      <c r="G3375" t="s">
        <v>15374</v>
      </c>
      <c r="H3375" t="s">
        <v>10321</v>
      </c>
      <c r="I3375" t="s">
        <v>10322</v>
      </c>
      <c r="J3375" t="s">
        <v>8439</v>
      </c>
    </row>
    <row r="3376" spans="1:10" x14ac:dyDescent="0.25">
      <c r="A3376" t="s">
        <v>15392</v>
      </c>
      <c r="B3376">
        <v>12</v>
      </c>
      <c r="C3376" t="s">
        <v>15393</v>
      </c>
      <c r="D3376" t="s">
        <v>2138</v>
      </c>
      <c r="E3376" t="s">
        <v>3701</v>
      </c>
      <c r="F3376" t="s">
        <v>7672</v>
      </c>
      <c r="G3376" t="s">
        <v>15374</v>
      </c>
      <c r="H3376" t="s">
        <v>10321</v>
      </c>
      <c r="I3376" t="s">
        <v>145</v>
      </c>
      <c r="J3376" t="s">
        <v>8439</v>
      </c>
    </row>
    <row r="3377" spans="1:10" x14ac:dyDescent="0.25">
      <c r="A3377" t="s">
        <v>3714</v>
      </c>
      <c r="B3377">
        <v>12</v>
      </c>
      <c r="C3377" t="s">
        <v>3716</v>
      </c>
      <c r="D3377" t="s">
        <v>516</v>
      </c>
      <c r="E3377" t="s">
        <v>3701</v>
      </c>
      <c r="F3377" t="s">
        <v>7672</v>
      </c>
      <c r="G3377" t="s">
        <v>15374</v>
      </c>
      <c r="H3377" t="s">
        <v>10321</v>
      </c>
      <c r="I3377" t="s">
        <v>10330</v>
      </c>
      <c r="J3377" t="s">
        <v>8439</v>
      </c>
    </row>
    <row r="3378" spans="1:10" x14ac:dyDescent="0.25">
      <c r="A3378" t="s">
        <v>3718</v>
      </c>
      <c r="B3378">
        <v>12</v>
      </c>
      <c r="C3378" t="s">
        <v>3720</v>
      </c>
      <c r="D3378" t="s">
        <v>1236</v>
      </c>
      <c r="E3378" t="s">
        <v>3701</v>
      </c>
      <c r="F3378" t="s">
        <v>7672</v>
      </c>
      <c r="G3378" t="s">
        <v>15374</v>
      </c>
      <c r="H3378" t="s">
        <v>10321</v>
      </c>
      <c r="I3378" t="s">
        <v>481</v>
      </c>
      <c r="J3378" t="s">
        <v>8439</v>
      </c>
    </row>
    <row r="3379" spans="1:10" x14ac:dyDescent="0.25">
      <c r="A3379" t="s">
        <v>15394</v>
      </c>
      <c r="B3379">
        <v>12</v>
      </c>
      <c r="C3379" t="s">
        <v>15395</v>
      </c>
      <c r="D3379" t="s">
        <v>705</v>
      </c>
      <c r="E3379" t="s">
        <v>3701</v>
      </c>
      <c r="F3379" t="s">
        <v>7672</v>
      </c>
      <c r="G3379" t="s">
        <v>15374</v>
      </c>
      <c r="H3379" t="s">
        <v>10321</v>
      </c>
      <c r="I3379" t="s">
        <v>10335</v>
      </c>
      <c r="J3379" t="s">
        <v>8439</v>
      </c>
    </row>
    <row r="3380" spans="1:10" x14ac:dyDescent="0.25">
      <c r="A3380" t="s">
        <v>3722</v>
      </c>
      <c r="B3380">
        <v>12</v>
      </c>
      <c r="C3380" t="s">
        <v>3724</v>
      </c>
      <c r="D3380" t="s">
        <v>1134</v>
      </c>
      <c r="E3380" t="s">
        <v>3701</v>
      </c>
      <c r="F3380" t="s">
        <v>7672</v>
      </c>
      <c r="G3380" t="s">
        <v>15374</v>
      </c>
      <c r="H3380" t="s">
        <v>10321</v>
      </c>
      <c r="I3380" t="s">
        <v>10338</v>
      </c>
      <c r="J3380" t="s">
        <v>8439</v>
      </c>
    </row>
    <row r="3381" spans="1:10" x14ac:dyDescent="0.25">
      <c r="A3381" t="s">
        <v>15396</v>
      </c>
      <c r="B3381">
        <v>12</v>
      </c>
      <c r="C3381" t="s">
        <v>15397</v>
      </c>
      <c r="D3381" t="s">
        <v>613</v>
      </c>
      <c r="E3381" t="s">
        <v>3701</v>
      </c>
      <c r="F3381" t="s">
        <v>7672</v>
      </c>
      <c r="G3381" t="s">
        <v>15374</v>
      </c>
      <c r="H3381" t="s">
        <v>10321</v>
      </c>
      <c r="I3381" t="s">
        <v>10327</v>
      </c>
      <c r="J3381" t="s">
        <v>8439</v>
      </c>
    </row>
    <row r="3382" spans="1:10" x14ac:dyDescent="0.25">
      <c r="A3382" t="s">
        <v>15398</v>
      </c>
      <c r="B3382">
        <v>12</v>
      </c>
      <c r="C3382" t="s">
        <v>15399</v>
      </c>
      <c r="D3382" t="s">
        <v>1134</v>
      </c>
      <c r="E3382" t="s">
        <v>3701</v>
      </c>
      <c r="F3382" t="s">
        <v>7672</v>
      </c>
      <c r="G3382" t="s">
        <v>15374</v>
      </c>
      <c r="H3382" t="s">
        <v>10321</v>
      </c>
      <c r="I3382" t="s">
        <v>1243</v>
      </c>
      <c r="J3382" t="s">
        <v>8439</v>
      </c>
    </row>
    <row r="3383" spans="1:10" x14ac:dyDescent="0.25">
      <c r="A3383" t="s">
        <v>15400</v>
      </c>
      <c r="B3383">
        <v>12</v>
      </c>
      <c r="C3383" t="s">
        <v>15401</v>
      </c>
      <c r="D3383" t="s">
        <v>1097</v>
      </c>
      <c r="E3383" t="s">
        <v>3701</v>
      </c>
      <c r="F3383" t="s">
        <v>7672</v>
      </c>
      <c r="G3383" t="s">
        <v>15374</v>
      </c>
      <c r="H3383" t="s">
        <v>10321</v>
      </c>
      <c r="I3383" t="s">
        <v>10349</v>
      </c>
      <c r="J3383" t="s">
        <v>8439</v>
      </c>
    </row>
    <row r="3384" spans="1:10" x14ac:dyDescent="0.25">
      <c r="A3384" t="s">
        <v>15402</v>
      </c>
      <c r="B3384">
        <v>12</v>
      </c>
      <c r="C3384" t="s">
        <v>15403</v>
      </c>
      <c r="D3384" t="s">
        <v>671</v>
      </c>
      <c r="E3384" t="s">
        <v>3701</v>
      </c>
      <c r="F3384" t="s">
        <v>7672</v>
      </c>
      <c r="G3384" t="s">
        <v>15374</v>
      </c>
      <c r="H3384" t="s">
        <v>10321</v>
      </c>
      <c r="I3384" t="s">
        <v>10349</v>
      </c>
      <c r="J3384" t="s">
        <v>8451</v>
      </c>
    </row>
    <row r="3385" spans="1:10" x14ac:dyDescent="0.25">
      <c r="A3385" t="s">
        <v>15404</v>
      </c>
      <c r="B3385">
        <v>12</v>
      </c>
      <c r="C3385" t="s">
        <v>15405</v>
      </c>
      <c r="D3385" t="s">
        <v>1134</v>
      </c>
      <c r="E3385" t="s">
        <v>3701</v>
      </c>
      <c r="F3385" t="s">
        <v>7672</v>
      </c>
      <c r="G3385" t="s">
        <v>15374</v>
      </c>
      <c r="H3385" t="s">
        <v>10321</v>
      </c>
      <c r="I3385" t="s">
        <v>1243</v>
      </c>
      <c r="J3385" t="s">
        <v>8451</v>
      </c>
    </row>
    <row r="3386" spans="1:10" x14ac:dyDescent="0.25">
      <c r="A3386" t="s">
        <v>15406</v>
      </c>
      <c r="B3386">
        <v>12</v>
      </c>
      <c r="C3386" t="s">
        <v>15407</v>
      </c>
      <c r="D3386" t="s">
        <v>1143</v>
      </c>
      <c r="E3386" t="s">
        <v>3701</v>
      </c>
      <c r="F3386" t="s">
        <v>7672</v>
      </c>
      <c r="G3386" t="s">
        <v>15374</v>
      </c>
      <c r="H3386" t="s">
        <v>10321</v>
      </c>
      <c r="I3386" t="s">
        <v>10322</v>
      </c>
      <c r="J3386" t="s">
        <v>8451</v>
      </c>
    </row>
    <row r="3387" spans="1:10" x14ac:dyDescent="0.25">
      <c r="A3387" t="s">
        <v>15408</v>
      </c>
      <c r="B3387">
        <v>12</v>
      </c>
      <c r="C3387" t="s">
        <v>15409</v>
      </c>
      <c r="D3387" t="s">
        <v>588</v>
      </c>
      <c r="E3387" t="s">
        <v>3701</v>
      </c>
      <c r="F3387" t="s">
        <v>7672</v>
      </c>
      <c r="G3387" t="s">
        <v>15374</v>
      </c>
      <c r="H3387" t="s">
        <v>10321</v>
      </c>
      <c r="I3387" t="s">
        <v>481</v>
      </c>
      <c r="J3387" t="s">
        <v>8451</v>
      </c>
    </row>
    <row r="3388" spans="1:10" x14ac:dyDescent="0.25">
      <c r="A3388" t="s">
        <v>15410</v>
      </c>
      <c r="B3388">
        <v>12</v>
      </c>
      <c r="C3388" t="s">
        <v>15411</v>
      </c>
      <c r="D3388" t="s">
        <v>229</v>
      </c>
      <c r="E3388" t="s">
        <v>3701</v>
      </c>
      <c r="F3388" t="s">
        <v>7672</v>
      </c>
      <c r="G3388" t="s">
        <v>15374</v>
      </c>
      <c r="H3388" t="s">
        <v>10321</v>
      </c>
      <c r="I3388" t="s">
        <v>10335</v>
      </c>
      <c r="J3388" t="s">
        <v>8451</v>
      </c>
    </row>
    <row r="3389" spans="1:10" x14ac:dyDescent="0.25">
      <c r="A3389" t="s">
        <v>15412</v>
      </c>
      <c r="B3389">
        <v>12</v>
      </c>
      <c r="C3389" t="s">
        <v>15413</v>
      </c>
      <c r="D3389" t="s">
        <v>301</v>
      </c>
      <c r="E3389" t="s">
        <v>3701</v>
      </c>
      <c r="F3389" t="s">
        <v>7672</v>
      </c>
      <c r="G3389" t="s">
        <v>15374</v>
      </c>
      <c r="H3389" t="s">
        <v>10321</v>
      </c>
      <c r="I3389" t="s">
        <v>15383</v>
      </c>
      <c r="J3389" t="s">
        <v>8451</v>
      </c>
    </row>
    <row r="3390" spans="1:10" x14ac:dyDescent="0.25">
      <c r="A3390" t="s">
        <v>3727</v>
      </c>
      <c r="B3390">
        <v>12</v>
      </c>
      <c r="C3390" t="s">
        <v>3729</v>
      </c>
      <c r="D3390" t="s">
        <v>613</v>
      </c>
      <c r="E3390" t="s">
        <v>3701</v>
      </c>
      <c r="F3390" t="s">
        <v>7672</v>
      </c>
      <c r="G3390" t="s">
        <v>15374</v>
      </c>
      <c r="H3390" t="s">
        <v>10321</v>
      </c>
      <c r="I3390" t="s">
        <v>10338</v>
      </c>
      <c r="J3390" t="s">
        <v>8451</v>
      </c>
    </row>
    <row r="3391" spans="1:10" x14ac:dyDescent="0.25">
      <c r="A3391" t="s">
        <v>15414</v>
      </c>
      <c r="B3391">
        <v>12</v>
      </c>
      <c r="C3391" t="s">
        <v>15415</v>
      </c>
      <c r="D3391" t="s">
        <v>1134</v>
      </c>
      <c r="E3391" t="s">
        <v>3701</v>
      </c>
      <c r="F3391" t="s">
        <v>7672</v>
      </c>
      <c r="G3391" t="s">
        <v>15374</v>
      </c>
      <c r="H3391" t="s">
        <v>10321</v>
      </c>
      <c r="I3391" t="s">
        <v>10330</v>
      </c>
      <c r="J3391" t="s">
        <v>8451</v>
      </c>
    </row>
    <row r="3392" spans="1:10" x14ac:dyDescent="0.25">
      <c r="A3392" t="s">
        <v>15416</v>
      </c>
      <c r="B3392">
        <v>12</v>
      </c>
      <c r="C3392" t="s">
        <v>15417</v>
      </c>
      <c r="D3392" t="s">
        <v>1621</v>
      </c>
      <c r="E3392" t="s">
        <v>3701</v>
      </c>
      <c r="F3392" t="s">
        <v>7672</v>
      </c>
      <c r="G3392" t="s">
        <v>15374</v>
      </c>
      <c r="H3392" t="s">
        <v>10321</v>
      </c>
      <c r="I3392" t="s">
        <v>10327</v>
      </c>
      <c r="J3392" t="s">
        <v>8451</v>
      </c>
    </row>
    <row r="3393" spans="1:10" x14ac:dyDescent="0.25">
      <c r="A3393" t="s">
        <v>15418</v>
      </c>
      <c r="B3393">
        <v>12</v>
      </c>
      <c r="C3393" t="s">
        <v>15419</v>
      </c>
      <c r="D3393" t="s">
        <v>1949</v>
      </c>
      <c r="E3393" t="s">
        <v>3701</v>
      </c>
      <c r="F3393" t="s">
        <v>7672</v>
      </c>
      <c r="G3393" t="s">
        <v>15374</v>
      </c>
      <c r="H3393" t="s">
        <v>10321</v>
      </c>
      <c r="I3393" t="s">
        <v>145</v>
      </c>
      <c r="J3393" t="s">
        <v>8451</v>
      </c>
    </row>
    <row r="3394" spans="1:10" x14ac:dyDescent="0.25">
      <c r="A3394" t="s">
        <v>15420</v>
      </c>
      <c r="B3394">
        <v>13.992000000000001</v>
      </c>
      <c r="C3394" t="s">
        <v>15421</v>
      </c>
      <c r="D3394" t="s">
        <v>366</v>
      </c>
      <c r="E3394" t="s">
        <v>15422</v>
      </c>
      <c r="F3394" t="s">
        <v>7672</v>
      </c>
      <c r="G3394" t="s">
        <v>15423</v>
      </c>
      <c r="H3394" t="s">
        <v>7674</v>
      </c>
      <c r="I3394" t="s">
        <v>15424</v>
      </c>
      <c r="J3394" t="s">
        <v>9110</v>
      </c>
    </row>
    <row r="3395" spans="1:10" x14ac:dyDescent="0.25">
      <c r="A3395" t="s">
        <v>15425</v>
      </c>
      <c r="B3395">
        <v>13.992000000000001</v>
      </c>
      <c r="C3395" t="s">
        <v>15426</v>
      </c>
      <c r="D3395" t="s">
        <v>88</v>
      </c>
      <c r="E3395" t="s">
        <v>15422</v>
      </c>
      <c r="F3395" t="s">
        <v>7672</v>
      </c>
      <c r="G3395" t="s">
        <v>15423</v>
      </c>
      <c r="H3395" t="s">
        <v>7674</v>
      </c>
      <c r="I3395" t="s">
        <v>15427</v>
      </c>
      <c r="J3395" t="s">
        <v>9110</v>
      </c>
    </row>
    <row r="3396" spans="1:10" x14ac:dyDescent="0.25">
      <c r="A3396" t="s">
        <v>15428</v>
      </c>
      <c r="B3396">
        <v>13.992000000000001</v>
      </c>
      <c r="C3396" t="s">
        <v>15429</v>
      </c>
      <c r="D3396" t="s">
        <v>113</v>
      </c>
      <c r="E3396" t="s">
        <v>15422</v>
      </c>
      <c r="F3396" t="s">
        <v>7672</v>
      </c>
      <c r="G3396" t="s">
        <v>15423</v>
      </c>
      <c r="H3396" t="s">
        <v>7674</v>
      </c>
      <c r="I3396" t="s">
        <v>15430</v>
      </c>
      <c r="J3396" t="s">
        <v>9110</v>
      </c>
    </row>
    <row r="3397" spans="1:10" x14ac:dyDescent="0.25">
      <c r="A3397" t="s">
        <v>15431</v>
      </c>
      <c r="B3397">
        <v>13.992000000000001</v>
      </c>
      <c r="C3397" t="s">
        <v>15432</v>
      </c>
      <c r="D3397" t="s">
        <v>118</v>
      </c>
      <c r="E3397" t="s">
        <v>15422</v>
      </c>
      <c r="F3397" t="s">
        <v>7672</v>
      </c>
      <c r="G3397" t="s">
        <v>15423</v>
      </c>
      <c r="H3397" t="s">
        <v>7674</v>
      </c>
      <c r="I3397" t="s">
        <v>15427</v>
      </c>
      <c r="J3397" t="s">
        <v>11368</v>
      </c>
    </row>
    <row r="3398" spans="1:10" x14ac:dyDescent="0.25">
      <c r="A3398" t="s">
        <v>15433</v>
      </c>
      <c r="B3398">
        <v>13.992000000000001</v>
      </c>
      <c r="C3398" t="s">
        <v>15434</v>
      </c>
      <c r="D3398" t="s">
        <v>698</v>
      </c>
      <c r="E3398" t="s">
        <v>15422</v>
      </c>
      <c r="F3398" t="s">
        <v>7672</v>
      </c>
      <c r="G3398" t="s">
        <v>15423</v>
      </c>
      <c r="H3398" t="s">
        <v>7674</v>
      </c>
      <c r="I3398" t="s">
        <v>15424</v>
      </c>
      <c r="J3398" t="s">
        <v>11368</v>
      </c>
    </row>
    <row r="3399" spans="1:10" x14ac:dyDescent="0.25">
      <c r="A3399" t="s">
        <v>15435</v>
      </c>
      <c r="B3399">
        <v>13.992000000000001</v>
      </c>
      <c r="C3399" t="s">
        <v>15436</v>
      </c>
      <c r="D3399" t="s">
        <v>396</v>
      </c>
      <c r="E3399" t="s">
        <v>15422</v>
      </c>
      <c r="F3399" t="s">
        <v>7672</v>
      </c>
      <c r="G3399" t="s">
        <v>15423</v>
      </c>
      <c r="H3399" t="s">
        <v>7674</v>
      </c>
      <c r="I3399" t="s">
        <v>15430</v>
      </c>
      <c r="J3399" t="s">
        <v>11368</v>
      </c>
    </row>
    <row r="3400" spans="1:10" x14ac:dyDescent="0.25">
      <c r="A3400" t="s">
        <v>15437</v>
      </c>
      <c r="B3400">
        <v>13.992000000000001</v>
      </c>
      <c r="C3400" t="s">
        <v>15438</v>
      </c>
      <c r="D3400" t="s">
        <v>396</v>
      </c>
      <c r="E3400" t="s">
        <v>15422</v>
      </c>
      <c r="F3400" t="s">
        <v>7672</v>
      </c>
      <c r="G3400" t="s">
        <v>15423</v>
      </c>
      <c r="H3400" t="s">
        <v>7674</v>
      </c>
      <c r="I3400" t="s">
        <v>15424</v>
      </c>
      <c r="J3400" t="s">
        <v>11373</v>
      </c>
    </row>
    <row r="3401" spans="1:10" x14ac:dyDescent="0.25">
      <c r="A3401" t="s">
        <v>15439</v>
      </c>
      <c r="B3401">
        <v>13.992000000000001</v>
      </c>
      <c r="C3401" t="s">
        <v>15440</v>
      </c>
      <c r="D3401" t="s">
        <v>633</v>
      </c>
      <c r="E3401" t="s">
        <v>15422</v>
      </c>
      <c r="F3401" t="s">
        <v>7672</v>
      </c>
      <c r="G3401" t="s">
        <v>15423</v>
      </c>
      <c r="H3401" t="s">
        <v>7674</v>
      </c>
      <c r="I3401" t="s">
        <v>15427</v>
      </c>
      <c r="J3401" t="s">
        <v>11373</v>
      </c>
    </row>
    <row r="3402" spans="1:10" x14ac:dyDescent="0.25">
      <c r="A3402" t="s">
        <v>15441</v>
      </c>
      <c r="B3402">
        <v>13.992000000000001</v>
      </c>
      <c r="C3402" t="s">
        <v>15442</v>
      </c>
      <c r="D3402" t="s">
        <v>633</v>
      </c>
      <c r="E3402" t="s">
        <v>15422</v>
      </c>
      <c r="F3402" t="s">
        <v>7672</v>
      </c>
      <c r="G3402" t="s">
        <v>15423</v>
      </c>
      <c r="H3402" t="s">
        <v>7674</v>
      </c>
      <c r="I3402" t="s">
        <v>15430</v>
      </c>
      <c r="J3402" t="s">
        <v>11373</v>
      </c>
    </row>
    <row r="3403" spans="1:10" x14ac:dyDescent="0.25">
      <c r="A3403" t="s">
        <v>15443</v>
      </c>
      <c r="B3403">
        <v>13.992000000000001</v>
      </c>
      <c r="C3403" t="s">
        <v>15444</v>
      </c>
      <c r="D3403" t="s">
        <v>705</v>
      </c>
      <c r="E3403" t="s">
        <v>15422</v>
      </c>
      <c r="F3403" t="s">
        <v>7672</v>
      </c>
      <c r="G3403" t="s">
        <v>15423</v>
      </c>
      <c r="H3403" t="s">
        <v>7674</v>
      </c>
      <c r="I3403" t="s">
        <v>15427</v>
      </c>
      <c r="J3403" t="s">
        <v>11376</v>
      </c>
    </row>
    <row r="3404" spans="1:10" x14ac:dyDescent="0.25">
      <c r="A3404" t="s">
        <v>15445</v>
      </c>
      <c r="B3404">
        <v>13.992000000000001</v>
      </c>
      <c r="C3404" t="s">
        <v>15446</v>
      </c>
      <c r="D3404" t="s">
        <v>4270</v>
      </c>
      <c r="E3404" t="s">
        <v>15422</v>
      </c>
      <c r="F3404" t="s">
        <v>7672</v>
      </c>
      <c r="G3404" t="s">
        <v>15423</v>
      </c>
      <c r="H3404" t="s">
        <v>7674</v>
      </c>
      <c r="I3404" t="s">
        <v>15424</v>
      </c>
      <c r="J3404" t="s">
        <v>11376</v>
      </c>
    </row>
    <row r="3405" spans="1:10" x14ac:dyDescent="0.25">
      <c r="A3405" t="s">
        <v>15447</v>
      </c>
      <c r="B3405">
        <v>13.992000000000001</v>
      </c>
      <c r="C3405" t="s">
        <v>15448</v>
      </c>
      <c r="D3405" t="s">
        <v>3184</v>
      </c>
      <c r="E3405" t="s">
        <v>15422</v>
      </c>
      <c r="F3405" t="s">
        <v>7672</v>
      </c>
      <c r="G3405" t="s">
        <v>15423</v>
      </c>
      <c r="H3405" t="s">
        <v>7674</v>
      </c>
      <c r="I3405" t="s">
        <v>15430</v>
      </c>
      <c r="J3405" t="s">
        <v>11376</v>
      </c>
    </row>
    <row r="3406" spans="1:10" x14ac:dyDescent="0.25">
      <c r="A3406" t="s">
        <v>15449</v>
      </c>
      <c r="B3406">
        <v>13.992000000000001</v>
      </c>
      <c r="C3406" t="s">
        <v>15450</v>
      </c>
      <c r="D3406" t="s">
        <v>1097</v>
      </c>
      <c r="E3406" t="s">
        <v>15422</v>
      </c>
      <c r="F3406" t="s">
        <v>7672</v>
      </c>
      <c r="G3406" t="s">
        <v>15423</v>
      </c>
      <c r="H3406" t="s">
        <v>7674</v>
      </c>
      <c r="I3406" t="s">
        <v>15430</v>
      </c>
      <c r="J3406" t="s">
        <v>9114</v>
      </c>
    </row>
    <row r="3407" spans="1:10" x14ac:dyDescent="0.25">
      <c r="A3407" t="s">
        <v>15451</v>
      </c>
      <c r="B3407">
        <v>13.992000000000001</v>
      </c>
      <c r="C3407" t="s">
        <v>15452</v>
      </c>
      <c r="D3407" t="s">
        <v>113</v>
      </c>
      <c r="E3407" t="s">
        <v>15422</v>
      </c>
      <c r="F3407" t="s">
        <v>7672</v>
      </c>
      <c r="G3407" t="s">
        <v>15423</v>
      </c>
      <c r="H3407" t="s">
        <v>7674</v>
      </c>
      <c r="I3407" t="s">
        <v>15427</v>
      </c>
      <c r="J3407" t="s">
        <v>9114</v>
      </c>
    </row>
    <row r="3408" spans="1:10" x14ac:dyDescent="0.25">
      <c r="A3408" t="s">
        <v>15453</v>
      </c>
      <c r="B3408">
        <v>13.992000000000001</v>
      </c>
      <c r="C3408" t="s">
        <v>15454</v>
      </c>
      <c r="D3408" t="s">
        <v>698</v>
      </c>
      <c r="E3408" t="s">
        <v>15422</v>
      </c>
      <c r="F3408" t="s">
        <v>7672</v>
      </c>
      <c r="G3408" t="s">
        <v>15423</v>
      </c>
      <c r="H3408" t="s">
        <v>7674</v>
      </c>
      <c r="I3408" t="s">
        <v>15424</v>
      </c>
      <c r="J3408" t="s">
        <v>9114</v>
      </c>
    </row>
    <row r="3409" spans="1:10" x14ac:dyDescent="0.25">
      <c r="A3409" t="s">
        <v>15455</v>
      </c>
      <c r="B3409">
        <v>11.696</v>
      </c>
      <c r="C3409" t="s">
        <v>15456</v>
      </c>
      <c r="D3409" t="s">
        <v>1852</v>
      </c>
      <c r="E3409" t="s">
        <v>15457</v>
      </c>
      <c r="F3409" t="s">
        <v>7672</v>
      </c>
      <c r="G3409" t="s">
        <v>15458</v>
      </c>
      <c r="H3409" t="s">
        <v>7954</v>
      </c>
      <c r="I3409" t="s">
        <v>15459</v>
      </c>
      <c r="J3409" t="s">
        <v>7981</v>
      </c>
    </row>
    <row r="3410" spans="1:10" x14ac:dyDescent="0.25">
      <c r="A3410" t="s">
        <v>15460</v>
      </c>
      <c r="B3410">
        <v>11.696</v>
      </c>
      <c r="C3410" t="s">
        <v>15461</v>
      </c>
      <c r="D3410" t="s">
        <v>1512</v>
      </c>
      <c r="E3410" t="s">
        <v>15457</v>
      </c>
      <c r="F3410" t="s">
        <v>7672</v>
      </c>
      <c r="G3410" t="s">
        <v>15458</v>
      </c>
      <c r="H3410" t="s">
        <v>7954</v>
      </c>
      <c r="I3410" t="s">
        <v>15459</v>
      </c>
      <c r="J3410" t="s">
        <v>7984</v>
      </c>
    </row>
    <row r="3411" spans="1:10" x14ac:dyDescent="0.25">
      <c r="A3411" t="s">
        <v>15462</v>
      </c>
      <c r="B3411">
        <v>10.8</v>
      </c>
      <c r="C3411" t="s">
        <v>15463</v>
      </c>
      <c r="D3411" t="s">
        <v>15464</v>
      </c>
      <c r="E3411" t="s">
        <v>15465</v>
      </c>
      <c r="F3411" t="s">
        <v>7672</v>
      </c>
      <c r="G3411" t="s">
        <v>15466</v>
      </c>
      <c r="H3411" t="s">
        <v>8779</v>
      </c>
      <c r="I3411" t="s">
        <v>76</v>
      </c>
      <c r="J3411" t="s">
        <v>10131</v>
      </c>
    </row>
    <row r="3412" spans="1:10" x14ac:dyDescent="0.25">
      <c r="A3412" t="s">
        <v>15467</v>
      </c>
      <c r="B3412">
        <v>10.8</v>
      </c>
      <c r="C3412" t="s">
        <v>15468</v>
      </c>
      <c r="D3412" t="s">
        <v>15469</v>
      </c>
      <c r="E3412" t="s">
        <v>15465</v>
      </c>
      <c r="F3412" t="s">
        <v>7672</v>
      </c>
      <c r="G3412" t="s">
        <v>15466</v>
      </c>
      <c r="H3412" t="s">
        <v>8779</v>
      </c>
      <c r="I3412" t="s">
        <v>76</v>
      </c>
      <c r="J3412" t="s">
        <v>10137</v>
      </c>
    </row>
    <row r="3413" spans="1:10" x14ac:dyDescent="0.25">
      <c r="A3413" t="s">
        <v>15470</v>
      </c>
      <c r="B3413">
        <v>11.2</v>
      </c>
      <c r="C3413" t="s">
        <v>15471</v>
      </c>
      <c r="D3413" t="s">
        <v>255</v>
      </c>
      <c r="E3413" t="s">
        <v>15472</v>
      </c>
      <c r="F3413" t="s">
        <v>7672</v>
      </c>
      <c r="G3413" t="s">
        <v>15473</v>
      </c>
      <c r="H3413" t="s">
        <v>15474</v>
      </c>
      <c r="I3413" t="s">
        <v>15475</v>
      </c>
      <c r="J3413" t="s">
        <v>255</v>
      </c>
    </row>
    <row r="3414" spans="1:10" x14ac:dyDescent="0.25">
      <c r="A3414" t="s">
        <v>15476</v>
      </c>
      <c r="B3414">
        <v>11.2</v>
      </c>
      <c r="C3414" t="s">
        <v>15477</v>
      </c>
      <c r="D3414" t="s">
        <v>250</v>
      </c>
      <c r="E3414" t="s">
        <v>15472</v>
      </c>
      <c r="F3414" t="s">
        <v>7672</v>
      </c>
      <c r="G3414" t="s">
        <v>15473</v>
      </c>
      <c r="H3414" t="s">
        <v>15474</v>
      </c>
      <c r="I3414" t="s">
        <v>15475</v>
      </c>
      <c r="J3414" t="s">
        <v>277</v>
      </c>
    </row>
    <row r="3415" spans="1:10" x14ac:dyDescent="0.25">
      <c r="A3415" t="s">
        <v>15478</v>
      </c>
      <c r="B3415">
        <v>11.2</v>
      </c>
      <c r="C3415" t="s">
        <v>15479</v>
      </c>
      <c r="D3415" t="s">
        <v>106</v>
      </c>
      <c r="E3415" t="s">
        <v>15472</v>
      </c>
      <c r="F3415" t="s">
        <v>7672</v>
      </c>
      <c r="G3415" t="s">
        <v>15473</v>
      </c>
      <c r="H3415" t="s">
        <v>15474</v>
      </c>
      <c r="I3415" t="s">
        <v>15475</v>
      </c>
      <c r="J3415" t="s">
        <v>290</v>
      </c>
    </row>
    <row r="3416" spans="1:10" x14ac:dyDescent="0.25">
      <c r="A3416" t="s">
        <v>15480</v>
      </c>
      <c r="B3416">
        <v>11.2</v>
      </c>
      <c r="C3416" t="s">
        <v>15481</v>
      </c>
      <c r="D3416" t="s">
        <v>2879</v>
      </c>
      <c r="E3416" t="s">
        <v>15472</v>
      </c>
      <c r="F3416" t="s">
        <v>7672</v>
      </c>
      <c r="G3416" t="s">
        <v>15473</v>
      </c>
      <c r="H3416" t="s">
        <v>15474</v>
      </c>
      <c r="I3416" t="s">
        <v>15475</v>
      </c>
      <c r="J3416" t="s">
        <v>15482</v>
      </c>
    </row>
    <row r="3417" spans="1:10" x14ac:dyDescent="0.25">
      <c r="A3417" t="s">
        <v>15483</v>
      </c>
      <c r="B3417">
        <v>11.2</v>
      </c>
      <c r="C3417" t="s">
        <v>15484</v>
      </c>
      <c r="D3417" t="s">
        <v>366</v>
      </c>
      <c r="E3417" t="s">
        <v>15472</v>
      </c>
      <c r="F3417" t="s">
        <v>7672</v>
      </c>
      <c r="G3417" t="s">
        <v>15473</v>
      </c>
      <c r="H3417" t="s">
        <v>15474</v>
      </c>
      <c r="I3417" t="s">
        <v>15475</v>
      </c>
      <c r="J3417" t="s">
        <v>15485</v>
      </c>
    </row>
    <row r="3418" spans="1:10" x14ac:dyDescent="0.25">
      <c r="A3418" t="s">
        <v>15486</v>
      </c>
      <c r="B3418">
        <v>11.2</v>
      </c>
      <c r="C3418" t="s">
        <v>15487</v>
      </c>
      <c r="D3418" t="s">
        <v>576</v>
      </c>
      <c r="E3418" t="s">
        <v>15472</v>
      </c>
      <c r="F3418" t="s">
        <v>7672</v>
      </c>
      <c r="G3418" t="s">
        <v>15473</v>
      </c>
      <c r="H3418" t="s">
        <v>15474</v>
      </c>
      <c r="I3418" t="s">
        <v>15475</v>
      </c>
      <c r="J3418" t="s">
        <v>15488</v>
      </c>
    </row>
    <row r="3419" spans="1:10" x14ac:dyDescent="0.25">
      <c r="A3419" t="s">
        <v>3731</v>
      </c>
      <c r="B3419">
        <v>9.0080000000000009</v>
      </c>
      <c r="C3419" t="s">
        <v>3733</v>
      </c>
      <c r="D3419" t="s">
        <v>53</v>
      </c>
      <c r="E3419" t="s">
        <v>3734</v>
      </c>
      <c r="F3419" t="s">
        <v>7672</v>
      </c>
      <c r="G3419" t="s">
        <v>15489</v>
      </c>
      <c r="H3419" t="s">
        <v>15490</v>
      </c>
      <c r="I3419" t="s">
        <v>15491</v>
      </c>
      <c r="J3419" t="s">
        <v>342</v>
      </c>
    </row>
    <row r="3420" spans="1:10" x14ac:dyDescent="0.25">
      <c r="A3420" t="s">
        <v>15492</v>
      </c>
      <c r="B3420">
        <v>11.696</v>
      </c>
      <c r="C3420" t="s">
        <v>15493</v>
      </c>
      <c r="D3420" t="s">
        <v>53</v>
      </c>
      <c r="E3420" t="s">
        <v>15494</v>
      </c>
      <c r="F3420" t="s">
        <v>7672</v>
      </c>
      <c r="G3420" t="s">
        <v>15495</v>
      </c>
      <c r="H3420" t="s">
        <v>9127</v>
      </c>
      <c r="I3420" t="s">
        <v>11508</v>
      </c>
      <c r="J3420" t="s">
        <v>88</v>
      </c>
    </row>
    <row r="3421" spans="1:10" x14ac:dyDescent="0.25">
      <c r="A3421" t="s">
        <v>15496</v>
      </c>
      <c r="B3421">
        <v>5.120000000000001</v>
      </c>
      <c r="C3421" t="s">
        <v>15497</v>
      </c>
      <c r="D3421" t="s">
        <v>626</v>
      </c>
      <c r="E3421" t="s">
        <v>15498</v>
      </c>
      <c r="F3421" t="s">
        <v>7672</v>
      </c>
      <c r="G3421" t="s">
        <v>15499</v>
      </c>
      <c r="H3421" t="s">
        <v>7674</v>
      </c>
      <c r="I3421" t="s">
        <v>1675</v>
      </c>
      <c r="J3421" t="s">
        <v>7981</v>
      </c>
    </row>
    <row r="3422" spans="1:10" x14ac:dyDescent="0.25">
      <c r="A3422" t="s">
        <v>15500</v>
      </c>
      <c r="B3422">
        <v>5.120000000000001</v>
      </c>
      <c r="C3422" t="s">
        <v>15501</v>
      </c>
      <c r="D3422" t="s">
        <v>3378</v>
      </c>
      <c r="E3422" t="s">
        <v>15498</v>
      </c>
      <c r="F3422" t="s">
        <v>7672</v>
      </c>
      <c r="G3422" t="s">
        <v>15499</v>
      </c>
      <c r="H3422" t="s">
        <v>7674</v>
      </c>
      <c r="I3422" t="s">
        <v>5986</v>
      </c>
      <c r="J3422" t="s">
        <v>7981</v>
      </c>
    </row>
    <row r="3423" spans="1:10" x14ac:dyDescent="0.25">
      <c r="A3423" t="s">
        <v>15502</v>
      </c>
      <c r="B3423">
        <v>5.120000000000001</v>
      </c>
      <c r="C3423" t="s">
        <v>15503</v>
      </c>
      <c r="D3423" t="s">
        <v>4114</v>
      </c>
      <c r="E3423" t="s">
        <v>15498</v>
      </c>
      <c r="F3423" t="s">
        <v>7672</v>
      </c>
      <c r="G3423" t="s">
        <v>15499</v>
      </c>
      <c r="H3423" t="s">
        <v>7674</v>
      </c>
      <c r="I3423" t="s">
        <v>1675</v>
      </c>
      <c r="J3423" t="s">
        <v>7984</v>
      </c>
    </row>
    <row r="3424" spans="1:10" x14ac:dyDescent="0.25">
      <c r="A3424" t="s">
        <v>15504</v>
      </c>
      <c r="B3424">
        <v>5.120000000000001</v>
      </c>
      <c r="C3424" t="s">
        <v>15505</v>
      </c>
      <c r="D3424" t="s">
        <v>1893</v>
      </c>
      <c r="E3424" t="s">
        <v>15498</v>
      </c>
      <c r="F3424" t="s">
        <v>7672</v>
      </c>
      <c r="G3424" t="s">
        <v>15499</v>
      </c>
      <c r="H3424" t="s">
        <v>7674</v>
      </c>
      <c r="I3424" t="s">
        <v>5986</v>
      </c>
      <c r="J3424" t="s">
        <v>7984</v>
      </c>
    </row>
    <row r="3425" spans="1:10" x14ac:dyDescent="0.25">
      <c r="A3425" t="s">
        <v>15506</v>
      </c>
      <c r="B3425">
        <v>5.120000000000001</v>
      </c>
      <c r="C3425" t="s">
        <v>15507</v>
      </c>
      <c r="D3425" t="s">
        <v>3815</v>
      </c>
      <c r="E3425" t="s">
        <v>15498</v>
      </c>
      <c r="F3425" t="s">
        <v>7672</v>
      </c>
      <c r="G3425" t="s">
        <v>15499</v>
      </c>
      <c r="H3425" t="s">
        <v>7674</v>
      </c>
      <c r="I3425" t="s">
        <v>1675</v>
      </c>
      <c r="J3425" t="s">
        <v>7987</v>
      </c>
    </row>
    <row r="3426" spans="1:10" x14ac:dyDescent="0.25">
      <c r="A3426" t="s">
        <v>15508</v>
      </c>
      <c r="B3426">
        <v>5.120000000000001</v>
      </c>
      <c r="C3426" t="s">
        <v>15509</v>
      </c>
      <c r="D3426" t="s">
        <v>8111</v>
      </c>
      <c r="E3426" t="s">
        <v>15498</v>
      </c>
      <c r="F3426" t="s">
        <v>7672</v>
      </c>
      <c r="G3426" t="s">
        <v>15499</v>
      </c>
      <c r="H3426" t="s">
        <v>7674</v>
      </c>
      <c r="I3426" t="s">
        <v>5986</v>
      </c>
      <c r="J3426" t="s">
        <v>7987</v>
      </c>
    </row>
    <row r="3427" spans="1:10" x14ac:dyDescent="0.25">
      <c r="A3427" t="s">
        <v>15510</v>
      </c>
      <c r="B3427">
        <v>5.120000000000001</v>
      </c>
      <c r="C3427" t="s">
        <v>15511</v>
      </c>
      <c r="D3427" t="s">
        <v>245</v>
      </c>
      <c r="E3427" t="s">
        <v>15498</v>
      </c>
      <c r="F3427" t="s">
        <v>7672</v>
      </c>
      <c r="G3427" t="s">
        <v>15499</v>
      </c>
      <c r="H3427" t="s">
        <v>7674</v>
      </c>
      <c r="I3427" t="s">
        <v>1675</v>
      </c>
      <c r="J3427" t="s">
        <v>8001</v>
      </c>
    </row>
    <row r="3428" spans="1:10" x14ac:dyDescent="0.25">
      <c r="A3428" t="s">
        <v>15512</v>
      </c>
      <c r="B3428">
        <v>5.120000000000001</v>
      </c>
      <c r="C3428" t="s">
        <v>15513</v>
      </c>
      <c r="D3428" t="s">
        <v>715</v>
      </c>
      <c r="E3428" t="s">
        <v>15498</v>
      </c>
      <c r="F3428" t="s">
        <v>7672</v>
      </c>
      <c r="G3428" t="s">
        <v>15499</v>
      </c>
      <c r="H3428" t="s">
        <v>7674</v>
      </c>
      <c r="I3428" t="s">
        <v>5986</v>
      </c>
      <c r="J3428" t="s">
        <v>8001</v>
      </c>
    </row>
    <row r="3429" spans="1:10" x14ac:dyDescent="0.25">
      <c r="A3429" t="s">
        <v>15514</v>
      </c>
      <c r="B3429">
        <v>5.120000000000001</v>
      </c>
      <c r="C3429" t="s">
        <v>15515</v>
      </c>
      <c r="D3429" t="s">
        <v>865</v>
      </c>
      <c r="E3429" t="s">
        <v>15498</v>
      </c>
      <c r="F3429" t="s">
        <v>7672</v>
      </c>
      <c r="G3429" t="s">
        <v>15499</v>
      </c>
      <c r="H3429" t="s">
        <v>7674</v>
      </c>
      <c r="I3429" t="s">
        <v>5986</v>
      </c>
      <c r="J3429" t="s">
        <v>8422</v>
      </c>
    </row>
    <row r="3430" spans="1:10" x14ac:dyDescent="0.25">
      <c r="A3430" t="s">
        <v>15516</v>
      </c>
      <c r="B3430">
        <v>5.120000000000001</v>
      </c>
      <c r="C3430" t="s">
        <v>15517</v>
      </c>
      <c r="D3430" t="s">
        <v>664</v>
      </c>
      <c r="E3430" t="s">
        <v>15498</v>
      </c>
      <c r="F3430" t="s">
        <v>7672</v>
      </c>
      <c r="G3430" t="s">
        <v>15499</v>
      </c>
      <c r="H3430" t="s">
        <v>7674</v>
      </c>
      <c r="I3430" t="s">
        <v>1675</v>
      </c>
      <c r="J3430" t="s">
        <v>8422</v>
      </c>
    </row>
    <row r="3431" spans="1:10" x14ac:dyDescent="0.25">
      <c r="A3431" t="s">
        <v>15518</v>
      </c>
      <c r="B3431">
        <v>5.120000000000001</v>
      </c>
      <c r="C3431" t="s">
        <v>15519</v>
      </c>
      <c r="D3431" t="s">
        <v>4270</v>
      </c>
      <c r="E3431" t="s">
        <v>15498</v>
      </c>
      <c r="F3431" t="s">
        <v>7672</v>
      </c>
      <c r="G3431" t="s">
        <v>15499</v>
      </c>
      <c r="H3431" t="s">
        <v>7674</v>
      </c>
      <c r="I3431" t="s">
        <v>5986</v>
      </c>
      <c r="J3431" t="s">
        <v>11023</v>
      </c>
    </row>
    <row r="3432" spans="1:10" x14ac:dyDescent="0.25">
      <c r="A3432" t="s">
        <v>15520</v>
      </c>
      <c r="B3432">
        <v>5.120000000000001</v>
      </c>
      <c r="C3432" t="s">
        <v>15521</v>
      </c>
      <c r="D3432" t="s">
        <v>2697</v>
      </c>
      <c r="E3432" t="s">
        <v>15498</v>
      </c>
      <c r="F3432" t="s">
        <v>7672</v>
      </c>
      <c r="G3432" t="s">
        <v>15499</v>
      </c>
      <c r="H3432" t="s">
        <v>7674</v>
      </c>
      <c r="I3432" t="s">
        <v>1675</v>
      </c>
      <c r="J3432" t="s">
        <v>11023</v>
      </c>
    </row>
    <row r="3433" spans="1:10" x14ac:dyDescent="0.25">
      <c r="A3433" t="s">
        <v>15522</v>
      </c>
      <c r="B3433">
        <v>5.120000000000001</v>
      </c>
      <c r="C3433" t="s">
        <v>15523</v>
      </c>
      <c r="D3433" t="s">
        <v>1236</v>
      </c>
      <c r="E3433" t="s">
        <v>15498</v>
      </c>
      <c r="F3433" t="s">
        <v>7672</v>
      </c>
      <c r="G3433" t="s">
        <v>15499</v>
      </c>
      <c r="H3433" t="s">
        <v>7674</v>
      </c>
      <c r="I3433" t="s">
        <v>5986</v>
      </c>
      <c r="J3433" t="s">
        <v>11030</v>
      </c>
    </row>
    <row r="3434" spans="1:10" x14ac:dyDescent="0.25">
      <c r="A3434" t="s">
        <v>15524</v>
      </c>
      <c r="B3434">
        <v>5.120000000000001</v>
      </c>
      <c r="C3434" t="s">
        <v>15525</v>
      </c>
      <c r="D3434" t="s">
        <v>366</v>
      </c>
      <c r="E3434" t="s">
        <v>15498</v>
      </c>
      <c r="F3434" t="s">
        <v>7672</v>
      </c>
      <c r="G3434" t="s">
        <v>15499</v>
      </c>
      <c r="H3434" t="s">
        <v>7674</v>
      </c>
      <c r="I3434" t="s">
        <v>1675</v>
      </c>
      <c r="J3434" t="s">
        <v>11030</v>
      </c>
    </row>
    <row r="3435" spans="1:10" x14ac:dyDescent="0.25">
      <c r="A3435" t="s">
        <v>15526</v>
      </c>
      <c r="B3435">
        <v>8.3920000000000012</v>
      </c>
      <c r="C3435" t="s">
        <v>15527</v>
      </c>
      <c r="D3435" t="s">
        <v>282</v>
      </c>
      <c r="E3435" t="s">
        <v>15528</v>
      </c>
      <c r="F3435" t="s">
        <v>7672</v>
      </c>
      <c r="G3435" t="s">
        <v>15529</v>
      </c>
      <c r="H3435" t="s">
        <v>7974</v>
      </c>
      <c r="I3435" t="s">
        <v>76</v>
      </c>
      <c r="J3435" t="s">
        <v>9107</v>
      </c>
    </row>
    <row r="3436" spans="1:10" x14ac:dyDescent="0.25">
      <c r="A3436" t="s">
        <v>15530</v>
      </c>
      <c r="B3436">
        <v>8.3920000000000012</v>
      </c>
      <c r="C3436" t="s">
        <v>15531</v>
      </c>
      <c r="D3436" t="s">
        <v>698</v>
      </c>
      <c r="E3436" t="s">
        <v>15528</v>
      </c>
      <c r="F3436" t="s">
        <v>7672</v>
      </c>
      <c r="G3436" t="s">
        <v>15529</v>
      </c>
      <c r="H3436" t="s">
        <v>7974</v>
      </c>
      <c r="I3436" t="s">
        <v>15532</v>
      </c>
      <c r="J3436" t="s">
        <v>9107</v>
      </c>
    </row>
    <row r="3437" spans="1:10" x14ac:dyDescent="0.25">
      <c r="A3437" t="s">
        <v>15533</v>
      </c>
      <c r="B3437">
        <v>8.3920000000000012</v>
      </c>
      <c r="C3437" t="s">
        <v>15534</v>
      </c>
      <c r="D3437" t="s">
        <v>164</v>
      </c>
      <c r="E3437" t="s">
        <v>15528</v>
      </c>
      <c r="F3437" t="s">
        <v>7672</v>
      </c>
      <c r="G3437" t="s">
        <v>15529</v>
      </c>
      <c r="H3437" t="s">
        <v>7974</v>
      </c>
      <c r="I3437" t="s">
        <v>15532</v>
      </c>
      <c r="J3437" t="s">
        <v>9110</v>
      </c>
    </row>
    <row r="3438" spans="1:10" x14ac:dyDescent="0.25">
      <c r="A3438" t="s">
        <v>15535</v>
      </c>
      <c r="B3438">
        <v>8.3920000000000012</v>
      </c>
      <c r="C3438" t="s">
        <v>15536</v>
      </c>
      <c r="D3438" t="s">
        <v>229</v>
      </c>
      <c r="E3438" t="s">
        <v>15528</v>
      </c>
      <c r="F3438" t="s">
        <v>7672</v>
      </c>
      <c r="G3438" t="s">
        <v>15529</v>
      </c>
      <c r="H3438" t="s">
        <v>7974</v>
      </c>
      <c r="I3438" t="s">
        <v>15532</v>
      </c>
      <c r="J3438" t="s">
        <v>11368</v>
      </c>
    </row>
    <row r="3439" spans="1:10" x14ac:dyDescent="0.25">
      <c r="A3439" t="s">
        <v>15537</v>
      </c>
      <c r="B3439">
        <v>8.3920000000000012</v>
      </c>
      <c r="C3439" t="s">
        <v>15538</v>
      </c>
      <c r="D3439" t="s">
        <v>875</v>
      </c>
      <c r="E3439" t="s">
        <v>15528</v>
      </c>
      <c r="F3439" t="s">
        <v>7672</v>
      </c>
      <c r="G3439" t="s">
        <v>15529</v>
      </c>
      <c r="H3439" t="s">
        <v>7974</v>
      </c>
      <c r="I3439" t="s">
        <v>15532</v>
      </c>
      <c r="J3439" t="s">
        <v>11373</v>
      </c>
    </row>
    <row r="3440" spans="1:10" x14ac:dyDescent="0.25">
      <c r="A3440" t="s">
        <v>15539</v>
      </c>
      <c r="B3440">
        <v>8.3920000000000012</v>
      </c>
      <c r="C3440" t="s">
        <v>15540</v>
      </c>
      <c r="D3440" t="s">
        <v>2879</v>
      </c>
      <c r="E3440" t="s">
        <v>15528</v>
      </c>
      <c r="F3440" t="s">
        <v>7672</v>
      </c>
      <c r="G3440" t="s">
        <v>15529</v>
      </c>
      <c r="H3440" t="s">
        <v>7974</v>
      </c>
      <c r="I3440" t="s">
        <v>15532</v>
      </c>
      <c r="J3440" t="s">
        <v>11376</v>
      </c>
    </row>
    <row r="3441" spans="1:10" x14ac:dyDescent="0.25">
      <c r="A3441" t="s">
        <v>15541</v>
      </c>
      <c r="B3441">
        <v>8.3920000000000012</v>
      </c>
      <c r="C3441" t="s">
        <v>15542</v>
      </c>
      <c r="D3441" t="s">
        <v>164</v>
      </c>
      <c r="E3441" t="s">
        <v>15528</v>
      </c>
      <c r="F3441" t="s">
        <v>7672</v>
      </c>
      <c r="G3441" t="s">
        <v>15529</v>
      </c>
      <c r="H3441" t="s">
        <v>7974</v>
      </c>
      <c r="I3441" t="s">
        <v>15532</v>
      </c>
      <c r="J3441" t="s">
        <v>9114</v>
      </c>
    </row>
    <row r="3442" spans="1:10" x14ac:dyDescent="0.25">
      <c r="A3442" t="s">
        <v>15543</v>
      </c>
      <c r="B3442">
        <v>3.592000000000001</v>
      </c>
      <c r="C3442" t="s">
        <v>15544</v>
      </c>
      <c r="D3442" t="s">
        <v>705</v>
      </c>
      <c r="E3442" t="s">
        <v>15545</v>
      </c>
      <c r="F3442" t="s">
        <v>7672</v>
      </c>
      <c r="G3442" t="s">
        <v>15546</v>
      </c>
      <c r="H3442" t="s">
        <v>8515</v>
      </c>
      <c r="I3442" t="s">
        <v>7945</v>
      </c>
      <c r="J3442" t="s">
        <v>100</v>
      </c>
    </row>
    <row r="3443" spans="1:10" x14ac:dyDescent="0.25">
      <c r="A3443" t="s">
        <v>15547</v>
      </c>
      <c r="B3443">
        <v>3.592000000000001</v>
      </c>
      <c r="C3443" t="s">
        <v>15548</v>
      </c>
      <c r="D3443" t="s">
        <v>4799</v>
      </c>
      <c r="E3443" t="s">
        <v>15545</v>
      </c>
      <c r="F3443" t="s">
        <v>7672</v>
      </c>
      <c r="G3443" t="s">
        <v>15546</v>
      </c>
      <c r="H3443" t="s">
        <v>8515</v>
      </c>
      <c r="I3443" t="s">
        <v>9498</v>
      </c>
      <c r="J3443" t="s">
        <v>100</v>
      </c>
    </row>
    <row r="3444" spans="1:10" x14ac:dyDescent="0.25">
      <c r="A3444" t="s">
        <v>15549</v>
      </c>
      <c r="B3444">
        <v>3.592000000000001</v>
      </c>
      <c r="C3444" t="s">
        <v>15550</v>
      </c>
      <c r="D3444" t="s">
        <v>8759</v>
      </c>
      <c r="E3444" t="s">
        <v>15545</v>
      </c>
      <c r="F3444" t="s">
        <v>7672</v>
      </c>
      <c r="G3444" t="s">
        <v>15546</v>
      </c>
      <c r="H3444" t="s">
        <v>8515</v>
      </c>
      <c r="I3444" t="s">
        <v>9498</v>
      </c>
      <c r="J3444" t="s">
        <v>106</v>
      </c>
    </row>
    <row r="3445" spans="1:10" x14ac:dyDescent="0.25">
      <c r="A3445" t="s">
        <v>15551</v>
      </c>
      <c r="B3445">
        <v>3.592000000000001</v>
      </c>
      <c r="C3445" t="s">
        <v>15552</v>
      </c>
      <c r="D3445" t="s">
        <v>10764</v>
      </c>
      <c r="E3445" t="s">
        <v>15545</v>
      </c>
      <c r="F3445" t="s">
        <v>7672</v>
      </c>
      <c r="G3445" t="s">
        <v>15546</v>
      </c>
      <c r="H3445" t="s">
        <v>8515</v>
      </c>
      <c r="I3445" t="s">
        <v>9498</v>
      </c>
      <c r="J3445" t="s">
        <v>269</v>
      </c>
    </row>
    <row r="3446" spans="1:10" x14ac:dyDescent="0.25">
      <c r="A3446" t="s">
        <v>15553</v>
      </c>
      <c r="B3446">
        <v>3.592000000000001</v>
      </c>
      <c r="C3446" t="s">
        <v>15554</v>
      </c>
      <c r="D3446" t="s">
        <v>4584</v>
      </c>
      <c r="E3446" t="s">
        <v>15545</v>
      </c>
      <c r="F3446" t="s">
        <v>7672</v>
      </c>
      <c r="G3446" t="s">
        <v>15546</v>
      </c>
      <c r="H3446" t="s">
        <v>8515</v>
      </c>
      <c r="I3446" t="s">
        <v>1413</v>
      </c>
      <c r="J3446" t="s">
        <v>269</v>
      </c>
    </row>
    <row r="3447" spans="1:10" x14ac:dyDescent="0.25">
      <c r="A3447" t="s">
        <v>15555</v>
      </c>
      <c r="B3447">
        <v>3.592000000000001</v>
      </c>
      <c r="C3447" t="s">
        <v>15556</v>
      </c>
      <c r="D3447" t="s">
        <v>2620</v>
      </c>
      <c r="E3447" t="s">
        <v>15545</v>
      </c>
      <c r="F3447" t="s">
        <v>7672</v>
      </c>
      <c r="G3447" t="s">
        <v>15546</v>
      </c>
      <c r="H3447" t="s">
        <v>8515</v>
      </c>
      <c r="I3447" t="s">
        <v>7945</v>
      </c>
      <c r="J3447" t="s">
        <v>15557</v>
      </c>
    </row>
    <row r="3448" spans="1:10" x14ac:dyDescent="0.25">
      <c r="A3448" t="s">
        <v>15558</v>
      </c>
      <c r="B3448">
        <v>3.592000000000001</v>
      </c>
      <c r="C3448" t="s">
        <v>15559</v>
      </c>
      <c r="D3448" t="s">
        <v>3258</v>
      </c>
      <c r="E3448" t="s">
        <v>15545</v>
      </c>
      <c r="F3448" t="s">
        <v>7672</v>
      </c>
      <c r="G3448" t="s">
        <v>15546</v>
      </c>
      <c r="H3448" t="s">
        <v>8515</v>
      </c>
      <c r="I3448" t="s">
        <v>9498</v>
      </c>
      <c r="J3448" t="s">
        <v>15557</v>
      </c>
    </row>
    <row r="3449" spans="1:10" x14ac:dyDescent="0.25">
      <c r="A3449" t="s">
        <v>3738</v>
      </c>
      <c r="B3449">
        <v>9.6000000000000014</v>
      </c>
      <c r="C3449" t="s">
        <v>3740</v>
      </c>
      <c r="D3449" t="s">
        <v>106</v>
      </c>
      <c r="E3449" t="s">
        <v>3741</v>
      </c>
      <c r="F3449" t="s">
        <v>7672</v>
      </c>
      <c r="G3449" t="s">
        <v>15560</v>
      </c>
      <c r="H3449" t="s">
        <v>7947</v>
      </c>
      <c r="I3449" t="s">
        <v>76</v>
      </c>
      <c r="J3449" t="s">
        <v>8001</v>
      </c>
    </row>
    <row r="3450" spans="1:10" x14ac:dyDescent="0.25">
      <c r="A3450" t="s">
        <v>3743</v>
      </c>
      <c r="B3450">
        <v>9.6000000000000014</v>
      </c>
      <c r="C3450" t="s">
        <v>3745</v>
      </c>
      <c r="D3450" t="s">
        <v>613</v>
      </c>
      <c r="E3450" t="s">
        <v>3741</v>
      </c>
      <c r="F3450" t="s">
        <v>7672</v>
      </c>
      <c r="G3450" t="s">
        <v>15560</v>
      </c>
      <c r="H3450" t="s">
        <v>7947</v>
      </c>
      <c r="I3450" t="s">
        <v>15561</v>
      </c>
      <c r="J3450" t="s">
        <v>8001</v>
      </c>
    </row>
    <row r="3451" spans="1:10" x14ac:dyDescent="0.25">
      <c r="A3451" t="s">
        <v>15562</v>
      </c>
      <c r="B3451">
        <v>5.5920000000000014</v>
      </c>
      <c r="C3451" t="s">
        <v>15563</v>
      </c>
      <c r="D3451" t="s">
        <v>1236</v>
      </c>
      <c r="E3451" t="s">
        <v>15564</v>
      </c>
      <c r="F3451" t="s">
        <v>7672</v>
      </c>
      <c r="G3451" t="s">
        <v>15565</v>
      </c>
      <c r="H3451" t="s">
        <v>10298</v>
      </c>
      <c r="I3451" t="s">
        <v>1243</v>
      </c>
      <c r="J3451" t="s">
        <v>11702</v>
      </c>
    </row>
    <row r="3452" spans="1:10" x14ac:dyDescent="0.25">
      <c r="A3452" t="s">
        <v>15566</v>
      </c>
      <c r="B3452">
        <v>5.5920000000000014</v>
      </c>
      <c r="C3452" t="s">
        <v>15567</v>
      </c>
      <c r="D3452" t="s">
        <v>2879</v>
      </c>
      <c r="E3452" t="s">
        <v>15564</v>
      </c>
      <c r="F3452" t="s">
        <v>7672</v>
      </c>
      <c r="G3452" t="s">
        <v>15565</v>
      </c>
      <c r="H3452" t="s">
        <v>10298</v>
      </c>
      <c r="I3452" t="s">
        <v>15568</v>
      </c>
      <c r="J3452" t="s">
        <v>11710</v>
      </c>
    </row>
    <row r="3453" spans="1:10" x14ac:dyDescent="0.25">
      <c r="A3453" t="s">
        <v>15569</v>
      </c>
      <c r="B3453">
        <v>5.5920000000000014</v>
      </c>
      <c r="C3453" t="s">
        <v>15570</v>
      </c>
      <c r="D3453" t="s">
        <v>450</v>
      </c>
      <c r="E3453" t="s">
        <v>15564</v>
      </c>
      <c r="F3453" t="s">
        <v>7672</v>
      </c>
      <c r="G3453" t="s">
        <v>15565</v>
      </c>
      <c r="H3453" t="s">
        <v>10298</v>
      </c>
      <c r="I3453" t="s">
        <v>1243</v>
      </c>
      <c r="J3453" t="s">
        <v>11710</v>
      </c>
    </row>
    <row r="3454" spans="1:10" x14ac:dyDescent="0.25">
      <c r="A3454" t="s">
        <v>15571</v>
      </c>
      <c r="B3454">
        <v>5.5920000000000014</v>
      </c>
      <c r="C3454" t="s">
        <v>15572</v>
      </c>
      <c r="D3454" t="s">
        <v>2036</v>
      </c>
      <c r="E3454" t="s">
        <v>15564</v>
      </c>
      <c r="F3454" t="s">
        <v>7672</v>
      </c>
      <c r="G3454" t="s">
        <v>15565</v>
      </c>
      <c r="H3454" t="s">
        <v>10298</v>
      </c>
      <c r="I3454" t="s">
        <v>15568</v>
      </c>
      <c r="J3454" t="s">
        <v>12182</v>
      </c>
    </row>
    <row r="3455" spans="1:10" x14ac:dyDescent="0.25">
      <c r="A3455" t="s">
        <v>15573</v>
      </c>
      <c r="B3455">
        <v>5.5920000000000014</v>
      </c>
      <c r="C3455" t="s">
        <v>15574</v>
      </c>
      <c r="D3455" t="s">
        <v>7057</v>
      </c>
      <c r="E3455" t="s">
        <v>15564</v>
      </c>
      <c r="F3455" t="s">
        <v>7672</v>
      </c>
      <c r="G3455" t="s">
        <v>15565</v>
      </c>
      <c r="H3455" t="s">
        <v>10298</v>
      </c>
      <c r="I3455" t="s">
        <v>1243</v>
      </c>
      <c r="J3455" t="s">
        <v>12182</v>
      </c>
    </row>
    <row r="3456" spans="1:10" x14ac:dyDescent="0.25">
      <c r="A3456" t="s">
        <v>15575</v>
      </c>
      <c r="B3456">
        <v>5.5920000000000014</v>
      </c>
      <c r="C3456" t="s">
        <v>15576</v>
      </c>
      <c r="D3456" t="s">
        <v>598</v>
      </c>
      <c r="E3456" t="s">
        <v>15564</v>
      </c>
      <c r="F3456" t="s">
        <v>7672</v>
      </c>
      <c r="G3456" t="s">
        <v>15565</v>
      </c>
      <c r="H3456" t="s">
        <v>10298</v>
      </c>
      <c r="I3456" t="s">
        <v>15568</v>
      </c>
      <c r="J3456" t="s">
        <v>10150</v>
      </c>
    </row>
    <row r="3457" spans="1:10" x14ac:dyDescent="0.25">
      <c r="A3457" t="s">
        <v>15577</v>
      </c>
      <c r="B3457">
        <v>5.5920000000000014</v>
      </c>
      <c r="C3457" t="s">
        <v>15578</v>
      </c>
      <c r="D3457" t="s">
        <v>865</v>
      </c>
      <c r="E3457" t="s">
        <v>15564</v>
      </c>
      <c r="F3457" t="s">
        <v>7672</v>
      </c>
      <c r="G3457" t="s">
        <v>15565</v>
      </c>
      <c r="H3457" t="s">
        <v>10298</v>
      </c>
      <c r="I3457" t="s">
        <v>1243</v>
      </c>
      <c r="J3457" t="s">
        <v>10150</v>
      </c>
    </row>
    <row r="3458" spans="1:10" x14ac:dyDescent="0.25">
      <c r="A3458" t="s">
        <v>3748</v>
      </c>
      <c r="B3458">
        <v>15.391999999999999</v>
      </c>
      <c r="C3458" t="s">
        <v>3750</v>
      </c>
      <c r="D3458" t="s">
        <v>53</v>
      </c>
      <c r="E3458" t="s">
        <v>3751</v>
      </c>
      <c r="F3458" t="s">
        <v>7672</v>
      </c>
      <c r="G3458" t="s">
        <v>15579</v>
      </c>
      <c r="H3458" t="s">
        <v>8331</v>
      </c>
      <c r="I3458" t="s">
        <v>3754</v>
      </c>
      <c r="J3458" t="s">
        <v>342</v>
      </c>
    </row>
    <row r="3459" spans="1:10" x14ac:dyDescent="0.25">
      <c r="A3459" t="s">
        <v>3755</v>
      </c>
      <c r="B3459">
        <v>15.391999999999999</v>
      </c>
      <c r="C3459" t="s">
        <v>3757</v>
      </c>
      <c r="D3459" t="s">
        <v>396</v>
      </c>
      <c r="E3459" t="s">
        <v>3751</v>
      </c>
      <c r="F3459" t="s">
        <v>7672</v>
      </c>
      <c r="G3459" t="s">
        <v>15579</v>
      </c>
      <c r="H3459" t="s">
        <v>8331</v>
      </c>
      <c r="I3459" t="s">
        <v>3754</v>
      </c>
      <c r="J3459" t="s">
        <v>100</v>
      </c>
    </row>
    <row r="3460" spans="1:10" x14ac:dyDescent="0.25">
      <c r="A3460" t="s">
        <v>3759</v>
      </c>
      <c r="B3460">
        <v>15.391999999999999</v>
      </c>
      <c r="C3460" t="s">
        <v>3761</v>
      </c>
      <c r="D3460" t="s">
        <v>875</v>
      </c>
      <c r="E3460" t="s">
        <v>3751</v>
      </c>
      <c r="F3460" t="s">
        <v>7672</v>
      </c>
      <c r="G3460" t="s">
        <v>15579</v>
      </c>
      <c r="H3460" t="s">
        <v>8331</v>
      </c>
      <c r="I3460" t="s">
        <v>3754</v>
      </c>
      <c r="J3460" t="s">
        <v>106</v>
      </c>
    </row>
    <row r="3461" spans="1:10" x14ac:dyDescent="0.25">
      <c r="A3461" t="s">
        <v>15580</v>
      </c>
      <c r="B3461">
        <v>43.2</v>
      </c>
      <c r="C3461" t="s">
        <v>15581</v>
      </c>
      <c r="D3461" t="s">
        <v>964</v>
      </c>
      <c r="E3461" t="s">
        <v>3766</v>
      </c>
      <c r="F3461" t="s">
        <v>7672</v>
      </c>
      <c r="G3461" t="s">
        <v>15582</v>
      </c>
      <c r="H3461" t="s">
        <v>9232</v>
      </c>
      <c r="I3461" t="s">
        <v>1216</v>
      </c>
      <c r="J3461" t="s">
        <v>7675</v>
      </c>
    </row>
    <row r="3462" spans="1:10" x14ac:dyDescent="0.25">
      <c r="A3462" t="s">
        <v>3763</v>
      </c>
      <c r="B3462">
        <v>43.2</v>
      </c>
      <c r="C3462" t="s">
        <v>3765</v>
      </c>
      <c r="D3462" t="s">
        <v>352</v>
      </c>
      <c r="E3462" t="s">
        <v>3766</v>
      </c>
      <c r="F3462" t="s">
        <v>7672</v>
      </c>
      <c r="G3462" t="s">
        <v>15582</v>
      </c>
      <c r="H3462" t="s">
        <v>9232</v>
      </c>
      <c r="I3462" t="s">
        <v>15583</v>
      </c>
      <c r="J3462" t="s">
        <v>7675</v>
      </c>
    </row>
    <row r="3463" spans="1:10" x14ac:dyDescent="0.25">
      <c r="A3463" t="s">
        <v>3770</v>
      </c>
      <c r="B3463">
        <v>43.2</v>
      </c>
      <c r="C3463" t="s">
        <v>3772</v>
      </c>
      <c r="D3463" t="s">
        <v>2022</v>
      </c>
      <c r="E3463" t="s">
        <v>3766</v>
      </c>
      <c r="F3463" t="s">
        <v>7672</v>
      </c>
      <c r="G3463" t="s">
        <v>15582</v>
      </c>
      <c r="H3463" t="s">
        <v>9232</v>
      </c>
      <c r="I3463" t="s">
        <v>15583</v>
      </c>
      <c r="J3463" t="s">
        <v>7686</v>
      </c>
    </row>
    <row r="3464" spans="1:10" x14ac:dyDescent="0.25">
      <c r="A3464" t="s">
        <v>15584</v>
      </c>
      <c r="B3464">
        <v>43.2</v>
      </c>
      <c r="C3464" t="s">
        <v>15585</v>
      </c>
      <c r="D3464" t="s">
        <v>2022</v>
      </c>
      <c r="E3464" t="s">
        <v>3766</v>
      </c>
      <c r="F3464" t="s">
        <v>7672</v>
      </c>
      <c r="G3464" t="s">
        <v>15582</v>
      </c>
      <c r="H3464" t="s">
        <v>9232</v>
      </c>
      <c r="I3464" t="s">
        <v>1216</v>
      </c>
      <c r="J3464" t="s">
        <v>7686</v>
      </c>
    </row>
    <row r="3465" spans="1:10" x14ac:dyDescent="0.25">
      <c r="A3465" t="s">
        <v>3773</v>
      </c>
      <c r="B3465">
        <v>43.2</v>
      </c>
      <c r="C3465" t="s">
        <v>3775</v>
      </c>
      <c r="D3465" t="s">
        <v>3258</v>
      </c>
      <c r="E3465" t="s">
        <v>3766</v>
      </c>
      <c r="F3465" t="s">
        <v>7672</v>
      </c>
      <c r="G3465" t="s">
        <v>15582</v>
      </c>
      <c r="H3465" t="s">
        <v>9232</v>
      </c>
      <c r="I3465" t="s">
        <v>15583</v>
      </c>
      <c r="J3465" t="s">
        <v>7703</v>
      </c>
    </row>
    <row r="3466" spans="1:10" x14ac:dyDescent="0.25">
      <c r="A3466" t="s">
        <v>15586</v>
      </c>
      <c r="B3466">
        <v>43.2</v>
      </c>
      <c r="C3466" t="s">
        <v>15587</v>
      </c>
      <c r="D3466" t="s">
        <v>926</v>
      </c>
      <c r="E3466" t="s">
        <v>3766</v>
      </c>
      <c r="F3466" t="s">
        <v>7672</v>
      </c>
      <c r="G3466" t="s">
        <v>15582</v>
      </c>
      <c r="H3466" t="s">
        <v>9232</v>
      </c>
      <c r="I3466" t="s">
        <v>1216</v>
      </c>
      <c r="J3466" t="s">
        <v>7703</v>
      </c>
    </row>
    <row r="3467" spans="1:10" x14ac:dyDescent="0.25">
      <c r="A3467" t="s">
        <v>3776</v>
      </c>
      <c r="B3467">
        <v>43.2</v>
      </c>
      <c r="C3467" t="s">
        <v>3778</v>
      </c>
      <c r="D3467" t="s">
        <v>1134</v>
      </c>
      <c r="E3467" t="s">
        <v>3766</v>
      </c>
      <c r="F3467" t="s">
        <v>7672</v>
      </c>
      <c r="G3467" t="s">
        <v>15582</v>
      </c>
      <c r="H3467" t="s">
        <v>9232</v>
      </c>
      <c r="I3467" t="s">
        <v>15583</v>
      </c>
      <c r="J3467" t="s">
        <v>7713</v>
      </c>
    </row>
    <row r="3468" spans="1:10" x14ac:dyDescent="0.25">
      <c r="A3468" t="s">
        <v>15588</v>
      </c>
      <c r="B3468">
        <v>43.2</v>
      </c>
      <c r="C3468" t="s">
        <v>15589</v>
      </c>
      <c r="D3468" t="s">
        <v>1621</v>
      </c>
      <c r="E3468" t="s">
        <v>3766</v>
      </c>
      <c r="F3468" t="s">
        <v>7672</v>
      </c>
      <c r="G3468" t="s">
        <v>15582</v>
      </c>
      <c r="H3468" t="s">
        <v>9232</v>
      </c>
      <c r="I3468" t="s">
        <v>1216</v>
      </c>
      <c r="J3468" t="s">
        <v>7713</v>
      </c>
    </row>
    <row r="3469" spans="1:10" x14ac:dyDescent="0.25">
      <c r="A3469" t="s">
        <v>15590</v>
      </c>
      <c r="B3469">
        <v>43.2</v>
      </c>
      <c r="C3469" t="s">
        <v>15591</v>
      </c>
      <c r="D3469" t="s">
        <v>366</v>
      </c>
      <c r="E3469" t="s">
        <v>3766</v>
      </c>
      <c r="F3469" t="s">
        <v>7672</v>
      </c>
      <c r="G3469" t="s">
        <v>15582</v>
      </c>
      <c r="H3469" t="s">
        <v>9232</v>
      </c>
      <c r="I3469" t="s">
        <v>1216</v>
      </c>
      <c r="J3469" t="s">
        <v>7719</v>
      </c>
    </row>
    <row r="3470" spans="1:10" x14ac:dyDescent="0.25">
      <c r="A3470" t="s">
        <v>3779</v>
      </c>
      <c r="B3470">
        <v>43.2</v>
      </c>
      <c r="C3470" t="s">
        <v>3781</v>
      </c>
      <c r="D3470" t="s">
        <v>286</v>
      </c>
      <c r="E3470" t="s">
        <v>3766</v>
      </c>
      <c r="F3470" t="s">
        <v>7672</v>
      </c>
      <c r="G3470" t="s">
        <v>15582</v>
      </c>
      <c r="H3470" t="s">
        <v>9232</v>
      </c>
      <c r="I3470" t="s">
        <v>15583</v>
      </c>
      <c r="J3470" t="s">
        <v>7719</v>
      </c>
    </row>
    <row r="3471" spans="1:10" x14ac:dyDescent="0.25">
      <c r="A3471" t="s">
        <v>15592</v>
      </c>
      <c r="B3471">
        <v>8.16</v>
      </c>
      <c r="C3471" t="s">
        <v>15593</v>
      </c>
      <c r="D3471" t="s">
        <v>613</v>
      </c>
      <c r="E3471" t="s">
        <v>15594</v>
      </c>
      <c r="F3471" t="s">
        <v>7672</v>
      </c>
      <c r="G3471" t="s">
        <v>15595</v>
      </c>
      <c r="H3471" t="s">
        <v>11037</v>
      </c>
      <c r="I3471" t="s">
        <v>935</v>
      </c>
      <c r="J3471" t="s">
        <v>7942</v>
      </c>
    </row>
    <row r="3472" spans="1:10" x14ac:dyDescent="0.25">
      <c r="A3472" t="s">
        <v>15596</v>
      </c>
      <c r="B3472">
        <v>8.16</v>
      </c>
      <c r="C3472" t="s">
        <v>15597</v>
      </c>
      <c r="D3472" t="s">
        <v>582</v>
      </c>
      <c r="E3472" t="s">
        <v>15594</v>
      </c>
      <c r="F3472" t="s">
        <v>7672</v>
      </c>
      <c r="G3472" t="s">
        <v>15595</v>
      </c>
      <c r="H3472" t="s">
        <v>11037</v>
      </c>
      <c r="I3472" t="s">
        <v>935</v>
      </c>
      <c r="J3472" t="s">
        <v>7981</v>
      </c>
    </row>
    <row r="3473" spans="1:10" x14ac:dyDescent="0.25">
      <c r="A3473" t="s">
        <v>15598</v>
      </c>
      <c r="B3473">
        <v>8.16</v>
      </c>
      <c r="C3473" t="s">
        <v>15599</v>
      </c>
      <c r="D3473" t="s">
        <v>516</v>
      </c>
      <c r="E3473" t="s">
        <v>15594</v>
      </c>
      <c r="F3473" t="s">
        <v>7672</v>
      </c>
      <c r="G3473" t="s">
        <v>15595</v>
      </c>
      <c r="H3473" t="s">
        <v>11037</v>
      </c>
      <c r="I3473" t="s">
        <v>935</v>
      </c>
      <c r="J3473" t="s">
        <v>8013</v>
      </c>
    </row>
    <row r="3474" spans="1:10" x14ac:dyDescent="0.25">
      <c r="A3474" t="s">
        <v>15600</v>
      </c>
      <c r="B3474">
        <v>11.192</v>
      </c>
      <c r="C3474" t="s">
        <v>15601</v>
      </c>
      <c r="D3474" t="s">
        <v>742</v>
      </c>
      <c r="E3474" t="s">
        <v>15602</v>
      </c>
      <c r="F3474" t="s">
        <v>7672</v>
      </c>
      <c r="G3474" t="s">
        <v>15603</v>
      </c>
      <c r="H3474" t="s">
        <v>9127</v>
      </c>
      <c r="I3474" t="s">
        <v>15604</v>
      </c>
      <c r="J3474" t="s">
        <v>7942</v>
      </c>
    </row>
    <row r="3475" spans="1:10" x14ac:dyDescent="0.25">
      <c r="A3475" t="s">
        <v>15605</v>
      </c>
      <c r="B3475">
        <v>11.192</v>
      </c>
      <c r="C3475" t="s">
        <v>15606</v>
      </c>
      <c r="D3475" t="s">
        <v>698</v>
      </c>
      <c r="E3475" t="s">
        <v>15602</v>
      </c>
      <c r="F3475" t="s">
        <v>7672</v>
      </c>
      <c r="G3475" t="s">
        <v>15603</v>
      </c>
      <c r="H3475" t="s">
        <v>9127</v>
      </c>
      <c r="I3475" t="s">
        <v>1490</v>
      </c>
      <c r="J3475" t="s">
        <v>7942</v>
      </c>
    </row>
    <row r="3476" spans="1:10" x14ac:dyDescent="0.25">
      <c r="A3476" t="s">
        <v>15607</v>
      </c>
      <c r="B3476">
        <v>11.192</v>
      </c>
      <c r="C3476" t="s">
        <v>15608</v>
      </c>
      <c r="D3476" t="s">
        <v>359</v>
      </c>
      <c r="E3476" t="s">
        <v>15602</v>
      </c>
      <c r="F3476" t="s">
        <v>7672</v>
      </c>
      <c r="G3476" t="s">
        <v>15603</v>
      </c>
      <c r="H3476" t="s">
        <v>9127</v>
      </c>
      <c r="I3476" t="s">
        <v>1490</v>
      </c>
      <c r="J3476" t="s">
        <v>7981</v>
      </c>
    </row>
    <row r="3477" spans="1:10" x14ac:dyDescent="0.25">
      <c r="A3477" t="s">
        <v>15609</v>
      </c>
      <c r="B3477">
        <v>11.192</v>
      </c>
      <c r="C3477" t="s">
        <v>15610</v>
      </c>
      <c r="D3477" t="s">
        <v>88</v>
      </c>
      <c r="E3477" t="s">
        <v>15602</v>
      </c>
      <c r="F3477" t="s">
        <v>7672</v>
      </c>
      <c r="G3477" t="s">
        <v>15603</v>
      </c>
      <c r="H3477" t="s">
        <v>9127</v>
      </c>
      <c r="I3477" t="s">
        <v>1490</v>
      </c>
      <c r="J3477" t="s">
        <v>7984</v>
      </c>
    </row>
    <row r="3478" spans="1:10" x14ac:dyDescent="0.25">
      <c r="A3478" t="s">
        <v>15611</v>
      </c>
      <c r="B3478">
        <v>11.192</v>
      </c>
      <c r="C3478" t="s">
        <v>15612</v>
      </c>
      <c r="D3478" t="s">
        <v>311</v>
      </c>
      <c r="E3478" t="s">
        <v>15602</v>
      </c>
      <c r="F3478" t="s">
        <v>7672</v>
      </c>
      <c r="G3478" t="s">
        <v>15603</v>
      </c>
      <c r="H3478" t="s">
        <v>9127</v>
      </c>
      <c r="I3478" t="s">
        <v>15604</v>
      </c>
      <c r="J3478" t="s">
        <v>8001</v>
      </c>
    </row>
    <row r="3479" spans="1:10" x14ac:dyDescent="0.25">
      <c r="A3479" t="s">
        <v>15613</v>
      </c>
      <c r="B3479">
        <v>11.192</v>
      </c>
      <c r="C3479" t="s">
        <v>15614</v>
      </c>
      <c r="D3479" t="s">
        <v>277</v>
      </c>
      <c r="E3479" t="s">
        <v>15602</v>
      </c>
      <c r="F3479" t="s">
        <v>7672</v>
      </c>
      <c r="G3479" t="s">
        <v>15603</v>
      </c>
      <c r="H3479" t="s">
        <v>9127</v>
      </c>
      <c r="I3479" t="s">
        <v>1490</v>
      </c>
      <c r="J3479" t="s">
        <v>8001</v>
      </c>
    </row>
    <row r="3480" spans="1:10" x14ac:dyDescent="0.25">
      <c r="A3480" t="s">
        <v>15615</v>
      </c>
      <c r="B3480">
        <v>11.192</v>
      </c>
      <c r="C3480" t="s">
        <v>15616</v>
      </c>
      <c r="D3480" t="s">
        <v>2697</v>
      </c>
      <c r="E3480" t="s">
        <v>15602</v>
      </c>
      <c r="F3480" t="s">
        <v>7672</v>
      </c>
      <c r="G3480" t="s">
        <v>15603</v>
      </c>
      <c r="H3480" t="s">
        <v>9127</v>
      </c>
      <c r="I3480" t="s">
        <v>1490</v>
      </c>
      <c r="J3480" t="s">
        <v>8013</v>
      </c>
    </row>
    <row r="3481" spans="1:10" x14ac:dyDescent="0.25">
      <c r="A3481" t="s">
        <v>15617</v>
      </c>
      <c r="B3481">
        <v>11.192</v>
      </c>
      <c r="C3481" t="s">
        <v>15618</v>
      </c>
      <c r="D3481" t="s">
        <v>385</v>
      </c>
      <c r="E3481" t="s">
        <v>15602</v>
      </c>
      <c r="F3481" t="s">
        <v>7672</v>
      </c>
      <c r="G3481" t="s">
        <v>15603</v>
      </c>
      <c r="H3481" t="s">
        <v>9127</v>
      </c>
      <c r="I3481" t="s">
        <v>15604</v>
      </c>
      <c r="J3481" t="s">
        <v>8013</v>
      </c>
    </row>
    <row r="3482" spans="1:10" x14ac:dyDescent="0.25">
      <c r="A3482" t="s">
        <v>15619</v>
      </c>
      <c r="B3482">
        <v>6.120000000000001</v>
      </c>
      <c r="C3482" t="s">
        <v>15620</v>
      </c>
      <c r="D3482" t="s">
        <v>588</v>
      </c>
      <c r="E3482" t="s">
        <v>15621</v>
      </c>
      <c r="F3482" t="s">
        <v>7672</v>
      </c>
      <c r="G3482" t="s">
        <v>15622</v>
      </c>
      <c r="H3482" t="s">
        <v>7674</v>
      </c>
      <c r="I3482" t="s">
        <v>5474</v>
      </c>
      <c r="J3482" t="s">
        <v>9023</v>
      </c>
    </row>
    <row r="3483" spans="1:10" x14ac:dyDescent="0.25">
      <c r="A3483" t="s">
        <v>15623</v>
      </c>
      <c r="B3483">
        <v>6.120000000000001</v>
      </c>
      <c r="C3483" t="s">
        <v>15624</v>
      </c>
      <c r="D3483" t="s">
        <v>4799</v>
      </c>
      <c r="E3483" t="s">
        <v>15621</v>
      </c>
      <c r="F3483" t="s">
        <v>7672</v>
      </c>
      <c r="G3483" t="s">
        <v>15622</v>
      </c>
      <c r="H3483" t="s">
        <v>7674</v>
      </c>
      <c r="I3483" t="s">
        <v>76</v>
      </c>
      <c r="J3483" t="s">
        <v>9023</v>
      </c>
    </row>
    <row r="3484" spans="1:10" x14ac:dyDescent="0.25">
      <c r="A3484" t="s">
        <v>15625</v>
      </c>
      <c r="B3484">
        <v>6.120000000000001</v>
      </c>
      <c r="C3484" t="s">
        <v>15626</v>
      </c>
      <c r="D3484" t="s">
        <v>644</v>
      </c>
      <c r="E3484" t="s">
        <v>15621</v>
      </c>
      <c r="F3484" t="s">
        <v>7672</v>
      </c>
      <c r="G3484" t="s">
        <v>15622</v>
      </c>
      <c r="H3484" t="s">
        <v>7674</v>
      </c>
      <c r="I3484" t="s">
        <v>805</v>
      </c>
      <c r="J3484" t="s">
        <v>9023</v>
      </c>
    </row>
    <row r="3485" spans="1:10" x14ac:dyDescent="0.25">
      <c r="A3485" t="s">
        <v>15627</v>
      </c>
      <c r="B3485">
        <v>6.120000000000001</v>
      </c>
      <c r="C3485" t="s">
        <v>15628</v>
      </c>
      <c r="D3485" t="s">
        <v>981</v>
      </c>
      <c r="E3485" t="s">
        <v>15621</v>
      </c>
      <c r="F3485" t="s">
        <v>7672</v>
      </c>
      <c r="G3485" t="s">
        <v>15622</v>
      </c>
      <c r="H3485" t="s">
        <v>7674</v>
      </c>
      <c r="I3485" t="s">
        <v>5474</v>
      </c>
      <c r="J3485" t="s">
        <v>8883</v>
      </c>
    </row>
    <row r="3486" spans="1:10" x14ac:dyDescent="0.25">
      <c r="A3486" t="s">
        <v>15629</v>
      </c>
      <c r="B3486">
        <v>6.120000000000001</v>
      </c>
      <c r="C3486" t="s">
        <v>15630</v>
      </c>
      <c r="D3486" t="s">
        <v>11494</v>
      </c>
      <c r="E3486" t="s">
        <v>15621</v>
      </c>
      <c r="F3486" t="s">
        <v>7672</v>
      </c>
      <c r="G3486" t="s">
        <v>15622</v>
      </c>
      <c r="H3486" t="s">
        <v>7674</v>
      </c>
      <c r="I3486" t="s">
        <v>76</v>
      </c>
      <c r="J3486" t="s">
        <v>8883</v>
      </c>
    </row>
    <row r="3487" spans="1:10" x14ac:dyDescent="0.25">
      <c r="A3487" t="s">
        <v>15631</v>
      </c>
      <c r="B3487">
        <v>6.120000000000001</v>
      </c>
      <c r="C3487" t="s">
        <v>15632</v>
      </c>
      <c r="D3487" t="s">
        <v>6843</v>
      </c>
      <c r="E3487" t="s">
        <v>15621</v>
      </c>
      <c r="F3487" t="s">
        <v>7672</v>
      </c>
      <c r="G3487" t="s">
        <v>15622</v>
      </c>
      <c r="H3487" t="s">
        <v>7674</v>
      </c>
      <c r="I3487" t="s">
        <v>805</v>
      </c>
      <c r="J3487" t="s">
        <v>8883</v>
      </c>
    </row>
    <row r="3488" spans="1:10" x14ac:dyDescent="0.25">
      <c r="A3488" t="s">
        <v>15633</v>
      </c>
      <c r="B3488">
        <v>6.120000000000001</v>
      </c>
      <c r="C3488" t="s">
        <v>15634</v>
      </c>
      <c r="D3488" t="s">
        <v>582</v>
      </c>
      <c r="E3488" t="s">
        <v>15621</v>
      </c>
      <c r="F3488" t="s">
        <v>7672</v>
      </c>
      <c r="G3488" t="s">
        <v>15622</v>
      </c>
      <c r="H3488" t="s">
        <v>7674</v>
      </c>
      <c r="I3488" t="s">
        <v>5474</v>
      </c>
      <c r="J3488" t="s">
        <v>10908</v>
      </c>
    </row>
    <row r="3489" spans="1:10" x14ac:dyDescent="0.25">
      <c r="A3489" t="s">
        <v>15635</v>
      </c>
      <c r="B3489">
        <v>6.120000000000001</v>
      </c>
      <c r="C3489" t="s">
        <v>15636</v>
      </c>
      <c r="D3489" t="s">
        <v>3153</v>
      </c>
      <c r="E3489" t="s">
        <v>15621</v>
      </c>
      <c r="F3489" t="s">
        <v>7672</v>
      </c>
      <c r="G3489" t="s">
        <v>15622</v>
      </c>
      <c r="H3489" t="s">
        <v>7674</v>
      </c>
      <c r="I3489" t="s">
        <v>805</v>
      </c>
      <c r="J3489" t="s">
        <v>10908</v>
      </c>
    </row>
    <row r="3490" spans="1:10" x14ac:dyDescent="0.25">
      <c r="A3490" t="s">
        <v>15637</v>
      </c>
      <c r="B3490">
        <v>6.120000000000001</v>
      </c>
      <c r="C3490" t="s">
        <v>15638</v>
      </c>
      <c r="D3490" t="s">
        <v>8183</v>
      </c>
      <c r="E3490" t="s">
        <v>15621</v>
      </c>
      <c r="F3490" t="s">
        <v>7672</v>
      </c>
      <c r="G3490" t="s">
        <v>15622</v>
      </c>
      <c r="H3490" t="s">
        <v>7674</v>
      </c>
      <c r="I3490" t="s">
        <v>76</v>
      </c>
      <c r="J3490" t="s">
        <v>10908</v>
      </c>
    </row>
    <row r="3491" spans="1:10" x14ac:dyDescent="0.25">
      <c r="A3491" t="s">
        <v>15639</v>
      </c>
      <c r="B3491">
        <v>6.120000000000001</v>
      </c>
      <c r="C3491" t="s">
        <v>15640</v>
      </c>
      <c r="D3491" t="s">
        <v>803</v>
      </c>
      <c r="E3491" t="s">
        <v>15621</v>
      </c>
      <c r="F3491" t="s">
        <v>7672</v>
      </c>
      <c r="G3491" t="s">
        <v>15622</v>
      </c>
      <c r="H3491" t="s">
        <v>7674</v>
      </c>
      <c r="I3491" t="s">
        <v>76</v>
      </c>
      <c r="J3491" t="s">
        <v>8885</v>
      </c>
    </row>
    <row r="3492" spans="1:10" x14ac:dyDescent="0.25">
      <c r="A3492" t="s">
        <v>15641</v>
      </c>
      <c r="B3492">
        <v>6.120000000000001</v>
      </c>
      <c r="C3492" t="s">
        <v>15642</v>
      </c>
      <c r="D3492" t="s">
        <v>1459</v>
      </c>
      <c r="E3492" t="s">
        <v>15621</v>
      </c>
      <c r="F3492" t="s">
        <v>7672</v>
      </c>
      <c r="G3492" t="s">
        <v>15622</v>
      </c>
      <c r="H3492" t="s">
        <v>7674</v>
      </c>
      <c r="I3492" t="s">
        <v>5474</v>
      </c>
      <c r="J3492" t="s">
        <v>8885</v>
      </c>
    </row>
    <row r="3493" spans="1:10" x14ac:dyDescent="0.25">
      <c r="A3493" t="s">
        <v>15643</v>
      </c>
      <c r="B3493">
        <v>6.120000000000001</v>
      </c>
      <c r="C3493" t="s">
        <v>15644</v>
      </c>
      <c r="D3493" t="s">
        <v>8183</v>
      </c>
      <c r="E3493" t="s">
        <v>15621</v>
      </c>
      <c r="F3493" t="s">
        <v>7672</v>
      </c>
      <c r="G3493" t="s">
        <v>15622</v>
      </c>
      <c r="H3493" t="s">
        <v>7674</v>
      </c>
      <c r="I3493" t="s">
        <v>805</v>
      </c>
      <c r="J3493" t="s">
        <v>8885</v>
      </c>
    </row>
    <row r="3494" spans="1:10" x14ac:dyDescent="0.25">
      <c r="A3494" t="s">
        <v>15645</v>
      </c>
      <c r="B3494">
        <v>6.120000000000001</v>
      </c>
      <c r="C3494" t="s">
        <v>15646</v>
      </c>
      <c r="D3494" t="s">
        <v>639</v>
      </c>
      <c r="E3494" t="s">
        <v>15621</v>
      </c>
      <c r="F3494" t="s">
        <v>7672</v>
      </c>
      <c r="G3494" t="s">
        <v>15622</v>
      </c>
      <c r="H3494" t="s">
        <v>7674</v>
      </c>
      <c r="I3494" t="s">
        <v>5474</v>
      </c>
      <c r="J3494" t="s">
        <v>10918</v>
      </c>
    </row>
    <row r="3495" spans="1:10" x14ac:dyDescent="0.25">
      <c r="A3495" t="s">
        <v>15647</v>
      </c>
      <c r="B3495">
        <v>6.120000000000001</v>
      </c>
      <c r="C3495" t="s">
        <v>15648</v>
      </c>
      <c r="D3495" t="s">
        <v>15649</v>
      </c>
      <c r="E3495" t="s">
        <v>15621</v>
      </c>
      <c r="F3495" t="s">
        <v>7672</v>
      </c>
      <c r="G3495" t="s">
        <v>15622</v>
      </c>
      <c r="H3495" t="s">
        <v>7674</v>
      </c>
      <c r="I3495" t="s">
        <v>76</v>
      </c>
      <c r="J3495" t="s">
        <v>10918</v>
      </c>
    </row>
    <row r="3496" spans="1:10" x14ac:dyDescent="0.25">
      <c r="A3496" t="s">
        <v>15650</v>
      </c>
      <c r="B3496">
        <v>6.120000000000001</v>
      </c>
      <c r="C3496" t="s">
        <v>15651</v>
      </c>
      <c r="D3496" t="s">
        <v>12896</v>
      </c>
      <c r="E3496" t="s">
        <v>15621</v>
      </c>
      <c r="F3496" t="s">
        <v>7672</v>
      </c>
      <c r="G3496" t="s">
        <v>15622</v>
      </c>
      <c r="H3496" t="s">
        <v>7674</v>
      </c>
      <c r="I3496" t="s">
        <v>805</v>
      </c>
      <c r="J3496" t="s">
        <v>10918</v>
      </c>
    </row>
    <row r="3497" spans="1:10" x14ac:dyDescent="0.25">
      <c r="A3497" t="s">
        <v>15652</v>
      </c>
      <c r="B3497">
        <v>8.3920000000000012</v>
      </c>
      <c r="C3497" t="s">
        <v>15653</v>
      </c>
      <c r="D3497" t="s">
        <v>330</v>
      </c>
      <c r="E3497" t="s">
        <v>15654</v>
      </c>
      <c r="F3497" t="s">
        <v>7672</v>
      </c>
      <c r="G3497" t="s">
        <v>15655</v>
      </c>
      <c r="H3497" t="s">
        <v>11598</v>
      </c>
      <c r="I3497" t="s">
        <v>12207</v>
      </c>
      <c r="J3497" t="s">
        <v>7981</v>
      </c>
    </row>
    <row r="3498" spans="1:10" x14ac:dyDescent="0.25">
      <c r="A3498" t="s">
        <v>15656</v>
      </c>
      <c r="B3498">
        <v>8.3920000000000012</v>
      </c>
      <c r="C3498" t="s">
        <v>15657</v>
      </c>
      <c r="D3498" t="s">
        <v>964</v>
      </c>
      <c r="E3498" t="s">
        <v>15654</v>
      </c>
      <c r="F3498" t="s">
        <v>7672</v>
      </c>
      <c r="G3498" t="s">
        <v>15655</v>
      </c>
      <c r="H3498" t="s">
        <v>11598</v>
      </c>
      <c r="I3498" t="s">
        <v>15658</v>
      </c>
      <c r="J3498" t="s">
        <v>8001</v>
      </c>
    </row>
    <row r="3499" spans="1:10" x14ac:dyDescent="0.25">
      <c r="A3499" t="s">
        <v>15659</v>
      </c>
      <c r="B3499">
        <v>8.3920000000000012</v>
      </c>
      <c r="C3499" t="s">
        <v>15660</v>
      </c>
      <c r="D3499" t="s">
        <v>282</v>
      </c>
      <c r="E3499" t="s">
        <v>15654</v>
      </c>
      <c r="F3499" t="s">
        <v>7672</v>
      </c>
      <c r="G3499" t="s">
        <v>15655</v>
      </c>
      <c r="H3499" t="s">
        <v>11598</v>
      </c>
      <c r="I3499" t="s">
        <v>76</v>
      </c>
      <c r="J3499" t="s">
        <v>8013</v>
      </c>
    </row>
    <row r="3500" spans="1:10" x14ac:dyDescent="0.25">
      <c r="A3500" t="s">
        <v>15661</v>
      </c>
      <c r="B3500">
        <v>8.3920000000000012</v>
      </c>
      <c r="C3500" t="s">
        <v>15662</v>
      </c>
      <c r="D3500" t="s">
        <v>240</v>
      </c>
      <c r="E3500" t="s">
        <v>15654</v>
      </c>
      <c r="F3500" t="s">
        <v>7672</v>
      </c>
      <c r="G3500" t="s">
        <v>15655</v>
      </c>
      <c r="H3500" t="s">
        <v>11598</v>
      </c>
      <c r="I3500" t="s">
        <v>15658</v>
      </c>
      <c r="J3500" t="s">
        <v>8013</v>
      </c>
    </row>
    <row r="3501" spans="1:10" x14ac:dyDescent="0.25">
      <c r="A3501" t="s">
        <v>15663</v>
      </c>
      <c r="B3501">
        <v>8.3920000000000012</v>
      </c>
      <c r="C3501" t="s">
        <v>15664</v>
      </c>
      <c r="D3501" t="s">
        <v>164</v>
      </c>
      <c r="E3501" t="s">
        <v>15654</v>
      </c>
      <c r="F3501" t="s">
        <v>7672</v>
      </c>
      <c r="G3501" t="s">
        <v>15655</v>
      </c>
      <c r="H3501" t="s">
        <v>11598</v>
      </c>
      <c r="I3501" t="s">
        <v>12207</v>
      </c>
      <c r="J3501" t="s">
        <v>8013</v>
      </c>
    </row>
    <row r="3502" spans="1:10" x14ac:dyDescent="0.25">
      <c r="A3502" t="s">
        <v>15665</v>
      </c>
      <c r="B3502">
        <v>5.9920000000000009</v>
      </c>
      <c r="C3502" t="s">
        <v>15666</v>
      </c>
      <c r="D3502" t="s">
        <v>40</v>
      </c>
      <c r="E3502" t="s">
        <v>15667</v>
      </c>
      <c r="F3502" t="s">
        <v>7672</v>
      </c>
      <c r="G3502" t="s">
        <v>15668</v>
      </c>
      <c r="H3502" t="s">
        <v>7674</v>
      </c>
      <c r="I3502" t="s">
        <v>10843</v>
      </c>
      <c r="J3502" t="s">
        <v>7981</v>
      </c>
    </row>
    <row r="3503" spans="1:10" x14ac:dyDescent="0.25">
      <c r="A3503" t="s">
        <v>15669</v>
      </c>
      <c r="B3503">
        <v>5.9920000000000009</v>
      </c>
      <c r="C3503" t="s">
        <v>15670</v>
      </c>
      <c r="D3503" t="s">
        <v>865</v>
      </c>
      <c r="E3503" t="s">
        <v>15667</v>
      </c>
      <c r="F3503" t="s">
        <v>7672</v>
      </c>
      <c r="G3503" t="s">
        <v>15668</v>
      </c>
      <c r="H3503" t="s">
        <v>7674</v>
      </c>
      <c r="I3503" t="s">
        <v>15671</v>
      </c>
      <c r="J3503" t="s">
        <v>7981</v>
      </c>
    </row>
    <row r="3504" spans="1:10" x14ac:dyDescent="0.25">
      <c r="A3504" t="s">
        <v>15672</v>
      </c>
      <c r="B3504">
        <v>5.9920000000000009</v>
      </c>
      <c r="C3504" t="s">
        <v>15673</v>
      </c>
      <c r="D3504" t="s">
        <v>8628</v>
      </c>
      <c r="E3504" t="s">
        <v>15667</v>
      </c>
      <c r="F3504" t="s">
        <v>7672</v>
      </c>
      <c r="G3504" t="s">
        <v>15668</v>
      </c>
      <c r="H3504" t="s">
        <v>7674</v>
      </c>
      <c r="I3504" t="s">
        <v>15671</v>
      </c>
      <c r="J3504" t="s">
        <v>7984</v>
      </c>
    </row>
    <row r="3505" spans="1:10" x14ac:dyDescent="0.25">
      <c r="A3505" t="s">
        <v>15674</v>
      </c>
      <c r="B3505">
        <v>5.9920000000000009</v>
      </c>
      <c r="C3505" t="s">
        <v>15675</v>
      </c>
      <c r="D3505" t="s">
        <v>2587</v>
      </c>
      <c r="E3505" t="s">
        <v>15667</v>
      </c>
      <c r="F3505" t="s">
        <v>7672</v>
      </c>
      <c r="G3505" t="s">
        <v>15668</v>
      </c>
      <c r="H3505" t="s">
        <v>7674</v>
      </c>
      <c r="I3505" t="s">
        <v>10843</v>
      </c>
      <c r="J3505" t="s">
        <v>7984</v>
      </c>
    </row>
    <row r="3506" spans="1:10" x14ac:dyDescent="0.25">
      <c r="A3506" t="s">
        <v>15676</v>
      </c>
      <c r="B3506">
        <v>5.9920000000000009</v>
      </c>
      <c r="C3506" t="s">
        <v>15677</v>
      </c>
      <c r="D3506" t="s">
        <v>151</v>
      </c>
      <c r="E3506" t="s">
        <v>15667</v>
      </c>
      <c r="F3506" t="s">
        <v>7672</v>
      </c>
      <c r="G3506" t="s">
        <v>15668</v>
      </c>
      <c r="H3506" t="s">
        <v>7674</v>
      </c>
      <c r="I3506" t="s">
        <v>10843</v>
      </c>
      <c r="J3506" t="s">
        <v>7987</v>
      </c>
    </row>
    <row r="3507" spans="1:10" x14ac:dyDescent="0.25">
      <c r="A3507" t="s">
        <v>15678</v>
      </c>
      <c r="B3507">
        <v>5.9920000000000009</v>
      </c>
      <c r="C3507" t="s">
        <v>15679</v>
      </c>
      <c r="D3507" t="s">
        <v>1767</v>
      </c>
      <c r="E3507" t="s">
        <v>15667</v>
      </c>
      <c r="F3507" t="s">
        <v>7672</v>
      </c>
      <c r="G3507" t="s">
        <v>15668</v>
      </c>
      <c r="H3507" t="s">
        <v>7674</v>
      </c>
      <c r="I3507" t="s">
        <v>15671</v>
      </c>
      <c r="J3507" t="s">
        <v>7987</v>
      </c>
    </row>
    <row r="3508" spans="1:10" x14ac:dyDescent="0.25">
      <c r="A3508" t="s">
        <v>15680</v>
      </c>
      <c r="B3508">
        <v>5.9920000000000009</v>
      </c>
      <c r="C3508" t="s">
        <v>15681</v>
      </c>
      <c r="D3508" t="s">
        <v>981</v>
      </c>
      <c r="E3508" t="s">
        <v>15667</v>
      </c>
      <c r="F3508" t="s">
        <v>7672</v>
      </c>
      <c r="G3508" t="s">
        <v>15668</v>
      </c>
      <c r="H3508" t="s">
        <v>7674</v>
      </c>
      <c r="I3508" t="s">
        <v>15671</v>
      </c>
      <c r="J3508" t="s">
        <v>8001</v>
      </c>
    </row>
    <row r="3509" spans="1:10" x14ac:dyDescent="0.25">
      <c r="A3509" t="s">
        <v>15682</v>
      </c>
      <c r="B3509">
        <v>5.9920000000000009</v>
      </c>
      <c r="C3509" t="s">
        <v>15683</v>
      </c>
      <c r="D3509" t="s">
        <v>725</v>
      </c>
      <c r="E3509" t="s">
        <v>15667</v>
      </c>
      <c r="F3509" t="s">
        <v>7672</v>
      </c>
      <c r="G3509" t="s">
        <v>15668</v>
      </c>
      <c r="H3509" t="s">
        <v>7674</v>
      </c>
      <c r="I3509" t="s">
        <v>10843</v>
      </c>
      <c r="J3509" t="s">
        <v>8422</v>
      </c>
    </row>
    <row r="3510" spans="1:10" x14ac:dyDescent="0.25">
      <c r="A3510" t="s">
        <v>15684</v>
      </c>
      <c r="B3510">
        <v>5.9920000000000009</v>
      </c>
      <c r="C3510" t="s">
        <v>15685</v>
      </c>
      <c r="D3510" t="s">
        <v>2056</v>
      </c>
      <c r="E3510" t="s">
        <v>15667</v>
      </c>
      <c r="F3510" t="s">
        <v>7672</v>
      </c>
      <c r="G3510" t="s">
        <v>15668</v>
      </c>
      <c r="H3510" t="s">
        <v>7674</v>
      </c>
      <c r="I3510" t="s">
        <v>15671</v>
      </c>
      <c r="J3510" t="s">
        <v>8422</v>
      </c>
    </row>
    <row r="3511" spans="1:10" x14ac:dyDescent="0.25">
      <c r="A3511" t="s">
        <v>15686</v>
      </c>
      <c r="B3511">
        <v>5.9920000000000009</v>
      </c>
      <c r="C3511" t="s">
        <v>15687</v>
      </c>
      <c r="D3511" t="s">
        <v>2253</v>
      </c>
      <c r="E3511" t="s">
        <v>15667</v>
      </c>
      <c r="F3511" t="s">
        <v>7672</v>
      </c>
      <c r="G3511" t="s">
        <v>15668</v>
      </c>
      <c r="H3511" t="s">
        <v>7674</v>
      </c>
      <c r="I3511" t="s">
        <v>10843</v>
      </c>
      <c r="J3511" t="s">
        <v>11023</v>
      </c>
    </row>
    <row r="3512" spans="1:10" x14ac:dyDescent="0.25">
      <c r="A3512" t="s">
        <v>15688</v>
      </c>
      <c r="B3512">
        <v>5.9920000000000009</v>
      </c>
      <c r="C3512" t="s">
        <v>15689</v>
      </c>
      <c r="D3512" t="s">
        <v>659</v>
      </c>
      <c r="E3512" t="s">
        <v>15667</v>
      </c>
      <c r="F3512" t="s">
        <v>7672</v>
      </c>
      <c r="G3512" t="s">
        <v>15668</v>
      </c>
      <c r="H3512" t="s">
        <v>7674</v>
      </c>
      <c r="I3512" t="s">
        <v>15671</v>
      </c>
      <c r="J3512" t="s">
        <v>11023</v>
      </c>
    </row>
    <row r="3513" spans="1:10" x14ac:dyDescent="0.25">
      <c r="A3513" t="s">
        <v>15690</v>
      </c>
      <c r="B3513">
        <v>5.9920000000000009</v>
      </c>
      <c r="C3513" t="s">
        <v>15691</v>
      </c>
      <c r="D3513" t="s">
        <v>875</v>
      </c>
      <c r="E3513" t="s">
        <v>15667</v>
      </c>
      <c r="F3513" t="s">
        <v>7672</v>
      </c>
      <c r="G3513" t="s">
        <v>15668</v>
      </c>
      <c r="H3513" t="s">
        <v>7674</v>
      </c>
      <c r="I3513" t="s">
        <v>15671</v>
      </c>
      <c r="J3513" t="s">
        <v>11030</v>
      </c>
    </row>
    <row r="3514" spans="1:10" x14ac:dyDescent="0.25">
      <c r="A3514" t="s">
        <v>15692</v>
      </c>
      <c r="B3514">
        <v>11.992000000000001</v>
      </c>
      <c r="C3514" t="s">
        <v>15693</v>
      </c>
      <c r="D3514" t="s">
        <v>588</v>
      </c>
      <c r="E3514" t="s">
        <v>15694</v>
      </c>
      <c r="F3514" t="s">
        <v>7672</v>
      </c>
      <c r="G3514" t="s">
        <v>15695</v>
      </c>
      <c r="H3514" t="s">
        <v>13951</v>
      </c>
      <c r="I3514" t="s">
        <v>15696</v>
      </c>
      <c r="J3514" t="s">
        <v>282</v>
      </c>
    </row>
    <row r="3515" spans="1:10" x14ac:dyDescent="0.25">
      <c r="A3515" t="s">
        <v>15697</v>
      </c>
      <c r="B3515">
        <v>11.992000000000001</v>
      </c>
      <c r="C3515" t="s">
        <v>15698</v>
      </c>
      <c r="D3515" t="s">
        <v>53</v>
      </c>
      <c r="E3515" t="s">
        <v>15694</v>
      </c>
      <c r="F3515" t="s">
        <v>7672</v>
      </c>
      <c r="G3515" t="s">
        <v>15695</v>
      </c>
      <c r="H3515" t="s">
        <v>13951</v>
      </c>
      <c r="I3515" t="s">
        <v>15696</v>
      </c>
      <c r="J3515" t="s">
        <v>53</v>
      </c>
    </row>
    <row r="3516" spans="1:10" x14ac:dyDescent="0.25">
      <c r="A3516" t="s">
        <v>15699</v>
      </c>
      <c r="B3516">
        <v>7.1920000000000002</v>
      </c>
      <c r="C3516" t="s">
        <v>15700</v>
      </c>
      <c r="D3516" t="s">
        <v>9506</v>
      </c>
      <c r="E3516" t="s">
        <v>15701</v>
      </c>
      <c r="F3516" t="s">
        <v>7672</v>
      </c>
      <c r="G3516" t="s">
        <v>15702</v>
      </c>
      <c r="H3516" t="s">
        <v>7674</v>
      </c>
      <c r="I3516" t="s">
        <v>3636</v>
      </c>
      <c r="J3516" t="s">
        <v>582</v>
      </c>
    </row>
    <row r="3517" spans="1:10" x14ac:dyDescent="0.25">
      <c r="A3517" t="s">
        <v>15703</v>
      </c>
      <c r="B3517">
        <v>7.1920000000000002</v>
      </c>
      <c r="C3517" t="s">
        <v>15704</v>
      </c>
      <c r="D3517" t="s">
        <v>9592</v>
      </c>
      <c r="E3517" t="s">
        <v>15701</v>
      </c>
      <c r="F3517" t="s">
        <v>7672</v>
      </c>
      <c r="G3517" t="s">
        <v>15702</v>
      </c>
      <c r="H3517" t="s">
        <v>7674</v>
      </c>
      <c r="I3517" t="s">
        <v>5986</v>
      </c>
      <c r="J3517" t="s">
        <v>582</v>
      </c>
    </row>
    <row r="3518" spans="1:10" x14ac:dyDescent="0.25">
      <c r="A3518" t="s">
        <v>15705</v>
      </c>
      <c r="B3518">
        <v>7.1920000000000002</v>
      </c>
      <c r="C3518" t="s">
        <v>15706</v>
      </c>
      <c r="D3518" t="s">
        <v>240</v>
      </c>
      <c r="E3518" t="s">
        <v>15701</v>
      </c>
      <c r="F3518" t="s">
        <v>7672</v>
      </c>
      <c r="G3518" t="s">
        <v>15702</v>
      </c>
      <c r="H3518" t="s">
        <v>7674</v>
      </c>
      <c r="I3518" t="s">
        <v>15707</v>
      </c>
      <c r="J3518" t="s">
        <v>582</v>
      </c>
    </row>
    <row r="3519" spans="1:10" x14ac:dyDescent="0.25">
      <c r="A3519" t="s">
        <v>15708</v>
      </c>
      <c r="B3519">
        <v>7.1920000000000002</v>
      </c>
      <c r="C3519" t="s">
        <v>15709</v>
      </c>
      <c r="D3519" t="s">
        <v>964</v>
      </c>
      <c r="E3519" t="s">
        <v>15701</v>
      </c>
      <c r="F3519" t="s">
        <v>7672</v>
      </c>
      <c r="G3519" t="s">
        <v>15702</v>
      </c>
      <c r="H3519" t="s">
        <v>7674</v>
      </c>
      <c r="I3519" t="s">
        <v>12325</v>
      </c>
      <c r="J3519" t="s">
        <v>582</v>
      </c>
    </row>
    <row r="3520" spans="1:10" x14ac:dyDescent="0.25">
      <c r="A3520" t="s">
        <v>15710</v>
      </c>
      <c r="B3520">
        <v>7.1920000000000002</v>
      </c>
      <c r="C3520" t="s">
        <v>15711</v>
      </c>
      <c r="D3520" t="s">
        <v>342</v>
      </c>
      <c r="E3520" t="s">
        <v>15701</v>
      </c>
      <c r="F3520" t="s">
        <v>7672</v>
      </c>
      <c r="G3520" t="s">
        <v>15702</v>
      </c>
      <c r="H3520" t="s">
        <v>7674</v>
      </c>
      <c r="I3520" t="s">
        <v>3636</v>
      </c>
      <c r="J3520" t="s">
        <v>1621</v>
      </c>
    </row>
    <row r="3521" spans="1:10" x14ac:dyDescent="0.25">
      <c r="A3521" t="s">
        <v>15712</v>
      </c>
      <c r="B3521">
        <v>12.992000000000001</v>
      </c>
      <c r="C3521" t="s">
        <v>15713</v>
      </c>
      <c r="D3521" t="s">
        <v>15714</v>
      </c>
      <c r="E3521" t="s">
        <v>15715</v>
      </c>
      <c r="F3521" t="s">
        <v>7672</v>
      </c>
      <c r="G3521" t="s">
        <v>15716</v>
      </c>
      <c r="H3521" t="s">
        <v>15717</v>
      </c>
      <c r="I3521" t="s">
        <v>497</v>
      </c>
      <c r="J3521" t="s">
        <v>9694</v>
      </c>
    </row>
    <row r="3522" spans="1:10" x14ac:dyDescent="0.25">
      <c r="A3522" t="s">
        <v>15718</v>
      </c>
      <c r="B3522">
        <v>3.6320000000000001</v>
      </c>
      <c r="C3522" t="s">
        <v>15719</v>
      </c>
      <c r="D3522" t="s">
        <v>4270</v>
      </c>
      <c r="E3522" t="s">
        <v>15720</v>
      </c>
      <c r="F3522" t="s">
        <v>7672</v>
      </c>
      <c r="G3522" t="s">
        <v>10951</v>
      </c>
      <c r="H3522" t="s">
        <v>8515</v>
      </c>
      <c r="I3522" t="s">
        <v>10958</v>
      </c>
      <c r="J3522" t="s">
        <v>100</v>
      </c>
    </row>
    <row r="3523" spans="1:10" x14ac:dyDescent="0.25">
      <c r="A3523" t="s">
        <v>15721</v>
      </c>
      <c r="B3523">
        <v>3.6320000000000001</v>
      </c>
      <c r="C3523" t="s">
        <v>15722</v>
      </c>
      <c r="D3523" t="s">
        <v>67</v>
      </c>
      <c r="E3523" t="s">
        <v>15720</v>
      </c>
      <c r="F3523" t="s">
        <v>7672</v>
      </c>
      <c r="G3523" t="s">
        <v>10951</v>
      </c>
      <c r="H3523" t="s">
        <v>8515</v>
      </c>
      <c r="I3523" t="s">
        <v>10952</v>
      </c>
      <c r="J3523" t="s">
        <v>100</v>
      </c>
    </row>
    <row r="3524" spans="1:10" x14ac:dyDescent="0.25">
      <c r="A3524" t="s">
        <v>15723</v>
      </c>
      <c r="B3524">
        <v>3.6320000000000001</v>
      </c>
      <c r="C3524" t="s">
        <v>15724</v>
      </c>
      <c r="D3524" t="s">
        <v>13710</v>
      </c>
      <c r="E3524" t="s">
        <v>15720</v>
      </c>
      <c r="F3524" t="s">
        <v>7672</v>
      </c>
      <c r="G3524" t="s">
        <v>10951</v>
      </c>
      <c r="H3524" t="s">
        <v>8515</v>
      </c>
      <c r="I3524" t="s">
        <v>145</v>
      </c>
      <c r="J3524" t="s">
        <v>100</v>
      </c>
    </row>
    <row r="3525" spans="1:10" x14ac:dyDescent="0.25">
      <c r="A3525" t="s">
        <v>15725</v>
      </c>
      <c r="B3525">
        <v>3.6320000000000001</v>
      </c>
      <c r="C3525" t="s">
        <v>15726</v>
      </c>
      <c r="D3525" t="s">
        <v>2371</v>
      </c>
      <c r="E3525" t="s">
        <v>15720</v>
      </c>
      <c r="F3525" t="s">
        <v>7672</v>
      </c>
      <c r="G3525" t="s">
        <v>10951</v>
      </c>
      <c r="H3525" t="s">
        <v>8515</v>
      </c>
      <c r="I3525" t="s">
        <v>15727</v>
      </c>
      <c r="J3525" t="s">
        <v>100</v>
      </c>
    </row>
    <row r="3526" spans="1:10" x14ac:dyDescent="0.25">
      <c r="A3526" t="s">
        <v>15728</v>
      </c>
      <c r="B3526">
        <v>3.6320000000000001</v>
      </c>
      <c r="C3526" t="s">
        <v>15729</v>
      </c>
      <c r="D3526" t="s">
        <v>8193</v>
      </c>
      <c r="E3526" t="s">
        <v>15720</v>
      </c>
      <c r="F3526" t="s">
        <v>7672</v>
      </c>
      <c r="G3526" t="s">
        <v>10951</v>
      </c>
      <c r="H3526" t="s">
        <v>8515</v>
      </c>
      <c r="I3526" t="s">
        <v>10958</v>
      </c>
      <c r="J3526" t="s">
        <v>106</v>
      </c>
    </row>
    <row r="3527" spans="1:10" x14ac:dyDescent="0.25">
      <c r="A3527" t="s">
        <v>15730</v>
      </c>
      <c r="B3527">
        <v>3.6320000000000001</v>
      </c>
      <c r="C3527" t="s">
        <v>15731</v>
      </c>
      <c r="D3527" t="s">
        <v>9653</v>
      </c>
      <c r="E3527" t="s">
        <v>15720</v>
      </c>
      <c r="F3527" t="s">
        <v>7672</v>
      </c>
      <c r="G3527" t="s">
        <v>10951</v>
      </c>
      <c r="H3527" t="s">
        <v>8515</v>
      </c>
      <c r="I3527" t="s">
        <v>15727</v>
      </c>
      <c r="J3527" t="s">
        <v>106</v>
      </c>
    </row>
    <row r="3528" spans="1:10" x14ac:dyDescent="0.25">
      <c r="A3528" t="s">
        <v>15732</v>
      </c>
      <c r="B3528">
        <v>3.6320000000000001</v>
      </c>
      <c r="C3528" t="s">
        <v>15733</v>
      </c>
      <c r="D3528" t="s">
        <v>12286</v>
      </c>
      <c r="E3528" t="s">
        <v>15720</v>
      </c>
      <c r="F3528" t="s">
        <v>7672</v>
      </c>
      <c r="G3528" t="s">
        <v>10951</v>
      </c>
      <c r="H3528" t="s">
        <v>8515</v>
      </c>
      <c r="I3528" t="s">
        <v>145</v>
      </c>
      <c r="J3528" t="s">
        <v>106</v>
      </c>
    </row>
    <row r="3529" spans="1:10" x14ac:dyDescent="0.25">
      <c r="A3529" t="s">
        <v>15734</v>
      </c>
      <c r="B3529">
        <v>3.6320000000000001</v>
      </c>
      <c r="C3529" t="s">
        <v>15735</v>
      </c>
      <c r="D3529" t="s">
        <v>742</v>
      </c>
      <c r="E3529" t="s">
        <v>15720</v>
      </c>
      <c r="F3529" t="s">
        <v>7672</v>
      </c>
      <c r="G3529" t="s">
        <v>10951</v>
      </c>
      <c r="H3529" t="s">
        <v>8515</v>
      </c>
      <c r="I3529" t="s">
        <v>15736</v>
      </c>
      <c r="J3529" t="s">
        <v>106</v>
      </c>
    </row>
    <row r="3530" spans="1:10" x14ac:dyDescent="0.25">
      <c r="A3530" t="s">
        <v>15737</v>
      </c>
      <c r="B3530">
        <v>3.6320000000000001</v>
      </c>
      <c r="C3530" t="s">
        <v>15738</v>
      </c>
      <c r="D3530" t="s">
        <v>3070</v>
      </c>
      <c r="E3530" t="s">
        <v>15720</v>
      </c>
      <c r="F3530" t="s">
        <v>7672</v>
      </c>
      <c r="G3530" t="s">
        <v>10951</v>
      </c>
      <c r="H3530" t="s">
        <v>8515</v>
      </c>
      <c r="I3530" t="s">
        <v>15727</v>
      </c>
      <c r="J3530" t="s">
        <v>88</v>
      </c>
    </row>
    <row r="3531" spans="1:10" x14ac:dyDescent="0.25">
      <c r="A3531" t="s">
        <v>15739</v>
      </c>
      <c r="B3531">
        <v>3.6320000000000001</v>
      </c>
      <c r="C3531" t="s">
        <v>15740</v>
      </c>
      <c r="D3531" t="s">
        <v>15741</v>
      </c>
      <c r="E3531" t="s">
        <v>15720</v>
      </c>
      <c r="F3531" t="s">
        <v>7672</v>
      </c>
      <c r="G3531" t="s">
        <v>10951</v>
      </c>
      <c r="H3531" t="s">
        <v>8515</v>
      </c>
      <c r="I3531" t="s">
        <v>145</v>
      </c>
      <c r="J3531" t="s">
        <v>88</v>
      </c>
    </row>
    <row r="3532" spans="1:10" x14ac:dyDescent="0.25">
      <c r="A3532" t="s">
        <v>15742</v>
      </c>
      <c r="B3532">
        <v>3.6320000000000001</v>
      </c>
      <c r="C3532" t="s">
        <v>15743</v>
      </c>
      <c r="D3532" t="s">
        <v>1790</v>
      </c>
      <c r="E3532" t="s">
        <v>15720</v>
      </c>
      <c r="F3532" t="s">
        <v>7672</v>
      </c>
      <c r="G3532" t="s">
        <v>10951</v>
      </c>
      <c r="H3532" t="s">
        <v>8515</v>
      </c>
      <c r="I3532" t="s">
        <v>10952</v>
      </c>
      <c r="J3532" t="s">
        <v>8531</v>
      </c>
    </row>
    <row r="3533" spans="1:10" x14ac:dyDescent="0.25">
      <c r="A3533" t="s">
        <v>15744</v>
      </c>
      <c r="B3533">
        <v>3.6320000000000001</v>
      </c>
      <c r="C3533" t="s">
        <v>15745</v>
      </c>
      <c r="D3533" t="s">
        <v>639</v>
      </c>
      <c r="E3533" t="s">
        <v>15720</v>
      </c>
      <c r="F3533" t="s">
        <v>7672</v>
      </c>
      <c r="G3533" t="s">
        <v>10951</v>
      </c>
      <c r="H3533" t="s">
        <v>8515</v>
      </c>
      <c r="I3533" t="s">
        <v>10958</v>
      </c>
      <c r="J3533" t="s">
        <v>8531</v>
      </c>
    </row>
    <row r="3534" spans="1:10" x14ac:dyDescent="0.25">
      <c r="A3534" t="s">
        <v>15746</v>
      </c>
      <c r="B3534">
        <v>3.6320000000000001</v>
      </c>
      <c r="C3534" t="s">
        <v>15747</v>
      </c>
      <c r="D3534" t="s">
        <v>2845</v>
      </c>
      <c r="E3534" t="s">
        <v>15720</v>
      </c>
      <c r="F3534" t="s">
        <v>7672</v>
      </c>
      <c r="G3534" t="s">
        <v>10951</v>
      </c>
      <c r="H3534" t="s">
        <v>8515</v>
      </c>
      <c r="I3534" t="s">
        <v>15727</v>
      </c>
      <c r="J3534" t="s">
        <v>8531</v>
      </c>
    </row>
    <row r="3535" spans="1:10" x14ac:dyDescent="0.25">
      <c r="A3535" t="s">
        <v>15748</v>
      </c>
      <c r="B3535">
        <v>5.032</v>
      </c>
      <c r="C3535" t="s">
        <v>15749</v>
      </c>
      <c r="D3535" t="s">
        <v>286</v>
      </c>
      <c r="E3535" t="s">
        <v>15750</v>
      </c>
      <c r="F3535" t="s">
        <v>7672</v>
      </c>
      <c r="G3535" t="s">
        <v>15751</v>
      </c>
      <c r="H3535" t="s">
        <v>10298</v>
      </c>
      <c r="I3535" t="s">
        <v>15752</v>
      </c>
      <c r="J3535" t="s">
        <v>7942</v>
      </c>
    </row>
    <row r="3536" spans="1:10" x14ac:dyDescent="0.25">
      <c r="A3536" t="s">
        <v>15753</v>
      </c>
      <c r="B3536">
        <v>5.032</v>
      </c>
      <c r="C3536" t="s">
        <v>15754</v>
      </c>
      <c r="D3536" t="s">
        <v>875</v>
      </c>
      <c r="E3536" t="s">
        <v>15750</v>
      </c>
      <c r="F3536" t="s">
        <v>7672</v>
      </c>
      <c r="G3536" t="s">
        <v>15751</v>
      </c>
      <c r="H3536" t="s">
        <v>10298</v>
      </c>
      <c r="I3536" t="s">
        <v>15755</v>
      </c>
      <c r="J3536" t="s">
        <v>7942</v>
      </c>
    </row>
    <row r="3537" spans="1:10" x14ac:dyDescent="0.25">
      <c r="A3537" t="s">
        <v>15756</v>
      </c>
      <c r="B3537">
        <v>5.032</v>
      </c>
      <c r="C3537" t="s">
        <v>15757</v>
      </c>
      <c r="D3537" t="s">
        <v>926</v>
      </c>
      <c r="E3537" t="s">
        <v>15750</v>
      </c>
      <c r="F3537" t="s">
        <v>7672</v>
      </c>
      <c r="G3537" t="s">
        <v>15751</v>
      </c>
      <c r="H3537" t="s">
        <v>10298</v>
      </c>
      <c r="I3537" t="s">
        <v>15752</v>
      </c>
      <c r="J3537" t="s">
        <v>7981</v>
      </c>
    </row>
    <row r="3538" spans="1:10" x14ac:dyDescent="0.25">
      <c r="A3538" t="s">
        <v>15758</v>
      </c>
      <c r="B3538">
        <v>5.032</v>
      </c>
      <c r="C3538" t="s">
        <v>15759</v>
      </c>
      <c r="D3538" t="s">
        <v>598</v>
      </c>
      <c r="E3538" t="s">
        <v>15750</v>
      </c>
      <c r="F3538" t="s">
        <v>7672</v>
      </c>
      <c r="G3538" t="s">
        <v>15751</v>
      </c>
      <c r="H3538" t="s">
        <v>10298</v>
      </c>
      <c r="I3538" t="s">
        <v>15755</v>
      </c>
      <c r="J3538" t="s">
        <v>7981</v>
      </c>
    </row>
    <row r="3539" spans="1:10" x14ac:dyDescent="0.25">
      <c r="A3539" t="s">
        <v>15760</v>
      </c>
      <c r="B3539">
        <v>5.032</v>
      </c>
      <c r="C3539" t="s">
        <v>15761</v>
      </c>
      <c r="D3539" t="s">
        <v>2138</v>
      </c>
      <c r="E3539" t="s">
        <v>15750</v>
      </c>
      <c r="F3539" t="s">
        <v>7672</v>
      </c>
      <c r="G3539" t="s">
        <v>15751</v>
      </c>
      <c r="H3539" t="s">
        <v>10298</v>
      </c>
      <c r="I3539" t="s">
        <v>15755</v>
      </c>
      <c r="J3539" t="s">
        <v>7984</v>
      </c>
    </row>
    <row r="3540" spans="1:10" x14ac:dyDescent="0.25">
      <c r="A3540" t="s">
        <v>15762</v>
      </c>
      <c r="B3540">
        <v>5.032</v>
      </c>
      <c r="C3540" t="s">
        <v>15763</v>
      </c>
      <c r="D3540" t="s">
        <v>2036</v>
      </c>
      <c r="E3540" t="s">
        <v>15750</v>
      </c>
      <c r="F3540" t="s">
        <v>7672</v>
      </c>
      <c r="G3540" t="s">
        <v>15751</v>
      </c>
      <c r="H3540" t="s">
        <v>10298</v>
      </c>
      <c r="I3540" t="s">
        <v>15752</v>
      </c>
      <c r="J3540" t="s">
        <v>7984</v>
      </c>
    </row>
    <row r="3541" spans="1:10" x14ac:dyDescent="0.25">
      <c r="A3541" t="s">
        <v>15764</v>
      </c>
      <c r="B3541">
        <v>5.032</v>
      </c>
      <c r="C3541" t="s">
        <v>15765</v>
      </c>
      <c r="D3541" t="s">
        <v>613</v>
      </c>
      <c r="E3541" t="s">
        <v>15750</v>
      </c>
      <c r="F3541" t="s">
        <v>7672</v>
      </c>
      <c r="G3541" t="s">
        <v>15751</v>
      </c>
      <c r="H3541" t="s">
        <v>10298</v>
      </c>
      <c r="I3541" t="s">
        <v>15752</v>
      </c>
      <c r="J3541" t="s">
        <v>7987</v>
      </c>
    </row>
    <row r="3542" spans="1:10" x14ac:dyDescent="0.25">
      <c r="A3542" t="s">
        <v>15766</v>
      </c>
      <c r="B3542">
        <v>5.032</v>
      </c>
      <c r="C3542" t="s">
        <v>15767</v>
      </c>
      <c r="D3542" t="s">
        <v>379</v>
      </c>
      <c r="E3542" t="s">
        <v>15750</v>
      </c>
      <c r="F3542" t="s">
        <v>7672</v>
      </c>
      <c r="G3542" t="s">
        <v>15751</v>
      </c>
      <c r="H3542" t="s">
        <v>10298</v>
      </c>
      <c r="I3542" t="s">
        <v>15755</v>
      </c>
      <c r="J3542" t="s">
        <v>7987</v>
      </c>
    </row>
    <row r="3543" spans="1:10" x14ac:dyDescent="0.25">
      <c r="A3543" t="s">
        <v>15768</v>
      </c>
      <c r="B3543">
        <v>5.032</v>
      </c>
      <c r="C3543" t="s">
        <v>15769</v>
      </c>
      <c r="D3543" t="s">
        <v>576</v>
      </c>
      <c r="E3543" t="s">
        <v>15750</v>
      </c>
      <c r="F3543" t="s">
        <v>7672</v>
      </c>
      <c r="G3543" t="s">
        <v>15751</v>
      </c>
      <c r="H3543" t="s">
        <v>10298</v>
      </c>
      <c r="I3543" t="s">
        <v>15752</v>
      </c>
      <c r="J3543" t="s">
        <v>8001</v>
      </c>
    </row>
    <row r="3544" spans="1:10" x14ac:dyDescent="0.25">
      <c r="A3544" t="s">
        <v>15770</v>
      </c>
      <c r="B3544">
        <v>5.032</v>
      </c>
      <c r="C3544" t="s">
        <v>15771</v>
      </c>
      <c r="D3544" t="s">
        <v>342</v>
      </c>
      <c r="E3544" t="s">
        <v>15750</v>
      </c>
      <c r="F3544" t="s">
        <v>7672</v>
      </c>
      <c r="G3544" t="s">
        <v>15751</v>
      </c>
      <c r="H3544" t="s">
        <v>10298</v>
      </c>
      <c r="I3544" t="s">
        <v>15755</v>
      </c>
      <c r="J3544" t="s">
        <v>8001</v>
      </c>
    </row>
    <row r="3545" spans="1:10" x14ac:dyDescent="0.25">
      <c r="A3545" t="s">
        <v>15772</v>
      </c>
      <c r="B3545">
        <v>12</v>
      </c>
      <c r="C3545" t="s">
        <v>15773</v>
      </c>
      <c r="D3545" t="s">
        <v>15774</v>
      </c>
      <c r="E3545" t="s">
        <v>15775</v>
      </c>
      <c r="F3545" t="s">
        <v>7672</v>
      </c>
      <c r="G3545" t="s">
        <v>13069</v>
      </c>
      <c r="H3545" t="s">
        <v>7965</v>
      </c>
      <c r="I3545" t="s">
        <v>5202</v>
      </c>
      <c r="J3545" t="s">
        <v>7981</v>
      </c>
    </row>
    <row r="3546" spans="1:10" x14ac:dyDescent="0.25">
      <c r="A3546" t="s">
        <v>15776</v>
      </c>
      <c r="B3546">
        <v>12</v>
      </c>
      <c r="C3546" t="s">
        <v>15777</v>
      </c>
      <c r="D3546" t="s">
        <v>15778</v>
      </c>
      <c r="E3546" t="s">
        <v>15775</v>
      </c>
      <c r="F3546" t="s">
        <v>7672</v>
      </c>
      <c r="G3546" t="s">
        <v>13069</v>
      </c>
      <c r="H3546" t="s">
        <v>7965</v>
      </c>
      <c r="I3546" t="s">
        <v>5202</v>
      </c>
      <c r="J3546" t="s">
        <v>7984</v>
      </c>
    </row>
    <row r="3547" spans="1:10" x14ac:dyDescent="0.25">
      <c r="A3547" t="s">
        <v>15779</v>
      </c>
      <c r="B3547">
        <v>12</v>
      </c>
      <c r="C3547" t="s">
        <v>15780</v>
      </c>
      <c r="D3547" t="s">
        <v>15781</v>
      </c>
      <c r="E3547" t="s">
        <v>15775</v>
      </c>
      <c r="F3547" t="s">
        <v>7672</v>
      </c>
      <c r="G3547" t="s">
        <v>13069</v>
      </c>
      <c r="H3547" t="s">
        <v>7965</v>
      </c>
      <c r="I3547" t="s">
        <v>5202</v>
      </c>
      <c r="J3547" t="s">
        <v>7987</v>
      </c>
    </row>
    <row r="3548" spans="1:10" x14ac:dyDescent="0.25">
      <c r="A3548" t="s">
        <v>15782</v>
      </c>
      <c r="B3548">
        <v>12</v>
      </c>
      <c r="C3548" t="s">
        <v>15783</v>
      </c>
      <c r="D3548" t="s">
        <v>8888</v>
      </c>
      <c r="E3548" t="s">
        <v>15775</v>
      </c>
      <c r="F3548" t="s">
        <v>7672</v>
      </c>
      <c r="G3548" t="s">
        <v>13069</v>
      </c>
      <c r="H3548" t="s">
        <v>7965</v>
      </c>
      <c r="I3548" t="s">
        <v>5202</v>
      </c>
      <c r="J3548" t="s">
        <v>8001</v>
      </c>
    </row>
    <row r="3549" spans="1:10" x14ac:dyDescent="0.25">
      <c r="A3549" t="s">
        <v>15784</v>
      </c>
      <c r="B3549">
        <v>7.9920000000000009</v>
      </c>
      <c r="C3549" t="s">
        <v>15785</v>
      </c>
      <c r="D3549" t="s">
        <v>53</v>
      </c>
      <c r="E3549" t="s">
        <v>15786</v>
      </c>
      <c r="F3549" t="s">
        <v>7672</v>
      </c>
      <c r="G3549" t="s">
        <v>15787</v>
      </c>
      <c r="H3549" t="s">
        <v>8301</v>
      </c>
      <c r="I3549" t="s">
        <v>15788</v>
      </c>
      <c r="J3549" t="s">
        <v>164</v>
      </c>
    </row>
    <row r="3550" spans="1:10" x14ac:dyDescent="0.25">
      <c r="A3550" t="s">
        <v>15789</v>
      </c>
      <c r="B3550">
        <v>7.9920000000000009</v>
      </c>
      <c r="C3550" t="s">
        <v>15790</v>
      </c>
      <c r="D3550" t="s">
        <v>290</v>
      </c>
      <c r="E3550" t="s">
        <v>15786</v>
      </c>
      <c r="F3550" t="s">
        <v>7672</v>
      </c>
      <c r="G3550" t="s">
        <v>15787</v>
      </c>
      <c r="H3550" t="s">
        <v>8301</v>
      </c>
      <c r="I3550" t="s">
        <v>15788</v>
      </c>
      <c r="J3550" t="s">
        <v>12985</v>
      </c>
    </row>
    <row r="3551" spans="1:10" x14ac:dyDescent="0.25">
      <c r="A3551" t="s">
        <v>15791</v>
      </c>
      <c r="B3551">
        <v>7.9920000000000009</v>
      </c>
      <c r="C3551" t="s">
        <v>15792</v>
      </c>
      <c r="D3551" t="s">
        <v>100</v>
      </c>
      <c r="E3551" t="s">
        <v>15786</v>
      </c>
      <c r="F3551" t="s">
        <v>7672</v>
      </c>
      <c r="G3551" t="s">
        <v>15787</v>
      </c>
      <c r="H3551" t="s">
        <v>8301</v>
      </c>
      <c r="I3551" t="s">
        <v>15788</v>
      </c>
      <c r="J3551" t="s">
        <v>12988</v>
      </c>
    </row>
    <row r="3552" spans="1:10" x14ac:dyDescent="0.25">
      <c r="A3552" t="s">
        <v>15793</v>
      </c>
      <c r="B3552">
        <v>7.9920000000000009</v>
      </c>
      <c r="C3552" t="s">
        <v>15794</v>
      </c>
      <c r="D3552" t="s">
        <v>576</v>
      </c>
      <c r="E3552" t="s">
        <v>15786</v>
      </c>
      <c r="F3552" t="s">
        <v>7672</v>
      </c>
      <c r="G3552" t="s">
        <v>15787</v>
      </c>
      <c r="H3552" t="s">
        <v>8301</v>
      </c>
      <c r="I3552" t="s">
        <v>15788</v>
      </c>
      <c r="J3552" t="s">
        <v>15795</v>
      </c>
    </row>
    <row r="3553" spans="1:10" x14ac:dyDescent="0.25">
      <c r="A3553" t="s">
        <v>15796</v>
      </c>
      <c r="B3553">
        <v>7.9920000000000009</v>
      </c>
      <c r="C3553" t="s">
        <v>15797</v>
      </c>
      <c r="D3553" t="s">
        <v>100</v>
      </c>
      <c r="E3553" t="s">
        <v>15786</v>
      </c>
      <c r="F3553" t="s">
        <v>7672</v>
      </c>
      <c r="G3553" t="s">
        <v>15787</v>
      </c>
      <c r="H3553" t="s">
        <v>8301</v>
      </c>
      <c r="I3553" t="s">
        <v>15788</v>
      </c>
      <c r="J3553" t="s">
        <v>15798</v>
      </c>
    </row>
    <row r="3554" spans="1:10" x14ac:dyDescent="0.25">
      <c r="A3554" t="s">
        <v>15799</v>
      </c>
      <c r="B3554">
        <v>7.9920000000000009</v>
      </c>
      <c r="C3554" t="s">
        <v>15800</v>
      </c>
      <c r="D3554" t="s">
        <v>100</v>
      </c>
      <c r="E3554" t="s">
        <v>15786</v>
      </c>
      <c r="F3554" t="s">
        <v>7672</v>
      </c>
      <c r="G3554" t="s">
        <v>15787</v>
      </c>
      <c r="H3554" t="s">
        <v>8301</v>
      </c>
      <c r="I3554" t="s">
        <v>15788</v>
      </c>
      <c r="J3554" t="s">
        <v>15801</v>
      </c>
    </row>
    <row r="3555" spans="1:10" x14ac:dyDescent="0.25">
      <c r="A3555" t="s">
        <v>15802</v>
      </c>
      <c r="B3555">
        <v>7.9920000000000009</v>
      </c>
      <c r="C3555" t="s">
        <v>15803</v>
      </c>
      <c r="D3555" t="s">
        <v>301</v>
      </c>
      <c r="E3555" t="s">
        <v>15786</v>
      </c>
      <c r="F3555" t="s">
        <v>7672</v>
      </c>
      <c r="G3555" t="s">
        <v>15787</v>
      </c>
      <c r="H3555" t="s">
        <v>8301</v>
      </c>
      <c r="I3555" t="s">
        <v>15788</v>
      </c>
      <c r="J3555" t="s">
        <v>9457</v>
      </c>
    </row>
    <row r="3556" spans="1:10" x14ac:dyDescent="0.25">
      <c r="A3556" t="s">
        <v>15804</v>
      </c>
      <c r="B3556">
        <v>7.9920000000000009</v>
      </c>
      <c r="C3556" t="s">
        <v>15805</v>
      </c>
      <c r="D3556" t="s">
        <v>359</v>
      </c>
      <c r="E3556" t="s">
        <v>15786</v>
      </c>
      <c r="F3556" t="s">
        <v>7672</v>
      </c>
      <c r="G3556" t="s">
        <v>15787</v>
      </c>
      <c r="H3556" t="s">
        <v>8301</v>
      </c>
      <c r="I3556" t="s">
        <v>15788</v>
      </c>
      <c r="J3556" t="s">
        <v>9466</v>
      </c>
    </row>
    <row r="3557" spans="1:10" x14ac:dyDescent="0.25">
      <c r="A3557" t="s">
        <v>15806</v>
      </c>
      <c r="B3557">
        <v>7.9920000000000009</v>
      </c>
      <c r="C3557" t="s">
        <v>15807</v>
      </c>
      <c r="D3557" t="s">
        <v>95</v>
      </c>
      <c r="E3557" t="s">
        <v>15786</v>
      </c>
      <c r="F3557" t="s">
        <v>7672</v>
      </c>
      <c r="G3557" t="s">
        <v>15787</v>
      </c>
      <c r="H3557" t="s">
        <v>8301</v>
      </c>
      <c r="I3557" t="s">
        <v>15788</v>
      </c>
      <c r="J3557" t="s">
        <v>9473</v>
      </c>
    </row>
    <row r="3558" spans="1:10" x14ac:dyDescent="0.25">
      <c r="A3558" t="s">
        <v>3782</v>
      </c>
      <c r="B3558">
        <v>7.56</v>
      </c>
      <c r="C3558" t="s">
        <v>3784</v>
      </c>
      <c r="D3558" t="s">
        <v>342</v>
      </c>
      <c r="E3558" t="s">
        <v>3785</v>
      </c>
      <c r="F3558" t="s">
        <v>7672</v>
      </c>
      <c r="G3558" t="s">
        <v>15808</v>
      </c>
      <c r="H3558" t="s">
        <v>15809</v>
      </c>
      <c r="I3558" t="s">
        <v>3788</v>
      </c>
      <c r="J3558" t="s">
        <v>7981</v>
      </c>
    </row>
    <row r="3559" spans="1:10" x14ac:dyDescent="0.25">
      <c r="A3559" t="s">
        <v>3789</v>
      </c>
      <c r="B3559">
        <v>7.56</v>
      </c>
      <c r="C3559" t="s">
        <v>3791</v>
      </c>
      <c r="D3559" t="s">
        <v>131</v>
      </c>
      <c r="E3559" t="s">
        <v>3785</v>
      </c>
      <c r="F3559" t="s">
        <v>7672</v>
      </c>
      <c r="G3559" t="s">
        <v>15808</v>
      </c>
      <c r="H3559" t="s">
        <v>15809</v>
      </c>
      <c r="I3559" t="s">
        <v>3788</v>
      </c>
      <c r="J3559" t="s">
        <v>8001</v>
      </c>
    </row>
    <row r="3560" spans="1:10" x14ac:dyDescent="0.25">
      <c r="A3560" t="s">
        <v>15810</v>
      </c>
      <c r="B3560">
        <v>17.488</v>
      </c>
      <c r="C3560" t="s">
        <v>15811</v>
      </c>
      <c r="D3560" t="s">
        <v>742</v>
      </c>
      <c r="E3560" t="s">
        <v>3797</v>
      </c>
      <c r="F3560" t="s">
        <v>7672</v>
      </c>
      <c r="G3560" t="s">
        <v>15812</v>
      </c>
      <c r="H3560" t="s">
        <v>12423</v>
      </c>
      <c r="I3560" t="s">
        <v>15813</v>
      </c>
      <c r="J3560" t="s">
        <v>7675</v>
      </c>
    </row>
    <row r="3561" spans="1:10" x14ac:dyDescent="0.25">
      <c r="A3561" t="s">
        <v>15814</v>
      </c>
      <c r="B3561">
        <v>17.488</v>
      </c>
      <c r="C3561" t="s">
        <v>15815</v>
      </c>
      <c r="D3561" t="s">
        <v>95</v>
      </c>
      <c r="E3561" t="s">
        <v>3797</v>
      </c>
      <c r="F3561" t="s">
        <v>7672</v>
      </c>
      <c r="G3561" t="s">
        <v>15812</v>
      </c>
      <c r="H3561" t="s">
        <v>12423</v>
      </c>
      <c r="I3561" t="s">
        <v>15816</v>
      </c>
      <c r="J3561" t="s">
        <v>7675</v>
      </c>
    </row>
    <row r="3562" spans="1:10" x14ac:dyDescent="0.25">
      <c r="A3562" t="s">
        <v>15817</v>
      </c>
      <c r="B3562">
        <v>17.488</v>
      </c>
      <c r="C3562" t="s">
        <v>15818</v>
      </c>
      <c r="D3562" t="s">
        <v>588</v>
      </c>
      <c r="E3562" t="s">
        <v>3797</v>
      </c>
      <c r="F3562" t="s">
        <v>7672</v>
      </c>
      <c r="G3562" t="s">
        <v>15812</v>
      </c>
      <c r="H3562" t="s">
        <v>12423</v>
      </c>
      <c r="I3562" t="s">
        <v>15816</v>
      </c>
      <c r="J3562" t="s">
        <v>7686</v>
      </c>
    </row>
    <row r="3563" spans="1:10" x14ac:dyDescent="0.25">
      <c r="A3563" t="s">
        <v>15819</v>
      </c>
      <c r="B3563">
        <v>17.488</v>
      </c>
      <c r="C3563" t="s">
        <v>15820</v>
      </c>
      <c r="D3563" t="s">
        <v>2879</v>
      </c>
      <c r="E3563" t="s">
        <v>3797</v>
      </c>
      <c r="F3563" t="s">
        <v>7672</v>
      </c>
      <c r="G3563" t="s">
        <v>15812</v>
      </c>
      <c r="H3563" t="s">
        <v>12423</v>
      </c>
      <c r="I3563" t="s">
        <v>15816</v>
      </c>
      <c r="J3563" t="s">
        <v>7703</v>
      </c>
    </row>
    <row r="3564" spans="1:10" x14ac:dyDescent="0.25">
      <c r="A3564" t="s">
        <v>15821</v>
      </c>
      <c r="B3564">
        <v>17.488</v>
      </c>
      <c r="C3564" t="s">
        <v>15822</v>
      </c>
      <c r="D3564" t="s">
        <v>330</v>
      </c>
      <c r="E3564" t="s">
        <v>3797</v>
      </c>
      <c r="F3564" t="s">
        <v>7672</v>
      </c>
      <c r="G3564" t="s">
        <v>15812</v>
      </c>
      <c r="H3564" t="s">
        <v>12423</v>
      </c>
      <c r="I3564" t="s">
        <v>15813</v>
      </c>
      <c r="J3564" t="s">
        <v>7713</v>
      </c>
    </row>
    <row r="3565" spans="1:10" x14ac:dyDescent="0.25">
      <c r="A3565" t="s">
        <v>15823</v>
      </c>
      <c r="B3565">
        <v>17.488</v>
      </c>
      <c r="C3565" t="s">
        <v>15824</v>
      </c>
      <c r="D3565" t="s">
        <v>2879</v>
      </c>
      <c r="E3565" t="s">
        <v>3797</v>
      </c>
      <c r="F3565" t="s">
        <v>7672</v>
      </c>
      <c r="G3565" t="s">
        <v>15812</v>
      </c>
      <c r="H3565" t="s">
        <v>12423</v>
      </c>
      <c r="I3565" t="s">
        <v>15816</v>
      </c>
      <c r="J3565" t="s">
        <v>7713</v>
      </c>
    </row>
    <row r="3566" spans="1:10" x14ac:dyDescent="0.25">
      <c r="A3566" t="s">
        <v>3794</v>
      </c>
      <c r="B3566">
        <v>17.488</v>
      </c>
      <c r="C3566" t="s">
        <v>3796</v>
      </c>
      <c r="D3566" t="s">
        <v>352</v>
      </c>
      <c r="E3566" t="s">
        <v>3797</v>
      </c>
      <c r="F3566" t="s">
        <v>7672</v>
      </c>
      <c r="G3566" t="s">
        <v>15812</v>
      </c>
      <c r="H3566" t="s">
        <v>12423</v>
      </c>
      <c r="I3566" t="s">
        <v>12424</v>
      </c>
      <c r="J3566" t="s">
        <v>7719</v>
      </c>
    </row>
    <row r="3567" spans="1:10" x14ac:dyDescent="0.25">
      <c r="A3567" t="s">
        <v>15825</v>
      </c>
      <c r="B3567">
        <v>17.488</v>
      </c>
      <c r="C3567" t="s">
        <v>15826</v>
      </c>
      <c r="D3567" t="s">
        <v>576</v>
      </c>
      <c r="E3567" t="s">
        <v>3797</v>
      </c>
      <c r="F3567" t="s">
        <v>7672</v>
      </c>
      <c r="G3567" t="s">
        <v>15812</v>
      </c>
      <c r="H3567" t="s">
        <v>12423</v>
      </c>
      <c r="I3567" t="s">
        <v>15813</v>
      </c>
      <c r="J3567" t="s">
        <v>7719</v>
      </c>
    </row>
    <row r="3568" spans="1:10" x14ac:dyDescent="0.25">
      <c r="A3568" t="s">
        <v>15827</v>
      </c>
      <c r="B3568">
        <v>17.488</v>
      </c>
      <c r="C3568" t="s">
        <v>15828</v>
      </c>
      <c r="D3568" t="s">
        <v>359</v>
      </c>
      <c r="E3568" t="s">
        <v>3797</v>
      </c>
      <c r="F3568" t="s">
        <v>7672</v>
      </c>
      <c r="G3568" t="s">
        <v>15812</v>
      </c>
      <c r="H3568" t="s">
        <v>12423</v>
      </c>
      <c r="I3568" t="s">
        <v>15816</v>
      </c>
      <c r="J3568" t="s">
        <v>7719</v>
      </c>
    </row>
    <row r="3569" spans="1:10" x14ac:dyDescent="0.25">
      <c r="A3569" t="s">
        <v>3800</v>
      </c>
      <c r="B3569">
        <v>4.8000000000000007</v>
      </c>
      <c r="C3569" t="s">
        <v>3802</v>
      </c>
      <c r="D3569" t="s">
        <v>964</v>
      </c>
      <c r="E3569" t="s">
        <v>3803</v>
      </c>
      <c r="F3569" t="s">
        <v>7672</v>
      </c>
      <c r="G3569" t="s">
        <v>15829</v>
      </c>
      <c r="H3569" t="s">
        <v>11496</v>
      </c>
      <c r="I3569" t="s">
        <v>15830</v>
      </c>
      <c r="J3569" t="s">
        <v>9423</v>
      </c>
    </row>
    <row r="3570" spans="1:10" x14ac:dyDescent="0.25">
      <c r="A3570" t="s">
        <v>15831</v>
      </c>
      <c r="B3570">
        <v>4.8000000000000007</v>
      </c>
      <c r="C3570" t="s">
        <v>15832</v>
      </c>
      <c r="D3570" t="s">
        <v>576</v>
      </c>
      <c r="E3570" t="s">
        <v>3803</v>
      </c>
      <c r="F3570" t="s">
        <v>7672</v>
      </c>
      <c r="G3570" t="s">
        <v>15829</v>
      </c>
      <c r="H3570" t="s">
        <v>11496</v>
      </c>
      <c r="I3570" t="s">
        <v>15830</v>
      </c>
      <c r="J3570" t="s">
        <v>10862</v>
      </c>
    </row>
    <row r="3571" spans="1:10" x14ac:dyDescent="0.25">
      <c r="A3571" t="s">
        <v>15833</v>
      </c>
      <c r="B3571">
        <v>4.8000000000000007</v>
      </c>
      <c r="C3571" t="s">
        <v>15834</v>
      </c>
      <c r="D3571" t="s">
        <v>2620</v>
      </c>
      <c r="E3571" t="s">
        <v>3803</v>
      </c>
      <c r="F3571" t="s">
        <v>7672</v>
      </c>
      <c r="G3571" t="s">
        <v>15829</v>
      </c>
      <c r="H3571" t="s">
        <v>11496</v>
      </c>
      <c r="I3571" t="s">
        <v>15830</v>
      </c>
      <c r="J3571" t="s">
        <v>13084</v>
      </c>
    </row>
    <row r="3572" spans="1:10" x14ac:dyDescent="0.25">
      <c r="A3572" t="s">
        <v>3806</v>
      </c>
      <c r="B3572">
        <v>4.8000000000000007</v>
      </c>
      <c r="C3572" t="s">
        <v>3808</v>
      </c>
      <c r="D3572" t="s">
        <v>698</v>
      </c>
      <c r="E3572" t="s">
        <v>3803</v>
      </c>
      <c r="F3572" t="s">
        <v>7672</v>
      </c>
      <c r="G3572" t="s">
        <v>15829</v>
      </c>
      <c r="H3572" t="s">
        <v>11496</v>
      </c>
      <c r="I3572" t="s">
        <v>15830</v>
      </c>
      <c r="J3572" t="s">
        <v>11767</v>
      </c>
    </row>
    <row r="3573" spans="1:10" x14ac:dyDescent="0.25">
      <c r="A3573" t="s">
        <v>15835</v>
      </c>
      <c r="B3573">
        <v>7.2</v>
      </c>
      <c r="C3573" t="s">
        <v>15836</v>
      </c>
      <c r="D3573" t="s">
        <v>95</v>
      </c>
      <c r="E3573" t="s">
        <v>15837</v>
      </c>
      <c r="F3573" t="s">
        <v>7672</v>
      </c>
      <c r="G3573" t="s">
        <v>15838</v>
      </c>
      <c r="H3573" t="s">
        <v>10298</v>
      </c>
      <c r="I3573" t="s">
        <v>76</v>
      </c>
      <c r="J3573" t="s">
        <v>7942</v>
      </c>
    </row>
    <row r="3574" spans="1:10" x14ac:dyDescent="0.25">
      <c r="A3574" t="s">
        <v>15839</v>
      </c>
      <c r="B3574">
        <v>7.2</v>
      </c>
      <c r="C3574" t="s">
        <v>15840</v>
      </c>
      <c r="D3574" t="s">
        <v>60</v>
      </c>
      <c r="E3574" t="s">
        <v>15837</v>
      </c>
      <c r="F3574" t="s">
        <v>7672</v>
      </c>
      <c r="G3574" t="s">
        <v>15838</v>
      </c>
      <c r="H3574" t="s">
        <v>10298</v>
      </c>
      <c r="I3574" t="s">
        <v>9807</v>
      </c>
      <c r="J3574" t="s">
        <v>7942</v>
      </c>
    </row>
    <row r="3575" spans="1:10" x14ac:dyDescent="0.25">
      <c r="A3575" t="s">
        <v>15841</v>
      </c>
      <c r="B3575">
        <v>7.2</v>
      </c>
      <c r="C3575" t="s">
        <v>15842</v>
      </c>
      <c r="D3575" t="s">
        <v>3153</v>
      </c>
      <c r="E3575" t="s">
        <v>15837</v>
      </c>
      <c r="F3575" t="s">
        <v>7672</v>
      </c>
      <c r="G3575" t="s">
        <v>15838</v>
      </c>
      <c r="H3575" t="s">
        <v>10298</v>
      </c>
      <c r="I3575" t="s">
        <v>15843</v>
      </c>
      <c r="J3575" t="s">
        <v>7942</v>
      </c>
    </row>
    <row r="3576" spans="1:10" x14ac:dyDescent="0.25">
      <c r="A3576" t="s">
        <v>15844</v>
      </c>
      <c r="B3576">
        <v>7.2</v>
      </c>
      <c r="C3576" t="s">
        <v>15845</v>
      </c>
      <c r="D3576" t="s">
        <v>2376</v>
      </c>
      <c r="E3576" t="s">
        <v>15837</v>
      </c>
      <c r="F3576" t="s">
        <v>7672</v>
      </c>
      <c r="G3576" t="s">
        <v>15838</v>
      </c>
      <c r="H3576" t="s">
        <v>10298</v>
      </c>
      <c r="I3576" t="s">
        <v>76</v>
      </c>
      <c r="J3576" t="s">
        <v>7981</v>
      </c>
    </row>
    <row r="3577" spans="1:10" x14ac:dyDescent="0.25">
      <c r="A3577" t="s">
        <v>15846</v>
      </c>
      <c r="B3577">
        <v>7.2</v>
      </c>
      <c r="C3577" t="s">
        <v>15847</v>
      </c>
      <c r="D3577" t="s">
        <v>46</v>
      </c>
      <c r="E3577" t="s">
        <v>15837</v>
      </c>
      <c r="F3577" t="s">
        <v>7672</v>
      </c>
      <c r="G3577" t="s">
        <v>15838</v>
      </c>
      <c r="H3577" t="s">
        <v>10298</v>
      </c>
      <c r="I3577" t="s">
        <v>9807</v>
      </c>
      <c r="J3577" t="s">
        <v>7981</v>
      </c>
    </row>
    <row r="3578" spans="1:10" x14ac:dyDescent="0.25">
      <c r="A3578" t="s">
        <v>15848</v>
      </c>
      <c r="B3578">
        <v>7.2</v>
      </c>
      <c r="C3578" t="s">
        <v>15849</v>
      </c>
      <c r="D3578" t="s">
        <v>9857</v>
      </c>
      <c r="E3578" t="s">
        <v>15837</v>
      </c>
      <c r="F3578" t="s">
        <v>7672</v>
      </c>
      <c r="G3578" t="s">
        <v>15838</v>
      </c>
      <c r="H3578" t="s">
        <v>10298</v>
      </c>
      <c r="I3578" t="s">
        <v>15843</v>
      </c>
      <c r="J3578" t="s">
        <v>7981</v>
      </c>
    </row>
    <row r="3579" spans="1:10" x14ac:dyDescent="0.25">
      <c r="A3579" t="s">
        <v>15850</v>
      </c>
      <c r="B3579">
        <v>7.2</v>
      </c>
      <c r="C3579" t="s">
        <v>15851</v>
      </c>
      <c r="D3579" t="s">
        <v>10764</v>
      </c>
      <c r="E3579" t="s">
        <v>15837</v>
      </c>
      <c r="F3579" t="s">
        <v>7672</v>
      </c>
      <c r="G3579" t="s">
        <v>15838</v>
      </c>
      <c r="H3579" t="s">
        <v>10298</v>
      </c>
      <c r="I3579" t="s">
        <v>15013</v>
      </c>
      <c r="J3579" t="s">
        <v>7981</v>
      </c>
    </row>
    <row r="3580" spans="1:10" x14ac:dyDescent="0.25">
      <c r="A3580" t="s">
        <v>15852</v>
      </c>
      <c r="B3580">
        <v>7.2</v>
      </c>
      <c r="C3580" t="s">
        <v>15853</v>
      </c>
      <c r="D3580" t="s">
        <v>1236</v>
      </c>
      <c r="E3580" t="s">
        <v>15837</v>
      </c>
      <c r="F3580" t="s">
        <v>7672</v>
      </c>
      <c r="G3580" t="s">
        <v>15838</v>
      </c>
      <c r="H3580" t="s">
        <v>10298</v>
      </c>
      <c r="I3580" t="s">
        <v>76</v>
      </c>
      <c r="J3580" t="s">
        <v>7984</v>
      </c>
    </row>
    <row r="3581" spans="1:10" x14ac:dyDescent="0.25">
      <c r="A3581" t="s">
        <v>15854</v>
      </c>
      <c r="B3581">
        <v>7.2</v>
      </c>
      <c r="C3581" t="s">
        <v>15855</v>
      </c>
      <c r="D3581" t="s">
        <v>3175</v>
      </c>
      <c r="E3581" t="s">
        <v>15837</v>
      </c>
      <c r="F3581" t="s">
        <v>7672</v>
      </c>
      <c r="G3581" t="s">
        <v>15838</v>
      </c>
      <c r="H3581" t="s">
        <v>10298</v>
      </c>
      <c r="I3581" t="s">
        <v>15013</v>
      </c>
      <c r="J3581" t="s">
        <v>7984</v>
      </c>
    </row>
    <row r="3582" spans="1:10" x14ac:dyDescent="0.25">
      <c r="A3582" t="s">
        <v>15856</v>
      </c>
      <c r="B3582">
        <v>7.2</v>
      </c>
      <c r="C3582" t="s">
        <v>15857</v>
      </c>
      <c r="D3582" t="s">
        <v>9376</v>
      </c>
      <c r="E3582" t="s">
        <v>15837</v>
      </c>
      <c r="F3582" t="s">
        <v>7672</v>
      </c>
      <c r="G3582" t="s">
        <v>15838</v>
      </c>
      <c r="H3582" t="s">
        <v>10298</v>
      </c>
      <c r="I3582" t="s">
        <v>15843</v>
      </c>
      <c r="J3582" t="s">
        <v>7984</v>
      </c>
    </row>
    <row r="3583" spans="1:10" x14ac:dyDescent="0.25">
      <c r="A3583" t="s">
        <v>15858</v>
      </c>
      <c r="B3583">
        <v>7.2</v>
      </c>
      <c r="C3583" t="s">
        <v>15859</v>
      </c>
      <c r="D3583" t="s">
        <v>1644</v>
      </c>
      <c r="E3583" t="s">
        <v>15837</v>
      </c>
      <c r="F3583" t="s">
        <v>7672</v>
      </c>
      <c r="G3583" t="s">
        <v>15838</v>
      </c>
      <c r="H3583" t="s">
        <v>10298</v>
      </c>
      <c r="I3583" t="s">
        <v>15013</v>
      </c>
      <c r="J3583" t="s">
        <v>7987</v>
      </c>
    </row>
    <row r="3584" spans="1:10" x14ac:dyDescent="0.25">
      <c r="A3584" t="s">
        <v>15860</v>
      </c>
      <c r="B3584">
        <v>7.2</v>
      </c>
      <c r="C3584" t="s">
        <v>15861</v>
      </c>
      <c r="D3584" t="s">
        <v>269</v>
      </c>
      <c r="E3584" t="s">
        <v>15837</v>
      </c>
      <c r="F3584" t="s">
        <v>7672</v>
      </c>
      <c r="G3584" t="s">
        <v>15838</v>
      </c>
      <c r="H3584" t="s">
        <v>10298</v>
      </c>
      <c r="I3584" t="s">
        <v>76</v>
      </c>
      <c r="J3584" t="s">
        <v>7987</v>
      </c>
    </row>
    <row r="3585" spans="1:10" x14ac:dyDescent="0.25">
      <c r="A3585" t="s">
        <v>15862</v>
      </c>
      <c r="B3585">
        <v>7.2</v>
      </c>
      <c r="C3585" t="s">
        <v>15863</v>
      </c>
      <c r="D3585" t="s">
        <v>8131</v>
      </c>
      <c r="E3585" t="s">
        <v>15837</v>
      </c>
      <c r="F3585" t="s">
        <v>7672</v>
      </c>
      <c r="G3585" t="s">
        <v>15838</v>
      </c>
      <c r="H3585" t="s">
        <v>10298</v>
      </c>
      <c r="I3585" t="s">
        <v>15843</v>
      </c>
      <c r="J3585" t="s">
        <v>7987</v>
      </c>
    </row>
    <row r="3586" spans="1:10" x14ac:dyDescent="0.25">
      <c r="A3586" t="s">
        <v>15864</v>
      </c>
      <c r="B3586">
        <v>7.2</v>
      </c>
      <c r="C3586" t="s">
        <v>15865</v>
      </c>
      <c r="D3586" t="s">
        <v>1893</v>
      </c>
      <c r="E3586" t="s">
        <v>15837</v>
      </c>
      <c r="F3586" t="s">
        <v>7672</v>
      </c>
      <c r="G3586" t="s">
        <v>15838</v>
      </c>
      <c r="H3586" t="s">
        <v>10298</v>
      </c>
      <c r="I3586" t="s">
        <v>15352</v>
      </c>
      <c r="J3586" t="s">
        <v>8001</v>
      </c>
    </row>
    <row r="3587" spans="1:10" x14ac:dyDescent="0.25">
      <c r="A3587" t="s">
        <v>15866</v>
      </c>
      <c r="B3587">
        <v>7.2</v>
      </c>
      <c r="C3587" t="s">
        <v>15867</v>
      </c>
      <c r="D3587" t="s">
        <v>12349</v>
      </c>
      <c r="E3587" t="s">
        <v>15837</v>
      </c>
      <c r="F3587" t="s">
        <v>7672</v>
      </c>
      <c r="G3587" t="s">
        <v>15838</v>
      </c>
      <c r="H3587" t="s">
        <v>10298</v>
      </c>
      <c r="I3587" t="s">
        <v>15013</v>
      </c>
      <c r="J3587" t="s">
        <v>8001</v>
      </c>
    </row>
    <row r="3588" spans="1:10" x14ac:dyDescent="0.25">
      <c r="A3588" t="s">
        <v>15868</v>
      </c>
      <c r="B3588">
        <v>7.2</v>
      </c>
      <c r="C3588" t="s">
        <v>15869</v>
      </c>
      <c r="D3588" t="s">
        <v>10933</v>
      </c>
      <c r="E3588" t="s">
        <v>15837</v>
      </c>
      <c r="F3588" t="s">
        <v>7672</v>
      </c>
      <c r="G3588" t="s">
        <v>15838</v>
      </c>
      <c r="H3588" t="s">
        <v>10298</v>
      </c>
      <c r="I3588" t="s">
        <v>76</v>
      </c>
      <c r="J3588" t="s">
        <v>8001</v>
      </c>
    </row>
    <row r="3589" spans="1:10" x14ac:dyDescent="0.25">
      <c r="A3589" t="s">
        <v>15870</v>
      </c>
      <c r="B3589">
        <v>7.2</v>
      </c>
      <c r="C3589" t="s">
        <v>15871</v>
      </c>
      <c r="D3589" t="s">
        <v>7808</v>
      </c>
      <c r="E3589" t="s">
        <v>15837</v>
      </c>
      <c r="F3589" t="s">
        <v>7672</v>
      </c>
      <c r="G3589" t="s">
        <v>15838</v>
      </c>
      <c r="H3589" t="s">
        <v>10298</v>
      </c>
      <c r="I3589" t="s">
        <v>15843</v>
      </c>
      <c r="J3589" t="s">
        <v>8001</v>
      </c>
    </row>
    <row r="3590" spans="1:10" x14ac:dyDescent="0.25">
      <c r="A3590" t="s">
        <v>15872</v>
      </c>
      <c r="B3590">
        <v>7.2</v>
      </c>
      <c r="C3590" t="s">
        <v>15873</v>
      </c>
      <c r="D3590" t="s">
        <v>3872</v>
      </c>
      <c r="E3590" t="s">
        <v>15837</v>
      </c>
      <c r="F3590" t="s">
        <v>7672</v>
      </c>
      <c r="G3590" t="s">
        <v>15838</v>
      </c>
      <c r="H3590" t="s">
        <v>10298</v>
      </c>
      <c r="I3590" t="s">
        <v>9807</v>
      </c>
      <c r="J3590" t="s">
        <v>8001</v>
      </c>
    </row>
    <row r="3591" spans="1:10" x14ac:dyDescent="0.25">
      <c r="A3591" t="s">
        <v>15874</v>
      </c>
      <c r="B3591">
        <v>7.2</v>
      </c>
      <c r="C3591" t="s">
        <v>15875</v>
      </c>
      <c r="D3591" t="s">
        <v>3258</v>
      </c>
      <c r="E3591" t="s">
        <v>15837</v>
      </c>
      <c r="F3591" t="s">
        <v>7672</v>
      </c>
      <c r="G3591" t="s">
        <v>15838</v>
      </c>
      <c r="H3591" t="s">
        <v>10298</v>
      </c>
      <c r="I3591" t="s">
        <v>15876</v>
      </c>
      <c r="J3591" t="s">
        <v>8001</v>
      </c>
    </row>
    <row r="3592" spans="1:10" x14ac:dyDescent="0.25">
      <c r="A3592" t="s">
        <v>15877</v>
      </c>
      <c r="B3592">
        <v>7.2</v>
      </c>
      <c r="C3592" t="s">
        <v>15878</v>
      </c>
      <c r="D3592" t="s">
        <v>659</v>
      </c>
      <c r="E3592" t="s">
        <v>15837</v>
      </c>
      <c r="F3592" t="s">
        <v>7672</v>
      </c>
      <c r="G3592" t="s">
        <v>15838</v>
      </c>
      <c r="H3592" t="s">
        <v>10298</v>
      </c>
      <c r="I3592" t="s">
        <v>15843</v>
      </c>
      <c r="J3592" t="s">
        <v>8013</v>
      </c>
    </row>
    <row r="3593" spans="1:10" x14ac:dyDescent="0.25">
      <c r="A3593" t="s">
        <v>15879</v>
      </c>
      <c r="B3593">
        <v>14.4</v>
      </c>
      <c r="C3593" t="s">
        <v>15880</v>
      </c>
      <c r="D3593" t="s">
        <v>1143</v>
      </c>
      <c r="E3593" t="s">
        <v>15881</v>
      </c>
      <c r="F3593" t="s">
        <v>7672</v>
      </c>
      <c r="G3593" t="s">
        <v>15882</v>
      </c>
      <c r="H3593" t="s">
        <v>10321</v>
      </c>
      <c r="I3593" t="s">
        <v>145</v>
      </c>
      <c r="J3593" t="s">
        <v>7984</v>
      </c>
    </row>
    <row r="3594" spans="1:10" x14ac:dyDescent="0.25">
      <c r="A3594" t="s">
        <v>15883</v>
      </c>
      <c r="B3594">
        <v>14.4</v>
      </c>
      <c r="C3594" t="s">
        <v>15884</v>
      </c>
      <c r="D3594" t="s">
        <v>2697</v>
      </c>
      <c r="E3594" t="s">
        <v>15881</v>
      </c>
      <c r="F3594" t="s">
        <v>7672</v>
      </c>
      <c r="G3594" t="s">
        <v>15882</v>
      </c>
      <c r="H3594" t="s">
        <v>10321</v>
      </c>
      <c r="I3594" t="s">
        <v>1243</v>
      </c>
      <c r="J3594" t="s">
        <v>7987</v>
      </c>
    </row>
    <row r="3595" spans="1:10" x14ac:dyDescent="0.25">
      <c r="A3595" t="s">
        <v>15885</v>
      </c>
      <c r="B3595">
        <v>14.4</v>
      </c>
      <c r="C3595" t="s">
        <v>15886</v>
      </c>
      <c r="D3595" t="s">
        <v>396</v>
      </c>
      <c r="E3595" t="s">
        <v>15881</v>
      </c>
      <c r="F3595" t="s">
        <v>7672</v>
      </c>
      <c r="G3595" t="s">
        <v>15882</v>
      </c>
      <c r="H3595" t="s">
        <v>10321</v>
      </c>
      <c r="I3595" t="s">
        <v>145</v>
      </c>
      <c r="J3595" t="s">
        <v>7987</v>
      </c>
    </row>
    <row r="3596" spans="1:10" x14ac:dyDescent="0.25">
      <c r="A3596" t="s">
        <v>15887</v>
      </c>
      <c r="B3596">
        <v>14.4</v>
      </c>
      <c r="C3596" t="s">
        <v>15888</v>
      </c>
      <c r="D3596" t="s">
        <v>296</v>
      </c>
      <c r="E3596" t="s">
        <v>15881</v>
      </c>
      <c r="F3596" t="s">
        <v>7672</v>
      </c>
      <c r="G3596" t="s">
        <v>15882</v>
      </c>
      <c r="H3596" t="s">
        <v>10321</v>
      </c>
      <c r="I3596" t="s">
        <v>145</v>
      </c>
      <c r="J3596" t="s">
        <v>8001</v>
      </c>
    </row>
    <row r="3597" spans="1:10" x14ac:dyDescent="0.25">
      <c r="A3597" t="s">
        <v>15889</v>
      </c>
      <c r="B3597">
        <v>8.8000000000000007</v>
      </c>
      <c r="C3597" t="s">
        <v>15890</v>
      </c>
      <c r="D3597" t="s">
        <v>95</v>
      </c>
      <c r="E3597" t="s">
        <v>15891</v>
      </c>
      <c r="F3597" t="s">
        <v>7672</v>
      </c>
      <c r="G3597" t="s">
        <v>15892</v>
      </c>
      <c r="H3597" t="s">
        <v>11598</v>
      </c>
      <c r="I3597" t="s">
        <v>15893</v>
      </c>
      <c r="J3597" t="s">
        <v>15894</v>
      </c>
    </row>
    <row r="3598" spans="1:10" x14ac:dyDescent="0.25">
      <c r="A3598" t="s">
        <v>15895</v>
      </c>
      <c r="B3598">
        <v>8.8000000000000007</v>
      </c>
      <c r="C3598" t="s">
        <v>15896</v>
      </c>
      <c r="D3598" t="s">
        <v>1800</v>
      </c>
      <c r="E3598" t="s">
        <v>15891</v>
      </c>
      <c r="F3598" t="s">
        <v>7672</v>
      </c>
      <c r="G3598" t="s">
        <v>15892</v>
      </c>
      <c r="H3598" t="s">
        <v>11598</v>
      </c>
      <c r="I3598" t="s">
        <v>15897</v>
      </c>
      <c r="J3598" t="s">
        <v>7942</v>
      </c>
    </row>
    <row r="3599" spans="1:10" x14ac:dyDescent="0.25">
      <c r="A3599" t="s">
        <v>15898</v>
      </c>
      <c r="B3599">
        <v>8.8000000000000007</v>
      </c>
      <c r="C3599" t="s">
        <v>15899</v>
      </c>
      <c r="D3599" t="s">
        <v>4136</v>
      </c>
      <c r="E3599" t="s">
        <v>15891</v>
      </c>
      <c r="F3599" t="s">
        <v>7672</v>
      </c>
      <c r="G3599" t="s">
        <v>15892</v>
      </c>
      <c r="H3599" t="s">
        <v>11598</v>
      </c>
      <c r="I3599" t="s">
        <v>15900</v>
      </c>
      <c r="J3599" t="s">
        <v>7942</v>
      </c>
    </row>
    <row r="3600" spans="1:10" x14ac:dyDescent="0.25">
      <c r="A3600" t="s">
        <v>15901</v>
      </c>
      <c r="B3600">
        <v>8.8000000000000007</v>
      </c>
      <c r="C3600" t="s">
        <v>15902</v>
      </c>
      <c r="D3600" t="s">
        <v>113</v>
      </c>
      <c r="E3600" t="s">
        <v>15891</v>
      </c>
      <c r="F3600" t="s">
        <v>7672</v>
      </c>
      <c r="G3600" t="s">
        <v>15892</v>
      </c>
      <c r="H3600" t="s">
        <v>11598</v>
      </c>
      <c r="I3600" t="s">
        <v>15893</v>
      </c>
      <c r="J3600" t="s">
        <v>7942</v>
      </c>
    </row>
    <row r="3601" spans="1:10" x14ac:dyDescent="0.25">
      <c r="A3601" t="s">
        <v>15903</v>
      </c>
      <c r="B3601">
        <v>8.8000000000000007</v>
      </c>
      <c r="C3601" t="s">
        <v>15904</v>
      </c>
      <c r="D3601" t="s">
        <v>6428</v>
      </c>
      <c r="E3601" t="s">
        <v>15891</v>
      </c>
      <c r="F3601" t="s">
        <v>7672</v>
      </c>
      <c r="G3601" t="s">
        <v>15892</v>
      </c>
      <c r="H3601" t="s">
        <v>11598</v>
      </c>
      <c r="I3601" t="s">
        <v>15897</v>
      </c>
      <c r="J3601" t="s">
        <v>7981</v>
      </c>
    </row>
    <row r="3602" spans="1:10" x14ac:dyDescent="0.25">
      <c r="A3602" t="s">
        <v>15905</v>
      </c>
      <c r="B3602">
        <v>8.8000000000000007</v>
      </c>
      <c r="C3602" t="s">
        <v>15906</v>
      </c>
      <c r="D3602" t="s">
        <v>15907</v>
      </c>
      <c r="E3602" t="s">
        <v>15891</v>
      </c>
      <c r="F3602" t="s">
        <v>7672</v>
      </c>
      <c r="G3602" t="s">
        <v>15892</v>
      </c>
      <c r="H3602" t="s">
        <v>11598</v>
      </c>
      <c r="I3602" t="s">
        <v>15900</v>
      </c>
      <c r="J3602" t="s">
        <v>7981</v>
      </c>
    </row>
    <row r="3603" spans="1:10" x14ac:dyDescent="0.25">
      <c r="A3603" t="s">
        <v>15908</v>
      </c>
      <c r="B3603">
        <v>8.8000000000000007</v>
      </c>
      <c r="C3603" t="s">
        <v>15909</v>
      </c>
      <c r="D3603" t="s">
        <v>1954</v>
      </c>
      <c r="E3603" t="s">
        <v>15891</v>
      </c>
      <c r="F3603" t="s">
        <v>7672</v>
      </c>
      <c r="G3603" t="s">
        <v>15892</v>
      </c>
      <c r="H3603" t="s">
        <v>11598</v>
      </c>
      <c r="I3603" t="s">
        <v>15897</v>
      </c>
      <c r="J3603" t="s">
        <v>7984</v>
      </c>
    </row>
    <row r="3604" spans="1:10" x14ac:dyDescent="0.25">
      <c r="A3604" t="s">
        <v>15910</v>
      </c>
      <c r="B3604">
        <v>8.8000000000000007</v>
      </c>
      <c r="C3604" t="s">
        <v>15911</v>
      </c>
      <c r="D3604" t="s">
        <v>8853</v>
      </c>
      <c r="E3604" t="s">
        <v>15891</v>
      </c>
      <c r="F3604" t="s">
        <v>7672</v>
      </c>
      <c r="G3604" t="s">
        <v>15892</v>
      </c>
      <c r="H3604" t="s">
        <v>11598</v>
      </c>
      <c r="I3604" t="s">
        <v>15900</v>
      </c>
      <c r="J3604" t="s">
        <v>7984</v>
      </c>
    </row>
    <row r="3605" spans="1:10" x14ac:dyDescent="0.25">
      <c r="A3605" t="s">
        <v>15912</v>
      </c>
      <c r="B3605">
        <v>8.8000000000000007</v>
      </c>
      <c r="C3605" t="s">
        <v>15913</v>
      </c>
      <c r="D3605" t="s">
        <v>199</v>
      </c>
      <c r="E3605" t="s">
        <v>15891</v>
      </c>
      <c r="F3605" t="s">
        <v>7672</v>
      </c>
      <c r="G3605" t="s">
        <v>15892</v>
      </c>
      <c r="H3605" t="s">
        <v>11598</v>
      </c>
      <c r="I3605" t="s">
        <v>15897</v>
      </c>
      <c r="J3605" t="s">
        <v>7987</v>
      </c>
    </row>
    <row r="3606" spans="1:10" x14ac:dyDescent="0.25">
      <c r="A3606" t="s">
        <v>15914</v>
      </c>
      <c r="B3606">
        <v>8.8000000000000007</v>
      </c>
      <c r="C3606" t="s">
        <v>15915</v>
      </c>
      <c r="D3606" t="s">
        <v>13239</v>
      </c>
      <c r="E3606" t="s">
        <v>15891</v>
      </c>
      <c r="F3606" t="s">
        <v>7672</v>
      </c>
      <c r="G3606" t="s">
        <v>15892</v>
      </c>
      <c r="H3606" t="s">
        <v>11598</v>
      </c>
      <c r="I3606" t="s">
        <v>15900</v>
      </c>
      <c r="J3606" t="s">
        <v>7987</v>
      </c>
    </row>
    <row r="3607" spans="1:10" x14ac:dyDescent="0.25">
      <c r="A3607" t="s">
        <v>15916</v>
      </c>
      <c r="B3607">
        <v>8.8000000000000007</v>
      </c>
      <c r="C3607" t="s">
        <v>15917</v>
      </c>
      <c r="D3607" t="s">
        <v>199</v>
      </c>
      <c r="E3607" t="s">
        <v>15891</v>
      </c>
      <c r="F3607" t="s">
        <v>7672</v>
      </c>
      <c r="G3607" t="s">
        <v>15892</v>
      </c>
      <c r="H3607" t="s">
        <v>11598</v>
      </c>
      <c r="I3607" t="s">
        <v>15897</v>
      </c>
      <c r="J3607" t="s">
        <v>8001</v>
      </c>
    </row>
    <row r="3608" spans="1:10" x14ac:dyDescent="0.25">
      <c r="A3608" t="s">
        <v>15918</v>
      </c>
      <c r="B3608">
        <v>8.8000000000000007</v>
      </c>
      <c r="C3608" t="s">
        <v>15919</v>
      </c>
      <c r="D3608" t="s">
        <v>2596</v>
      </c>
      <c r="E3608" t="s">
        <v>15891</v>
      </c>
      <c r="F3608" t="s">
        <v>7672</v>
      </c>
      <c r="G3608" t="s">
        <v>15892</v>
      </c>
      <c r="H3608" t="s">
        <v>11598</v>
      </c>
      <c r="I3608" t="s">
        <v>15900</v>
      </c>
      <c r="J3608" t="s">
        <v>8001</v>
      </c>
    </row>
    <row r="3609" spans="1:10" x14ac:dyDescent="0.25">
      <c r="A3609" t="s">
        <v>15920</v>
      </c>
      <c r="B3609">
        <v>8.8000000000000007</v>
      </c>
      <c r="C3609" t="s">
        <v>15921</v>
      </c>
      <c r="D3609" t="s">
        <v>1949</v>
      </c>
      <c r="E3609" t="s">
        <v>15891</v>
      </c>
      <c r="F3609" t="s">
        <v>7672</v>
      </c>
      <c r="G3609" t="s">
        <v>15892</v>
      </c>
      <c r="H3609" t="s">
        <v>11598</v>
      </c>
      <c r="I3609" t="s">
        <v>15900</v>
      </c>
      <c r="J3609" t="s">
        <v>8013</v>
      </c>
    </row>
    <row r="3610" spans="1:10" x14ac:dyDescent="0.25">
      <c r="A3610" t="s">
        <v>15922</v>
      </c>
      <c r="B3610">
        <v>8.8000000000000007</v>
      </c>
      <c r="C3610" t="s">
        <v>15923</v>
      </c>
      <c r="D3610" t="s">
        <v>964</v>
      </c>
      <c r="E3610" t="s">
        <v>15891</v>
      </c>
      <c r="F3610" t="s">
        <v>7672</v>
      </c>
      <c r="G3610" t="s">
        <v>15892</v>
      </c>
      <c r="H3610" t="s">
        <v>11598</v>
      </c>
      <c r="I3610" t="s">
        <v>15893</v>
      </c>
      <c r="J3610" t="s">
        <v>8603</v>
      </c>
    </row>
    <row r="3611" spans="1:10" x14ac:dyDescent="0.25">
      <c r="A3611" t="s">
        <v>15924</v>
      </c>
      <c r="B3611">
        <v>5.7600000000000007</v>
      </c>
      <c r="C3611" t="s">
        <v>15925</v>
      </c>
      <c r="D3611" t="s">
        <v>12223</v>
      </c>
      <c r="E3611" t="s">
        <v>15926</v>
      </c>
      <c r="F3611" t="s">
        <v>7672</v>
      </c>
      <c r="G3611" t="s">
        <v>15927</v>
      </c>
      <c r="H3611" t="s">
        <v>11496</v>
      </c>
      <c r="I3611" t="s">
        <v>15928</v>
      </c>
      <c r="J3611" t="s">
        <v>10369</v>
      </c>
    </row>
    <row r="3612" spans="1:10" x14ac:dyDescent="0.25">
      <c r="A3612" t="s">
        <v>15929</v>
      </c>
      <c r="B3612">
        <v>5.7600000000000007</v>
      </c>
      <c r="C3612" t="s">
        <v>15930</v>
      </c>
      <c r="D3612" t="s">
        <v>306</v>
      </c>
      <c r="E3612" t="s">
        <v>15926</v>
      </c>
      <c r="F3612" t="s">
        <v>7672</v>
      </c>
      <c r="G3612" t="s">
        <v>15927</v>
      </c>
      <c r="H3612" t="s">
        <v>11496</v>
      </c>
      <c r="I3612" t="s">
        <v>15928</v>
      </c>
      <c r="J3612" t="s">
        <v>11590</v>
      </c>
    </row>
    <row r="3613" spans="1:10" x14ac:dyDescent="0.25">
      <c r="A3613" t="s">
        <v>15931</v>
      </c>
      <c r="B3613">
        <v>8.32</v>
      </c>
      <c r="C3613" t="s">
        <v>15932</v>
      </c>
      <c r="D3613" t="s">
        <v>2317</v>
      </c>
      <c r="E3613" t="s">
        <v>15933</v>
      </c>
      <c r="F3613" t="s">
        <v>7672</v>
      </c>
      <c r="G3613" t="s">
        <v>15934</v>
      </c>
      <c r="H3613" t="s">
        <v>10368</v>
      </c>
      <c r="I3613" t="s">
        <v>15935</v>
      </c>
      <c r="J3613" t="s">
        <v>11767</v>
      </c>
    </row>
    <row r="3614" spans="1:10" x14ac:dyDescent="0.25">
      <c r="A3614" t="s">
        <v>15936</v>
      </c>
      <c r="B3614">
        <v>8.32</v>
      </c>
      <c r="C3614" t="s">
        <v>15937</v>
      </c>
      <c r="D3614" t="s">
        <v>9399</v>
      </c>
      <c r="E3614" t="s">
        <v>15933</v>
      </c>
      <c r="F3614" t="s">
        <v>7672</v>
      </c>
      <c r="G3614" t="s">
        <v>15934</v>
      </c>
      <c r="H3614" t="s">
        <v>10368</v>
      </c>
      <c r="I3614" t="s">
        <v>15935</v>
      </c>
      <c r="J3614" t="s">
        <v>11582</v>
      </c>
    </row>
    <row r="3615" spans="1:10" x14ac:dyDescent="0.25">
      <c r="A3615" t="s">
        <v>15938</v>
      </c>
      <c r="B3615">
        <v>8.32</v>
      </c>
      <c r="C3615" t="s">
        <v>15939</v>
      </c>
      <c r="D3615" t="s">
        <v>15940</v>
      </c>
      <c r="E3615" t="s">
        <v>15933</v>
      </c>
      <c r="F3615" t="s">
        <v>7672</v>
      </c>
      <c r="G3615" t="s">
        <v>15934</v>
      </c>
      <c r="H3615" t="s">
        <v>10368</v>
      </c>
      <c r="I3615" t="s">
        <v>15935</v>
      </c>
      <c r="J3615" t="s">
        <v>11585</v>
      </c>
    </row>
    <row r="3616" spans="1:10" x14ac:dyDescent="0.25">
      <c r="A3616" t="s">
        <v>15941</v>
      </c>
      <c r="B3616">
        <v>8.32</v>
      </c>
      <c r="C3616" t="s">
        <v>15942</v>
      </c>
      <c r="D3616" t="s">
        <v>15943</v>
      </c>
      <c r="E3616" t="s">
        <v>15933</v>
      </c>
      <c r="F3616" t="s">
        <v>7672</v>
      </c>
      <c r="G3616" t="s">
        <v>15934</v>
      </c>
      <c r="H3616" t="s">
        <v>10368</v>
      </c>
      <c r="I3616" t="s">
        <v>15935</v>
      </c>
      <c r="J3616" t="s">
        <v>10369</v>
      </c>
    </row>
    <row r="3617" spans="1:10" x14ac:dyDescent="0.25">
      <c r="A3617" t="s">
        <v>15944</v>
      </c>
      <c r="B3617">
        <v>8.32</v>
      </c>
      <c r="C3617" t="s">
        <v>15945</v>
      </c>
      <c r="D3617" t="s">
        <v>8120</v>
      </c>
      <c r="E3617" t="s">
        <v>15933</v>
      </c>
      <c r="F3617" t="s">
        <v>7672</v>
      </c>
      <c r="G3617" t="s">
        <v>15934</v>
      </c>
      <c r="H3617" t="s">
        <v>10368</v>
      </c>
      <c r="I3617" t="s">
        <v>15935</v>
      </c>
      <c r="J3617" t="s">
        <v>11590</v>
      </c>
    </row>
    <row r="3618" spans="1:10" x14ac:dyDescent="0.25">
      <c r="A3618" t="s">
        <v>15946</v>
      </c>
      <c r="B3618">
        <v>8.32</v>
      </c>
      <c r="C3618" t="s">
        <v>15947</v>
      </c>
      <c r="D3618" t="s">
        <v>10439</v>
      </c>
      <c r="E3618" t="s">
        <v>15933</v>
      </c>
      <c r="F3618" t="s">
        <v>7672</v>
      </c>
      <c r="G3618" t="s">
        <v>15934</v>
      </c>
      <c r="H3618" t="s">
        <v>10368</v>
      </c>
      <c r="I3618" t="s">
        <v>15935</v>
      </c>
      <c r="J3618" t="s">
        <v>11593</v>
      </c>
    </row>
    <row r="3619" spans="1:10" x14ac:dyDescent="0.25">
      <c r="A3619" t="s">
        <v>15948</v>
      </c>
      <c r="B3619">
        <v>5.44</v>
      </c>
      <c r="C3619" t="s">
        <v>15949</v>
      </c>
      <c r="D3619" t="s">
        <v>396</v>
      </c>
      <c r="E3619" t="s">
        <v>15950</v>
      </c>
      <c r="F3619" t="s">
        <v>7672</v>
      </c>
      <c r="G3619" t="s">
        <v>15951</v>
      </c>
      <c r="H3619" t="s">
        <v>7674</v>
      </c>
      <c r="I3619" t="s">
        <v>1490</v>
      </c>
      <c r="J3619" t="s">
        <v>8891</v>
      </c>
    </row>
    <row r="3620" spans="1:10" x14ac:dyDescent="0.25">
      <c r="A3620" t="s">
        <v>15952</v>
      </c>
      <c r="B3620">
        <v>5.44</v>
      </c>
      <c r="C3620" t="s">
        <v>15953</v>
      </c>
      <c r="D3620" t="s">
        <v>2138</v>
      </c>
      <c r="E3620" t="s">
        <v>15950</v>
      </c>
      <c r="F3620" t="s">
        <v>7672</v>
      </c>
      <c r="G3620" t="s">
        <v>15951</v>
      </c>
      <c r="H3620" t="s">
        <v>7674</v>
      </c>
      <c r="I3620" t="s">
        <v>5202</v>
      </c>
      <c r="J3620" t="s">
        <v>8891</v>
      </c>
    </row>
    <row r="3621" spans="1:10" x14ac:dyDescent="0.25">
      <c r="A3621" t="s">
        <v>15954</v>
      </c>
      <c r="B3621">
        <v>5.44</v>
      </c>
      <c r="C3621" t="s">
        <v>15955</v>
      </c>
      <c r="D3621" t="s">
        <v>5716</v>
      </c>
      <c r="E3621" t="s">
        <v>15950</v>
      </c>
      <c r="F3621" t="s">
        <v>7672</v>
      </c>
      <c r="G3621" t="s">
        <v>15951</v>
      </c>
      <c r="H3621" t="s">
        <v>7674</v>
      </c>
      <c r="I3621" t="s">
        <v>1490</v>
      </c>
      <c r="J3621" t="s">
        <v>8896</v>
      </c>
    </row>
    <row r="3622" spans="1:10" x14ac:dyDescent="0.25">
      <c r="A3622" t="s">
        <v>15956</v>
      </c>
      <c r="B3622">
        <v>5.44</v>
      </c>
      <c r="C3622" t="s">
        <v>15957</v>
      </c>
      <c r="D3622" t="s">
        <v>2850</v>
      </c>
      <c r="E3622" t="s">
        <v>15950</v>
      </c>
      <c r="F3622" t="s">
        <v>7672</v>
      </c>
      <c r="G3622" t="s">
        <v>15951</v>
      </c>
      <c r="H3622" t="s">
        <v>7674</v>
      </c>
      <c r="I3622" t="s">
        <v>5202</v>
      </c>
      <c r="J3622" t="s">
        <v>8896</v>
      </c>
    </row>
    <row r="3623" spans="1:10" x14ac:dyDescent="0.25">
      <c r="A3623" t="s">
        <v>15958</v>
      </c>
      <c r="B3623">
        <v>5.44</v>
      </c>
      <c r="C3623" t="s">
        <v>15959</v>
      </c>
      <c r="D3623" t="s">
        <v>1767</v>
      </c>
      <c r="E3623" t="s">
        <v>15950</v>
      </c>
      <c r="F3623" t="s">
        <v>7672</v>
      </c>
      <c r="G3623" t="s">
        <v>15951</v>
      </c>
      <c r="H3623" t="s">
        <v>7674</v>
      </c>
      <c r="I3623" t="s">
        <v>1490</v>
      </c>
      <c r="J3623" t="s">
        <v>9400</v>
      </c>
    </row>
    <row r="3624" spans="1:10" x14ac:dyDescent="0.25">
      <c r="A3624" t="s">
        <v>15960</v>
      </c>
      <c r="B3624">
        <v>5.44</v>
      </c>
      <c r="C3624" t="s">
        <v>15961</v>
      </c>
      <c r="D3624" t="s">
        <v>8881</v>
      </c>
      <c r="E3624" t="s">
        <v>15950</v>
      </c>
      <c r="F3624" t="s">
        <v>7672</v>
      </c>
      <c r="G3624" t="s">
        <v>15951</v>
      </c>
      <c r="H3624" t="s">
        <v>7674</v>
      </c>
      <c r="I3624" t="s">
        <v>5202</v>
      </c>
      <c r="J3624" t="s">
        <v>9400</v>
      </c>
    </row>
    <row r="3625" spans="1:10" x14ac:dyDescent="0.25">
      <c r="A3625" t="s">
        <v>15962</v>
      </c>
      <c r="B3625">
        <v>5.44</v>
      </c>
      <c r="C3625" t="s">
        <v>15963</v>
      </c>
      <c r="D3625" t="s">
        <v>2198</v>
      </c>
      <c r="E3625" t="s">
        <v>15950</v>
      </c>
      <c r="F3625" t="s">
        <v>7672</v>
      </c>
      <c r="G3625" t="s">
        <v>15951</v>
      </c>
      <c r="H3625" t="s">
        <v>7674</v>
      </c>
      <c r="I3625" t="s">
        <v>1490</v>
      </c>
      <c r="J3625" t="s">
        <v>9405</v>
      </c>
    </row>
    <row r="3626" spans="1:10" x14ac:dyDescent="0.25">
      <c r="A3626" t="s">
        <v>15964</v>
      </c>
      <c r="B3626">
        <v>5.44</v>
      </c>
      <c r="C3626" t="s">
        <v>15965</v>
      </c>
      <c r="D3626" t="s">
        <v>2652</v>
      </c>
      <c r="E3626" t="s">
        <v>15950</v>
      </c>
      <c r="F3626" t="s">
        <v>7672</v>
      </c>
      <c r="G3626" t="s">
        <v>15951</v>
      </c>
      <c r="H3626" t="s">
        <v>7674</v>
      </c>
      <c r="I3626" t="s">
        <v>5202</v>
      </c>
      <c r="J3626" t="s">
        <v>9405</v>
      </c>
    </row>
    <row r="3627" spans="1:10" x14ac:dyDescent="0.25">
      <c r="A3627" t="s">
        <v>3810</v>
      </c>
      <c r="B3627">
        <v>12.6</v>
      </c>
      <c r="C3627" t="s">
        <v>3812</v>
      </c>
      <c r="D3627" t="s">
        <v>3815</v>
      </c>
      <c r="E3627" t="s">
        <v>3813</v>
      </c>
      <c r="F3627" t="s">
        <v>7672</v>
      </c>
      <c r="G3627" t="s">
        <v>15966</v>
      </c>
      <c r="H3627" t="s">
        <v>8078</v>
      </c>
      <c r="I3627" t="s">
        <v>15967</v>
      </c>
      <c r="J3627" t="s">
        <v>7942</v>
      </c>
    </row>
    <row r="3628" spans="1:10" x14ac:dyDescent="0.25">
      <c r="A3628" t="s">
        <v>3818</v>
      </c>
      <c r="B3628">
        <v>12.6</v>
      </c>
      <c r="C3628" t="s">
        <v>3820</v>
      </c>
      <c r="D3628" t="s">
        <v>3175</v>
      </c>
      <c r="E3628" t="s">
        <v>3813</v>
      </c>
      <c r="F3628" t="s">
        <v>7672</v>
      </c>
      <c r="G3628" t="s">
        <v>15966</v>
      </c>
      <c r="H3628" t="s">
        <v>8078</v>
      </c>
      <c r="I3628" t="s">
        <v>76</v>
      </c>
      <c r="J3628" t="s">
        <v>7942</v>
      </c>
    </row>
    <row r="3629" spans="1:10" x14ac:dyDescent="0.25">
      <c r="A3629" t="s">
        <v>3823</v>
      </c>
      <c r="B3629">
        <v>12.6</v>
      </c>
      <c r="C3629" t="s">
        <v>3825</v>
      </c>
      <c r="D3629" t="s">
        <v>3827</v>
      </c>
      <c r="E3629" t="s">
        <v>3813</v>
      </c>
      <c r="F3629" t="s">
        <v>7672</v>
      </c>
      <c r="G3629" t="s">
        <v>15966</v>
      </c>
      <c r="H3629" t="s">
        <v>8078</v>
      </c>
      <c r="I3629" t="s">
        <v>76</v>
      </c>
      <c r="J3629" t="s">
        <v>7981</v>
      </c>
    </row>
    <row r="3630" spans="1:10" x14ac:dyDescent="0.25">
      <c r="A3630" t="s">
        <v>3828</v>
      </c>
      <c r="B3630">
        <v>12.6</v>
      </c>
      <c r="C3630" t="s">
        <v>3830</v>
      </c>
      <c r="D3630" t="s">
        <v>3832</v>
      </c>
      <c r="E3630" t="s">
        <v>3813</v>
      </c>
      <c r="F3630" t="s">
        <v>7672</v>
      </c>
      <c r="G3630" t="s">
        <v>15966</v>
      </c>
      <c r="H3630" t="s">
        <v>8078</v>
      </c>
      <c r="I3630" t="s">
        <v>15967</v>
      </c>
      <c r="J3630" t="s">
        <v>7981</v>
      </c>
    </row>
    <row r="3631" spans="1:10" x14ac:dyDescent="0.25">
      <c r="A3631" t="s">
        <v>3833</v>
      </c>
      <c r="B3631">
        <v>12.6</v>
      </c>
      <c r="C3631" t="s">
        <v>3835</v>
      </c>
      <c r="D3631" t="s">
        <v>2797</v>
      </c>
      <c r="E3631" t="s">
        <v>3813</v>
      </c>
      <c r="F3631" t="s">
        <v>7672</v>
      </c>
      <c r="G3631" t="s">
        <v>15966</v>
      </c>
      <c r="H3631" t="s">
        <v>8078</v>
      </c>
      <c r="I3631" t="s">
        <v>76</v>
      </c>
      <c r="J3631" t="s">
        <v>7984</v>
      </c>
    </row>
    <row r="3632" spans="1:10" x14ac:dyDescent="0.25">
      <c r="A3632" t="s">
        <v>3837</v>
      </c>
      <c r="B3632">
        <v>12.6</v>
      </c>
      <c r="C3632" t="s">
        <v>3839</v>
      </c>
      <c r="D3632" t="s">
        <v>3841</v>
      </c>
      <c r="E3632" t="s">
        <v>3813</v>
      </c>
      <c r="F3632" t="s">
        <v>7672</v>
      </c>
      <c r="G3632" t="s">
        <v>15966</v>
      </c>
      <c r="H3632" t="s">
        <v>8078</v>
      </c>
      <c r="I3632" t="s">
        <v>15967</v>
      </c>
      <c r="J3632" t="s">
        <v>7984</v>
      </c>
    </row>
    <row r="3633" spans="1:10" x14ac:dyDescent="0.25">
      <c r="A3633" t="s">
        <v>3842</v>
      </c>
      <c r="B3633">
        <v>12.6</v>
      </c>
      <c r="C3633" t="s">
        <v>3844</v>
      </c>
      <c r="D3633" t="s">
        <v>3184</v>
      </c>
      <c r="E3633" t="s">
        <v>3813</v>
      </c>
      <c r="F3633" t="s">
        <v>7672</v>
      </c>
      <c r="G3633" t="s">
        <v>15966</v>
      </c>
      <c r="H3633" t="s">
        <v>8078</v>
      </c>
      <c r="I3633" t="s">
        <v>76</v>
      </c>
      <c r="J3633" t="s">
        <v>7987</v>
      </c>
    </row>
    <row r="3634" spans="1:10" x14ac:dyDescent="0.25">
      <c r="A3634" t="s">
        <v>3846</v>
      </c>
      <c r="B3634">
        <v>12.6</v>
      </c>
      <c r="C3634" t="s">
        <v>3848</v>
      </c>
      <c r="D3634" t="s">
        <v>3850</v>
      </c>
      <c r="E3634" t="s">
        <v>3813</v>
      </c>
      <c r="F3634" t="s">
        <v>7672</v>
      </c>
      <c r="G3634" t="s">
        <v>15966</v>
      </c>
      <c r="H3634" t="s">
        <v>8078</v>
      </c>
      <c r="I3634" t="s">
        <v>15967</v>
      </c>
      <c r="J3634" t="s">
        <v>7987</v>
      </c>
    </row>
    <row r="3635" spans="1:10" x14ac:dyDescent="0.25">
      <c r="A3635" t="s">
        <v>3851</v>
      </c>
      <c r="B3635">
        <v>12.6</v>
      </c>
      <c r="C3635" t="s">
        <v>3853</v>
      </c>
      <c r="D3635" t="s">
        <v>598</v>
      </c>
      <c r="E3635" t="s">
        <v>3813</v>
      </c>
      <c r="F3635" t="s">
        <v>7672</v>
      </c>
      <c r="G3635" t="s">
        <v>15966</v>
      </c>
      <c r="H3635" t="s">
        <v>8078</v>
      </c>
      <c r="I3635" t="s">
        <v>76</v>
      </c>
      <c r="J3635" t="s">
        <v>8001</v>
      </c>
    </row>
    <row r="3636" spans="1:10" x14ac:dyDescent="0.25">
      <c r="A3636" t="s">
        <v>3855</v>
      </c>
      <c r="B3636">
        <v>12.6</v>
      </c>
      <c r="C3636" t="s">
        <v>3857</v>
      </c>
      <c r="D3636" t="s">
        <v>2855</v>
      </c>
      <c r="E3636" t="s">
        <v>3813</v>
      </c>
      <c r="F3636" t="s">
        <v>7672</v>
      </c>
      <c r="G3636" t="s">
        <v>15966</v>
      </c>
      <c r="H3636" t="s">
        <v>8078</v>
      </c>
      <c r="I3636" t="s">
        <v>15967</v>
      </c>
      <c r="J3636" t="s">
        <v>8001</v>
      </c>
    </row>
    <row r="3637" spans="1:10" x14ac:dyDescent="0.25">
      <c r="A3637" t="s">
        <v>3859</v>
      </c>
      <c r="B3637">
        <v>12.6</v>
      </c>
      <c r="C3637" t="s">
        <v>3861</v>
      </c>
      <c r="D3637" t="s">
        <v>981</v>
      </c>
      <c r="E3637" t="s">
        <v>3813</v>
      </c>
      <c r="F3637" t="s">
        <v>7672</v>
      </c>
      <c r="G3637" t="s">
        <v>15966</v>
      </c>
      <c r="H3637" t="s">
        <v>8078</v>
      </c>
      <c r="I3637" t="s">
        <v>76</v>
      </c>
      <c r="J3637" t="s">
        <v>8013</v>
      </c>
    </row>
    <row r="3638" spans="1:10" x14ac:dyDescent="0.25">
      <c r="A3638" t="s">
        <v>3863</v>
      </c>
      <c r="B3638">
        <v>12.6</v>
      </c>
      <c r="C3638" t="s">
        <v>3865</v>
      </c>
      <c r="D3638" t="s">
        <v>3175</v>
      </c>
      <c r="E3638" t="s">
        <v>3813</v>
      </c>
      <c r="F3638" t="s">
        <v>7672</v>
      </c>
      <c r="G3638" t="s">
        <v>15966</v>
      </c>
      <c r="H3638" t="s">
        <v>8078</v>
      </c>
      <c r="I3638" t="s">
        <v>15967</v>
      </c>
      <c r="J3638" t="s">
        <v>8013</v>
      </c>
    </row>
    <row r="3639" spans="1:10" x14ac:dyDescent="0.25">
      <c r="A3639" t="s">
        <v>3867</v>
      </c>
      <c r="B3639">
        <v>8.32</v>
      </c>
      <c r="C3639" t="s">
        <v>3869</v>
      </c>
      <c r="D3639" t="s">
        <v>3872</v>
      </c>
      <c r="E3639" t="s">
        <v>3870</v>
      </c>
      <c r="F3639" t="s">
        <v>7672</v>
      </c>
      <c r="G3639" t="s">
        <v>15968</v>
      </c>
      <c r="H3639" t="s">
        <v>8078</v>
      </c>
      <c r="I3639" t="s">
        <v>7952</v>
      </c>
      <c r="J3639" t="s">
        <v>7981</v>
      </c>
    </row>
    <row r="3640" spans="1:10" x14ac:dyDescent="0.25">
      <c r="A3640" t="s">
        <v>3875</v>
      </c>
      <c r="B3640">
        <v>8.32</v>
      </c>
      <c r="C3640" t="s">
        <v>3877</v>
      </c>
      <c r="D3640" t="s">
        <v>3879</v>
      </c>
      <c r="E3640" t="s">
        <v>3870</v>
      </c>
      <c r="F3640" t="s">
        <v>7672</v>
      </c>
      <c r="G3640" t="s">
        <v>15968</v>
      </c>
      <c r="H3640" t="s">
        <v>8078</v>
      </c>
      <c r="I3640" t="s">
        <v>76</v>
      </c>
      <c r="J3640" t="s">
        <v>7981</v>
      </c>
    </row>
    <row r="3641" spans="1:10" x14ac:dyDescent="0.25">
      <c r="A3641" t="s">
        <v>3882</v>
      </c>
      <c r="B3641">
        <v>8.32</v>
      </c>
      <c r="C3641" t="s">
        <v>3884</v>
      </c>
      <c r="D3641" t="s">
        <v>3886</v>
      </c>
      <c r="E3641" t="s">
        <v>3870</v>
      </c>
      <c r="F3641" t="s">
        <v>7672</v>
      </c>
      <c r="G3641" t="s">
        <v>15968</v>
      </c>
      <c r="H3641" t="s">
        <v>8078</v>
      </c>
      <c r="I3641" t="s">
        <v>7952</v>
      </c>
      <c r="J3641" t="s">
        <v>7984</v>
      </c>
    </row>
    <row r="3642" spans="1:10" x14ac:dyDescent="0.25">
      <c r="A3642" t="s">
        <v>3887</v>
      </c>
      <c r="B3642">
        <v>8.32</v>
      </c>
      <c r="C3642" t="s">
        <v>3889</v>
      </c>
      <c r="D3642" t="s">
        <v>3891</v>
      </c>
      <c r="E3642" t="s">
        <v>3870</v>
      </c>
      <c r="F3642" t="s">
        <v>7672</v>
      </c>
      <c r="G3642" t="s">
        <v>15968</v>
      </c>
      <c r="H3642" t="s">
        <v>8078</v>
      </c>
      <c r="I3642" t="s">
        <v>76</v>
      </c>
      <c r="J3642" t="s">
        <v>7984</v>
      </c>
    </row>
    <row r="3643" spans="1:10" x14ac:dyDescent="0.25">
      <c r="A3643" t="s">
        <v>3892</v>
      </c>
      <c r="B3643">
        <v>8.32</v>
      </c>
      <c r="C3643" t="s">
        <v>3894</v>
      </c>
      <c r="D3643" t="s">
        <v>3896</v>
      </c>
      <c r="E3643" t="s">
        <v>3870</v>
      </c>
      <c r="F3643" t="s">
        <v>7672</v>
      </c>
      <c r="G3643" t="s">
        <v>15968</v>
      </c>
      <c r="H3643" t="s">
        <v>8078</v>
      </c>
      <c r="I3643" t="s">
        <v>76</v>
      </c>
      <c r="J3643" t="s">
        <v>7987</v>
      </c>
    </row>
    <row r="3644" spans="1:10" x14ac:dyDescent="0.25">
      <c r="A3644" t="s">
        <v>3897</v>
      </c>
      <c r="B3644">
        <v>8.32</v>
      </c>
      <c r="C3644" t="s">
        <v>3899</v>
      </c>
      <c r="D3644" t="s">
        <v>1113</v>
      </c>
      <c r="E3644" t="s">
        <v>3870</v>
      </c>
      <c r="F3644" t="s">
        <v>7672</v>
      </c>
      <c r="G3644" t="s">
        <v>15968</v>
      </c>
      <c r="H3644" t="s">
        <v>8078</v>
      </c>
      <c r="I3644" t="s">
        <v>7952</v>
      </c>
      <c r="J3644" t="s">
        <v>7987</v>
      </c>
    </row>
    <row r="3645" spans="1:10" x14ac:dyDescent="0.25">
      <c r="A3645" t="s">
        <v>3901</v>
      </c>
      <c r="B3645">
        <v>8.32</v>
      </c>
      <c r="C3645" t="s">
        <v>3903</v>
      </c>
      <c r="D3645" t="s">
        <v>3905</v>
      </c>
      <c r="E3645" t="s">
        <v>3870</v>
      </c>
      <c r="F3645" t="s">
        <v>7672</v>
      </c>
      <c r="G3645" t="s">
        <v>15968</v>
      </c>
      <c r="H3645" t="s">
        <v>8078</v>
      </c>
      <c r="I3645" t="s">
        <v>76</v>
      </c>
      <c r="J3645" t="s">
        <v>8001</v>
      </c>
    </row>
    <row r="3646" spans="1:10" x14ac:dyDescent="0.25">
      <c r="A3646" t="s">
        <v>3906</v>
      </c>
      <c r="B3646">
        <v>8.32</v>
      </c>
      <c r="C3646" t="s">
        <v>3908</v>
      </c>
      <c r="D3646" t="s">
        <v>1767</v>
      </c>
      <c r="E3646" t="s">
        <v>3870</v>
      </c>
      <c r="F3646" t="s">
        <v>7672</v>
      </c>
      <c r="G3646" t="s">
        <v>15968</v>
      </c>
      <c r="H3646" t="s">
        <v>8078</v>
      </c>
      <c r="I3646" t="s">
        <v>7952</v>
      </c>
      <c r="J3646" t="s">
        <v>8001</v>
      </c>
    </row>
    <row r="3647" spans="1:10" x14ac:dyDescent="0.25">
      <c r="A3647" t="s">
        <v>15969</v>
      </c>
      <c r="B3647">
        <v>12</v>
      </c>
      <c r="C3647" t="s">
        <v>15970</v>
      </c>
      <c r="D3647" t="s">
        <v>12338</v>
      </c>
      <c r="E3647" t="s">
        <v>15971</v>
      </c>
      <c r="F3647" t="s">
        <v>7672</v>
      </c>
      <c r="G3647" t="s">
        <v>13069</v>
      </c>
      <c r="H3647" t="s">
        <v>7965</v>
      </c>
      <c r="I3647" t="s">
        <v>3799</v>
      </c>
      <c r="J3647" t="s">
        <v>7981</v>
      </c>
    </row>
    <row r="3648" spans="1:10" x14ac:dyDescent="0.25">
      <c r="A3648" t="s">
        <v>15972</v>
      </c>
      <c r="B3648">
        <v>12</v>
      </c>
      <c r="C3648" t="s">
        <v>15973</v>
      </c>
      <c r="D3648" t="s">
        <v>15974</v>
      </c>
      <c r="E3648" t="s">
        <v>15971</v>
      </c>
      <c r="F3648" t="s">
        <v>7672</v>
      </c>
      <c r="G3648" t="s">
        <v>13069</v>
      </c>
      <c r="H3648" t="s">
        <v>7965</v>
      </c>
      <c r="I3648" t="s">
        <v>3799</v>
      </c>
      <c r="J3648" t="s">
        <v>7984</v>
      </c>
    </row>
    <row r="3649" spans="1:10" x14ac:dyDescent="0.25">
      <c r="A3649" t="s">
        <v>15975</v>
      </c>
      <c r="B3649">
        <v>12</v>
      </c>
      <c r="C3649" t="s">
        <v>15976</v>
      </c>
      <c r="D3649" t="s">
        <v>3962</v>
      </c>
      <c r="E3649" t="s">
        <v>15971</v>
      </c>
      <c r="F3649" t="s">
        <v>7672</v>
      </c>
      <c r="G3649" t="s">
        <v>13069</v>
      </c>
      <c r="H3649" t="s">
        <v>7965</v>
      </c>
      <c r="I3649" t="s">
        <v>3799</v>
      </c>
      <c r="J3649" t="s">
        <v>7987</v>
      </c>
    </row>
    <row r="3650" spans="1:10" x14ac:dyDescent="0.25">
      <c r="A3650" t="s">
        <v>15977</v>
      </c>
      <c r="B3650">
        <v>5.4</v>
      </c>
      <c r="C3650" t="s">
        <v>15978</v>
      </c>
      <c r="D3650" t="s">
        <v>296</v>
      </c>
      <c r="E3650" t="s">
        <v>3913</v>
      </c>
      <c r="F3650" t="s">
        <v>7672</v>
      </c>
      <c r="G3650" t="s">
        <v>15979</v>
      </c>
      <c r="H3650" t="s">
        <v>15980</v>
      </c>
      <c r="I3650" t="s">
        <v>76</v>
      </c>
      <c r="J3650" t="s">
        <v>15981</v>
      </c>
    </row>
    <row r="3651" spans="1:10" x14ac:dyDescent="0.25">
      <c r="A3651" t="s">
        <v>15982</v>
      </c>
      <c r="B3651">
        <v>5.4</v>
      </c>
      <c r="C3651" t="s">
        <v>15983</v>
      </c>
      <c r="D3651" t="s">
        <v>664</v>
      </c>
      <c r="E3651" t="s">
        <v>3913</v>
      </c>
      <c r="F3651" t="s">
        <v>7672</v>
      </c>
      <c r="G3651" t="s">
        <v>15979</v>
      </c>
      <c r="H3651" t="s">
        <v>15980</v>
      </c>
      <c r="I3651" t="s">
        <v>8357</v>
      </c>
      <c r="J3651" t="s">
        <v>15981</v>
      </c>
    </row>
    <row r="3652" spans="1:10" x14ac:dyDescent="0.25">
      <c r="A3652" t="s">
        <v>3910</v>
      </c>
      <c r="B3652">
        <v>5.4</v>
      </c>
      <c r="C3652" t="s">
        <v>3912</v>
      </c>
      <c r="D3652" t="s">
        <v>1621</v>
      </c>
      <c r="E3652" t="s">
        <v>3913</v>
      </c>
      <c r="F3652" t="s">
        <v>7672</v>
      </c>
      <c r="G3652" t="s">
        <v>15979</v>
      </c>
      <c r="H3652" t="s">
        <v>15980</v>
      </c>
      <c r="I3652" t="s">
        <v>8357</v>
      </c>
      <c r="J3652" t="s">
        <v>7675</v>
      </c>
    </row>
    <row r="3653" spans="1:10" x14ac:dyDescent="0.25">
      <c r="A3653" t="s">
        <v>3917</v>
      </c>
      <c r="B3653">
        <v>5.4</v>
      </c>
      <c r="C3653" t="s">
        <v>3919</v>
      </c>
      <c r="D3653" t="s">
        <v>306</v>
      </c>
      <c r="E3653" t="s">
        <v>3913</v>
      </c>
      <c r="F3653" t="s">
        <v>7672</v>
      </c>
      <c r="G3653" t="s">
        <v>15979</v>
      </c>
      <c r="H3653" t="s">
        <v>15980</v>
      </c>
      <c r="I3653" t="s">
        <v>8357</v>
      </c>
      <c r="J3653" t="s">
        <v>7686</v>
      </c>
    </row>
    <row r="3654" spans="1:10" x14ac:dyDescent="0.25">
      <c r="A3654" t="s">
        <v>15984</v>
      </c>
      <c r="B3654">
        <v>4.8000000000000007</v>
      </c>
      <c r="C3654" t="s">
        <v>15985</v>
      </c>
      <c r="D3654" t="s">
        <v>2620</v>
      </c>
      <c r="E3654" t="s">
        <v>15986</v>
      </c>
      <c r="F3654" t="s">
        <v>7672</v>
      </c>
      <c r="G3654" t="s">
        <v>15987</v>
      </c>
      <c r="H3654" t="s">
        <v>11496</v>
      </c>
      <c r="I3654" t="s">
        <v>15830</v>
      </c>
      <c r="J3654" t="s">
        <v>9423</v>
      </c>
    </row>
    <row r="3655" spans="1:10" x14ac:dyDescent="0.25">
      <c r="A3655" t="s">
        <v>15988</v>
      </c>
      <c r="B3655">
        <v>4.8000000000000007</v>
      </c>
      <c r="C3655" t="s">
        <v>15989</v>
      </c>
      <c r="D3655" t="s">
        <v>2036</v>
      </c>
      <c r="E3655" t="s">
        <v>15986</v>
      </c>
      <c r="F3655" t="s">
        <v>7672</v>
      </c>
      <c r="G3655" t="s">
        <v>15987</v>
      </c>
      <c r="H3655" t="s">
        <v>11496</v>
      </c>
      <c r="I3655" t="s">
        <v>15830</v>
      </c>
      <c r="J3655" t="s">
        <v>9426</v>
      </c>
    </row>
    <row r="3656" spans="1:10" x14ac:dyDescent="0.25">
      <c r="A3656" t="s">
        <v>3922</v>
      </c>
      <c r="B3656">
        <v>15.4</v>
      </c>
      <c r="C3656" t="s">
        <v>3924</v>
      </c>
      <c r="D3656" t="s">
        <v>60</v>
      </c>
      <c r="E3656" t="s">
        <v>3925</v>
      </c>
      <c r="F3656" t="s">
        <v>7672</v>
      </c>
      <c r="G3656" t="s">
        <v>15990</v>
      </c>
      <c r="H3656" t="s">
        <v>8078</v>
      </c>
      <c r="I3656" t="s">
        <v>235</v>
      </c>
      <c r="J3656" t="s">
        <v>7981</v>
      </c>
    </row>
    <row r="3657" spans="1:10" x14ac:dyDescent="0.25">
      <c r="A3657" t="s">
        <v>15991</v>
      </c>
      <c r="B3657">
        <v>6.9920000000000009</v>
      </c>
      <c r="C3657" t="s">
        <v>15992</v>
      </c>
      <c r="D3657" t="s">
        <v>4327</v>
      </c>
      <c r="E3657" t="s">
        <v>15993</v>
      </c>
      <c r="F3657" t="s">
        <v>7672</v>
      </c>
      <c r="G3657" t="s">
        <v>15994</v>
      </c>
      <c r="H3657" t="s">
        <v>7974</v>
      </c>
      <c r="I3657" t="s">
        <v>15995</v>
      </c>
      <c r="J3657" t="s">
        <v>9237</v>
      </c>
    </row>
    <row r="3658" spans="1:10" x14ac:dyDescent="0.25">
      <c r="A3658" t="s">
        <v>15996</v>
      </c>
      <c r="B3658">
        <v>6.9920000000000009</v>
      </c>
      <c r="C3658" t="s">
        <v>15997</v>
      </c>
      <c r="D3658" t="s">
        <v>396</v>
      </c>
      <c r="E3658" t="s">
        <v>15993</v>
      </c>
      <c r="F3658" t="s">
        <v>7672</v>
      </c>
      <c r="G3658" t="s">
        <v>15994</v>
      </c>
      <c r="H3658" t="s">
        <v>7974</v>
      </c>
      <c r="I3658" t="s">
        <v>15998</v>
      </c>
      <c r="J3658" t="s">
        <v>9237</v>
      </c>
    </row>
    <row r="3659" spans="1:10" x14ac:dyDescent="0.25">
      <c r="A3659" t="s">
        <v>15999</v>
      </c>
      <c r="B3659">
        <v>6.9920000000000009</v>
      </c>
      <c r="C3659" t="s">
        <v>16000</v>
      </c>
      <c r="D3659" t="s">
        <v>396</v>
      </c>
      <c r="E3659" t="s">
        <v>15993</v>
      </c>
      <c r="F3659" t="s">
        <v>7672</v>
      </c>
      <c r="G3659" t="s">
        <v>15994</v>
      </c>
      <c r="H3659" t="s">
        <v>7974</v>
      </c>
      <c r="I3659" t="s">
        <v>16001</v>
      </c>
      <c r="J3659" t="s">
        <v>9237</v>
      </c>
    </row>
    <row r="3660" spans="1:10" x14ac:dyDescent="0.25">
      <c r="A3660" t="s">
        <v>16002</v>
      </c>
      <c r="B3660">
        <v>6.9920000000000009</v>
      </c>
      <c r="C3660" t="s">
        <v>16003</v>
      </c>
      <c r="D3660" t="s">
        <v>1924</v>
      </c>
      <c r="E3660" t="s">
        <v>15993</v>
      </c>
      <c r="F3660" t="s">
        <v>7672</v>
      </c>
      <c r="G3660" t="s">
        <v>15994</v>
      </c>
      <c r="H3660" t="s">
        <v>7974</v>
      </c>
      <c r="I3660" t="s">
        <v>15998</v>
      </c>
      <c r="J3660" t="s">
        <v>8427</v>
      </c>
    </row>
    <row r="3661" spans="1:10" x14ac:dyDescent="0.25">
      <c r="A3661" t="s">
        <v>16004</v>
      </c>
      <c r="B3661">
        <v>6.9920000000000009</v>
      </c>
      <c r="C3661" t="s">
        <v>16005</v>
      </c>
      <c r="D3661" t="s">
        <v>2884</v>
      </c>
      <c r="E3661" t="s">
        <v>15993</v>
      </c>
      <c r="F3661" t="s">
        <v>7672</v>
      </c>
      <c r="G3661" t="s">
        <v>15994</v>
      </c>
      <c r="H3661" t="s">
        <v>7974</v>
      </c>
      <c r="I3661" t="s">
        <v>16001</v>
      </c>
      <c r="J3661" t="s">
        <v>8427</v>
      </c>
    </row>
    <row r="3662" spans="1:10" x14ac:dyDescent="0.25">
      <c r="A3662" t="s">
        <v>16006</v>
      </c>
      <c r="B3662">
        <v>6.9920000000000009</v>
      </c>
      <c r="C3662" t="s">
        <v>16007</v>
      </c>
      <c r="D3662" t="s">
        <v>1746</v>
      </c>
      <c r="E3662" t="s">
        <v>15993</v>
      </c>
      <c r="F3662" t="s">
        <v>7672</v>
      </c>
      <c r="G3662" t="s">
        <v>15994</v>
      </c>
      <c r="H3662" t="s">
        <v>7974</v>
      </c>
      <c r="I3662" t="s">
        <v>15995</v>
      </c>
      <c r="J3662" t="s">
        <v>8427</v>
      </c>
    </row>
    <row r="3663" spans="1:10" x14ac:dyDescent="0.25">
      <c r="A3663" t="s">
        <v>16008</v>
      </c>
      <c r="B3663">
        <v>6.9920000000000009</v>
      </c>
      <c r="C3663" t="s">
        <v>16009</v>
      </c>
      <c r="D3663" t="s">
        <v>4192</v>
      </c>
      <c r="E3663" t="s">
        <v>15993</v>
      </c>
      <c r="F3663" t="s">
        <v>7672</v>
      </c>
      <c r="G3663" t="s">
        <v>15994</v>
      </c>
      <c r="H3663" t="s">
        <v>7974</v>
      </c>
      <c r="I3663" t="s">
        <v>16001</v>
      </c>
      <c r="J3663" t="s">
        <v>8439</v>
      </c>
    </row>
    <row r="3664" spans="1:10" x14ac:dyDescent="0.25">
      <c r="A3664" t="s">
        <v>16010</v>
      </c>
      <c r="B3664">
        <v>6.9920000000000009</v>
      </c>
      <c r="C3664" t="s">
        <v>16011</v>
      </c>
      <c r="D3664" t="s">
        <v>16012</v>
      </c>
      <c r="E3664" t="s">
        <v>15993</v>
      </c>
      <c r="F3664" t="s">
        <v>7672</v>
      </c>
      <c r="G3664" t="s">
        <v>15994</v>
      </c>
      <c r="H3664" t="s">
        <v>7974</v>
      </c>
      <c r="I3664" t="s">
        <v>15998</v>
      </c>
      <c r="J3664" t="s">
        <v>8439</v>
      </c>
    </row>
    <row r="3665" spans="1:10" x14ac:dyDescent="0.25">
      <c r="A3665" t="s">
        <v>16013</v>
      </c>
      <c r="B3665">
        <v>6.9920000000000009</v>
      </c>
      <c r="C3665" t="s">
        <v>16014</v>
      </c>
      <c r="D3665" t="s">
        <v>16015</v>
      </c>
      <c r="E3665" t="s">
        <v>15993</v>
      </c>
      <c r="F3665" t="s">
        <v>7672</v>
      </c>
      <c r="G3665" t="s">
        <v>15994</v>
      </c>
      <c r="H3665" t="s">
        <v>7974</v>
      </c>
      <c r="I3665" t="s">
        <v>15995</v>
      </c>
      <c r="J3665" t="s">
        <v>8439</v>
      </c>
    </row>
    <row r="3666" spans="1:10" x14ac:dyDescent="0.25">
      <c r="A3666" t="s">
        <v>16016</v>
      </c>
      <c r="B3666">
        <v>6.9920000000000009</v>
      </c>
      <c r="C3666" t="s">
        <v>16017</v>
      </c>
      <c r="D3666" t="s">
        <v>2138</v>
      </c>
      <c r="E3666" t="s">
        <v>15993</v>
      </c>
      <c r="F3666" t="s">
        <v>7672</v>
      </c>
      <c r="G3666" t="s">
        <v>15994</v>
      </c>
      <c r="H3666" t="s">
        <v>7974</v>
      </c>
      <c r="I3666" t="s">
        <v>15998</v>
      </c>
      <c r="J3666" t="s">
        <v>8451</v>
      </c>
    </row>
    <row r="3667" spans="1:10" x14ac:dyDescent="0.25">
      <c r="A3667" t="s">
        <v>16018</v>
      </c>
      <c r="B3667">
        <v>6.9920000000000009</v>
      </c>
      <c r="C3667" t="s">
        <v>16019</v>
      </c>
      <c r="D3667" t="s">
        <v>4136</v>
      </c>
      <c r="E3667" t="s">
        <v>15993</v>
      </c>
      <c r="F3667" t="s">
        <v>7672</v>
      </c>
      <c r="G3667" t="s">
        <v>15994</v>
      </c>
      <c r="H3667" t="s">
        <v>7974</v>
      </c>
      <c r="I3667" t="s">
        <v>16001</v>
      </c>
      <c r="J3667" t="s">
        <v>8451</v>
      </c>
    </row>
    <row r="3668" spans="1:10" x14ac:dyDescent="0.25">
      <c r="A3668" t="s">
        <v>16020</v>
      </c>
      <c r="B3668">
        <v>6.9920000000000009</v>
      </c>
      <c r="C3668" t="s">
        <v>16021</v>
      </c>
      <c r="D3668" t="s">
        <v>16022</v>
      </c>
      <c r="E3668" t="s">
        <v>15993</v>
      </c>
      <c r="F3668" t="s">
        <v>7672</v>
      </c>
      <c r="G3668" t="s">
        <v>15994</v>
      </c>
      <c r="H3668" t="s">
        <v>7974</v>
      </c>
      <c r="I3668" t="s">
        <v>15995</v>
      </c>
      <c r="J3668" t="s">
        <v>8451</v>
      </c>
    </row>
    <row r="3669" spans="1:10" x14ac:dyDescent="0.25">
      <c r="A3669" t="s">
        <v>16023</v>
      </c>
      <c r="B3669">
        <v>6.9920000000000009</v>
      </c>
      <c r="C3669" t="s">
        <v>16024</v>
      </c>
      <c r="D3669" t="s">
        <v>3409</v>
      </c>
      <c r="E3669" t="s">
        <v>15993</v>
      </c>
      <c r="F3669" t="s">
        <v>7672</v>
      </c>
      <c r="G3669" t="s">
        <v>15994</v>
      </c>
      <c r="H3669" t="s">
        <v>7974</v>
      </c>
      <c r="I3669" t="s">
        <v>15995</v>
      </c>
      <c r="J3669" t="s">
        <v>8462</v>
      </c>
    </row>
    <row r="3670" spans="1:10" x14ac:dyDescent="0.25">
      <c r="A3670" t="s">
        <v>16025</v>
      </c>
      <c r="B3670">
        <v>6.9920000000000009</v>
      </c>
      <c r="C3670" t="s">
        <v>16026</v>
      </c>
      <c r="D3670" t="s">
        <v>516</v>
      </c>
      <c r="E3670" t="s">
        <v>15993</v>
      </c>
      <c r="F3670" t="s">
        <v>7672</v>
      </c>
      <c r="G3670" t="s">
        <v>15994</v>
      </c>
      <c r="H3670" t="s">
        <v>7974</v>
      </c>
      <c r="I3670" t="s">
        <v>15998</v>
      </c>
      <c r="J3670" t="s">
        <v>8462</v>
      </c>
    </row>
    <row r="3671" spans="1:10" x14ac:dyDescent="0.25">
      <c r="A3671" t="s">
        <v>16027</v>
      </c>
      <c r="B3671">
        <v>6.9920000000000009</v>
      </c>
      <c r="C3671" t="s">
        <v>16028</v>
      </c>
      <c r="D3671" t="s">
        <v>664</v>
      </c>
      <c r="E3671" t="s">
        <v>15993</v>
      </c>
      <c r="F3671" t="s">
        <v>7672</v>
      </c>
      <c r="G3671" t="s">
        <v>15994</v>
      </c>
      <c r="H3671" t="s">
        <v>7974</v>
      </c>
      <c r="I3671" t="s">
        <v>16001</v>
      </c>
      <c r="J3671" t="s">
        <v>8462</v>
      </c>
    </row>
    <row r="3672" spans="1:10" x14ac:dyDescent="0.25">
      <c r="A3672" t="s">
        <v>16029</v>
      </c>
      <c r="B3672">
        <v>6.9920000000000009</v>
      </c>
      <c r="C3672" t="s">
        <v>16030</v>
      </c>
      <c r="D3672" t="s">
        <v>835</v>
      </c>
      <c r="E3672" t="s">
        <v>15993</v>
      </c>
      <c r="F3672" t="s">
        <v>7672</v>
      </c>
      <c r="G3672" t="s">
        <v>15994</v>
      </c>
      <c r="H3672" t="s">
        <v>7974</v>
      </c>
      <c r="I3672" t="s">
        <v>15998</v>
      </c>
      <c r="J3672" t="s">
        <v>9998</v>
      </c>
    </row>
    <row r="3673" spans="1:10" x14ac:dyDescent="0.25">
      <c r="A3673" t="s">
        <v>16031</v>
      </c>
      <c r="B3673">
        <v>6.9920000000000009</v>
      </c>
      <c r="C3673" t="s">
        <v>16032</v>
      </c>
      <c r="D3673" t="s">
        <v>835</v>
      </c>
      <c r="E3673" t="s">
        <v>15993</v>
      </c>
      <c r="F3673" t="s">
        <v>7672</v>
      </c>
      <c r="G3673" t="s">
        <v>15994</v>
      </c>
      <c r="H3673" t="s">
        <v>7974</v>
      </c>
      <c r="I3673" t="s">
        <v>16001</v>
      </c>
      <c r="J3673" t="s">
        <v>9998</v>
      </c>
    </row>
    <row r="3674" spans="1:10" x14ac:dyDescent="0.25">
      <c r="A3674" t="s">
        <v>16033</v>
      </c>
      <c r="B3674">
        <v>6.9920000000000009</v>
      </c>
      <c r="C3674" t="s">
        <v>16034</v>
      </c>
      <c r="D3674" t="s">
        <v>2072</v>
      </c>
      <c r="E3674" t="s">
        <v>15993</v>
      </c>
      <c r="F3674" t="s">
        <v>7672</v>
      </c>
      <c r="G3674" t="s">
        <v>15994</v>
      </c>
      <c r="H3674" t="s">
        <v>7974</v>
      </c>
      <c r="I3674" t="s">
        <v>15995</v>
      </c>
      <c r="J3674" t="s">
        <v>9998</v>
      </c>
    </row>
    <row r="3675" spans="1:10" x14ac:dyDescent="0.25">
      <c r="A3675" t="s">
        <v>16035</v>
      </c>
      <c r="B3675">
        <v>9.5920000000000005</v>
      </c>
      <c r="C3675" t="s">
        <v>16036</v>
      </c>
      <c r="D3675" t="s">
        <v>8881</v>
      </c>
      <c r="E3675" t="s">
        <v>16037</v>
      </c>
      <c r="F3675" t="s">
        <v>7672</v>
      </c>
      <c r="G3675" t="s">
        <v>16038</v>
      </c>
      <c r="H3675" t="s">
        <v>7674</v>
      </c>
      <c r="I3675" t="s">
        <v>278</v>
      </c>
      <c r="J3675" t="s">
        <v>16039</v>
      </c>
    </row>
    <row r="3676" spans="1:10" x14ac:dyDescent="0.25">
      <c r="A3676" t="s">
        <v>16040</v>
      </c>
      <c r="B3676">
        <v>9.5920000000000005</v>
      </c>
      <c r="C3676" t="s">
        <v>16041</v>
      </c>
      <c r="D3676" t="s">
        <v>2762</v>
      </c>
      <c r="E3676" t="s">
        <v>16037</v>
      </c>
      <c r="F3676" t="s">
        <v>7672</v>
      </c>
      <c r="G3676" t="s">
        <v>16038</v>
      </c>
      <c r="H3676" t="s">
        <v>7674</v>
      </c>
      <c r="I3676" t="s">
        <v>805</v>
      </c>
      <c r="J3676" t="s">
        <v>16039</v>
      </c>
    </row>
    <row r="3677" spans="1:10" x14ac:dyDescent="0.25">
      <c r="A3677" t="s">
        <v>16042</v>
      </c>
      <c r="B3677">
        <v>9.5920000000000005</v>
      </c>
      <c r="C3677" t="s">
        <v>16043</v>
      </c>
      <c r="D3677" t="s">
        <v>16044</v>
      </c>
      <c r="E3677" t="s">
        <v>16037</v>
      </c>
      <c r="F3677" t="s">
        <v>7672</v>
      </c>
      <c r="G3677" t="s">
        <v>16038</v>
      </c>
      <c r="H3677" t="s">
        <v>7674</v>
      </c>
      <c r="I3677" t="s">
        <v>76</v>
      </c>
      <c r="J3677" t="s">
        <v>16039</v>
      </c>
    </row>
    <row r="3678" spans="1:10" x14ac:dyDescent="0.25">
      <c r="A3678" t="s">
        <v>16045</v>
      </c>
      <c r="B3678">
        <v>9.5920000000000005</v>
      </c>
      <c r="C3678" t="s">
        <v>16046</v>
      </c>
      <c r="D3678" t="s">
        <v>53</v>
      </c>
      <c r="E3678" t="s">
        <v>16037</v>
      </c>
      <c r="F3678" t="s">
        <v>7672</v>
      </c>
      <c r="G3678" t="s">
        <v>16038</v>
      </c>
      <c r="H3678" t="s">
        <v>7674</v>
      </c>
      <c r="I3678" t="s">
        <v>16047</v>
      </c>
      <c r="J3678" t="s">
        <v>16039</v>
      </c>
    </row>
    <row r="3679" spans="1:10" x14ac:dyDescent="0.25">
      <c r="A3679" t="s">
        <v>16048</v>
      </c>
      <c r="B3679">
        <v>9.5920000000000005</v>
      </c>
      <c r="C3679" t="s">
        <v>16049</v>
      </c>
      <c r="D3679" t="s">
        <v>8190</v>
      </c>
      <c r="E3679" t="s">
        <v>16037</v>
      </c>
      <c r="F3679" t="s">
        <v>7672</v>
      </c>
      <c r="G3679" t="s">
        <v>16038</v>
      </c>
      <c r="H3679" t="s">
        <v>7674</v>
      </c>
      <c r="I3679" t="s">
        <v>15424</v>
      </c>
      <c r="J3679" t="s">
        <v>16039</v>
      </c>
    </row>
    <row r="3680" spans="1:10" x14ac:dyDescent="0.25">
      <c r="A3680" t="s">
        <v>16050</v>
      </c>
      <c r="B3680">
        <v>9.5920000000000005</v>
      </c>
      <c r="C3680" t="s">
        <v>16051</v>
      </c>
      <c r="D3680" t="s">
        <v>3224</v>
      </c>
      <c r="E3680" t="s">
        <v>16037</v>
      </c>
      <c r="F3680" t="s">
        <v>7672</v>
      </c>
      <c r="G3680" t="s">
        <v>16038</v>
      </c>
      <c r="H3680" t="s">
        <v>7674</v>
      </c>
      <c r="I3680" t="s">
        <v>11535</v>
      </c>
      <c r="J3680" t="s">
        <v>16039</v>
      </c>
    </row>
    <row r="3681" spans="1:10" x14ac:dyDescent="0.25">
      <c r="A3681" t="s">
        <v>16052</v>
      </c>
      <c r="B3681">
        <v>9.5920000000000005</v>
      </c>
      <c r="C3681" t="s">
        <v>16053</v>
      </c>
      <c r="D3681" t="s">
        <v>366</v>
      </c>
      <c r="E3681" t="s">
        <v>16037</v>
      </c>
      <c r="F3681" t="s">
        <v>7672</v>
      </c>
      <c r="G3681" t="s">
        <v>16038</v>
      </c>
      <c r="H3681" t="s">
        <v>7674</v>
      </c>
      <c r="I3681" t="s">
        <v>8577</v>
      </c>
      <c r="J3681" t="s">
        <v>16039</v>
      </c>
    </row>
    <row r="3682" spans="1:10" x14ac:dyDescent="0.25">
      <c r="A3682" t="s">
        <v>16054</v>
      </c>
      <c r="B3682">
        <v>9.5920000000000005</v>
      </c>
      <c r="C3682" t="s">
        <v>16055</v>
      </c>
      <c r="D3682" t="s">
        <v>1842</v>
      </c>
      <c r="E3682" t="s">
        <v>16037</v>
      </c>
      <c r="F3682" t="s">
        <v>7672</v>
      </c>
      <c r="G3682" t="s">
        <v>16038</v>
      </c>
      <c r="H3682" t="s">
        <v>7674</v>
      </c>
      <c r="I3682" t="s">
        <v>16056</v>
      </c>
      <c r="J3682" t="s">
        <v>16039</v>
      </c>
    </row>
    <row r="3683" spans="1:10" x14ac:dyDescent="0.25">
      <c r="A3683" t="s">
        <v>16057</v>
      </c>
      <c r="B3683">
        <v>4.1920000000000002</v>
      </c>
      <c r="C3683" t="s">
        <v>16058</v>
      </c>
      <c r="D3683" t="s">
        <v>2697</v>
      </c>
      <c r="E3683" t="s">
        <v>16037</v>
      </c>
      <c r="F3683" t="s">
        <v>7672</v>
      </c>
      <c r="G3683" t="s">
        <v>16038</v>
      </c>
      <c r="H3683" t="s">
        <v>7674</v>
      </c>
      <c r="I3683" t="s">
        <v>15658</v>
      </c>
      <c r="J3683" t="s">
        <v>16039</v>
      </c>
    </row>
    <row r="3684" spans="1:10" x14ac:dyDescent="0.25">
      <c r="A3684" t="s">
        <v>16059</v>
      </c>
      <c r="B3684">
        <v>9.5920000000000005</v>
      </c>
      <c r="C3684" t="s">
        <v>16060</v>
      </c>
      <c r="D3684" t="s">
        <v>5966</v>
      </c>
      <c r="E3684" t="s">
        <v>16037</v>
      </c>
      <c r="F3684" t="s">
        <v>7672</v>
      </c>
      <c r="G3684" t="s">
        <v>16038</v>
      </c>
      <c r="H3684" t="s">
        <v>7674</v>
      </c>
      <c r="I3684" t="s">
        <v>16061</v>
      </c>
      <c r="J3684" t="s">
        <v>16039</v>
      </c>
    </row>
    <row r="3685" spans="1:10" x14ac:dyDescent="0.25">
      <c r="A3685" t="s">
        <v>16062</v>
      </c>
      <c r="B3685">
        <v>9.5920000000000005</v>
      </c>
      <c r="C3685" t="s">
        <v>16063</v>
      </c>
      <c r="D3685" t="s">
        <v>14276</v>
      </c>
      <c r="E3685" t="s">
        <v>16037</v>
      </c>
      <c r="F3685" t="s">
        <v>7672</v>
      </c>
      <c r="G3685" t="s">
        <v>16038</v>
      </c>
      <c r="H3685" t="s">
        <v>7674</v>
      </c>
      <c r="I3685" t="s">
        <v>278</v>
      </c>
      <c r="J3685" t="s">
        <v>16064</v>
      </c>
    </row>
    <row r="3686" spans="1:10" x14ac:dyDescent="0.25">
      <c r="A3686" t="s">
        <v>16065</v>
      </c>
      <c r="B3686">
        <v>9.5920000000000005</v>
      </c>
      <c r="C3686" t="s">
        <v>16066</v>
      </c>
      <c r="D3686" t="s">
        <v>16067</v>
      </c>
      <c r="E3686" t="s">
        <v>16037</v>
      </c>
      <c r="F3686" t="s">
        <v>7672</v>
      </c>
      <c r="G3686" t="s">
        <v>16038</v>
      </c>
      <c r="H3686" t="s">
        <v>7674</v>
      </c>
      <c r="I3686" t="s">
        <v>805</v>
      </c>
      <c r="J3686" t="s">
        <v>16064</v>
      </c>
    </row>
    <row r="3687" spans="1:10" x14ac:dyDescent="0.25">
      <c r="A3687" t="s">
        <v>16068</v>
      </c>
      <c r="B3687">
        <v>9.5920000000000005</v>
      </c>
      <c r="C3687" t="s">
        <v>16069</v>
      </c>
      <c r="D3687" t="s">
        <v>8541</v>
      </c>
      <c r="E3687" t="s">
        <v>16037</v>
      </c>
      <c r="F3687" t="s">
        <v>7672</v>
      </c>
      <c r="G3687" t="s">
        <v>16038</v>
      </c>
      <c r="H3687" t="s">
        <v>7674</v>
      </c>
      <c r="I3687" t="s">
        <v>76</v>
      </c>
      <c r="J3687" t="s">
        <v>16064</v>
      </c>
    </row>
    <row r="3688" spans="1:10" x14ac:dyDescent="0.25">
      <c r="A3688" t="s">
        <v>16070</v>
      </c>
      <c r="B3688">
        <v>9.5920000000000005</v>
      </c>
      <c r="C3688" t="s">
        <v>16071</v>
      </c>
      <c r="D3688" t="s">
        <v>16072</v>
      </c>
      <c r="E3688" t="s">
        <v>16037</v>
      </c>
      <c r="F3688" t="s">
        <v>7672</v>
      </c>
      <c r="G3688" t="s">
        <v>16038</v>
      </c>
      <c r="H3688" t="s">
        <v>7674</v>
      </c>
      <c r="I3688" t="s">
        <v>16047</v>
      </c>
      <c r="J3688" t="s">
        <v>16064</v>
      </c>
    </row>
    <row r="3689" spans="1:10" x14ac:dyDescent="0.25">
      <c r="A3689" t="s">
        <v>16073</v>
      </c>
      <c r="B3689">
        <v>9.5920000000000005</v>
      </c>
      <c r="C3689" t="s">
        <v>16074</v>
      </c>
      <c r="D3689" t="s">
        <v>8432</v>
      </c>
      <c r="E3689" t="s">
        <v>16037</v>
      </c>
      <c r="F3689" t="s">
        <v>7672</v>
      </c>
      <c r="G3689" t="s">
        <v>16038</v>
      </c>
      <c r="H3689" t="s">
        <v>7674</v>
      </c>
      <c r="I3689" t="s">
        <v>5202</v>
      </c>
      <c r="J3689" t="s">
        <v>16064</v>
      </c>
    </row>
    <row r="3690" spans="1:10" x14ac:dyDescent="0.25">
      <c r="A3690" t="s">
        <v>16075</v>
      </c>
      <c r="B3690">
        <v>9.5920000000000005</v>
      </c>
      <c r="C3690" t="s">
        <v>16076</v>
      </c>
      <c r="D3690" t="s">
        <v>8823</v>
      </c>
      <c r="E3690" t="s">
        <v>16037</v>
      </c>
      <c r="F3690" t="s">
        <v>7672</v>
      </c>
      <c r="G3690" t="s">
        <v>16038</v>
      </c>
      <c r="H3690" t="s">
        <v>7674</v>
      </c>
      <c r="I3690" t="s">
        <v>16056</v>
      </c>
      <c r="J3690" t="s">
        <v>16064</v>
      </c>
    </row>
    <row r="3691" spans="1:10" x14ac:dyDescent="0.25">
      <c r="A3691" t="s">
        <v>16077</v>
      </c>
      <c r="B3691">
        <v>9.5920000000000005</v>
      </c>
      <c r="C3691" t="s">
        <v>16078</v>
      </c>
      <c r="D3691" t="s">
        <v>106</v>
      </c>
      <c r="E3691" t="s">
        <v>16037</v>
      </c>
      <c r="F3691" t="s">
        <v>7672</v>
      </c>
      <c r="G3691" t="s">
        <v>16038</v>
      </c>
      <c r="H3691" t="s">
        <v>7674</v>
      </c>
      <c r="I3691" t="s">
        <v>8467</v>
      </c>
      <c r="J3691" t="s">
        <v>16064</v>
      </c>
    </row>
    <row r="3692" spans="1:10" x14ac:dyDescent="0.25">
      <c r="A3692" t="s">
        <v>16079</v>
      </c>
      <c r="B3692">
        <v>9.5920000000000005</v>
      </c>
      <c r="C3692" t="s">
        <v>16080</v>
      </c>
      <c r="D3692" t="s">
        <v>229</v>
      </c>
      <c r="E3692" t="s">
        <v>16037</v>
      </c>
      <c r="F3692" t="s">
        <v>7672</v>
      </c>
      <c r="G3692" t="s">
        <v>16038</v>
      </c>
      <c r="H3692" t="s">
        <v>7674</v>
      </c>
      <c r="I3692" t="s">
        <v>8577</v>
      </c>
      <c r="J3692" t="s">
        <v>16064</v>
      </c>
    </row>
    <row r="3693" spans="1:10" x14ac:dyDescent="0.25">
      <c r="A3693" t="s">
        <v>16081</v>
      </c>
      <c r="B3693">
        <v>9.5920000000000005</v>
      </c>
      <c r="C3693" t="s">
        <v>16082</v>
      </c>
      <c r="D3693" t="s">
        <v>6229</v>
      </c>
      <c r="E3693" t="s">
        <v>16037</v>
      </c>
      <c r="F3693" t="s">
        <v>7672</v>
      </c>
      <c r="G3693" t="s">
        <v>16038</v>
      </c>
      <c r="H3693" t="s">
        <v>7674</v>
      </c>
      <c r="I3693" t="s">
        <v>11535</v>
      </c>
      <c r="J3693" t="s">
        <v>16064</v>
      </c>
    </row>
    <row r="3694" spans="1:10" x14ac:dyDescent="0.25">
      <c r="A3694" t="s">
        <v>16083</v>
      </c>
      <c r="B3694">
        <v>4.1920000000000002</v>
      </c>
      <c r="C3694" t="s">
        <v>16084</v>
      </c>
      <c r="D3694" t="s">
        <v>366</v>
      </c>
      <c r="E3694" t="s">
        <v>16037</v>
      </c>
      <c r="F3694" t="s">
        <v>7672</v>
      </c>
      <c r="G3694" t="s">
        <v>16038</v>
      </c>
      <c r="H3694" t="s">
        <v>7674</v>
      </c>
      <c r="I3694" t="s">
        <v>15658</v>
      </c>
      <c r="J3694" t="s">
        <v>16064</v>
      </c>
    </row>
    <row r="3695" spans="1:10" x14ac:dyDescent="0.25">
      <c r="A3695" t="s">
        <v>16085</v>
      </c>
      <c r="B3695">
        <v>9.5920000000000005</v>
      </c>
      <c r="C3695" t="s">
        <v>16086</v>
      </c>
      <c r="D3695" t="s">
        <v>5105</v>
      </c>
      <c r="E3695" t="s">
        <v>16037</v>
      </c>
      <c r="F3695" t="s">
        <v>7672</v>
      </c>
      <c r="G3695" t="s">
        <v>16038</v>
      </c>
      <c r="H3695" t="s">
        <v>7674</v>
      </c>
      <c r="I3695" t="s">
        <v>16061</v>
      </c>
      <c r="J3695" t="s">
        <v>16064</v>
      </c>
    </row>
    <row r="3696" spans="1:10" x14ac:dyDescent="0.25">
      <c r="A3696" t="s">
        <v>16087</v>
      </c>
      <c r="B3696">
        <v>9.5920000000000005</v>
      </c>
      <c r="C3696" t="s">
        <v>16088</v>
      </c>
      <c r="D3696" t="s">
        <v>9822</v>
      </c>
      <c r="E3696" t="s">
        <v>16037</v>
      </c>
      <c r="F3696" t="s">
        <v>7672</v>
      </c>
      <c r="G3696" t="s">
        <v>16038</v>
      </c>
      <c r="H3696" t="s">
        <v>7674</v>
      </c>
      <c r="I3696" t="s">
        <v>805</v>
      </c>
      <c r="J3696" t="s">
        <v>16089</v>
      </c>
    </row>
    <row r="3697" spans="1:10" x14ac:dyDescent="0.25">
      <c r="A3697" t="s">
        <v>16090</v>
      </c>
      <c r="B3697">
        <v>9.5920000000000005</v>
      </c>
      <c r="C3697" t="s">
        <v>16091</v>
      </c>
      <c r="D3697" t="s">
        <v>13063</v>
      </c>
      <c r="E3697" t="s">
        <v>16037</v>
      </c>
      <c r="F3697" t="s">
        <v>7672</v>
      </c>
      <c r="G3697" t="s">
        <v>16038</v>
      </c>
      <c r="H3697" t="s">
        <v>7674</v>
      </c>
      <c r="I3697" t="s">
        <v>278</v>
      </c>
      <c r="J3697" t="s">
        <v>16089</v>
      </c>
    </row>
    <row r="3698" spans="1:10" x14ac:dyDescent="0.25">
      <c r="A3698" t="s">
        <v>16092</v>
      </c>
      <c r="B3698">
        <v>9.5920000000000005</v>
      </c>
      <c r="C3698" t="s">
        <v>16093</v>
      </c>
      <c r="D3698" t="s">
        <v>12784</v>
      </c>
      <c r="E3698" t="s">
        <v>16037</v>
      </c>
      <c r="F3698" t="s">
        <v>7672</v>
      </c>
      <c r="G3698" t="s">
        <v>16038</v>
      </c>
      <c r="H3698" t="s">
        <v>7674</v>
      </c>
      <c r="I3698" t="s">
        <v>16047</v>
      </c>
      <c r="J3698" t="s">
        <v>16089</v>
      </c>
    </row>
    <row r="3699" spans="1:10" x14ac:dyDescent="0.25">
      <c r="A3699" t="s">
        <v>16094</v>
      </c>
      <c r="B3699">
        <v>9.5920000000000005</v>
      </c>
      <c r="C3699" t="s">
        <v>16095</v>
      </c>
      <c r="D3699" t="s">
        <v>2078</v>
      </c>
      <c r="E3699" t="s">
        <v>16037</v>
      </c>
      <c r="F3699" t="s">
        <v>7672</v>
      </c>
      <c r="G3699" t="s">
        <v>16038</v>
      </c>
      <c r="H3699" t="s">
        <v>7674</v>
      </c>
      <c r="I3699" t="s">
        <v>16061</v>
      </c>
      <c r="J3699" t="s">
        <v>16089</v>
      </c>
    </row>
    <row r="3700" spans="1:10" x14ac:dyDescent="0.25">
      <c r="A3700" t="s">
        <v>16096</v>
      </c>
      <c r="B3700">
        <v>9.5920000000000005</v>
      </c>
      <c r="C3700" t="s">
        <v>16097</v>
      </c>
      <c r="D3700" t="s">
        <v>8730</v>
      </c>
      <c r="E3700" t="s">
        <v>16037</v>
      </c>
      <c r="F3700" t="s">
        <v>7672</v>
      </c>
      <c r="G3700" t="s">
        <v>16038</v>
      </c>
      <c r="H3700" t="s">
        <v>7674</v>
      </c>
      <c r="I3700" t="s">
        <v>11535</v>
      </c>
      <c r="J3700" t="s">
        <v>16089</v>
      </c>
    </row>
    <row r="3701" spans="1:10" x14ac:dyDescent="0.25">
      <c r="A3701" t="s">
        <v>16098</v>
      </c>
      <c r="B3701">
        <v>9.5920000000000005</v>
      </c>
      <c r="C3701" t="s">
        <v>16099</v>
      </c>
      <c r="D3701" t="s">
        <v>3253</v>
      </c>
      <c r="E3701" t="s">
        <v>16037</v>
      </c>
      <c r="F3701" t="s">
        <v>7672</v>
      </c>
      <c r="G3701" t="s">
        <v>16038</v>
      </c>
      <c r="H3701" t="s">
        <v>7674</v>
      </c>
      <c r="I3701" t="s">
        <v>16056</v>
      </c>
      <c r="J3701" t="s">
        <v>16089</v>
      </c>
    </row>
    <row r="3702" spans="1:10" x14ac:dyDescent="0.25">
      <c r="A3702" t="s">
        <v>16100</v>
      </c>
      <c r="B3702">
        <v>9.5920000000000005</v>
      </c>
      <c r="C3702" t="s">
        <v>16101</v>
      </c>
      <c r="D3702" t="s">
        <v>1949</v>
      </c>
      <c r="E3702" t="s">
        <v>16037</v>
      </c>
      <c r="F3702" t="s">
        <v>7672</v>
      </c>
      <c r="G3702" t="s">
        <v>16038</v>
      </c>
      <c r="H3702" t="s">
        <v>7674</v>
      </c>
      <c r="I3702" t="s">
        <v>8577</v>
      </c>
      <c r="J3702" t="s">
        <v>16089</v>
      </c>
    </row>
    <row r="3703" spans="1:10" x14ac:dyDescent="0.25">
      <c r="A3703" t="s">
        <v>16102</v>
      </c>
      <c r="B3703">
        <v>9.5920000000000005</v>
      </c>
      <c r="C3703" t="s">
        <v>16103</v>
      </c>
      <c r="D3703" t="s">
        <v>3076</v>
      </c>
      <c r="E3703" t="s">
        <v>16037</v>
      </c>
      <c r="F3703" t="s">
        <v>7672</v>
      </c>
      <c r="G3703" t="s">
        <v>16038</v>
      </c>
      <c r="H3703" t="s">
        <v>7674</v>
      </c>
      <c r="I3703" t="s">
        <v>805</v>
      </c>
      <c r="J3703" t="s">
        <v>16104</v>
      </c>
    </row>
    <row r="3704" spans="1:10" x14ac:dyDescent="0.25">
      <c r="A3704" t="s">
        <v>16105</v>
      </c>
      <c r="B3704">
        <v>9.5920000000000005</v>
      </c>
      <c r="C3704" t="s">
        <v>16106</v>
      </c>
      <c r="D3704" t="s">
        <v>16107</v>
      </c>
      <c r="E3704" t="s">
        <v>16037</v>
      </c>
      <c r="F3704" t="s">
        <v>7672</v>
      </c>
      <c r="G3704" t="s">
        <v>16038</v>
      </c>
      <c r="H3704" t="s">
        <v>7674</v>
      </c>
      <c r="I3704" t="s">
        <v>278</v>
      </c>
      <c r="J3704" t="s">
        <v>16104</v>
      </c>
    </row>
    <row r="3705" spans="1:10" x14ac:dyDescent="0.25">
      <c r="A3705" t="s">
        <v>16108</v>
      </c>
      <c r="B3705">
        <v>9.5920000000000005</v>
      </c>
      <c r="C3705" t="s">
        <v>16109</v>
      </c>
      <c r="D3705" t="s">
        <v>113</v>
      </c>
      <c r="E3705" t="s">
        <v>16037</v>
      </c>
      <c r="F3705" t="s">
        <v>7672</v>
      </c>
      <c r="G3705" t="s">
        <v>16038</v>
      </c>
      <c r="H3705" t="s">
        <v>7674</v>
      </c>
      <c r="I3705" t="s">
        <v>16047</v>
      </c>
      <c r="J3705" t="s">
        <v>16104</v>
      </c>
    </row>
    <row r="3706" spans="1:10" x14ac:dyDescent="0.25">
      <c r="A3706" t="s">
        <v>16110</v>
      </c>
      <c r="B3706">
        <v>9.5920000000000005</v>
      </c>
      <c r="C3706" t="s">
        <v>16111</v>
      </c>
      <c r="D3706" t="s">
        <v>1864</v>
      </c>
      <c r="E3706" t="s">
        <v>16037</v>
      </c>
      <c r="F3706" t="s">
        <v>7672</v>
      </c>
      <c r="G3706" t="s">
        <v>16038</v>
      </c>
      <c r="H3706" t="s">
        <v>7674</v>
      </c>
      <c r="I3706" t="s">
        <v>16056</v>
      </c>
      <c r="J3706" t="s">
        <v>16104</v>
      </c>
    </row>
    <row r="3707" spans="1:10" x14ac:dyDescent="0.25">
      <c r="A3707" t="s">
        <v>16112</v>
      </c>
      <c r="B3707">
        <v>9.5920000000000005</v>
      </c>
      <c r="C3707" t="s">
        <v>16113</v>
      </c>
      <c r="D3707" t="s">
        <v>106</v>
      </c>
      <c r="E3707" t="s">
        <v>16037</v>
      </c>
      <c r="F3707" t="s">
        <v>7672</v>
      </c>
      <c r="G3707" t="s">
        <v>16038</v>
      </c>
      <c r="H3707" t="s">
        <v>7674</v>
      </c>
      <c r="I3707" t="s">
        <v>8467</v>
      </c>
      <c r="J3707" t="s">
        <v>16104</v>
      </c>
    </row>
    <row r="3708" spans="1:10" x14ac:dyDescent="0.25">
      <c r="A3708" t="s">
        <v>16114</v>
      </c>
      <c r="B3708">
        <v>9.5920000000000005</v>
      </c>
      <c r="C3708" t="s">
        <v>16115</v>
      </c>
      <c r="D3708" t="s">
        <v>8450</v>
      </c>
      <c r="E3708" t="s">
        <v>16037</v>
      </c>
      <c r="F3708" t="s">
        <v>7672</v>
      </c>
      <c r="G3708" t="s">
        <v>16038</v>
      </c>
      <c r="H3708" t="s">
        <v>7674</v>
      </c>
      <c r="I3708" t="s">
        <v>16061</v>
      </c>
      <c r="J3708" t="s">
        <v>16104</v>
      </c>
    </row>
    <row r="3709" spans="1:10" x14ac:dyDescent="0.25">
      <c r="A3709" t="s">
        <v>16116</v>
      </c>
      <c r="B3709">
        <v>9.5920000000000005</v>
      </c>
      <c r="C3709" t="s">
        <v>16117</v>
      </c>
      <c r="D3709" t="s">
        <v>16118</v>
      </c>
      <c r="E3709" t="s">
        <v>16037</v>
      </c>
      <c r="F3709" t="s">
        <v>7672</v>
      </c>
      <c r="G3709" t="s">
        <v>16038</v>
      </c>
      <c r="H3709" t="s">
        <v>7674</v>
      </c>
      <c r="I3709" t="s">
        <v>11535</v>
      </c>
      <c r="J3709" t="s">
        <v>16104</v>
      </c>
    </row>
    <row r="3710" spans="1:10" x14ac:dyDescent="0.25">
      <c r="A3710" t="s">
        <v>16119</v>
      </c>
      <c r="B3710">
        <v>9.5920000000000005</v>
      </c>
      <c r="C3710" t="s">
        <v>16120</v>
      </c>
      <c r="D3710" t="s">
        <v>941</v>
      </c>
      <c r="E3710" t="s">
        <v>16037</v>
      </c>
      <c r="F3710" t="s">
        <v>7672</v>
      </c>
      <c r="G3710" t="s">
        <v>16038</v>
      </c>
      <c r="H3710" t="s">
        <v>7674</v>
      </c>
      <c r="I3710" t="s">
        <v>8577</v>
      </c>
      <c r="J3710" t="s">
        <v>16104</v>
      </c>
    </row>
    <row r="3711" spans="1:10" x14ac:dyDescent="0.25">
      <c r="A3711" t="s">
        <v>16121</v>
      </c>
      <c r="B3711">
        <v>4.1920000000000002</v>
      </c>
      <c r="C3711" t="s">
        <v>16122</v>
      </c>
      <c r="D3711" t="s">
        <v>385</v>
      </c>
      <c r="E3711" t="s">
        <v>16037</v>
      </c>
      <c r="F3711" t="s">
        <v>7672</v>
      </c>
      <c r="G3711" t="s">
        <v>16038</v>
      </c>
      <c r="H3711" t="s">
        <v>7674</v>
      </c>
      <c r="I3711" t="s">
        <v>15658</v>
      </c>
      <c r="J3711" t="s">
        <v>16104</v>
      </c>
    </row>
    <row r="3712" spans="1:10" x14ac:dyDescent="0.25">
      <c r="A3712" t="s">
        <v>16123</v>
      </c>
      <c r="B3712">
        <v>9.5920000000000005</v>
      </c>
      <c r="C3712" t="s">
        <v>16124</v>
      </c>
      <c r="D3712" t="s">
        <v>3999</v>
      </c>
      <c r="E3712" t="s">
        <v>16037</v>
      </c>
      <c r="F3712" t="s">
        <v>7672</v>
      </c>
      <c r="G3712" t="s">
        <v>16038</v>
      </c>
      <c r="H3712" t="s">
        <v>7674</v>
      </c>
      <c r="I3712" t="s">
        <v>805</v>
      </c>
      <c r="J3712" t="s">
        <v>16125</v>
      </c>
    </row>
    <row r="3713" spans="1:10" x14ac:dyDescent="0.25">
      <c r="A3713" t="s">
        <v>16126</v>
      </c>
      <c r="B3713">
        <v>9.5920000000000005</v>
      </c>
      <c r="C3713" t="s">
        <v>16127</v>
      </c>
      <c r="D3713" t="s">
        <v>16128</v>
      </c>
      <c r="E3713" t="s">
        <v>16037</v>
      </c>
      <c r="F3713" t="s">
        <v>7672</v>
      </c>
      <c r="G3713" t="s">
        <v>16038</v>
      </c>
      <c r="H3713" t="s">
        <v>7674</v>
      </c>
      <c r="I3713" t="s">
        <v>278</v>
      </c>
      <c r="J3713" t="s">
        <v>16125</v>
      </c>
    </row>
    <row r="3714" spans="1:10" x14ac:dyDescent="0.25">
      <c r="A3714" t="s">
        <v>16129</v>
      </c>
      <c r="B3714">
        <v>9.5920000000000005</v>
      </c>
      <c r="C3714" t="s">
        <v>16130</v>
      </c>
      <c r="D3714" t="s">
        <v>5716</v>
      </c>
      <c r="E3714" t="s">
        <v>16037</v>
      </c>
      <c r="F3714" t="s">
        <v>7672</v>
      </c>
      <c r="G3714" t="s">
        <v>16038</v>
      </c>
      <c r="H3714" t="s">
        <v>7674</v>
      </c>
      <c r="I3714" t="s">
        <v>16047</v>
      </c>
      <c r="J3714" t="s">
        <v>16125</v>
      </c>
    </row>
    <row r="3715" spans="1:10" x14ac:dyDescent="0.25">
      <c r="A3715" t="s">
        <v>16131</v>
      </c>
      <c r="B3715">
        <v>9.5920000000000005</v>
      </c>
      <c r="C3715" t="s">
        <v>16132</v>
      </c>
      <c r="D3715" t="s">
        <v>3944</v>
      </c>
      <c r="E3715" t="s">
        <v>16037</v>
      </c>
      <c r="F3715" t="s">
        <v>7672</v>
      </c>
      <c r="G3715" t="s">
        <v>16038</v>
      </c>
      <c r="H3715" t="s">
        <v>7674</v>
      </c>
      <c r="I3715" t="s">
        <v>16056</v>
      </c>
      <c r="J3715" t="s">
        <v>16125</v>
      </c>
    </row>
    <row r="3716" spans="1:10" x14ac:dyDescent="0.25">
      <c r="A3716" t="s">
        <v>16133</v>
      </c>
      <c r="B3716">
        <v>9.5920000000000005</v>
      </c>
      <c r="C3716" t="s">
        <v>16134</v>
      </c>
      <c r="D3716" t="s">
        <v>240</v>
      </c>
      <c r="E3716" t="s">
        <v>16037</v>
      </c>
      <c r="F3716" t="s">
        <v>7672</v>
      </c>
      <c r="G3716" t="s">
        <v>16038</v>
      </c>
      <c r="H3716" t="s">
        <v>7674</v>
      </c>
      <c r="I3716" t="s">
        <v>8467</v>
      </c>
      <c r="J3716" t="s">
        <v>16125</v>
      </c>
    </row>
    <row r="3717" spans="1:10" x14ac:dyDescent="0.25">
      <c r="A3717" t="s">
        <v>16135</v>
      </c>
      <c r="B3717">
        <v>9.5920000000000005</v>
      </c>
      <c r="C3717" t="s">
        <v>16136</v>
      </c>
      <c r="D3717" t="s">
        <v>16137</v>
      </c>
      <c r="E3717" t="s">
        <v>16037</v>
      </c>
      <c r="F3717" t="s">
        <v>7672</v>
      </c>
      <c r="G3717" t="s">
        <v>16038</v>
      </c>
      <c r="H3717" t="s">
        <v>7674</v>
      </c>
      <c r="I3717" t="s">
        <v>11535</v>
      </c>
      <c r="J3717" t="s">
        <v>16125</v>
      </c>
    </row>
    <row r="3718" spans="1:10" x14ac:dyDescent="0.25">
      <c r="A3718" t="s">
        <v>16138</v>
      </c>
      <c r="B3718">
        <v>9.5920000000000005</v>
      </c>
      <c r="C3718" t="s">
        <v>16139</v>
      </c>
      <c r="D3718" t="s">
        <v>144</v>
      </c>
      <c r="E3718" t="s">
        <v>16037</v>
      </c>
      <c r="F3718" t="s">
        <v>7672</v>
      </c>
      <c r="G3718" t="s">
        <v>16038</v>
      </c>
      <c r="H3718" t="s">
        <v>7674</v>
      </c>
      <c r="I3718" t="s">
        <v>8577</v>
      </c>
      <c r="J3718" t="s">
        <v>16125</v>
      </c>
    </row>
    <row r="3719" spans="1:10" x14ac:dyDescent="0.25">
      <c r="A3719" t="s">
        <v>16140</v>
      </c>
      <c r="B3719">
        <v>9.5920000000000005</v>
      </c>
      <c r="C3719" t="s">
        <v>16141</v>
      </c>
      <c r="D3719" t="s">
        <v>16142</v>
      </c>
      <c r="E3719" t="s">
        <v>16037</v>
      </c>
      <c r="F3719" t="s">
        <v>7672</v>
      </c>
      <c r="G3719" t="s">
        <v>16038</v>
      </c>
      <c r="H3719" t="s">
        <v>7674</v>
      </c>
      <c r="I3719" t="s">
        <v>278</v>
      </c>
      <c r="J3719" t="s">
        <v>16143</v>
      </c>
    </row>
    <row r="3720" spans="1:10" x14ac:dyDescent="0.25">
      <c r="A3720" t="s">
        <v>16144</v>
      </c>
      <c r="B3720">
        <v>9.5920000000000005</v>
      </c>
      <c r="C3720" t="s">
        <v>16145</v>
      </c>
      <c r="D3720" t="s">
        <v>9134</v>
      </c>
      <c r="E3720" t="s">
        <v>16037</v>
      </c>
      <c r="F3720" t="s">
        <v>7672</v>
      </c>
      <c r="G3720" t="s">
        <v>16038</v>
      </c>
      <c r="H3720" t="s">
        <v>7674</v>
      </c>
      <c r="I3720" t="s">
        <v>16047</v>
      </c>
      <c r="J3720" t="s">
        <v>16143</v>
      </c>
    </row>
    <row r="3721" spans="1:10" x14ac:dyDescent="0.25">
      <c r="A3721" t="s">
        <v>16146</v>
      </c>
      <c r="B3721">
        <v>9.5920000000000005</v>
      </c>
      <c r="C3721" t="s">
        <v>16147</v>
      </c>
      <c r="D3721" t="s">
        <v>255</v>
      </c>
      <c r="E3721" t="s">
        <v>16037</v>
      </c>
      <c r="F3721" t="s">
        <v>7672</v>
      </c>
      <c r="G3721" t="s">
        <v>16038</v>
      </c>
      <c r="H3721" t="s">
        <v>7674</v>
      </c>
      <c r="I3721" t="s">
        <v>5202</v>
      </c>
      <c r="J3721" t="s">
        <v>16143</v>
      </c>
    </row>
    <row r="3722" spans="1:10" x14ac:dyDescent="0.25">
      <c r="A3722" t="s">
        <v>16148</v>
      </c>
      <c r="B3722">
        <v>9.5920000000000005</v>
      </c>
      <c r="C3722" t="s">
        <v>16149</v>
      </c>
      <c r="D3722" t="s">
        <v>16150</v>
      </c>
      <c r="E3722" t="s">
        <v>16037</v>
      </c>
      <c r="F3722" t="s">
        <v>7672</v>
      </c>
      <c r="G3722" t="s">
        <v>16038</v>
      </c>
      <c r="H3722" t="s">
        <v>7674</v>
      </c>
      <c r="I3722" t="s">
        <v>11535</v>
      </c>
      <c r="J3722" t="s">
        <v>16143</v>
      </c>
    </row>
    <row r="3723" spans="1:10" x14ac:dyDescent="0.25">
      <c r="A3723" t="s">
        <v>16151</v>
      </c>
      <c r="B3723">
        <v>9.5920000000000005</v>
      </c>
      <c r="C3723" t="s">
        <v>16152</v>
      </c>
      <c r="D3723" t="s">
        <v>8628</v>
      </c>
      <c r="E3723" t="s">
        <v>16037</v>
      </c>
      <c r="F3723" t="s">
        <v>7672</v>
      </c>
      <c r="G3723" t="s">
        <v>16038</v>
      </c>
      <c r="H3723" t="s">
        <v>7674</v>
      </c>
      <c r="I3723" t="s">
        <v>16056</v>
      </c>
      <c r="J3723" t="s">
        <v>16143</v>
      </c>
    </row>
    <row r="3724" spans="1:10" x14ac:dyDescent="0.25">
      <c r="A3724" t="s">
        <v>16153</v>
      </c>
      <c r="B3724">
        <v>9.5920000000000005</v>
      </c>
      <c r="C3724" t="s">
        <v>16154</v>
      </c>
      <c r="D3724" t="s">
        <v>296</v>
      </c>
      <c r="E3724" t="s">
        <v>16037</v>
      </c>
      <c r="F3724" t="s">
        <v>7672</v>
      </c>
      <c r="G3724" t="s">
        <v>16038</v>
      </c>
      <c r="H3724" t="s">
        <v>7674</v>
      </c>
      <c r="I3724" t="s">
        <v>8577</v>
      </c>
      <c r="J3724" t="s">
        <v>16143</v>
      </c>
    </row>
    <row r="3725" spans="1:10" x14ac:dyDescent="0.25">
      <c r="A3725" t="s">
        <v>16155</v>
      </c>
      <c r="B3725">
        <v>9.5920000000000005</v>
      </c>
      <c r="C3725" t="s">
        <v>16156</v>
      </c>
      <c r="D3725" t="s">
        <v>613</v>
      </c>
      <c r="E3725" t="s">
        <v>16037</v>
      </c>
      <c r="F3725" t="s">
        <v>7672</v>
      </c>
      <c r="G3725" t="s">
        <v>16038</v>
      </c>
      <c r="H3725" t="s">
        <v>7674</v>
      </c>
      <c r="I3725" t="s">
        <v>8467</v>
      </c>
      <c r="J3725" t="s">
        <v>16143</v>
      </c>
    </row>
    <row r="3726" spans="1:10" x14ac:dyDescent="0.25">
      <c r="A3726" t="s">
        <v>16157</v>
      </c>
      <c r="B3726">
        <v>9.5920000000000005</v>
      </c>
      <c r="C3726" t="s">
        <v>16158</v>
      </c>
      <c r="D3726" t="s">
        <v>2578</v>
      </c>
      <c r="E3726" t="s">
        <v>16037</v>
      </c>
      <c r="F3726" t="s">
        <v>7672</v>
      </c>
      <c r="G3726" t="s">
        <v>16038</v>
      </c>
      <c r="H3726" t="s">
        <v>7674</v>
      </c>
      <c r="I3726" t="s">
        <v>16061</v>
      </c>
      <c r="J3726" t="s">
        <v>16143</v>
      </c>
    </row>
    <row r="3727" spans="1:10" x14ac:dyDescent="0.25">
      <c r="A3727" t="s">
        <v>16159</v>
      </c>
      <c r="B3727">
        <v>4.1920000000000002</v>
      </c>
      <c r="C3727" t="s">
        <v>16160</v>
      </c>
      <c r="D3727" t="s">
        <v>588</v>
      </c>
      <c r="E3727" t="s">
        <v>16037</v>
      </c>
      <c r="F3727" t="s">
        <v>7672</v>
      </c>
      <c r="G3727" t="s">
        <v>16038</v>
      </c>
      <c r="H3727" t="s">
        <v>7674</v>
      </c>
      <c r="I3727" t="s">
        <v>15658</v>
      </c>
      <c r="J3727" t="s">
        <v>16143</v>
      </c>
    </row>
    <row r="3728" spans="1:10" x14ac:dyDescent="0.25">
      <c r="A3728" t="s">
        <v>16161</v>
      </c>
      <c r="B3728">
        <v>18</v>
      </c>
      <c r="C3728" t="s">
        <v>16162</v>
      </c>
      <c r="D3728" t="s">
        <v>106</v>
      </c>
      <c r="E3728" t="s">
        <v>3931</v>
      </c>
      <c r="F3728" t="s">
        <v>7672</v>
      </c>
      <c r="G3728" t="s">
        <v>16163</v>
      </c>
      <c r="H3728" t="s">
        <v>16164</v>
      </c>
      <c r="I3728" t="s">
        <v>16165</v>
      </c>
      <c r="J3728" t="s">
        <v>7686</v>
      </c>
    </row>
    <row r="3729" spans="1:10" x14ac:dyDescent="0.25">
      <c r="A3729" t="s">
        <v>3928</v>
      </c>
      <c r="B3729">
        <v>18</v>
      </c>
      <c r="C3729" t="s">
        <v>3930</v>
      </c>
      <c r="D3729" t="s">
        <v>576</v>
      </c>
      <c r="E3729" t="s">
        <v>3931</v>
      </c>
      <c r="F3729" t="s">
        <v>7672</v>
      </c>
      <c r="G3729" t="s">
        <v>16163</v>
      </c>
      <c r="H3729" t="s">
        <v>16164</v>
      </c>
      <c r="I3729" t="s">
        <v>1490</v>
      </c>
      <c r="J3729" t="s">
        <v>7703</v>
      </c>
    </row>
    <row r="3730" spans="1:10" x14ac:dyDescent="0.25">
      <c r="A3730" t="s">
        <v>16166</v>
      </c>
      <c r="B3730">
        <v>18</v>
      </c>
      <c r="C3730" t="s">
        <v>16167</v>
      </c>
      <c r="D3730" t="s">
        <v>282</v>
      </c>
      <c r="E3730" t="s">
        <v>3931</v>
      </c>
      <c r="F3730" t="s">
        <v>7672</v>
      </c>
      <c r="G3730" t="s">
        <v>16163</v>
      </c>
      <c r="H3730" t="s">
        <v>16164</v>
      </c>
      <c r="I3730" t="s">
        <v>16165</v>
      </c>
      <c r="J3730" t="s">
        <v>7703</v>
      </c>
    </row>
    <row r="3731" spans="1:10" x14ac:dyDescent="0.25">
      <c r="A3731" t="s">
        <v>3934</v>
      </c>
      <c r="B3731">
        <v>18</v>
      </c>
      <c r="C3731" t="s">
        <v>3936</v>
      </c>
      <c r="D3731" t="s">
        <v>100</v>
      </c>
      <c r="E3731" t="s">
        <v>3931</v>
      </c>
      <c r="F3731" t="s">
        <v>7672</v>
      </c>
      <c r="G3731" t="s">
        <v>16163</v>
      </c>
      <c r="H3731" t="s">
        <v>16164</v>
      </c>
      <c r="I3731" t="s">
        <v>1490</v>
      </c>
      <c r="J3731" t="s">
        <v>7719</v>
      </c>
    </row>
    <row r="3732" spans="1:10" x14ac:dyDescent="0.25">
      <c r="A3732" t="s">
        <v>16168</v>
      </c>
      <c r="B3732">
        <v>18</v>
      </c>
      <c r="C3732" t="s">
        <v>16169</v>
      </c>
      <c r="D3732" t="s">
        <v>269</v>
      </c>
      <c r="E3732" t="s">
        <v>3931</v>
      </c>
      <c r="F3732" t="s">
        <v>7672</v>
      </c>
      <c r="G3732" t="s">
        <v>16163</v>
      </c>
      <c r="H3732" t="s">
        <v>16164</v>
      </c>
      <c r="I3732" t="s">
        <v>16165</v>
      </c>
      <c r="J3732" t="s">
        <v>7719</v>
      </c>
    </row>
    <row r="3733" spans="1:10" x14ac:dyDescent="0.25">
      <c r="A3733" t="s">
        <v>16170</v>
      </c>
      <c r="B3733">
        <v>8.32</v>
      </c>
      <c r="C3733" t="s">
        <v>16171</v>
      </c>
      <c r="D3733" t="s">
        <v>2198</v>
      </c>
      <c r="E3733" t="s">
        <v>16172</v>
      </c>
      <c r="F3733" t="s">
        <v>7672</v>
      </c>
      <c r="G3733" t="s">
        <v>16173</v>
      </c>
      <c r="H3733" t="s">
        <v>10368</v>
      </c>
      <c r="I3733" t="s">
        <v>13378</v>
      </c>
      <c r="J3733" t="s">
        <v>11767</v>
      </c>
    </row>
    <row r="3734" spans="1:10" x14ac:dyDescent="0.25">
      <c r="A3734" t="s">
        <v>16174</v>
      </c>
      <c r="B3734">
        <v>8.32</v>
      </c>
      <c r="C3734" t="s">
        <v>16175</v>
      </c>
      <c r="D3734" t="s">
        <v>720</v>
      </c>
      <c r="E3734" t="s">
        <v>16172</v>
      </c>
      <c r="F3734" t="s">
        <v>7672</v>
      </c>
      <c r="G3734" t="s">
        <v>16173</v>
      </c>
      <c r="H3734" t="s">
        <v>10368</v>
      </c>
      <c r="I3734" t="s">
        <v>13378</v>
      </c>
      <c r="J3734" t="s">
        <v>11582</v>
      </c>
    </row>
    <row r="3735" spans="1:10" x14ac:dyDescent="0.25">
      <c r="A3735" t="s">
        <v>16176</v>
      </c>
      <c r="B3735">
        <v>8.32</v>
      </c>
      <c r="C3735" t="s">
        <v>16177</v>
      </c>
      <c r="D3735" t="s">
        <v>1847</v>
      </c>
      <c r="E3735" t="s">
        <v>16172</v>
      </c>
      <c r="F3735" t="s">
        <v>7672</v>
      </c>
      <c r="G3735" t="s">
        <v>16173</v>
      </c>
      <c r="H3735" t="s">
        <v>10368</v>
      </c>
      <c r="I3735" t="s">
        <v>13378</v>
      </c>
      <c r="J3735" t="s">
        <v>11585</v>
      </c>
    </row>
    <row r="3736" spans="1:10" x14ac:dyDescent="0.25">
      <c r="A3736" t="s">
        <v>16178</v>
      </c>
      <c r="B3736">
        <v>8.32</v>
      </c>
      <c r="C3736" t="s">
        <v>16179</v>
      </c>
      <c r="D3736" t="s">
        <v>16180</v>
      </c>
      <c r="E3736" t="s">
        <v>16172</v>
      </c>
      <c r="F3736" t="s">
        <v>7672</v>
      </c>
      <c r="G3736" t="s">
        <v>16173</v>
      </c>
      <c r="H3736" t="s">
        <v>10368</v>
      </c>
      <c r="I3736" t="s">
        <v>13378</v>
      </c>
      <c r="J3736" t="s">
        <v>10369</v>
      </c>
    </row>
    <row r="3737" spans="1:10" x14ac:dyDescent="0.25">
      <c r="A3737" t="s">
        <v>16181</v>
      </c>
      <c r="B3737">
        <v>8.32</v>
      </c>
      <c r="C3737" t="s">
        <v>16182</v>
      </c>
      <c r="D3737" t="s">
        <v>3644</v>
      </c>
      <c r="E3737" t="s">
        <v>16172</v>
      </c>
      <c r="F3737" t="s">
        <v>7672</v>
      </c>
      <c r="G3737" t="s">
        <v>16173</v>
      </c>
      <c r="H3737" t="s">
        <v>10368</v>
      </c>
      <c r="I3737" t="s">
        <v>13378</v>
      </c>
      <c r="J3737" t="s">
        <v>11590</v>
      </c>
    </row>
    <row r="3738" spans="1:10" x14ac:dyDescent="0.25">
      <c r="A3738" t="s">
        <v>16183</v>
      </c>
      <c r="B3738">
        <v>8.32</v>
      </c>
      <c r="C3738" t="s">
        <v>16184</v>
      </c>
      <c r="D3738" t="s">
        <v>8770</v>
      </c>
      <c r="E3738" t="s">
        <v>16172</v>
      </c>
      <c r="F3738" t="s">
        <v>7672</v>
      </c>
      <c r="G3738" t="s">
        <v>16173</v>
      </c>
      <c r="H3738" t="s">
        <v>10368</v>
      </c>
      <c r="I3738" t="s">
        <v>13378</v>
      </c>
      <c r="J3738" t="s">
        <v>11593</v>
      </c>
    </row>
    <row r="3739" spans="1:10" x14ac:dyDescent="0.25">
      <c r="A3739" t="s">
        <v>16185</v>
      </c>
      <c r="B3739">
        <v>9.7920000000000016</v>
      </c>
      <c r="C3739" t="s">
        <v>16186</v>
      </c>
      <c r="D3739" t="s">
        <v>964</v>
      </c>
      <c r="E3739" t="s">
        <v>16187</v>
      </c>
      <c r="F3739" t="s">
        <v>7672</v>
      </c>
      <c r="G3739" t="s">
        <v>16188</v>
      </c>
      <c r="H3739" t="s">
        <v>9127</v>
      </c>
      <c r="I3739" t="s">
        <v>16189</v>
      </c>
      <c r="J3739" t="s">
        <v>7942</v>
      </c>
    </row>
    <row r="3740" spans="1:10" x14ac:dyDescent="0.25">
      <c r="A3740" t="s">
        <v>16190</v>
      </c>
      <c r="B3740">
        <v>9.7920000000000016</v>
      </c>
      <c r="C3740" t="s">
        <v>16191</v>
      </c>
      <c r="D3740" t="s">
        <v>2697</v>
      </c>
      <c r="E3740" t="s">
        <v>16187</v>
      </c>
      <c r="F3740" t="s">
        <v>7672</v>
      </c>
      <c r="G3740" t="s">
        <v>16188</v>
      </c>
      <c r="H3740" t="s">
        <v>9127</v>
      </c>
      <c r="I3740" t="s">
        <v>16192</v>
      </c>
      <c r="J3740" t="s">
        <v>7942</v>
      </c>
    </row>
    <row r="3741" spans="1:10" x14ac:dyDescent="0.25">
      <c r="A3741" t="s">
        <v>16193</v>
      </c>
      <c r="B3741">
        <v>9.7920000000000016</v>
      </c>
      <c r="C3741" t="s">
        <v>16194</v>
      </c>
      <c r="D3741" t="s">
        <v>199</v>
      </c>
      <c r="E3741" t="s">
        <v>16187</v>
      </c>
      <c r="F3741" t="s">
        <v>7672</v>
      </c>
      <c r="G3741" t="s">
        <v>16188</v>
      </c>
      <c r="H3741" t="s">
        <v>9127</v>
      </c>
      <c r="I3741" t="s">
        <v>16195</v>
      </c>
      <c r="J3741" t="s">
        <v>7942</v>
      </c>
    </row>
    <row r="3742" spans="1:10" x14ac:dyDescent="0.25">
      <c r="A3742" t="s">
        <v>16196</v>
      </c>
      <c r="B3742">
        <v>9.7920000000000016</v>
      </c>
      <c r="C3742" t="s">
        <v>16197</v>
      </c>
      <c r="D3742" t="s">
        <v>613</v>
      </c>
      <c r="E3742" t="s">
        <v>16187</v>
      </c>
      <c r="F3742" t="s">
        <v>7672</v>
      </c>
      <c r="G3742" t="s">
        <v>16188</v>
      </c>
      <c r="H3742" t="s">
        <v>9127</v>
      </c>
      <c r="I3742" t="s">
        <v>16195</v>
      </c>
      <c r="J3742" t="s">
        <v>7981</v>
      </c>
    </row>
    <row r="3743" spans="1:10" x14ac:dyDescent="0.25">
      <c r="A3743" t="s">
        <v>16198</v>
      </c>
      <c r="B3743">
        <v>9.7920000000000016</v>
      </c>
      <c r="C3743" t="s">
        <v>16199</v>
      </c>
      <c r="D3743" t="s">
        <v>245</v>
      </c>
      <c r="E3743" t="s">
        <v>16187</v>
      </c>
      <c r="F3743" t="s">
        <v>7672</v>
      </c>
      <c r="G3743" t="s">
        <v>16188</v>
      </c>
      <c r="H3743" t="s">
        <v>9127</v>
      </c>
      <c r="I3743" t="s">
        <v>16189</v>
      </c>
      <c r="J3743" t="s">
        <v>7981</v>
      </c>
    </row>
    <row r="3744" spans="1:10" x14ac:dyDescent="0.25">
      <c r="A3744" t="s">
        <v>16200</v>
      </c>
      <c r="B3744">
        <v>9.7920000000000016</v>
      </c>
      <c r="C3744" t="s">
        <v>16201</v>
      </c>
      <c r="D3744" t="s">
        <v>269</v>
      </c>
      <c r="E3744" t="s">
        <v>16187</v>
      </c>
      <c r="F3744" t="s">
        <v>7672</v>
      </c>
      <c r="G3744" t="s">
        <v>16188</v>
      </c>
      <c r="H3744" t="s">
        <v>9127</v>
      </c>
      <c r="I3744" t="s">
        <v>16192</v>
      </c>
      <c r="J3744" t="s">
        <v>7981</v>
      </c>
    </row>
    <row r="3745" spans="1:10" x14ac:dyDescent="0.25">
      <c r="A3745" t="s">
        <v>16202</v>
      </c>
      <c r="B3745">
        <v>9.7920000000000016</v>
      </c>
      <c r="C3745" t="s">
        <v>16203</v>
      </c>
      <c r="D3745" t="s">
        <v>290</v>
      </c>
      <c r="E3745" t="s">
        <v>16187</v>
      </c>
      <c r="F3745" t="s">
        <v>7672</v>
      </c>
      <c r="G3745" t="s">
        <v>16188</v>
      </c>
      <c r="H3745" t="s">
        <v>9127</v>
      </c>
      <c r="I3745" t="s">
        <v>16204</v>
      </c>
      <c r="J3745" t="s">
        <v>7981</v>
      </c>
    </row>
    <row r="3746" spans="1:10" x14ac:dyDescent="0.25">
      <c r="A3746" t="s">
        <v>16205</v>
      </c>
      <c r="B3746">
        <v>9.7920000000000016</v>
      </c>
      <c r="C3746" t="s">
        <v>16206</v>
      </c>
      <c r="D3746" t="s">
        <v>1254</v>
      </c>
      <c r="E3746" t="s">
        <v>16187</v>
      </c>
      <c r="F3746" t="s">
        <v>7672</v>
      </c>
      <c r="G3746" t="s">
        <v>16188</v>
      </c>
      <c r="H3746" t="s">
        <v>9127</v>
      </c>
      <c r="I3746" t="s">
        <v>16189</v>
      </c>
      <c r="J3746" t="s">
        <v>7984</v>
      </c>
    </row>
    <row r="3747" spans="1:10" x14ac:dyDescent="0.25">
      <c r="A3747" t="s">
        <v>16207</v>
      </c>
      <c r="B3747">
        <v>9.7920000000000016</v>
      </c>
      <c r="C3747" t="s">
        <v>16208</v>
      </c>
      <c r="D3747" t="s">
        <v>582</v>
      </c>
      <c r="E3747" t="s">
        <v>16187</v>
      </c>
      <c r="F3747" t="s">
        <v>7672</v>
      </c>
      <c r="G3747" t="s">
        <v>16188</v>
      </c>
      <c r="H3747" t="s">
        <v>9127</v>
      </c>
      <c r="I3747" t="s">
        <v>16204</v>
      </c>
      <c r="J3747" t="s">
        <v>7984</v>
      </c>
    </row>
    <row r="3748" spans="1:10" x14ac:dyDescent="0.25">
      <c r="A3748" t="s">
        <v>16209</v>
      </c>
      <c r="B3748">
        <v>9.7920000000000016</v>
      </c>
      <c r="C3748" t="s">
        <v>16210</v>
      </c>
      <c r="D3748" t="s">
        <v>870</v>
      </c>
      <c r="E3748" t="s">
        <v>16187</v>
      </c>
      <c r="F3748" t="s">
        <v>7672</v>
      </c>
      <c r="G3748" t="s">
        <v>16188</v>
      </c>
      <c r="H3748" t="s">
        <v>9127</v>
      </c>
      <c r="I3748" t="s">
        <v>16195</v>
      </c>
      <c r="J3748" t="s">
        <v>7984</v>
      </c>
    </row>
    <row r="3749" spans="1:10" x14ac:dyDescent="0.25">
      <c r="A3749" t="s">
        <v>16211</v>
      </c>
      <c r="B3749">
        <v>9.7920000000000016</v>
      </c>
      <c r="C3749" t="s">
        <v>16212</v>
      </c>
      <c r="D3749" t="s">
        <v>379</v>
      </c>
      <c r="E3749" t="s">
        <v>16187</v>
      </c>
      <c r="F3749" t="s">
        <v>7672</v>
      </c>
      <c r="G3749" t="s">
        <v>16188</v>
      </c>
      <c r="H3749" t="s">
        <v>9127</v>
      </c>
      <c r="I3749" t="s">
        <v>16192</v>
      </c>
      <c r="J3749" t="s">
        <v>7984</v>
      </c>
    </row>
    <row r="3750" spans="1:10" x14ac:dyDescent="0.25">
      <c r="A3750" t="s">
        <v>16213</v>
      </c>
      <c r="B3750">
        <v>9.7920000000000016</v>
      </c>
      <c r="C3750" t="s">
        <v>16214</v>
      </c>
      <c r="D3750" t="s">
        <v>926</v>
      </c>
      <c r="E3750" t="s">
        <v>16187</v>
      </c>
      <c r="F3750" t="s">
        <v>7672</v>
      </c>
      <c r="G3750" t="s">
        <v>16188</v>
      </c>
      <c r="H3750" t="s">
        <v>9127</v>
      </c>
      <c r="I3750" t="s">
        <v>16204</v>
      </c>
      <c r="J3750" t="s">
        <v>7987</v>
      </c>
    </row>
    <row r="3751" spans="1:10" x14ac:dyDescent="0.25">
      <c r="A3751" t="s">
        <v>16215</v>
      </c>
      <c r="B3751">
        <v>9.7920000000000016</v>
      </c>
      <c r="C3751" t="s">
        <v>16216</v>
      </c>
      <c r="D3751" t="s">
        <v>3086</v>
      </c>
      <c r="E3751" t="s">
        <v>16187</v>
      </c>
      <c r="F3751" t="s">
        <v>7672</v>
      </c>
      <c r="G3751" t="s">
        <v>16188</v>
      </c>
      <c r="H3751" t="s">
        <v>9127</v>
      </c>
      <c r="I3751" t="s">
        <v>16195</v>
      </c>
      <c r="J3751" t="s">
        <v>7987</v>
      </c>
    </row>
    <row r="3752" spans="1:10" x14ac:dyDescent="0.25">
      <c r="A3752" t="s">
        <v>16217</v>
      </c>
      <c r="B3752">
        <v>9.7920000000000016</v>
      </c>
      <c r="C3752" t="s">
        <v>16218</v>
      </c>
      <c r="D3752" t="s">
        <v>6194</v>
      </c>
      <c r="E3752" t="s">
        <v>16187</v>
      </c>
      <c r="F3752" t="s">
        <v>7672</v>
      </c>
      <c r="G3752" t="s">
        <v>16188</v>
      </c>
      <c r="H3752" t="s">
        <v>9127</v>
      </c>
      <c r="I3752" t="s">
        <v>16189</v>
      </c>
      <c r="J3752" t="s">
        <v>7987</v>
      </c>
    </row>
    <row r="3753" spans="1:10" x14ac:dyDescent="0.25">
      <c r="A3753" t="s">
        <v>16219</v>
      </c>
      <c r="B3753">
        <v>9.7920000000000016</v>
      </c>
      <c r="C3753" t="s">
        <v>16220</v>
      </c>
      <c r="D3753" t="s">
        <v>1020</v>
      </c>
      <c r="E3753" t="s">
        <v>16187</v>
      </c>
      <c r="F3753" t="s">
        <v>7672</v>
      </c>
      <c r="G3753" t="s">
        <v>16188</v>
      </c>
      <c r="H3753" t="s">
        <v>9127</v>
      </c>
      <c r="I3753" t="s">
        <v>16192</v>
      </c>
      <c r="J3753" t="s">
        <v>7987</v>
      </c>
    </row>
    <row r="3754" spans="1:10" x14ac:dyDescent="0.25">
      <c r="A3754" t="s">
        <v>16221</v>
      </c>
      <c r="B3754">
        <v>9.7920000000000016</v>
      </c>
      <c r="C3754" t="s">
        <v>16222</v>
      </c>
      <c r="D3754" t="s">
        <v>941</v>
      </c>
      <c r="E3754" t="s">
        <v>16187</v>
      </c>
      <c r="F3754" t="s">
        <v>7672</v>
      </c>
      <c r="G3754" t="s">
        <v>16188</v>
      </c>
      <c r="H3754" t="s">
        <v>9127</v>
      </c>
      <c r="I3754" t="s">
        <v>16189</v>
      </c>
      <c r="J3754" t="s">
        <v>8001</v>
      </c>
    </row>
    <row r="3755" spans="1:10" x14ac:dyDescent="0.25">
      <c r="A3755" t="s">
        <v>16223</v>
      </c>
      <c r="B3755">
        <v>9.7920000000000016</v>
      </c>
      <c r="C3755" t="s">
        <v>16224</v>
      </c>
      <c r="D3755" t="s">
        <v>2787</v>
      </c>
      <c r="E3755" t="s">
        <v>16187</v>
      </c>
      <c r="F3755" t="s">
        <v>7672</v>
      </c>
      <c r="G3755" t="s">
        <v>16188</v>
      </c>
      <c r="H3755" t="s">
        <v>9127</v>
      </c>
      <c r="I3755" t="s">
        <v>16204</v>
      </c>
      <c r="J3755" t="s">
        <v>8001</v>
      </c>
    </row>
    <row r="3756" spans="1:10" x14ac:dyDescent="0.25">
      <c r="A3756" t="s">
        <v>16225</v>
      </c>
      <c r="B3756">
        <v>9.7920000000000016</v>
      </c>
      <c r="C3756" t="s">
        <v>16226</v>
      </c>
      <c r="D3756" t="s">
        <v>4141</v>
      </c>
      <c r="E3756" t="s">
        <v>16187</v>
      </c>
      <c r="F3756" t="s">
        <v>7672</v>
      </c>
      <c r="G3756" t="s">
        <v>16188</v>
      </c>
      <c r="H3756" t="s">
        <v>9127</v>
      </c>
      <c r="I3756" t="s">
        <v>16195</v>
      </c>
      <c r="J3756" t="s">
        <v>8001</v>
      </c>
    </row>
    <row r="3757" spans="1:10" x14ac:dyDescent="0.25">
      <c r="A3757" t="s">
        <v>16227</v>
      </c>
      <c r="B3757">
        <v>9.7920000000000016</v>
      </c>
      <c r="C3757" t="s">
        <v>16228</v>
      </c>
      <c r="D3757" t="s">
        <v>3409</v>
      </c>
      <c r="E3757" t="s">
        <v>16187</v>
      </c>
      <c r="F3757" t="s">
        <v>7672</v>
      </c>
      <c r="G3757" t="s">
        <v>16188</v>
      </c>
      <c r="H3757" t="s">
        <v>9127</v>
      </c>
      <c r="I3757" t="s">
        <v>16192</v>
      </c>
      <c r="J3757" t="s">
        <v>8001</v>
      </c>
    </row>
    <row r="3758" spans="1:10" x14ac:dyDescent="0.25">
      <c r="A3758" t="s">
        <v>16229</v>
      </c>
      <c r="B3758">
        <v>9.7920000000000016</v>
      </c>
      <c r="C3758" t="s">
        <v>16230</v>
      </c>
      <c r="D3758" t="s">
        <v>321</v>
      </c>
      <c r="E3758" t="s">
        <v>16187</v>
      </c>
      <c r="F3758" t="s">
        <v>7672</v>
      </c>
      <c r="G3758" t="s">
        <v>16188</v>
      </c>
      <c r="H3758" t="s">
        <v>9127</v>
      </c>
      <c r="I3758" t="s">
        <v>16195</v>
      </c>
      <c r="J3758" t="s">
        <v>8013</v>
      </c>
    </row>
    <row r="3759" spans="1:10" x14ac:dyDescent="0.25">
      <c r="A3759" t="s">
        <v>16231</v>
      </c>
      <c r="B3759">
        <v>9.7920000000000016</v>
      </c>
      <c r="C3759" t="s">
        <v>16232</v>
      </c>
      <c r="D3759" t="s">
        <v>1254</v>
      </c>
      <c r="E3759" t="s">
        <v>16187</v>
      </c>
      <c r="F3759" t="s">
        <v>7672</v>
      </c>
      <c r="G3759" t="s">
        <v>16188</v>
      </c>
      <c r="H3759" t="s">
        <v>9127</v>
      </c>
      <c r="I3759" t="s">
        <v>16189</v>
      </c>
      <c r="J3759" t="s">
        <v>8013</v>
      </c>
    </row>
    <row r="3760" spans="1:10" x14ac:dyDescent="0.25">
      <c r="A3760" t="s">
        <v>16233</v>
      </c>
      <c r="B3760">
        <v>9.7920000000000016</v>
      </c>
      <c r="C3760" t="s">
        <v>16234</v>
      </c>
      <c r="D3760" t="s">
        <v>3184</v>
      </c>
      <c r="E3760" t="s">
        <v>16187</v>
      </c>
      <c r="F3760" t="s">
        <v>7672</v>
      </c>
      <c r="G3760" t="s">
        <v>16188</v>
      </c>
      <c r="H3760" t="s">
        <v>9127</v>
      </c>
      <c r="I3760" t="s">
        <v>16204</v>
      </c>
      <c r="J3760" t="s">
        <v>8013</v>
      </c>
    </row>
    <row r="3761" spans="1:10" x14ac:dyDescent="0.25">
      <c r="A3761" t="s">
        <v>16235</v>
      </c>
      <c r="B3761">
        <v>9.7920000000000016</v>
      </c>
      <c r="C3761" t="s">
        <v>16236</v>
      </c>
      <c r="D3761" t="s">
        <v>316</v>
      </c>
      <c r="E3761" t="s">
        <v>16187</v>
      </c>
      <c r="F3761" t="s">
        <v>7672</v>
      </c>
      <c r="G3761" t="s">
        <v>16188</v>
      </c>
      <c r="H3761" t="s">
        <v>9127</v>
      </c>
      <c r="I3761" t="s">
        <v>16192</v>
      </c>
      <c r="J3761" t="s">
        <v>8013</v>
      </c>
    </row>
    <row r="3762" spans="1:10" x14ac:dyDescent="0.25">
      <c r="A3762" t="s">
        <v>16237</v>
      </c>
      <c r="B3762">
        <v>7.5519999999999996</v>
      </c>
      <c r="C3762" t="s">
        <v>16238</v>
      </c>
      <c r="D3762" t="s">
        <v>1811</v>
      </c>
      <c r="E3762" t="s">
        <v>16239</v>
      </c>
      <c r="F3762" t="s">
        <v>7672</v>
      </c>
      <c r="G3762" t="s">
        <v>16240</v>
      </c>
      <c r="H3762" t="s">
        <v>10298</v>
      </c>
      <c r="I3762" t="s">
        <v>12325</v>
      </c>
      <c r="J3762" t="s">
        <v>290</v>
      </c>
    </row>
    <row r="3763" spans="1:10" x14ac:dyDescent="0.25">
      <c r="A3763" t="s">
        <v>16241</v>
      </c>
      <c r="B3763">
        <v>7.5519999999999996</v>
      </c>
      <c r="C3763" t="s">
        <v>16242</v>
      </c>
      <c r="D3763" t="s">
        <v>379</v>
      </c>
      <c r="E3763" t="s">
        <v>16239</v>
      </c>
      <c r="F3763" t="s">
        <v>7672</v>
      </c>
      <c r="G3763" t="s">
        <v>16240</v>
      </c>
      <c r="H3763" t="s">
        <v>10298</v>
      </c>
      <c r="I3763" t="s">
        <v>16243</v>
      </c>
      <c r="J3763" t="s">
        <v>290</v>
      </c>
    </row>
    <row r="3764" spans="1:10" x14ac:dyDescent="0.25">
      <c r="A3764" t="s">
        <v>16244</v>
      </c>
      <c r="B3764">
        <v>7.5519999999999996</v>
      </c>
      <c r="C3764" t="s">
        <v>16245</v>
      </c>
      <c r="D3764" t="s">
        <v>3184</v>
      </c>
      <c r="E3764" t="s">
        <v>16239</v>
      </c>
      <c r="F3764" t="s">
        <v>7672</v>
      </c>
      <c r="G3764" t="s">
        <v>16240</v>
      </c>
      <c r="H3764" t="s">
        <v>10298</v>
      </c>
      <c r="I3764" t="s">
        <v>12325</v>
      </c>
      <c r="J3764" t="s">
        <v>8531</v>
      </c>
    </row>
    <row r="3765" spans="1:10" x14ac:dyDescent="0.25">
      <c r="A3765" t="s">
        <v>16246</v>
      </c>
      <c r="B3765">
        <v>7.5519999999999996</v>
      </c>
      <c r="C3765" t="s">
        <v>16247</v>
      </c>
      <c r="D3765" t="s">
        <v>959</v>
      </c>
      <c r="E3765" t="s">
        <v>16239</v>
      </c>
      <c r="F3765" t="s">
        <v>7672</v>
      </c>
      <c r="G3765" t="s">
        <v>16240</v>
      </c>
      <c r="H3765" t="s">
        <v>10298</v>
      </c>
      <c r="I3765" t="s">
        <v>16243</v>
      </c>
      <c r="J3765" t="s">
        <v>8531</v>
      </c>
    </row>
    <row r="3766" spans="1:10" x14ac:dyDescent="0.25">
      <c r="A3766" t="s">
        <v>16248</v>
      </c>
      <c r="B3766">
        <v>7.5519999999999996</v>
      </c>
      <c r="C3766" t="s">
        <v>16249</v>
      </c>
      <c r="D3766" t="s">
        <v>286</v>
      </c>
      <c r="E3766" t="s">
        <v>16239</v>
      </c>
      <c r="F3766" t="s">
        <v>7672</v>
      </c>
      <c r="G3766" t="s">
        <v>16240</v>
      </c>
      <c r="H3766" t="s">
        <v>10298</v>
      </c>
      <c r="I3766" t="s">
        <v>16243</v>
      </c>
      <c r="J3766" t="s">
        <v>269</v>
      </c>
    </row>
    <row r="3767" spans="1:10" x14ac:dyDescent="0.25">
      <c r="A3767" t="s">
        <v>16250</v>
      </c>
      <c r="B3767">
        <v>7.5519999999999996</v>
      </c>
      <c r="C3767" t="s">
        <v>16251</v>
      </c>
      <c r="D3767" t="s">
        <v>2072</v>
      </c>
      <c r="E3767" t="s">
        <v>16239</v>
      </c>
      <c r="F3767" t="s">
        <v>7672</v>
      </c>
      <c r="G3767" t="s">
        <v>16240</v>
      </c>
      <c r="H3767" t="s">
        <v>10298</v>
      </c>
      <c r="I3767" t="s">
        <v>12325</v>
      </c>
      <c r="J3767" t="s">
        <v>269</v>
      </c>
    </row>
    <row r="3768" spans="1:10" x14ac:dyDescent="0.25">
      <c r="A3768" t="s">
        <v>16252</v>
      </c>
      <c r="B3768">
        <v>7.5519999999999996</v>
      </c>
      <c r="C3768" t="s">
        <v>16253</v>
      </c>
      <c r="D3768" t="s">
        <v>598</v>
      </c>
      <c r="E3768" t="s">
        <v>16239</v>
      </c>
      <c r="F3768" t="s">
        <v>7672</v>
      </c>
      <c r="G3768" t="s">
        <v>16240</v>
      </c>
      <c r="H3768" t="s">
        <v>10298</v>
      </c>
      <c r="I3768" t="s">
        <v>12325</v>
      </c>
      <c r="J3768" t="s">
        <v>255</v>
      </c>
    </row>
    <row r="3769" spans="1:10" x14ac:dyDescent="0.25">
      <c r="A3769" t="s">
        <v>16254</v>
      </c>
      <c r="B3769">
        <v>7.5519999999999996</v>
      </c>
      <c r="C3769" t="s">
        <v>16255</v>
      </c>
      <c r="D3769" t="s">
        <v>1254</v>
      </c>
      <c r="E3769" t="s">
        <v>16239</v>
      </c>
      <c r="F3769" t="s">
        <v>7672</v>
      </c>
      <c r="G3769" t="s">
        <v>16240</v>
      </c>
      <c r="H3769" t="s">
        <v>10298</v>
      </c>
      <c r="I3769" t="s">
        <v>16243</v>
      </c>
      <c r="J3769" t="s">
        <v>255</v>
      </c>
    </row>
    <row r="3770" spans="1:10" x14ac:dyDescent="0.25">
      <c r="A3770" t="s">
        <v>16256</v>
      </c>
      <c r="B3770">
        <v>7.5519999999999996</v>
      </c>
      <c r="C3770" t="s">
        <v>16257</v>
      </c>
      <c r="D3770" t="s">
        <v>396</v>
      </c>
      <c r="E3770" t="s">
        <v>16239</v>
      </c>
      <c r="F3770" t="s">
        <v>7672</v>
      </c>
      <c r="G3770" t="s">
        <v>16240</v>
      </c>
      <c r="H3770" t="s">
        <v>10298</v>
      </c>
      <c r="I3770" t="s">
        <v>16243</v>
      </c>
      <c r="J3770" t="s">
        <v>277</v>
      </c>
    </row>
    <row r="3771" spans="1:10" x14ac:dyDescent="0.25">
      <c r="A3771" t="s">
        <v>16258</v>
      </c>
      <c r="B3771">
        <v>7.5519999999999996</v>
      </c>
      <c r="C3771" t="s">
        <v>16259</v>
      </c>
      <c r="D3771" t="s">
        <v>991</v>
      </c>
      <c r="E3771" t="s">
        <v>16239</v>
      </c>
      <c r="F3771" t="s">
        <v>7672</v>
      </c>
      <c r="G3771" t="s">
        <v>16240</v>
      </c>
      <c r="H3771" t="s">
        <v>10298</v>
      </c>
      <c r="I3771" t="s">
        <v>12325</v>
      </c>
      <c r="J3771" t="s">
        <v>164</v>
      </c>
    </row>
    <row r="3772" spans="1:10" x14ac:dyDescent="0.25">
      <c r="A3772" t="s">
        <v>16260</v>
      </c>
      <c r="B3772">
        <v>7.5519999999999996</v>
      </c>
      <c r="C3772" t="s">
        <v>16261</v>
      </c>
      <c r="D3772" t="s">
        <v>4327</v>
      </c>
      <c r="E3772" t="s">
        <v>16239</v>
      </c>
      <c r="F3772" t="s">
        <v>7672</v>
      </c>
      <c r="G3772" t="s">
        <v>16240</v>
      </c>
      <c r="H3772" t="s">
        <v>10298</v>
      </c>
      <c r="I3772" t="s">
        <v>16243</v>
      </c>
      <c r="J3772" t="s">
        <v>164</v>
      </c>
    </row>
    <row r="3773" spans="1:10" x14ac:dyDescent="0.25">
      <c r="A3773" t="s">
        <v>16262</v>
      </c>
      <c r="B3773">
        <v>7.5519999999999996</v>
      </c>
      <c r="C3773" t="s">
        <v>16263</v>
      </c>
      <c r="D3773" t="s">
        <v>385</v>
      </c>
      <c r="E3773" t="s">
        <v>16239</v>
      </c>
      <c r="F3773" t="s">
        <v>7672</v>
      </c>
      <c r="G3773" t="s">
        <v>16240</v>
      </c>
      <c r="H3773" t="s">
        <v>10298</v>
      </c>
      <c r="I3773" t="s">
        <v>12325</v>
      </c>
      <c r="J3773" t="s">
        <v>199</v>
      </c>
    </row>
    <row r="3774" spans="1:10" x14ac:dyDescent="0.25">
      <c r="A3774" t="s">
        <v>16264</v>
      </c>
      <c r="B3774">
        <v>7.5519999999999996</v>
      </c>
      <c r="C3774" t="s">
        <v>16265</v>
      </c>
      <c r="D3774" t="s">
        <v>1134</v>
      </c>
      <c r="E3774" t="s">
        <v>16239</v>
      </c>
      <c r="F3774" t="s">
        <v>7672</v>
      </c>
      <c r="G3774" t="s">
        <v>16240</v>
      </c>
      <c r="H3774" t="s">
        <v>10298</v>
      </c>
      <c r="I3774" t="s">
        <v>16243</v>
      </c>
      <c r="J3774" t="s">
        <v>199</v>
      </c>
    </row>
    <row r="3775" spans="1:10" x14ac:dyDescent="0.25">
      <c r="A3775" t="s">
        <v>16266</v>
      </c>
      <c r="B3775">
        <v>5.04</v>
      </c>
      <c r="C3775" t="s">
        <v>16267</v>
      </c>
      <c r="D3775" t="s">
        <v>316</v>
      </c>
      <c r="E3775" t="s">
        <v>16268</v>
      </c>
      <c r="F3775" t="s">
        <v>7672</v>
      </c>
      <c r="G3775" t="s">
        <v>16269</v>
      </c>
      <c r="H3775" t="s">
        <v>7674</v>
      </c>
      <c r="I3775" t="s">
        <v>16270</v>
      </c>
      <c r="J3775" t="s">
        <v>16271</v>
      </c>
    </row>
    <row r="3776" spans="1:10" x14ac:dyDescent="0.25">
      <c r="A3776" t="s">
        <v>16272</v>
      </c>
      <c r="B3776">
        <v>5.04</v>
      </c>
      <c r="C3776" t="s">
        <v>16273</v>
      </c>
      <c r="D3776" t="s">
        <v>4127</v>
      </c>
      <c r="E3776" t="s">
        <v>16268</v>
      </c>
      <c r="F3776" t="s">
        <v>7672</v>
      </c>
      <c r="G3776" t="s">
        <v>16269</v>
      </c>
      <c r="H3776" t="s">
        <v>7674</v>
      </c>
      <c r="I3776" t="s">
        <v>6928</v>
      </c>
      <c r="J3776" t="s">
        <v>16271</v>
      </c>
    </row>
    <row r="3777" spans="1:10" x14ac:dyDescent="0.25">
      <c r="A3777" t="s">
        <v>16274</v>
      </c>
      <c r="B3777">
        <v>5.04</v>
      </c>
      <c r="C3777" t="s">
        <v>16275</v>
      </c>
      <c r="D3777" t="s">
        <v>396</v>
      </c>
      <c r="E3777" t="s">
        <v>16268</v>
      </c>
      <c r="F3777" t="s">
        <v>7672</v>
      </c>
      <c r="G3777" t="s">
        <v>16269</v>
      </c>
      <c r="H3777" t="s">
        <v>7674</v>
      </c>
      <c r="I3777" t="s">
        <v>16270</v>
      </c>
      <c r="J3777" t="s">
        <v>16276</v>
      </c>
    </row>
    <row r="3778" spans="1:10" x14ac:dyDescent="0.25">
      <c r="A3778" t="s">
        <v>16277</v>
      </c>
      <c r="B3778">
        <v>5.04</v>
      </c>
      <c r="C3778" t="s">
        <v>16278</v>
      </c>
      <c r="D3778" t="s">
        <v>8421</v>
      </c>
      <c r="E3778" t="s">
        <v>16268</v>
      </c>
      <c r="F3778" t="s">
        <v>7672</v>
      </c>
      <c r="G3778" t="s">
        <v>16269</v>
      </c>
      <c r="H3778" t="s">
        <v>7674</v>
      </c>
      <c r="I3778" t="s">
        <v>6928</v>
      </c>
      <c r="J3778" t="s">
        <v>16276</v>
      </c>
    </row>
    <row r="3779" spans="1:10" x14ac:dyDescent="0.25">
      <c r="A3779" t="s">
        <v>3939</v>
      </c>
      <c r="B3779">
        <v>12.48</v>
      </c>
      <c r="C3779" t="s">
        <v>3941</v>
      </c>
      <c r="D3779" t="s">
        <v>3944</v>
      </c>
      <c r="E3779" t="s">
        <v>3942</v>
      </c>
      <c r="F3779" t="s">
        <v>7672</v>
      </c>
      <c r="G3779" t="s">
        <v>16279</v>
      </c>
      <c r="H3779" t="s">
        <v>8979</v>
      </c>
      <c r="I3779" t="s">
        <v>1038</v>
      </c>
      <c r="J3779" t="s">
        <v>290</v>
      </c>
    </row>
    <row r="3780" spans="1:10" x14ac:dyDescent="0.25">
      <c r="A3780" t="s">
        <v>3945</v>
      </c>
      <c r="B3780">
        <v>12.48</v>
      </c>
      <c r="C3780" t="s">
        <v>3947</v>
      </c>
      <c r="D3780" t="s">
        <v>875</v>
      </c>
      <c r="E3780" t="s">
        <v>3942</v>
      </c>
      <c r="F3780" t="s">
        <v>7672</v>
      </c>
      <c r="G3780" t="s">
        <v>16279</v>
      </c>
      <c r="H3780" t="s">
        <v>8979</v>
      </c>
      <c r="I3780" t="s">
        <v>3949</v>
      </c>
      <c r="J3780" t="s">
        <v>290</v>
      </c>
    </row>
    <row r="3781" spans="1:10" x14ac:dyDescent="0.25">
      <c r="A3781" t="s">
        <v>3950</v>
      </c>
      <c r="B3781">
        <v>12.48</v>
      </c>
      <c r="C3781" t="s">
        <v>3952</v>
      </c>
      <c r="D3781" t="s">
        <v>3954</v>
      </c>
      <c r="E3781" t="s">
        <v>3942</v>
      </c>
      <c r="F3781" t="s">
        <v>7672</v>
      </c>
      <c r="G3781" t="s">
        <v>16279</v>
      </c>
      <c r="H3781" t="s">
        <v>8979</v>
      </c>
      <c r="I3781" t="s">
        <v>2992</v>
      </c>
      <c r="J3781" t="s">
        <v>290</v>
      </c>
    </row>
    <row r="3782" spans="1:10" x14ac:dyDescent="0.25">
      <c r="A3782" t="s">
        <v>3955</v>
      </c>
      <c r="B3782">
        <v>12.48</v>
      </c>
      <c r="C3782" t="s">
        <v>3957</v>
      </c>
      <c r="D3782" t="s">
        <v>2347</v>
      </c>
      <c r="E3782" t="s">
        <v>3942</v>
      </c>
      <c r="F3782" t="s">
        <v>7672</v>
      </c>
      <c r="G3782" t="s">
        <v>16279</v>
      </c>
      <c r="H3782" t="s">
        <v>8979</v>
      </c>
      <c r="I3782" t="s">
        <v>1038</v>
      </c>
      <c r="J3782" t="s">
        <v>199</v>
      </c>
    </row>
    <row r="3783" spans="1:10" x14ac:dyDescent="0.25">
      <c r="A3783" t="s">
        <v>3959</v>
      </c>
      <c r="B3783">
        <v>12.48</v>
      </c>
      <c r="C3783" t="s">
        <v>3961</v>
      </c>
      <c r="D3783" t="s">
        <v>3962</v>
      </c>
      <c r="E3783" t="s">
        <v>3942</v>
      </c>
      <c r="F3783" t="s">
        <v>7672</v>
      </c>
      <c r="G3783" t="s">
        <v>16279</v>
      </c>
      <c r="H3783" t="s">
        <v>8979</v>
      </c>
      <c r="I3783" t="s">
        <v>3949</v>
      </c>
      <c r="J3783" t="s">
        <v>199</v>
      </c>
    </row>
    <row r="3784" spans="1:10" x14ac:dyDescent="0.25">
      <c r="A3784" t="s">
        <v>3963</v>
      </c>
      <c r="B3784">
        <v>12.48</v>
      </c>
      <c r="C3784" t="s">
        <v>3965</v>
      </c>
      <c r="D3784" t="s">
        <v>1884</v>
      </c>
      <c r="E3784" t="s">
        <v>3942</v>
      </c>
      <c r="F3784" t="s">
        <v>7672</v>
      </c>
      <c r="G3784" t="s">
        <v>16279</v>
      </c>
      <c r="H3784" t="s">
        <v>8979</v>
      </c>
      <c r="I3784" t="s">
        <v>2992</v>
      </c>
      <c r="J3784" t="s">
        <v>199</v>
      </c>
    </row>
    <row r="3785" spans="1:10" x14ac:dyDescent="0.25">
      <c r="A3785" t="s">
        <v>16280</v>
      </c>
      <c r="B3785">
        <v>12.48</v>
      </c>
      <c r="C3785" t="s">
        <v>16281</v>
      </c>
      <c r="D3785" t="s">
        <v>626</v>
      </c>
      <c r="E3785" t="s">
        <v>3942</v>
      </c>
      <c r="F3785" t="s">
        <v>7672</v>
      </c>
      <c r="G3785" t="s">
        <v>16279</v>
      </c>
      <c r="H3785" t="s">
        <v>8979</v>
      </c>
      <c r="I3785" t="s">
        <v>16282</v>
      </c>
      <c r="J3785" t="s">
        <v>199</v>
      </c>
    </row>
    <row r="3786" spans="1:10" x14ac:dyDescent="0.25">
      <c r="A3786" t="s">
        <v>3967</v>
      </c>
      <c r="B3786">
        <v>12.48</v>
      </c>
      <c r="C3786" t="s">
        <v>3969</v>
      </c>
      <c r="D3786" t="s">
        <v>2381</v>
      </c>
      <c r="E3786" t="s">
        <v>3942</v>
      </c>
      <c r="F3786" t="s">
        <v>7672</v>
      </c>
      <c r="G3786" t="s">
        <v>16279</v>
      </c>
      <c r="H3786" t="s">
        <v>8979</v>
      </c>
      <c r="I3786" t="s">
        <v>1038</v>
      </c>
      <c r="J3786" t="s">
        <v>95</v>
      </c>
    </row>
    <row r="3787" spans="1:10" x14ac:dyDescent="0.25">
      <c r="A3787" t="s">
        <v>3971</v>
      </c>
      <c r="B3787">
        <v>12.48</v>
      </c>
      <c r="C3787" t="s">
        <v>3973</v>
      </c>
      <c r="D3787" t="s">
        <v>3974</v>
      </c>
      <c r="E3787" t="s">
        <v>3942</v>
      </c>
      <c r="F3787" t="s">
        <v>7672</v>
      </c>
      <c r="G3787" t="s">
        <v>16279</v>
      </c>
      <c r="H3787" t="s">
        <v>8979</v>
      </c>
      <c r="I3787" t="s">
        <v>3949</v>
      </c>
      <c r="J3787" t="s">
        <v>95</v>
      </c>
    </row>
    <row r="3788" spans="1:10" x14ac:dyDescent="0.25">
      <c r="A3788" t="s">
        <v>3975</v>
      </c>
      <c r="B3788">
        <v>12.48</v>
      </c>
      <c r="C3788" t="s">
        <v>3977</v>
      </c>
      <c r="D3788" t="s">
        <v>3979</v>
      </c>
      <c r="E3788" t="s">
        <v>3942</v>
      </c>
      <c r="F3788" t="s">
        <v>7672</v>
      </c>
      <c r="G3788" t="s">
        <v>16279</v>
      </c>
      <c r="H3788" t="s">
        <v>8979</v>
      </c>
      <c r="I3788" t="s">
        <v>2992</v>
      </c>
      <c r="J3788" t="s">
        <v>95</v>
      </c>
    </row>
    <row r="3789" spans="1:10" x14ac:dyDescent="0.25">
      <c r="A3789" t="s">
        <v>16283</v>
      </c>
      <c r="B3789">
        <v>12.48</v>
      </c>
      <c r="C3789" t="s">
        <v>16284</v>
      </c>
      <c r="D3789" t="s">
        <v>2099</v>
      </c>
      <c r="E3789" t="s">
        <v>3942</v>
      </c>
      <c r="F3789" t="s">
        <v>7672</v>
      </c>
      <c r="G3789" t="s">
        <v>16279</v>
      </c>
      <c r="H3789" t="s">
        <v>8979</v>
      </c>
      <c r="I3789" t="s">
        <v>16282</v>
      </c>
      <c r="J3789" t="s">
        <v>95</v>
      </c>
    </row>
    <row r="3790" spans="1:10" x14ac:dyDescent="0.25">
      <c r="A3790" t="s">
        <v>3980</v>
      </c>
      <c r="B3790">
        <v>12.48</v>
      </c>
      <c r="C3790" t="s">
        <v>3982</v>
      </c>
      <c r="D3790" t="s">
        <v>903</v>
      </c>
      <c r="E3790" t="s">
        <v>3942</v>
      </c>
      <c r="F3790" t="s">
        <v>7672</v>
      </c>
      <c r="G3790" t="s">
        <v>16279</v>
      </c>
      <c r="H3790" t="s">
        <v>8979</v>
      </c>
      <c r="I3790" t="s">
        <v>1038</v>
      </c>
      <c r="J3790" t="s">
        <v>849</v>
      </c>
    </row>
    <row r="3791" spans="1:10" x14ac:dyDescent="0.25">
      <c r="A3791" t="s">
        <v>3984</v>
      </c>
      <c r="B3791">
        <v>12.48</v>
      </c>
      <c r="C3791" t="s">
        <v>3986</v>
      </c>
      <c r="D3791" t="s">
        <v>3988</v>
      </c>
      <c r="E3791" t="s">
        <v>3942</v>
      </c>
      <c r="F3791" t="s">
        <v>7672</v>
      </c>
      <c r="G3791" t="s">
        <v>16279</v>
      </c>
      <c r="H3791" t="s">
        <v>8979</v>
      </c>
      <c r="I3791" t="s">
        <v>2992</v>
      </c>
      <c r="J3791" t="s">
        <v>849</v>
      </c>
    </row>
    <row r="3792" spans="1:10" x14ac:dyDescent="0.25">
      <c r="A3792" t="s">
        <v>3989</v>
      </c>
      <c r="B3792">
        <v>12.48</v>
      </c>
      <c r="C3792" t="s">
        <v>3991</v>
      </c>
      <c r="D3792" t="s">
        <v>1459</v>
      </c>
      <c r="E3792" t="s">
        <v>3942</v>
      </c>
      <c r="F3792" t="s">
        <v>7672</v>
      </c>
      <c r="G3792" t="s">
        <v>16279</v>
      </c>
      <c r="H3792" t="s">
        <v>8979</v>
      </c>
      <c r="I3792" t="s">
        <v>3949</v>
      </c>
      <c r="J3792" t="s">
        <v>849</v>
      </c>
    </row>
    <row r="3793" spans="1:10" x14ac:dyDescent="0.25">
      <c r="A3793" t="s">
        <v>16285</v>
      </c>
      <c r="B3793">
        <v>12.48</v>
      </c>
      <c r="C3793" t="s">
        <v>16286</v>
      </c>
      <c r="D3793" t="s">
        <v>359</v>
      </c>
      <c r="E3793" t="s">
        <v>3942</v>
      </c>
      <c r="F3793" t="s">
        <v>7672</v>
      </c>
      <c r="G3793" t="s">
        <v>16279</v>
      </c>
      <c r="H3793" t="s">
        <v>8979</v>
      </c>
      <c r="I3793" t="s">
        <v>16282</v>
      </c>
      <c r="J3793" t="s">
        <v>849</v>
      </c>
    </row>
    <row r="3794" spans="1:10" x14ac:dyDescent="0.25">
      <c r="A3794" t="s">
        <v>3992</v>
      </c>
      <c r="B3794">
        <v>12.48</v>
      </c>
      <c r="C3794" t="s">
        <v>3994</v>
      </c>
      <c r="D3794" t="s">
        <v>234</v>
      </c>
      <c r="E3794" t="s">
        <v>3942</v>
      </c>
      <c r="F3794" t="s">
        <v>7672</v>
      </c>
      <c r="G3794" t="s">
        <v>16279</v>
      </c>
      <c r="H3794" t="s">
        <v>8979</v>
      </c>
      <c r="I3794" t="s">
        <v>3949</v>
      </c>
      <c r="J3794" t="s">
        <v>286</v>
      </c>
    </row>
    <row r="3795" spans="1:10" x14ac:dyDescent="0.25">
      <c r="A3795" t="s">
        <v>3995</v>
      </c>
      <c r="B3795">
        <v>12.48</v>
      </c>
      <c r="C3795" t="s">
        <v>3997</v>
      </c>
      <c r="D3795" t="s">
        <v>3999</v>
      </c>
      <c r="E3795" t="s">
        <v>3942</v>
      </c>
      <c r="F3795" t="s">
        <v>7672</v>
      </c>
      <c r="G3795" t="s">
        <v>16279</v>
      </c>
      <c r="H3795" t="s">
        <v>8979</v>
      </c>
      <c r="I3795" t="s">
        <v>2992</v>
      </c>
      <c r="J3795" t="s">
        <v>286</v>
      </c>
    </row>
    <row r="3796" spans="1:10" x14ac:dyDescent="0.25">
      <c r="A3796" t="s">
        <v>16287</v>
      </c>
      <c r="B3796">
        <v>12.48</v>
      </c>
      <c r="C3796" t="s">
        <v>16288</v>
      </c>
      <c r="D3796" t="s">
        <v>959</v>
      </c>
      <c r="E3796" t="s">
        <v>3942</v>
      </c>
      <c r="F3796" t="s">
        <v>7672</v>
      </c>
      <c r="G3796" t="s">
        <v>16279</v>
      </c>
      <c r="H3796" t="s">
        <v>8979</v>
      </c>
      <c r="I3796" t="s">
        <v>16282</v>
      </c>
      <c r="J3796" t="s">
        <v>286</v>
      </c>
    </row>
    <row r="3797" spans="1:10" x14ac:dyDescent="0.25">
      <c r="A3797" t="s">
        <v>16289</v>
      </c>
      <c r="B3797">
        <v>4.68</v>
      </c>
      <c r="C3797" t="s">
        <v>16290</v>
      </c>
      <c r="D3797" t="s">
        <v>1811</v>
      </c>
      <c r="E3797" t="s">
        <v>16291</v>
      </c>
      <c r="F3797" t="s">
        <v>7672</v>
      </c>
      <c r="G3797" t="s">
        <v>16292</v>
      </c>
      <c r="H3797" t="s">
        <v>16293</v>
      </c>
      <c r="I3797" t="s">
        <v>76</v>
      </c>
      <c r="J3797" t="s">
        <v>7942</v>
      </c>
    </row>
    <row r="3798" spans="1:10" x14ac:dyDescent="0.25">
      <c r="A3798" t="s">
        <v>16294</v>
      </c>
      <c r="B3798">
        <v>4.68</v>
      </c>
      <c r="C3798" t="s">
        <v>16295</v>
      </c>
      <c r="D3798" t="s">
        <v>113</v>
      </c>
      <c r="E3798" t="s">
        <v>16291</v>
      </c>
      <c r="F3798" t="s">
        <v>7672</v>
      </c>
      <c r="G3798" t="s">
        <v>16292</v>
      </c>
      <c r="H3798" t="s">
        <v>16293</v>
      </c>
      <c r="I3798" t="s">
        <v>76</v>
      </c>
      <c r="J3798" t="s">
        <v>7987</v>
      </c>
    </row>
    <row r="3799" spans="1:10" x14ac:dyDescent="0.25">
      <c r="A3799" t="s">
        <v>16296</v>
      </c>
      <c r="B3799">
        <v>4.68</v>
      </c>
      <c r="C3799" t="s">
        <v>16297</v>
      </c>
      <c r="D3799" t="s">
        <v>698</v>
      </c>
      <c r="E3799" t="s">
        <v>16291</v>
      </c>
      <c r="F3799" t="s">
        <v>7672</v>
      </c>
      <c r="G3799" t="s">
        <v>16292</v>
      </c>
      <c r="H3799" t="s">
        <v>16293</v>
      </c>
      <c r="I3799" t="s">
        <v>16298</v>
      </c>
      <c r="J3799" t="s">
        <v>7987</v>
      </c>
    </row>
    <row r="3800" spans="1:10" x14ac:dyDescent="0.25">
      <c r="A3800" t="s">
        <v>4000</v>
      </c>
      <c r="B3800">
        <v>10.8</v>
      </c>
      <c r="C3800" t="s">
        <v>4002</v>
      </c>
      <c r="D3800" t="s">
        <v>131</v>
      </c>
      <c r="E3800" t="s">
        <v>4003</v>
      </c>
      <c r="F3800" t="s">
        <v>7672</v>
      </c>
      <c r="G3800" t="s">
        <v>16299</v>
      </c>
      <c r="H3800" t="s">
        <v>7954</v>
      </c>
      <c r="I3800" t="s">
        <v>76</v>
      </c>
      <c r="J3800" t="s">
        <v>7981</v>
      </c>
    </row>
    <row r="3801" spans="1:10" x14ac:dyDescent="0.25">
      <c r="A3801" t="s">
        <v>16300</v>
      </c>
      <c r="B3801">
        <v>5.032</v>
      </c>
      <c r="C3801" t="s">
        <v>16301</v>
      </c>
      <c r="D3801" t="s">
        <v>2697</v>
      </c>
      <c r="E3801" t="s">
        <v>16302</v>
      </c>
      <c r="F3801" t="s">
        <v>7672</v>
      </c>
      <c r="G3801" t="s">
        <v>16303</v>
      </c>
      <c r="H3801" t="s">
        <v>10298</v>
      </c>
      <c r="I3801" t="s">
        <v>15752</v>
      </c>
      <c r="J3801" t="s">
        <v>7942</v>
      </c>
    </row>
    <row r="3802" spans="1:10" x14ac:dyDescent="0.25">
      <c r="A3802" t="s">
        <v>16304</v>
      </c>
      <c r="B3802">
        <v>5.032</v>
      </c>
      <c r="C3802" t="s">
        <v>16305</v>
      </c>
      <c r="D3802" t="s">
        <v>875</v>
      </c>
      <c r="E3802" t="s">
        <v>16302</v>
      </c>
      <c r="F3802" t="s">
        <v>7672</v>
      </c>
      <c r="G3802" t="s">
        <v>16303</v>
      </c>
      <c r="H3802" t="s">
        <v>10298</v>
      </c>
      <c r="I3802" t="s">
        <v>15752</v>
      </c>
      <c r="J3802" t="s">
        <v>7981</v>
      </c>
    </row>
    <row r="3803" spans="1:10" x14ac:dyDescent="0.25">
      <c r="A3803" t="s">
        <v>16306</v>
      </c>
      <c r="B3803">
        <v>5.032</v>
      </c>
      <c r="C3803" t="s">
        <v>16307</v>
      </c>
      <c r="D3803" t="s">
        <v>2253</v>
      </c>
      <c r="E3803" t="s">
        <v>16302</v>
      </c>
      <c r="F3803" t="s">
        <v>7672</v>
      </c>
      <c r="G3803" t="s">
        <v>16303</v>
      </c>
      <c r="H3803" t="s">
        <v>10298</v>
      </c>
      <c r="I3803" t="s">
        <v>15752</v>
      </c>
      <c r="J3803" t="s">
        <v>7984</v>
      </c>
    </row>
    <row r="3804" spans="1:10" x14ac:dyDescent="0.25">
      <c r="A3804" t="s">
        <v>16308</v>
      </c>
      <c r="B3804">
        <v>5.032</v>
      </c>
      <c r="C3804" t="s">
        <v>16309</v>
      </c>
      <c r="D3804" t="s">
        <v>2072</v>
      </c>
      <c r="E3804" t="s">
        <v>16302</v>
      </c>
      <c r="F3804" t="s">
        <v>7672</v>
      </c>
      <c r="G3804" t="s">
        <v>16303</v>
      </c>
      <c r="H3804" t="s">
        <v>10298</v>
      </c>
      <c r="I3804" t="s">
        <v>15752</v>
      </c>
      <c r="J3804" t="s">
        <v>7987</v>
      </c>
    </row>
    <row r="3805" spans="1:10" x14ac:dyDescent="0.25">
      <c r="A3805" t="s">
        <v>16310</v>
      </c>
      <c r="B3805">
        <v>5.032</v>
      </c>
      <c r="C3805" t="s">
        <v>16311</v>
      </c>
      <c r="D3805" t="s">
        <v>88</v>
      </c>
      <c r="E3805" t="s">
        <v>16302</v>
      </c>
      <c r="F3805" t="s">
        <v>7672</v>
      </c>
      <c r="G3805" t="s">
        <v>16303</v>
      </c>
      <c r="H3805" t="s">
        <v>10298</v>
      </c>
      <c r="I3805" t="s">
        <v>15755</v>
      </c>
      <c r="J3805" t="s">
        <v>7987</v>
      </c>
    </row>
    <row r="3806" spans="1:10" x14ac:dyDescent="0.25">
      <c r="A3806" t="s">
        <v>16312</v>
      </c>
      <c r="B3806">
        <v>5.032</v>
      </c>
      <c r="C3806" t="s">
        <v>16313</v>
      </c>
      <c r="D3806" t="s">
        <v>2787</v>
      </c>
      <c r="E3806" t="s">
        <v>16302</v>
      </c>
      <c r="F3806" t="s">
        <v>7672</v>
      </c>
      <c r="G3806" t="s">
        <v>16303</v>
      </c>
      <c r="H3806" t="s">
        <v>10298</v>
      </c>
      <c r="I3806" t="s">
        <v>15752</v>
      </c>
      <c r="J3806" t="s">
        <v>8001</v>
      </c>
    </row>
    <row r="3807" spans="1:10" x14ac:dyDescent="0.25">
      <c r="A3807" t="s">
        <v>16314</v>
      </c>
      <c r="B3807">
        <v>5.032</v>
      </c>
      <c r="C3807" t="s">
        <v>16315</v>
      </c>
      <c r="D3807" t="s">
        <v>1536</v>
      </c>
      <c r="E3807" t="s">
        <v>16302</v>
      </c>
      <c r="F3807" t="s">
        <v>7672</v>
      </c>
      <c r="G3807" t="s">
        <v>16303</v>
      </c>
      <c r="H3807" t="s">
        <v>10298</v>
      </c>
      <c r="I3807" t="s">
        <v>15755</v>
      </c>
      <c r="J3807" t="s">
        <v>8001</v>
      </c>
    </row>
    <row r="3808" spans="1:10" x14ac:dyDescent="0.25">
      <c r="A3808" t="s">
        <v>16316</v>
      </c>
      <c r="B3808">
        <v>5.032</v>
      </c>
      <c r="C3808" t="s">
        <v>16317</v>
      </c>
      <c r="D3808" t="s">
        <v>113</v>
      </c>
      <c r="E3808" t="s">
        <v>16302</v>
      </c>
      <c r="F3808" t="s">
        <v>7672</v>
      </c>
      <c r="G3808" t="s">
        <v>16303</v>
      </c>
      <c r="H3808" t="s">
        <v>10298</v>
      </c>
      <c r="I3808" t="s">
        <v>15755</v>
      </c>
      <c r="J3808" t="s">
        <v>8013</v>
      </c>
    </row>
    <row r="3809" spans="1:10" x14ac:dyDescent="0.25">
      <c r="A3809" t="s">
        <v>16318</v>
      </c>
      <c r="B3809">
        <v>5.032</v>
      </c>
      <c r="C3809" t="s">
        <v>16319</v>
      </c>
      <c r="D3809" t="s">
        <v>240</v>
      </c>
      <c r="E3809" t="s">
        <v>16302</v>
      </c>
      <c r="F3809" t="s">
        <v>7672</v>
      </c>
      <c r="G3809" t="s">
        <v>16303</v>
      </c>
      <c r="H3809" t="s">
        <v>10298</v>
      </c>
      <c r="I3809" t="s">
        <v>15752</v>
      </c>
      <c r="J3809" t="s">
        <v>8013</v>
      </c>
    </row>
    <row r="3810" spans="1:10" x14ac:dyDescent="0.25">
      <c r="A3810" t="s">
        <v>16320</v>
      </c>
      <c r="B3810">
        <v>12.592000000000001</v>
      </c>
      <c r="C3810" t="s">
        <v>16321</v>
      </c>
      <c r="D3810" t="s">
        <v>301</v>
      </c>
      <c r="E3810" t="s">
        <v>16322</v>
      </c>
      <c r="F3810" t="s">
        <v>7672</v>
      </c>
      <c r="G3810" t="s">
        <v>16323</v>
      </c>
      <c r="H3810" t="s">
        <v>9127</v>
      </c>
      <c r="I3810" t="s">
        <v>11189</v>
      </c>
      <c r="J3810" t="s">
        <v>9237</v>
      </c>
    </row>
    <row r="3811" spans="1:10" x14ac:dyDescent="0.25">
      <c r="A3811" t="s">
        <v>16324</v>
      </c>
      <c r="B3811">
        <v>12.592000000000001</v>
      </c>
      <c r="C3811" t="s">
        <v>16325</v>
      </c>
      <c r="D3811" t="s">
        <v>835</v>
      </c>
      <c r="E3811" t="s">
        <v>16322</v>
      </c>
      <c r="F3811" t="s">
        <v>7672</v>
      </c>
      <c r="G3811" t="s">
        <v>16323</v>
      </c>
      <c r="H3811" t="s">
        <v>9127</v>
      </c>
      <c r="I3811" t="s">
        <v>11180</v>
      </c>
      <c r="J3811" t="s">
        <v>9237</v>
      </c>
    </row>
    <row r="3812" spans="1:10" x14ac:dyDescent="0.25">
      <c r="A3812" t="s">
        <v>16326</v>
      </c>
      <c r="B3812">
        <v>12.592000000000001</v>
      </c>
      <c r="C3812" t="s">
        <v>16327</v>
      </c>
      <c r="D3812" t="s">
        <v>849</v>
      </c>
      <c r="E3812" t="s">
        <v>16322</v>
      </c>
      <c r="F3812" t="s">
        <v>7672</v>
      </c>
      <c r="G3812" t="s">
        <v>16323</v>
      </c>
      <c r="H3812" t="s">
        <v>9127</v>
      </c>
      <c r="I3812" t="s">
        <v>11197</v>
      </c>
      <c r="J3812" t="s">
        <v>9237</v>
      </c>
    </row>
    <row r="3813" spans="1:10" x14ac:dyDescent="0.25">
      <c r="A3813" t="s">
        <v>16328</v>
      </c>
      <c r="B3813">
        <v>12.592000000000001</v>
      </c>
      <c r="C3813" t="s">
        <v>16329</v>
      </c>
      <c r="D3813" t="s">
        <v>282</v>
      </c>
      <c r="E3813" t="s">
        <v>16322</v>
      </c>
      <c r="F3813" t="s">
        <v>7672</v>
      </c>
      <c r="G3813" t="s">
        <v>16323</v>
      </c>
      <c r="H3813" t="s">
        <v>9127</v>
      </c>
      <c r="I3813" t="s">
        <v>11192</v>
      </c>
      <c r="J3813" t="s">
        <v>9237</v>
      </c>
    </row>
    <row r="3814" spans="1:10" x14ac:dyDescent="0.25">
      <c r="A3814" t="s">
        <v>16330</v>
      </c>
      <c r="B3814">
        <v>12.592000000000001</v>
      </c>
      <c r="C3814" t="s">
        <v>16331</v>
      </c>
      <c r="D3814" t="s">
        <v>1459</v>
      </c>
      <c r="E3814" t="s">
        <v>16322</v>
      </c>
      <c r="F3814" t="s">
        <v>7672</v>
      </c>
      <c r="G3814" t="s">
        <v>16323</v>
      </c>
      <c r="H3814" t="s">
        <v>9127</v>
      </c>
      <c r="I3814" t="s">
        <v>11180</v>
      </c>
      <c r="J3814" t="s">
        <v>8427</v>
      </c>
    </row>
    <row r="3815" spans="1:10" x14ac:dyDescent="0.25">
      <c r="A3815" t="s">
        <v>16332</v>
      </c>
      <c r="B3815">
        <v>12.592000000000001</v>
      </c>
      <c r="C3815" t="s">
        <v>16333</v>
      </c>
      <c r="D3815" t="s">
        <v>3577</v>
      </c>
      <c r="E3815" t="s">
        <v>16322</v>
      </c>
      <c r="F3815" t="s">
        <v>7672</v>
      </c>
      <c r="G3815" t="s">
        <v>16323</v>
      </c>
      <c r="H3815" t="s">
        <v>9127</v>
      </c>
      <c r="I3815" t="s">
        <v>11197</v>
      </c>
      <c r="J3815" t="s">
        <v>8427</v>
      </c>
    </row>
    <row r="3816" spans="1:10" x14ac:dyDescent="0.25">
      <c r="A3816" t="s">
        <v>16334</v>
      </c>
      <c r="B3816">
        <v>12.592000000000001</v>
      </c>
      <c r="C3816" t="s">
        <v>16335</v>
      </c>
      <c r="D3816" t="s">
        <v>908</v>
      </c>
      <c r="E3816" t="s">
        <v>16322</v>
      </c>
      <c r="F3816" t="s">
        <v>7672</v>
      </c>
      <c r="G3816" t="s">
        <v>16323</v>
      </c>
      <c r="H3816" t="s">
        <v>9127</v>
      </c>
      <c r="I3816" t="s">
        <v>11189</v>
      </c>
      <c r="J3816" t="s">
        <v>8427</v>
      </c>
    </row>
    <row r="3817" spans="1:10" x14ac:dyDescent="0.25">
      <c r="A3817" t="s">
        <v>16336</v>
      </c>
      <c r="B3817">
        <v>12.592000000000001</v>
      </c>
      <c r="C3817" t="s">
        <v>16337</v>
      </c>
      <c r="D3817" t="s">
        <v>2022</v>
      </c>
      <c r="E3817" t="s">
        <v>16322</v>
      </c>
      <c r="F3817" t="s">
        <v>7672</v>
      </c>
      <c r="G3817" t="s">
        <v>16323</v>
      </c>
      <c r="H3817" t="s">
        <v>9127</v>
      </c>
      <c r="I3817" t="s">
        <v>11192</v>
      </c>
      <c r="J3817" t="s">
        <v>8427</v>
      </c>
    </row>
    <row r="3818" spans="1:10" x14ac:dyDescent="0.25">
      <c r="A3818" t="s">
        <v>16338</v>
      </c>
      <c r="B3818">
        <v>12.592000000000001</v>
      </c>
      <c r="C3818" t="s">
        <v>16339</v>
      </c>
      <c r="D3818" t="s">
        <v>4794</v>
      </c>
      <c r="E3818" t="s">
        <v>16322</v>
      </c>
      <c r="F3818" t="s">
        <v>7672</v>
      </c>
      <c r="G3818" t="s">
        <v>16323</v>
      </c>
      <c r="H3818" t="s">
        <v>9127</v>
      </c>
      <c r="I3818" t="s">
        <v>11180</v>
      </c>
      <c r="J3818" t="s">
        <v>8439</v>
      </c>
    </row>
    <row r="3819" spans="1:10" x14ac:dyDescent="0.25">
      <c r="A3819" t="s">
        <v>16340</v>
      </c>
      <c r="B3819">
        <v>12.592000000000001</v>
      </c>
      <c r="C3819" t="s">
        <v>16341</v>
      </c>
      <c r="D3819" t="s">
        <v>865</v>
      </c>
      <c r="E3819" t="s">
        <v>16322</v>
      </c>
      <c r="F3819" t="s">
        <v>7672</v>
      </c>
      <c r="G3819" t="s">
        <v>16323</v>
      </c>
      <c r="H3819" t="s">
        <v>9127</v>
      </c>
      <c r="I3819" t="s">
        <v>11197</v>
      </c>
      <c r="J3819" t="s">
        <v>8439</v>
      </c>
    </row>
    <row r="3820" spans="1:10" x14ac:dyDescent="0.25">
      <c r="A3820" t="s">
        <v>16342</v>
      </c>
      <c r="B3820">
        <v>12.592000000000001</v>
      </c>
      <c r="C3820" t="s">
        <v>16343</v>
      </c>
      <c r="D3820" t="s">
        <v>4584</v>
      </c>
      <c r="E3820" t="s">
        <v>16322</v>
      </c>
      <c r="F3820" t="s">
        <v>7672</v>
      </c>
      <c r="G3820" t="s">
        <v>16323</v>
      </c>
      <c r="H3820" t="s">
        <v>9127</v>
      </c>
      <c r="I3820" t="s">
        <v>11189</v>
      </c>
      <c r="J3820" t="s">
        <v>8439</v>
      </c>
    </row>
    <row r="3821" spans="1:10" x14ac:dyDescent="0.25">
      <c r="A3821" t="s">
        <v>16344</v>
      </c>
      <c r="B3821">
        <v>12.592000000000001</v>
      </c>
      <c r="C3821" t="s">
        <v>16345</v>
      </c>
      <c r="D3821" t="s">
        <v>626</v>
      </c>
      <c r="E3821" t="s">
        <v>16322</v>
      </c>
      <c r="F3821" t="s">
        <v>7672</v>
      </c>
      <c r="G3821" t="s">
        <v>16323</v>
      </c>
      <c r="H3821" t="s">
        <v>9127</v>
      </c>
      <c r="I3821" t="s">
        <v>11192</v>
      </c>
      <c r="J3821" t="s">
        <v>8439</v>
      </c>
    </row>
    <row r="3822" spans="1:10" x14ac:dyDescent="0.25">
      <c r="A3822" t="s">
        <v>16346</v>
      </c>
      <c r="B3822">
        <v>12.592000000000001</v>
      </c>
      <c r="C3822" t="s">
        <v>16347</v>
      </c>
      <c r="D3822" t="s">
        <v>1573</v>
      </c>
      <c r="E3822" t="s">
        <v>16322</v>
      </c>
      <c r="F3822" t="s">
        <v>7672</v>
      </c>
      <c r="G3822" t="s">
        <v>16323</v>
      </c>
      <c r="H3822" t="s">
        <v>9127</v>
      </c>
      <c r="I3822" t="s">
        <v>11180</v>
      </c>
      <c r="J3822" t="s">
        <v>8451</v>
      </c>
    </row>
    <row r="3823" spans="1:10" x14ac:dyDescent="0.25">
      <c r="A3823" t="s">
        <v>16348</v>
      </c>
      <c r="B3823">
        <v>12.592000000000001</v>
      </c>
      <c r="C3823" t="s">
        <v>16349</v>
      </c>
      <c r="D3823" t="s">
        <v>926</v>
      </c>
      <c r="E3823" t="s">
        <v>16322</v>
      </c>
      <c r="F3823" t="s">
        <v>7672</v>
      </c>
      <c r="G3823" t="s">
        <v>16323</v>
      </c>
      <c r="H3823" t="s">
        <v>9127</v>
      </c>
      <c r="I3823" t="s">
        <v>11197</v>
      </c>
      <c r="J3823" t="s">
        <v>8451</v>
      </c>
    </row>
    <row r="3824" spans="1:10" x14ac:dyDescent="0.25">
      <c r="A3824" t="s">
        <v>16350</v>
      </c>
      <c r="B3824">
        <v>12.592000000000001</v>
      </c>
      <c r="C3824" t="s">
        <v>16351</v>
      </c>
      <c r="D3824" t="s">
        <v>2149</v>
      </c>
      <c r="E3824" t="s">
        <v>16322</v>
      </c>
      <c r="F3824" t="s">
        <v>7672</v>
      </c>
      <c r="G3824" t="s">
        <v>16323</v>
      </c>
      <c r="H3824" t="s">
        <v>9127</v>
      </c>
      <c r="I3824" t="s">
        <v>11189</v>
      </c>
      <c r="J3824" t="s">
        <v>8451</v>
      </c>
    </row>
    <row r="3825" spans="1:10" x14ac:dyDescent="0.25">
      <c r="A3825" t="s">
        <v>16352</v>
      </c>
      <c r="B3825">
        <v>12.592000000000001</v>
      </c>
      <c r="C3825" t="s">
        <v>16353</v>
      </c>
      <c r="D3825" t="s">
        <v>2253</v>
      </c>
      <c r="E3825" t="s">
        <v>16322</v>
      </c>
      <c r="F3825" t="s">
        <v>7672</v>
      </c>
      <c r="G3825" t="s">
        <v>16323</v>
      </c>
      <c r="H3825" t="s">
        <v>9127</v>
      </c>
      <c r="I3825" t="s">
        <v>11192</v>
      </c>
      <c r="J3825" t="s">
        <v>8451</v>
      </c>
    </row>
    <row r="3826" spans="1:10" x14ac:dyDescent="0.25">
      <c r="A3826" t="s">
        <v>16354</v>
      </c>
      <c r="B3826">
        <v>12.592000000000001</v>
      </c>
      <c r="C3826" t="s">
        <v>16355</v>
      </c>
      <c r="D3826" t="s">
        <v>311</v>
      </c>
      <c r="E3826" t="s">
        <v>16322</v>
      </c>
      <c r="F3826" t="s">
        <v>7672</v>
      </c>
      <c r="G3826" t="s">
        <v>16323</v>
      </c>
      <c r="H3826" t="s">
        <v>9127</v>
      </c>
      <c r="I3826" t="s">
        <v>11180</v>
      </c>
      <c r="J3826" t="s">
        <v>8462</v>
      </c>
    </row>
    <row r="3827" spans="1:10" x14ac:dyDescent="0.25">
      <c r="A3827" t="s">
        <v>16356</v>
      </c>
      <c r="B3827">
        <v>12.592000000000001</v>
      </c>
      <c r="C3827" t="s">
        <v>16357</v>
      </c>
      <c r="D3827" t="s">
        <v>964</v>
      </c>
      <c r="E3827" t="s">
        <v>16322</v>
      </c>
      <c r="F3827" t="s">
        <v>7672</v>
      </c>
      <c r="G3827" t="s">
        <v>16323</v>
      </c>
      <c r="H3827" t="s">
        <v>9127</v>
      </c>
      <c r="I3827" t="s">
        <v>11192</v>
      </c>
      <c r="J3827" t="s">
        <v>8462</v>
      </c>
    </row>
    <row r="3828" spans="1:10" x14ac:dyDescent="0.25">
      <c r="A3828" t="s">
        <v>16358</v>
      </c>
      <c r="B3828">
        <v>12.592000000000001</v>
      </c>
      <c r="C3828" t="s">
        <v>16359</v>
      </c>
      <c r="D3828" t="s">
        <v>330</v>
      </c>
      <c r="E3828" t="s">
        <v>16322</v>
      </c>
      <c r="F3828" t="s">
        <v>7672</v>
      </c>
      <c r="G3828" t="s">
        <v>16323</v>
      </c>
      <c r="H3828" t="s">
        <v>9127</v>
      </c>
      <c r="I3828" t="s">
        <v>11197</v>
      </c>
      <c r="J3828" t="s">
        <v>8462</v>
      </c>
    </row>
    <row r="3829" spans="1:10" x14ac:dyDescent="0.25">
      <c r="A3829" t="s">
        <v>16360</v>
      </c>
      <c r="B3829">
        <v>12.592000000000001</v>
      </c>
      <c r="C3829" t="s">
        <v>16361</v>
      </c>
      <c r="D3829" t="s">
        <v>118</v>
      </c>
      <c r="E3829" t="s">
        <v>16322</v>
      </c>
      <c r="F3829" t="s">
        <v>7672</v>
      </c>
      <c r="G3829" t="s">
        <v>16323</v>
      </c>
      <c r="H3829" t="s">
        <v>9127</v>
      </c>
      <c r="I3829" t="s">
        <v>11189</v>
      </c>
      <c r="J3829" t="s">
        <v>8462</v>
      </c>
    </row>
    <row r="3830" spans="1:10" x14ac:dyDescent="0.25">
      <c r="A3830" t="s">
        <v>4006</v>
      </c>
      <c r="B3830">
        <v>4.4159999999999986</v>
      </c>
      <c r="C3830" t="s">
        <v>4008</v>
      </c>
      <c r="D3830" t="s">
        <v>4011</v>
      </c>
      <c r="E3830" t="s">
        <v>4009</v>
      </c>
      <c r="F3830" t="s">
        <v>7672</v>
      </c>
      <c r="G3830" t="s">
        <v>16362</v>
      </c>
      <c r="H3830" t="s">
        <v>16363</v>
      </c>
      <c r="I3830" t="s">
        <v>497</v>
      </c>
      <c r="J3830" t="s">
        <v>9694</v>
      </c>
    </row>
    <row r="3831" spans="1:10" x14ac:dyDescent="0.25">
      <c r="A3831" t="s">
        <v>16364</v>
      </c>
      <c r="B3831">
        <v>12.592000000000001</v>
      </c>
      <c r="C3831" t="s">
        <v>16365</v>
      </c>
      <c r="D3831" t="s">
        <v>290</v>
      </c>
      <c r="E3831" t="s">
        <v>16366</v>
      </c>
      <c r="F3831" t="s">
        <v>7672</v>
      </c>
      <c r="G3831" t="s">
        <v>16367</v>
      </c>
      <c r="H3831" t="s">
        <v>10298</v>
      </c>
      <c r="I3831" t="s">
        <v>76</v>
      </c>
      <c r="J3831" t="s">
        <v>14976</v>
      </c>
    </row>
    <row r="3832" spans="1:10" x14ac:dyDescent="0.25">
      <c r="A3832" t="s">
        <v>16368</v>
      </c>
      <c r="B3832">
        <v>12.592000000000001</v>
      </c>
      <c r="C3832" t="s">
        <v>16369</v>
      </c>
      <c r="D3832" t="s">
        <v>301</v>
      </c>
      <c r="E3832" t="s">
        <v>16366</v>
      </c>
      <c r="F3832" t="s">
        <v>7672</v>
      </c>
      <c r="G3832" t="s">
        <v>16367</v>
      </c>
      <c r="H3832" t="s">
        <v>10298</v>
      </c>
      <c r="I3832" t="s">
        <v>76</v>
      </c>
      <c r="J3832" t="s">
        <v>14979</v>
      </c>
    </row>
    <row r="3833" spans="1:10" x14ac:dyDescent="0.25">
      <c r="A3833" t="s">
        <v>16370</v>
      </c>
      <c r="B3833">
        <v>12.592000000000001</v>
      </c>
      <c r="C3833" t="s">
        <v>16371</v>
      </c>
      <c r="D3833" t="s">
        <v>1949</v>
      </c>
      <c r="E3833" t="s">
        <v>16366</v>
      </c>
      <c r="F3833" t="s">
        <v>7672</v>
      </c>
      <c r="G3833" t="s">
        <v>16367</v>
      </c>
      <c r="H3833" t="s">
        <v>10298</v>
      </c>
      <c r="I3833" t="s">
        <v>76</v>
      </c>
      <c r="J3833" t="s">
        <v>14982</v>
      </c>
    </row>
    <row r="3834" spans="1:10" x14ac:dyDescent="0.25">
      <c r="A3834" t="s">
        <v>16372</v>
      </c>
      <c r="B3834">
        <v>12.592000000000001</v>
      </c>
      <c r="C3834" t="s">
        <v>16373</v>
      </c>
      <c r="D3834" t="s">
        <v>941</v>
      </c>
      <c r="E3834" t="s">
        <v>16366</v>
      </c>
      <c r="F3834" t="s">
        <v>7672</v>
      </c>
      <c r="G3834" t="s">
        <v>16367</v>
      </c>
      <c r="H3834" t="s">
        <v>10298</v>
      </c>
      <c r="I3834" t="s">
        <v>76</v>
      </c>
      <c r="J3834" t="s">
        <v>14985</v>
      </c>
    </row>
    <row r="3835" spans="1:10" x14ac:dyDescent="0.25">
      <c r="A3835" t="s">
        <v>16374</v>
      </c>
      <c r="B3835">
        <v>12.592000000000001</v>
      </c>
      <c r="C3835" t="s">
        <v>16375</v>
      </c>
      <c r="D3835" t="s">
        <v>2317</v>
      </c>
      <c r="E3835" t="s">
        <v>16366</v>
      </c>
      <c r="F3835" t="s">
        <v>7672</v>
      </c>
      <c r="G3835" t="s">
        <v>16367</v>
      </c>
      <c r="H3835" t="s">
        <v>10298</v>
      </c>
      <c r="I3835" t="s">
        <v>76</v>
      </c>
      <c r="J3835" t="s">
        <v>14988</v>
      </c>
    </row>
    <row r="3836" spans="1:10" x14ac:dyDescent="0.25">
      <c r="A3836" t="s">
        <v>16376</v>
      </c>
      <c r="B3836">
        <v>12.592000000000001</v>
      </c>
      <c r="C3836" t="s">
        <v>16377</v>
      </c>
      <c r="D3836" t="s">
        <v>10785</v>
      </c>
      <c r="E3836" t="s">
        <v>16366</v>
      </c>
      <c r="F3836" t="s">
        <v>7672</v>
      </c>
      <c r="G3836" t="s">
        <v>16367</v>
      </c>
      <c r="H3836" t="s">
        <v>10298</v>
      </c>
      <c r="I3836" t="s">
        <v>76</v>
      </c>
      <c r="J3836" t="s">
        <v>14991</v>
      </c>
    </row>
    <row r="3837" spans="1:10" x14ac:dyDescent="0.25">
      <c r="A3837" t="s">
        <v>16378</v>
      </c>
      <c r="B3837">
        <v>12.592000000000001</v>
      </c>
      <c r="C3837" t="s">
        <v>16379</v>
      </c>
      <c r="D3837" t="s">
        <v>15907</v>
      </c>
      <c r="E3837" t="s">
        <v>16366</v>
      </c>
      <c r="F3837" t="s">
        <v>7672</v>
      </c>
      <c r="G3837" t="s">
        <v>16367</v>
      </c>
      <c r="H3837" t="s">
        <v>10298</v>
      </c>
      <c r="I3837" t="s">
        <v>76</v>
      </c>
      <c r="J3837" t="s">
        <v>14994</v>
      </c>
    </row>
    <row r="3838" spans="1:10" x14ac:dyDescent="0.25">
      <c r="A3838" t="s">
        <v>16380</v>
      </c>
      <c r="B3838">
        <v>12.592000000000001</v>
      </c>
      <c r="C3838" t="s">
        <v>16381</v>
      </c>
      <c r="D3838" t="s">
        <v>2364</v>
      </c>
      <c r="E3838" t="s">
        <v>16366</v>
      </c>
      <c r="F3838" t="s">
        <v>7672</v>
      </c>
      <c r="G3838" t="s">
        <v>16367</v>
      </c>
      <c r="H3838" t="s">
        <v>10298</v>
      </c>
      <c r="I3838" t="s">
        <v>76</v>
      </c>
      <c r="J3838" t="s">
        <v>14997</v>
      </c>
    </row>
    <row r="3839" spans="1:10" x14ac:dyDescent="0.25">
      <c r="A3839" t="s">
        <v>16382</v>
      </c>
      <c r="B3839">
        <v>12.592000000000001</v>
      </c>
      <c r="C3839" t="s">
        <v>16383</v>
      </c>
      <c r="D3839" t="s">
        <v>16384</v>
      </c>
      <c r="E3839" t="s">
        <v>16366</v>
      </c>
      <c r="F3839" t="s">
        <v>7672</v>
      </c>
      <c r="G3839" t="s">
        <v>16367</v>
      </c>
      <c r="H3839" t="s">
        <v>10298</v>
      </c>
      <c r="I3839" t="s">
        <v>76</v>
      </c>
      <c r="J3839" t="s">
        <v>15000</v>
      </c>
    </row>
    <row r="3840" spans="1:10" x14ac:dyDescent="0.25">
      <c r="A3840" t="s">
        <v>16385</v>
      </c>
      <c r="B3840">
        <v>12.592000000000001</v>
      </c>
      <c r="C3840" t="s">
        <v>16386</v>
      </c>
      <c r="D3840" t="s">
        <v>7735</v>
      </c>
      <c r="E3840" t="s">
        <v>16366</v>
      </c>
      <c r="F3840" t="s">
        <v>7672</v>
      </c>
      <c r="G3840" t="s">
        <v>16367</v>
      </c>
      <c r="H3840" t="s">
        <v>10298</v>
      </c>
      <c r="I3840" t="s">
        <v>76</v>
      </c>
      <c r="J3840" t="s">
        <v>16387</v>
      </c>
    </row>
    <row r="3841" spans="1:10" x14ac:dyDescent="0.25">
      <c r="A3841" t="s">
        <v>16388</v>
      </c>
      <c r="B3841">
        <v>13.992000000000001</v>
      </c>
      <c r="C3841" t="s">
        <v>16389</v>
      </c>
      <c r="D3841" t="s">
        <v>671</v>
      </c>
      <c r="E3841" t="s">
        <v>16390</v>
      </c>
      <c r="F3841" t="s">
        <v>7672</v>
      </c>
      <c r="G3841" t="s">
        <v>16391</v>
      </c>
      <c r="H3841" t="s">
        <v>11598</v>
      </c>
      <c r="I3841" t="s">
        <v>16392</v>
      </c>
      <c r="J3841" t="s">
        <v>8980</v>
      </c>
    </row>
    <row r="3842" spans="1:10" x14ac:dyDescent="0.25">
      <c r="A3842" t="s">
        <v>16393</v>
      </c>
      <c r="B3842">
        <v>13.992000000000001</v>
      </c>
      <c r="C3842" t="s">
        <v>16394</v>
      </c>
      <c r="D3842" t="s">
        <v>613</v>
      </c>
      <c r="E3842" t="s">
        <v>16390</v>
      </c>
      <c r="F3842" t="s">
        <v>7672</v>
      </c>
      <c r="G3842" t="s">
        <v>16391</v>
      </c>
      <c r="H3842" t="s">
        <v>11598</v>
      </c>
      <c r="I3842" t="s">
        <v>76</v>
      </c>
      <c r="J3842" t="s">
        <v>8980</v>
      </c>
    </row>
    <row r="3843" spans="1:10" x14ac:dyDescent="0.25">
      <c r="A3843" t="s">
        <v>16395</v>
      </c>
      <c r="B3843">
        <v>13.992000000000001</v>
      </c>
      <c r="C3843" t="s">
        <v>16396</v>
      </c>
      <c r="D3843" t="s">
        <v>2879</v>
      </c>
      <c r="E3843" t="s">
        <v>16390</v>
      </c>
      <c r="F3843" t="s">
        <v>7672</v>
      </c>
      <c r="G3843" t="s">
        <v>16391</v>
      </c>
      <c r="H3843" t="s">
        <v>11598</v>
      </c>
      <c r="I3843" t="s">
        <v>16392</v>
      </c>
      <c r="J3843" t="s">
        <v>60</v>
      </c>
    </row>
    <row r="3844" spans="1:10" x14ac:dyDescent="0.25">
      <c r="A3844" t="s">
        <v>16397</v>
      </c>
      <c r="B3844">
        <v>13.992000000000001</v>
      </c>
      <c r="C3844" t="s">
        <v>16398</v>
      </c>
      <c r="D3844" t="s">
        <v>250</v>
      </c>
      <c r="E3844" t="s">
        <v>16390</v>
      </c>
      <c r="F3844" t="s">
        <v>7672</v>
      </c>
      <c r="G3844" t="s">
        <v>16391</v>
      </c>
      <c r="H3844" t="s">
        <v>11598</v>
      </c>
      <c r="I3844" t="s">
        <v>76</v>
      </c>
      <c r="J3844" t="s">
        <v>60</v>
      </c>
    </row>
    <row r="3845" spans="1:10" x14ac:dyDescent="0.25">
      <c r="A3845" t="s">
        <v>16399</v>
      </c>
      <c r="B3845">
        <v>13.992000000000001</v>
      </c>
      <c r="C3845" t="s">
        <v>16400</v>
      </c>
      <c r="D3845" t="s">
        <v>849</v>
      </c>
      <c r="E3845" t="s">
        <v>16390</v>
      </c>
      <c r="F3845" t="s">
        <v>7672</v>
      </c>
      <c r="G3845" t="s">
        <v>16391</v>
      </c>
      <c r="H3845" t="s">
        <v>11598</v>
      </c>
      <c r="I3845" t="s">
        <v>16392</v>
      </c>
      <c r="J3845" t="s">
        <v>100</v>
      </c>
    </row>
    <row r="3846" spans="1:10" x14ac:dyDescent="0.25">
      <c r="A3846" t="s">
        <v>16401</v>
      </c>
      <c r="B3846">
        <v>13.992000000000001</v>
      </c>
      <c r="C3846" t="s">
        <v>16402</v>
      </c>
      <c r="D3846" t="s">
        <v>330</v>
      </c>
      <c r="E3846" t="s">
        <v>16390</v>
      </c>
      <c r="F3846" t="s">
        <v>7672</v>
      </c>
      <c r="G3846" t="s">
        <v>16391</v>
      </c>
      <c r="H3846" t="s">
        <v>11598</v>
      </c>
      <c r="I3846" t="s">
        <v>76</v>
      </c>
      <c r="J3846" t="s">
        <v>100</v>
      </c>
    </row>
    <row r="3847" spans="1:10" x14ac:dyDescent="0.25">
      <c r="A3847" t="s">
        <v>16403</v>
      </c>
      <c r="B3847">
        <v>13.992000000000001</v>
      </c>
      <c r="C3847" t="s">
        <v>16404</v>
      </c>
      <c r="D3847" t="s">
        <v>1254</v>
      </c>
      <c r="E3847" t="s">
        <v>16390</v>
      </c>
      <c r="F3847" t="s">
        <v>7672</v>
      </c>
      <c r="G3847" t="s">
        <v>16391</v>
      </c>
      <c r="H3847" t="s">
        <v>11598</v>
      </c>
      <c r="I3847" t="s">
        <v>16392</v>
      </c>
      <c r="J3847" t="s">
        <v>88</v>
      </c>
    </row>
    <row r="3848" spans="1:10" x14ac:dyDescent="0.25">
      <c r="A3848" t="s">
        <v>16405</v>
      </c>
      <c r="B3848">
        <v>13.992000000000001</v>
      </c>
      <c r="C3848" t="s">
        <v>16406</v>
      </c>
      <c r="D3848" t="s">
        <v>3378</v>
      </c>
      <c r="E3848" t="s">
        <v>16390</v>
      </c>
      <c r="F3848" t="s">
        <v>7672</v>
      </c>
      <c r="G3848" t="s">
        <v>16391</v>
      </c>
      <c r="H3848" t="s">
        <v>11598</v>
      </c>
      <c r="I3848" t="s">
        <v>76</v>
      </c>
      <c r="J3848" t="s">
        <v>88</v>
      </c>
    </row>
    <row r="3849" spans="1:10" x14ac:dyDescent="0.25">
      <c r="A3849" t="s">
        <v>16407</v>
      </c>
      <c r="B3849">
        <v>13.992000000000001</v>
      </c>
      <c r="C3849" t="s">
        <v>16408</v>
      </c>
      <c r="D3849" t="s">
        <v>3184</v>
      </c>
      <c r="E3849" t="s">
        <v>16390</v>
      </c>
      <c r="F3849" t="s">
        <v>7672</v>
      </c>
      <c r="G3849" t="s">
        <v>16391</v>
      </c>
      <c r="H3849" t="s">
        <v>11598</v>
      </c>
      <c r="I3849" t="s">
        <v>16392</v>
      </c>
      <c r="J3849" t="s">
        <v>269</v>
      </c>
    </row>
    <row r="3850" spans="1:10" x14ac:dyDescent="0.25">
      <c r="A3850" t="s">
        <v>16409</v>
      </c>
      <c r="B3850">
        <v>13.992000000000001</v>
      </c>
      <c r="C3850" t="s">
        <v>16410</v>
      </c>
      <c r="D3850" t="s">
        <v>311</v>
      </c>
      <c r="E3850" t="s">
        <v>16390</v>
      </c>
      <c r="F3850" t="s">
        <v>7672</v>
      </c>
      <c r="G3850" t="s">
        <v>16391</v>
      </c>
      <c r="H3850" t="s">
        <v>11598</v>
      </c>
      <c r="I3850" t="s">
        <v>76</v>
      </c>
      <c r="J3850" t="s">
        <v>269</v>
      </c>
    </row>
    <row r="3851" spans="1:10" x14ac:dyDescent="0.25">
      <c r="A3851" t="s">
        <v>16411</v>
      </c>
      <c r="B3851">
        <v>13.992000000000001</v>
      </c>
      <c r="C3851" t="s">
        <v>16412</v>
      </c>
      <c r="D3851" t="s">
        <v>781</v>
      </c>
      <c r="E3851" t="s">
        <v>16390</v>
      </c>
      <c r="F3851" t="s">
        <v>7672</v>
      </c>
      <c r="G3851" t="s">
        <v>16391</v>
      </c>
      <c r="H3851" t="s">
        <v>11598</v>
      </c>
      <c r="I3851" t="s">
        <v>76</v>
      </c>
      <c r="J3851" t="s">
        <v>255</v>
      </c>
    </row>
    <row r="3852" spans="1:10" x14ac:dyDescent="0.25">
      <c r="A3852" t="s">
        <v>16413</v>
      </c>
      <c r="B3852">
        <v>13.992000000000001</v>
      </c>
      <c r="C3852" t="s">
        <v>16414</v>
      </c>
      <c r="D3852" t="s">
        <v>234</v>
      </c>
      <c r="E3852" t="s">
        <v>16390</v>
      </c>
      <c r="F3852" t="s">
        <v>7672</v>
      </c>
      <c r="G3852" t="s">
        <v>16391</v>
      </c>
      <c r="H3852" t="s">
        <v>11598</v>
      </c>
      <c r="I3852" t="s">
        <v>16392</v>
      </c>
      <c r="J3852" t="s">
        <v>255</v>
      </c>
    </row>
    <row r="3853" spans="1:10" x14ac:dyDescent="0.25">
      <c r="A3853" t="s">
        <v>16415</v>
      </c>
      <c r="B3853">
        <v>13.992000000000001</v>
      </c>
      <c r="C3853" t="s">
        <v>16416</v>
      </c>
      <c r="D3853" t="s">
        <v>240</v>
      </c>
      <c r="E3853" t="s">
        <v>16390</v>
      </c>
      <c r="F3853" t="s">
        <v>7672</v>
      </c>
      <c r="G3853" t="s">
        <v>16391</v>
      </c>
      <c r="H3853" t="s">
        <v>11598</v>
      </c>
      <c r="I3853" t="s">
        <v>16392</v>
      </c>
      <c r="J3853" t="s">
        <v>277</v>
      </c>
    </row>
    <row r="3854" spans="1:10" x14ac:dyDescent="0.25">
      <c r="A3854" t="s">
        <v>16417</v>
      </c>
      <c r="B3854">
        <v>13.992000000000001</v>
      </c>
      <c r="C3854" t="s">
        <v>16418</v>
      </c>
      <c r="D3854" t="s">
        <v>301</v>
      </c>
      <c r="E3854" t="s">
        <v>16390</v>
      </c>
      <c r="F3854" t="s">
        <v>7672</v>
      </c>
      <c r="G3854" t="s">
        <v>16391</v>
      </c>
      <c r="H3854" t="s">
        <v>11598</v>
      </c>
      <c r="I3854" t="s">
        <v>76</v>
      </c>
      <c r="J3854" t="s">
        <v>277</v>
      </c>
    </row>
    <row r="3855" spans="1:10" x14ac:dyDescent="0.25">
      <c r="A3855" t="s">
        <v>16419</v>
      </c>
      <c r="B3855">
        <v>12</v>
      </c>
      <c r="C3855" t="s">
        <v>16420</v>
      </c>
      <c r="D3855" t="s">
        <v>2243</v>
      </c>
      <c r="E3855" t="s">
        <v>16421</v>
      </c>
      <c r="F3855" t="s">
        <v>7672</v>
      </c>
      <c r="G3855" t="s">
        <v>16422</v>
      </c>
      <c r="H3855" t="s">
        <v>7947</v>
      </c>
      <c r="I3855" t="s">
        <v>76</v>
      </c>
      <c r="J3855" t="s">
        <v>7984</v>
      </c>
    </row>
    <row r="3856" spans="1:10" x14ac:dyDescent="0.25">
      <c r="A3856" t="s">
        <v>16423</v>
      </c>
      <c r="B3856">
        <v>12</v>
      </c>
      <c r="C3856" t="s">
        <v>16424</v>
      </c>
      <c r="D3856" t="s">
        <v>633</v>
      </c>
      <c r="E3856" t="s">
        <v>16421</v>
      </c>
      <c r="F3856" t="s">
        <v>7672</v>
      </c>
      <c r="G3856" t="s">
        <v>16422</v>
      </c>
      <c r="H3856" t="s">
        <v>7947</v>
      </c>
      <c r="I3856" t="s">
        <v>76</v>
      </c>
      <c r="J3856" t="s">
        <v>7987</v>
      </c>
    </row>
    <row r="3857" spans="1:10" x14ac:dyDescent="0.25">
      <c r="A3857" t="s">
        <v>16425</v>
      </c>
      <c r="B3857">
        <v>11.192</v>
      </c>
      <c r="C3857" t="s">
        <v>16426</v>
      </c>
      <c r="D3857" t="s">
        <v>359</v>
      </c>
      <c r="E3857" t="s">
        <v>16427</v>
      </c>
      <c r="F3857" t="s">
        <v>7672</v>
      </c>
      <c r="G3857" t="s">
        <v>16428</v>
      </c>
      <c r="H3857" t="s">
        <v>10298</v>
      </c>
      <c r="I3857" t="s">
        <v>16429</v>
      </c>
      <c r="J3857" t="s">
        <v>7942</v>
      </c>
    </row>
    <row r="3858" spans="1:10" x14ac:dyDescent="0.25">
      <c r="A3858" t="s">
        <v>16430</v>
      </c>
      <c r="B3858">
        <v>12.32</v>
      </c>
      <c r="C3858" t="s">
        <v>16431</v>
      </c>
      <c r="D3858" t="s">
        <v>2099</v>
      </c>
      <c r="E3858" t="s">
        <v>16427</v>
      </c>
      <c r="F3858" t="s">
        <v>7672</v>
      </c>
      <c r="G3858" t="s">
        <v>16428</v>
      </c>
      <c r="H3858" t="s">
        <v>10298</v>
      </c>
      <c r="I3858" t="s">
        <v>10394</v>
      </c>
      <c r="J3858" t="s">
        <v>7981</v>
      </c>
    </row>
    <row r="3859" spans="1:10" x14ac:dyDescent="0.25">
      <c r="A3859" t="s">
        <v>16432</v>
      </c>
      <c r="B3859">
        <v>11.192</v>
      </c>
      <c r="C3859" t="s">
        <v>16433</v>
      </c>
      <c r="D3859" t="s">
        <v>516</v>
      </c>
      <c r="E3859" t="s">
        <v>16427</v>
      </c>
      <c r="F3859" t="s">
        <v>7672</v>
      </c>
      <c r="G3859" t="s">
        <v>16428</v>
      </c>
      <c r="H3859" t="s">
        <v>10298</v>
      </c>
      <c r="I3859" t="s">
        <v>16429</v>
      </c>
      <c r="J3859" t="s">
        <v>7981</v>
      </c>
    </row>
    <row r="3860" spans="1:10" x14ac:dyDescent="0.25">
      <c r="A3860" t="s">
        <v>16434</v>
      </c>
      <c r="B3860">
        <v>11.192</v>
      </c>
      <c r="C3860" t="s">
        <v>16435</v>
      </c>
      <c r="D3860" t="s">
        <v>2253</v>
      </c>
      <c r="E3860" t="s">
        <v>16427</v>
      </c>
      <c r="F3860" t="s">
        <v>7672</v>
      </c>
      <c r="G3860" t="s">
        <v>16428</v>
      </c>
      <c r="H3860" t="s">
        <v>10298</v>
      </c>
      <c r="I3860" t="s">
        <v>16429</v>
      </c>
      <c r="J3860" t="s">
        <v>7984</v>
      </c>
    </row>
    <row r="3861" spans="1:10" x14ac:dyDescent="0.25">
      <c r="A3861" t="s">
        <v>16436</v>
      </c>
      <c r="B3861">
        <v>11.192</v>
      </c>
      <c r="C3861" t="s">
        <v>16437</v>
      </c>
      <c r="D3861" t="s">
        <v>330</v>
      </c>
      <c r="E3861" t="s">
        <v>16427</v>
      </c>
      <c r="F3861" t="s">
        <v>7672</v>
      </c>
      <c r="G3861" t="s">
        <v>16428</v>
      </c>
      <c r="H3861" t="s">
        <v>10298</v>
      </c>
      <c r="I3861" t="s">
        <v>16429</v>
      </c>
      <c r="J3861" t="s">
        <v>7987</v>
      </c>
    </row>
    <row r="3862" spans="1:10" x14ac:dyDescent="0.25">
      <c r="A3862" t="s">
        <v>4014</v>
      </c>
      <c r="B3862">
        <v>3.6</v>
      </c>
      <c r="C3862" t="s">
        <v>4016</v>
      </c>
      <c r="D3862" t="s">
        <v>2850</v>
      </c>
      <c r="E3862" t="s">
        <v>4017</v>
      </c>
      <c r="F3862" t="s">
        <v>7672</v>
      </c>
      <c r="G3862" t="s">
        <v>16438</v>
      </c>
      <c r="H3862" t="s">
        <v>7954</v>
      </c>
      <c r="I3862" t="s">
        <v>16439</v>
      </c>
      <c r="J3862" t="s">
        <v>8327</v>
      </c>
    </row>
    <row r="3863" spans="1:10" x14ac:dyDescent="0.25">
      <c r="A3863" t="s">
        <v>16440</v>
      </c>
      <c r="B3863">
        <v>5.2</v>
      </c>
      <c r="C3863" t="s">
        <v>16441</v>
      </c>
      <c r="D3863" t="s">
        <v>2243</v>
      </c>
      <c r="E3863" t="s">
        <v>16442</v>
      </c>
      <c r="F3863" t="s">
        <v>7672</v>
      </c>
      <c r="G3863" t="s">
        <v>16443</v>
      </c>
      <c r="H3863" t="s">
        <v>11496</v>
      </c>
      <c r="I3863" t="s">
        <v>410</v>
      </c>
      <c r="J3863" t="s">
        <v>16444</v>
      </c>
    </row>
    <row r="3864" spans="1:10" x14ac:dyDescent="0.25">
      <c r="A3864" t="s">
        <v>16445</v>
      </c>
      <c r="B3864">
        <v>5.2</v>
      </c>
      <c r="C3864" t="s">
        <v>16446</v>
      </c>
      <c r="D3864" t="s">
        <v>2078</v>
      </c>
      <c r="E3864" t="s">
        <v>16442</v>
      </c>
      <c r="F3864" t="s">
        <v>7672</v>
      </c>
      <c r="G3864" t="s">
        <v>16443</v>
      </c>
      <c r="H3864" t="s">
        <v>11496</v>
      </c>
      <c r="I3864" t="s">
        <v>410</v>
      </c>
      <c r="J3864" t="s">
        <v>9423</v>
      </c>
    </row>
    <row r="3865" spans="1:10" x14ac:dyDescent="0.25">
      <c r="A3865" t="s">
        <v>16447</v>
      </c>
      <c r="B3865">
        <v>5.2</v>
      </c>
      <c r="C3865" t="s">
        <v>16448</v>
      </c>
      <c r="D3865" t="s">
        <v>3665</v>
      </c>
      <c r="E3865" t="s">
        <v>16442</v>
      </c>
      <c r="F3865" t="s">
        <v>7672</v>
      </c>
      <c r="G3865" t="s">
        <v>16443</v>
      </c>
      <c r="H3865" t="s">
        <v>11496</v>
      </c>
      <c r="I3865" t="s">
        <v>410</v>
      </c>
      <c r="J3865" t="s">
        <v>10862</v>
      </c>
    </row>
    <row r="3866" spans="1:10" x14ac:dyDescent="0.25">
      <c r="A3866" t="s">
        <v>16449</v>
      </c>
      <c r="B3866">
        <v>5.2</v>
      </c>
      <c r="C3866" t="s">
        <v>16450</v>
      </c>
      <c r="D3866" t="s">
        <v>3653</v>
      </c>
      <c r="E3866" t="s">
        <v>16442</v>
      </c>
      <c r="F3866" t="s">
        <v>7672</v>
      </c>
      <c r="G3866" t="s">
        <v>16443</v>
      </c>
      <c r="H3866" t="s">
        <v>11496</v>
      </c>
      <c r="I3866" t="s">
        <v>410</v>
      </c>
      <c r="J3866" t="s">
        <v>9426</v>
      </c>
    </row>
    <row r="3867" spans="1:10" x14ac:dyDescent="0.25">
      <c r="A3867" t="s">
        <v>16451</v>
      </c>
      <c r="B3867">
        <v>5.2</v>
      </c>
      <c r="C3867" t="s">
        <v>16452</v>
      </c>
      <c r="D3867" t="s">
        <v>4799</v>
      </c>
      <c r="E3867" t="s">
        <v>16442</v>
      </c>
      <c r="F3867" t="s">
        <v>7672</v>
      </c>
      <c r="G3867" t="s">
        <v>16443</v>
      </c>
      <c r="H3867" t="s">
        <v>11496</v>
      </c>
      <c r="I3867" t="s">
        <v>410</v>
      </c>
      <c r="J3867" t="s">
        <v>13084</v>
      </c>
    </row>
    <row r="3868" spans="1:10" x14ac:dyDescent="0.25">
      <c r="A3868" t="s">
        <v>16453</v>
      </c>
      <c r="B3868">
        <v>5.2</v>
      </c>
      <c r="C3868" t="s">
        <v>16454</v>
      </c>
      <c r="D3868" t="s">
        <v>1827</v>
      </c>
      <c r="E3868" t="s">
        <v>16442</v>
      </c>
      <c r="F3868" t="s">
        <v>7672</v>
      </c>
      <c r="G3868" t="s">
        <v>16443</v>
      </c>
      <c r="H3868" t="s">
        <v>11496</v>
      </c>
      <c r="I3868" t="s">
        <v>410</v>
      </c>
      <c r="J3868" t="s">
        <v>11767</v>
      </c>
    </row>
    <row r="3869" spans="1:10" x14ac:dyDescent="0.25">
      <c r="A3869" t="s">
        <v>16455</v>
      </c>
      <c r="B3869">
        <v>5.2</v>
      </c>
      <c r="C3869" t="s">
        <v>16456</v>
      </c>
      <c r="D3869" t="s">
        <v>2910</v>
      </c>
      <c r="E3869" t="s">
        <v>16442</v>
      </c>
      <c r="F3869" t="s">
        <v>7672</v>
      </c>
      <c r="G3869" t="s">
        <v>16443</v>
      </c>
      <c r="H3869" t="s">
        <v>11496</v>
      </c>
      <c r="I3869" t="s">
        <v>410</v>
      </c>
      <c r="J3869" t="s">
        <v>11582</v>
      </c>
    </row>
    <row r="3870" spans="1:10" x14ac:dyDescent="0.25">
      <c r="A3870" t="s">
        <v>16457</v>
      </c>
      <c r="B3870">
        <v>5.2</v>
      </c>
      <c r="C3870" t="s">
        <v>16458</v>
      </c>
      <c r="D3870" t="s">
        <v>60</v>
      </c>
      <c r="E3870" t="s">
        <v>16442</v>
      </c>
      <c r="F3870" t="s">
        <v>7672</v>
      </c>
      <c r="G3870" t="s">
        <v>16443</v>
      </c>
      <c r="H3870" t="s">
        <v>11496</v>
      </c>
      <c r="I3870" t="s">
        <v>410</v>
      </c>
      <c r="J3870" t="s">
        <v>11585</v>
      </c>
    </row>
    <row r="3871" spans="1:10" x14ac:dyDescent="0.25">
      <c r="A3871" t="s">
        <v>16459</v>
      </c>
      <c r="B3871">
        <v>14.295999999999999</v>
      </c>
      <c r="C3871" t="s">
        <v>16460</v>
      </c>
      <c r="D3871" t="s">
        <v>2253</v>
      </c>
      <c r="E3871" t="s">
        <v>16461</v>
      </c>
      <c r="F3871" t="s">
        <v>7672</v>
      </c>
      <c r="G3871" t="s">
        <v>16462</v>
      </c>
      <c r="H3871" t="s">
        <v>16463</v>
      </c>
      <c r="I3871" t="s">
        <v>16464</v>
      </c>
      <c r="J3871" t="s">
        <v>9023</v>
      </c>
    </row>
    <row r="3872" spans="1:10" x14ac:dyDescent="0.25">
      <c r="A3872" t="s">
        <v>16465</v>
      </c>
      <c r="B3872">
        <v>14.295999999999999</v>
      </c>
      <c r="C3872" t="s">
        <v>16466</v>
      </c>
      <c r="D3872" t="s">
        <v>118</v>
      </c>
      <c r="E3872" t="s">
        <v>16461</v>
      </c>
      <c r="F3872" t="s">
        <v>7672</v>
      </c>
      <c r="G3872" t="s">
        <v>16462</v>
      </c>
      <c r="H3872" t="s">
        <v>16463</v>
      </c>
      <c r="I3872" t="s">
        <v>16467</v>
      </c>
      <c r="J3872" t="s">
        <v>9023</v>
      </c>
    </row>
    <row r="3873" spans="1:10" x14ac:dyDescent="0.25">
      <c r="A3873" t="s">
        <v>16468</v>
      </c>
      <c r="B3873">
        <v>14.295999999999999</v>
      </c>
      <c r="C3873" t="s">
        <v>16469</v>
      </c>
      <c r="D3873" t="s">
        <v>964</v>
      </c>
      <c r="E3873" t="s">
        <v>16461</v>
      </c>
      <c r="F3873" t="s">
        <v>7672</v>
      </c>
      <c r="G3873" t="s">
        <v>16462</v>
      </c>
      <c r="H3873" t="s">
        <v>16463</v>
      </c>
      <c r="I3873" t="s">
        <v>16470</v>
      </c>
      <c r="J3873" t="s">
        <v>9023</v>
      </c>
    </row>
    <row r="3874" spans="1:10" x14ac:dyDescent="0.25">
      <c r="A3874" t="s">
        <v>16471</v>
      </c>
      <c r="B3874">
        <v>14.295999999999999</v>
      </c>
      <c r="C3874" t="s">
        <v>16472</v>
      </c>
      <c r="D3874" t="s">
        <v>582</v>
      </c>
      <c r="E3874" t="s">
        <v>16461</v>
      </c>
      <c r="F3874" t="s">
        <v>7672</v>
      </c>
      <c r="G3874" t="s">
        <v>16462</v>
      </c>
      <c r="H3874" t="s">
        <v>16463</v>
      </c>
      <c r="I3874" t="s">
        <v>61</v>
      </c>
      <c r="J3874" t="s">
        <v>9023</v>
      </c>
    </row>
    <row r="3875" spans="1:10" x14ac:dyDescent="0.25">
      <c r="A3875" t="s">
        <v>16473</v>
      </c>
      <c r="B3875">
        <v>14.295999999999999</v>
      </c>
      <c r="C3875" t="s">
        <v>16474</v>
      </c>
      <c r="D3875" t="s">
        <v>875</v>
      </c>
      <c r="E3875" t="s">
        <v>16461</v>
      </c>
      <c r="F3875" t="s">
        <v>7672</v>
      </c>
      <c r="G3875" t="s">
        <v>16462</v>
      </c>
      <c r="H3875" t="s">
        <v>16463</v>
      </c>
      <c r="I3875" t="s">
        <v>16475</v>
      </c>
      <c r="J3875" t="s">
        <v>9023</v>
      </c>
    </row>
    <row r="3876" spans="1:10" x14ac:dyDescent="0.25">
      <c r="A3876" t="s">
        <v>16476</v>
      </c>
      <c r="B3876">
        <v>14.295999999999999</v>
      </c>
      <c r="C3876" t="s">
        <v>16477</v>
      </c>
      <c r="D3876" t="s">
        <v>240</v>
      </c>
      <c r="E3876" t="s">
        <v>16461</v>
      </c>
      <c r="F3876" t="s">
        <v>7672</v>
      </c>
      <c r="G3876" t="s">
        <v>16462</v>
      </c>
      <c r="H3876" t="s">
        <v>16463</v>
      </c>
      <c r="I3876" t="s">
        <v>8346</v>
      </c>
      <c r="J3876" t="s">
        <v>9023</v>
      </c>
    </row>
    <row r="3877" spans="1:10" x14ac:dyDescent="0.25">
      <c r="A3877" t="s">
        <v>16478</v>
      </c>
      <c r="B3877">
        <v>14.295999999999999</v>
      </c>
      <c r="C3877" t="s">
        <v>16479</v>
      </c>
      <c r="D3877" t="s">
        <v>2253</v>
      </c>
      <c r="E3877" t="s">
        <v>16461</v>
      </c>
      <c r="F3877" t="s">
        <v>7672</v>
      </c>
      <c r="G3877" t="s">
        <v>16462</v>
      </c>
      <c r="H3877" t="s">
        <v>16463</v>
      </c>
      <c r="I3877" t="s">
        <v>16480</v>
      </c>
      <c r="J3877" t="s">
        <v>9023</v>
      </c>
    </row>
    <row r="3878" spans="1:10" x14ac:dyDescent="0.25">
      <c r="A3878" t="s">
        <v>16481</v>
      </c>
      <c r="B3878">
        <v>14.295999999999999</v>
      </c>
      <c r="C3878" t="s">
        <v>16482</v>
      </c>
      <c r="D3878" t="s">
        <v>2879</v>
      </c>
      <c r="E3878" t="s">
        <v>16461</v>
      </c>
      <c r="F3878" t="s">
        <v>7672</v>
      </c>
      <c r="G3878" t="s">
        <v>16462</v>
      </c>
      <c r="H3878" t="s">
        <v>16463</v>
      </c>
      <c r="I3878" t="s">
        <v>16483</v>
      </c>
      <c r="J3878" t="s">
        <v>9023</v>
      </c>
    </row>
    <row r="3879" spans="1:10" x14ac:dyDescent="0.25">
      <c r="A3879" t="s">
        <v>16484</v>
      </c>
      <c r="B3879">
        <v>14.295999999999999</v>
      </c>
      <c r="C3879" t="s">
        <v>16485</v>
      </c>
      <c r="D3879" t="s">
        <v>2879</v>
      </c>
      <c r="E3879" t="s">
        <v>16461</v>
      </c>
      <c r="F3879" t="s">
        <v>7672</v>
      </c>
      <c r="G3879" t="s">
        <v>16462</v>
      </c>
      <c r="H3879" t="s">
        <v>16463</v>
      </c>
      <c r="I3879" t="s">
        <v>16486</v>
      </c>
      <c r="J3879" t="s">
        <v>9023</v>
      </c>
    </row>
    <row r="3880" spans="1:10" x14ac:dyDescent="0.25">
      <c r="A3880" t="s">
        <v>16487</v>
      </c>
      <c r="B3880">
        <v>14.295999999999999</v>
      </c>
      <c r="C3880" t="s">
        <v>16488</v>
      </c>
      <c r="D3880" t="s">
        <v>1621</v>
      </c>
      <c r="E3880" t="s">
        <v>16461</v>
      </c>
      <c r="F3880" t="s">
        <v>7672</v>
      </c>
      <c r="G3880" t="s">
        <v>16462</v>
      </c>
      <c r="H3880" t="s">
        <v>16463</v>
      </c>
      <c r="I3880" t="s">
        <v>16489</v>
      </c>
      <c r="J3880" t="s">
        <v>8883</v>
      </c>
    </row>
    <row r="3881" spans="1:10" x14ac:dyDescent="0.25">
      <c r="A3881" t="s">
        <v>16490</v>
      </c>
      <c r="B3881">
        <v>14.295999999999999</v>
      </c>
      <c r="C3881" t="s">
        <v>16491</v>
      </c>
      <c r="D3881" t="s">
        <v>1573</v>
      </c>
      <c r="E3881" t="s">
        <v>16461</v>
      </c>
      <c r="F3881" t="s">
        <v>7672</v>
      </c>
      <c r="G3881" t="s">
        <v>16462</v>
      </c>
      <c r="H3881" t="s">
        <v>16463</v>
      </c>
      <c r="I3881" t="s">
        <v>16464</v>
      </c>
      <c r="J3881" t="s">
        <v>8883</v>
      </c>
    </row>
    <row r="3882" spans="1:10" x14ac:dyDescent="0.25">
      <c r="A3882" t="s">
        <v>16492</v>
      </c>
      <c r="B3882">
        <v>14.295999999999999</v>
      </c>
      <c r="C3882" t="s">
        <v>16493</v>
      </c>
      <c r="D3882" t="s">
        <v>3850</v>
      </c>
      <c r="E3882" t="s">
        <v>16461</v>
      </c>
      <c r="F3882" t="s">
        <v>7672</v>
      </c>
      <c r="G3882" t="s">
        <v>16462</v>
      </c>
      <c r="H3882" t="s">
        <v>16463</v>
      </c>
      <c r="I3882" t="s">
        <v>16470</v>
      </c>
      <c r="J3882" t="s">
        <v>8883</v>
      </c>
    </row>
    <row r="3883" spans="1:10" x14ac:dyDescent="0.25">
      <c r="A3883" t="s">
        <v>16494</v>
      </c>
      <c r="B3883">
        <v>14.295999999999999</v>
      </c>
      <c r="C3883" t="s">
        <v>16495</v>
      </c>
      <c r="D3883" t="s">
        <v>588</v>
      </c>
      <c r="E3883" t="s">
        <v>16461</v>
      </c>
      <c r="F3883" t="s">
        <v>7672</v>
      </c>
      <c r="G3883" t="s">
        <v>16462</v>
      </c>
      <c r="H3883" t="s">
        <v>16463</v>
      </c>
      <c r="I3883" t="s">
        <v>8346</v>
      </c>
      <c r="J3883" t="s">
        <v>8883</v>
      </c>
    </row>
    <row r="3884" spans="1:10" x14ac:dyDescent="0.25">
      <c r="A3884" t="s">
        <v>16496</v>
      </c>
      <c r="B3884">
        <v>14.295999999999999</v>
      </c>
      <c r="C3884" t="s">
        <v>16497</v>
      </c>
      <c r="D3884" t="s">
        <v>450</v>
      </c>
      <c r="E3884" t="s">
        <v>16461</v>
      </c>
      <c r="F3884" t="s">
        <v>7672</v>
      </c>
      <c r="G3884" t="s">
        <v>16462</v>
      </c>
      <c r="H3884" t="s">
        <v>16463</v>
      </c>
      <c r="I3884" t="s">
        <v>16498</v>
      </c>
      <c r="J3884" t="s">
        <v>8883</v>
      </c>
    </row>
    <row r="3885" spans="1:10" x14ac:dyDescent="0.25">
      <c r="A3885" t="s">
        <v>16499</v>
      </c>
      <c r="B3885">
        <v>14.295999999999999</v>
      </c>
      <c r="C3885" t="s">
        <v>16500</v>
      </c>
      <c r="D3885" t="s">
        <v>3023</v>
      </c>
      <c r="E3885" t="s">
        <v>16461</v>
      </c>
      <c r="F3885" t="s">
        <v>7672</v>
      </c>
      <c r="G3885" t="s">
        <v>16462</v>
      </c>
      <c r="H3885" t="s">
        <v>16463</v>
      </c>
      <c r="I3885" t="s">
        <v>61</v>
      </c>
      <c r="J3885" t="s">
        <v>8883</v>
      </c>
    </row>
    <row r="3886" spans="1:10" x14ac:dyDescent="0.25">
      <c r="A3886" t="s">
        <v>16501</v>
      </c>
      <c r="B3886">
        <v>14.295999999999999</v>
      </c>
      <c r="C3886" t="s">
        <v>16502</v>
      </c>
      <c r="D3886" t="s">
        <v>306</v>
      </c>
      <c r="E3886" t="s">
        <v>16461</v>
      </c>
      <c r="F3886" t="s">
        <v>7672</v>
      </c>
      <c r="G3886" t="s">
        <v>16462</v>
      </c>
      <c r="H3886" t="s">
        <v>16463</v>
      </c>
      <c r="I3886" t="s">
        <v>16475</v>
      </c>
      <c r="J3886" t="s">
        <v>8883</v>
      </c>
    </row>
    <row r="3887" spans="1:10" x14ac:dyDescent="0.25">
      <c r="A3887" t="s">
        <v>16503</v>
      </c>
      <c r="B3887">
        <v>14.295999999999999</v>
      </c>
      <c r="C3887" t="s">
        <v>16504</v>
      </c>
      <c r="D3887" t="s">
        <v>4136</v>
      </c>
      <c r="E3887" t="s">
        <v>16461</v>
      </c>
      <c r="F3887" t="s">
        <v>7672</v>
      </c>
      <c r="G3887" t="s">
        <v>16462</v>
      </c>
      <c r="H3887" t="s">
        <v>16463</v>
      </c>
      <c r="I3887" t="s">
        <v>16480</v>
      </c>
      <c r="J3887" t="s">
        <v>8883</v>
      </c>
    </row>
    <row r="3888" spans="1:10" x14ac:dyDescent="0.25">
      <c r="A3888" t="s">
        <v>16505</v>
      </c>
      <c r="B3888">
        <v>14.295999999999999</v>
      </c>
      <c r="C3888" t="s">
        <v>16506</v>
      </c>
      <c r="D3888" t="s">
        <v>3604</v>
      </c>
      <c r="E3888" t="s">
        <v>16461</v>
      </c>
      <c r="F3888" t="s">
        <v>7672</v>
      </c>
      <c r="G3888" t="s">
        <v>16462</v>
      </c>
      <c r="H3888" t="s">
        <v>16463</v>
      </c>
      <c r="I3888" t="s">
        <v>16486</v>
      </c>
      <c r="J3888" t="s">
        <v>8883</v>
      </c>
    </row>
    <row r="3889" spans="1:10" x14ac:dyDescent="0.25">
      <c r="A3889" t="s">
        <v>16507</v>
      </c>
      <c r="B3889">
        <v>14.295999999999999</v>
      </c>
      <c r="C3889" t="s">
        <v>16508</v>
      </c>
      <c r="D3889" t="s">
        <v>671</v>
      </c>
      <c r="E3889" t="s">
        <v>16461</v>
      </c>
      <c r="F3889" t="s">
        <v>7672</v>
      </c>
      <c r="G3889" t="s">
        <v>16462</v>
      </c>
      <c r="H3889" t="s">
        <v>16463</v>
      </c>
      <c r="I3889" t="s">
        <v>16483</v>
      </c>
      <c r="J3889" t="s">
        <v>8883</v>
      </c>
    </row>
    <row r="3890" spans="1:10" x14ac:dyDescent="0.25">
      <c r="A3890" t="s">
        <v>16509</v>
      </c>
      <c r="B3890">
        <v>14.295999999999999</v>
      </c>
      <c r="C3890" t="s">
        <v>16510</v>
      </c>
      <c r="D3890" t="s">
        <v>6480</v>
      </c>
      <c r="E3890" t="s">
        <v>16461</v>
      </c>
      <c r="F3890" t="s">
        <v>7672</v>
      </c>
      <c r="G3890" t="s">
        <v>16462</v>
      </c>
      <c r="H3890" t="s">
        <v>16463</v>
      </c>
      <c r="I3890" t="s">
        <v>16475</v>
      </c>
      <c r="J3890" t="s">
        <v>8885</v>
      </c>
    </row>
    <row r="3891" spans="1:10" x14ac:dyDescent="0.25">
      <c r="A3891" t="s">
        <v>16511</v>
      </c>
      <c r="B3891">
        <v>14.295999999999999</v>
      </c>
      <c r="C3891" t="s">
        <v>16512</v>
      </c>
      <c r="D3891" t="s">
        <v>2347</v>
      </c>
      <c r="E3891" t="s">
        <v>16461</v>
      </c>
      <c r="F3891" t="s">
        <v>7672</v>
      </c>
      <c r="G3891" t="s">
        <v>16462</v>
      </c>
      <c r="H3891" t="s">
        <v>16463</v>
      </c>
      <c r="I3891" t="s">
        <v>8346</v>
      </c>
      <c r="J3891" t="s">
        <v>8885</v>
      </c>
    </row>
    <row r="3892" spans="1:10" x14ac:dyDescent="0.25">
      <c r="A3892" t="s">
        <v>16513</v>
      </c>
      <c r="B3892">
        <v>14.295999999999999</v>
      </c>
      <c r="C3892" t="s">
        <v>16514</v>
      </c>
      <c r="D3892" t="s">
        <v>5283</v>
      </c>
      <c r="E3892" t="s">
        <v>16461</v>
      </c>
      <c r="F3892" t="s">
        <v>7672</v>
      </c>
      <c r="G3892" t="s">
        <v>16462</v>
      </c>
      <c r="H3892" t="s">
        <v>16463</v>
      </c>
      <c r="I3892" t="s">
        <v>16464</v>
      </c>
      <c r="J3892" t="s">
        <v>8885</v>
      </c>
    </row>
    <row r="3893" spans="1:10" x14ac:dyDescent="0.25">
      <c r="A3893" t="s">
        <v>16515</v>
      </c>
      <c r="B3893">
        <v>14.295999999999999</v>
      </c>
      <c r="C3893" t="s">
        <v>16516</v>
      </c>
      <c r="D3893" t="s">
        <v>2376</v>
      </c>
      <c r="E3893" t="s">
        <v>16461</v>
      </c>
      <c r="F3893" t="s">
        <v>7672</v>
      </c>
      <c r="G3893" t="s">
        <v>16462</v>
      </c>
      <c r="H3893" t="s">
        <v>16463</v>
      </c>
      <c r="I3893" t="s">
        <v>16470</v>
      </c>
      <c r="J3893" t="s">
        <v>8885</v>
      </c>
    </row>
    <row r="3894" spans="1:10" x14ac:dyDescent="0.25">
      <c r="A3894" t="s">
        <v>16517</v>
      </c>
      <c r="B3894">
        <v>14.295999999999999</v>
      </c>
      <c r="C3894" t="s">
        <v>16518</v>
      </c>
      <c r="D3894" t="s">
        <v>908</v>
      </c>
      <c r="E3894" t="s">
        <v>16461</v>
      </c>
      <c r="F3894" t="s">
        <v>7672</v>
      </c>
      <c r="G3894" t="s">
        <v>16462</v>
      </c>
      <c r="H3894" t="s">
        <v>16463</v>
      </c>
      <c r="I3894" t="s">
        <v>16467</v>
      </c>
      <c r="J3894" t="s">
        <v>8885</v>
      </c>
    </row>
    <row r="3895" spans="1:10" x14ac:dyDescent="0.25">
      <c r="A3895" t="s">
        <v>16519</v>
      </c>
      <c r="B3895">
        <v>14.295999999999999</v>
      </c>
      <c r="C3895" t="s">
        <v>16520</v>
      </c>
      <c r="D3895" t="s">
        <v>5145</v>
      </c>
      <c r="E3895" t="s">
        <v>16461</v>
      </c>
      <c r="F3895" t="s">
        <v>7672</v>
      </c>
      <c r="G3895" t="s">
        <v>16462</v>
      </c>
      <c r="H3895" t="s">
        <v>16463</v>
      </c>
      <c r="I3895" t="s">
        <v>16498</v>
      </c>
      <c r="J3895" t="s">
        <v>8885</v>
      </c>
    </row>
    <row r="3896" spans="1:10" x14ac:dyDescent="0.25">
      <c r="A3896" t="s">
        <v>16521</v>
      </c>
      <c r="B3896">
        <v>14.295999999999999</v>
      </c>
      <c r="C3896" t="s">
        <v>16522</v>
      </c>
      <c r="D3896" t="s">
        <v>1805</v>
      </c>
      <c r="E3896" t="s">
        <v>16461</v>
      </c>
      <c r="F3896" t="s">
        <v>7672</v>
      </c>
      <c r="G3896" t="s">
        <v>16462</v>
      </c>
      <c r="H3896" t="s">
        <v>16463</v>
      </c>
      <c r="I3896" t="s">
        <v>61</v>
      </c>
      <c r="J3896" t="s">
        <v>8885</v>
      </c>
    </row>
    <row r="3897" spans="1:10" x14ac:dyDescent="0.25">
      <c r="A3897" t="s">
        <v>16523</v>
      </c>
      <c r="B3897">
        <v>14.295999999999999</v>
      </c>
      <c r="C3897" t="s">
        <v>16524</v>
      </c>
      <c r="D3897" t="s">
        <v>3841</v>
      </c>
      <c r="E3897" t="s">
        <v>16461</v>
      </c>
      <c r="F3897" t="s">
        <v>7672</v>
      </c>
      <c r="G3897" t="s">
        <v>16462</v>
      </c>
      <c r="H3897" t="s">
        <v>16463</v>
      </c>
      <c r="I3897" t="s">
        <v>16480</v>
      </c>
      <c r="J3897" t="s">
        <v>8885</v>
      </c>
    </row>
    <row r="3898" spans="1:10" x14ac:dyDescent="0.25">
      <c r="A3898" t="s">
        <v>16525</v>
      </c>
      <c r="B3898">
        <v>14.295999999999999</v>
      </c>
      <c r="C3898" t="s">
        <v>16526</v>
      </c>
      <c r="D3898" t="s">
        <v>3409</v>
      </c>
      <c r="E3898" t="s">
        <v>16461</v>
      </c>
      <c r="F3898" t="s">
        <v>7672</v>
      </c>
      <c r="G3898" t="s">
        <v>16462</v>
      </c>
      <c r="H3898" t="s">
        <v>16463</v>
      </c>
      <c r="I3898" t="s">
        <v>16486</v>
      </c>
      <c r="J3898" t="s">
        <v>8885</v>
      </c>
    </row>
    <row r="3899" spans="1:10" x14ac:dyDescent="0.25">
      <c r="A3899" t="s">
        <v>16527</v>
      </c>
      <c r="B3899">
        <v>14.295999999999999</v>
      </c>
      <c r="C3899" t="s">
        <v>16528</v>
      </c>
      <c r="D3899" t="s">
        <v>1864</v>
      </c>
      <c r="E3899" t="s">
        <v>16461</v>
      </c>
      <c r="F3899" t="s">
        <v>7672</v>
      </c>
      <c r="G3899" t="s">
        <v>16462</v>
      </c>
      <c r="H3899" t="s">
        <v>16463</v>
      </c>
      <c r="I3899" t="s">
        <v>16483</v>
      </c>
      <c r="J3899" t="s">
        <v>8885</v>
      </c>
    </row>
    <row r="3900" spans="1:10" x14ac:dyDescent="0.25">
      <c r="A3900" t="s">
        <v>16529</v>
      </c>
      <c r="B3900">
        <v>14.295999999999999</v>
      </c>
      <c r="C3900" t="s">
        <v>16530</v>
      </c>
      <c r="D3900" t="s">
        <v>2078</v>
      </c>
      <c r="E3900" t="s">
        <v>16461</v>
      </c>
      <c r="F3900" t="s">
        <v>7672</v>
      </c>
      <c r="G3900" t="s">
        <v>16462</v>
      </c>
      <c r="H3900" t="s">
        <v>16463</v>
      </c>
      <c r="I3900" t="s">
        <v>16531</v>
      </c>
      <c r="J3900" t="s">
        <v>8885</v>
      </c>
    </row>
    <row r="3901" spans="1:10" x14ac:dyDescent="0.25">
      <c r="A3901" t="s">
        <v>16532</v>
      </c>
      <c r="B3901">
        <v>14.295999999999999</v>
      </c>
      <c r="C3901" t="s">
        <v>16533</v>
      </c>
      <c r="D3901" t="s">
        <v>5145</v>
      </c>
      <c r="E3901" t="s">
        <v>16461</v>
      </c>
      <c r="F3901" t="s">
        <v>7672</v>
      </c>
      <c r="G3901" t="s">
        <v>16462</v>
      </c>
      <c r="H3901" t="s">
        <v>16463</v>
      </c>
      <c r="I3901" t="s">
        <v>16534</v>
      </c>
      <c r="J3901" t="s">
        <v>8885</v>
      </c>
    </row>
    <row r="3902" spans="1:10" x14ac:dyDescent="0.25">
      <c r="A3902" t="s">
        <v>16535</v>
      </c>
      <c r="B3902">
        <v>14.295999999999999</v>
      </c>
      <c r="C3902" t="s">
        <v>16536</v>
      </c>
      <c r="D3902" t="s">
        <v>8262</v>
      </c>
      <c r="E3902" t="s">
        <v>16461</v>
      </c>
      <c r="F3902" t="s">
        <v>7672</v>
      </c>
      <c r="G3902" t="s">
        <v>16462</v>
      </c>
      <c r="H3902" t="s">
        <v>16463</v>
      </c>
      <c r="I3902" t="s">
        <v>16475</v>
      </c>
      <c r="J3902" t="s">
        <v>10908</v>
      </c>
    </row>
    <row r="3903" spans="1:10" x14ac:dyDescent="0.25">
      <c r="A3903" t="s">
        <v>16537</v>
      </c>
      <c r="B3903">
        <v>14.295999999999999</v>
      </c>
      <c r="C3903" t="s">
        <v>16538</v>
      </c>
      <c r="D3903" t="s">
        <v>8262</v>
      </c>
      <c r="E3903" t="s">
        <v>16461</v>
      </c>
      <c r="F3903" t="s">
        <v>7672</v>
      </c>
      <c r="G3903" t="s">
        <v>16462</v>
      </c>
      <c r="H3903" t="s">
        <v>16463</v>
      </c>
      <c r="I3903" t="s">
        <v>61</v>
      </c>
      <c r="J3903" t="s">
        <v>10908</v>
      </c>
    </row>
    <row r="3904" spans="1:10" x14ac:dyDescent="0.25">
      <c r="A3904" t="s">
        <v>16539</v>
      </c>
      <c r="B3904">
        <v>14.295999999999999</v>
      </c>
      <c r="C3904" t="s">
        <v>16540</v>
      </c>
      <c r="D3904" t="s">
        <v>626</v>
      </c>
      <c r="E3904" t="s">
        <v>16461</v>
      </c>
      <c r="F3904" t="s">
        <v>7672</v>
      </c>
      <c r="G3904" t="s">
        <v>16462</v>
      </c>
      <c r="H3904" t="s">
        <v>16463</v>
      </c>
      <c r="I3904" t="s">
        <v>16464</v>
      </c>
      <c r="J3904" t="s">
        <v>10908</v>
      </c>
    </row>
    <row r="3905" spans="1:10" x14ac:dyDescent="0.25">
      <c r="A3905" t="s">
        <v>16541</v>
      </c>
      <c r="B3905">
        <v>14.295999999999999</v>
      </c>
      <c r="C3905" t="s">
        <v>16542</v>
      </c>
      <c r="D3905" t="s">
        <v>2138</v>
      </c>
      <c r="E3905" t="s">
        <v>16461</v>
      </c>
      <c r="F3905" t="s">
        <v>7672</v>
      </c>
      <c r="G3905" t="s">
        <v>16462</v>
      </c>
      <c r="H3905" t="s">
        <v>16463</v>
      </c>
      <c r="I3905" t="s">
        <v>16489</v>
      </c>
      <c r="J3905" t="s">
        <v>10908</v>
      </c>
    </row>
    <row r="3906" spans="1:10" x14ac:dyDescent="0.25">
      <c r="A3906" t="s">
        <v>16543</v>
      </c>
      <c r="B3906">
        <v>14.295999999999999</v>
      </c>
      <c r="C3906" t="s">
        <v>16544</v>
      </c>
      <c r="D3906" t="s">
        <v>1020</v>
      </c>
      <c r="E3906" t="s">
        <v>16461</v>
      </c>
      <c r="F3906" t="s">
        <v>7672</v>
      </c>
      <c r="G3906" t="s">
        <v>16462</v>
      </c>
      <c r="H3906" t="s">
        <v>16463</v>
      </c>
      <c r="I3906" t="s">
        <v>16470</v>
      </c>
      <c r="J3906" t="s">
        <v>10908</v>
      </c>
    </row>
    <row r="3907" spans="1:10" x14ac:dyDescent="0.25">
      <c r="A3907" t="s">
        <v>16545</v>
      </c>
      <c r="B3907">
        <v>14.295999999999999</v>
      </c>
      <c r="C3907" t="s">
        <v>16546</v>
      </c>
      <c r="D3907" t="s">
        <v>2652</v>
      </c>
      <c r="E3907" t="s">
        <v>16461</v>
      </c>
      <c r="F3907" t="s">
        <v>7672</v>
      </c>
      <c r="G3907" t="s">
        <v>16462</v>
      </c>
      <c r="H3907" t="s">
        <v>16463</v>
      </c>
      <c r="I3907" t="s">
        <v>16498</v>
      </c>
      <c r="J3907" t="s">
        <v>10908</v>
      </c>
    </row>
    <row r="3908" spans="1:10" x14ac:dyDescent="0.25">
      <c r="A3908" t="s">
        <v>16547</v>
      </c>
      <c r="B3908">
        <v>14.295999999999999</v>
      </c>
      <c r="C3908" t="s">
        <v>16548</v>
      </c>
      <c r="D3908" t="s">
        <v>654</v>
      </c>
      <c r="E3908" t="s">
        <v>16461</v>
      </c>
      <c r="F3908" t="s">
        <v>7672</v>
      </c>
      <c r="G3908" t="s">
        <v>16462</v>
      </c>
      <c r="H3908" t="s">
        <v>16463</v>
      </c>
      <c r="I3908" t="s">
        <v>16480</v>
      </c>
      <c r="J3908" t="s">
        <v>10908</v>
      </c>
    </row>
    <row r="3909" spans="1:10" x14ac:dyDescent="0.25">
      <c r="A3909" t="s">
        <v>16549</v>
      </c>
      <c r="B3909">
        <v>14.295999999999999</v>
      </c>
      <c r="C3909" t="s">
        <v>16550</v>
      </c>
      <c r="D3909" t="s">
        <v>5592</v>
      </c>
      <c r="E3909" t="s">
        <v>16461</v>
      </c>
      <c r="F3909" t="s">
        <v>7672</v>
      </c>
      <c r="G3909" t="s">
        <v>16462</v>
      </c>
      <c r="H3909" t="s">
        <v>16463</v>
      </c>
      <c r="I3909" t="s">
        <v>16467</v>
      </c>
      <c r="J3909" t="s">
        <v>10908</v>
      </c>
    </row>
    <row r="3910" spans="1:10" x14ac:dyDescent="0.25">
      <c r="A3910" t="s">
        <v>16551</v>
      </c>
      <c r="B3910">
        <v>14.295999999999999</v>
      </c>
      <c r="C3910" t="s">
        <v>16552</v>
      </c>
      <c r="D3910" t="s">
        <v>4270</v>
      </c>
      <c r="E3910" t="s">
        <v>16461</v>
      </c>
      <c r="F3910" t="s">
        <v>7672</v>
      </c>
      <c r="G3910" t="s">
        <v>16462</v>
      </c>
      <c r="H3910" t="s">
        <v>16463</v>
      </c>
      <c r="I3910" t="s">
        <v>8346</v>
      </c>
      <c r="J3910" t="s">
        <v>10908</v>
      </c>
    </row>
    <row r="3911" spans="1:10" x14ac:dyDescent="0.25">
      <c r="A3911" t="s">
        <v>16553</v>
      </c>
      <c r="B3911">
        <v>14.295999999999999</v>
      </c>
      <c r="C3911" t="s">
        <v>16554</v>
      </c>
      <c r="D3911" t="s">
        <v>2262</v>
      </c>
      <c r="E3911" t="s">
        <v>16461</v>
      </c>
      <c r="F3911" t="s">
        <v>7672</v>
      </c>
      <c r="G3911" t="s">
        <v>16462</v>
      </c>
      <c r="H3911" t="s">
        <v>16463</v>
      </c>
      <c r="I3911" t="s">
        <v>16483</v>
      </c>
      <c r="J3911" t="s">
        <v>10908</v>
      </c>
    </row>
    <row r="3912" spans="1:10" x14ac:dyDescent="0.25">
      <c r="A3912" t="s">
        <v>16555</v>
      </c>
      <c r="B3912">
        <v>14.295999999999999</v>
      </c>
      <c r="C3912" t="s">
        <v>16556</v>
      </c>
      <c r="D3912" t="s">
        <v>2078</v>
      </c>
      <c r="E3912" t="s">
        <v>16461</v>
      </c>
      <c r="F3912" t="s">
        <v>7672</v>
      </c>
      <c r="G3912" t="s">
        <v>16462</v>
      </c>
      <c r="H3912" t="s">
        <v>16463</v>
      </c>
      <c r="I3912" t="s">
        <v>16531</v>
      </c>
      <c r="J3912" t="s">
        <v>10908</v>
      </c>
    </row>
    <row r="3913" spans="1:10" x14ac:dyDescent="0.25">
      <c r="A3913" t="s">
        <v>16557</v>
      </c>
      <c r="B3913">
        <v>14.295999999999999</v>
      </c>
      <c r="C3913" t="s">
        <v>16558</v>
      </c>
      <c r="D3913" t="s">
        <v>3944</v>
      </c>
      <c r="E3913" t="s">
        <v>16461</v>
      </c>
      <c r="F3913" t="s">
        <v>7672</v>
      </c>
      <c r="G3913" t="s">
        <v>16462</v>
      </c>
      <c r="H3913" t="s">
        <v>16463</v>
      </c>
      <c r="I3913" t="s">
        <v>16534</v>
      </c>
      <c r="J3913" t="s">
        <v>10908</v>
      </c>
    </row>
    <row r="3914" spans="1:10" x14ac:dyDescent="0.25">
      <c r="A3914" t="s">
        <v>16559</v>
      </c>
      <c r="B3914">
        <v>14.295999999999999</v>
      </c>
      <c r="C3914" t="s">
        <v>16560</v>
      </c>
      <c r="D3914" t="s">
        <v>3604</v>
      </c>
      <c r="E3914" t="s">
        <v>16461</v>
      </c>
      <c r="F3914" t="s">
        <v>7672</v>
      </c>
      <c r="G3914" t="s">
        <v>16462</v>
      </c>
      <c r="H3914" t="s">
        <v>16463</v>
      </c>
      <c r="I3914" t="s">
        <v>16486</v>
      </c>
      <c r="J3914" t="s">
        <v>10908</v>
      </c>
    </row>
    <row r="3915" spans="1:10" x14ac:dyDescent="0.25">
      <c r="A3915" t="s">
        <v>16561</v>
      </c>
      <c r="B3915">
        <v>14.295999999999999</v>
      </c>
      <c r="C3915" t="s">
        <v>16562</v>
      </c>
      <c r="D3915" t="s">
        <v>3110</v>
      </c>
      <c r="E3915" t="s">
        <v>16461</v>
      </c>
      <c r="F3915" t="s">
        <v>7672</v>
      </c>
      <c r="G3915" t="s">
        <v>16462</v>
      </c>
      <c r="H3915" t="s">
        <v>16463</v>
      </c>
      <c r="I3915" t="s">
        <v>8346</v>
      </c>
      <c r="J3915" t="s">
        <v>10918</v>
      </c>
    </row>
    <row r="3916" spans="1:10" x14ac:dyDescent="0.25">
      <c r="A3916" t="s">
        <v>16563</v>
      </c>
      <c r="B3916">
        <v>14.295999999999999</v>
      </c>
      <c r="C3916" t="s">
        <v>16564</v>
      </c>
      <c r="D3916" t="s">
        <v>1965</v>
      </c>
      <c r="E3916" t="s">
        <v>16461</v>
      </c>
      <c r="F3916" t="s">
        <v>7672</v>
      </c>
      <c r="G3916" t="s">
        <v>16462</v>
      </c>
      <c r="H3916" t="s">
        <v>16463</v>
      </c>
      <c r="I3916" t="s">
        <v>16475</v>
      </c>
      <c r="J3916" t="s">
        <v>10918</v>
      </c>
    </row>
    <row r="3917" spans="1:10" x14ac:dyDescent="0.25">
      <c r="A3917" t="s">
        <v>16565</v>
      </c>
      <c r="B3917">
        <v>14.295999999999999</v>
      </c>
      <c r="C3917" t="s">
        <v>16566</v>
      </c>
      <c r="D3917" t="s">
        <v>3253</v>
      </c>
      <c r="E3917" t="s">
        <v>16461</v>
      </c>
      <c r="F3917" t="s">
        <v>7672</v>
      </c>
      <c r="G3917" t="s">
        <v>16462</v>
      </c>
      <c r="H3917" t="s">
        <v>16463</v>
      </c>
      <c r="I3917" t="s">
        <v>16464</v>
      </c>
      <c r="J3917" t="s">
        <v>10918</v>
      </c>
    </row>
    <row r="3918" spans="1:10" x14ac:dyDescent="0.25">
      <c r="A3918" t="s">
        <v>16567</v>
      </c>
      <c r="B3918">
        <v>14.295999999999999</v>
      </c>
      <c r="C3918" t="s">
        <v>16568</v>
      </c>
      <c r="D3918" t="s">
        <v>3153</v>
      </c>
      <c r="E3918" t="s">
        <v>16461</v>
      </c>
      <c r="F3918" t="s">
        <v>7672</v>
      </c>
      <c r="G3918" t="s">
        <v>16462</v>
      </c>
      <c r="H3918" t="s">
        <v>16463</v>
      </c>
      <c r="I3918" t="s">
        <v>16489</v>
      </c>
      <c r="J3918" t="s">
        <v>10918</v>
      </c>
    </row>
    <row r="3919" spans="1:10" x14ac:dyDescent="0.25">
      <c r="A3919" t="s">
        <v>16569</v>
      </c>
      <c r="B3919">
        <v>14.295999999999999</v>
      </c>
      <c r="C3919" t="s">
        <v>16570</v>
      </c>
      <c r="D3919" t="s">
        <v>8421</v>
      </c>
      <c r="E3919" t="s">
        <v>16461</v>
      </c>
      <c r="F3919" t="s">
        <v>7672</v>
      </c>
      <c r="G3919" t="s">
        <v>16462</v>
      </c>
      <c r="H3919" t="s">
        <v>16463</v>
      </c>
      <c r="I3919" t="s">
        <v>16470</v>
      </c>
      <c r="J3919" t="s">
        <v>10918</v>
      </c>
    </row>
    <row r="3920" spans="1:10" x14ac:dyDescent="0.25">
      <c r="A3920" t="s">
        <v>16571</v>
      </c>
      <c r="B3920">
        <v>14.295999999999999</v>
      </c>
      <c r="C3920" t="s">
        <v>16572</v>
      </c>
      <c r="D3920" t="s">
        <v>321</v>
      </c>
      <c r="E3920" t="s">
        <v>16461</v>
      </c>
      <c r="F3920" t="s">
        <v>7672</v>
      </c>
      <c r="G3920" t="s">
        <v>16462</v>
      </c>
      <c r="H3920" t="s">
        <v>16463</v>
      </c>
      <c r="I3920" t="s">
        <v>16467</v>
      </c>
      <c r="J3920" t="s">
        <v>10918</v>
      </c>
    </row>
    <row r="3921" spans="1:10" x14ac:dyDescent="0.25">
      <c r="A3921" t="s">
        <v>16573</v>
      </c>
      <c r="B3921">
        <v>14.295999999999999</v>
      </c>
      <c r="C3921" t="s">
        <v>16574</v>
      </c>
      <c r="D3921" t="s">
        <v>3815</v>
      </c>
      <c r="E3921" t="s">
        <v>16461</v>
      </c>
      <c r="F3921" t="s">
        <v>7672</v>
      </c>
      <c r="G3921" t="s">
        <v>16462</v>
      </c>
      <c r="H3921" t="s">
        <v>16463</v>
      </c>
      <c r="I3921" t="s">
        <v>61</v>
      </c>
      <c r="J3921" t="s">
        <v>10918</v>
      </c>
    </row>
    <row r="3922" spans="1:10" x14ac:dyDescent="0.25">
      <c r="A3922" t="s">
        <v>16575</v>
      </c>
      <c r="B3922">
        <v>14.295999999999999</v>
      </c>
      <c r="C3922" t="s">
        <v>16576</v>
      </c>
      <c r="D3922" t="s">
        <v>5145</v>
      </c>
      <c r="E3922" t="s">
        <v>16461</v>
      </c>
      <c r="F3922" t="s">
        <v>7672</v>
      </c>
      <c r="G3922" t="s">
        <v>16462</v>
      </c>
      <c r="H3922" t="s">
        <v>16463</v>
      </c>
      <c r="I3922" t="s">
        <v>16498</v>
      </c>
      <c r="J3922" t="s">
        <v>10918</v>
      </c>
    </row>
    <row r="3923" spans="1:10" x14ac:dyDescent="0.25">
      <c r="A3923" t="s">
        <v>16577</v>
      </c>
      <c r="B3923">
        <v>14.295999999999999</v>
      </c>
      <c r="C3923" t="s">
        <v>16578</v>
      </c>
      <c r="D3923" t="s">
        <v>2138</v>
      </c>
      <c r="E3923" t="s">
        <v>16461</v>
      </c>
      <c r="F3923" t="s">
        <v>7672</v>
      </c>
      <c r="G3923" t="s">
        <v>16462</v>
      </c>
      <c r="H3923" t="s">
        <v>16463</v>
      </c>
      <c r="I3923" t="s">
        <v>16480</v>
      </c>
      <c r="J3923" t="s">
        <v>10918</v>
      </c>
    </row>
    <row r="3924" spans="1:10" x14ac:dyDescent="0.25">
      <c r="A3924" t="s">
        <v>16579</v>
      </c>
      <c r="B3924">
        <v>14.295999999999999</v>
      </c>
      <c r="C3924" t="s">
        <v>16580</v>
      </c>
      <c r="D3924" t="s">
        <v>8786</v>
      </c>
      <c r="E3924" t="s">
        <v>16461</v>
      </c>
      <c r="F3924" t="s">
        <v>7672</v>
      </c>
      <c r="G3924" t="s">
        <v>16462</v>
      </c>
      <c r="H3924" t="s">
        <v>16463</v>
      </c>
      <c r="I3924" t="s">
        <v>16534</v>
      </c>
      <c r="J3924" t="s">
        <v>10918</v>
      </c>
    </row>
    <row r="3925" spans="1:10" x14ac:dyDescent="0.25">
      <c r="A3925" t="s">
        <v>16581</v>
      </c>
      <c r="B3925">
        <v>14.295999999999999</v>
      </c>
      <c r="C3925" t="s">
        <v>16582</v>
      </c>
      <c r="D3925" t="s">
        <v>2001</v>
      </c>
      <c r="E3925" t="s">
        <v>16461</v>
      </c>
      <c r="F3925" t="s">
        <v>7672</v>
      </c>
      <c r="G3925" t="s">
        <v>16462</v>
      </c>
      <c r="H3925" t="s">
        <v>16463</v>
      </c>
      <c r="I3925" t="s">
        <v>16486</v>
      </c>
      <c r="J3925" t="s">
        <v>10918</v>
      </c>
    </row>
    <row r="3926" spans="1:10" x14ac:dyDescent="0.25">
      <c r="A3926" t="s">
        <v>16583</v>
      </c>
      <c r="B3926">
        <v>14.295999999999999</v>
      </c>
      <c r="C3926" t="s">
        <v>16584</v>
      </c>
      <c r="D3926" t="s">
        <v>12639</v>
      </c>
      <c r="E3926" t="s">
        <v>16461</v>
      </c>
      <c r="F3926" t="s">
        <v>7672</v>
      </c>
      <c r="G3926" t="s">
        <v>16462</v>
      </c>
      <c r="H3926" t="s">
        <v>16463</v>
      </c>
      <c r="I3926" t="s">
        <v>16531</v>
      </c>
      <c r="J3926" t="s">
        <v>10918</v>
      </c>
    </row>
    <row r="3927" spans="1:10" x14ac:dyDescent="0.25">
      <c r="A3927" t="s">
        <v>16585</v>
      </c>
      <c r="B3927">
        <v>14.295999999999999</v>
      </c>
      <c r="C3927" t="s">
        <v>16586</v>
      </c>
      <c r="D3927" t="s">
        <v>4322</v>
      </c>
      <c r="E3927" t="s">
        <v>16461</v>
      </c>
      <c r="F3927" t="s">
        <v>7672</v>
      </c>
      <c r="G3927" t="s">
        <v>16462</v>
      </c>
      <c r="H3927" t="s">
        <v>16463</v>
      </c>
      <c r="I3927" t="s">
        <v>16483</v>
      </c>
      <c r="J3927" t="s">
        <v>10918</v>
      </c>
    </row>
    <row r="3928" spans="1:10" x14ac:dyDescent="0.25">
      <c r="A3928" t="s">
        <v>16587</v>
      </c>
      <c r="B3928">
        <v>14.295999999999999</v>
      </c>
      <c r="C3928" t="s">
        <v>16588</v>
      </c>
      <c r="D3928" t="s">
        <v>46</v>
      </c>
      <c r="E3928" t="s">
        <v>16461</v>
      </c>
      <c r="F3928" t="s">
        <v>7672</v>
      </c>
      <c r="G3928" t="s">
        <v>16462</v>
      </c>
      <c r="H3928" t="s">
        <v>16463</v>
      </c>
      <c r="I3928" t="s">
        <v>16475</v>
      </c>
      <c r="J3928" t="s">
        <v>10926</v>
      </c>
    </row>
    <row r="3929" spans="1:10" x14ac:dyDescent="0.25">
      <c r="A3929" t="s">
        <v>16589</v>
      </c>
      <c r="B3929">
        <v>14.295999999999999</v>
      </c>
      <c r="C3929" t="s">
        <v>16590</v>
      </c>
      <c r="D3929" t="s">
        <v>316</v>
      </c>
      <c r="E3929" t="s">
        <v>16461</v>
      </c>
      <c r="F3929" t="s">
        <v>7672</v>
      </c>
      <c r="G3929" t="s">
        <v>16462</v>
      </c>
      <c r="H3929" t="s">
        <v>16463</v>
      </c>
      <c r="I3929" t="s">
        <v>16498</v>
      </c>
      <c r="J3929" t="s">
        <v>10926</v>
      </c>
    </row>
    <row r="3930" spans="1:10" x14ac:dyDescent="0.25">
      <c r="A3930" t="s">
        <v>16591</v>
      </c>
      <c r="B3930">
        <v>14.295999999999999</v>
      </c>
      <c r="C3930" t="s">
        <v>16592</v>
      </c>
      <c r="D3930" t="s">
        <v>6379</v>
      </c>
      <c r="E3930" t="s">
        <v>16461</v>
      </c>
      <c r="F3930" t="s">
        <v>7672</v>
      </c>
      <c r="G3930" t="s">
        <v>16462</v>
      </c>
      <c r="H3930" t="s">
        <v>16463</v>
      </c>
      <c r="I3930" t="s">
        <v>61</v>
      </c>
      <c r="J3930" t="s">
        <v>10926</v>
      </c>
    </row>
    <row r="3931" spans="1:10" x14ac:dyDescent="0.25">
      <c r="A3931" t="s">
        <v>16593</v>
      </c>
      <c r="B3931">
        <v>14.295999999999999</v>
      </c>
      <c r="C3931" t="s">
        <v>16594</v>
      </c>
      <c r="D3931" t="s">
        <v>3023</v>
      </c>
      <c r="E3931" t="s">
        <v>16461</v>
      </c>
      <c r="F3931" t="s">
        <v>7672</v>
      </c>
      <c r="G3931" t="s">
        <v>16462</v>
      </c>
      <c r="H3931" t="s">
        <v>16463</v>
      </c>
      <c r="I3931" t="s">
        <v>16489</v>
      </c>
      <c r="J3931" t="s">
        <v>10926</v>
      </c>
    </row>
    <row r="3932" spans="1:10" x14ac:dyDescent="0.25">
      <c r="A3932" t="s">
        <v>16595</v>
      </c>
      <c r="B3932">
        <v>14.295999999999999</v>
      </c>
      <c r="C3932" t="s">
        <v>16596</v>
      </c>
      <c r="D3932" t="s">
        <v>2198</v>
      </c>
      <c r="E3932" t="s">
        <v>16461</v>
      </c>
      <c r="F3932" t="s">
        <v>7672</v>
      </c>
      <c r="G3932" t="s">
        <v>16462</v>
      </c>
      <c r="H3932" t="s">
        <v>16463</v>
      </c>
      <c r="I3932" t="s">
        <v>16464</v>
      </c>
      <c r="J3932" t="s">
        <v>10926</v>
      </c>
    </row>
    <row r="3933" spans="1:10" x14ac:dyDescent="0.25">
      <c r="A3933" t="s">
        <v>16597</v>
      </c>
      <c r="B3933">
        <v>14.295999999999999</v>
      </c>
      <c r="C3933" t="s">
        <v>16598</v>
      </c>
      <c r="D3933" t="s">
        <v>1805</v>
      </c>
      <c r="E3933" t="s">
        <v>16461</v>
      </c>
      <c r="F3933" t="s">
        <v>7672</v>
      </c>
      <c r="G3933" t="s">
        <v>16462</v>
      </c>
      <c r="H3933" t="s">
        <v>16463</v>
      </c>
      <c r="I3933" t="s">
        <v>16470</v>
      </c>
      <c r="J3933" t="s">
        <v>10926</v>
      </c>
    </row>
    <row r="3934" spans="1:10" x14ac:dyDescent="0.25">
      <c r="A3934" t="s">
        <v>16599</v>
      </c>
      <c r="B3934">
        <v>14.295999999999999</v>
      </c>
      <c r="C3934" t="s">
        <v>16600</v>
      </c>
      <c r="D3934" t="s">
        <v>926</v>
      </c>
      <c r="E3934" t="s">
        <v>16461</v>
      </c>
      <c r="F3934" t="s">
        <v>7672</v>
      </c>
      <c r="G3934" t="s">
        <v>16462</v>
      </c>
      <c r="H3934" t="s">
        <v>16463</v>
      </c>
      <c r="I3934" t="s">
        <v>8346</v>
      </c>
      <c r="J3934" t="s">
        <v>10926</v>
      </c>
    </row>
    <row r="3935" spans="1:10" x14ac:dyDescent="0.25">
      <c r="A3935" t="s">
        <v>16601</v>
      </c>
      <c r="B3935">
        <v>14.295999999999999</v>
      </c>
      <c r="C3935" t="s">
        <v>16602</v>
      </c>
      <c r="D3935" t="s">
        <v>40</v>
      </c>
      <c r="E3935" t="s">
        <v>16461</v>
      </c>
      <c r="F3935" t="s">
        <v>7672</v>
      </c>
      <c r="G3935" t="s">
        <v>16462</v>
      </c>
      <c r="H3935" t="s">
        <v>16463</v>
      </c>
      <c r="I3935" t="s">
        <v>16467</v>
      </c>
      <c r="J3935" t="s">
        <v>10926</v>
      </c>
    </row>
    <row r="3936" spans="1:10" x14ac:dyDescent="0.25">
      <c r="A3936" t="s">
        <v>16603</v>
      </c>
      <c r="B3936">
        <v>14.295999999999999</v>
      </c>
      <c r="C3936" t="s">
        <v>16604</v>
      </c>
      <c r="D3936" t="s">
        <v>16605</v>
      </c>
      <c r="E3936" t="s">
        <v>16461</v>
      </c>
      <c r="F3936" t="s">
        <v>7672</v>
      </c>
      <c r="G3936" t="s">
        <v>16462</v>
      </c>
      <c r="H3936" t="s">
        <v>16463</v>
      </c>
      <c r="I3936" t="s">
        <v>16480</v>
      </c>
      <c r="J3936" t="s">
        <v>10926</v>
      </c>
    </row>
    <row r="3937" spans="1:10" x14ac:dyDescent="0.25">
      <c r="A3937" t="s">
        <v>16606</v>
      </c>
      <c r="B3937">
        <v>14.295999999999999</v>
      </c>
      <c r="C3937" t="s">
        <v>16607</v>
      </c>
      <c r="D3937" t="s">
        <v>3023</v>
      </c>
      <c r="E3937" t="s">
        <v>16461</v>
      </c>
      <c r="F3937" t="s">
        <v>7672</v>
      </c>
      <c r="G3937" t="s">
        <v>16462</v>
      </c>
      <c r="H3937" t="s">
        <v>16463</v>
      </c>
      <c r="I3937" t="s">
        <v>16534</v>
      </c>
      <c r="J3937" t="s">
        <v>10926</v>
      </c>
    </row>
    <row r="3938" spans="1:10" x14ac:dyDescent="0.25">
      <c r="A3938" t="s">
        <v>16608</v>
      </c>
      <c r="B3938">
        <v>14.295999999999999</v>
      </c>
      <c r="C3938" t="s">
        <v>16609</v>
      </c>
      <c r="D3938" t="s">
        <v>10432</v>
      </c>
      <c r="E3938" t="s">
        <v>16461</v>
      </c>
      <c r="F3938" t="s">
        <v>7672</v>
      </c>
      <c r="G3938" t="s">
        <v>16462</v>
      </c>
      <c r="H3938" t="s">
        <v>16463</v>
      </c>
      <c r="I3938" t="s">
        <v>16483</v>
      </c>
      <c r="J3938" t="s">
        <v>10926</v>
      </c>
    </row>
    <row r="3939" spans="1:10" x14ac:dyDescent="0.25">
      <c r="A3939" t="s">
        <v>16610</v>
      </c>
      <c r="B3939">
        <v>14.295999999999999</v>
      </c>
      <c r="C3939" t="s">
        <v>16611</v>
      </c>
      <c r="D3939" t="s">
        <v>8803</v>
      </c>
      <c r="E3939" t="s">
        <v>16461</v>
      </c>
      <c r="F3939" t="s">
        <v>7672</v>
      </c>
      <c r="G3939" t="s">
        <v>16462</v>
      </c>
      <c r="H3939" t="s">
        <v>16463</v>
      </c>
      <c r="I3939" t="s">
        <v>16531</v>
      </c>
      <c r="J3939" t="s">
        <v>10926</v>
      </c>
    </row>
    <row r="3940" spans="1:10" x14ac:dyDescent="0.25">
      <c r="A3940" t="s">
        <v>16612</v>
      </c>
      <c r="B3940">
        <v>14.295999999999999</v>
      </c>
      <c r="C3940" t="s">
        <v>16613</v>
      </c>
      <c r="D3940" t="s">
        <v>2138</v>
      </c>
      <c r="E3940" t="s">
        <v>16461</v>
      </c>
      <c r="F3940" t="s">
        <v>7672</v>
      </c>
      <c r="G3940" t="s">
        <v>16462</v>
      </c>
      <c r="H3940" t="s">
        <v>16463</v>
      </c>
      <c r="I3940" t="s">
        <v>16486</v>
      </c>
      <c r="J3940" t="s">
        <v>10926</v>
      </c>
    </row>
    <row r="3941" spans="1:10" x14ac:dyDescent="0.25">
      <c r="A3941" t="s">
        <v>16614</v>
      </c>
      <c r="B3941">
        <v>14.295999999999999</v>
      </c>
      <c r="C3941" t="s">
        <v>16615</v>
      </c>
      <c r="D3941" t="s">
        <v>144</v>
      </c>
      <c r="E3941" t="s">
        <v>16461</v>
      </c>
      <c r="F3941" t="s">
        <v>7672</v>
      </c>
      <c r="G3941" t="s">
        <v>16462</v>
      </c>
      <c r="H3941" t="s">
        <v>16463</v>
      </c>
      <c r="I3941" t="s">
        <v>16475</v>
      </c>
      <c r="J3941" t="s">
        <v>9061</v>
      </c>
    </row>
    <row r="3942" spans="1:10" x14ac:dyDescent="0.25">
      <c r="A3942" t="s">
        <v>16616</v>
      </c>
      <c r="B3942">
        <v>14.295999999999999</v>
      </c>
      <c r="C3942" t="s">
        <v>16617</v>
      </c>
      <c r="D3942" t="s">
        <v>786</v>
      </c>
      <c r="E3942" t="s">
        <v>16461</v>
      </c>
      <c r="F3942" t="s">
        <v>7672</v>
      </c>
      <c r="G3942" t="s">
        <v>16462</v>
      </c>
      <c r="H3942" t="s">
        <v>16463</v>
      </c>
      <c r="I3942" t="s">
        <v>16498</v>
      </c>
      <c r="J3942" t="s">
        <v>9061</v>
      </c>
    </row>
    <row r="3943" spans="1:10" x14ac:dyDescent="0.25">
      <c r="A3943" t="s">
        <v>16618</v>
      </c>
      <c r="B3943">
        <v>14.295999999999999</v>
      </c>
      <c r="C3943" t="s">
        <v>16619</v>
      </c>
      <c r="D3943" t="s">
        <v>659</v>
      </c>
      <c r="E3943" t="s">
        <v>16461</v>
      </c>
      <c r="F3943" t="s">
        <v>7672</v>
      </c>
      <c r="G3943" t="s">
        <v>16462</v>
      </c>
      <c r="H3943" t="s">
        <v>16463</v>
      </c>
      <c r="I3943" t="s">
        <v>8346</v>
      </c>
      <c r="J3943" t="s">
        <v>9061</v>
      </c>
    </row>
    <row r="3944" spans="1:10" x14ac:dyDescent="0.25">
      <c r="A3944" t="s">
        <v>16620</v>
      </c>
      <c r="B3944">
        <v>14.295999999999999</v>
      </c>
      <c r="C3944" t="s">
        <v>16621</v>
      </c>
      <c r="D3944" t="s">
        <v>10432</v>
      </c>
      <c r="E3944" t="s">
        <v>16461</v>
      </c>
      <c r="F3944" t="s">
        <v>7672</v>
      </c>
      <c r="G3944" t="s">
        <v>16462</v>
      </c>
      <c r="H3944" t="s">
        <v>16463</v>
      </c>
      <c r="I3944" t="s">
        <v>61</v>
      </c>
      <c r="J3944" t="s">
        <v>9061</v>
      </c>
    </row>
    <row r="3945" spans="1:10" x14ac:dyDescent="0.25">
      <c r="A3945" t="s">
        <v>16622</v>
      </c>
      <c r="B3945">
        <v>14.295999999999999</v>
      </c>
      <c r="C3945" t="s">
        <v>16623</v>
      </c>
      <c r="D3945" t="s">
        <v>926</v>
      </c>
      <c r="E3945" t="s">
        <v>16461</v>
      </c>
      <c r="F3945" t="s">
        <v>7672</v>
      </c>
      <c r="G3945" t="s">
        <v>16462</v>
      </c>
      <c r="H3945" t="s">
        <v>16463</v>
      </c>
      <c r="I3945" t="s">
        <v>16489</v>
      </c>
      <c r="J3945" t="s">
        <v>9061</v>
      </c>
    </row>
    <row r="3946" spans="1:10" x14ac:dyDescent="0.25">
      <c r="A3946" t="s">
        <v>16624</v>
      </c>
      <c r="B3946">
        <v>14.295999999999999</v>
      </c>
      <c r="C3946" t="s">
        <v>16625</v>
      </c>
      <c r="D3946" t="s">
        <v>1536</v>
      </c>
      <c r="E3946" t="s">
        <v>16461</v>
      </c>
      <c r="F3946" t="s">
        <v>7672</v>
      </c>
      <c r="G3946" t="s">
        <v>16462</v>
      </c>
      <c r="H3946" t="s">
        <v>16463</v>
      </c>
      <c r="I3946" t="s">
        <v>16464</v>
      </c>
      <c r="J3946" t="s">
        <v>9061</v>
      </c>
    </row>
    <row r="3947" spans="1:10" x14ac:dyDescent="0.25">
      <c r="A3947" t="s">
        <v>16626</v>
      </c>
      <c r="B3947">
        <v>14.295999999999999</v>
      </c>
      <c r="C3947" t="s">
        <v>16627</v>
      </c>
      <c r="D3947" t="s">
        <v>450</v>
      </c>
      <c r="E3947" t="s">
        <v>16461</v>
      </c>
      <c r="F3947" t="s">
        <v>7672</v>
      </c>
      <c r="G3947" t="s">
        <v>16462</v>
      </c>
      <c r="H3947" t="s">
        <v>16463</v>
      </c>
      <c r="I3947" t="s">
        <v>16467</v>
      </c>
      <c r="J3947" t="s">
        <v>9061</v>
      </c>
    </row>
    <row r="3948" spans="1:10" x14ac:dyDescent="0.25">
      <c r="A3948" t="s">
        <v>16628</v>
      </c>
      <c r="B3948">
        <v>14.295999999999999</v>
      </c>
      <c r="C3948" t="s">
        <v>16629</v>
      </c>
      <c r="D3948" t="s">
        <v>639</v>
      </c>
      <c r="E3948" t="s">
        <v>16461</v>
      </c>
      <c r="F3948" t="s">
        <v>7672</v>
      </c>
      <c r="G3948" t="s">
        <v>16462</v>
      </c>
      <c r="H3948" t="s">
        <v>16463</v>
      </c>
      <c r="I3948" t="s">
        <v>16480</v>
      </c>
      <c r="J3948" t="s">
        <v>9061</v>
      </c>
    </row>
    <row r="3949" spans="1:10" x14ac:dyDescent="0.25">
      <c r="A3949" t="s">
        <v>16630</v>
      </c>
      <c r="B3949">
        <v>14.295999999999999</v>
      </c>
      <c r="C3949" t="s">
        <v>16631</v>
      </c>
      <c r="D3949" t="s">
        <v>2322</v>
      </c>
      <c r="E3949" t="s">
        <v>16461</v>
      </c>
      <c r="F3949" t="s">
        <v>7672</v>
      </c>
      <c r="G3949" t="s">
        <v>16462</v>
      </c>
      <c r="H3949" t="s">
        <v>16463</v>
      </c>
      <c r="I3949" t="s">
        <v>16470</v>
      </c>
      <c r="J3949" t="s">
        <v>9061</v>
      </c>
    </row>
    <row r="3950" spans="1:10" x14ac:dyDescent="0.25">
      <c r="A3950" t="s">
        <v>16632</v>
      </c>
      <c r="B3950">
        <v>14.295999999999999</v>
      </c>
      <c r="C3950" t="s">
        <v>16633</v>
      </c>
      <c r="D3950" t="s">
        <v>639</v>
      </c>
      <c r="E3950" t="s">
        <v>16461</v>
      </c>
      <c r="F3950" t="s">
        <v>7672</v>
      </c>
      <c r="G3950" t="s">
        <v>16462</v>
      </c>
      <c r="H3950" t="s">
        <v>16463</v>
      </c>
      <c r="I3950" t="s">
        <v>16483</v>
      </c>
      <c r="J3950" t="s">
        <v>9061</v>
      </c>
    </row>
    <row r="3951" spans="1:10" x14ac:dyDescent="0.25">
      <c r="A3951" t="s">
        <v>16634</v>
      </c>
      <c r="B3951">
        <v>14.295999999999999</v>
      </c>
      <c r="C3951" t="s">
        <v>16635</v>
      </c>
      <c r="D3951" t="s">
        <v>5145</v>
      </c>
      <c r="E3951" t="s">
        <v>16461</v>
      </c>
      <c r="F3951" t="s">
        <v>7672</v>
      </c>
      <c r="G3951" t="s">
        <v>16462</v>
      </c>
      <c r="H3951" t="s">
        <v>16463</v>
      </c>
      <c r="I3951" t="s">
        <v>16486</v>
      </c>
      <c r="J3951" t="s">
        <v>9061</v>
      </c>
    </row>
    <row r="3952" spans="1:10" x14ac:dyDescent="0.25">
      <c r="A3952" t="s">
        <v>16636</v>
      </c>
      <c r="B3952">
        <v>14.295999999999999</v>
      </c>
      <c r="C3952" t="s">
        <v>16637</v>
      </c>
      <c r="D3952" t="s">
        <v>3110</v>
      </c>
      <c r="E3952" t="s">
        <v>16461</v>
      </c>
      <c r="F3952" t="s">
        <v>7672</v>
      </c>
      <c r="G3952" t="s">
        <v>16462</v>
      </c>
      <c r="H3952" t="s">
        <v>16463</v>
      </c>
      <c r="I3952" t="s">
        <v>16531</v>
      </c>
      <c r="J3952" t="s">
        <v>9061</v>
      </c>
    </row>
    <row r="3953" spans="1:10" x14ac:dyDescent="0.25">
      <c r="A3953" t="s">
        <v>16638</v>
      </c>
      <c r="B3953">
        <v>14.295999999999999</v>
      </c>
      <c r="C3953" t="s">
        <v>16639</v>
      </c>
      <c r="D3953" t="s">
        <v>3023</v>
      </c>
      <c r="E3953" t="s">
        <v>16461</v>
      </c>
      <c r="F3953" t="s">
        <v>7672</v>
      </c>
      <c r="G3953" t="s">
        <v>16462</v>
      </c>
      <c r="H3953" t="s">
        <v>16463</v>
      </c>
      <c r="I3953" t="s">
        <v>16534</v>
      </c>
      <c r="J3953" t="s">
        <v>9061</v>
      </c>
    </row>
    <row r="3954" spans="1:10" x14ac:dyDescent="0.25">
      <c r="A3954" t="s">
        <v>16640</v>
      </c>
      <c r="B3954">
        <v>17.696000000000002</v>
      </c>
      <c r="C3954" t="s">
        <v>16641</v>
      </c>
      <c r="D3954" t="s">
        <v>53</v>
      </c>
      <c r="E3954" t="s">
        <v>4024</v>
      </c>
      <c r="F3954" t="s">
        <v>7672</v>
      </c>
      <c r="G3954" t="s">
        <v>16642</v>
      </c>
      <c r="H3954" t="s">
        <v>10172</v>
      </c>
      <c r="I3954" t="s">
        <v>4027</v>
      </c>
      <c r="J3954" t="s">
        <v>10211</v>
      </c>
    </row>
    <row r="3955" spans="1:10" x14ac:dyDescent="0.25">
      <c r="A3955" t="s">
        <v>4021</v>
      </c>
      <c r="B3955">
        <v>17.696000000000002</v>
      </c>
      <c r="C3955" t="s">
        <v>4023</v>
      </c>
      <c r="D3955" t="s">
        <v>436</v>
      </c>
      <c r="E3955" t="s">
        <v>4024</v>
      </c>
      <c r="F3955" t="s">
        <v>7672</v>
      </c>
      <c r="G3955" t="s">
        <v>16642</v>
      </c>
      <c r="H3955" t="s">
        <v>10172</v>
      </c>
      <c r="I3955" t="s">
        <v>4027</v>
      </c>
      <c r="J3955" t="s">
        <v>10222</v>
      </c>
    </row>
    <row r="3956" spans="1:10" x14ac:dyDescent="0.25">
      <c r="A3956" t="s">
        <v>16643</v>
      </c>
      <c r="B3956">
        <v>17.696000000000002</v>
      </c>
      <c r="C3956" t="s">
        <v>16644</v>
      </c>
      <c r="D3956" t="s">
        <v>164</v>
      </c>
      <c r="E3956" t="s">
        <v>4024</v>
      </c>
      <c r="F3956" t="s">
        <v>7672</v>
      </c>
      <c r="G3956" t="s">
        <v>16642</v>
      </c>
      <c r="H3956" t="s">
        <v>10172</v>
      </c>
      <c r="I3956" t="s">
        <v>16645</v>
      </c>
      <c r="J3956" t="s">
        <v>10222</v>
      </c>
    </row>
    <row r="3957" spans="1:10" x14ac:dyDescent="0.25">
      <c r="A3957" t="s">
        <v>16646</v>
      </c>
      <c r="B3957">
        <v>17.696000000000002</v>
      </c>
      <c r="C3957" t="s">
        <v>16647</v>
      </c>
      <c r="D3957" t="s">
        <v>742</v>
      </c>
      <c r="E3957" t="s">
        <v>4024</v>
      </c>
      <c r="F3957" t="s">
        <v>7672</v>
      </c>
      <c r="G3957" t="s">
        <v>16642</v>
      </c>
      <c r="H3957" t="s">
        <v>10172</v>
      </c>
      <c r="I3957" t="s">
        <v>4027</v>
      </c>
      <c r="J3957" t="s">
        <v>10222</v>
      </c>
    </row>
    <row r="3958" spans="1:10" x14ac:dyDescent="0.25">
      <c r="A3958" t="s">
        <v>4028</v>
      </c>
      <c r="B3958">
        <v>17.696000000000002</v>
      </c>
      <c r="C3958" t="s">
        <v>4030</v>
      </c>
      <c r="D3958" t="s">
        <v>959</v>
      </c>
      <c r="E3958" t="s">
        <v>4024</v>
      </c>
      <c r="F3958" t="s">
        <v>7672</v>
      </c>
      <c r="G3958" t="s">
        <v>16642</v>
      </c>
      <c r="H3958" t="s">
        <v>10172</v>
      </c>
      <c r="I3958" t="s">
        <v>4027</v>
      </c>
      <c r="J3958" t="s">
        <v>10233</v>
      </c>
    </row>
    <row r="3959" spans="1:10" x14ac:dyDescent="0.25">
      <c r="A3959" t="s">
        <v>16648</v>
      </c>
      <c r="B3959">
        <v>17.696000000000002</v>
      </c>
      <c r="C3959" t="s">
        <v>16649</v>
      </c>
      <c r="D3959" t="s">
        <v>282</v>
      </c>
      <c r="E3959" t="s">
        <v>4024</v>
      </c>
      <c r="F3959" t="s">
        <v>7672</v>
      </c>
      <c r="G3959" t="s">
        <v>16642</v>
      </c>
      <c r="H3959" t="s">
        <v>10172</v>
      </c>
      <c r="I3959" t="s">
        <v>4027</v>
      </c>
      <c r="J3959" t="s">
        <v>10233</v>
      </c>
    </row>
    <row r="3960" spans="1:10" x14ac:dyDescent="0.25">
      <c r="A3960" t="s">
        <v>4032</v>
      </c>
      <c r="B3960">
        <v>17.696000000000002</v>
      </c>
      <c r="C3960" t="s">
        <v>4034</v>
      </c>
      <c r="D3960" t="s">
        <v>88</v>
      </c>
      <c r="E3960" t="s">
        <v>4024</v>
      </c>
      <c r="F3960" t="s">
        <v>7672</v>
      </c>
      <c r="G3960" t="s">
        <v>16642</v>
      </c>
      <c r="H3960" t="s">
        <v>10172</v>
      </c>
      <c r="I3960" t="s">
        <v>4027</v>
      </c>
      <c r="J3960" t="s">
        <v>10240</v>
      </c>
    </row>
    <row r="3961" spans="1:10" x14ac:dyDescent="0.25">
      <c r="A3961" t="s">
        <v>16650</v>
      </c>
      <c r="B3961">
        <v>17.696000000000002</v>
      </c>
      <c r="C3961" t="s">
        <v>16651</v>
      </c>
      <c r="D3961" t="s">
        <v>269</v>
      </c>
      <c r="E3961" t="s">
        <v>4024</v>
      </c>
      <c r="F3961" t="s">
        <v>7672</v>
      </c>
      <c r="G3961" t="s">
        <v>16642</v>
      </c>
      <c r="H3961" t="s">
        <v>10172</v>
      </c>
      <c r="I3961" t="s">
        <v>4027</v>
      </c>
      <c r="J3961" t="s">
        <v>10240</v>
      </c>
    </row>
    <row r="3962" spans="1:10" x14ac:dyDescent="0.25">
      <c r="A3962" t="s">
        <v>4036</v>
      </c>
      <c r="B3962">
        <v>17.696000000000002</v>
      </c>
      <c r="C3962" t="s">
        <v>4038</v>
      </c>
      <c r="D3962" t="s">
        <v>286</v>
      </c>
      <c r="E3962" t="s">
        <v>4024</v>
      </c>
      <c r="F3962" t="s">
        <v>7672</v>
      </c>
      <c r="G3962" t="s">
        <v>16642</v>
      </c>
      <c r="H3962" t="s">
        <v>10172</v>
      </c>
      <c r="I3962" t="s">
        <v>4027</v>
      </c>
      <c r="J3962" t="s">
        <v>10251</v>
      </c>
    </row>
    <row r="3963" spans="1:10" x14ac:dyDescent="0.25">
      <c r="A3963" t="s">
        <v>4040</v>
      </c>
      <c r="B3963">
        <v>17.696000000000002</v>
      </c>
      <c r="C3963" t="s">
        <v>4042</v>
      </c>
      <c r="D3963" t="s">
        <v>964</v>
      </c>
      <c r="E3963" t="s">
        <v>4024</v>
      </c>
      <c r="F3963" t="s">
        <v>7672</v>
      </c>
      <c r="G3963" t="s">
        <v>16642</v>
      </c>
      <c r="H3963" t="s">
        <v>10172</v>
      </c>
      <c r="I3963" t="s">
        <v>76</v>
      </c>
      <c r="J3963" t="s">
        <v>10251</v>
      </c>
    </row>
    <row r="3964" spans="1:10" x14ac:dyDescent="0.25">
      <c r="A3964" t="s">
        <v>16652</v>
      </c>
      <c r="B3964">
        <v>17.696000000000002</v>
      </c>
      <c r="C3964" t="s">
        <v>16653</v>
      </c>
      <c r="D3964" t="s">
        <v>100</v>
      </c>
      <c r="E3964" t="s">
        <v>4024</v>
      </c>
      <c r="F3964" t="s">
        <v>7672</v>
      </c>
      <c r="G3964" t="s">
        <v>16642</v>
      </c>
      <c r="H3964" t="s">
        <v>10172</v>
      </c>
      <c r="I3964" t="s">
        <v>16654</v>
      </c>
      <c r="J3964" t="s">
        <v>10251</v>
      </c>
    </row>
    <row r="3965" spans="1:10" x14ac:dyDescent="0.25">
      <c r="A3965" t="s">
        <v>16655</v>
      </c>
      <c r="B3965">
        <v>17.696000000000002</v>
      </c>
      <c r="C3965" t="s">
        <v>16656</v>
      </c>
      <c r="D3965" t="s">
        <v>290</v>
      </c>
      <c r="E3965" t="s">
        <v>4024</v>
      </c>
      <c r="F3965" t="s">
        <v>7672</v>
      </c>
      <c r="G3965" t="s">
        <v>16642</v>
      </c>
      <c r="H3965" t="s">
        <v>10172</v>
      </c>
      <c r="I3965" t="s">
        <v>16645</v>
      </c>
      <c r="J3965" t="s">
        <v>10251</v>
      </c>
    </row>
    <row r="3966" spans="1:10" x14ac:dyDescent="0.25">
      <c r="A3966" t="s">
        <v>16657</v>
      </c>
      <c r="B3966">
        <v>17.696000000000002</v>
      </c>
      <c r="C3966" t="s">
        <v>16658</v>
      </c>
      <c r="D3966" t="s">
        <v>282</v>
      </c>
      <c r="E3966" t="s">
        <v>4024</v>
      </c>
      <c r="F3966" t="s">
        <v>7672</v>
      </c>
      <c r="G3966" t="s">
        <v>16642</v>
      </c>
      <c r="H3966" t="s">
        <v>10172</v>
      </c>
      <c r="I3966" t="s">
        <v>76</v>
      </c>
      <c r="J3966" t="s">
        <v>10251</v>
      </c>
    </row>
    <row r="3967" spans="1:10" x14ac:dyDescent="0.25">
      <c r="A3967" t="s">
        <v>16659</v>
      </c>
      <c r="B3967">
        <v>17.696000000000002</v>
      </c>
      <c r="C3967" t="s">
        <v>16660</v>
      </c>
      <c r="D3967" t="s">
        <v>113</v>
      </c>
      <c r="E3967" t="s">
        <v>4024</v>
      </c>
      <c r="F3967" t="s">
        <v>7672</v>
      </c>
      <c r="G3967" t="s">
        <v>16642</v>
      </c>
      <c r="H3967" t="s">
        <v>10172</v>
      </c>
      <c r="I3967" t="s">
        <v>4027</v>
      </c>
      <c r="J3967" t="s">
        <v>10251</v>
      </c>
    </row>
    <row r="3968" spans="1:10" x14ac:dyDescent="0.25">
      <c r="A3968" t="s">
        <v>4046</v>
      </c>
      <c r="B3968">
        <v>17.696000000000002</v>
      </c>
      <c r="C3968" t="s">
        <v>4048</v>
      </c>
      <c r="D3968" t="s">
        <v>742</v>
      </c>
      <c r="E3968" t="s">
        <v>4024</v>
      </c>
      <c r="F3968" t="s">
        <v>7672</v>
      </c>
      <c r="G3968" t="s">
        <v>16642</v>
      </c>
      <c r="H3968" t="s">
        <v>10172</v>
      </c>
      <c r="I3968" t="s">
        <v>4027</v>
      </c>
      <c r="J3968" t="s">
        <v>10262</v>
      </c>
    </row>
    <row r="3969" spans="1:10" x14ac:dyDescent="0.25">
      <c r="A3969" t="s">
        <v>4050</v>
      </c>
      <c r="B3969">
        <v>17.696000000000002</v>
      </c>
      <c r="C3969" t="s">
        <v>4052</v>
      </c>
      <c r="D3969" t="s">
        <v>255</v>
      </c>
      <c r="E3969" t="s">
        <v>4024</v>
      </c>
      <c r="F3969" t="s">
        <v>7672</v>
      </c>
      <c r="G3969" t="s">
        <v>16642</v>
      </c>
      <c r="H3969" t="s">
        <v>10172</v>
      </c>
      <c r="I3969" t="s">
        <v>76</v>
      </c>
      <c r="J3969" t="s">
        <v>10262</v>
      </c>
    </row>
    <row r="3970" spans="1:10" x14ac:dyDescent="0.25">
      <c r="A3970" t="s">
        <v>16661</v>
      </c>
      <c r="B3970">
        <v>17.696000000000002</v>
      </c>
      <c r="C3970" t="s">
        <v>16662</v>
      </c>
      <c r="D3970" t="s">
        <v>277</v>
      </c>
      <c r="E3970" t="s">
        <v>4024</v>
      </c>
      <c r="F3970" t="s">
        <v>7672</v>
      </c>
      <c r="G3970" t="s">
        <v>16642</v>
      </c>
      <c r="H3970" t="s">
        <v>10172</v>
      </c>
      <c r="I3970" t="s">
        <v>4027</v>
      </c>
      <c r="J3970" t="s">
        <v>10262</v>
      </c>
    </row>
    <row r="3971" spans="1:10" x14ac:dyDescent="0.25">
      <c r="A3971" t="s">
        <v>16663</v>
      </c>
      <c r="B3971">
        <v>17.696000000000002</v>
      </c>
      <c r="C3971" t="s">
        <v>16664</v>
      </c>
      <c r="D3971" t="s">
        <v>436</v>
      </c>
      <c r="E3971" t="s">
        <v>4024</v>
      </c>
      <c r="F3971" t="s">
        <v>7672</v>
      </c>
      <c r="G3971" t="s">
        <v>16642</v>
      </c>
      <c r="H3971" t="s">
        <v>10172</v>
      </c>
      <c r="I3971" t="s">
        <v>76</v>
      </c>
      <c r="J3971" t="s">
        <v>10262</v>
      </c>
    </row>
    <row r="3972" spans="1:10" x14ac:dyDescent="0.25">
      <c r="A3972" t="s">
        <v>4054</v>
      </c>
      <c r="B3972">
        <v>17.696000000000002</v>
      </c>
      <c r="C3972" t="s">
        <v>4056</v>
      </c>
      <c r="D3972" t="s">
        <v>282</v>
      </c>
      <c r="E3972" t="s">
        <v>4024</v>
      </c>
      <c r="F3972" t="s">
        <v>7672</v>
      </c>
      <c r="G3972" t="s">
        <v>16642</v>
      </c>
      <c r="H3972" t="s">
        <v>10172</v>
      </c>
      <c r="I3972" t="s">
        <v>4027</v>
      </c>
      <c r="J3972" t="s">
        <v>8658</v>
      </c>
    </row>
    <row r="3973" spans="1:10" x14ac:dyDescent="0.25">
      <c r="A3973" t="s">
        <v>16665</v>
      </c>
      <c r="B3973">
        <v>17.696000000000002</v>
      </c>
      <c r="C3973" t="s">
        <v>16666</v>
      </c>
      <c r="D3973" t="s">
        <v>88</v>
      </c>
      <c r="E3973" t="s">
        <v>4024</v>
      </c>
      <c r="F3973" t="s">
        <v>7672</v>
      </c>
      <c r="G3973" t="s">
        <v>16642</v>
      </c>
      <c r="H3973" t="s">
        <v>10172</v>
      </c>
      <c r="I3973" t="s">
        <v>16645</v>
      </c>
      <c r="J3973" t="s">
        <v>8658</v>
      </c>
    </row>
    <row r="3974" spans="1:10" x14ac:dyDescent="0.25">
      <c r="A3974" t="s">
        <v>16667</v>
      </c>
      <c r="B3974">
        <v>17.696000000000002</v>
      </c>
      <c r="C3974" t="s">
        <v>16668</v>
      </c>
      <c r="D3974" t="s">
        <v>60</v>
      </c>
      <c r="E3974" t="s">
        <v>4024</v>
      </c>
      <c r="F3974" t="s">
        <v>7672</v>
      </c>
      <c r="G3974" t="s">
        <v>16642</v>
      </c>
      <c r="H3974" t="s">
        <v>10172</v>
      </c>
      <c r="I3974" t="s">
        <v>76</v>
      </c>
      <c r="J3974" t="s">
        <v>8658</v>
      </c>
    </row>
    <row r="3975" spans="1:10" x14ac:dyDescent="0.25">
      <c r="A3975" t="s">
        <v>16669</v>
      </c>
      <c r="B3975">
        <v>17.696000000000002</v>
      </c>
      <c r="C3975" t="s">
        <v>16670</v>
      </c>
      <c r="D3975" t="s">
        <v>436</v>
      </c>
      <c r="E3975" t="s">
        <v>4024</v>
      </c>
      <c r="F3975" t="s">
        <v>7672</v>
      </c>
      <c r="G3975" t="s">
        <v>16642</v>
      </c>
      <c r="H3975" t="s">
        <v>10172</v>
      </c>
      <c r="I3975" t="s">
        <v>4027</v>
      </c>
      <c r="J3975" t="s">
        <v>8658</v>
      </c>
    </row>
    <row r="3976" spans="1:10" x14ac:dyDescent="0.25">
      <c r="A3976" t="s">
        <v>4058</v>
      </c>
      <c r="B3976">
        <v>17.696000000000002</v>
      </c>
      <c r="C3976" t="s">
        <v>4060</v>
      </c>
      <c r="D3976" t="s">
        <v>164</v>
      </c>
      <c r="E3976" t="s">
        <v>4024</v>
      </c>
      <c r="F3976" t="s">
        <v>7672</v>
      </c>
      <c r="G3976" t="s">
        <v>16642</v>
      </c>
      <c r="H3976" t="s">
        <v>10172</v>
      </c>
      <c r="I3976" t="s">
        <v>76</v>
      </c>
      <c r="J3976" t="s">
        <v>10283</v>
      </c>
    </row>
    <row r="3977" spans="1:10" x14ac:dyDescent="0.25">
      <c r="A3977" t="s">
        <v>4062</v>
      </c>
      <c r="B3977">
        <v>17.696000000000002</v>
      </c>
      <c r="C3977" t="s">
        <v>4064</v>
      </c>
      <c r="D3977" t="s">
        <v>742</v>
      </c>
      <c r="E3977" t="s">
        <v>4024</v>
      </c>
      <c r="F3977" t="s">
        <v>7672</v>
      </c>
      <c r="G3977" t="s">
        <v>16642</v>
      </c>
      <c r="H3977" t="s">
        <v>10172</v>
      </c>
      <c r="I3977" t="s">
        <v>4027</v>
      </c>
      <c r="J3977" t="s">
        <v>10283</v>
      </c>
    </row>
    <row r="3978" spans="1:10" x14ac:dyDescent="0.25">
      <c r="A3978" t="s">
        <v>16671</v>
      </c>
      <c r="B3978">
        <v>17.696000000000002</v>
      </c>
      <c r="C3978" t="s">
        <v>16672</v>
      </c>
      <c r="D3978" t="s">
        <v>2697</v>
      </c>
      <c r="E3978" t="s">
        <v>4024</v>
      </c>
      <c r="F3978" t="s">
        <v>7672</v>
      </c>
      <c r="G3978" t="s">
        <v>16642</v>
      </c>
      <c r="H3978" t="s">
        <v>10172</v>
      </c>
      <c r="I3978" t="s">
        <v>16654</v>
      </c>
      <c r="J3978" t="s">
        <v>10283</v>
      </c>
    </row>
    <row r="3979" spans="1:10" x14ac:dyDescent="0.25">
      <c r="A3979" t="s">
        <v>16673</v>
      </c>
      <c r="B3979">
        <v>17.696000000000002</v>
      </c>
      <c r="C3979" t="s">
        <v>16674</v>
      </c>
      <c r="D3979" t="s">
        <v>436</v>
      </c>
      <c r="E3979" t="s">
        <v>4024</v>
      </c>
      <c r="F3979" t="s">
        <v>7672</v>
      </c>
      <c r="G3979" t="s">
        <v>16642</v>
      </c>
      <c r="H3979" t="s">
        <v>10172</v>
      </c>
      <c r="I3979" t="s">
        <v>16645</v>
      </c>
      <c r="J3979" t="s">
        <v>10283</v>
      </c>
    </row>
    <row r="3980" spans="1:10" x14ac:dyDescent="0.25">
      <c r="A3980" t="s">
        <v>16675</v>
      </c>
      <c r="B3980">
        <v>17.696000000000002</v>
      </c>
      <c r="C3980" t="s">
        <v>16676</v>
      </c>
      <c r="D3980" t="s">
        <v>131</v>
      </c>
      <c r="E3980" t="s">
        <v>4024</v>
      </c>
      <c r="F3980" t="s">
        <v>7672</v>
      </c>
      <c r="G3980" t="s">
        <v>16642</v>
      </c>
      <c r="H3980" t="s">
        <v>10172</v>
      </c>
      <c r="I3980" t="s">
        <v>76</v>
      </c>
      <c r="J3980" t="s">
        <v>10283</v>
      </c>
    </row>
    <row r="3981" spans="1:10" x14ac:dyDescent="0.25">
      <c r="A3981" t="s">
        <v>16677</v>
      </c>
      <c r="B3981">
        <v>17.696000000000002</v>
      </c>
      <c r="C3981" t="s">
        <v>16678</v>
      </c>
      <c r="D3981" t="s">
        <v>385</v>
      </c>
      <c r="E3981" t="s">
        <v>4024</v>
      </c>
      <c r="F3981" t="s">
        <v>7672</v>
      </c>
      <c r="G3981" t="s">
        <v>16642</v>
      </c>
      <c r="H3981" t="s">
        <v>10172</v>
      </c>
      <c r="I3981" t="s">
        <v>4027</v>
      </c>
      <c r="J3981" t="s">
        <v>10283</v>
      </c>
    </row>
    <row r="3982" spans="1:10" x14ac:dyDescent="0.25">
      <c r="A3982" t="s">
        <v>4066</v>
      </c>
      <c r="B3982">
        <v>17.696000000000002</v>
      </c>
      <c r="C3982" t="s">
        <v>4068</v>
      </c>
      <c r="D3982" t="s">
        <v>269</v>
      </c>
      <c r="E3982" t="s">
        <v>4024</v>
      </c>
      <c r="F3982" t="s">
        <v>7672</v>
      </c>
      <c r="G3982" t="s">
        <v>16642</v>
      </c>
      <c r="H3982" t="s">
        <v>10172</v>
      </c>
      <c r="I3982" t="s">
        <v>4027</v>
      </c>
      <c r="J3982" t="s">
        <v>15312</v>
      </c>
    </row>
    <row r="3983" spans="1:10" x14ac:dyDescent="0.25">
      <c r="A3983" t="s">
        <v>4070</v>
      </c>
      <c r="B3983">
        <v>17.696000000000002</v>
      </c>
      <c r="C3983" t="s">
        <v>4072</v>
      </c>
      <c r="D3983" t="s">
        <v>100</v>
      </c>
      <c r="E3983" t="s">
        <v>4024</v>
      </c>
      <c r="F3983" t="s">
        <v>7672</v>
      </c>
      <c r="G3983" t="s">
        <v>16642</v>
      </c>
      <c r="H3983" t="s">
        <v>10172</v>
      </c>
      <c r="I3983" t="s">
        <v>4027</v>
      </c>
      <c r="J3983" t="s">
        <v>16679</v>
      </c>
    </row>
    <row r="3984" spans="1:10" x14ac:dyDescent="0.25">
      <c r="A3984" t="s">
        <v>4074</v>
      </c>
      <c r="B3984">
        <v>17.696000000000002</v>
      </c>
      <c r="C3984" t="s">
        <v>4076</v>
      </c>
      <c r="D3984" t="s">
        <v>131</v>
      </c>
      <c r="E3984" t="s">
        <v>4024</v>
      </c>
      <c r="F3984" t="s">
        <v>7672</v>
      </c>
      <c r="G3984" t="s">
        <v>16642</v>
      </c>
      <c r="H3984" t="s">
        <v>10172</v>
      </c>
      <c r="I3984" t="s">
        <v>4027</v>
      </c>
      <c r="J3984" t="s">
        <v>16680</v>
      </c>
    </row>
    <row r="3985" spans="1:10" x14ac:dyDescent="0.25">
      <c r="A3985" t="s">
        <v>16681</v>
      </c>
      <c r="B3985">
        <v>17.696000000000002</v>
      </c>
      <c r="C3985" t="s">
        <v>16682</v>
      </c>
      <c r="D3985" t="s">
        <v>88</v>
      </c>
      <c r="E3985" t="s">
        <v>4024</v>
      </c>
      <c r="F3985" t="s">
        <v>7672</v>
      </c>
      <c r="G3985" t="s">
        <v>16642</v>
      </c>
      <c r="H3985" t="s">
        <v>10172</v>
      </c>
      <c r="I3985" t="s">
        <v>16645</v>
      </c>
      <c r="J3985" t="s">
        <v>16683</v>
      </c>
    </row>
    <row r="3986" spans="1:10" x14ac:dyDescent="0.25">
      <c r="A3986" t="s">
        <v>4078</v>
      </c>
      <c r="B3986">
        <v>17.696000000000002</v>
      </c>
      <c r="C3986" t="s">
        <v>4080</v>
      </c>
      <c r="D3986" t="s">
        <v>106</v>
      </c>
      <c r="E3986" t="s">
        <v>4024</v>
      </c>
      <c r="F3986" t="s">
        <v>7672</v>
      </c>
      <c r="G3986" t="s">
        <v>16642</v>
      </c>
      <c r="H3986" t="s">
        <v>10172</v>
      </c>
      <c r="I3986" t="s">
        <v>4027</v>
      </c>
      <c r="J3986" t="s">
        <v>10292</v>
      </c>
    </row>
    <row r="3987" spans="1:10" x14ac:dyDescent="0.25">
      <c r="A3987" t="s">
        <v>4082</v>
      </c>
      <c r="B3987">
        <v>17.696000000000002</v>
      </c>
      <c r="C3987" t="s">
        <v>4084</v>
      </c>
      <c r="D3987" t="s">
        <v>60</v>
      </c>
      <c r="E3987" t="s">
        <v>4024</v>
      </c>
      <c r="F3987" t="s">
        <v>7672</v>
      </c>
      <c r="G3987" t="s">
        <v>16642</v>
      </c>
      <c r="H3987" t="s">
        <v>10172</v>
      </c>
      <c r="I3987" t="s">
        <v>4027</v>
      </c>
      <c r="J3987" t="s">
        <v>12688</v>
      </c>
    </row>
    <row r="3988" spans="1:10" x14ac:dyDescent="0.25">
      <c r="A3988" t="s">
        <v>16684</v>
      </c>
      <c r="B3988">
        <v>5.4</v>
      </c>
      <c r="C3988" t="s">
        <v>16685</v>
      </c>
      <c r="D3988" t="s">
        <v>16686</v>
      </c>
      <c r="E3988" t="s">
        <v>16687</v>
      </c>
      <c r="F3988" t="s">
        <v>7672</v>
      </c>
      <c r="G3988" t="s">
        <v>16688</v>
      </c>
      <c r="H3988" t="s">
        <v>8673</v>
      </c>
      <c r="I3988" t="s">
        <v>13965</v>
      </c>
      <c r="J3988" t="s">
        <v>15981</v>
      </c>
    </row>
    <row r="3989" spans="1:10" x14ac:dyDescent="0.25">
      <c r="A3989" t="s">
        <v>16689</v>
      </c>
      <c r="B3989">
        <v>5.4</v>
      </c>
      <c r="C3989" t="s">
        <v>16690</v>
      </c>
      <c r="D3989" t="s">
        <v>7699</v>
      </c>
      <c r="E3989" t="s">
        <v>16687</v>
      </c>
      <c r="F3989" t="s">
        <v>7672</v>
      </c>
      <c r="G3989" t="s">
        <v>16688</v>
      </c>
      <c r="H3989" t="s">
        <v>8673</v>
      </c>
      <c r="I3989" t="s">
        <v>16691</v>
      </c>
      <c r="J3989" t="s">
        <v>15981</v>
      </c>
    </row>
    <row r="3990" spans="1:10" x14ac:dyDescent="0.25">
      <c r="A3990" t="s">
        <v>16692</v>
      </c>
      <c r="B3990">
        <v>5.4</v>
      </c>
      <c r="C3990" t="s">
        <v>16693</v>
      </c>
      <c r="D3990" t="s">
        <v>1864</v>
      </c>
      <c r="E3990" t="s">
        <v>16687</v>
      </c>
      <c r="F3990" t="s">
        <v>7672</v>
      </c>
      <c r="G3990" t="s">
        <v>16688</v>
      </c>
      <c r="H3990" t="s">
        <v>8673</v>
      </c>
      <c r="I3990" t="s">
        <v>10387</v>
      </c>
      <c r="J3990" t="s">
        <v>15981</v>
      </c>
    </row>
    <row r="3991" spans="1:10" x14ac:dyDescent="0.25">
      <c r="A3991" t="s">
        <v>16694</v>
      </c>
      <c r="B3991">
        <v>5.4</v>
      </c>
      <c r="C3991" t="s">
        <v>16695</v>
      </c>
      <c r="D3991" t="s">
        <v>1949</v>
      </c>
      <c r="E3991" t="s">
        <v>16687</v>
      </c>
      <c r="F3991" t="s">
        <v>7672</v>
      </c>
      <c r="G3991" t="s">
        <v>16688</v>
      </c>
      <c r="H3991" t="s">
        <v>8673</v>
      </c>
      <c r="I3991" t="s">
        <v>8158</v>
      </c>
      <c r="J3991" t="s">
        <v>15981</v>
      </c>
    </row>
    <row r="3992" spans="1:10" x14ac:dyDescent="0.25">
      <c r="A3992" t="s">
        <v>16696</v>
      </c>
      <c r="B3992">
        <v>5.4</v>
      </c>
      <c r="C3992" t="s">
        <v>16697</v>
      </c>
      <c r="D3992" t="s">
        <v>639</v>
      </c>
      <c r="E3992" t="s">
        <v>16687</v>
      </c>
      <c r="F3992" t="s">
        <v>7672</v>
      </c>
      <c r="G3992" t="s">
        <v>16688</v>
      </c>
      <c r="H3992" t="s">
        <v>8673</v>
      </c>
      <c r="I3992" t="s">
        <v>11067</v>
      </c>
      <c r="J3992" t="s">
        <v>15981</v>
      </c>
    </row>
    <row r="3993" spans="1:10" x14ac:dyDescent="0.25">
      <c r="A3993" t="s">
        <v>16698</v>
      </c>
      <c r="B3993">
        <v>5.4</v>
      </c>
      <c r="C3993" t="s">
        <v>16699</v>
      </c>
      <c r="D3993" t="s">
        <v>781</v>
      </c>
      <c r="E3993" t="s">
        <v>16687</v>
      </c>
      <c r="F3993" t="s">
        <v>7672</v>
      </c>
      <c r="G3993" t="s">
        <v>16688</v>
      </c>
      <c r="H3993" t="s">
        <v>8673</v>
      </c>
      <c r="I3993" t="s">
        <v>8911</v>
      </c>
      <c r="J3993" t="s">
        <v>15981</v>
      </c>
    </row>
    <row r="3994" spans="1:10" x14ac:dyDescent="0.25">
      <c r="A3994" t="s">
        <v>16700</v>
      </c>
      <c r="B3994">
        <v>5.4</v>
      </c>
      <c r="C3994" t="s">
        <v>16701</v>
      </c>
      <c r="D3994" t="s">
        <v>16702</v>
      </c>
      <c r="E3994" t="s">
        <v>16687</v>
      </c>
      <c r="F3994" t="s">
        <v>7672</v>
      </c>
      <c r="G3994" t="s">
        <v>16688</v>
      </c>
      <c r="H3994" t="s">
        <v>8673</v>
      </c>
      <c r="I3994" t="s">
        <v>1490</v>
      </c>
      <c r="J3994" t="s">
        <v>15981</v>
      </c>
    </row>
    <row r="3995" spans="1:10" x14ac:dyDescent="0.25">
      <c r="A3995" t="s">
        <v>16703</v>
      </c>
      <c r="B3995">
        <v>5.4</v>
      </c>
      <c r="C3995" t="s">
        <v>16704</v>
      </c>
      <c r="D3995" t="s">
        <v>8715</v>
      </c>
      <c r="E3995" t="s">
        <v>16687</v>
      </c>
      <c r="F3995" t="s">
        <v>7672</v>
      </c>
      <c r="G3995" t="s">
        <v>16688</v>
      </c>
      <c r="H3995" t="s">
        <v>8673</v>
      </c>
      <c r="I3995" t="s">
        <v>1675</v>
      </c>
      <c r="J3995" t="s">
        <v>15981</v>
      </c>
    </row>
    <row r="3996" spans="1:10" x14ac:dyDescent="0.25">
      <c r="A3996" t="s">
        <v>16705</v>
      </c>
      <c r="B3996">
        <v>5.4</v>
      </c>
      <c r="C3996" t="s">
        <v>16706</v>
      </c>
      <c r="D3996" t="s">
        <v>1254</v>
      </c>
      <c r="E3996" t="s">
        <v>16687</v>
      </c>
      <c r="F3996" t="s">
        <v>7672</v>
      </c>
      <c r="G3996" t="s">
        <v>16688</v>
      </c>
      <c r="H3996" t="s">
        <v>8673</v>
      </c>
      <c r="I3996" t="s">
        <v>13965</v>
      </c>
      <c r="J3996" t="s">
        <v>7675</v>
      </c>
    </row>
    <row r="3997" spans="1:10" x14ac:dyDescent="0.25">
      <c r="A3997" t="s">
        <v>16707</v>
      </c>
      <c r="B3997">
        <v>12.592000000000001</v>
      </c>
      <c r="C3997" t="s">
        <v>16708</v>
      </c>
      <c r="D3997" t="s">
        <v>164</v>
      </c>
      <c r="E3997" t="s">
        <v>16709</v>
      </c>
      <c r="F3997" t="s">
        <v>7672</v>
      </c>
      <c r="G3997" t="s">
        <v>16710</v>
      </c>
      <c r="H3997" t="s">
        <v>11598</v>
      </c>
      <c r="I3997" t="s">
        <v>12210</v>
      </c>
      <c r="J3997" t="s">
        <v>7987</v>
      </c>
    </row>
    <row r="3998" spans="1:10" x14ac:dyDescent="0.25">
      <c r="A3998" t="s">
        <v>16711</v>
      </c>
      <c r="B3998">
        <v>12.592000000000001</v>
      </c>
      <c r="C3998" t="s">
        <v>16712</v>
      </c>
      <c r="D3998" t="s">
        <v>124</v>
      </c>
      <c r="E3998" t="s">
        <v>16709</v>
      </c>
      <c r="F3998" t="s">
        <v>7672</v>
      </c>
      <c r="G3998" t="s">
        <v>16710</v>
      </c>
      <c r="H3998" t="s">
        <v>11598</v>
      </c>
      <c r="I3998" t="s">
        <v>12210</v>
      </c>
      <c r="J3998" t="s">
        <v>8001</v>
      </c>
    </row>
    <row r="3999" spans="1:10" x14ac:dyDescent="0.25">
      <c r="A3999" t="s">
        <v>16713</v>
      </c>
      <c r="B3999">
        <v>12.592000000000001</v>
      </c>
      <c r="C3999" t="s">
        <v>16714</v>
      </c>
      <c r="D3999" t="s">
        <v>959</v>
      </c>
      <c r="E3999" t="s">
        <v>16709</v>
      </c>
      <c r="F3999" t="s">
        <v>7672</v>
      </c>
      <c r="G3999" t="s">
        <v>16710</v>
      </c>
      <c r="H3999" t="s">
        <v>11598</v>
      </c>
      <c r="I3999" t="s">
        <v>10587</v>
      </c>
      <c r="J3999" t="s">
        <v>8001</v>
      </c>
    </row>
    <row r="4000" spans="1:10" x14ac:dyDescent="0.25">
      <c r="A4000" t="s">
        <v>16715</v>
      </c>
      <c r="B4000">
        <v>12.592000000000001</v>
      </c>
      <c r="C4000" t="s">
        <v>16716</v>
      </c>
      <c r="D4000" t="s">
        <v>240</v>
      </c>
      <c r="E4000" t="s">
        <v>16709</v>
      </c>
      <c r="F4000" t="s">
        <v>7672</v>
      </c>
      <c r="G4000" t="s">
        <v>16710</v>
      </c>
      <c r="H4000" t="s">
        <v>11598</v>
      </c>
      <c r="I4000" t="s">
        <v>76</v>
      </c>
      <c r="J4000" t="s">
        <v>8001</v>
      </c>
    </row>
    <row r="4001" spans="1:10" x14ac:dyDescent="0.25">
      <c r="A4001" t="s">
        <v>16717</v>
      </c>
      <c r="B4001">
        <v>12.592000000000001</v>
      </c>
      <c r="C4001" t="s">
        <v>16718</v>
      </c>
      <c r="D4001" t="s">
        <v>250</v>
      </c>
      <c r="E4001" t="s">
        <v>16709</v>
      </c>
      <c r="F4001" t="s">
        <v>7672</v>
      </c>
      <c r="G4001" t="s">
        <v>16710</v>
      </c>
      <c r="H4001" t="s">
        <v>11598</v>
      </c>
      <c r="I4001" t="s">
        <v>12210</v>
      </c>
      <c r="J4001" t="s">
        <v>8013</v>
      </c>
    </row>
    <row r="4002" spans="1:10" x14ac:dyDescent="0.25">
      <c r="A4002" t="s">
        <v>16719</v>
      </c>
      <c r="B4002">
        <v>12.592000000000001</v>
      </c>
      <c r="C4002" t="s">
        <v>16720</v>
      </c>
      <c r="D4002" t="s">
        <v>582</v>
      </c>
      <c r="E4002" t="s">
        <v>16709</v>
      </c>
      <c r="F4002" t="s">
        <v>7672</v>
      </c>
      <c r="G4002" t="s">
        <v>16710</v>
      </c>
      <c r="H4002" t="s">
        <v>11598</v>
      </c>
      <c r="I4002" t="s">
        <v>10587</v>
      </c>
      <c r="J4002" t="s">
        <v>8013</v>
      </c>
    </row>
    <row r="4003" spans="1:10" x14ac:dyDescent="0.25">
      <c r="A4003" t="s">
        <v>16721</v>
      </c>
      <c r="B4003">
        <v>12.592000000000001</v>
      </c>
      <c r="C4003" t="s">
        <v>16722</v>
      </c>
      <c r="D4003" t="s">
        <v>330</v>
      </c>
      <c r="E4003" t="s">
        <v>16709</v>
      </c>
      <c r="F4003" t="s">
        <v>7672</v>
      </c>
      <c r="G4003" t="s">
        <v>16710</v>
      </c>
      <c r="H4003" t="s">
        <v>11598</v>
      </c>
      <c r="I4003" t="s">
        <v>76</v>
      </c>
      <c r="J4003" t="s">
        <v>8013</v>
      </c>
    </row>
    <row r="4004" spans="1:10" x14ac:dyDescent="0.25">
      <c r="A4004" t="s">
        <v>16723</v>
      </c>
      <c r="B4004">
        <v>5.44</v>
      </c>
      <c r="C4004" t="s">
        <v>16724</v>
      </c>
      <c r="D4004" t="s">
        <v>2910</v>
      </c>
      <c r="E4004" t="s">
        <v>16725</v>
      </c>
      <c r="F4004" t="s">
        <v>7672</v>
      </c>
      <c r="G4004" t="s">
        <v>16726</v>
      </c>
      <c r="H4004" t="s">
        <v>7674</v>
      </c>
      <c r="I4004" t="s">
        <v>1490</v>
      </c>
      <c r="J4004" t="s">
        <v>8891</v>
      </c>
    </row>
    <row r="4005" spans="1:10" x14ac:dyDescent="0.25">
      <c r="A4005" t="s">
        <v>16727</v>
      </c>
      <c r="B4005">
        <v>5.44</v>
      </c>
      <c r="C4005" t="s">
        <v>16728</v>
      </c>
      <c r="D4005" t="s">
        <v>366</v>
      </c>
      <c r="E4005" t="s">
        <v>16725</v>
      </c>
      <c r="F4005" t="s">
        <v>7672</v>
      </c>
      <c r="G4005" t="s">
        <v>16726</v>
      </c>
      <c r="H4005" t="s">
        <v>7674</v>
      </c>
      <c r="I4005" t="s">
        <v>410</v>
      </c>
      <c r="J4005" t="s">
        <v>8891</v>
      </c>
    </row>
    <row r="4006" spans="1:10" x14ac:dyDescent="0.25">
      <c r="A4006" t="s">
        <v>16729</v>
      </c>
      <c r="B4006">
        <v>5.44</v>
      </c>
      <c r="C4006" t="s">
        <v>16730</v>
      </c>
      <c r="D4006" t="s">
        <v>9671</v>
      </c>
      <c r="E4006" t="s">
        <v>16725</v>
      </c>
      <c r="F4006" t="s">
        <v>7672</v>
      </c>
      <c r="G4006" t="s">
        <v>16726</v>
      </c>
      <c r="H4006" t="s">
        <v>7674</v>
      </c>
      <c r="I4006" t="s">
        <v>1490</v>
      </c>
      <c r="J4006" t="s">
        <v>8896</v>
      </c>
    </row>
    <row r="4007" spans="1:10" x14ac:dyDescent="0.25">
      <c r="A4007" t="s">
        <v>16731</v>
      </c>
      <c r="B4007">
        <v>5.44</v>
      </c>
      <c r="C4007" t="s">
        <v>16732</v>
      </c>
      <c r="D4007" t="s">
        <v>1020</v>
      </c>
      <c r="E4007" t="s">
        <v>16725</v>
      </c>
      <c r="F4007" t="s">
        <v>7672</v>
      </c>
      <c r="G4007" t="s">
        <v>16726</v>
      </c>
      <c r="H4007" t="s">
        <v>7674</v>
      </c>
      <c r="I4007" t="s">
        <v>410</v>
      </c>
      <c r="J4007" t="s">
        <v>8896</v>
      </c>
    </row>
    <row r="4008" spans="1:10" x14ac:dyDescent="0.25">
      <c r="A4008" t="s">
        <v>16733</v>
      </c>
      <c r="B4008">
        <v>5.44</v>
      </c>
      <c r="C4008" t="s">
        <v>16734</v>
      </c>
      <c r="D4008" t="s">
        <v>10785</v>
      </c>
      <c r="E4008" t="s">
        <v>16725</v>
      </c>
      <c r="F4008" t="s">
        <v>7672</v>
      </c>
      <c r="G4008" t="s">
        <v>16726</v>
      </c>
      <c r="H4008" t="s">
        <v>7674</v>
      </c>
      <c r="I4008" t="s">
        <v>1490</v>
      </c>
      <c r="J4008" t="s">
        <v>9400</v>
      </c>
    </row>
    <row r="4009" spans="1:10" x14ac:dyDescent="0.25">
      <c r="A4009" t="s">
        <v>16735</v>
      </c>
      <c r="B4009">
        <v>5.44</v>
      </c>
      <c r="C4009" t="s">
        <v>16736</v>
      </c>
      <c r="D4009" t="s">
        <v>2572</v>
      </c>
      <c r="E4009" t="s">
        <v>16725</v>
      </c>
      <c r="F4009" t="s">
        <v>7672</v>
      </c>
      <c r="G4009" t="s">
        <v>16726</v>
      </c>
      <c r="H4009" t="s">
        <v>7674</v>
      </c>
      <c r="I4009" t="s">
        <v>410</v>
      </c>
      <c r="J4009" t="s">
        <v>9400</v>
      </c>
    </row>
    <row r="4010" spans="1:10" x14ac:dyDescent="0.25">
      <c r="A4010" t="s">
        <v>16737</v>
      </c>
      <c r="B4010">
        <v>5.44</v>
      </c>
      <c r="C4010" t="s">
        <v>16738</v>
      </c>
      <c r="D4010" t="s">
        <v>12639</v>
      </c>
      <c r="E4010" t="s">
        <v>16725</v>
      </c>
      <c r="F4010" t="s">
        <v>7672</v>
      </c>
      <c r="G4010" t="s">
        <v>16726</v>
      </c>
      <c r="H4010" t="s">
        <v>7674</v>
      </c>
      <c r="I4010" t="s">
        <v>410</v>
      </c>
      <c r="J4010" t="s">
        <v>9405</v>
      </c>
    </row>
    <row r="4011" spans="1:10" x14ac:dyDescent="0.25">
      <c r="A4011" t="s">
        <v>16739</v>
      </c>
      <c r="B4011">
        <v>5.44</v>
      </c>
      <c r="C4011" t="s">
        <v>16740</v>
      </c>
      <c r="D4011" t="s">
        <v>5145</v>
      </c>
      <c r="E4011" t="s">
        <v>16725</v>
      </c>
      <c r="F4011" t="s">
        <v>7672</v>
      </c>
      <c r="G4011" t="s">
        <v>16726</v>
      </c>
      <c r="H4011" t="s">
        <v>7674</v>
      </c>
      <c r="I4011" t="s">
        <v>1490</v>
      </c>
      <c r="J4011" t="s">
        <v>9405</v>
      </c>
    </row>
    <row r="4012" spans="1:10" x14ac:dyDescent="0.25">
      <c r="A4012" t="s">
        <v>16741</v>
      </c>
      <c r="B4012">
        <v>12.416</v>
      </c>
      <c r="C4012" t="s">
        <v>16742</v>
      </c>
      <c r="D4012" t="s">
        <v>576</v>
      </c>
      <c r="E4012" t="s">
        <v>16743</v>
      </c>
      <c r="F4012" t="s">
        <v>7672</v>
      </c>
      <c r="G4012" t="s">
        <v>16744</v>
      </c>
      <c r="H4012" t="s">
        <v>16745</v>
      </c>
      <c r="I4012" t="s">
        <v>16746</v>
      </c>
      <c r="J4012" t="s">
        <v>7942</v>
      </c>
    </row>
    <row r="4013" spans="1:10" x14ac:dyDescent="0.25">
      <c r="A4013" t="s">
        <v>16747</v>
      </c>
      <c r="B4013">
        <v>12.416</v>
      </c>
      <c r="C4013" t="s">
        <v>16748</v>
      </c>
      <c r="D4013" t="s">
        <v>106</v>
      </c>
      <c r="E4013" t="s">
        <v>16743</v>
      </c>
      <c r="F4013" t="s">
        <v>7672</v>
      </c>
      <c r="G4013" t="s">
        <v>16744</v>
      </c>
      <c r="H4013" t="s">
        <v>16745</v>
      </c>
      <c r="I4013" t="s">
        <v>8357</v>
      </c>
      <c r="J4013" t="s">
        <v>7981</v>
      </c>
    </row>
    <row r="4014" spans="1:10" x14ac:dyDescent="0.25">
      <c r="A4014" t="s">
        <v>16749</v>
      </c>
      <c r="B4014">
        <v>12.416</v>
      </c>
      <c r="C4014" t="s">
        <v>16750</v>
      </c>
      <c r="D4014" t="s">
        <v>835</v>
      </c>
      <c r="E4014" t="s">
        <v>16743</v>
      </c>
      <c r="F4014" t="s">
        <v>7672</v>
      </c>
      <c r="G4014" t="s">
        <v>16744</v>
      </c>
      <c r="H4014" t="s">
        <v>16745</v>
      </c>
      <c r="I4014" t="s">
        <v>16746</v>
      </c>
      <c r="J4014" t="s">
        <v>7981</v>
      </c>
    </row>
    <row r="4015" spans="1:10" x14ac:dyDescent="0.25">
      <c r="A4015" t="s">
        <v>16751</v>
      </c>
      <c r="B4015">
        <v>12.416</v>
      </c>
      <c r="C4015" t="s">
        <v>16752</v>
      </c>
      <c r="D4015" t="s">
        <v>95</v>
      </c>
      <c r="E4015" t="s">
        <v>16743</v>
      </c>
      <c r="F4015" t="s">
        <v>7672</v>
      </c>
      <c r="G4015" t="s">
        <v>16744</v>
      </c>
      <c r="H4015" t="s">
        <v>16745</v>
      </c>
      <c r="I4015" t="s">
        <v>16746</v>
      </c>
      <c r="J4015" t="s">
        <v>7987</v>
      </c>
    </row>
    <row r="4016" spans="1:10" x14ac:dyDescent="0.25">
      <c r="A4016" t="s">
        <v>16753</v>
      </c>
      <c r="B4016">
        <v>12.416</v>
      </c>
      <c r="C4016" t="s">
        <v>16754</v>
      </c>
      <c r="D4016" t="s">
        <v>366</v>
      </c>
      <c r="E4016" t="s">
        <v>16743</v>
      </c>
      <c r="F4016" t="s">
        <v>7672</v>
      </c>
      <c r="G4016" t="s">
        <v>16744</v>
      </c>
      <c r="H4016" t="s">
        <v>16745</v>
      </c>
      <c r="I4016" t="s">
        <v>16746</v>
      </c>
      <c r="J4016" t="s">
        <v>8001</v>
      </c>
    </row>
    <row r="4017" spans="1:10" x14ac:dyDescent="0.25">
      <c r="A4017" t="s">
        <v>16755</v>
      </c>
      <c r="B4017">
        <v>12.416</v>
      </c>
      <c r="C4017" t="s">
        <v>16756</v>
      </c>
      <c r="D4017" t="s">
        <v>330</v>
      </c>
      <c r="E4017" t="s">
        <v>16743</v>
      </c>
      <c r="F4017" t="s">
        <v>7672</v>
      </c>
      <c r="G4017" t="s">
        <v>16744</v>
      </c>
      <c r="H4017" t="s">
        <v>16745</v>
      </c>
      <c r="I4017" t="s">
        <v>8357</v>
      </c>
      <c r="J4017" t="s">
        <v>8013</v>
      </c>
    </row>
    <row r="4018" spans="1:10" x14ac:dyDescent="0.25">
      <c r="A4018" t="s">
        <v>16757</v>
      </c>
      <c r="B4018">
        <v>12.416</v>
      </c>
      <c r="C4018" t="s">
        <v>16758</v>
      </c>
      <c r="D4018" t="s">
        <v>301</v>
      </c>
      <c r="E4018" t="s">
        <v>16743</v>
      </c>
      <c r="F4018" t="s">
        <v>7672</v>
      </c>
      <c r="G4018" t="s">
        <v>16744</v>
      </c>
      <c r="H4018" t="s">
        <v>16745</v>
      </c>
      <c r="I4018" t="s">
        <v>16746</v>
      </c>
      <c r="J4018" t="s">
        <v>8013</v>
      </c>
    </row>
    <row r="4019" spans="1:10" x14ac:dyDescent="0.25">
      <c r="A4019" t="s">
        <v>16759</v>
      </c>
      <c r="B4019">
        <v>5.5920000000000014</v>
      </c>
      <c r="C4019" t="s">
        <v>16760</v>
      </c>
      <c r="D4019" t="s">
        <v>269</v>
      </c>
      <c r="E4019" t="s">
        <v>16761</v>
      </c>
      <c r="F4019" t="s">
        <v>7672</v>
      </c>
      <c r="G4019" t="s">
        <v>16762</v>
      </c>
      <c r="H4019" t="s">
        <v>8673</v>
      </c>
      <c r="I4019" t="s">
        <v>16763</v>
      </c>
      <c r="J4019" t="s">
        <v>8687</v>
      </c>
    </row>
    <row r="4020" spans="1:10" x14ac:dyDescent="0.25">
      <c r="A4020" t="s">
        <v>16764</v>
      </c>
      <c r="B4020">
        <v>5.5920000000000014</v>
      </c>
      <c r="C4020" t="s">
        <v>16765</v>
      </c>
      <c r="D4020" t="s">
        <v>576</v>
      </c>
      <c r="E4020" t="s">
        <v>16761</v>
      </c>
      <c r="F4020" t="s">
        <v>7672</v>
      </c>
      <c r="G4020" t="s">
        <v>16762</v>
      </c>
      <c r="H4020" t="s">
        <v>8673</v>
      </c>
      <c r="I4020" t="s">
        <v>16763</v>
      </c>
      <c r="J4020" t="s">
        <v>8692</v>
      </c>
    </row>
    <row r="4021" spans="1:10" x14ac:dyDescent="0.25">
      <c r="A4021" t="s">
        <v>16766</v>
      </c>
      <c r="B4021">
        <v>5.5920000000000014</v>
      </c>
      <c r="C4021" t="s">
        <v>16767</v>
      </c>
      <c r="D4021" t="s">
        <v>385</v>
      </c>
      <c r="E4021" t="s">
        <v>16761</v>
      </c>
      <c r="F4021" t="s">
        <v>7672</v>
      </c>
      <c r="G4021" t="s">
        <v>16762</v>
      </c>
      <c r="H4021" t="s">
        <v>8673</v>
      </c>
      <c r="I4021" t="s">
        <v>16763</v>
      </c>
      <c r="J4021" t="s">
        <v>8699</v>
      </c>
    </row>
    <row r="4022" spans="1:10" x14ac:dyDescent="0.25">
      <c r="A4022" t="s">
        <v>16768</v>
      </c>
      <c r="B4022">
        <v>5.5920000000000014</v>
      </c>
      <c r="C4022" t="s">
        <v>16769</v>
      </c>
      <c r="D4022" t="s">
        <v>290</v>
      </c>
      <c r="E4022" t="s">
        <v>16761</v>
      </c>
      <c r="F4022" t="s">
        <v>7672</v>
      </c>
      <c r="G4022" t="s">
        <v>16762</v>
      </c>
      <c r="H4022" t="s">
        <v>8673</v>
      </c>
      <c r="I4022" t="s">
        <v>16763</v>
      </c>
      <c r="J4022" t="s">
        <v>8704</v>
      </c>
    </row>
    <row r="4023" spans="1:10" x14ac:dyDescent="0.25">
      <c r="A4023" t="s">
        <v>16770</v>
      </c>
      <c r="B4023">
        <v>5.5920000000000014</v>
      </c>
      <c r="C4023" t="s">
        <v>16771</v>
      </c>
      <c r="D4023" t="s">
        <v>88</v>
      </c>
      <c r="E4023" t="s">
        <v>16761</v>
      </c>
      <c r="F4023" t="s">
        <v>7672</v>
      </c>
      <c r="G4023" t="s">
        <v>16762</v>
      </c>
      <c r="H4023" t="s">
        <v>8673</v>
      </c>
      <c r="I4023" t="s">
        <v>16763</v>
      </c>
      <c r="J4023" t="s">
        <v>8712</v>
      </c>
    </row>
    <row r="4024" spans="1:10" x14ac:dyDescent="0.25">
      <c r="A4024" t="s">
        <v>16772</v>
      </c>
      <c r="B4024">
        <v>5.5920000000000014</v>
      </c>
      <c r="C4024" t="s">
        <v>16773</v>
      </c>
      <c r="D4024" t="s">
        <v>742</v>
      </c>
      <c r="E4024" t="s">
        <v>16761</v>
      </c>
      <c r="F4024" t="s">
        <v>7672</v>
      </c>
      <c r="G4024" t="s">
        <v>16762</v>
      </c>
      <c r="H4024" t="s">
        <v>8673</v>
      </c>
      <c r="I4024" t="s">
        <v>16763</v>
      </c>
      <c r="J4024" t="s">
        <v>8725</v>
      </c>
    </row>
    <row r="4025" spans="1:10" x14ac:dyDescent="0.25">
      <c r="A4025" t="s">
        <v>16774</v>
      </c>
      <c r="B4025">
        <v>8.3920000000000012</v>
      </c>
      <c r="C4025" t="s">
        <v>16775</v>
      </c>
      <c r="D4025" t="s">
        <v>659</v>
      </c>
      <c r="E4025" t="s">
        <v>16761</v>
      </c>
      <c r="F4025" t="s">
        <v>7672</v>
      </c>
      <c r="G4025" t="s">
        <v>16762</v>
      </c>
      <c r="H4025" t="s">
        <v>8673</v>
      </c>
      <c r="I4025" t="s">
        <v>8674</v>
      </c>
      <c r="J4025" t="s">
        <v>8725</v>
      </c>
    </row>
    <row r="4026" spans="1:10" x14ac:dyDescent="0.25">
      <c r="A4026" t="s">
        <v>16776</v>
      </c>
      <c r="B4026">
        <v>5.5920000000000014</v>
      </c>
      <c r="C4026" t="s">
        <v>16777</v>
      </c>
      <c r="D4026" t="s">
        <v>2697</v>
      </c>
      <c r="E4026" t="s">
        <v>16761</v>
      </c>
      <c r="F4026" t="s">
        <v>7672</v>
      </c>
      <c r="G4026" t="s">
        <v>16762</v>
      </c>
      <c r="H4026" t="s">
        <v>8673</v>
      </c>
      <c r="I4026" t="s">
        <v>16778</v>
      </c>
      <c r="J4026" t="s">
        <v>8725</v>
      </c>
    </row>
    <row r="4027" spans="1:10" x14ac:dyDescent="0.25">
      <c r="A4027" t="s">
        <v>16779</v>
      </c>
      <c r="B4027">
        <v>5.5920000000000014</v>
      </c>
      <c r="C4027" t="s">
        <v>16780</v>
      </c>
      <c r="D4027" t="s">
        <v>959</v>
      </c>
      <c r="E4027" t="s">
        <v>16761</v>
      </c>
      <c r="F4027" t="s">
        <v>7672</v>
      </c>
      <c r="G4027" t="s">
        <v>16762</v>
      </c>
      <c r="H4027" t="s">
        <v>8673</v>
      </c>
      <c r="I4027" t="s">
        <v>16763</v>
      </c>
      <c r="J4027" t="s">
        <v>8737</v>
      </c>
    </row>
    <row r="4028" spans="1:10" x14ac:dyDescent="0.25">
      <c r="A4028" t="s">
        <v>16781</v>
      </c>
      <c r="B4028">
        <v>7.6000000000000014</v>
      </c>
      <c r="C4028" t="s">
        <v>16782</v>
      </c>
      <c r="D4028" t="s">
        <v>301</v>
      </c>
      <c r="E4028" t="s">
        <v>16783</v>
      </c>
      <c r="F4028" t="s">
        <v>7672</v>
      </c>
      <c r="G4028" t="s">
        <v>16784</v>
      </c>
      <c r="H4028" t="s">
        <v>11496</v>
      </c>
      <c r="I4028" t="s">
        <v>145</v>
      </c>
      <c r="J4028" t="s">
        <v>269</v>
      </c>
    </row>
    <row r="4029" spans="1:10" x14ac:dyDescent="0.25">
      <c r="A4029" t="s">
        <v>16785</v>
      </c>
      <c r="B4029">
        <v>7.6000000000000014</v>
      </c>
      <c r="C4029" t="s">
        <v>16786</v>
      </c>
      <c r="D4029" t="s">
        <v>229</v>
      </c>
      <c r="E4029" t="s">
        <v>16783</v>
      </c>
      <c r="F4029" t="s">
        <v>7672</v>
      </c>
      <c r="G4029" t="s">
        <v>16784</v>
      </c>
      <c r="H4029" t="s">
        <v>11496</v>
      </c>
      <c r="I4029" t="s">
        <v>145</v>
      </c>
      <c r="J4029" t="s">
        <v>8789</v>
      </c>
    </row>
    <row r="4030" spans="1:10" x14ac:dyDescent="0.25">
      <c r="A4030" t="s">
        <v>4086</v>
      </c>
      <c r="B4030">
        <v>39.6</v>
      </c>
      <c r="C4030" t="s">
        <v>4088</v>
      </c>
      <c r="D4030" t="s">
        <v>659</v>
      </c>
      <c r="E4030" t="s">
        <v>4089</v>
      </c>
      <c r="F4030" t="s">
        <v>7672</v>
      </c>
      <c r="G4030" t="s">
        <v>16787</v>
      </c>
      <c r="H4030" t="s">
        <v>9232</v>
      </c>
      <c r="I4030" t="s">
        <v>1406</v>
      </c>
      <c r="J4030" t="s">
        <v>7675</v>
      </c>
    </row>
    <row r="4031" spans="1:10" x14ac:dyDescent="0.25">
      <c r="A4031" t="s">
        <v>4092</v>
      </c>
      <c r="B4031">
        <v>39.6</v>
      </c>
      <c r="C4031" t="s">
        <v>4094</v>
      </c>
      <c r="D4031" t="s">
        <v>1621</v>
      </c>
      <c r="E4031" t="s">
        <v>4089</v>
      </c>
      <c r="F4031" t="s">
        <v>7672</v>
      </c>
      <c r="G4031" t="s">
        <v>16787</v>
      </c>
      <c r="H4031" t="s">
        <v>9232</v>
      </c>
      <c r="I4031" t="s">
        <v>2213</v>
      </c>
      <c r="J4031" t="s">
        <v>7675</v>
      </c>
    </row>
    <row r="4032" spans="1:10" x14ac:dyDescent="0.25">
      <c r="A4032" t="s">
        <v>4096</v>
      </c>
      <c r="B4032">
        <v>39.6</v>
      </c>
      <c r="C4032" t="s">
        <v>4098</v>
      </c>
      <c r="D4032" t="s">
        <v>4100</v>
      </c>
      <c r="E4032" t="s">
        <v>4089</v>
      </c>
      <c r="F4032" t="s">
        <v>7672</v>
      </c>
      <c r="G4032" t="s">
        <v>16787</v>
      </c>
      <c r="H4032" t="s">
        <v>9232</v>
      </c>
      <c r="I4032" t="s">
        <v>76</v>
      </c>
      <c r="J4032" t="s">
        <v>7675</v>
      </c>
    </row>
    <row r="4033" spans="1:10" x14ac:dyDescent="0.25">
      <c r="A4033" t="s">
        <v>4101</v>
      </c>
      <c r="B4033">
        <v>39.6</v>
      </c>
      <c r="C4033" t="s">
        <v>4103</v>
      </c>
      <c r="D4033" t="s">
        <v>659</v>
      </c>
      <c r="E4033" t="s">
        <v>4089</v>
      </c>
      <c r="F4033" t="s">
        <v>7672</v>
      </c>
      <c r="G4033" t="s">
        <v>16787</v>
      </c>
      <c r="H4033" t="s">
        <v>9232</v>
      </c>
      <c r="I4033" t="s">
        <v>2213</v>
      </c>
      <c r="J4033" t="s">
        <v>7686</v>
      </c>
    </row>
    <row r="4034" spans="1:10" x14ac:dyDescent="0.25">
      <c r="A4034" t="s">
        <v>4105</v>
      </c>
      <c r="B4034">
        <v>39.6</v>
      </c>
      <c r="C4034" t="s">
        <v>4107</v>
      </c>
      <c r="D4034" t="s">
        <v>4109</v>
      </c>
      <c r="E4034" t="s">
        <v>4089</v>
      </c>
      <c r="F4034" t="s">
        <v>7672</v>
      </c>
      <c r="G4034" t="s">
        <v>16787</v>
      </c>
      <c r="H4034" t="s">
        <v>9232</v>
      </c>
      <c r="I4034" t="s">
        <v>1406</v>
      </c>
      <c r="J4034" t="s">
        <v>7686</v>
      </c>
    </row>
    <row r="4035" spans="1:10" x14ac:dyDescent="0.25">
      <c r="A4035" t="s">
        <v>4110</v>
      </c>
      <c r="B4035">
        <v>39.6</v>
      </c>
      <c r="C4035" t="s">
        <v>4112</v>
      </c>
      <c r="D4035" t="s">
        <v>4114</v>
      </c>
      <c r="E4035" t="s">
        <v>4089</v>
      </c>
      <c r="F4035" t="s">
        <v>7672</v>
      </c>
      <c r="G4035" t="s">
        <v>16787</v>
      </c>
      <c r="H4035" t="s">
        <v>9232</v>
      </c>
      <c r="I4035" t="s">
        <v>76</v>
      </c>
      <c r="J4035" t="s">
        <v>7686</v>
      </c>
    </row>
    <row r="4036" spans="1:10" x14ac:dyDescent="0.25">
      <c r="A4036" t="s">
        <v>4115</v>
      </c>
      <c r="B4036">
        <v>39.6</v>
      </c>
      <c r="C4036" t="s">
        <v>4117</v>
      </c>
      <c r="D4036" t="s">
        <v>3086</v>
      </c>
      <c r="E4036" t="s">
        <v>4089</v>
      </c>
      <c r="F4036" t="s">
        <v>7672</v>
      </c>
      <c r="G4036" t="s">
        <v>16787</v>
      </c>
      <c r="H4036" t="s">
        <v>9232</v>
      </c>
      <c r="I4036" t="s">
        <v>2213</v>
      </c>
      <c r="J4036" t="s">
        <v>7703</v>
      </c>
    </row>
    <row r="4037" spans="1:10" x14ac:dyDescent="0.25">
      <c r="A4037" t="s">
        <v>4119</v>
      </c>
      <c r="B4037">
        <v>39.6</v>
      </c>
      <c r="C4037" t="s">
        <v>4121</v>
      </c>
      <c r="D4037" t="s">
        <v>1924</v>
      </c>
      <c r="E4037" t="s">
        <v>4089</v>
      </c>
      <c r="F4037" t="s">
        <v>7672</v>
      </c>
      <c r="G4037" t="s">
        <v>16787</v>
      </c>
      <c r="H4037" t="s">
        <v>9232</v>
      </c>
      <c r="I4037" t="s">
        <v>1406</v>
      </c>
      <c r="J4037" t="s">
        <v>7703</v>
      </c>
    </row>
    <row r="4038" spans="1:10" x14ac:dyDescent="0.25">
      <c r="A4038" t="s">
        <v>4123</v>
      </c>
      <c r="B4038">
        <v>39.6</v>
      </c>
      <c r="C4038" t="s">
        <v>4125</v>
      </c>
      <c r="D4038" t="s">
        <v>4127</v>
      </c>
      <c r="E4038" t="s">
        <v>4089</v>
      </c>
      <c r="F4038" t="s">
        <v>7672</v>
      </c>
      <c r="G4038" t="s">
        <v>16787</v>
      </c>
      <c r="H4038" t="s">
        <v>9232</v>
      </c>
      <c r="I4038" t="s">
        <v>76</v>
      </c>
      <c r="J4038" t="s">
        <v>7703</v>
      </c>
    </row>
    <row r="4039" spans="1:10" x14ac:dyDescent="0.25">
      <c r="A4039" t="s">
        <v>4128</v>
      </c>
      <c r="B4039">
        <v>39.6</v>
      </c>
      <c r="C4039" t="s">
        <v>4130</v>
      </c>
      <c r="D4039" t="s">
        <v>2099</v>
      </c>
      <c r="E4039" t="s">
        <v>4089</v>
      </c>
      <c r="F4039" t="s">
        <v>7672</v>
      </c>
      <c r="G4039" t="s">
        <v>16787</v>
      </c>
      <c r="H4039" t="s">
        <v>9232</v>
      </c>
      <c r="I4039" t="s">
        <v>2213</v>
      </c>
      <c r="J4039" t="s">
        <v>7713</v>
      </c>
    </row>
    <row r="4040" spans="1:10" x14ac:dyDescent="0.25">
      <c r="A4040" t="s">
        <v>4132</v>
      </c>
      <c r="B4040">
        <v>39.6</v>
      </c>
      <c r="C4040" t="s">
        <v>4134</v>
      </c>
      <c r="D4040" t="s">
        <v>4136</v>
      </c>
      <c r="E4040" t="s">
        <v>4089</v>
      </c>
      <c r="F4040" t="s">
        <v>7672</v>
      </c>
      <c r="G4040" t="s">
        <v>16787</v>
      </c>
      <c r="H4040" t="s">
        <v>9232</v>
      </c>
      <c r="I4040" t="s">
        <v>1406</v>
      </c>
      <c r="J4040" t="s">
        <v>7713</v>
      </c>
    </row>
    <row r="4041" spans="1:10" x14ac:dyDescent="0.25">
      <c r="A4041" t="s">
        <v>4137</v>
      </c>
      <c r="B4041">
        <v>39.6</v>
      </c>
      <c r="C4041" t="s">
        <v>4139</v>
      </c>
      <c r="D4041" t="s">
        <v>4141</v>
      </c>
      <c r="E4041" t="s">
        <v>4089</v>
      </c>
      <c r="F4041" t="s">
        <v>7672</v>
      </c>
      <c r="G4041" t="s">
        <v>16787</v>
      </c>
      <c r="H4041" t="s">
        <v>9232</v>
      </c>
      <c r="I4041" t="s">
        <v>76</v>
      </c>
      <c r="J4041" t="s">
        <v>7713</v>
      </c>
    </row>
    <row r="4042" spans="1:10" x14ac:dyDescent="0.25">
      <c r="A4042" t="s">
        <v>4142</v>
      </c>
      <c r="B4042">
        <v>39.6</v>
      </c>
      <c r="C4042" t="s">
        <v>4144</v>
      </c>
      <c r="D4042" t="s">
        <v>516</v>
      </c>
      <c r="E4042" t="s">
        <v>4089</v>
      </c>
      <c r="F4042" t="s">
        <v>7672</v>
      </c>
      <c r="G4042" t="s">
        <v>16787</v>
      </c>
      <c r="H4042" t="s">
        <v>9232</v>
      </c>
      <c r="I4042" t="s">
        <v>76</v>
      </c>
      <c r="J4042" t="s">
        <v>7719</v>
      </c>
    </row>
    <row r="4043" spans="1:10" x14ac:dyDescent="0.25">
      <c r="A4043" t="s">
        <v>4146</v>
      </c>
      <c r="B4043">
        <v>39.6</v>
      </c>
      <c r="C4043" t="s">
        <v>4148</v>
      </c>
      <c r="D4043" t="s">
        <v>598</v>
      </c>
      <c r="E4043" t="s">
        <v>4089</v>
      </c>
      <c r="F4043" t="s">
        <v>7672</v>
      </c>
      <c r="G4043" t="s">
        <v>16787</v>
      </c>
      <c r="H4043" t="s">
        <v>9232</v>
      </c>
      <c r="I4043" t="s">
        <v>1406</v>
      </c>
      <c r="J4043" t="s">
        <v>7719</v>
      </c>
    </row>
    <row r="4044" spans="1:10" x14ac:dyDescent="0.25">
      <c r="A4044" t="s">
        <v>4150</v>
      </c>
      <c r="B4044">
        <v>39.6</v>
      </c>
      <c r="C4044" t="s">
        <v>4152</v>
      </c>
      <c r="D4044" t="s">
        <v>671</v>
      </c>
      <c r="E4044" t="s">
        <v>4089</v>
      </c>
      <c r="F4044" t="s">
        <v>7672</v>
      </c>
      <c r="G4044" t="s">
        <v>16787</v>
      </c>
      <c r="H4044" t="s">
        <v>9232</v>
      </c>
      <c r="I4044" t="s">
        <v>2213</v>
      </c>
      <c r="J4044" t="s">
        <v>7719</v>
      </c>
    </row>
    <row r="4045" spans="1:10" x14ac:dyDescent="0.25">
      <c r="A4045" t="s">
        <v>16788</v>
      </c>
      <c r="B4045">
        <v>9</v>
      </c>
      <c r="C4045" t="s">
        <v>16789</v>
      </c>
      <c r="D4045" t="s">
        <v>342</v>
      </c>
      <c r="E4045" t="s">
        <v>16790</v>
      </c>
      <c r="F4045" t="s">
        <v>7672</v>
      </c>
      <c r="G4045" t="s">
        <v>16791</v>
      </c>
      <c r="H4045" t="s">
        <v>16792</v>
      </c>
      <c r="I4045" t="s">
        <v>16793</v>
      </c>
      <c r="J4045" t="s">
        <v>7942</v>
      </c>
    </row>
    <row r="4046" spans="1:10" x14ac:dyDescent="0.25">
      <c r="A4046" t="s">
        <v>16794</v>
      </c>
      <c r="B4046">
        <v>9</v>
      </c>
      <c r="C4046" t="s">
        <v>16795</v>
      </c>
      <c r="D4046" t="s">
        <v>1143</v>
      </c>
      <c r="E4046" t="s">
        <v>16790</v>
      </c>
      <c r="F4046" t="s">
        <v>7672</v>
      </c>
      <c r="G4046" t="s">
        <v>16791</v>
      </c>
      <c r="H4046" t="s">
        <v>16792</v>
      </c>
      <c r="I4046" t="s">
        <v>16793</v>
      </c>
      <c r="J4046" t="s">
        <v>7981</v>
      </c>
    </row>
    <row r="4047" spans="1:10" x14ac:dyDescent="0.25">
      <c r="A4047" t="s">
        <v>16796</v>
      </c>
      <c r="B4047">
        <v>9</v>
      </c>
      <c r="C4047" t="s">
        <v>16797</v>
      </c>
      <c r="D4047" t="s">
        <v>576</v>
      </c>
      <c r="E4047" t="s">
        <v>16790</v>
      </c>
      <c r="F4047" t="s">
        <v>7672</v>
      </c>
      <c r="G4047" t="s">
        <v>16791</v>
      </c>
      <c r="H4047" t="s">
        <v>16792</v>
      </c>
      <c r="I4047" t="s">
        <v>486</v>
      </c>
      <c r="J4047" t="s">
        <v>7981</v>
      </c>
    </row>
    <row r="4048" spans="1:10" x14ac:dyDescent="0.25">
      <c r="A4048" t="s">
        <v>16798</v>
      </c>
      <c r="B4048">
        <v>9</v>
      </c>
      <c r="C4048" t="s">
        <v>16799</v>
      </c>
      <c r="D4048" t="s">
        <v>2056</v>
      </c>
      <c r="E4048" t="s">
        <v>16790</v>
      </c>
      <c r="F4048" t="s">
        <v>7672</v>
      </c>
      <c r="G4048" t="s">
        <v>16791</v>
      </c>
      <c r="H4048" t="s">
        <v>16792</v>
      </c>
      <c r="I4048" t="s">
        <v>16793</v>
      </c>
      <c r="J4048" t="s">
        <v>7984</v>
      </c>
    </row>
    <row r="4049" spans="1:10" x14ac:dyDescent="0.25">
      <c r="A4049" t="s">
        <v>16800</v>
      </c>
      <c r="B4049">
        <v>9</v>
      </c>
      <c r="C4049" t="s">
        <v>16801</v>
      </c>
      <c r="D4049" t="s">
        <v>908</v>
      </c>
      <c r="E4049" t="s">
        <v>16790</v>
      </c>
      <c r="F4049" t="s">
        <v>7672</v>
      </c>
      <c r="G4049" t="s">
        <v>16791</v>
      </c>
      <c r="H4049" t="s">
        <v>16792</v>
      </c>
      <c r="I4049" t="s">
        <v>486</v>
      </c>
      <c r="J4049" t="s">
        <v>7984</v>
      </c>
    </row>
    <row r="4050" spans="1:10" x14ac:dyDescent="0.25">
      <c r="A4050" t="s">
        <v>16802</v>
      </c>
      <c r="B4050">
        <v>9</v>
      </c>
      <c r="C4050" t="s">
        <v>16803</v>
      </c>
      <c r="D4050" t="s">
        <v>2078</v>
      </c>
      <c r="E4050" t="s">
        <v>16790</v>
      </c>
      <c r="F4050" t="s">
        <v>7672</v>
      </c>
      <c r="G4050" t="s">
        <v>16791</v>
      </c>
      <c r="H4050" t="s">
        <v>16792</v>
      </c>
      <c r="I4050" t="s">
        <v>16793</v>
      </c>
      <c r="J4050" t="s">
        <v>7987</v>
      </c>
    </row>
    <row r="4051" spans="1:10" x14ac:dyDescent="0.25">
      <c r="A4051" t="s">
        <v>16804</v>
      </c>
      <c r="B4051">
        <v>9</v>
      </c>
      <c r="C4051" t="s">
        <v>16805</v>
      </c>
      <c r="D4051" t="s">
        <v>865</v>
      </c>
      <c r="E4051" t="s">
        <v>16790</v>
      </c>
      <c r="F4051" t="s">
        <v>7672</v>
      </c>
      <c r="G4051" t="s">
        <v>16791</v>
      </c>
      <c r="H4051" t="s">
        <v>16792</v>
      </c>
      <c r="I4051" t="s">
        <v>486</v>
      </c>
      <c r="J4051" t="s">
        <v>7987</v>
      </c>
    </row>
    <row r="4052" spans="1:10" x14ac:dyDescent="0.25">
      <c r="A4052" t="s">
        <v>16806</v>
      </c>
      <c r="B4052">
        <v>9</v>
      </c>
      <c r="C4052" t="s">
        <v>16807</v>
      </c>
      <c r="D4052" t="s">
        <v>311</v>
      </c>
      <c r="E4052" t="s">
        <v>16790</v>
      </c>
      <c r="F4052" t="s">
        <v>7672</v>
      </c>
      <c r="G4052" t="s">
        <v>16791</v>
      </c>
      <c r="H4052" t="s">
        <v>16792</v>
      </c>
      <c r="I4052" t="s">
        <v>486</v>
      </c>
      <c r="J4052" t="s">
        <v>8001</v>
      </c>
    </row>
    <row r="4053" spans="1:10" x14ac:dyDescent="0.25">
      <c r="A4053" t="s">
        <v>16808</v>
      </c>
      <c r="B4053">
        <v>9</v>
      </c>
      <c r="C4053" t="s">
        <v>16809</v>
      </c>
      <c r="D4053" t="s">
        <v>282</v>
      </c>
      <c r="E4053" t="s">
        <v>16790</v>
      </c>
      <c r="F4053" t="s">
        <v>7672</v>
      </c>
      <c r="G4053" t="s">
        <v>16791</v>
      </c>
      <c r="H4053" t="s">
        <v>16792</v>
      </c>
      <c r="I4053" t="s">
        <v>486</v>
      </c>
      <c r="J4053" t="s">
        <v>8013</v>
      </c>
    </row>
    <row r="4054" spans="1:10" x14ac:dyDescent="0.25">
      <c r="A4054" t="s">
        <v>16810</v>
      </c>
      <c r="B4054">
        <v>4.68</v>
      </c>
      <c r="C4054" t="s">
        <v>16811</v>
      </c>
      <c r="D4054" t="s">
        <v>3444</v>
      </c>
      <c r="E4054" t="s">
        <v>16812</v>
      </c>
      <c r="F4054" t="s">
        <v>7672</v>
      </c>
      <c r="G4054" t="s">
        <v>16813</v>
      </c>
      <c r="H4054" t="s">
        <v>7674</v>
      </c>
      <c r="I4054" t="s">
        <v>278</v>
      </c>
      <c r="J4054" t="s">
        <v>9023</v>
      </c>
    </row>
    <row r="4055" spans="1:10" x14ac:dyDescent="0.25">
      <c r="A4055" t="s">
        <v>16814</v>
      </c>
      <c r="B4055">
        <v>4.68</v>
      </c>
      <c r="C4055" t="s">
        <v>16815</v>
      </c>
      <c r="D4055" t="s">
        <v>12553</v>
      </c>
      <c r="E4055" t="s">
        <v>16812</v>
      </c>
      <c r="F4055" t="s">
        <v>7672</v>
      </c>
      <c r="G4055" t="s">
        <v>16813</v>
      </c>
      <c r="H4055" t="s">
        <v>7674</v>
      </c>
      <c r="I4055" t="s">
        <v>76</v>
      </c>
      <c r="J4055" t="s">
        <v>9023</v>
      </c>
    </row>
    <row r="4056" spans="1:10" x14ac:dyDescent="0.25">
      <c r="A4056" t="s">
        <v>16816</v>
      </c>
      <c r="B4056">
        <v>4.68</v>
      </c>
      <c r="C4056" t="s">
        <v>16817</v>
      </c>
      <c r="D4056" t="s">
        <v>124</v>
      </c>
      <c r="E4056" t="s">
        <v>16812</v>
      </c>
      <c r="F4056" t="s">
        <v>7672</v>
      </c>
      <c r="G4056" t="s">
        <v>16813</v>
      </c>
      <c r="H4056" t="s">
        <v>7674</v>
      </c>
      <c r="I4056" t="s">
        <v>278</v>
      </c>
      <c r="J4056" t="s">
        <v>8883</v>
      </c>
    </row>
    <row r="4057" spans="1:10" x14ac:dyDescent="0.25">
      <c r="A4057" t="s">
        <v>16818</v>
      </c>
      <c r="B4057">
        <v>4.68</v>
      </c>
      <c r="C4057" t="s">
        <v>16819</v>
      </c>
      <c r="D4057" t="s">
        <v>131</v>
      </c>
      <c r="E4057" t="s">
        <v>16812</v>
      </c>
      <c r="F4057" t="s">
        <v>7672</v>
      </c>
      <c r="G4057" t="s">
        <v>16813</v>
      </c>
      <c r="H4057" t="s">
        <v>7674</v>
      </c>
      <c r="I4057" t="s">
        <v>278</v>
      </c>
      <c r="J4057" t="s">
        <v>10908</v>
      </c>
    </row>
    <row r="4058" spans="1:10" x14ac:dyDescent="0.25">
      <c r="A4058" t="s">
        <v>16820</v>
      </c>
      <c r="B4058">
        <v>7.2</v>
      </c>
      <c r="C4058" t="s">
        <v>16821</v>
      </c>
      <c r="D4058" t="s">
        <v>3962</v>
      </c>
      <c r="E4058" t="s">
        <v>16822</v>
      </c>
      <c r="F4058" t="s">
        <v>7672</v>
      </c>
      <c r="G4058" t="s">
        <v>16823</v>
      </c>
      <c r="H4058" t="s">
        <v>7974</v>
      </c>
      <c r="I4058" t="s">
        <v>76</v>
      </c>
      <c r="J4058" t="s">
        <v>7942</v>
      </c>
    </row>
    <row r="4059" spans="1:10" x14ac:dyDescent="0.25">
      <c r="A4059" t="s">
        <v>16824</v>
      </c>
      <c r="B4059">
        <v>7.2</v>
      </c>
      <c r="C4059" t="s">
        <v>16825</v>
      </c>
      <c r="D4059" t="s">
        <v>3409</v>
      </c>
      <c r="E4059" t="s">
        <v>16822</v>
      </c>
      <c r="F4059" t="s">
        <v>7672</v>
      </c>
      <c r="G4059" t="s">
        <v>16823</v>
      </c>
      <c r="H4059" t="s">
        <v>7974</v>
      </c>
      <c r="I4059" t="s">
        <v>7399</v>
      </c>
      <c r="J4059" t="s">
        <v>7942</v>
      </c>
    </row>
    <row r="4060" spans="1:10" x14ac:dyDescent="0.25">
      <c r="A4060" t="s">
        <v>16826</v>
      </c>
      <c r="B4060">
        <v>7.2</v>
      </c>
      <c r="C4060" t="s">
        <v>16827</v>
      </c>
      <c r="D4060" t="s">
        <v>613</v>
      </c>
      <c r="E4060" t="s">
        <v>16822</v>
      </c>
      <c r="F4060" t="s">
        <v>7672</v>
      </c>
      <c r="G4060" t="s">
        <v>16823</v>
      </c>
      <c r="H4060" t="s">
        <v>7974</v>
      </c>
      <c r="I4060" t="s">
        <v>1490</v>
      </c>
      <c r="J4060" t="s">
        <v>7942</v>
      </c>
    </row>
    <row r="4061" spans="1:10" x14ac:dyDescent="0.25">
      <c r="A4061" t="s">
        <v>16828</v>
      </c>
      <c r="B4061">
        <v>7.2</v>
      </c>
      <c r="C4061" t="s">
        <v>16829</v>
      </c>
      <c r="D4061" t="s">
        <v>3886</v>
      </c>
      <c r="E4061" t="s">
        <v>16822</v>
      </c>
      <c r="F4061" t="s">
        <v>7672</v>
      </c>
      <c r="G4061" t="s">
        <v>16823</v>
      </c>
      <c r="H4061" t="s">
        <v>7974</v>
      </c>
      <c r="I4061" t="s">
        <v>76</v>
      </c>
      <c r="J4061" t="s">
        <v>7981</v>
      </c>
    </row>
    <row r="4062" spans="1:10" x14ac:dyDescent="0.25">
      <c r="A4062" t="s">
        <v>16830</v>
      </c>
      <c r="B4062">
        <v>7.2</v>
      </c>
      <c r="C4062" t="s">
        <v>16831</v>
      </c>
      <c r="D4062" t="s">
        <v>1924</v>
      </c>
      <c r="E4062" t="s">
        <v>16822</v>
      </c>
      <c r="F4062" t="s">
        <v>7672</v>
      </c>
      <c r="G4062" t="s">
        <v>16823</v>
      </c>
      <c r="H4062" t="s">
        <v>7974</v>
      </c>
      <c r="I4062" t="s">
        <v>7399</v>
      </c>
      <c r="J4062" t="s">
        <v>7981</v>
      </c>
    </row>
    <row r="4063" spans="1:10" x14ac:dyDescent="0.25">
      <c r="A4063" t="s">
        <v>16832</v>
      </c>
      <c r="B4063">
        <v>7.2</v>
      </c>
      <c r="C4063" t="s">
        <v>16833</v>
      </c>
      <c r="D4063" t="s">
        <v>16834</v>
      </c>
      <c r="E4063" t="s">
        <v>16822</v>
      </c>
      <c r="F4063" t="s">
        <v>7672</v>
      </c>
      <c r="G4063" t="s">
        <v>16823</v>
      </c>
      <c r="H4063" t="s">
        <v>7974</v>
      </c>
      <c r="I4063" t="s">
        <v>76</v>
      </c>
      <c r="J4063" t="s">
        <v>7984</v>
      </c>
    </row>
    <row r="4064" spans="1:10" x14ac:dyDescent="0.25">
      <c r="A4064" t="s">
        <v>16835</v>
      </c>
      <c r="B4064">
        <v>7.2</v>
      </c>
      <c r="C4064" t="s">
        <v>16836</v>
      </c>
      <c r="D4064" t="s">
        <v>2845</v>
      </c>
      <c r="E4064" t="s">
        <v>16822</v>
      </c>
      <c r="F4064" t="s">
        <v>7672</v>
      </c>
      <c r="G4064" t="s">
        <v>16823</v>
      </c>
      <c r="H4064" t="s">
        <v>7974</v>
      </c>
      <c r="I4064" t="s">
        <v>7399</v>
      </c>
      <c r="J4064" t="s">
        <v>7984</v>
      </c>
    </row>
    <row r="4065" spans="1:10" x14ac:dyDescent="0.25">
      <c r="A4065" t="s">
        <v>16837</v>
      </c>
      <c r="B4065">
        <v>19.992000000000001</v>
      </c>
      <c r="C4065" t="s">
        <v>16838</v>
      </c>
      <c r="D4065" t="s">
        <v>60</v>
      </c>
      <c r="E4065" t="s">
        <v>16822</v>
      </c>
      <c r="F4065" t="s">
        <v>7672</v>
      </c>
      <c r="G4065" t="s">
        <v>16823</v>
      </c>
      <c r="H4065" t="s">
        <v>7974</v>
      </c>
      <c r="I4065" t="s">
        <v>935</v>
      </c>
      <c r="J4065" t="s">
        <v>7984</v>
      </c>
    </row>
    <row r="4066" spans="1:10" x14ac:dyDescent="0.25">
      <c r="A4066" t="s">
        <v>16839</v>
      </c>
      <c r="B4066">
        <v>7.2</v>
      </c>
      <c r="C4066" t="s">
        <v>16840</v>
      </c>
      <c r="D4066" t="s">
        <v>9951</v>
      </c>
      <c r="E4066" t="s">
        <v>16822</v>
      </c>
      <c r="F4066" t="s">
        <v>7672</v>
      </c>
      <c r="G4066" t="s">
        <v>16823</v>
      </c>
      <c r="H4066" t="s">
        <v>7974</v>
      </c>
      <c r="I4066" t="s">
        <v>16841</v>
      </c>
      <c r="J4066" t="s">
        <v>7987</v>
      </c>
    </row>
    <row r="4067" spans="1:10" x14ac:dyDescent="0.25">
      <c r="A4067" t="s">
        <v>16842</v>
      </c>
      <c r="B4067">
        <v>7.2</v>
      </c>
      <c r="C4067" t="s">
        <v>16843</v>
      </c>
      <c r="D4067" t="s">
        <v>10084</v>
      </c>
      <c r="E4067" t="s">
        <v>16822</v>
      </c>
      <c r="F4067" t="s">
        <v>7672</v>
      </c>
      <c r="G4067" t="s">
        <v>16823</v>
      </c>
      <c r="H4067" t="s">
        <v>7974</v>
      </c>
      <c r="I4067" t="s">
        <v>76</v>
      </c>
      <c r="J4067" t="s">
        <v>7987</v>
      </c>
    </row>
    <row r="4068" spans="1:10" x14ac:dyDescent="0.25">
      <c r="A4068" t="s">
        <v>16844</v>
      </c>
      <c r="B4068">
        <v>7.2</v>
      </c>
      <c r="C4068" t="s">
        <v>16845</v>
      </c>
      <c r="D4068" t="s">
        <v>8164</v>
      </c>
      <c r="E4068" t="s">
        <v>16822</v>
      </c>
      <c r="F4068" t="s">
        <v>7672</v>
      </c>
      <c r="G4068" t="s">
        <v>16823</v>
      </c>
      <c r="H4068" t="s">
        <v>7974</v>
      </c>
      <c r="I4068" t="s">
        <v>7399</v>
      </c>
      <c r="J4068" t="s">
        <v>7987</v>
      </c>
    </row>
    <row r="4069" spans="1:10" x14ac:dyDescent="0.25">
      <c r="A4069" t="s">
        <v>16846</v>
      </c>
      <c r="B4069">
        <v>7.2</v>
      </c>
      <c r="C4069" t="s">
        <v>16847</v>
      </c>
      <c r="D4069" t="s">
        <v>16848</v>
      </c>
      <c r="E4069" t="s">
        <v>16822</v>
      </c>
      <c r="F4069" t="s">
        <v>7672</v>
      </c>
      <c r="G4069" t="s">
        <v>16823</v>
      </c>
      <c r="H4069" t="s">
        <v>7974</v>
      </c>
      <c r="I4069" t="s">
        <v>16841</v>
      </c>
      <c r="J4069" t="s">
        <v>8001</v>
      </c>
    </row>
    <row r="4070" spans="1:10" x14ac:dyDescent="0.25">
      <c r="A4070" t="s">
        <v>16849</v>
      </c>
      <c r="B4070">
        <v>7.2</v>
      </c>
      <c r="C4070" t="s">
        <v>16850</v>
      </c>
      <c r="D4070" t="s">
        <v>16851</v>
      </c>
      <c r="E4070" t="s">
        <v>16822</v>
      </c>
      <c r="F4070" t="s">
        <v>7672</v>
      </c>
      <c r="G4070" t="s">
        <v>16823</v>
      </c>
      <c r="H4070" t="s">
        <v>7974</v>
      </c>
      <c r="I4070" t="s">
        <v>76</v>
      </c>
      <c r="J4070" t="s">
        <v>8001</v>
      </c>
    </row>
    <row r="4071" spans="1:10" x14ac:dyDescent="0.25">
      <c r="A4071" t="s">
        <v>16852</v>
      </c>
      <c r="B4071">
        <v>7.2</v>
      </c>
      <c r="C4071" t="s">
        <v>16853</v>
      </c>
      <c r="D4071" t="s">
        <v>12873</v>
      </c>
      <c r="E4071" t="s">
        <v>16822</v>
      </c>
      <c r="F4071" t="s">
        <v>7672</v>
      </c>
      <c r="G4071" t="s">
        <v>16823</v>
      </c>
      <c r="H4071" t="s">
        <v>7974</v>
      </c>
      <c r="I4071" t="s">
        <v>7399</v>
      </c>
      <c r="J4071" t="s">
        <v>8001</v>
      </c>
    </row>
    <row r="4072" spans="1:10" x14ac:dyDescent="0.25">
      <c r="A4072" t="s">
        <v>16854</v>
      </c>
      <c r="B4072">
        <v>7.2</v>
      </c>
      <c r="C4072" t="s">
        <v>16855</v>
      </c>
      <c r="D4072" t="s">
        <v>10616</v>
      </c>
      <c r="E4072" t="s">
        <v>16822</v>
      </c>
      <c r="F4072" t="s">
        <v>7672</v>
      </c>
      <c r="G4072" t="s">
        <v>16823</v>
      </c>
      <c r="H4072" t="s">
        <v>7974</v>
      </c>
      <c r="I4072" t="s">
        <v>16841</v>
      </c>
      <c r="J4072" t="s">
        <v>8013</v>
      </c>
    </row>
    <row r="4073" spans="1:10" x14ac:dyDescent="0.25">
      <c r="A4073" t="s">
        <v>16856</v>
      </c>
      <c r="B4073">
        <v>7.2</v>
      </c>
      <c r="C4073" t="s">
        <v>16857</v>
      </c>
      <c r="D4073" t="s">
        <v>7057</v>
      </c>
      <c r="E4073" t="s">
        <v>16822</v>
      </c>
      <c r="F4073" t="s">
        <v>7672</v>
      </c>
      <c r="G4073" t="s">
        <v>16823</v>
      </c>
      <c r="H4073" t="s">
        <v>7974</v>
      </c>
      <c r="I4073" t="s">
        <v>16858</v>
      </c>
      <c r="J4073" t="s">
        <v>8013</v>
      </c>
    </row>
    <row r="4074" spans="1:10" x14ac:dyDescent="0.25">
      <c r="A4074" t="s">
        <v>16859</v>
      </c>
      <c r="B4074">
        <v>7.2</v>
      </c>
      <c r="C4074" t="s">
        <v>16860</v>
      </c>
      <c r="D4074" t="s">
        <v>7926</v>
      </c>
      <c r="E4074" t="s">
        <v>16822</v>
      </c>
      <c r="F4074" t="s">
        <v>7672</v>
      </c>
      <c r="G4074" t="s">
        <v>16823</v>
      </c>
      <c r="H4074" t="s">
        <v>7974</v>
      </c>
      <c r="I4074" t="s">
        <v>76</v>
      </c>
      <c r="J4074" t="s">
        <v>8013</v>
      </c>
    </row>
    <row r="4075" spans="1:10" x14ac:dyDescent="0.25">
      <c r="A4075" t="s">
        <v>16861</v>
      </c>
      <c r="B4075">
        <v>7.2</v>
      </c>
      <c r="C4075" t="s">
        <v>16862</v>
      </c>
      <c r="D4075" t="s">
        <v>1842</v>
      </c>
      <c r="E4075" t="s">
        <v>16822</v>
      </c>
      <c r="F4075" t="s">
        <v>7672</v>
      </c>
      <c r="G4075" t="s">
        <v>16823</v>
      </c>
      <c r="H4075" t="s">
        <v>7974</v>
      </c>
      <c r="I4075" t="s">
        <v>7399</v>
      </c>
      <c r="J4075" t="s">
        <v>8013</v>
      </c>
    </row>
    <row r="4076" spans="1:10" x14ac:dyDescent="0.25">
      <c r="A4076" t="s">
        <v>4154</v>
      </c>
      <c r="B4076">
        <v>15.6</v>
      </c>
      <c r="C4076" t="s">
        <v>4156</v>
      </c>
      <c r="D4076" t="s">
        <v>4159</v>
      </c>
      <c r="E4076" t="s">
        <v>4157</v>
      </c>
      <c r="F4076" t="s">
        <v>7672</v>
      </c>
      <c r="G4076" t="s">
        <v>16863</v>
      </c>
      <c r="H4076" t="s">
        <v>8078</v>
      </c>
      <c r="I4076" t="s">
        <v>8884</v>
      </c>
      <c r="J4076" t="s">
        <v>7675</v>
      </c>
    </row>
    <row r="4077" spans="1:10" x14ac:dyDescent="0.25">
      <c r="A4077" t="s">
        <v>4162</v>
      </c>
      <c r="B4077">
        <v>15.6</v>
      </c>
      <c r="C4077" t="s">
        <v>4164</v>
      </c>
      <c r="D4077" t="s">
        <v>3572</v>
      </c>
      <c r="E4077" t="s">
        <v>4157</v>
      </c>
      <c r="F4077" t="s">
        <v>7672</v>
      </c>
      <c r="G4077" t="s">
        <v>16863</v>
      </c>
      <c r="H4077" t="s">
        <v>8078</v>
      </c>
      <c r="I4077" t="s">
        <v>7952</v>
      </c>
      <c r="J4077" t="s">
        <v>7675</v>
      </c>
    </row>
    <row r="4078" spans="1:10" x14ac:dyDescent="0.25">
      <c r="A4078" t="s">
        <v>4166</v>
      </c>
      <c r="B4078">
        <v>15.6</v>
      </c>
      <c r="C4078" t="s">
        <v>4168</v>
      </c>
      <c r="D4078" t="s">
        <v>330</v>
      </c>
      <c r="E4078" t="s">
        <v>4157</v>
      </c>
      <c r="F4078" t="s">
        <v>7672</v>
      </c>
      <c r="G4078" t="s">
        <v>16863</v>
      </c>
      <c r="H4078" t="s">
        <v>8078</v>
      </c>
      <c r="I4078" t="s">
        <v>8884</v>
      </c>
      <c r="J4078" t="s">
        <v>7719</v>
      </c>
    </row>
    <row r="4079" spans="1:10" x14ac:dyDescent="0.25">
      <c r="A4079" t="s">
        <v>16864</v>
      </c>
      <c r="B4079">
        <v>5.6000000000000014</v>
      </c>
      <c r="C4079" t="s">
        <v>16865</v>
      </c>
      <c r="D4079" t="s">
        <v>3184</v>
      </c>
      <c r="E4079" t="s">
        <v>16866</v>
      </c>
      <c r="F4079" t="s">
        <v>7672</v>
      </c>
      <c r="G4079" t="s">
        <v>16867</v>
      </c>
      <c r="H4079" t="s">
        <v>7674</v>
      </c>
      <c r="I4079" t="s">
        <v>12313</v>
      </c>
      <c r="J4079" t="s">
        <v>16271</v>
      </c>
    </row>
    <row r="4080" spans="1:10" x14ac:dyDescent="0.25">
      <c r="A4080" t="s">
        <v>16868</v>
      </c>
      <c r="B4080">
        <v>5.6000000000000014</v>
      </c>
      <c r="C4080" t="s">
        <v>16869</v>
      </c>
      <c r="D4080" t="s">
        <v>2204</v>
      </c>
      <c r="E4080" t="s">
        <v>16866</v>
      </c>
      <c r="F4080" t="s">
        <v>7672</v>
      </c>
      <c r="G4080" t="s">
        <v>16867</v>
      </c>
      <c r="H4080" t="s">
        <v>7674</v>
      </c>
      <c r="I4080" t="s">
        <v>13965</v>
      </c>
      <c r="J4080" t="s">
        <v>16271</v>
      </c>
    </row>
    <row r="4081" spans="1:10" x14ac:dyDescent="0.25">
      <c r="A4081" t="s">
        <v>16870</v>
      </c>
      <c r="B4081">
        <v>5.6000000000000014</v>
      </c>
      <c r="C4081" t="s">
        <v>16871</v>
      </c>
      <c r="D4081" t="s">
        <v>4584</v>
      </c>
      <c r="E4081" t="s">
        <v>16866</v>
      </c>
      <c r="F4081" t="s">
        <v>7672</v>
      </c>
      <c r="G4081" t="s">
        <v>16867</v>
      </c>
      <c r="H4081" t="s">
        <v>7674</v>
      </c>
      <c r="I4081" t="s">
        <v>8357</v>
      </c>
      <c r="J4081" t="s">
        <v>16271</v>
      </c>
    </row>
    <row r="4082" spans="1:10" x14ac:dyDescent="0.25">
      <c r="A4082" t="s">
        <v>16872</v>
      </c>
      <c r="B4082">
        <v>5.6000000000000014</v>
      </c>
      <c r="C4082" t="s">
        <v>16873</v>
      </c>
      <c r="D4082" t="s">
        <v>1805</v>
      </c>
      <c r="E4082" t="s">
        <v>16866</v>
      </c>
      <c r="F4082" t="s">
        <v>7672</v>
      </c>
      <c r="G4082" t="s">
        <v>16867</v>
      </c>
      <c r="H4082" t="s">
        <v>7674</v>
      </c>
      <c r="I4082" t="s">
        <v>13965</v>
      </c>
      <c r="J4082" t="s">
        <v>16276</v>
      </c>
    </row>
    <row r="4083" spans="1:10" x14ac:dyDescent="0.25">
      <c r="A4083" t="s">
        <v>16874</v>
      </c>
      <c r="B4083">
        <v>13.992000000000001</v>
      </c>
      <c r="C4083" t="s">
        <v>16875</v>
      </c>
      <c r="D4083" t="s">
        <v>330</v>
      </c>
      <c r="E4083" t="s">
        <v>16876</v>
      </c>
      <c r="F4083" t="s">
        <v>7672</v>
      </c>
      <c r="G4083" t="s">
        <v>16877</v>
      </c>
      <c r="H4083" t="s">
        <v>9127</v>
      </c>
      <c r="I4083" t="s">
        <v>16878</v>
      </c>
      <c r="J4083" t="s">
        <v>7942</v>
      </c>
    </row>
    <row r="4084" spans="1:10" x14ac:dyDescent="0.25">
      <c r="A4084" t="s">
        <v>16879</v>
      </c>
      <c r="B4084">
        <v>10.4</v>
      </c>
      <c r="C4084" t="s">
        <v>16880</v>
      </c>
      <c r="D4084" t="s">
        <v>2787</v>
      </c>
      <c r="E4084" t="s">
        <v>16881</v>
      </c>
      <c r="F4084" t="s">
        <v>7672</v>
      </c>
      <c r="G4084" t="s">
        <v>16882</v>
      </c>
      <c r="H4084" t="s">
        <v>10321</v>
      </c>
      <c r="I4084" t="s">
        <v>16883</v>
      </c>
      <c r="J4084" t="s">
        <v>8427</v>
      </c>
    </row>
    <row r="4085" spans="1:10" x14ac:dyDescent="0.25">
      <c r="A4085" t="s">
        <v>16884</v>
      </c>
      <c r="B4085">
        <v>10.4</v>
      </c>
      <c r="C4085" t="s">
        <v>16885</v>
      </c>
      <c r="D4085" t="s">
        <v>908</v>
      </c>
      <c r="E4085" t="s">
        <v>16881</v>
      </c>
      <c r="F4085" t="s">
        <v>7672</v>
      </c>
      <c r="G4085" t="s">
        <v>16882</v>
      </c>
      <c r="H4085" t="s">
        <v>10321</v>
      </c>
      <c r="I4085" t="s">
        <v>16883</v>
      </c>
      <c r="J4085" t="s">
        <v>8439</v>
      </c>
    </row>
    <row r="4086" spans="1:10" x14ac:dyDescent="0.25">
      <c r="A4086" t="s">
        <v>16886</v>
      </c>
      <c r="B4086">
        <v>10.4</v>
      </c>
      <c r="C4086" t="s">
        <v>16887</v>
      </c>
      <c r="D4086" t="s">
        <v>633</v>
      </c>
      <c r="E4086" t="s">
        <v>16881</v>
      </c>
      <c r="F4086" t="s">
        <v>7672</v>
      </c>
      <c r="G4086" t="s">
        <v>16882</v>
      </c>
      <c r="H4086" t="s">
        <v>10321</v>
      </c>
      <c r="I4086" t="s">
        <v>16883</v>
      </c>
      <c r="J4086" t="s">
        <v>8451</v>
      </c>
    </row>
    <row r="4087" spans="1:10" x14ac:dyDescent="0.25">
      <c r="A4087" t="s">
        <v>4170</v>
      </c>
      <c r="B4087">
        <v>8.32</v>
      </c>
      <c r="C4087" t="s">
        <v>4172</v>
      </c>
      <c r="D4087" t="s">
        <v>1811</v>
      </c>
      <c r="E4087" t="s">
        <v>4173</v>
      </c>
      <c r="F4087" t="s">
        <v>7672</v>
      </c>
      <c r="G4087" t="s">
        <v>16888</v>
      </c>
      <c r="H4087" t="s">
        <v>8078</v>
      </c>
      <c r="I4087" t="s">
        <v>16889</v>
      </c>
      <c r="J4087" t="s">
        <v>7987</v>
      </c>
    </row>
    <row r="4088" spans="1:10" x14ac:dyDescent="0.25">
      <c r="A4088" t="s">
        <v>16890</v>
      </c>
      <c r="B4088">
        <v>8.8000000000000007</v>
      </c>
      <c r="C4088" t="s">
        <v>16891</v>
      </c>
      <c r="D4088" t="s">
        <v>379</v>
      </c>
      <c r="E4088" t="s">
        <v>16892</v>
      </c>
      <c r="F4088" t="s">
        <v>7672</v>
      </c>
      <c r="G4088" t="s">
        <v>16893</v>
      </c>
      <c r="H4088" t="s">
        <v>8027</v>
      </c>
      <c r="I4088" t="s">
        <v>8158</v>
      </c>
      <c r="J4088" t="s">
        <v>7942</v>
      </c>
    </row>
    <row r="4089" spans="1:10" x14ac:dyDescent="0.25">
      <c r="A4089" t="s">
        <v>16894</v>
      </c>
      <c r="B4089">
        <v>8.8000000000000007</v>
      </c>
      <c r="C4089" t="s">
        <v>16895</v>
      </c>
      <c r="D4089" t="s">
        <v>2262</v>
      </c>
      <c r="E4089" t="s">
        <v>16892</v>
      </c>
      <c r="F4089" t="s">
        <v>7672</v>
      </c>
      <c r="G4089" t="s">
        <v>16893</v>
      </c>
      <c r="H4089" t="s">
        <v>8027</v>
      </c>
      <c r="I4089" t="s">
        <v>8158</v>
      </c>
      <c r="J4089" t="s">
        <v>7981</v>
      </c>
    </row>
    <row r="4090" spans="1:10" x14ac:dyDescent="0.25">
      <c r="A4090" t="s">
        <v>16896</v>
      </c>
      <c r="B4090">
        <v>8.8000000000000007</v>
      </c>
      <c r="C4090" t="s">
        <v>16897</v>
      </c>
      <c r="D4090" t="s">
        <v>9571</v>
      </c>
      <c r="E4090" t="s">
        <v>16892</v>
      </c>
      <c r="F4090" t="s">
        <v>7672</v>
      </c>
      <c r="G4090" t="s">
        <v>16893</v>
      </c>
      <c r="H4090" t="s">
        <v>8027</v>
      </c>
      <c r="I4090" t="s">
        <v>8158</v>
      </c>
      <c r="J4090" t="s">
        <v>7984</v>
      </c>
    </row>
    <row r="4091" spans="1:10" x14ac:dyDescent="0.25">
      <c r="A4091" t="s">
        <v>16898</v>
      </c>
      <c r="B4091">
        <v>8.8000000000000007</v>
      </c>
      <c r="C4091" t="s">
        <v>16899</v>
      </c>
      <c r="D4091" t="s">
        <v>8040</v>
      </c>
      <c r="E4091" t="s">
        <v>16892</v>
      </c>
      <c r="F4091" t="s">
        <v>7672</v>
      </c>
      <c r="G4091" t="s">
        <v>16893</v>
      </c>
      <c r="H4091" t="s">
        <v>8027</v>
      </c>
      <c r="I4091" t="s">
        <v>8158</v>
      </c>
      <c r="J4091" t="s">
        <v>7987</v>
      </c>
    </row>
    <row r="4092" spans="1:10" x14ac:dyDescent="0.25">
      <c r="A4092" t="s">
        <v>16900</v>
      </c>
      <c r="B4092">
        <v>8.8000000000000007</v>
      </c>
      <c r="C4092" t="s">
        <v>16901</v>
      </c>
      <c r="D4092" t="s">
        <v>4159</v>
      </c>
      <c r="E4092" t="s">
        <v>16892</v>
      </c>
      <c r="F4092" t="s">
        <v>7672</v>
      </c>
      <c r="G4092" t="s">
        <v>16893</v>
      </c>
      <c r="H4092" t="s">
        <v>8027</v>
      </c>
      <c r="I4092" t="s">
        <v>8158</v>
      </c>
      <c r="J4092" t="s">
        <v>8001</v>
      </c>
    </row>
    <row r="4093" spans="1:10" x14ac:dyDescent="0.25">
      <c r="A4093" t="s">
        <v>16902</v>
      </c>
      <c r="B4093">
        <v>8.8000000000000007</v>
      </c>
      <c r="C4093" t="s">
        <v>16903</v>
      </c>
      <c r="D4093" t="s">
        <v>15940</v>
      </c>
      <c r="E4093" t="s">
        <v>16892</v>
      </c>
      <c r="F4093" t="s">
        <v>7672</v>
      </c>
      <c r="G4093" t="s">
        <v>16893</v>
      </c>
      <c r="H4093" t="s">
        <v>8027</v>
      </c>
      <c r="I4093" t="s">
        <v>8158</v>
      </c>
      <c r="J4093" t="s">
        <v>8013</v>
      </c>
    </row>
    <row r="4094" spans="1:10" x14ac:dyDescent="0.25">
      <c r="A4094" t="s">
        <v>16904</v>
      </c>
      <c r="B4094">
        <v>6.7200000000000006</v>
      </c>
      <c r="C4094" t="s">
        <v>16905</v>
      </c>
      <c r="D4094" t="s">
        <v>3258</v>
      </c>
      <c r="E4094" t="s">
        <v>16906</v>
      </c>
      <c r="F4094" t="s">
        <v>7672</v>
      </c>
      <c r="G4094" t="s">
        <v>16907</v>
      </c>
      <c r="H4094" t="s">
        <v>11496</v>
      </c>
      <c r="I4094" t="s">
        <v>497</v>
      </c>
      <c r="J4094" t="s">
        <v>10369</v>
      </c>
    </row>
    <row r="4095" spans="1:10" x14ac:dyDescent="0.25">
      <c r="A4095" t="s">
        <v>16908</v>
      </c>
      <c r="B4095">
        <v>6.7200000000000006</v>
      </c>
      <c r="C4095" t="s">
        <v>16909</v>
      </c>
      <c r="D4095" t="s">
        <v>3435</v>
      </c>
      <c r="E4095" t="s">
        <v>16906</v>
      </c>
      <c r="F4095" t="s">
        <v>7672</v>
      </c>
      <c r="G4095" t="s">
        <v>16907</v>
      </c>
      <c r="H4095" t="s">
        <v>11496</v>
      </c>
      <c r="I4095" t="s">
        <v>497</v>
      </c>
      <c r="J4095" t="s">
        <v>11590</v>
      </c>
    </row>
    <row r="4096" spans="1:10" x14ac:dyDescent="0.25">
      <c r="A4096" t="s">
        <v>16910</v>
      </c>
      <c r="B4096">
        <v>6.7200000000000006</v>
      </c>
      <c r="C4096" t="s">
        <v>16911</v>
      </c>
      <c r="D4096" t="s">
        <v>2262</v>
      </c>
      <c r="E4096" t="s">
        <v>16906</v>
      </c>
      <c r="F4096" t="s">
        <v>7672</v>
      </c>
      <c r="G4096" t="s">
        <v>16907</v>
      </c>
      <c r="H4096" t="s">
        <v>11496</v>
      </c>
      <c r="I4096" t="s">
        <v>497</v>
      </c>
      <c r="J4096" t="s">
        <v>11593</v>
      </c>
    </row>
    <row r="4097" spans="1:10" x14ac:dyDescent="0.25">
      <c r="A4097" t="s">
        <v>16912</v>
      </c>
      <c r="B4097">
        <v>6.7200000000000006</v>
      </c>
      <c r="C4097" t="s">
        <v>16913</v>
      </c>
      <c r="D4097" t="s">
        <v>1573</v>
      </c>
      <c r="E4097" t="s">
        <v>16906</v>
      </c>
      <c r="F4097" t="s">
        <v>7672</v>
      </c>
      <c r="G4097" t="s">
        <v>16907</v>
      </c>
      <c r="H4097" t="s">
        <v>11496</v>
      </c>
      <c r="I4097" t="s">
        <v>497</v>
      </c>
      <c r="J4097" t="s">
        <v>11783</v>
      </c>
    </row>
    <row r="4098" spans="1:10" x14ac:dyDescent="0.25">
      <c r="A4098" t="s">
        <v>16914</v>
      </c>
      <c r="B4098">
        <v>6.2960000000000003</v>
      </c>
      <c r="C4098" t="s">
        <v>16915</v>
      </c>
      <c r="D4098" t="s">
        <v>16834</v>
      </c>
      <c r="E4098" t="s">
        <v>16916</v>
      </c>
      <c r="F4098" t="s">
        <v>7672</v>
      </c>
      <c r="G4098" t="s">
        <v>16917</v>
      </c>
      <c r="H4098" t="s">
        <v>9693</v>
      </c>
      <c r="I4098" t="s">
        <v>497</v>
      </c>
      <c r="J4098" t="s">
        <v>9694</v>
      </c>
    </row>
    <row r="4099" spans="1:10" x14ac:dyDescent="0.25">
      <c r="A4099" t="s">
        <v>16918</v>
      </c>
      <c r="B4099">
        <v>4.32</v>
      </c>
      <c r="C4099" t="s">
        <v>16919</v>
      </c>
      <c r="D4099" t="s">
        <v>6194</v>
      </c>
      <c r="E4099" t="s">
        <v>16920</v>
      </c>
      <c r="F4099" t="s">
        <v>7672</v>
      </c>
      <c r="G4099" t="s">
        <v>16921</v>
      </c>
      <c r="H4099" t="s">
        <v>10298</v>
      </c>
      <c r="I4099" t="s">
        <v>278</v>
      </c>
      <c r="J4099" t="s">
        <v>7984</v>
      </c>
    </row>
    <row r="4100" spans="1:10" x14ac:dyDescent="0.25">
      <c r="A4100" t="s">
        <v>16922</v>
      </c>
      <c r="B4100">
        <v>4.32</v>
      </c>
      <c r="C4100" t="s">
        <v>16923</v>
      </c>
      <c r="D4100" t="s">
        <v>3577</v>
      </c>
      <c r="E4100" t="s">
        <v>16920</v>
      </c>
      <c r="F4100" t="s">
        <v>7672</v>
      </c>
      <c r="G4100" t="s">
        <v>16921</v>
      </c>
      <c r="H4100" t="s">
        <v>10298</v>
      </c>
      <c r="I4100" t="s">
        <v>16924</v>
      </c>
      <c r="J4100" t="s">
        <v>7984</v>
      </c>
    </row>
    <row r="4101" spans="1:10" x14ac:dyDescent="0.25">
      <c r="A4101" t="s">
        <v>16925</v>
      </c>
      <c r="B4101">
        <v>4.32</v>
      </c>
      <c r="C4101" t="s">
        <v>16926</v>
      </c>
      <c r="D4101" t="s">
        <v>2787</v>
      </c>
      <c r="E4101" t="s">
        <v>16920</v>
      </c>
      <c r="F4101" t="s">
        <v>7672</v>
      </c>
      <c r="G4101" t="s">
        <v>16921</v>
      </c>
      <c r="H4101" t="s">
        <v>10298</v>
      </c>
      <c r="I4101" t="s">
        <v>16927</v>
      </c>
      <c r="J4101" t="s">
        <v>7984</v>
      </c>
    </row>
    <row r="4102" spans="1:10" x14ac:dyDescent="0.25">
      <c r="A4102" t="s">
        <v>16928</v>
      </c>
      <c r="B4102">
        <v>4.32</v>
      </c>
      <c r="C4102" t="s">
        <v>16929</v>
      </c>
      <c r="D4102" t="s">
        <v>964</v>
      </c>
      <c r="E4102" t="s">
        <v>16920</v>
      </c>
      <c r="F4102" t="s">
        <v>7672</v>
      </c>
      <c r="G4102" t="s">
        <v>16921</v>
      </c>
      <c r="H4102" t="s">
        <v>10298</v>
      </c>
      <c r="I4102" t="s">
        <v>16930</v>
      </c>
      <c r="J4102" t="s">
        <v>7984</v>
      </c>
    </row>
    <row r="4103" spans="1:10" x14ac:dyDescent="0.25">
      <c r="A4103" t="s">
        <v>16931</v>
      </c>
      <c r="B4103">
        <v>4.32</v>
      </c>
      <c r="C4103" t="s">
        <v>16932</v>
      </c>
      <c r="D4103" t="s">
        <v>3258</v>
      </c>
      <c r="E4103" t="s">
        <v>16920</v>
      </c>
      <c r="F4103" t="s">
        <v>7672</v>
      </c>
      <c r="G4103" t="s">
        <v>16921</v>
      </c>
      <c r="H4103" t="s">
        <v>10298</v>
      </c>
      <c r="I4103" t="s">
        <v>76</v>
      </c>
      <c r="J4103" t="s">
        <v>7984</v>
      </c>
    </row>
    <row r="4104" spans="1:10" x14ac:dyDescent="0.25">
      <c r="A4104" t="s">
        <v>16933</v>
      </c>
      <c r="B4104">
        <v>4.32</v>
      </c>
      <c r="C4104" t="s">
        <v>16934</v>
      </c>
      <c r="D4104" t="s">
        <v>379</v>
      </c>
      <c r="E4104" t="s">
        <v>16920</v>
      </c>
      <c r="F4104" t="s">
        <v>7672</v>
      </c>
      <c r="G4104" t="s">
        <v>16921</v>
      </c>
      <c r="H4104" t="s">
        <v>10298</v>
      </c>
      <c r="I4104" t="s">
        <v>16935</v>
      </c>
      <c r="J4104" t="s">
        <v>7984</v>
      </c>
    </row>
    <row r="4105" spans="1:10" x14ac:dyDescent="0.25">
      <c r="A4105" t="s">
        <v>16936</v>
      </c>
      <c r="B4105">
        <v>4.32</v>
      </c>
      <c r="C4105" t="s">
        <v>16937</v>
      </c>
      <c r="D4105" t="s">
        <v>2198</v>
      </c>
      <c r="E4105" t="s">
        <v>16920</v>
      </c>
      <c r="F4105" t="s">
        <v>7672</v>
      </c>
      <c r="G4105" t="s">
        <v>16921</v>
      </c>
      <c r="H4105" t="s">
        <v>10298</v>
      </c>
      <c r="I4105" t="s">
        <v>11655</v>
      </c>
      <c r="J4105" t="s">
        <v>7984</v>
      </c>
    </row>
    <row r="4106" spans="1:10" x14ac:dyDescent="0.25">
      <c r="A4106" t="s">
        <v>16938</v>
      </c>
      <c r="B4106">
        <v>4.32</v>
      </c>
      <c r="C4106" t="s">
        <v>16939</v>
      </c>
      <c r="D4106" t="s">
        <v>1965</v>
      </c>
      <c r="E4106" t="s">
        <v>16920</v>
      </c>
      <c r="F4106" t="s">
        <v>7672</v>
      </c>
      <c r="G4106" t="s">
        <v>16921</v>
      </c>
      <c r="H4106" t="s">
        <v>10298</v>
      </c>
      <c r="I4106" t="s">
        <v>16940</v>
      </c>
      <c r="J4106" t="s">
        <v>7984</v>
      </c>
    </row>
    <row r="4107" spans="1:10" x14ac:dyDescent="0.25">
      <c r="A4107" t="s">
        <v>16941</v>
      </c>
      <c r="B4107">
        <v>4.32</v>
      </c>
      <c r="C4107" t="s">
        <v>16942</v>
      </c>
      <c r="D4107" t="s">
        <v>4924</v>
      </c>
      <c r="E4107" t="s">
        <v>16920</v>
      </c>
      <c r="F4107" t="s">
        <v>7672</v>
      </c>
      <c r="G4107" t="s">
        <v>16921</v>
      </c>
      <c r="H4107" t="s">
        <v>10298</v>
      </c>
      <c r="I4107" t="s">
        <v>16930</v>
      </c>
      <c r="J4107" t="s">
        <v>7987</v>
      </c>
    </row>
    <row r="4108" spans="1:10" x14ac:dyDescent="0.25">
      <c r="A4108" t="s">
        <v>16943</v>
      </c>
      <c r="B4108">
        <v>4.32</v>
      </c>
      <c r="C4108" t="s">
        <v>16944</v>
      </c>
      <c r="D4108" t="s">
        <v>1710</v>
      </c>
      <c r="E4108" t="s">
        <v>16920</v>
      </c>
      <c r="F4108" t="s">
        <v>7672</v>
      </c>
      <c r="G4108" t="s">
        <v>16921</v>
      </c>
      <c r="H4108" t="s">
        <v>10298</v>
      </c>
      <c r="I4108" t="s">
        <v>16924</v>
      </c>
      <c r="J4108" t="s">
        <v>7987</v>
      </c>
    </row>
    <row r="4109" spans="1:10" x14ac:dyDescent="0.25">
      <c r="A4109" t="s">
        <v>16945</v>
      </c>
      <c r="B4109">
        <v>4.32</v>
      </c>
      <c r="C4109" t="s">
        <v>16946</v>
      </c>
      <c r="D4109" t="s">
        <v>11485</v>
      </c>
      <c r="E4109" t="s">
        <v>16920</v>
      </c>
      <c r="F4109" t="s">
        <v>7672</v>
      </c>
      <c r="G4109" t="s">
        <v>16921</v>
      </c>
      <c r="H4109" t="s">
        <v>10298</v>
      </c>
      <c r="I4109" t="s">
        <v>278</v>
      </c>
      <c r="J4109" t="s">
        <v>7987</v>
      </c>
    </row>
    <row r="4110" spans="1:10" x14ac:dyDescent="0.25">
      <c r="A4110" t="s">
        <v>16947</v>
      </c>
      <c r="B4110">
        <v>4.32</v>
      </c>
      <c r="C4110" t="s">
        <v>16948</v>
      </c>
      <c r="D4110" t="s">
        <v>8193</v>
      </c>
      <c r="E4110" t="s">
        <v>16920</v>
      </c>
      <c r="F4110" t="s">
        <v>7672</v>
      </c>
      <c r="G4110" t="s">
        <v>16921</v>
      </c>
      <c r="H4110" t="s">
        <v>10298</v>
      </c>
      <c r="I4110" t="s">
        <v>16927</v>
      </c>
      <c r="J4110" t="s">
        <v>7987</v>
      </c>
    </row>
    <row r="4111" spans="1:10" x14ac:dyDescent="0.25">
      <c r="A4111" t="s">
        <v>16949</v>
      </c>
      <c r="B4111">
        <v>4.32</v>
      </c>
      <c r="C4111" t="s">
        <v>16950</v>
      </c>
      <c r="D4111" t="s">
        <v>8744</v>
      </c>
      <c r="E4111" t="s">
        <v>16920</v>
      </c>
      <c r="F4111" t="s">
        <v>7672</v>
      </c>
      <c r="G4111" t="s">
        <v>16921</v>
      </c>
      <c r="H4111" t="s">
        <v>10298</v>
      </c>
      <c r="I4111" t="s">
        <v>76</v>
      </c>
      <c r="J4111" t="s">
        <v>7987</v>
      </c>
    </row>
    <row r="4112" spans="1:10" x14ac:dyDescent="0.25">
      <c r="A4112" t="s">
        <v>16951</v>
      </c>
      <c r="B4112">
        <v>4.32</v>
      </c>
      <c r="C4112" t="s">
        <v>16952</v>
      </c>
      <c r="D4112" t="s">
        <v>598</v>
      </c>
      <c r="E4112" t="s">
        <v>16920</v>
      </c>
      <c r="F4112" t="s">
        <v>7672</v>
      </c>
      <c r="G4112" t="s">
        <v>16921</v>
      </c>
      <c r="H4112" t="s">
        <v>10298</v>
      </c>
      <c r="I4112" t="s">
        <v>16935</v>
      </c>
      <c r="J4112" t="s">
        <v>7987</v>
      </c>
    </row>
    <row r="4113" spans="1:10" x14ac:dyDescent="0.25">
      <c r="A4113" t="s">
        <v>16953</v>
      </c>
      <c r="B4113">
        <v>4.32</v>
      </c>
      <c r="C4113" t="s">
        <v>16954</v>
      </c>
      <c r="D4113" t="s">
        <v>3060</v>
      </c>
      <c r="E4113" t="s">
        <v>16920</v>
      </c>
      <c r="F4113" t="s">
        <v>7672</v>
      </c>
      <c r="G4113" t="s">
        <v>16921</v>
      </c>
      <c r="H4113" t="s">
        <v>10298</v>
      </c>
      <c r="I4113" t="s">
        <v>11655</v>
      </c>
      <c r="J4113" t="s">
        <v>7987</v>
      </c>
    </row>
    <row r="4114" spans="1:10" x14ac:dyDescent="0.25">
      <c r="A4114" t="s">
        <v>16955</v>
      </c>
      <c r="B4114">
        <v>4.32</v>
      </c>
      <c r="C4114" t="s">
        <v>16956</v>
      </c>
      <c r="D4114" t="s">
        <v>3974</v>
      </c>
      <c r="E4114" t="s">
        <v>16920</v>
      </c>
      <c r="F4114" t="s">
        <v>7672</v>
      </c>
      <c r="G4114" t="s">
        <v>16921</v>
      </c>
      <c r="H4114" t="s">
        <v>10298</v>
      </c>
      <c r="I4114" t="s">
        <v>16940</v>
      </c>
      <c r="J4114" t="s">
        <v>7987</v>
      </c>
    </row>
    <row r="4115" spans="1:10" x14ac:dyDescent="0.25">
      <c r="A4115" t="s">
        <v>16957</v>
      </c>
      <c r="B4115">
        <v>4.32</v>
      </c>
      <c r="C4115" t="s">
        <v>16958</v>
      </c>
      <c r="D4115" t="s">
        <v>776</v>
      </c>
      <c r="E4115" t="s">
        <v>16920</v>
      </c>
      <c r="F4115" t="s">
        <v>7672</v>
      </c>
      <c r="G4115" t="s">
        <v>16921</v>
      </c>
      <c r="H4115" t="s">
        <v>10298</v>
      </c>
      <c r="I4115" t="s">
        <v>16924</v>
      </c>
      <c r="J4115" t="s">
        <v>8001</v>
      </c>
    </row>
    <row r="4116" spans="1:10" x14ac:dyDescent="0.25">
      <c r="A4116" t="s">
        <v>16959</v>
      </c>
      <c r="B4116">
        <v>4.32</v>
      </c>
      <c r="C4116" t="s">
        <v>16960</v>
      </c>
      <c r="D4116" t="s">
        <v>705</v>
      </c>
      <c r="E4116" t="s">
        <v>16920</v>
      </c>
      <c r="F4116" t="s">
        <v>7672</v>
      </c>
      <c r="G4116" t="s">
        <v>16921</v>
      </c>
      <c r="H4116" t="s">
        <v>10298</v>
      </c>
      <c r="I4116" t="s">
        <v>16927</v>
      </c>
      <c r="J4116" t="s">
        <v>8001</v>
      </c>
    </row>
    <row r="4117" spans="1:10" x14ac:dyDescent="0.25">
      <c r="A4117" t="s">
        <v>16961</v>
      </c>
      <c r="B4117">
        <v>4.32</v>
      </c>
      <c r="C4117" t="s">
        <v>16962</v>
      </c>
      <c r="D4117" t="s">
        <v>2697</v>
      </c>
      <c r="E4117" t="s">
        <v>16920</v>
      </c>
      <c r="F4117" t="s">
        <v>7672</v>
      </c>
      <c r="G4117" t="s">
        <v>16921</v>
      </c>
      <c r="H4117" t="s">
        <v>10298</v>
      </c>
      <c r="I4117" t="s">
        <v>16930</v>
      </c>
      <c r="J4117" t="s">
        <v>8001</v>
      </c>
    </row>
    <row r="4118" spans="1:10" x14ac:dyDescent="0.25">
      <c r="A4118" t="s">
        <v>16963</v>
      </c>
      <c r="B4118">
        <v>4.32</v>
      </c>
      <c r="C4118" t="s">
        <v>16964</v>
      </c>
      <c r="D4118" t="s">
        <v>2149</v>
      </c>
      <c r="E4118" t="s">
        <v>16920</v>
      </c>
      <c r="F4118" t="s">
        <v>7672</v>
      </c>
      <c r="G4118" t="s">
        <v>16921</v>
      </c>
      <c r="H4118" t="s">
        <v>10298</v>
      </c>
      <c r="I4118" t="s">
        <v>278</v>
      </c>
      <c r="J4118" t="s">
        <v>8001</v>
      </c>
    </row>
    <row r="4119" spans="1:10" x14ac:dyDescent="0.25">
      <c r="A4119" t="s">
        <v>16965</v>
      </c>
      <c r="B4119">
        <v>4.32</v>
      </c>
      <c r="C4119" t="s">
        <v>16966</v>
      </c>
      <c r="D4119" t="s">
        <v>1949</v>
      </c>
      <c r="E4119" t="s">
        <v>16920</v>
      </c>
      <c r="F4119" t="s">
        <v>7672</v>
      </c>
      <c r="G4119" t="s">
        <v>16921</v>
      </c>
      <c r="H4119" t="s">
        <v>10298</v>
      </c>
      <c r="I4119" t="s">
        <v>16940</v>
      </c>
      <c r="J4119" t="s">
        <v>8001</v>
      </c>
    </row>
    <row r="4120" spans="1:10" x14ac:dyDescent="0.25">
      <c r="A4120" t="s">
        <v>16967</v>
      </c>
      <c r="B4120">
        <v>4.32</v>
      </c>
      <c r="C4120" t="s">
        <v>16968</v>
      </c>
      <c r="D4120" t="s">
        <v>698</v>
      </c>
      <c r="E4120" t="s">
        <v>16920</v>
      </c>
      <c r="F4120" t="s">
        <v>7672</v>
      </c>
      <c r="G4120" t="s">
        <v>16921</v>
      </c>
      <c r="H4120" t="s">
        <v>10298</v>
      </c>
      <c r="I4120" t="s">
        <v>16935</v>
      </c>
      <c r="J4120" t="s">
        <v>8001</v>
      </c>
    </row>
    <row r="4121" spans="1:10" x14ac:dyDescent="0.25">
      <c r="A4121" t="s">
        <v>16969</v>
      </c>
      <c r="B4121">
        <v>4.32</v>
      </c>
      <c r="C4121" t="s">
        <v>16970</v>
      </c>
      <c r="D4121" t="s">
        <v>1134</v>
      </c>
      <c r="E4121" t="s">
        <v>16920</v>
      </c>
      <c r="F4121" t="s">
        <v>7672</v>
      </c>
      <c r="G4121" t="s">
        <v>16921</v>
      </c>
      <c r="H4121" t="s">
        <v>10298</v>
      </c>
      <c r="I4121" t="s">
        <v>76</v>
      </c>
      <c r="J4121" t="s">
        <v>8001</v>
      </c>
    </row>
    <row r="4122" spans="1:10" x14ac:dyDescent="0.25">
      <c r="A4122" t="s">
        <v>16971</v>
      </c>
      <c r="B4122">
        <v>4.32</v>
      </c>
      <c r="C4122" t="s">
        <v>16972</v>
      </c>
      <c r="D4122" t="s">
        <v>3378</v>
      </c>
      <c r="E4122" t="s">
        <v>16920</v>
      </c>
      <c r="F4122" t="s">
        <v>7672</v>
      </c>
      <c r="G4122" t="s">
        <v>16921</v>
      </c>
      <c r="H4122" t="s">
        <v>10298</v>
      </c>
      <c r="I4122" t="s">
        <v>11655</v>
      </c>
      <c r="J4122" t="s">
        <v>8001</v>
      </c>
    </row>
    <row r="4123" spans="1:10" x14ac:dyDescent="0.25">
      <c r="A4123" t="s">
        <v>16973</v>
      </c>
      <c r="B4123">
        <v>9</v>
      </c>
      <c r="C4123" t="s">
        <v>16974</v>
      </c>
      <c r="D4123" t="s">
        <v>269</v>
      </c>
      <c r="E4123" t="s">
        <v>16975</v>
      </c>
      <c r="F4123" t="s">
        <v>7672</v>
      </c>
      <c r="G4123" t="s">
        <v>16976</v>
      </c>
      <c r="H4123" t="s">
        <v>16977</v>
      </c>
      <c r="I4123" t="s">
        <v>16978</v>
      </c>
      <c r="J4123" t="s">
        <v>16979</v>
      </c>
    </row>
    <row r="4124" spans="1:10" x14ac:dyDescent="0.25">
      <c r="A4124" t="s">
        <v>16980</v>
      </c>
      <c r="B4124">
        <v>9</v>
      </c>
      <c r="C4124" t="s">
        <v>16981</v>
      </c>
      <c r="D4124" t="s">
        <v>7934</v>
      </c>
      <c r="E4124" t="s">
        <v>16975</v>
      </c>
      <c r="F4124" t="s">
        <v>7672</v>
      </c>
      <c r="G4124" t="s">
        <v>16976</v>
      </c>
      <c r="H4124" t="s">
        <v>16977</v>
      </c>
      <c r="I4124" t="s">
        <v>16978</v>
      </c>
      <c r="J4124" t="s">
        <v>16982</v>
      </c>
    </row>
    <row r="4125" spans="1:10" x14ac:dyDescent="0.25">
      <c r="A4125" t="s">
        <v>16983</v>
      </c>
      <c r="B4125">
        <v>9</v>
      </c>
      <c r="C4125" t="s">
        <v>16984</v>
      </c>
      <c r="D4125" t="s">
        <v>3430</v>
      </c>
      <c r="E4125" t="s">
        <v>16975</v>
      </c>
      <c r="F4125" t="s">
        <v>7672</v>
      </c>
      <c r="G4125" t="s">
        <v>16976</v>
      </c>
      <c r="H4125" t="s">
        <v>16977</v>
      </c>
      <c r="I4125" t="s">
        <v>16978</v>
      </c>
      <c r="J4125" t="s">
        <v>16985</v>
      </c>
    </row>
    <row r="4126" spans="1:10" x14ac:dyDescent="0.25">
      <c r="A4126" t="s">
        <v>16986</v>
      </c>
      <c r="B4126">
        <v>9</v>
      </c>
      <c r="C4126" t="s">
        <v>16987</v>
      </c>
      <c r="D4126" t="s">
        <v>776</v>
      </c>
      <c r="E4126" t="s">
        <v>16975</v>
      </c>
      <c r="F4126" t="s">
        <v>7672</v>
      </c>
      <c r="G4126" t="s">
        <v>16976</v>
      </c>
      <c r="H4126" t="s">
        <v>16977</v>
      </c>
      <c r="I4126" t="s">
        <v>16978</v>
      </c>
      <c r="J4126" t="s">
        <v>16988</v>
      </c>
    </row>
    <row r="4127" spans="1:10" x14ac:dyDescent="0.25">
      <c r="A4127" t="s">
        <v>16989</v>
      </c>
      <c r="B4127">
        <v>4.8000000000000007</v>
      </c>
      <c r="C4127" t="s">
        <v>16990</v>
      </c>
      <c r="D4127" t="s">
        <v>959</v>
      </c>
      <c r="E4127" t="s">
        <v>16991</v>
      </c>
      <c r="F4127" t="s">
        <v>7672</v>
      </c>
      <c r="G4127" t="s">
        <v>16992</v>
      </c>
      <c r="H4127" t="s">
        <v>16993</v>
      </c>
      <c r="I4127" t="s">
        <v>16994</v>
      </c>
      <c r="J4127" t="s">
        <v>9426</v>
      </c>
    </row>
    <row r="4128" spans="1:10" x14ac:dyDescent="0.25">
      <c r="A4128" t="s">
        <v>16995</v>
      </c>
      <c r="B4128">
        <v>4.8000000000000007</v>
      </c>
      <c r="C4128" t="s">
        <v>16996</v>
      </c>
      <c r="D4128" t="s">
        <v>366</v>
      </c>
      <c r="E4128" t="s">
        <v>16991</v>
      </c>
      <c r="F4128" t="s">
        <v>7672</v>
      </c>
      <c r="G4128" t="s">
        <v>16992</v>
      </c>
      <c r="H4128" t="s">
        <v>16993</v>
      </c>
      <c r="I4128" t="s">
        <v>16997</v>
      </c>
      <c r="J4128" t="s">
        <v>9426</v>
      </c>
    </row>
    <row r="4129" spans="1:10" x14ac:dyDescent="0.25">
      <c r="A4129" t="s">
        <v>16998</v>
      </c>
      <c r="B4129">
        <v>4.8000000000000007</v>
      </c>
      <c r="C4129" t="s">
        <v>16999</v>
      </c>
      <c r="D4129" t="s">
        <v>290</v>
      </c>
      <c r="E4129" t="s">
        <v>16991</v>
      </c>
      <c r="F4129" t="s">
        <v>7672</v>
      </c>
      <c r="G4129" t="s">
        <v>16992</v>
      </c>
      <c r="H4129" t="s">
        <v>16993</v>
      </c>
      <c r="I4129" t="s">
        <v>17000</v>
      </c>
      <c r="J4129" t="s">
        <v>10862</v>
      </c>
    </row>
    <row r="4130" spans="1:10" x14ac:dyDescent="0.25">
      <c r="A4130" t="s">
        <v>17001</v>
      </c>
      <c r="B4130">
        <v>4.8000000000000007</v>
      </c>
      <c r="C4130" t="s">
        <v>17002</v>
      </c>
      <c r="D4130" t="s">
        <v>2620</v>
      </c>
      <c r="E4130" t="s">
        <v>16991</v>
      </c>
      <c r="F4130" t="s">
        <v>7672</v>
      </c>
      <c r="G4130" t="s">
        <v>16992</v>
      </c>
      <c r="H4130" t="s">
        <v>16993</v>
      </c>
      <c r="I4130" t="s">
        <v>16994</v>
      </c>
      <c r="J4130" t="s">
        <v>10862</v>
      </c>
    </row>
    <row r="4131" spans="1:10" x14ac:dyDescent="0.25">
      <c r="A4131" t="s">
        <v>17003</v>
      </c>
      <c r="B4131">
        <v>4.8000000000000007</v>
      </c>
      <c r="C4131" t="s">
        <v>17004</v>
      </c>
      <c r="D4131" t="s">
        <v>277</v>
      </c>
      <c r="E4131" t="s">
        <v>16991</v>
      </c>
      <c r="F4131" t="s">
        <v>7672</v>
      </c>
      <c r="G4131" t="s">
        <v>16992</v>
      </c>
      <c r="H4131" t="s">
        <v>16993</v>
      </c>
      <c r="I4131" t="s">
        <v>17005</v>
      </c>
      <c r="J4131" t="s">
        <v>10862</v>
      </c>
    </row>
    <row r="4132" spans="1:10" x14ac:dyDescent="0.25">
      <c r="A4132" t="s">
        <v>17006</v>
      </c>
      <c r="B4132">
        <v>4.8000000000000007</v>
      </c>
      <c r="C4132" t="s">
        <v>17007</v>
      </c>
      <c r="D4132" t="s">
        <v>835</v>
      </c>
      <c r="E4132" t="s">
        <v>16991</v>
      </c>
      <c r="F4132" t="s">
        <v>7672</v>
      </c>
      <c r="G4132" t="s">
        <v>16992</v>
      </c>
      <c r="H4132" t="s">
        <v>16993</v>
      </c>
      <c r="I4132" t="s">
        <v>17008</v>
      </c>
      <c r="J4132" t="s">
        <v>10862</v>
      </c>
    </row>
    <row r="4133" spans="1:10" x14ac:dyDescent="0.25">
      <c r="A4133" t="s">
        <v>17009</v>
      </c>
      <c r="B4133">
        <v>4.8000000000000007</v>
      </c>
      <c r="C4133" t="s">
        <v>17010</v>
      </c>
      <c r="D4133" t="s">
        <v>6257</v>
      </c>
      <c r="E4133" t="s">
        <v>16991</v>
      </c>
      <c r="F4133" t="s">
        <v>7672</v>
      </c>
      <c r="G4133" t="s">
        <v>16992</v>
      </c>
      <c r="H4133" t="s">
        <v>16993</v>
      </c>
      <c r="I4133" t="s">
        <v>16997</v>
      </c>
      <c r="J4133" t="s">
        <v>10862</v>
      </c>
    </row>
    <row r="4134" spans="1:10" x14ac:dyDescent="0.25">
      <c r="A4134" t="s">
        <v>17011</v>
      </c>
      <c r="B4134">
        <v>4.8000000000000007</v>
      </c>
      <c r="C4134" t="s">
        <v>17012</v>
      </c>
      <c r="D4134" t="s">
        <v>3577</v>
      </c>
      <c r="E4134" t="s">
        <v>16991</v>
      </c>
      <c r="F4134" t="s">
        <v>7672</v>
      </c>
      <c r="G4134" t="s">
        <v>16992</v>
      </c>
      <c r="H4134" t="s">
        <v>16993</v>
      </c>
      <c r="I4134" t="s">
        <v>17000</v>
      </c>
      <c r="J4134" t="s">
        <v>13084</v>
      </c>
    </row>
    <row r="4135" spans="1:10" x14ac:dyDescent="0.25">
      <c r="A4135" t="s">
        <v>17013</v>
      </c>
      <c r="B4135">
        <v>4.8000000000000007</v>
      </c>
      <c r="C4135" t="s">
        <v>17014</v>
      </c>
      <c r="D4135" t="s">
        <v>941</v>
      </c>
      <c r="E4135" t="s">
        <v>16991</v>
      </c>
      <c r="F4135" t="s">
        <v>7672</v>
      </c>
      <c r="G4135" t="s">
        <v>16992</v>
      </c>
      <c r="H4135" t="s">
        <v>16993</v>
      </c>
      <c r="I4135" t="s">
        <v>16994</v>
      </c>
      <c r="J4135" t="s">
        <v>13084</v>
      </c>
    </row>
    <row r="4136" spans="1:10" x14ac:dyDescent="0.25">
      <c r="A4136" t="s">
        <v>17015</v>
      </c>
      <c r="B4136">
        <v>4.8000000000000007</v>
      </c>
      <c r="C4136" t="s">
        <v>17016</v>
      </c>
      <c r="D4136" t="s">
        <v>4141</v>
      </c>
      <c r="E4136" t="s">
        <v>16991</v>
      </c>
      <c r="F4136" t="s">
        <v>7672</v>
      </c>
      <c r="G4136" t="s">
        <v>16992</v>
      </c>
      <c r="H4136" t="s">
        <v>16993</v>
      </c>
      <c r="I4136" t="s">
        <v>17005</v>
      </c>
      <c r="J4136" t="s">
        <v>13084</v>
      </c>
    </row>
    <row r="4137" spans="1:10" x14ac:dyDescent="0.25">
      <c r="A4137" t="s">
        <v>17017</v>
      </c>
      <c r="B4137">
        <v>4.8000000000000007</v>
      </c>
      <c r="C4137" t="s">
        <v>17018</v>
      </c>
      <c r="D4137" t="s">
        <v>996</v>
      </c>
      <c r="E4137" t="s">
        <v>16991</v>
      </c>
      <c r="F4137" t="s">
        <v>7672</v>
      </c>
      <c r="G4137" t="s">
        <v>16992</v>
      </c>
      <c r="H4137" t="s">
        <v>16993</v>
      </c>
      <c r="I4137" t="s">
        <v>17008</v>
      </c>
      <c r="J4137" t="s">
        <v>13084</v>
      </c>
    </row>
    <row r="4138" spans="1:10" x14ac:dyDescent="0.25">
      <c r="A4138" t="s">
        <v>17019</v>
      </c>
      <c r="B4138">
        <v>4.8000000000000007</v>
      </c>
      <c r="C4138" t="s">
        <v>17020</v>
      </c>
      <c r="D4138" t="s">
        <v>3253</v>
      </c>
      <c r="E4138" t="s">
        <v>16991</v>
      </c>
      <c r="F4138" t="s">
        <v>7672</v>
      </c>
      <c r="G4138" t="s">
        <v>16992</v>
      </c>
      <c r="H4138" t="s">
        <v>16993</v>
      </c>
      <c r="I4138" t="s">
        <v>16997</v>
      </c>
      <c r="J4138" t="s">
        <v>13084</v>
      </c>
    </row>
    <row r="4139" spans="1:10" x14ac:dyDescent="0.25">
      <c r="A4139" t="s">
        <v>17021</v>
      </c>
      <c r="B4139">
        <v>4.8000000000000007</v>
      </c>
      <c r="C4139" t="s">
        <v>17022</v>
      </c>
      <c r="D4139" t="s">
        <v>67</v>
      </c>
      <c r="E4139" t="s">
        <v>16991</v>
      </c>
      <c r="F4139" t="s">
        <v>7672</v>
      </c>
      <c r="G4139" t="s">
        <v>16992</v>
      </c>
      <c r="H4139" t="s">
        <v>16993</v>
      </c>
      <c r="I4139" t="s">
        <v>16994</v>
      </c>
      <c r="J4139" t="s">
        <v>11767</v>
      </c>
    </row>
    <row r="4140" spans="1:10" x14ac:dyDescent="0.25">
      <c r="A4140" t="s">
        <v>17023</v>
      </c>
      <c r="B4140">
        <v>4.8000000000000007</v>
      </c>
      <c r="C4140" t="s">
        <v>17024</v>
      </c>
      <c r="D4140" t="s">
        <v>8193</v>
      </c>
      <c r="E4140" t="s">
        <v>16991</v>
      </c>
      <c r="F4140" t="s">
        <v>7672</v>
      </c>
      <c r="G4140" t="s">
        <v>16992</v>
      </c>
      <c r="H4140" t="s">
        <v>16993</v>
      </c>
      <c r="I4140" t="s">
        <v>17005</v>
      </c>
      <c r="J4140" t="s">
        <v>11767</v>
      </c>
    </row>
    <row r="4141" spans="1:10" x14ac:dyDescent="0.25">
      <c r="A4141" t="s">
        <v>17025</v>
      </c>
      <c r="B4141">
        <v>4.8000000000000007</v>
      </c>
      <c r="C4141" t="s">
        <v>17026</v>
      </c>
      <c r="D4141" t="s">
        <v>1795</v>
      </c>
      <c r="E4141" t="s">
        <v>16991</v>
      </c>
      <c r="F4141" t="s">
        <v>7672</v>
      </c>
      <c r="G4141" t="s">
        <v>16992</v>
      </c>
      <c r="H4141" t="s">
        <v>16993</v>
      </c>
      <c r="I4141" t="s">
        <v>17008</v>
      </c>
      <c r="J4141" t="s">
        <v>11767</v>
      </c>
    </row>
    <row r="4142" spans="1:10" x14ac:dyDescent="0.25">
      <c r="A4142" t="s">
        <v>17027</v>
      </c>
      <c r="B4142">
        <v>4.8000000000000007</v>
      </c>
      <c r="C4142" t="s">
        <v>17028</v>
      </c>
      <c r="D4142" t="s">
        <v>3999</v>
      </c>
      <c r="E4142" t="s">
        <v>16991</v>
      </c>
      <c r="F4142" t="s">
        <v>7672</v>
      </c>
      <c r="G4142" t="s">
        <v>16992</v>
      </c>
      <c r="H4142" t="s">
        <v>16993</v>
      </c>
      <c r="I4142" t="s">
        <v>16997</v>
      </c>
      <c r="J4142" t="s">
        <v>11767</v>
      </c>
    </row>
    <row r="4143" spans="1:10" x14ac:dyDescent="0.25">
      <c r="A4143" t="s">
        <v>17029</v>
      </c>
      <c r="B4143">
        <v>4.8000000000000007</v>
      </c>
      <c r="C4143" t="s">
        <v>17030</v>
      </c>
      <c r="D4143" t="s">
        <v>4804</v>
      </c>
      <c r="E4143" t="s">
        <v>16991</v>
      </c>
      <c r="F4143" t="s">
        <v>7672</v>
      </c>
      <c r="G4143" t="s">
        <v>16992</v>
      </c>
      <c r="H4143" t="s">
        <v>16993</v>
      </c>
      <c r="I4143" t="s">
        <v>17005</v>
      </c>
      <c r="J4143" t="s">
        <v>11582</v>
      </c>
    </row>
    <row r="4144" spans="1:10" x14ac:dyDescent="0.25">
      <c r="A4144" t="s">
        <v>17031</v>
      </c>
      <c r="B4144">
        <v>4.8000000000000007</v>
      </c>
      <c r="C4144" t="s">
        <v>17032</v>
      </c>
      <c r="D4144" t="s">
        <v>4794</v>
      </c>
      <c r="E4144" t="s">
        <v>16991</v>
      </c>
      <c r="F4144" t="s">
        <v>7672</v>
      </c>
      <c r="G4144" t="s">
        <v>16992</v>
      </c>
      <c r="H4144" t="s">
        <v>16993</v>
      </c>
      <c r="I4144" t="s">
        <v>16997</v>
      </c>
      <c r="J4144" t="s">
        <v>11582</v>
      </c>
    </row>
    <row r="4145" spans="1:10" x14ac:dyDescent="0.25">
      <c r="A4145" t="s">
        <v>17033</v>
      </c>
      <c r="B4145">
        <v>10</v>
      </c>
      <c r="C4145" t="s">
        <v>17034</v>
      </c>
      <c r="D4145" t="s">
        <v>301</v>
      </c>
      <c r="E4145" t="s">
        <v>17035</v>
      </c>
      <c r="F4145" t="s">
        <v>7672</v>
      </c>
      <c r="G4145" t="s">
        <v>17036</v>
      </c>
      <c r="H4145" t="s">
        <v>7674</v>
      </c>
      <c r="I4145" t="s">
        <v>14140</v>
      </c>
      <c r="J4145" t="s">
        <v>7675</v>
      </c>
    </row>
    <row r="4146" spans="1:10" x14ac:dyDescent="0.25">
      <c r="A4146" t="s">
        <v>17037</v>
      </c>
      <c r="B4146">
        <v>10</v>
      </c>
      <c r="C4146" t="s">
        <v>17038</v>
      </c>
      <c r="D4146" t="s">
        <v>659</v>
      </c>
      <c r="E4146" t="s">
        <v>17035</v>
      </c>
      <c r="F4146" t="s">
        <v>7672</v>
      </c>
      <c r="G4146" t="s">
        <v>17036</v>
      </c>
      <c r="H4146" t="s">
        <v>7674</v>
      </c>
      <c r="I4146" t="s">
        <v>17039</v>
      </c>
      <c r="J4146" t="s">
        <v>7675</v>
      </c>
    </row>
    <row r="4147" spans="1:10" x14ac:dyDescent="0.25">
      <c r="A4147" t="s">
        <v>17040</v>
      </c>
      <c r="B4147">
        <v>10</v>
      </c>
      <c r="C4147" t="s">
        <v>17041</v>
      </c>
      <c r="D4147" t="s">
        <v>2697</v>
      </c>
      <c r="E4147" t="s">
        <v>17035</v>
      </c>
      <c r="F4147" t="s">
        <v>7672</v>
      </c>
      <c r="G4147" t="s">
        <v>17036</v>
      </c>
      <c r="H4147" t="s">
        <v>7674</v>
      </c>
      <c r="I4147" t="s">
        <v>17042</v>
      </c>
      <c r="J4147" t="s">
        <v>7675</v>
      </c>
    </row>
    <row r="4148" spans="1:10" x14ac:dyDescent="0.25">
      <c r="A4148" t="s">
        <v>17043</v>
      </c>
      <c r="B4148">
        <v>10</v>
      </c>
      <c r="C4148" t="s">
        <v>17044</v>
      </c>
      <c r="D4148" t="s">
        <v>3577</v>
      </c>
      <c r="E4148" t="s">
        <v>17035</v>
      </c>
      <c r="F4148" t="s">
        <v>7672</v>
      </c>
      <c r="G4148" t="s">
        <v>17036</v>
      </c>
      <c r="H4148" t="s">
        <v>7674</v>
      </c>
      <c r="I4148" t="s">
        <v>17045</v>
      </c>
      <c r="J4148" t="s">
        <v>7675</v>
      </c>
    </row>
    <row r="4149" spans="1:10" x14ac:dyDescent="0.25">
      <c r="A4149" t="s">
        <v>17046</v>
      </c>
      <c r="B4149">
        <v>10</v>
      </c>
      <c r="C4149" t="s">
        <v>17047</v>
      </c>
      <c r="D4149" t="s">
        <v>10457</v>
      </c>
      <c r="E4149" t="s">
        <v>17035</v>
      </c>
      <c r="F4149" t="s">
        <v>7672</v>
      </c>
      <c r="G4149" t="s">
        <v>17036</v>
      </c>
      <c r="H4149" t="s">
        <v>7674</v>
      </c>
      <c r="I4149" t="s">
        <v>17039</v>
      </c>
      <c r="J4149" t="s">
        <v>7686</v>
      </c>
    </row>
    <row r="4150" spans="1:10" x14ac:dyDescent="0.25">
      <c r="A4150" t="s">
        <v>17048</v>
      </c>
      <c r="B4150">
        <v>10</v>
      </c>
      <c r="C4150" t="s">
        <v>17049</v>
      </c>
      <c r="D4150" t="s">
        <v>3175</v>
      </c>
      <c r="E4150" t="s">
        <v>17035</v>
      </c>
      <c r="F4150" t="s">
        <v>7672</v>
      </c>
      <c r="G4150" t="s">
        <v>17036</v>
      </c>
      <c r="H4150" t="s">
        <v>7674</v>
      </c>
      <c r="I4150" t="s">
        <v>14140</v>
      </c>
      <c r="J4150" t="s">
        <v>7686</v>
      </c>
    </row>
    <row r="4151" spans="1:10" x14ac:dyDescent="0.25">
      <c r="A4151" t="s">
        <v>17050</v>
      </c>
      <c r="B4151">
        <v>10</v>
      </c>
      <c r="C4151" t="s">
        <v>17051</v>
      </c>
      <c r="D4151" t="s">
        <v>11485</v>
      </c>
      <c r="E4151" t="s">
        <v>17035</v>
      </c>
      <c r="F4151" t="s">
        <v>7672</v>
      </c>
      <c r="G4151" t="s">
        <v>17036</v>
      </c>
      <c r="H4151" t="s">
        <v>7674</v>
      </c>
      <c r="I4151" t="s">
        <v>17045</v>
      </c>
      <c r="J4151" t="s">
        <v>7686</v>
      </c>
    </row>
    <row r="4152" spans="1:10" x14ac:dyDescent="0.25">
      <c r="A4152" t="s">
        <v>17052</v>
      </c>
      <c r="B4152">
        <v>10</v>
      </c>
      <c r="C4152" t="s">
        <v>17053</v>
      </c>
      <c r="D4152" t="s">
        <v>4584</v>
      </c>
      <c r="E4152" t="s">
        <v>17035</v>
      </c>
      <c r="F4152" t="s">
        <v>7672</v>
      </c>
      <c r="G4152" t="s">
        <v>17036</v>
      </c>
      <c r="H4152" t="s">
        <v>7674</v>
      </c>
      <c r="I4152" t="s">
        <v>17042</v>
      </c>
      <c r="J4152" t="s">
        <v>7686</v>
      </c>
    </row>
    <row r="4153" spans="1:10" x14ac:dyDescent="0.25">
      <c r="A4153" t="s">
        <v>17054</v>
      </c>
      <c r="B4153">
        <v>10</v>
      </c>
      <c r="C4153" t="s">
        <v>17055</v>
      </c>
      <c r="D4153" t="s">
        <v>7850</v>
      </c>
      <c r="E4153" t="s">
        <v>17035</v>
      </c>
      <c r="F4153" t="s">
        <v>7672</v>
      </c>
      <c r="G4153" t="s">
        <v>17036</v>
      </c>
      <c r="H4153" t="s">
        <v>7674</v>
      </c>
      <c r="I4153" t="s">
        <v>17045</v>
      </c>
      <c r="J4153" t="s">
        <v>7703</v>
      </c>
    </row>
    <row r="4154" spans="1:10" x14ac:dyDescent="0.25">
      <c r="A4154" t="s">
        <v>17056</v>
      </c>
      <c r="B4154">
        <v>10</v>
      </c>
      <c r="C4154" t="s">
        <v>17057</v>
      </c>
      <c r="D4154" t="s">
        <v>379</v>
      </c>
      <c r="E4154" t="s">
        <v>17035</v>
      </c>
      <c r="F4154" t="s">
        <v>7672</v>
      </c>
      <c r="G4154" t="s">
        <v>17036</v>
      </c>
      <c r="H4154" t="s">
        <v>7674</v>
      </c>
      <c r="I4154" t="s">
        <v>17042</v>
      </c>
      <c r="J4154" t="s">
        <v>7703</v>
      </c>
    </row>
    <row r="4155" spans="1:10" x14ac:dyDescent="0.25">
      <c r="A4155" t="s">
        <v>17058</v>
      </c>
      <c r="B4155">
        <v>10</v>
      </c>
      <c r="C4155" t="s">
        <v>17059</v>
      </c>
      <c r="D4155" t="s">
        <v>1715</v>
      </c>
      <c r="E4155" t="s">
        <v>17035</v>
      </c>
      <c r="F4155" t="s">
        <v>7672</v>
      </c>
      <c r="G4155" t="s">
        <v>17036</v>
      </c>
      <c r="H4155" t="s">
        <v>7674</v>
      </c>
      <c r="I4155" t="s">
        <v>17039</v>
      </c>
      <c r="J4155" t="s">
        <v>7703</v>
      </c>
    </row>
    <row r="4156" spans="1:10" x14ac:dyDescent="0.25">
      <c r="A4156" t="s">
        <v>17060</v>
      </c>
      <c r="B4156">
        <v>5.1920000000000002</v>
      </c>
      <c r="C4156" t="s">
        <v>17061</v>
      </c>
      <c r="D4156" t="s">
        <v>17062</v>
      </c>
      <c r="E4156" t="s">
        <v>17063</v>
      </c>
      <c r="F4156" t="s">
        <v>7672</v>
      </c>
      <c r="G4156" t="s">
        <v>17064</v>
      </c>
      <c r="H4156" t="s">
        <v>7674</v>
      </c>
      <c r="I4156" t="s">
        <v>17065</v>
      </c>
      <c r="J4156" t="s">
        <v>9694</v>
      </c>
    </row>
    <row r="4157" spans="1:10" x14ac:dyDescent="0.25">
      <c r="A4157" t="s">
        <v>17066</v>
      </c>
      <c r="B4157">
        <v>9</v>
      </c>
      <c r="C4157" t="s">
        <v>17067</v>
      </c>
      <c r="D4157" t="s">
        <v>649</v>
      </c>
      <c r="E4157" t="s">
        <v>17068</v>
      </c>
      <c r="F4157" t="s">
        <v>7672</v>
      </c>
      <c r="G4157" t="s">
        <v>17069</v>
      </c>
      <c r="H4157" t="s">
        <v>13951</v>
      </c>
      <c r="I4157" t="s">
        <v>76</v>
      </c>
      <c r="J4157" t="s">
        <v>7675</v>
      </c>
    </row>
    <row r="4158" spans="1:10" x14ac:dyDescent="0.25">
      <c r="A4158" t="s">
        <v>17070</v>
      </c>
      <c r="B4158">
        <v>9</v>
      </c>
      <c r="C4158" t="s">
        <v>17071</v>
      </c>
      <c r="D4158" t="s">
        <v>6379</v>
      </c>
      <c r="E4158" t="s">
        <v>17068</v>
      </c>
      <c r="F4158" t="s">
        <v>7672</v>
      </c>
      <c r="G4158" t="s">
        <v>17069</v>
      </c>
      <c r="H4158" t="s">
        <v>13951</v>
      </c>
      <c r="I4158" t="s">
        <v>76</v>
      </c>
      <c r="J4158" t="s">
        <v>7686</v>
      </c>
    </row>
    <row r="4159" spans="1:10" x14ac:dyDescent="0.25">
      <c r="A4159" t="s">
        <v>17072</v>
      </c>
      <c r="B4159">
        <v>9</v>
      </c>
      <c r="C4159" t="s">
        <v>17073</v>
      </c>
      <c r="D4159" t="s">
        <v>2347</v>
      </c>
      <c r="E4159" t="s">
        <v>17068</v>
      </c>
      <c r="F4159" t="s">
        <v>7672</v>
      </c>
      <c r="G4159" t="s">
        <v>17069</v>
      </c>
      <c r="H4159" t="s">
        <v>13951</v>
      </c>
      <c r="I4159" t="s">
        <v>76</v>
      </c>
      <c r="J4159" t="s">
        <v>7703</v>
      </c>
    </row>
    <row r="4160" spans="1:10" x14ac:dyDescent="0.25">
      <c r="A4160" t="s">
        <v>17074</v>
      </c>
      <c r="B4160">
        <v>9</v>
      </c>
      <c r="C4160" t="s">
        <v>17075</v>
      </c>
      <c r="D4160" t="s">
        <v>2804</v>
      </c>
      <c r="E4160" t="s">
        <v>17068</v>
      </c>
      <c r="F4160" t="s">
        <v>7672</v>
      </c>
      <c r="G4160" t="s">
        <v>17069</v>
      </c>
      <c r="H4160" t="s">
        <v>13951</v>
      </c>
      <c r="I4160" t="s">
        <v>76</v>
      </c>
      <c r="J4160" t="s">
        <v>7713</v>
      </c>
    </row>
    <row r="4161" spans="1:10" x14ac:dyDescent="0.25">
      <c r="A4161" t="s">
        <v>17076</v>
      </c>
      <c r="B4161">
        <v>18.192</v>
      </c>
      <c r="C4161" t="s">
        <v>17077</v>
      </c>
      <c r="D4161" t="s">
        <v>290</v>
      </c>
      <c r="E4161" t="s">
        <v>17078</v>
      </c>
      <c r="F4161" t="s">
        <v>7672</v>
      </c>
      <c r="G4161" t="s">
        <v>17079</v>
      </c>
      <c r="H4161" t="s">
        <v>9127</v>
      </c>
      <c r="I4161" t="s">
        <v>17080</v>
      </c>
      <c r="J4161" t="s">
        <v>9237</v>
      </c>
    </row>
    <row r="4162" spans="1:10" x14ac:dyDescent="0.25">
      <c r="A4162" t="s">
        <v>17081</v>
      </c>
      <c r="B4162">
        <v>18.192</v>
      </c>
      <c r="C4162" t="s">
        <v>17082</v>
      </c>
      <c r="D4162" t="s">
        <v>1811</v>
      </c>
      <c r="E4162" t="s">
        <v>17078</v>
      </c>
      <c r="F4162" t="s">
        <v>7672</v>
      </c>
      <c r="G4162" t="s">
        <v>17079</v>
      </c>
      <c r="H4162" t="s">
        <v>9127</v>
      </c>
      <c r="I4162" t="s">
        <v>17080</v>
      </c>
      <c r="J4162" t="s">
        <v>8427</v>
      </c>
    </row>
    <row r="4163" spans="1:10" x14ac:dyDescent="0.25">
      <c r="A4163" t="s">
        <v>17083</v>
      </c>
      <c r="B4163">
        <v>18.192</v>
      </c>
      <c r="C4163" t="s">
        <v>17084</v>
      </c>
      <c r="D4163" t="s">
        <v>776</v>
      </c>
      <c r="E4163" t="s">
        <v>17078</v>
      </c>
      <c r="F4163" t="s">
        <v>7672</v>
      </c>
      <c r="G4163" t="s">
        <v>17079</v>
      </c>
      <c r="H4163" t="s">
        <v>9127</v>
      </c>
      <c r="I4163" t="s">
        <v>17085</v>
      </c>
      <c r="J4163" t="s">
        <v>8427</v>
      </c>
    </row>
    <row r="4164" spans="1:10" x14ac:dyDescent="0.25">
      <c r="A4164" t="s">
        <v>17086</v>
      </c>
      <c r="B4164">
        <v>18.192</v>
      </c>
      <c r="C4164" t="s">
        <v>17087</v>
      </c>
      <c r="D4164" t="s">
        <v>913</v>
      </c>
      <c r="E4164" t="s">
        <v>17078</v>
      </c>
      <c r="F4164" t="s">
        <v>7672</v>
      </c>
      <c r="G4164" t="s">
        <v>17079</v>
      </c>
      <c r="H4164" t="s">
        <v>9127</v>
      </c>
      <c r="I4164" t="s">
        <v>17080</v>
      </c>
      <c r="J4164" t="s">
        <v>8439</v>
      </c>
    </row>
    <row r="4165" spans="1:10" x14ac:dyDescent="0.25">
      <c r="A4165" t="s">
        <v>17088</v>
      </c>
      <c r="B4165">
        <v>18.192</v>
      </c>
      <c r="C4165" t="s">
        <v>17089</v>
      </c>
      <c r="D4165" t="s">
        <v>843</v>
      </c>
      <c r="E4165" t="s">
        <v>17078</v>
      </c>
      <c r="F4165" t="s">
        <v>7672</v>
      </c>
      <c r="G4165" t="s">
        <v>17079</v>
      </c>
      <c r="H4165" t="s">
        <v>9127</v>
      </c>
      <c r="I4165" t="s">
        <v>17085</v>
      </c>
      <c r="J4165" t="s">
        <v>8439</v>
      </c>
    </row>
    <row r="4166" spans="1:10" x14ac:dyDescent="0.25">
      <c r="A4166" t="s">
        <v>17090</v>
      </c>
      <c r="B4166">
        <v>18.192</v>
      </c>
      <c r="C4166" t="s">
        <v>17091</v>
      </c>
      <c r="D4166" t="s">
        <v>311</v>
      </c>
      <c r="E4166" t="s">
        <v>17078</v>
      </c>
      <c r="F4166" t="s">
        <v>7672</v>
      </c>
      <c r="G4166" t="s">
        <v>17079</v>
      </c>
      <c r="H4166" t="s">
        <v>9127</v>
      </c>
      <c r="I4166" t="s">
        <v>17080</v>
      </c>
      <c r="J4166" t="s">
        <v>8451</v>
      </c>
    </row>
    <row r="4167" spans="1:10" x14ac:dyDescent="0.25">
      <c r="A4167" t="s">
        <v>17092</v>
      </c>
      <c r="B4167">
        <v>18.192</v>
      </c>
      <c r="C4167" t="s">
        <v>17093</v>
      </c>
      <c r="D4167" t="s">
        <v>229</v>
      </c>
      <c r="E4167" t="s">
        <v>17078</v>
      </c>
      <c r="F4167" t="s">
        <v>7672</v>
      </c>
      <c r="G4167" t="s">
        <v>17079</v>
      </c>
      <c r="H4167" t="s">
        <v>9127</v>
      </c>
      <c r="I4167" t="s">
        <v>17085</v>
      </c>
      <c r="J4167" t="s">
        <v>8451</v>
      </c>
    </row>
    <row r="4168" spans="1:10" x14ac:dyDescent="0.25">
      <c r="A4168" t="s">
        <v>17094</v>
      </c>
      <c r="B4168">
        <v>18.192</v>
      </c>
      <c r="C4168" t="s">
        <v>17095</v>
      </c>
      <c r="D4168" t="s">
        <v>301</v>
      </c>
      <c r="E4168" t="s">
        <v>17078</v>
      </c>
      <c r="F4168" t="s">
        <v>7672</v>
      </c>
      <c r="G4168" t="s">
        <v>17079</v>
      </c>
      <c r="H4168" t="s">
        <v>9127</v>
      </c>
      <c r="I4168" t="s">
        <v>17085</v>
      </c>
      <c r="J4168" t="s">
        <v>8462</v>
      </c>
    </row>
    <row r="4169" spans="1:10" x14ac:dyDescent="0.25">
      <c r="A4169" t="s">
        <v>17096</v>
      </c>
      <c r="B4169">
        <v>18.192</v>
      </c>
      <c r="C4169" t="s">
        <v>17097</v>
      </c>
      <c r="D4169" t="s">
        <v>366</v>
      </c>
      <c r="E4169" t="s">
        <v>17078</v>
      </c>
      <c r="F4169" t="s">
        <v>7672</v>
      </c>
      <c r="G4169" t="s">
        <v>17079</v>
      </c>
      <c r="H4169" t="s">
        <v>9127</v>
      </c>
      <c r="I4169" t="s">
        <v>17080</v>
      </c>
      <c r="J4169" t="s">
        <v>8462</v>
      </c>
    </row>
    <row r="4170" spans="1:10" x14ac:dyDescent="0.25">
      <c r="A4170" t="s">
        <v>17098</v>
      </c>
      <c r="B4170">
        <v>18.192</v>
      </c>
      <c r="C4170" t="s">
        <v>17099</v>
      </c>
      <c r="D4170" t="s">
        <v>342</v>
      </c>
      <c r="E4170" t="s">
        <v>17100</v>
      </c>
      <c r="F4170" t="s">
        <v>7672</v>
      </c>
      <c r="G4170" t="s">
        <v>17101</v>
      </c>
      <c r="H4170" t="s">
        <v>9127</v>
      </c>
      <c r="I4170" t="s">
        <v>17102</v>
      </c>
      <c r="J4170" t="s">
        <v>9114</v>
      </c>
    </row>
    <row r="4171" spans="1:10" x14ac:dyDescent="0.25">
      <c r="A4171" t="s">
        <v>17103</v>
      </c>
      <c r="B4171">
        <v>8</v>
      </c>
      <c r="C4171" t="s">
        <v>17104</v>
      </c>
      <c r="D4171" t="s">
        <v>277</v>
      </c>
      <c r="E4171" t="s">
        <v>17105</v>
      </c>
      <c r="F4171" t="s">
        <v>7672</v>
      </c>
      <c r="G4171" t="s">
        <v>17106</v>
      </c>
      <c r="H4171" t="s">
        <v>10298</v>
      </c>
      <c r="I4171" t="s">
        <v>17107</v>
      </c>
      <c r="J4171" t="s">
        <v>11696</v>
      </c>
    </row>
    <row r="4172" spans="1:10" x14ac:dyDescent="0.25">
      <c r="A4172" t="s">
        <v>17108</v>
      </c>
      <c r="B4172">
        <v>8</v>
      </c>
      <c r="C4172" t="s">
        <v>17109</v>
      </c>
      <c r="D4172" t="s">
        <v>588</v>
      </c>
      <c r="E4172" t="s">
        <v>17105</v>
      </c>
      <c r="F4172" t="s">
        <v>7672</v>
      </c>
      <c r="G4172" t="s">
        <v>17106</v>
      </c>
      <c r="H4172" t="s">
        <v>10298</v>
      </c>
      <c r="I4172" t="s">
        <v>108</v>
      </c>
      <c r="J4172" t="s">
        <v>11696</v>
      </c>
    </row>
    <row r="4173" spans="1:10" x14ac:dyDescent="0.25">
      <c r="A4173" t="s">
        <v>17110</v>
      </c>
      <c r="B4173">
        <v>8</v>
      </c>
      <c r="C4173" t="s">
        <v>17111</v>
      </c>
      <c r="D4173" t="s">
        <v>124</v>
      </c>
      <c r="E4173" t="s">
        <v>17105</v>
      </c>
      <c r="F4173" t="s">
        <v>7672</v>
      </c>
      <c r="G4173" t="s">
        <v>17106</v>
      </c>
      <c r="H4173" t="s">
        <v>10298</v>
      </c>
      <c r="I4173" t="s">
        <v>108</v>
      </c>
      <c r="J4173" t="s">
        <v>11702</v>
      </c>
    </row>
    <row r="4174" spans="1:10" x14ac:dyDescent="0.25">
      <c r="A4174" t="s">
        <v>17112</v>
      </c>
      <c r="B4174">
        <v>8</v>
      </c>
      <c r="C4174" t="s">
        <v>17113</v>
      </c>
      <c r="D4174" t="s">
        <v>3577</v>
      </c>
      <c r="E4174" t="s">
        <v>17105</v>
      </c>
      <c r="F4174" t="s">
        <v>7672</v>
      </c>
      <c r="G4174" t="s">
        <v>17106</v>
      </c>
      <c r="H4174" t="s">
        <v>10298</v>
      </c>
      <c r="I4174" t="s">
        <v>17107</v>
      </c>
      <c r="J4174" t="s">
        <v>11710</v>
      </c>
    </row>
    <row r="4175" spans="1:10" x14ac:dyDescent="0.25">
      <c r="A4175" t="s">
        <v>17114</v>
      </c>
      <c r="B4175">
        <v>8</v>
      </c>
      <c r="C4175" t="s">
        <v>17115</v>
      </c>
      <c r="D4175" t="s">
        <v>2198</v>
      </c>
      <c r="E4175" t="s">
        <v>17105</v>
      </c>
      <c r="F4175" t="s">
        <v>7672</v>
      </c>
      <c r="G4175" t="s">
        <v>17106</v>
      </c>
      <c r="H4175" t="s">
        <v>10298</v>
      </c>
      <c r="I4175" t="s">
        <v>108</v>
      </c>
      <c r="J4175" t="s">
        <v>11710</v>
      </c>
    </row>
    <row r="4176" spans="1:10" x14ac:dyDescent="0.25">
      <c r="A4176" t="s">
        <v>17116</v>
      </c>
      <c r="B4176">
        <v>8</v>
      </c>
      <c r="C4176" t="s">
        <v>17117</v>
      </c>
      <c r="D4176" t="s">
        <v>588</v>
      </c>
      <c r="E4176" t="s">
        <v>17105</v>
      </c>
      <c r="F4176" t="s">
        <v>7672</v>
      </c>
      <c r="G4176" t="s">
        <v>17106</v>
      </c>
      <c r="H4176" t="s">
        <v>10298</v>
      </c>
      <c r="I4176" t="s">
        <v>17107</v>
      </c>
      <c r="J4176" t="s">
        <v>12182</v>
      </c>
    </row>
    <row r="4177" spans="1:10" x14ac:dyDescent="0.25">
      <c r="A4177" t="s">
        <v>17118</v>
      </c>
      <c r="B4177">
        <v>8</v>
      </c>
      <c r="C4177" t="s">
        <v>17119</v>
      </c>
      <c r="D4177" t="s">
        <v>2022</v>
      </c>
      <c r="E4177" t="s">
        <v>17105</v>
      </c>
      <c r="F4177" t="s">
        <v>7672</v>
      </c>
      <c r="G4177" t="s">
        <v>17106</v>
      </c>
      <c r="H4177" t="s">
        <v>10298</v>
      </c>
      <c r="I4177" t="s">
        <v>108</v>
      </c>
      <c r="J4177" t="s">
        <v>12182</v>
      </c>
    </row>
    <row r="4178" spans="1:10" x14ac:dyDescent="0.25">
      <c r="A4178" t="s">
        <v>17120</v>
      </c>
      <c r="B4178">
        <v>8</v>
      </c>
      <c r="C4178" t="s">
        <v>17121</v>
      </c>
      <c r="D4178" t="s">
        <v>4114</v>
      </c>
      <c r="E4178" t="s">
        <v>17105</v>
      </c>
      <c r="F4178" t="s">
        <v>7672</v>
      </c>
      <c r="G4178" t="s">
        <v>17106</v>
      </c>
      <c r="H4178" t="s">
        <v>10298</v>
      </c>
      <c r="I4178" t="s">
        <v>108</v>
      </c>
      <c r="J4178" t="s">
        <v>10150</v>
      </c>
    </row>
    <row r="4179" spans="1:10" x14ac:dyDescent="0.25">
      <c r="A4179" t="s">
        <v>17122</v>
      </c>
      <c r="B4179">
        <v>8</v>
      </c>
      <c r="C4179" t="s">
        <v>17123</v>
      </c>
      <c r="D4179" t="s">
        <v>1800</v>
      </c>
      <c r="E4179" t="s">
        <v>17105</v>
      </c>
      <c r="F4179" t="s">
        <v>7672</v>
      </c>
      <c r="G4179" t="s">
        <v>17106</v>
      </c>
      <c r="H4179" t="s">
        <v>10298</v>
      </c>
      <c r="I4179" t="s">
        <v>17107</v>
      </c>
      <c r="J4179" t="s">
        <v>10150</v>
      </c>
    </row>
    <row r="4180" spans="1:10" x14ac:dyDescent="0.25">
      <c r="A4180" t="s">
        <v>17124</v>
      </c>
      <c r="B4180">
        <v>8</v>
      </c>
      <c r="C4180" t="s">
        <v>17125</v>
      </c>
      <c r="D4180" t="s">
        <v>151</v>
      </c>
      <c r="E4180" t="s">
        <v>17105</v>
      </c>
      <c r="F4180" t="s">
        <v>7672</v>
      </c>
      <c r="G4180" t="s">
        <v>17106</v>
      </c>
      <c r="H4180" t="s">
        <v>10298</v>
      </c>
      <c r="I4180" t="s">
        <v>108</v>
      </c>
      <c r="J4180" t="s">
        <v>17126</v>
      </c>
    </row>
    <row r="4181" spans="1:10" x14ac:dyDescent="0.25">
      <c r="A4181" t="s">
        <v>17127</v>
      </c>
      <c r="B4181">
        <v>8</v>
      </c>
      <c r="C4181" t="s">
        <v>17128</v>
      </c>
      <c r="D4181" t="s">
        <v>4109</v>
      </c>
      <c r="E4181" t="s">
        <v>17105</v>
      </c>
      <c r="F4181" t="s">
        <v>7672</v>
      </c>
      <c r="G4181" t="s">
        <v>17106</v>
      </c>
      <c r="H4181" t="s">
        <v>10298</v>
      </c>
      <c r="I4181" t="s">
        <v>17107</v>
      </c>
      <c r="J4181" t="s">
        <v>17126</v>
      </c>
    </row>
    <row r="4182" spans="1:10" x14ac:dyDescent="0.25">
      <c r="A4182" t="s">
        <v>17129</v>
      </c>
      <c r="B4182">
        <v>8</v>
      </c>
      <c r="C4182" t="s">
        <v>17130</v>
      </c>
      <c r="D4182" t="s">
        <v>100</v>
      </c>
      <c r="E4182" t="s">
        <v>17105</v>
      </c>
      <c r="F4182" t="s">
        <v>7672</v>
      </c>
      <c r="G4182" t="s">
        <v>17106</v>
      </c>
      <c r="H4182" t="s">
        <v>10298</v>
      </c>
      <c r="I4182" t="s">
        <v>17107</v>
      </c>
      <c r="J4182" t="s">
        <v>15079</v>
      </c>
    </row>
    <row r="4183" spans="1:10" x14ac:dyDescent="0.25">
      <c r="A4183" t="s">
        <v>17131</v>
      </c>
      <c r="B4183">
        <v>11.2</v>
      </c>
      <c r="C4183" t="s">
        <v>17132</v>
      </c>
      <c r="D4183" t="s">
        <v>13710</v>
      </c>
      <c r="E4183" t="s">
        <v>17133</v>
      </c>
      <c r="F4183" t="s">
        <v>7672</v>
      </c>
      <c r="G4183" t="s">
        <v>17134</v>
      </c>
      <c r="H4183" t="s">
        <v>10368</v>
      </c>
      <c r="I4183" t="s">
        <v>17135</v>
      </c>
      <c r="J4183" t="s">
        <v>10369</v>
      </c>
    </row>
    <row r="4184" spans="1:10" x14ac:dyDescent="0.25">
      <c r="A4184" t="s">
        <v>17136</v>
      </c>
      <c r="B4184">
        <v>11.2</v>
      </c>
      <c r="C4184" t="s">
        <v>17137</v>
      </c>
      <c r="D4184" t="s">
        <v>9254</v>
      </c>
      <c r="E4184" t="s">
        <v>17133</v>
      </c>
      <c r="F4184" t="s">
        <v>7672</v>
      </c>
      <c r="G4184" t="s">
        <v>17134</v>
      </c>
      <c r="H4184" t="s">
        <v>10368</v>
      </c>
      <c r="I4184" t="s">
        <v>17135</v>
      </c>
      <c r="J4184" t="s">
        <v>11590</v>
      </c>
    </row>
    <row r="4185" spans="1:10" x14ac:dyDescent="0.25">
      <c r="A4185" t="s">
        <v>17138</v>
      </c>
      <c r="B4185">
        <v>11.2</v>
      </c>
      <c r="C4185" t="s">
        <v>17139</v>
      </c>
      <c r="D4185" t="s">
        <v>8786</v>
      </c>
      <c r="E4185" t="s">
        <v>17133</v>
      </c>
      <c r="F4185" t="s">
        <v>7672</v>
      </c>
      <c r="G4185" t="s">
        <v>17134</v>
      </c>
      <c r="H4185" t="s">
        <v>10368</v>
      </c>
      <c r="I4185" t="s">
        <v>17135</v>
      </c>
      <c r="J4185" t="s">
        <v>11593</v>
      </c>
    </row>
    <row r="4186" spans="1:10" x14ac:dyDescent="0.25">
      <c r="A4186" t="s">
        <v>17140</v>
      </c>
      <c r="B4186">
        <v>11.2</v>
      </c>
      <c r="C4186" t="s">
        <v>17141</v>
      </c>
      <c r="D4186" t="s">
        <v>95</v>
      </c>
      <c r="E4186" t="s">
        <v>17142</v>
      </c>
      <c r="F4186" t="s">
        <v>7672</v>
      </c>
      <c r="G4186" t="s">
        <v>17143</v>
      </c>
      <c r="H4186" t="s">
        <v>15474</v>
      </c>
      <c r="I4186" t="s">
        <v>1490</v>
      </c>
      <c r="J4186" t="s">
        <v>131</v>
      </c>
    </row>
    <row r="4187" spans="1:10" x14ac:dyDescent="0.25">
      <c r="A4187" t="s">
        <v>17144</v>
      </c>
      <c r="B4187">
        <v>11.2</v>
      </c>
      <c r="C4187" t="s">
        <v>17145</v>
      </c>
      <c r="D4187" t="s">
        <v>1621</v>
      </c>
      <c r="E4187" t="s">
        <v>17142</v>
      </c>
      <c r="F4187" t="s">
        <v>7672</v>
      </c>
      <c r="G4187" t="s">
        <v>17143</v>
      </c>
      <c r="H4187" t="s">
        <v>15474</v>
      </c>
      <c r="I4187" t="s">
        <v>1490</v>
      </c>
      <c r="J4187" t="s">
        <v>255</v>
      </c>
    </row>
    <row r="4188" spans="1:10" x14ac:dyDescent="0.25">
      <c r="A4188" t="s">
        <v>17146</v>
      </c>
      <c r="B4188">
        <v>11.2</v>
      </c>
      <c r="C4188" t="s">
        <v>17147</v>
      </c>
      <c r="D4188" t="s">
        <v>342</v>
      </c>
      <c r="E4188" t="s">
        <v>17142</v>
      </c>
      <c r="F4188" t="s">
        <v>7672</v>
      </c>
      <c r="G4188" t="s">
        <v>17143</v>
      </c>
      <c r="H4188" t="s">
        <v>15474</v>
      </c>
      <c r="I4188" t="s">
        <v>1490</v>
      </c>
      <c r="J4188" t="s">
        <v>277</v>
      </c>
    </row>
    <row r="4189" spans="1:10" x14ac:dyDescent="0.25">
      <c r="A4189" t="s">
        <v>17148</v>
      </c>
      <c r="B4189">
        <v>11.2</v>
      </c>
      <c r="C4189" t="s">
        <v>17149</v>
      </c>
      <c r="D4189" t="s">
        <v>385</v>
      </c>
      <c r="E4189" t="s">
        <v>17142</v>
      </c>
      <c r="F4189" t="s">
        <v>7672</v>
      </c>
      <c r="G4189" t="s">
        <v>17143</v>
      </c>
      <c r="H4189" t="s">
        <v>15474</v>
      </c>
      <c r="I4189" t="s">
        <v>1490</v>
      </c>
      <c r="J4189" t="s">
        <v>15482</v>
      </c>
    </row>
    <row r="4190" spans="1:10" x14ac:dyDescent="0.25">
      <c r="A4190" t="s">
        <v>17150</v>
      </c>
      <c r="B4190">
        <v>11.2</v>
      </c>
      <c r="C4190" t="s">
        <v>17151</v>
      </c>
      <c r="D4190" t="s">
        <v>164</v>
      </c>
      <c r="E4190" t="s">
        <v>17142</v>
      </c>
      <c r="F4190" t="s">
        <v>7672</v>
      </c>
      <c r="G4190" t="s">
        <v>17143</v>
      </c>
      <c r="H4190" t="s">
        <v>15474</v>
      </c>
      <c r="I4190" t="s">
        <v>1490</v>
      </c>
      <c r="J4190" t="s">
        <v>15485</v>
      </c>
    </row>
    <row r="4191" spans="1:10" x14ac:dyDescent="0.25">
      <c r="A4191" t="s">
        <v>17152</v>
      </c>
      <c r="B4191">
        <v>7.2</v>
      </c>
      <c r="C4191" t="s">
        <v>17153</v>
      </c>
      <c r="D4191" t="s">
        <v>705</v>
      </c>
      <c r="E4191" t="s">
        <v>17154</v>
      </c>
      <c r="F4191" t="s">
        <v>7672</v>
      </c>
      <c r="G4191" t="s">
        <v>17155</v>
      </c>
      <c r="H4191" t="s">
        <v>7674</v>
      </c>
      <c r="I4191" t="s">
        <v>9807</v>
      </c>
      <c r="J4191" t="s">
        <v>7942</v>
      </c>
    </row>
    <row r="4192" spans="1:10" x14ac:dyDescent="0.25">
      <c r="A4192" t="s">
        <v>17156</v>
      </c>
      <c r="B4192">
        <v>7.2</v>
      </c>
      <c r="C4192" t="s">
        <v>17157</v>
      </c>
      <c r="D4192" t="s">
        <v>11485</v>
      </c>
      <c r="E4192" t="s">
        <v>17154</v>
      </c>
      <c r="F4192" t="s">
        <v>7672</v>
      </c>
      <c r="G4192" t="s">
        <v>17155</v>
      </c>
      <c r="H4192" t="s">
        <v>7674</v>
      </c>
      <c r="I4192" t="s">
        <v>76</v>
      </c>
      <c r="J4192" t="s">
        <v>7942</v>
      </c>
    </row>
    <row r="4193" spans="1:10" x14ac:dyDescent="0.25">
      <c r="A4193" t="s">
        <v>17158</v>
      </c>
      <c r="B4193">
        <v>7.2</v>
      </c>
      <c r="C4193" t="s">
        <v>17159</v>
      </c>
      <c r="D4193" t="s">
        <v>46</v>
      </c>
      <c r="E4193" t="s">
        <v>17154</v>
      </c>
      <c r="F4193" t="s">
        <v>7672</v>
      </c>
      <c r="G4193" t="s">
        <v>17155</v>
      </c>
      <c r="H4193" t="s">
        <v>7674</v>
      </c>
      <c r="I4193" t="s">
        <v>10802</v>
      </c>
      <c r="J4193" t="s">
        <v>7942</v>
      </c>
    </row>
    <row r="4194" spans="1:10" x14ac:dyDescent="0.25">
      <c r="A4194" t="s">
        <v>17160</v>
      </c>
      <c r="B4194">
        <v>7.2</v>
      </c>
      <c r="C4194" t="s">
        <v>17161</v>
      </c>
      <c r="D4194" t="s">
        <v>12749</v>
      </c>
      <c r="E4194" t="s">
        <v>17154</v>
      </c>
      <c r="F4194" t="s">
        <v>7672</v>
      </c>
      <c r="G4194" t="s">
        <v>17155</v>
      </c>
      <c r="H4194" t="s">
        <v>7674</v>
      </c>
      <c r="I4194" t="s">
        <v>76</v>
      </c>
      <c r="J4194" t="s">
        <v>7981</v>
      </c>
    </row>
    <row r="4195" spans="1:10" x14ac:dyDescent="0.25">
      <c r="A4195" t="s">
        <v>17162</v>
      </c>
      <c r="B4195">
        <v>7.2</v>
      </c>
      <c r="C4195" t="s">
        <v>17163</v>
      </c>
      <c r="D4195" t="s">
        <v>74</v>
      </c>
      <c r="E4195" t="s">
        <v>17154</v>
      </c>
      <c r="F4195" t="s">
        <v>7672</v>
      </c>
      <c r="G4195" t="s">
        <v>17155</v>
      </c>
      <c r="H4195" t="s">
        <v>7674</v>
      </c>
      <c r="I4195" t="s">
        <v>9807</v>
      </c>
      <c r="J4195" t="s">
        <v>7981</v>
      </c>
    </row>
    <row r="4196" spans="1:10" x14ac:dyDescent="0.25">
      <c r="A4196" t="s">
        <v>17164</v>
      </c>
      <c r="B4196">
        <v>7.2</v>
      </c>
      <c r="C4196" t="s">
        <v>17165</v>
      </c>
      <c r="D4196" t="s">
        <v>9325</v>
      </c>
      <c r="E4196" t="s">
        <v>17154</v>
      </c>
      <c r="F4196" t="s">
        <v>7672</v>
      </c>
      <c r="G4196" t="s">
        <v>17155</v>
      </c>
      <c r="H4196" t="s">
        <v>7674</v>
      </c>
      <c r="I4196" t="s">
        <v>10802</v>
      </c>
      <c r="J4196" t="s">
        <v>7981</v>
      </c>
    </row>
    <row r="4197" spans="1:10" x14ac:dyDescent="0.25">
      <c r="A4197" t="s">
        <v>17166</v>
      </c>
      <c r="B4197">
        <v>7.2</v>
      </c>
      <c r="C4197" t="s">
        <v>17167</v>
      </c>
      <c r="D4197" t="s">
        <v>8572</v>
      </c>
      <c r="E4197" t="s">
        <v>17154</v>
      </c>
      <c r="F4197" t="s">
        <v>7672</v>
      </c>
      <c r="G4197" t="s">
        <v>17155</v>
      </c>
      <c r="H4197" t="s">
        <v>7674</v>
      </c>
      <c r="I4197" t="s">
        <v>76</v>
      </c>
      <c r="J4197" t="s">
        <v>7984</v>
      </c>
    </row>
    <row r="4198" spans="1:10" x14ac:dyDescent="0.25">
      <c r="A4198" t="s">
        <v>17168</v>
      </c>
      <c r="B4198">
        <v>7.2</v>
      </c>
      <c r="C4198" t="s">
        <v>17169</v>
      </c>
      <c r="D4198" t="s">
        <v>1014</v>
      </c>
      <c r="E4198" t="s">
        <v>17154</v>
      </c>
      <c r="F4198" t="s">
        <v>7672</v>
      </c>
      <c r="G4198" t="s">
        <v>17155</v>
      </c>
      <c r="H4198" t="s">
        <v>7674</v>
      </c>
      <c r="I4198" t="s">
        <v>9807</v>
      </c>
      <c r="J4198" t="s">
        <v>7984</v>
      </c>
    </row>
    <row r="4199" spans="1:10" x14ac:dyDescent="0.25">
      <c r="A4199" t="s">
        <v>17170</v>
      </c>
      <c r="B4199">
        <v>7.2</v>
      </c>
      <c r="C4199" t="s">
        <v>17171</v>
      </c>
      <c r="D4199" t="s">
        <v>8063</v>
      </c>
      <c r="E4199" t="s">
        <v>17154</v>
      </c>
      <c r="F4199" t="s">
        <v>7672</v>
      </c>
      <c r="G4199" t="s">
        <v>17155</v>
      </c>
      <c r="H4199" t="s">
        <v>7674</v>
      </c>
      <c r="I4199" t="s">
        <v>10802</v>
      </c>
      <c r="J4199" t="s">
        <v>7984</v>
      </c>
    </row>
    <row r="4200" spans="1:10" x14ac:dyDescent="0.25">
      <c r="A4200" t="s">
        <v>17172</v>
      </c>
      <c r="B4200">
        <v>7.2</v>
      </c>
      <c r="C4200" t="s">
        <v>17173</v>
      </c>
      <c r="D4200" t="s">
        <v>17174</v>
      </c>
      <c r="E4200" t="s">
        <v>17154</v>
      </c>
      <c r="F4200" t="s">
        <v>7672</v>
      </c>
      <c r="G4200" t="s">
        <v>17155</v>
      </c>
      <c r="H4200" t="s">
        <v>7674</v>
      </c>
      <c r="I4200" t="s">
        <v>76</v>
      </c>
      <c r="J4200" t="s">
        <v>7987</v>
      </c>
    </row>
    <row r="4201" spans="1:10" x14ac:dyDescent="0.25">
      <c r="A4201" t="s">
        <v>17175</v>
      </c>
      <c r="B4201">
        <v>7.2</v>
      </c>
      <c r="C4201" t="s">
        <v>17176</v>
      </c>
      <c r="D4201" t="s">
        <v>2572</v>
      </c>
      <c r="E4201" t="s">
        <v>17154</v>
      </c>
      <c r="F4201" t="s">
        <v>7672</v>
      </c>
      <c r="G4201" t="s">
        <v>17155</v>
      </c>
      <c r="H4201" t="s">
        <v>7674</v>
      </c>
      <c r="I4201" t="s">
        <v>9807</v>
      </c>
      <c r="J4201" t="s">
        <v>7987</v>
      </c>
    </row>
    <row r="4202" spans="1:10" x14ac:dyDescent="0.25">
      <c r="A4202" t="s">
        <v>17177</v>
      </c>
      <c r="B4202">
        <v>7.2</v>
      </c>
      <c r="C4202" t="s">
        <v>17178</v>
      </c>
      <c r="D4202" t="s">
        <v>17179</v>
      </c>
      <c r="E4202" t="s">
        <v>17154</v>
      </c>
      <c r="F4202" t="s">
        <v>7672</v>
      </c>
      <c r="G4202" t="s">
        <v>17155</v>
      </c>
      <c r="H4202" t="s">
        <v>7674</v>
      </c>
      <c r="I4202" t="s">
        <v>10802</v>
      </c>
      <c r="J4202" t="s">
        <v>7987</v>
      </c>
    </row>
    <row r="4203" spans="1:10" x14ac:dyDescent="0.25">
      <c r="A4203" t="s">
        <v>17180</v>
      </c>
      <c r="B4203">
        <v>7.2</v>
      </c>
      <c r="C4203" t="s">
        <v>17181</v>
      </c>
      <c r="D4203" t="s">
        <v>9390</v>
      </c>
      <c r="E4203" t="s">
        <v>17154</v>
      </c>
      <c r="F4203" t="s">
        <v>7672</v>
      </c>
      <c r="G4203" t="s">
        <v>17155</v>
      </c>
      <c r="H4203" t="s">
        <v>7674</v>
      </c>
      <c r="I4203" t="s">
        <v>10802</v>
      </c>
      <c r="J4203" t="s">
        <v>8001</v>
      </c>
    </row>
    <row r="4204" spans="1:10" x14ac:dyDescent="0.25">
      <c r="A4204" t="s">
        <v>17182</v>
      </c>
      <c r="B4204">
        <v>7.2</v>
      </c>
      <c r="C4204" t="s">
        <v>17183</v>
      </c>
      <c r="D4204" t="s">
        <v>1715</v>
      </c>
      <c r="E4204" t="s">
        <v>17154</v>
      </c>
      <c r="F4204" t="s">
        <v>7672</v>
      </c>
      <c r="G4204" t="s">
        <v>17155</v>
      </c>
      <c r="H4204" t="s">
        <v>7674</v>
      </c>
      <c r="I4204" t="s">
        <v>9807</v>
      </c>
      <c r="J4204" t="s">
        <v>8001</v>
      </c>
    </row>
    <row r="4205" spans="1:10" x14ac:dyDescent="0.25">
      <c r="A4205" t="s">
        <v>17184</v>
      </c>
      <c r="B4205">
        <v>7.2</v>
      </c>
      <c r="C4205" t="s">
        <v>17185</v>
      </c>
      <c r="D4205" t="s">
        <v>17186</v>
      </c>
      <c r="E4205" t="s">
        <v>17154</v>
      </c>
      <c r="F4205" t="s">
        <v>7672</v>
      </c>
      <c r="G4205" t="s">
        <v>17155</v>
      </c>
      <c r="H4205" t="s">
        <v>7674</v>
      </c>
      <c r="I4205" t="s">
        <v>76</v>
      </c>
      <c r="J4205" t="s">
        <v>8001</v>
      </c>
    </row>
    <row r="4206" spans="1:10" x14ac:dyDescent="0.25">
      <c r="A4206" t="s">
        <v>17187</v>
      </c>
      <c r="B4206">
        <v>7.2</v>
      </c>
      <c r="C4206" t="s">
        <v>17188</v>
      </c>
      <c r="D4206" t="s">
        <v>17189</v>
      </c>
      <c r="E4206" t="s">
        <v>17154</v>
      </c>
      <c r="F4206" t="s">
        <v>7672</v>
      </c>
      <c r="G4206" t="s">
        <v>17155</v>
      </c>
      <c r="H4206" t="s">
        <v>7674</v>
      </c>
      <c r="I4206" t="s">
        <v>10802</v>
      </c>
      <c r="J4206" t="s">
        <v>8013</v>
      </c>
    </row>
    <row r="4207" spans="1:10" x14ac:dyDescent="0.25">
      <c r="A4207" t="s">
        <v>17190</v>
      </c>
      <c r="B4207">
        <v>7.2</v>
      </c>
      <c r="C4207" t="s">
        <v>17191</v>
      </c>
      <c r="D4207" t="s">
        <v>2797</v>
      </c>
      <c r="E4207" t="s">
        <v>17154</v>
      </c>
      <c r="F4207" t="s">
        <v>7672</v>
      </c>
      <c r="G4207" t="s">
        <v>17155</v>
      </c>
      <c r="H4207" t="s">
        <v>7674</v>
      </c>
      <c r="I4207" t="s">
        <v>9807</v>
      </c>
      <c r="J4207" t="s">
        <v>8013</v>
      </c>
    </row>
    <row r="4208" spans="1:10" x14ac:dyDescent="0.25">
      <c r="A4208" t="s">
        <v>17192</v>
      </c>
      <c r="B4208">
        <v>7.2</v>
      </c>
      <c r="C4208" t="s">
        <v>17193</v>
      </c>
      <c r="D4208" t="s">
        <v>14537</v>
      </c>
      <c r="E4208" t="s">
        <v>17154</v>
      </c>
      <c r="F4208" t="s">
        <v>7672</v>
      </c>
      <c r="G4208" t="s">
        <v>17155</v>
      </c>
      <c r="H4208" t="s">
        <v>7674</v>
      </c>
      <c r="I4208" t="s">
        <v>76</v>
      </c>
      <c r="J4208" t="s">
        <v>8013</v>
      </c>
    </row>
    <row r="4209" spans="1:10" x14ac:dyDescent="0.25">
      <c r="A4209" t="s">
        <v>17194</v>
      </c>
      <c r="B4209">
        <v>11</v>
      </c>
      <c r="C4209" t="s">
        <v>17195</v>
      </c>
      <c r="D4209" t="s">
        <v>2253</v>
      </c>
      <c r="E4209" t="s">
        <v>17196</v>
      </c>
      <c r="F4209" t="s">
        <v>7672</v>
      </c>
      <c r="G4209" t="s">
        <v>17197</v>
      </c>
      <c r="H4209" t="s">
        <v>12519</v>
      </c>
      <c r="I4209" t="s">
        <v>17198</v>
      </c>
      <c r="J4209" t="s">
        <v>7675</v>
      </c>
    </row>
    <row r="4210" spans="1:10" x14ac:dyDescent="0.25">
      <c r="A4210" t="s">
        <v>17199</v>
      </c>
      <c r="B4210">
        <v>11</v>
      </c>
      <c r="C4210" t="s">
        <v>17200</v>
      </c>
      <c r="D4210" t="s">
        <v>321</v>
      </c>
      <c r="E4210" t="s">
        <v>17196</v>
      </c>
      <c r="F4210" t="s">
        <v>7672</v>
      </c>
      <c r="G4210" t="s">
        <v>17197</v>
      </c>
      <c r="H4210" t="s">
        <v>12519</v>
      </c>
      <c r="I4210" t="s">
        <v>17201</v>
      </c>
      <c r="J4210" t="s">
        <v>7675</v>
      </c>
    </row>
    <row r="4211" spans="1:10" x14ac:dyDescent="0.25">
      <c r="A4211" t="s">
        <v>17202</v>
      </c>
      <c r="B4211">
        <v>11</v>
      </c>
      <c r="C4211" t="s">
        <v>17203</v>
      </c>
      <c r="D4211" t="s">
        <v>626</v>
      </c>
      <c r="E4211" t="s">
        <v>17196</v>
      </c>
      <c r="F4211" t="s">
        <v>7672</v>
      </c>
      <c r="G4211" t="s">
        <v>17197</v>
      </c>
      <c r="H4211" t="s">
        <v>12519</v>
      </c>
      <c r="I4211" t="s">
        <v>12520</v>
      </c>
      <c r="J4211" t="s">
        <v>7675</v>
      </c>
    </row>
    <row r="4212" spans="1:10" x14ac:dyDescent="0.25">
      <c r="A4212" t="s">
        <v>17204</v>
      </c>
      <c r="B4212">
        <v>11</v>
      </c>
      <c r="C4212" t="s">
        <v>17205</v>
      </c>
      <c r="D4212" t="s">
        <v>725</v>
      </c>
      <c r="E4212" t="s">
        <v>17196</v>
      </c>
      <c r="F4212" t="s">
        <v>7672</v>
      </c>
      <c r="G4212" t="s">
        <v>17197</v>
      </c>
      <c r="H4212" t="s">
        <v>12519</v>
      </c>
      <c r="I4212" t="s">
        <v>7399</v>
      </c>
      <c r="J4212" t="s">
        <v>7675</v>
      </c>
    </row>
    <row r="4213" spans="1:10" x14ac:dyDescent="0.25">
      <c r="A4213" t="s">
        <v>17206</v>
      </c>
      <c r="B4213">
        <v>11</v>
      </c>
      <c r="C4213" t="s">
        <v>17207</v>
      </c>
      <c r="D4213" t="s">
        <v>1236</v>
      </c>
      <c r="E4213" t="s">
        <v>17196</v>
      </c>
      <c r="F4213" t="s">
        <v>7672</v>
      </c>
      <c r="G4213" t="s">
        <v>17197</v>
      </c>
      <c r="H4213" t="s">
        <v>12519</v>
      </c>
      <c r="I4213" t="s">
        <v>17198</v>
      </c>
      <c r="J4213" t="s">
        <v>7686</v>
      </c>
    </row>
    <row r="4214" spans="1:10" x14ac:dyDescent="0.25">
      <c r="A4214" t="s">
        <v>17208</v>
      </c>
      <c r="B4214">
        <v>11</v>
      </c>
      <c r="C4214" t="s">
        <v>17209</v>
      </c>
      <c r="D4214" t="s">
        <v>1014</v>
      </c>
      <c r="E4214" t="s">
        <v>17196</v>
      </c>
      <c r="F4214" t="s">
        <v>7672</v>
      </c>
      <c r="G4214" t="s">
        <v>17197</v>
      </c>
      <c r="H4214" t="s">
        <v>12519</v>
      </c>
      <c r="I4214" t="s">
        <v>17201</v>
      </c>
      <c r="J4214" t="s">
        <v>7686</v>
      </c>
    </row>
    <row r="4215" spans="1:10" x14ac:dyDescent="0.25">
      <c r="A4215" t="s">
        <v>17210</v>
      </c>
      <c r="B4215">
        <v>11</v>
      </c>
      <c r="C4215" t="s">
        <v>17211</v>
      </c>
      <c r="D4215" t="s">
        <v>2855</v>
      </c>
      <c r="E4215" t="s">
        <v>17196</v>
      </c>
      <c r="F4215" t="s">
        <v>7672</v>
      </c>
      <c r="G4215" t="s">
        <v>17197</v>
      </c>
      <c r="H4215" t="s">
        <v>12519</v>
      </c>
      <c r="I4215" t="s">
        <v>12520</v>
      </c>
      <c r="J4215" t="s">
        <v>7686</v>
      </c>
    </row>
    <row r="4216" spans="1:10" x14ac:dyDescent="0.25">
      <c r="A4216" t="s">
        <v>17212</v>
      </c>
      <c r="B4216">
        <v>11</v>
      </c>
      <c r="C4216" t="s">
        <v>17213</v>
      </c>
      <c r="D4216" t="s">
        <v>654</v>
      </c>
      <c r="E4216" t="s">
        <v>17196</v>
      </c>
      <c r="F4216" t="s">
        <v>7672</v>
      </c>
      <c r="G4216" t="s">
        <v>17197</v>
      </c>
      <c r="H4216" t="s">
        <v>12519</v>
      </c>
      <c r="I4216" t="s">
        <v>7399</v>
      </c>
      <c r="J4216" t="s">
        <v>7686</v>
      </c>
    </row>
    <row r="4217" spans="1:10" x14ac:dyDescent="0.25">
      <c r="A4217" t="s">
        <v>17214</v>
      </c>
      <c r="B4217">
        <v>11</v>
      </c>
      <c r="C4217" t="s">
        <v>17215</v>
      </c>
      <c r="D4217" t="s">
        <v>151</v>
      </c>
      <c r="E4217" t="s">
        <v>17196</v>
      </c>
      <c r="F4217" t="s">
        <v>7672</v>
      </c>
      <c r="G4217" t="s">
        <v>17197</v>
      </c>
      <c r="H4217" t="s">
        <v>12519</v>
      </c>
      <c r="I4217" t="s">
        <v>17201</v>
      </c>
      <c r="J4217" t="s">
        <v>7703</v>
      </c>
    </row>
    <row r="4218" spans="1:10" x14ac:dyDescent="0.25">
      <c r="A4218" t="s">
        <v>17216</v>
      </c>
      <c r="B4218">
        <v>11</v>
      </c>
      <c r="C4218" t="s">
        <v>17217</v>
      </c>
      <c r="D4218" t="s">
        <v>720</v>
      </c>
      <c r="E4218" t="s">
        <v>17196</v>
      </c>
      <c r="F4218" t="s">
        <v>7672</v>
      </c>
      <c r="G4218" t="s">
        <v>17197</v>
      </c>
      <c r="H4218" t="s">
        <v>12519</v>
      </c>
      <c r="I4218" t="s">
        <v>7399</v>
      </c>
      <c r="J4218" t="s">
        <v>7703</v>
      </c>
    </row>
    <row r="4219" spans="1:10" x14ac:dyDescent="0.25">
      <c r="A4219" t="s">
        <v>17218</v>
      </c>
      <c r="B4219">
        <v>11</v>
      </c>
      <c r="C4219" t="s">
        <v>17219</v>
      </c>
      <c r="D4219" t="s">
        <v>639</v>
      </c>
      <c r="E4219" t="s">
        <v>17196</v>
      </c>
      <c r="F4219" t="s">
        <v>7672</v>
      </c>
      <c r="G4219" t="s">
        <v>17197</v>
      </c>
      <c r="H4219" t="s">
        <v>12519</v>
      </c>
      <c r="I4219" t="s">
        <v>12520</v>
      </c>
      <c r="J4219" t="s">
        <v>7703</v>
      </c>
    </row>
    <row r="4220" spans="1:10" x14ac:dyDescent="0.25">
      <c r="A4220" t="s">
        <v>17220</v>
      </c>
      <c r="B4220">
        <v>11</v>
      </c>
      <c r="C4220" t="s">
        <v>17221</v>
      </c>
      <c r="D4220" t="s">
        <v>5145</v>
      </c>
      <c r="E4220" t="s">
        <v>17196</v>
      </c>
      <c r="F4220" t="s">
        <v>7672</v>
      </c>
      <c r="G4220" t="s">
        <v>17197</v>
      </c>
      <c r="H4220" t="s">
        <v>12519</v>
      </c>
      <c r="I4220" t="s">
        <v>17201</v>
      </c>
      <c r="J4220" t="s">
        <v>7713</v>
      </c>
    </row>
    <row r="4221" spans="1:10" x14ac:dyDescent="0.25">
      <c r="A4221" t="s">
        <v>17222</v>
      </c>
      <c r="B4221">
        <v>7.1920000000000002</v>
      </c>
      <c r="C4221" t="s">
        <v>17223</v>
      </c>
      <c r="D4221" t="s">
        <v>849</v>
      </c>
      <c r="E4221" t="s">
        <v>17224</v>
      </c>
      <c r="F4221" t="s">
        <v>7672</v>
      </c>
      <c r="G4221" t="s">
        <v>17225</v>
      </c>
      <c r="H4221" t="s">
        <v>8027</v>
      </c>
      <c r="I4221" t="s">
        <v>17226</v>
      </c>
      <c r="J4221" t="s">
        <v>9023</v>
      </c>
    </row>
    <row r="4222" spans="1:10" x14ac:dyDescent="0.25">
      <c r="A4222" t="s">
        <v>17227</v>
      </c>
      <c r="B4222">
        <v>7.1920000000000002</v>
      </c>
      <c r="C4222" t="s">
        <v>17228</v>
      </c>
      <c r="D4222" t="s">
        <v>106</v>
      </c>
      <c r="E4222" t="s">
        <v>17224</v>
      </c>
      <c r="F4222" t="s">
        <v>7672</v>
      </c>
      <c r="G4222" t="s">
        <v>17225</v>
      </c>
      <c r="H4222" t="s">
        <v>8027</v>
      </c>
      <c r="I4222" t="s">
        <v>17229</v>
      </c>
      <c r="J4222" t="s">
        <v>9023</v>
      </c>
    </row>
    <row r="4223" spans="1:10" x14ac:dyDescent="0.25">
      <c r="A4223" t="s">
        <v>17230</v>
      </c>
      <c r="B4223">
        <v>7.1920000000000002</v>
      </c>
      <c r="C4223" t="s">
        <v>17231</v>
      </c>
      <c r="D4223" t="s">
        <v>1536</v>
      </c>
      <c r="E4223" t="s">
        <v>17224</v>
      </c>
      <c r="F4223" t="s">
        <v>7672</v>
      </c>
      <c r="G4223" t="s">
        <v>17225</v>
      </c>
      <c r="H4223" t="s">
        <v>8027</v>
      </c>
      <c r="I4223" t="s">
        <v>17232</v>
      </c>
      <c r="J4223" t="s">
        <v>9023</v>
      </c>
    </row>
    <row r="4224" spans="1:10" x14ac:dyDescent="0.25">
      <c r="A4224" t="s">
        <v>17233</v>
      </c>
      <c r="B4224">
        <v>7.1920000000000002</v>
      </c>
      <c r="C4224" t="s">
        <v>17234</v>
      </c>
      <c r="D4224" t="s">
        <v>1536</v>
      </c>
      <c r="E4224" t="s">
        <v>17224</v>
      </c>
      <c r="F4224" t="s">
        <v>7672</v>
      </c>
      <c r="G4224" t="s">
        <v>17225</v>
      </c>
      <c r="H4224" t="s">
        <v>8027</v>
      </c>
      <c r="I4224" t="s">
        <v>17232</v>
      </c>
      <c r="J4224" t="s">
        <v>8883</v>
      </c>
    </row>
    <row r="4225" spans="1:10" x14ac:dyDescent="0.25">
      <c r="A4225" t="s">
        <v>17235</v>
      </c>
      <c r="B4225">
        <v>7.1920000000000002</v>
      </c>
      <c r="C4225" t="s">
        <v>17236</v>
      </c>
      <c r="D4225" t="s">
        <v>330</v>
      </c>
      <c r="E4225" t="s">
        <v>17224</v>
      </c>
      <c r="F4225" t="s">
        <v>7672</v>
      </c>
      <c r="G4225" t="s">
        <v>17225</v>
      </c>
      <c r="H4225" t="s">
        <v>8027</v>
      </c>
      <c r="I4225" t="s">
        <v>17232</v>
      </c>
      <c r="J4225" t="s">
        <v>10908</v>
      </c>
    </row>
    <row r="4226" spans="1:10" x14ac:dyDescent="0.25">
      <c r="A4226" t="s">
        <v>17237</v>
      </c>
      <c r="B4226">
        <v>7.1920000000000002</v>
      </c>
      <c r="C4226" t="s">
        <v>17238</v>
      </c>
      <c r="D4226" t="s">
        <v>88</v>
      </c>
      <c r="E4226" t="s">
        <v>17224</v>
      </c>
      <c r="F4226" t="s">
        <v>7672</v>
      </c>
      <c r="G4226" t="s">
        <v>17225</v>
      </c>
      <c r="H4226" t="s">
        <v>8027</v>
      </c>
      <c r="I4226" t="s">
        <v>17232</v>
      </c>
      <c r="J4226" t="s">
        <v>10918</v>
      </c>
    </row>
    <row r="4227" spans="1:10" x14ac:dyDescent="0.25">
      <c r="A4227" t="s">
        <v>17239</v>
      </c>
      <c r="B4227">
        <v>7.1920000000000002</v>
      </c>
      <c r="C4227" t="s">
        <v>17240</v>
      </c>
      <c r="D4227" t="s">
        <v>60</v>
      </c>
      <c r="E4227" t="s">
        <v>17224</v>
      </c>
      <c r="F4227" t="s">
        <v>7672</v>
      </c>
      <c r="G4227" t="s">
        <v>17225</v>
      </c>
      <c r="H4227" t="s">
        <v>8027</v>
      </c>
      <c r="I4227" t="s">
        <v>17232</v>
      </c>
      <c r="J4227" t="s">
        <v>10926</v>
      </c>
    </row>
    <row r="4228" spans="1:10" x14ac:dyDescent="0.25">
      <c r="A4228" t="s">
        <v>17241</v>
      </c>
      <c r="B4228">
        <v>9.7920000000000016</v>
      </c>
      <c r="C4228" t="s">
        <v>17242</v>
      </c>
      <c r="D4228" t="s">
        <v>53</v>
      </c>
      <c r="E4228" t="s">
        <v>17243</v>
      </c>
      <c r="F4228" t="s">
        <v>7672</v>
      </c>
      <c r="G4228" t="s">
        <v>17244</v>
      </c>
      <c r="H4228" t="s">
        <v>7674</v>
      </c>
      <c r="I4228" t="s">
        <v>10848</v>
      </c>
      <c r="J4228" t="s">
        <v>9114</v>
      </c>
    </row>
    <row r="4229" spans="1:10" x14ac:dyDescent="0.25">
      <c r="A4229" t="s">
        <v>17245</v>
      </c>
      <c r="B4229">
        <v>5.4</v>
      </c>
      <c r="C4229" t="s">
        <v>17246</v>
      </c>
      <c r="D4229" t="s">
        <v>385</v>
      </c>
      <c r="E4229" t="s">
        <v>17247</v>
      </c>
      <c r="F4229" t="s">
        <v>7672</v>
      </c>
      <c r="G4229" t="s">
        <v>17248</v>
      </c>
      <c r="H4229" t="s">
        <v>10298</v>
      </c>
      <c r="I4229" t="s">
        <v>10394</v>
      </c>
      <c r="J4229" t="s">
        <v>7942</v>
      </c>
    </row>
    <row r="4230" spans="1:10" x14ac:dyDescent="0.25">
      <c r="A4230" t="s">
        <v>17249</v>
      </c>
      <c r="B4230">
        <v>5.4</v>
      </c>
      <c r="C4230" t="s">
        <v>17250</v>
      </c>
      <c r="D4230" t="s">
        <v>3023</v>
      </c>
      <c r="E4230" t="s">
        <v>17247</v>
      </c>
      <c r="F4230" t="s">
        <v>7672</v>
      </c>
      <c r="G4230" t="s">
        <v>17248</v>
      </c>
      <c r="H4230" t="s">
        <v>10298</v>
      </c>
      <c r="I4230" t="s">
        <v>17251</v>
      </c>
      <c r="J4230" t="s">
        <v>7942</v>
      </c>
    </row>
    <row r="4231" spans="1:10" x14ac:dyDescent="0.25">
      <c r="A4231" t="s">
        <v>17252</v>
      </c>
      <c r="B4231">
        <v>5.4</v>
      </c>
      <c r="C4231" t="s">
        <v>17253</v>
      </c>
      <c r="D4231" t="s">
        <v>352</v>
      </c>
      <c r="E4231" t="s">
        <v>17247</v>
      </c>
      <c r="F4231" t="s">
        <v>7672</v>
      </c>
      <c r="G4231" t="s">
        <v>17248</v>
      </c>
      <c r="H4231" t="s">
        <v>10298</v>
      </c>
      <c r="I4231" t="s">
        <v>17254</v>
      </c>
      <c r="J4231" t="s">
        <v>7942</v>
      </c>
    </row>
    <row r="4232" spans="1:10" x14ac:dyDescent="0.25">
      <c r="A4232" t="s">
        <v>17255</v>
      </c>
      <c r="B4232">
        <v>5.4</v>
      </c>
      <c r="C4232" t="s">
        <v>17256</v>
      </c>
      <c r="D4232" t="s">
        <v>330</v>
      </c>
      <c r="E4232" t="s">
        <v>17247</v>
      </c>
      <c r="F4232" t="s">
        <v>7672</v>
      </c>
      <c r="G4232" t="s">
        <v>17248</v>
      </c>
      <c r="H4232" t="s">
        <v>10298</v>
      </c>
      <c r="I4232" t="s">
        <v>14897</v>
      </c>
      <c r="J4232" t="s">
        <v>7942</v>
      </c>
    </row>
    <row r="4233" spans="1:10" x14ac:dyDescent="0.25">
      <c r="A4233" t="s">
        <v>17257</v>
      </c>
      <c r="B4233">
        <v>5.4</v>
      </c>
      <c r="C4233" t="s">
        <v>17258</v>
      </c>
      <c r="D4233" t="s">
        <v>1811</v>
      </c>
      <c r="E4233" t="s">
        <v>17247</v>
      </c>
      <c r="F4233" t="s">
        <v>7672</v>
      </c>
      <c r="G4233" t="s">
        <v>17248</v>
      </c>
      <c r="H4233" t="s">
        <v>10298</v>
      </c>
      <c r="I4233" t="s">
        <v>15013</v>
      </c>
      <c r="J4233" t="s">
        <v>7942</v>
      </c>
    </row>
    <row r="4234" spans="1:10" x14ac:dyDescent="0.25">
      <c r="A4234" t="s">
        <v>17259</v>
      </c>
      <c r="B4234">
        <v>5.4</v>
      </c>
      <c r="C4234" t="s">
        <v>17260</v>
      </c>
      <c r="D4234" t="s">
        <v>835</v>
      </c>
      <c r="E4234" t="s">
        <v>17247</v>
      </c>
      <c r="F4234" t="s">
        <v>7672</v>
      </c>
      <c r="G4234" t="s">
        <v>17248</v>
      </c>
      <c r="H4234" t="s">
        <v>10298</v>
      </c>
      <c r="I4234" t="s">
        <v>17261</v>
      </c>
      <c r="J4234" t="s">
        <v>7942</v>
      </c>
    </row>
    <row r="4235" spans="1:10" x14ac:dyDescent="0.25">
      <c r="A4235" t="s">
        <v>17262</v>
      </c>
      <c r="B4235">
        <v>5.4</v>
      </c>
      <c r="C4235" t="s">
        <v>17263</v>
      </c>
      <c r="D4235" t="s">
        <v>1710</v>
      </c>
      <c r="E4235" t="s">
        <v>17247</v>
      </c>
      <c r="F4235" t="s">
        <v>7672</v>
      </c>
      <c r="G4235" t="s">
        <v>17248</v>
      </c>
      <c r="H4235" t="s">
        <v>10298</v>
      </c>
      <c r="I4235" t="s">
        <v>17251</v>
      </c>
      <c r="J4235" t="s">
        <v>7981</v>
      </c>
    </row>
    <row r="4236" spans="1:10" x14ac:dyDescent="0.25">
      <c r="A4236" t="s">
        <v>17264</v>
      </c>
      <c r="B4236">
        <v>5.4</v>
      </c>
      <c r="C4236" t="s">
        <v>17265</v>
      </c>
      <c r="D4236" t="s">
        <v>1579</v>
      </c>
      <c r="E4236" t="s">
        <v>17247</v>
      </c>
      <c r="F4236" t="s">
        <v>7672</v>
      </c>
      <c r="G4236" t="s">
        <v>17248</v>
      </c>
      <c r="H4236" t="s">
        <v>10298</v>
      </c>
      <c r="I4236" t="s">
        <v>10394</v>
      </c>
      <c r="J4236" t="s">
        <v>7981</v>
      </c>
    </row>
    <row r="4237" spans="1:10" x14ac:dyDescent="0.25">
      <c r="A4237" t="s">
        <v>17266</v>
      </c>
      <c r="B4237">
        <v>5.4</v>
      </c>
      <c r="C4237" t="s">
        <v>17267</v>
      </c>
      <c r="D4237" t="s">
        <v>74</v>
      </c>
      <c r="E4237" t="s">
        <v>17247</v>
      </c>
      <c r="F4237" t="s">
        <v>7672</v>
      </c>
      <c r="G4237" t="s">
        <v>17248</v>
      </c>
      <c r="H4237" t="s">
        <v>10298</v>
      </c>
      <c r="I4237" t="s">
        <v>15013</v>
      </c>
      <c r="J4237" t="s">
        <v>7981</v>
      </c>
    </row>
    <row r="4238" spans="1:10" x14ac:dyDescent="0.25">
      <c r="A4238" t="s">
        <v>17268</v>
      </c>
      <c r="B4238">
        <v>5.4</v>
      </c>
      <c r="C4238" t="s">
        <v>17269</v>
      </c>
      <c r="D4238" t="s">
        <v>95</v>
      </c>
      <c r="E4238" t="s">
        <v>17247</v>
      </c>
      <c r="F4238" t="s">
        <v>7672</v>
      </c>
      <c r="G4238" t="s">
        <v>17248</v>
      </c>
      <c r="H4238" t="s">
        <v>10298</v>
      </c>
      <c r="I4238" t="s">
        <v>14897</v>
      </c>
      <c r="J4238" t="s">
        <v>7981</v>
      </c>
    </row>
    <row r="4239" spans="1:10" x14ac:dyDescent="0.25">
      <c r="A4239" t="s">
        <v>17270</v>
      </c>
      <c r="B4239">
        <v>5.4</v>
      </c>
      <c r="C4239" t="s">
        <v>17271</v>
      </c>
      <c r="D4239" t="s">
        <v>286</v>
      </c>
      <c r="E4239" t="s">
        <v>17247</v>
      </c>
      <c r="F4239" t="s">
        <v>7672</v>
      </c>
      <c r="G4239" t="s">
        <v>17248</v>
      </c>
      <c r="H4239" t="s">
        <v>10298</v>
      </c>
      <c r="I4239" t="s">
        <v>17261</v>
      </c>
      <c r="J4239" t="s">
        <v>7981</v>
      </c>
    </row>
    <row r="4240" spans="1:10" x14ac:dyDescent="0.25">
      <c r="A4240" t="s">
        <v>17272</v>
      </c>
      <c r="B4240">
        <v>5.4</v>
      </c>
      <c r="C4240" t="s">
        <v>17273</v>
      </c>
      <c r="D4240" t="s">
        <v>1852</v>
      </c>
      <c r="E4240" t="s">
        <v>17247</v>
      </c>
      <c r="F4240" t="s">
        <v>7672</v>
      </c>
      <c r="G4240" t="s">
        <v>17248</v>
      </c>
      <c r="H4240" t="s">
        <v>10298</v>
      </c>
      <c r="I4240" t="s">
        <v>15013</v>
      </c>
      <c r="J4240" t="s">
        <v>7984</v>
      </c>
    </row>
    <row r="4241" spans="1:10" x14ac:dyDescent="0.25">
      <c r="A4241" t="s">
        <v>17274</v>
      </c>
      <c r="B4241">
        <v>4.8000000000000007</v>
      </c>
      <c r="C4241" t="s">
        <v>17275</v>
      </c>
      <c r="D4241" t="s">
        <v>626</v>
      </c>
      <c r="E4241" t="s">
        <v>17276</v>
      </c>
      <c r="F4241" t="s">
        <v>7672</v>
      </c>
      <c r="G4241" t="s">
        <v>17277</v>
      </c>
      <c r="H4241" t="s">
        <v>11496</v>
      </c>
      <c r="I4241" t="s">
        <v>17278</v>
      </c>
      <c r="J4241" t="s">
        <v>10369</v>
      </c>
    </row>
    <row r="4242" spans="1:10" x14ac:dyDescent="0.25">
      <c r="A4242" t="s">
        <v>17279</v>
      </c>
      <c r="B4242">
        <v>4.8000000000000007</v>
      </c>
      <c r="C4242" t="s">
        <v>17280</v>
      </c>
      <c r="D4242" t="s">
        <v>7841</v>
      </c>
      <c r="E4242" t="s">
        <v>17276</v>
      </c>
      <c r="F4242" t="s">
        <v>7672</v>
      </c>
      <c r="G4242" t="s">
        <v>17277</v>
      </c>
      <c r="H4242" t="s">
        <v>11496</v>
      </c>
      <c r="I4242" t="s">
        <v>17278</v>
      </c>
      <c r="J4242" t="s">
        <v>11590</v>
      </c>
    </row>
    <row r="4243" spans="1:10" x14ac:dyDescent="0.25">
      <c r="A4243" t="s">
        <v>17281</v>
      </c>
      <c r="B4243">
        <v>4.8000000000000007</v>
      </c>
      <c r="C4243" t="s">
        <v>17282</v>
      </c>
      <c r="D4243" t="s">
        <v>17283</v>
      </c>
      <c r="E4243" t="s">
        <v>17276</v>
      </c>
      <c r="F4243" t="s">
        <v>7672</v>
      </c>
      <c r="G4243" t="s">
        <v>17277</v>
      </c>
      <c r="H4243" t="s">
        <v>11496</v>
      </c>
      <c r="I4243" t="s">
        <v>17278</v>
      </c>
      <c r="J4243" t="s">
        <v>11593</v>
      </c>
    </row>
    <row r="4244" spans="1:10" x14ac:dyDescent="0.25">
      <c r="A4244" t="s">
        <v>17284</v>
      </c>
      <c r="B4244">
        <v>9.9920000000000009</v>
      </c>
      <c r="C4244" t="s">
        <v>17285</v>
      </c>
      <c r="D4244" t="s">
        <v>4924</v>
      </c>
      <c r="E4244" t="s">
        <v>17286</v>
      </c>
      <c r="F4244" t="s">
        <v>7672</v>
      </c>
      <c r="G4244" t="s">
        <v>17287</v>
      </c>
      <c r="H4244" t="s">
        <v>12137</v>
      </c>
      <c r="I4244" t="s">
        <v>17288</v>
      </c>
      <c r="J4244" t="s">
        <v>11498</v>
      </c>
    </row>
    <row r="4245" spans="1:10" x14ac:dyDescent="0.25">
      <c r="A4245" t="s">
        <v>17289</v>
      </c>
      <c r="B4245">
        <v>9.9920000000000009</v>
      </c>
      <c r="C4245" t="s">
        <v>17290</v>
      </c>
      <c r="D4245" t="s">
        <v>229</v>
      </c>
      <c r="E4245" t="s">
        <v>17286</v>
      </c>
      <c r="F4245" t="s">
        <v>7672</v>
      </c>
      <c r="G4245" t="s">
        <v>17287</v>
      </c>
      <c r="H4245" t="s">
        <v>12137</v>
      </c>
      <c r="I4245" t="s">
        <v>76</v>
      </c>
      <c r="J4245" t="s">
        <v>11498</v>
      </c>
    </row>
    <row r="4246" spans="1:10" x14ac:dyDescent="0.25">
      <c r="A4246" t="s">
        <v>17291</v>
      </c>
      <c r="B4246">
        <v>10.992000000000001</v>
      </c>
      <c r="C4246" t="s">
        <v>17292</v>
      </c>
      <c r="D4246" t="s">
        <v>306</v>
      </c>
      <c r="E4246" t="s">
        <v>17286</v>
      </c>
      <c r="F4246" t="s">
        <v>7672</v>
      </c>
      <c r="G4246" t="s">
        <v>17287</v>
      </c>
      <c r="H4246" t="s">
        <v>12137</v>
      </c>
      <c r="I4246" t="s">
        <v>17293</v>
      </c>
      <c r="J4246" t="s">
        <v>11498</v>
      </c>
    </row>
    <row r="4247" spans="1:10" x14ac:dyDescent="0.25">
      <c r="A4247" t="s">
        <v>17294</v>
      </c>
      <c r="B4247">
        <v>9.9920000000000009</v>
      </c>
      <c r="C4247" t="s">
        <v>17295</v>
      </c>
      <c r="D4247" t="s">
        <v>124</v>
      </c>
      <c r="E4247" t="s">
        <v>17286</v>
      </c>
      <c r="F4247" t="s">
        <v>7672</v>
      </c>
      <c r="G4247" t="s">
        <v>17287</v>
      </c>
      <c r="H4247" t="s">
        <v>12137</v>
      </c>
      <c r="I4247" t="s">
        <v>17288</v>
      </c>
      <c r="J4247" t="s">
        <v>11499</v>
      </c>
    </row>
    <row r="4248" spans="1:10" x14ac:dyDescent="0.25">
      <c r="A4248" t="s">
        <v>17296</v>
      </c>
      <c r="B4248">
        <v>10.992000000000001</v>
      </c>
      <c r="C4248" t="s">
        <v>17297</v>
      </c>
      <c r="D4248" t="s">
        <v>835</v>
      </c>
      <c r="E4248" t="s">
        <v>17286</v>
      </c>
      <c r="F4248" t="s">
        <v>7672</v>
      </c>
      <c r="G4248" t="s">
        <v>17287</v>
      </c>
      <c r="H4248" t="s">
        <v>12137</v>
      </c>
      <c r="I4248" t="s">
        <v>17293</v>
      </c>
      <c r="J4248" t="s">
        <v>11499</v>
      </c>
    </row>
    <row r="4249" spans="1:10" x14ac:dyDescent="0.25">
      <c r="A4249" t="s">
        <v>17298</v>
      </c>
      <c r="B4249">
        <v>9.9920000000000009</v>
      </c>
      <c r="C4249" t="s">
        <v>17299</v>
      </c>
      <c r="D4249" t="s">
        <v>576</v>
      </c>
      <c r="E4249" t="s">
        <v>17286</v>
      </c>
      <c r="F4249" t="s">
        <v>7672</v>
      </c>
      <c r="G4249" t="s">
        <v>17287</v>
      </c>
      <c r="H4249" t="s">
        <v>12137</v>
      </c>
      <c r="I4249" t="s">
        <v>17288</v>
      </c>
      <c r="J4249" t="s">
        <v>11500</v>
      </c>
    </row>
    <row r="4250" spans="1:10" x14ac:dyDescent="0.25">
      <c r="A4250" t="s">
        <v>17300</v>
      </c>
      <c r="B4250">
        <v>9.9920000000000009</v>
      </c>
      <c r="C4250" t="s">
        <v>17301</v>
      </c>
      <c r="D4250" t="s">
        <v>301</v>
      </c>
      <c r="E4250" t="s">
        <v>17286</v>
      </c>
      <c r="F4250" t="s">
        <v>7672</v>
      </c>
      <c r="G4250" t="s">
        <v>17287</v>
      </c>
      <c r="H4250" t="s">
        <v>12137</v>
      </c>
      <c r="I4250" t="s">
        <v>17288</v>
      </c>
      <c r="J4250" t="s">
        <v>11502</v>
      </c>
    </row>
    <row r="4251" spans="1:10" x14ac:dyDescent="0.25">
      <c r="A4251" t="s">
        <v>17302</v>
      </c>
      <c r="B4251">
        <v>9.9920000000000009</v>
      </c>
      <c r="C4251" t="s">
        <v>17303</v>
      </c>
      <c r="D4251" t="s">
        <v>981</v>
      </c>
      <c r="E4251" t="s">
        <v>17286</v>
      </c>
      <c r="F4251" t="s">
        <v>7672</v>
      </c>
      <c r="G4251" t="s">
        <v>17287</v>
      </c>
      <c r="H4251" t="s">
        <v>12137</v>
      </c>
      <c r="I4251" t="s">
        <v>17288</v>
      </c>
      <c r="J4251" t="s">
        <v>282</v>
      </c>
    </row>
    <row r="4252" spans="1:10" x14ac:dyDescent="0.25">
      <c r="A4252" t="s">
        <v>17304</v>
      </c>
      <c r="B4252">
        <v>10.8</v>
      </c>
      <c r="C4252" t="s">
        <v>17305</v>
      </c>
      <c r="D4252" t="s">
        <v>8562</v>
      </c>
      <c r="E4252" t="s">
        <v>17306</v>
      </c>
      <c r="F4252" t="s">
        <v>7672</v>
      </c>
      <c r="G4252" t="s">
        <v>17307</v>
      </c>
      <c r="H4252" t="s">
        <v>8779</v>
      </c>
      <c r="I4252" t="s">
        <v>3636</v>
      </c>
      <c r="J4252" t="s">
        <v>11710</v>
      </c>
    </row>
    <row r="4253" spans="1:10" x14ac:dyDescent="0.25">
      <c r="A4253" t="s">
        <v>17308</v>
      </c>
      <c r="B4253">
        <v>10.8</v>
      </c>
      <c r="C4253" t="s">
        <v>17309</v>
      </c>
      <c r="D4253" t="s">
        <v>4971</v>
      </c>
      <c r="E4253" t="s">
        <v>17306</v>
      </c>
      <c r="F4253" t="s">
        <v>7672</v>
      </c>
      <c r="G4253" t="s">
        <v>17307</v>
      </c>
      <c r="H4253" t="s">
        <v>8779</v>
      </c>
      <c r="I4253" t="s">
        <v>76</v>
      </c>
      <c r="J4253" t="s">
        <v>11710</v>
      </c>
    </row>
    <row r="4254" spans="1:10" x14ac:dyDescent="0.25">
      <c r="A4254" t="s">
        <v>17310</v>
      </c>
      <c r="B4254">
        <v>10.8</v>
      </c>
      <c r="C4254" t="s">
        <v>17311</v>
      </c>
      <c r="D4254" t="s">
        <v>17312</v>
      </c>
      <c r="E4254" t="s">
        <v>17306</v>
      </c>
      <c r="F4254" t="s">
        <v>7672</v>
      </c>
      <c r="G4254" t="s">
        <v>17307</v>
      </c>
      <c r="H4254" t="s">
        <v>8779</v>
      </c>
      <c r="I4254" t="s">
        <v>3636</v>
      </c>
      <c r="J4254" t="s">
        <v>12182</v>
      </c>
    </row>
    <row r="4255" spans="1:10" x14ac:dyDescent="0.25">
      <c r="A4255" t="s">
        <v>17313</v>
      </c>
      <c r="B4255">
        <v>10.8</v>
      </c>
      <c r="C4255" t="s">
        <v>17314</v>
      </c>
      <c r="D4255" t="s">
        <v>12223</v>
      </c>
      <c r="E4255" t="s">
        <v>17306</v>
      </c>
      <c r="F4255" t="s">
        <v>7672</v>
      </c>
      <c r="G4255" t="s">
        <v>17307</v>
      </c>
      <c r="H4255" t="s">
        <v>8779</v>
      </c>
      <c r="I4255" t="s">
        <v>76</v>
      </c>
      <c r="J4255" t="s">
        <v>12182</v>
      </c>
    </row>
    <row r="4256" spans="1:10" x14ac:dyDescent="0.25">
      <c r="A4256" t="s">
        <v>17315</v>
      </c>
      <c r="B4256">
        <v>10.8</v>
      </c>
      <c r="C4256" t="s">
        <v>17316</v>
      </c>
      <c r="D4256" t="s">
        <v>12685</v>
      </c>
      <c r="E4256" t="s">
        <v>17306</v>
      </c>
      <c r="F4256" t="s">
        <v>7672</v>
      </c>
      <c r="G4256" t="s">
        <v>17307</v>
      </c>
      <c r="H4256" t="s">
        <v>8779</v>
      </c>
      <c r="I4256" t="s">
        <v>3636</v>
      </c>
      <c r="J4256" t="s">
        <v>10150</v>
      </c>
    </row>
    <row r="4257" spans="1:10" x14ac:dyDescent="0.25">
      <c r="A4257" t="s">
        <v>17317</v>
      </c>
      <c r="B4257">
        <v>10.8</v>
      </c>
      <c r="C4257" t="s">
        <v>17318</v>
      </c>
      <c r="D4257" t="s">
        <v>8859</v>
      </c>
      <c r="E4257" t="s">
        <v>17306</v>
      </c>
      <c r="F4257" t="s">
        <v>7672</v>
      </c>
      <c r="G4257" t="s">
        <v>17307</v>
      </c>
      <c r="H4257" t="s">
        <v>8779</v>
      </c>
      <c r="I4257" t="s">
        <v>76</v>
      </c>
      <c r="J4257" t="s">
        <v>10150</v>
      </c>
    </row>
    <row r="4258" spans="1:10" x14ac:dyDescent="0.25">
      <c r="A4258" t="s">
        <v>17319</v>
      </c>
      <c r="B4258">
        <v>10.8</v>
      </c>
      <c r="C4258" t="s">
        <v>17320</v>
      </c>
      <c r="D4258" t="s">
        <v>1811</v>
      </c>
      <c r="E4258" t="s">
        <v>17306</v>
      </c>
      <c r="F4258" t="s">
        <v>7672</v>
      </c>
      <c r="G4258" t="s">
        <v>17307</v>
      </c>
      <c r="H4258" t="s">
        <v>8779</v>
      </c>
      <c r="I4258" t="s">
        <v>3636</v>
      </c>
      <c r="J4258" t="s">
        <v>17126</v>
      </c>
    </row>
    <row r="4259" spans="1:10" x14ac:dyDescent="0.25">
      <c r="A4259" t="s">
        <v>4177</v>
      </c>
      <c r="B4259">
        <v>6.76</v>
      </c>
      <c r="C4259" t="s">
        <v>4179</v>
      </c>
      <c r="D4259" t="s">
        <v>3572</v>
      </c>
      <c r="E4259" t="s">
        <v>4180</v>
      </c>
      <c r="F4259" t="s">
        <v>7672</v>
      </c>
      <c r="G4259" t="s">
        <v>17321</v>
      </c>
      <c r="H4259" t="s">
        <v>12519</v>
      </c>
      <c r="I4259" t="s">
        <v>278</v>
      </c>
      <c r="J4259" t="s">
        <v>7981</v>
      </c>
    </row>
    <row r="4260" spans="1:10" x14ac:dyDescent="0.25">
      <c r="A4260" t="s">
        <v>4183</v>
      </c>
      <c r="B4260">
        <v>6.76</v>
      </c>
      <c r="C4260" t="s">
        <v>4185</v>
      </c>
      <c r="D4260" t="s">
        <v>4187</v>
      </c>
      <c r="E4260" t="s">
        <v>4180</v>
      </c>
      <c r="F4260" t="s">
        <v>7672</v>
      </c>
      <c r="G4260" t="s">
        <v>17321</v>
      </c>
      <c r="H4260" t="s">
        <v>12519</v>
      </c>
      <c r="I4260" t="s">
        <v>278</v>
      </c>
      <c r="J4260" t="s">
        <v>7984</v>
      </c>
    </row>
    <row r="4261" spans="1:10" x14ac:dyDescent="0.25">
      <c r="A4261" t="s">
        <v>4188</v>
      </c>
      <c r="B4261">
        <v>6.76</v>
      </c>
      <c r="C4261" t="s">
        <v>4190</v>
      </c>
      <c r="D4261" t="s">
        <v>4192</v>
      </c>
      <c r="E4261" t="s">
        <v>4180</v>
      </c>
      <c r="F4261" t="s">
        <v>7672</v>
      </c>
      <c r="G4261" t="s">
        <v>17321</v>
      </c>
      <c r="H4261" t="s">
        <v>12519</v>
      </c>
      <c r="I4261" t="s">
        <v>278</v>
      </c>
      <c r="J4261" t="s">
        <v>7987</v>
      </c>
    </row>
    <row r="4262" spans="1:10" x14ac:dyDescent="0.25">
      <c r="A4262" t="s">
        <v>4193</v>
      </c>
      <c r="B4262">
        <v>6.76</v>
      </c>
      <c r="C4262" t="s">
        <v>4195</v>
      </c>
      <c r="D4262" t="s">
        <v>124</v>
      </c>
      <c r="E4262" t="s">
        <v>4180</v>
      </c>
      <c r="F4262" t="s">
        <v>7672</v>
      </c>
      <c r="G4262" t="s">
        <v>17321</v>
      </c>
      <c r="H4262" t="s">
        <v>12519</v>
      </c>
      <c r="I4262" t="s">
        <v>278</v>
      </c>
      <c r="J4262" t="s">
        <v>8001</v>
      </c>
    </row>
    <row r="4263" spans="1:10" x14ac:dyDescent="0.25">
      <c r="A4263" t="s">
        <v>17322</v>
      </c>
      <c r="B4263">
        <v>8</v>
      </c>
      <c r="C4263" t="s">
        <v>17323</v>
      </c>
      <c r="D4263" t="s">
        <v>2056</v>
      </c>
      <c r="E4263" t="s">
        <v>17324</v>
      </c>
      <c r="F4263" t="s">
        <v>7672</v>
      </c>
      <c r="G4263" t="s">
        <v>17325</v>
      </c>
      <c r="H4263" t="s">
        <v>11496</v>
      </c>
      <c r="I4263" t="s">
        <v>17326</v>
      </c>
      <c r="J4263" t="s">
        <v>100</v>
      </c>
    </row>
    <row r="4264" spans="1:10" x14ac:dyDescent="0.25">
      <c r="A4264" t="s">
        <v>17327</v>
      </c>
      <c r="B4264">
        <v>8</v>
      </c>
      <c r="C4264" t="s">
        <v>17328</v>
      </c>
      <c r="D4264" t="s">
        <v>8111</v>
      </c>
      <c r="E4264" t="s">
        <v>17324</v>
      </c>
      <c r="F4264" t="s">
        <v>7672</v>
      </c>
      <c r="G4264" t="s">
        <v>17325</v>
      </c>
      <c r="H4264" t="s">
        <v>11496</v>
      </c>
      <c r="I4264" t="s">
        <v>17326</v>
      </c>
      <c r="J4264" t="s">
        <v>106</v>
      </c>
    </row>
    <row r="4265" spans="1:10" x14ac:dyDescent="0.25">
      <c r="A4265" t="s">
        <v>17329</v>
      </c>
      <c r="B4265">
        <v>8</v>
      </c>
      <c r="C4265" t="s">
        <v>17330</v>
      </c>
      <c r="D4265" t="s">
        <v>7993</v>
      </c>
      <c r="E4265" t="s">
        <v>17324</v>
      </c>
      <c r="F4265" t="s">
        <v>7672</v>
      </c>
      <c r="G4265" t="s">
        <v>17325</v>
      </c>
      <c r="H4265" t="s">
        <v>11496</v>
      </c>
      <c r="I4265" t="s">
        <v>17326</v>
      </c>
      <c r="J4265" t="s">
        <v>131</v>
      </c>
    </row>
    <row r="4266" spans="1:10" x14ac:dyDescent="0.25">
      <c r="A4266" t="s">
        <v>17331</v>
      </c>
      <c r="B4266">
        <v>8</v>
      </c>
      <c r="C4266" t="s">
        <v>17332</v>
      </c>
      <c r="D4266" t="s">
        <v>9951</v>
      </c>
      <c r="E4266" t="s">
        <v>17324</v>
      </c>
      <c r="F4266" t="s">
        <v>7672</v>
      </c>
      <c r="G4266" t="s">
        <v>17325</v>
      </c>
      <c r="H4266" t="s">
        <v>11496</v>
      </c>
      <c r="I4266" t="s">
        <v>17326</v>
      </c>
      <c r="J4266" t="s">
        <v>269</v>
      </c>
    </row>
    <row r="4267" spans="1:10" x14ac:dyDescent="0.25">
      <c r="A4267" t="s">
        <v>17333</v>
      </c>
      <c r="B4267">
        <v>8</v>
      </c>
      <c r="C4267" t="s">
        <v>17334</v>
      </c>
      <c r="D4267" t="s">
        <v>17335</v>
      </c>
      <c r="E4267" t="s">
        <v>17324</v>
      </c>
      <c r="F4267" t="s">
        <v>7672</v>
      </c>
      <c r="G4267" t="s">
        <v>17325</v>
      </c>
      <c r="H4267" t="s">
        <v>11496</v>
      </c>
      <c r="I4267" t="s">
        <v>17326</v>
      </c>
      <c r="J4267" t="s">
        <v>8789</v>
      </c>
    </row>
    <row r="4268" spans="1:10" x14ac:dyDescent="0.25">
      <c r="A4268" t="s">
        <v>17336</v>
      </c>
      <c r="B4268">
        <v>8.3920000000000012</v>
      </c>
      <c r="C4268" t="s">
        <v>17337</v>
      </c>
      <c r="D4268" t="s">
        <v>118</v>
      </c>
      <c r="E4268" t="s">
        <v>17338</v>
      </c>
      <c r="F4268" t="s">
        <v>7672</v>
      </c>
      <c r="G4268" t="s">
        <v>17339</v>
      </c>
      <c r="H4268" t="s">
        <v>10298</v>
      </c>
      <c r="I4268" t="s">
        <v>17340</v>
      </c>
      <c r="J4268" t="s">
        <v>11696</v>
      </c>
    </row>
    <row r="4269" spans="1:10" x14ac:dyDescent="0.25">
      <c r="A4269" t="s">
        <v>17341</v>
      </c>
      <c r="B4269">
        <v>8.3920000000000012</v>
      </c>
      <c r="C4269" t="s">
        <v>17342</v>
      </c>
      <c r="D4269" t="s">
        <v>366</v>
      </c>
      <c r="E4269" t="s">
        <v>17338</v>
      </c>
      <c r="F4269" t="s">
        <v>7672</v>
      </c>
      <c r="G4269" t="s">
        <v>17339</v>
      </c>
      <c r="H4269" t="s">
        <v>10298</v>
      </c>
      <c r="I4269" t="s">
        <v>16243</v>
      </c>
      <c r="J4269" t="s">
        <v>11696</v>
      </c>
    </row>
    <row r="4270" spans="1:10" x14ac:dyDescent="0.25">
      <c r="A4270" t="s">
        <v>17343</v>
      </c>
      <c r="B4270">
        <v>8.3920000000000012</v>
      </c>
      <c r="C4270" t="s">
        <v>17344</v>
      </c>
      <c r="D4270" t="s">
        <v>671</v>
      </c>
      <c r="E4270" t="s">
        <v>17338</v>
      </c>
      <c r="F4270" t="s">
        <v>7672</v>
      </c>
      <c r="G4270" t="s">
        <v>17339</v>
      </c>
      <c r="H4270" t="s">
        <v>10298</v>
      </c>
      <c r="I4270" t="s">
        <v>15201</v>
      </c>
      <c r="J4270" t="s">
        <v>11696</v>
      </c>
    </row>
    <row r="4271" spans="1:10" x14ac:dyDescent="0.25">
      <c r="A4271" t="s">
        <v>17345</v>
      </c>
      <c r="B4271">
        <v>8.3920000000000012</v>
      </c>
      <c r="C4271" t="s">
        <v>17346</v>
      </c>
      <c r="D4271" t="s">
        <v>2072</v>
      </c>
      <c r="E4271" t="s">
        <v>17338</v>
      </c>
      <c r="F4271" t="s">
        <v>7672</v>
      </c>
      <c r="G4271" t="s">
        <v>17339</v>
      </c>
      <c r="H4271" t="s">
        <v>10298</v>
      </c>
      <c r="I4271" t="s">
        <v>17347</v>
      </c>
      <c r="J4271" t="s">
        <v>11696</v>
      </c>
    </row>
    <row r="4272" spans="1:10" x14ac:dyDescent="0.25">
      <c r="A4272" t="s">
        <v>17348</v>
      </c>
      <c r="B4272">
        <v>8.3920000000000012</v>
      </c>
      <c r="C4272" t="s">
        <v>17349</v>
      </c>
      <c r="D4272" t="s">
        <v>3184</v>
      </c>
      <c r="E4272" t="s">
        <v>17338</v>
      </c>
      <c r="F4272" t="s">
        <v>7672</v>
      </c>
      <c r="G4272" t="s">
        <v>17339</v>
      </c>
      <c r="H4272" t="s">
        <v>10298</v>
      </c>
      <c r="I4272" t="s">
        <v>17340</v>
      </c>
      <c r="J4272" t="s">
        <v>11702</v>
      </c>
    </row>
    <row r="4273" spans="1:10" x14ac:dyDescent="0.25">
      <c r="A4273" t="s">
        <v>17350</v>
      </c>
      <c r="B4273">
        <v>8.3920000000000012</v>
      </c>
      <c r="C4273" t="s">
        <v>17351</v>
      </c>
      <c r="D4273" t="s">
        <v>2072</v>
      </c>
      <c r="E4273" t="s">
        <v>17338</v>
      </c>
      <c r="F4273" t="s">
        <v>7672</v>
      </c>
      <c r="G4273" t="s">
        <v>17339</v>
      </c>
      <c r="H4273" t="s">
        <v>10298</v>
      </c>
      <c r="I4273" t="s">
        <v>16243</v>
      </c>
      <c r="J4273" t="s">
        <v>11702</v>
      </c>
    </row>
    <row r="4274" spans="1:10" x14ac:dyDescent="0.25">
      <c r="A4274" t="s">
        <v>17352</v>
      </c>
      <c r="B4274">
        <v>8.3920000000000012</v>
      </c>
      <c r="C4274" t="s">
        <v>17353</v>
      </c>
      <c r="D4274" t="s">
        <v>1097</v>
      </c>
      <c r="E4274" t="s">
        <v>17338</v>
      </c>
      <c r="F4274" t="s">
        <v>7672</v>
      </c>
      <c r="G4274" t="s">
        <v>17339</v>
      </c>
      <c r="H4274" t="s">
        <v>10298</v>
      </c>
      <c r="I4274" t="s">
        <v>15201</v>
      </c>
      <c r="J4274" t="s">
        <v>11702</v>
      </c>
    </row>
    <row r="4275" spans="1:10" x14ac:dyDescent="0.25">
      <c r="A4275" t="s">
        <v>17354</v>
      </c>
      <c r="B4275">
        <v>8.3920000000000012</v>
      </c>
      <c r="C4275" t="s">
        <v>17355</v>
      </c>
      <c r="D4275" t="s">
        <v>2787</v>
      </c>
      <c r="E4275" t="s">
        <v>17338</v>
      </c>
      <c r="F4275" t="s">
        <v>7672</v>
      </c>
      <c r="G4275" t="s">
        <v>17339</v>
      </c>
      <c r="H4275" t="s">
        <v>10298</v>
      </c>
      <c r="I4275" t="s">
        <v>17347</v>
      </c>
      <c r="J4275" t="s">
        <v>11702</v>
      </c>
    </row>
    <row r="4276" spans="1:10" x14ac:dyDescent="0.25">
      <c r="A4276" t="s">
        <v>17356</v>
      </c>
      <c r="B4276">
        <v>8.3920000000000012</v>
      </c>
      <c r="C4276" t="s">
        <v>17357</v>
      </c>
      <c r="D4276" t="s">
        <v>124</v>
      </c>
      <c r="E4276" t="s">
        <v>17338</v>
      </c>
      <c r="F4276" t="s">
        <v>7672</v>
      </c>
      <c r="G4276" t="s">
        <v>17339</v>
      </c>
      <c r="H4276" t="s">
        <v>10298</v>
      </c>
      <c r="I4276" t="s">
        <v>15201</v>
      </c>
      <c r="J4276" t="s">
        <v>11710</v>
      </c>
    </row>
    <row r="4277" spans="1:10" x14ac:dyDescent="0.25">
      <c r="A4277" t="s">
        <v>17358</v>
      </c>
      <c r="B4277">
        <v>8.3920000000000012</v>
      </c>
      <c r="C4277" t="s">
        <v>17359</v>
      </c>
      <c r="D4277" t="s">
        <v>2072</v>
      </c>
      <c r="E4277" t="s">
        <v>17338</v>
      </c>
      <c r="F4277" t="s">
        <v>7672</v>
      </c>
      <c r="G4277" t="s">
        <v>17339</v>
      </c>
      <c r="H4277" t="s">
        <v>10298</v>
      </c>
      <c r="I4277" t="s">
        <v>16243</v>
      </c>
      <c r="J4277" t="s">
        <v>11710</v>
      </c>
    </row>
    <row r="4278" spans="1:10" x14ac:dyDescent="0.25">
      <c r="A4278" t="s">
        <v>17360</v>
      </c>
      <c r="B4278">
        <v>8.3920000000000012</v>
      </c>
      <c r="C4278" t="s">
        <v>17361</v>
      </c>
      <c r="D4278" t="s">
        <v>2787</v>
      </c>
      <c r="E4278" t="s">
        <v>17338</v>
      </c>
      <c r="F4278" t="s">
        <v>7672</v>
      </c>
      <c r="G4278" t="s">
        <v>17339</v>
      </c>
      <c r="H4278" t="s">
        <v>10298</v>
      </c>
      <c r="I4278" t="s">
        <v>17340</v>
      </c>
      <c r="J4278" t="s">
        <v>11710</v>
      </c>
    </row>
    <row r="4279" spans="1:10" x14ac:dyDescent="0.25">
      <c r="A4279" t="s">
        <v>17362</v>
      </c>
      <c r="B4279">
        <v>8.3920000000000012</v>
      </c>
      <c r="C4279" t="s">
        <v>17363</v>
      </c>
      <c r="D4279" t="s">
        <v>2804</v>
      </c>
      <c r="E4279" t="s">
        <v>17338</v>
      </c>
      <c r="F4279" t="s">
        <v>7672</v>
      </c>
      <c r="G4279" t="s">
        <v>17339</v>
      </c>
      <c r="H4279" t="s">
        <v>10298</v>
      </c>
      <c r="I4279" t="s">
        <v>17347</v>
      </c>
      <c r="J4279" t="s">
        <v>11710</v>
      </c>
    </row>
    <row r="4280" spans="1:10" x14ac:dyDescent="0.25">
      <c r="A4280" t="s">
        <v>17364</v>
      </c>
      <c r="B4280">
        <v>8.3920000000000012</v>
      </c>
      <c r="C4280" t="s">
        <v>17365</v>
      </c>
      <c r="D4280" t="s">
        <v>3175</v>
      </c>
      <c r="E4280" t="s">
        <v>17338</v>
      </c>
      <c r="F4280" t="s">
        <v>7672</v>
      </c>
      <c r="G4280" t="s">
        <v>17339</v>
      </c>
      <c r="H4280" t="s">
        <v>10298</v>
      </c>
      <c r="I4280" t="s">
        <v>16243</v>
      </c>
      <c r="J4280" t="s">
        <v>12182</v>
      </c>
    </row>
    <row r="4281" spans="1:10" x14ac:dyDescent="0.25">
      <c r="A4281" t="s">
        <v>17366</v>
      </c>
      <c r="B4281">
        <v>8.3920000000000012</v>
      </c>
      <c r="C4281" t="s">
        <v>17367</v>
      </c>
      <c r="D4281" t="s">
        <v>1579</v>
      </c>
      <c r="E4281" t="s">
        <v>17338</v>
      </c>
      <c r="F4281" t="s">
        <v>7672</v>
      </c>
      <c r="G4281" t="s">
        <v>17339</v>
      </c>
      <c r="H4281" t="s">
        <v>10298</v>
      </c>
      <c r="I4281" t="s">
        <v>15201</v>
      </c>
      <c r="J4281" t="s">
        <v>12182</v>
      </c>
    </row>
    <row r="4282" spans="1:10" x14ac:dyDescent="0.25">
      <c r="A4282" t="s">
        <v>17368</v>
      </c>
      <c r="B4282">
        <v>8.3920000000000012</v>
      </c>
      <c r="C4282" t="s">
        <v>17369</v>
      </c>
      <c r="D4282" t="s">
        <v>2371</v>
      </c>
      <c r="E4282" t="s">
        <v>17338</v>
      </c>
      <c r="F4282" t="s">
        <v>7672</v>
      </c>
      <c r="G4282" t="s">
        <v>17339</v>
      </c>
      <c r="H4282" t="s">
        <v>10298</v>
      </c>
      <c r="I4282" t="s">
        <v>17340</v>
      </c>
      <c r="J4282" t="s">
        <v>12182</v>
      </c>
    </row>
    <row r="4283" spans="1:10" x14ac:dyDescent="0.25">
      <c r="A4283" t="s">
        <v>17370</v>
      </c>
      <c r="B4283">
        <v>8.3920000000000012</v>
      </c>
      <c r="C4283" t="s">
        <v>17371</v>
      </c>
      <c r="D4283" t="s">
        <v>2364</v>
      </c>
      <c r="E4283" t="s">
        <v>17338</v>
      </c>
      <c r="F4283" t="s">
        <v>7672</v>
      </c>
      <c r="G4283" t="s">
        <v>17339</v>
      </c>
      <c r="H4283" t="s">
        <v>10298</v>
      </c>
      <c r="I4283" t="s">
        <v>17347</v>
      </c>
      <c r="J4283" t="s">
        <v>12182</v>
      </c>
    </row>
    <row r="4284" spans="1:10" x14ac:dyDescent="0.25">
      <c r="A4284" t="s">
        <v>17372</v>
      </c>
      <c r="B4284">
        <v>8.3920000000000012</v>
      </c>
      <c r="C4284" t="s">
        <v>17373</v>
      </c>
      <c r="D4284" t="s">
        <v>1254</v>
      </c>
      <c r="E4284" t="s">
        <v>17338</v>
      </c>
      <c r="F4284" t="s">
        <v>7672</v>
      </c>
      <c r="G4284" t="s">
        <v>17339</v>
      </c>
      <c r="H4284" t="s">
        <v>10298</v>
      </c>
      <c r="I4284" t="s">
        <v>16243</v>
      </c>
      <c r="J4284" t="s">
        <v>10150</v>
      </c>
    </row>
    <row r="4285" spans="1:10" x14ac:dyDescent="0.25">
      <c r="A4285" t="s">
        <v>17374</v>
      </c>
      <c r="B4285">
        <v>8.3920000000000012</v>
      </c>
      <c r="C4285" t="s">
        <v>17375</v>
      </c>
      <c r="D4285" t="s">
        <v>88</v>
      </c>
      <c r="E4285" t="s">
        <v>17338</v>
      </c>
      <c r="F4285" t="s">
        <v>7672</v>
      </c>
      <c r="G4285" t="s">
        <v>17339</v>
      </c>
      <c r="H4285" t="s">
        <v>10298</v>
      </c>
      <c r="I4285" t="s">
        <v>15201</v>
      </c>
      <c r="J4285" t="s">
        <v>10150</v>
      </c>
    </row>
    <row r="4286" spans="1:10" x14ac:dyDescent="0.25">
      <c r="A4286" t="s">
        <v>17376</v>
      </c>
      <c r="B4286">
        <v>8.3920000000000012</v>
      </c>
      <c r="C4286" t="s">
        <v>17377</v>
      </c>
      <c r="D4286" t="s">
        <v>2262</v>
      </c>
      <c r="E4286" t="s">
        <v>17338</v>
      </c>
      <c r="F4286" t="s">
        <v>7672</v>
      </c>
      <c r="G4286" t="s">
        <v>17339</v>
      </c>
      <c r="H4286" t="s">
        <v>10298</v>
      </c>
      <c r="I4286" t="s">
        <v>17347</v>
      </c>
      <c r="J4286" t="s">
        <v>10150</v>
      </c>
    </row>
    <row r="4287" spans="1:10" x14ac:dyDescent="0.25">
      <c r="A4287" t="s">
        <v>17378</v>
      </c>
      <c r="B4287">
        <v>8.3920000000000012</v>
      </c>
      <c r="C4287" t="s">
        <v>17379</v>
      </c>
      <c r="D4287" t="s">
        <v>3184</v>
      </c>
      <c r="E4287" t="s">
        <v>17338</v>
      </c>
      <c r="F4287" t="s">
        <v>7672</v>
      </c>
      <c r="G4287" t="s">
        <v>17339</v>
      </c>
      <c r="H4287" t="s">
        <v>10298</v>
      </c>
      <c r="I4287" t="s">
        <v>17340</v>
      </c>
      <c r="J4287" t="s">
        <v>10150</v>
      </c>
    </row>
    <row r="4288" spans="1:10" x14ac:dyDescent="0.25">
      <c r="A4288" t="s">
        <v>17380</v>
      </c>
      <c r="B4288">
        <v>8.3920000000000012</v>
      </c>
      <c r="C4288" t="s">
        <v>17381</v>
      </c>
      <c r="D4288" t="s">
        <v>2697</v>
      </c>
      <c r="E4288" t="s">
        <v>17338</v>
      </c>
      <c r="F4288" t="s">
        <v>7672</v>
      </c>
      <c r="G4288" t="s">
        <v>17339</v>
      </c>
      <c r="H4288" t="s">
        <v>10298</v>
      </c>
      <c r="I4288" t="s">
        <v>16243</v>
      </c>
      <c r="J4288" t="s">
        <v>15238</v>
      </c>
    </row>
    <row r="4289" spans="1:10" x14ac:dyDescent="0.25">
      <c r="A4289" t="s">
        <v>17382</v>
      </c>
      <c r="B4289">
        <v>8.3920000000000012</v>
      </c>
      <c r="C4289" t="s">
        <v>17383</v>
      </c>
      <c r="D4289" t="s">
        <v>2697</v>
      </c>
      <c r="E4289" t="s">
        <v>17338</v>
      </c>
      <c r="F4289" t="s">
        <v>7672</v>
      </c>
      <c r="G4289" t="s">
        <v>17339</v>
      </c>
      <c r="H4289" t="s">
        <v>10298</v>
      </c>
      <c r="I4289" t="s">
        <v>17340</v>
      </c>
      <c r="J4289" t="s">
        <v>15238</v>
      </c>
    </row>
    <row r="4290" spans="1:10" x14ac:dyDescent="0.25">
      <c r="A4290" t="s">
        <v>17384</v>
      </c>
      <c r="B4290">
        <v>8.3920000000000012</v>
      </c>
      <c r="C4290" t="s">
        <v>17385</v>
      </c>
      <c r="D4290" t="s">
        <v>113</v>
      </c>
      <c r="E4290" t="s">
        <v>17338</v>
      </c>
      <c r="F4290" t="s">
        <v>7672</v>
      </c>
      <c r="G4290" t="s">
        <v>17339</v>
      </c>
      <c r="H4290" t="s">
        <v>10298</v>
      </c>
      <c r="I4290" t="s">
        <v>17347</v>
      </c>
      <c r="J4290" t="s">
        <v>15238</v>
      </c>
    </row>
    <row r="4291" spans="1:10" x14ac:dyDescent="0.25">
      <c r="A4291" t="s">
        <v>17386</v>
      </c>
      <c r="B4291">
        <v>8.3920000000000012</v>
      </c>
      <c r="C4291" t="s">
        <v>17387</v>
      </c>
      <c r="D4291" t="s">
        <v>282</v>
      </c>
      <c r="E4291" t="s">
        <v>17338</v>
      </c>
      <c r="F4291" t="s">
        <v>7672</v>
      </c>
      <c r="G4291" t="s">
        <v>17339</v>
      </c>
      <c r="H4291" t="s">
        <v>10298</v>
      </c>
      <c r="I4291" t="s">
        <v>16243</v>
      </c>
      <c r="J4291" t="s">
        <v>15070</v>
      </c>
    </row>
    <row r="4292" spans="1:10" x14ac:dyDescent="0.25">
      <c r="A4292" t="s">
        <v>17388</v>
      </c>
      <c r="B4292">
        <v>8.3920000000000012</v>
      </c>
      <c r="C4292" t="s">
        <v>17389</v>
      </c>
      <c r="D4292" t="s">
        <v>352</v>
      </c>
      <c r="E4292" t="s">
        <v>17338</v>
      </c>
      <c r="F4292" t="s">
        <v>7672</v>
      </c>
      <c r="G4292" t="s">
        <v>17339</v>
      </c>
      <c r="H4292" t="s">
        <v>10298</v>
      </c>
      <c r="I4292" t="s">
        <v>17347</v>
      </c>
      <c r="J4292" t="s">
        <v>15070</v>
      </c>
    </row>
    <row r="4293" spans="1:10" x14ac:dyDescent="0.25">
      <c r="A4293" t="s">
        <v>17390</v>
      </c>
      <c r="B4293">
        <v>8.3920000000000012</v>
      </c>
      <c r="C4293" t="s">
        <v>17391</v>
      </c>
      <c r="D4293" t="s">
        <v>95</v>
      </c>
      <c r="E4293" t="s">
        <v>17338</v>
      </c>
      <c r="F4293" t="s">
        <v>7672</v>
      </c>
      <c r="G4293" t="s">
        <v>17339</v>
      </c>
      <c r="H4293" t="s">
        <v>10298</v>
      </c>
      <c r="I4293" t="s">
        <v>17340</v>
      </c>
      <c r="J4293" t="s">
        <v>15070</v>
      </c>
    </row>
    <row r="4294" spans="1:10" x14ac:dyDescent="0.25">
      <c r="A4294" t="s">
        <v>17392</v>
      </c>
      <c r="B4294">
        <v>8.3920000000000012</v>
      </c>
      <c r="C4294" t="s">
        <v>17393</v>
      </c>
      <c r="D4294" t="s">
        <v>95</v>
      </c>
      <c r="E4294" t="s">
        <v>17338</v>
      </c>
      <c r="F4294" t="s">
        <v>7672</v>
      </c>
      <c r="G4294" t="s">
        <v>17339</v>
      </c>
      <c r="H4294" t="s">
        <v>10298</v>
      </c>
      <c r="I4294" t="s">
        <v>16243</v>
      </c>
      <c r="J4294" t="s">
        <v>15073</v>
      </c>
    </row>
    <row r="4295" spans="1:10" x14ac:dyDescent="0.25">
      <c r="A4295" t="s">
        <v>17394</v>
      </c>
      <c r="B4295">
        <v>8.3920000000000012</v>
      </c>
      <c r="C4295" t="s">
        <v>17395</v>
      </c>
      <c r="D4295" t="s">
        <v>311</v>
      </c>
      <c r="E4295" t="s">
        <v>17338</v>
      </c>
      <c r="F4295" t="s">
        <v>7672</v>
      </c>
      <c r="G4295" t="s">
        <v>17339</v>
      </c>
      <c r="H4295" t="s">
        <v>10298</v>
      </c>
      <c r="I4295" t="s">
        <v>17347</v>
      </c>
      <c r="J4295" t="s">
        <v>15073</v>
      </c>
    </row>
    <row r="4296" spans="1:10" x14ac:dyDescent="0.25">
      <c r="A4296" t="s">
        <v>17396</v>
      </c>
      <c r="B4296">
        <v>8.3920000000000012</v>
      </c>
      <c r="C4296" t="s">
        <v>17397</v>
      </c>
      <c r="D4296" t="s">
        <v>229</v>
      </c>
      <c r="E4296" t="s">
        <v>17338</v>
      </c>
      <c r="F4296" t="s">
        <v>7672</v>
      </c>
      <c r="G4296" t="s">
        <v>17339</v>
      </c>
      <c r="H4296" t="s">
        <v>10298</v>
      </c>
      <c r="I4296" t="s">
        <v>17340</v>
      </c>
      <c r="J4296" t="s">
        <v>15073</v>
      </c>
    </row>
    <row r="4297" spans="1:10" x14ac:dyDescent="0.25">
      <c r="A4297" t="s">
        <v>17398</v>
      </c>
      <c r="B4297">
        <v>8.3920000000000012</v>
      </c>
      <c r="C4297" t="s">
        <v>17399</v>
      </c>
      <c r="D4297" t="s">
        <v>959</v>
      </c>
      <c r="E4297" t="s">
        <v>17338</v>
      </c>
      <c r="F4297" t="s">
        <v>7672</v>
      </c>
      <c r="G4297" t="s">
        <v>17339</v>
      </c>
      <c r="H4297" t="s">
        <v>10298</v>
      </c>
      <c r="I4297" t="s">
        <v>17347</v>
      </c>
      <c r="J4297" t="s">
        <v>15076</v>
      </c>
    </row>
    <row r="4298" spans="1:10" x14ac:dyDescent="0.25">
      <c r="A4298" t="s">
        <v>17400</v>
      </c>
      <c r="B4298">
        <v>8.3920000000000012</v>
      </c>
      <c r="C4298" t="s">
        <v>17401</v>
      </c>
      <c r="D4298" t="s">
        <v>255</v>
      </c>
      <c r="E4298" t="s">
        <v>17338</v>
      </c>
      <c r="F4298" t="s">
        <v>7672</v>
      </c>
      <c r="G4298" t="s">
        <v>17339</v>
      </c>
      <c r="H4298" t="s">
        <v>10298</v>
      </c>
      <c r="I4298" t="s">
        <v>16243</v>
      </c>
      <c r="J4298" t="s">
        <v>15076</v>
      </c>
    </row>
    <row r="4299" spans="1:10" x14ac:dyDescent="0.25">
      <c r="A4299" t="s">
        <v>17402</v>
      </c>
      <c r="B4299">
        <v>8.3920000000000012</v>
      </c>
      <c r="C4299" t="s">
        <v>17403</v>
      </c>
      <c r="D4299" t="s">
        <v>53</v>
      </c>
      <c r="E4299" t="s">
        <v>17338</v>
      </c>
      <c r="F4299" t="s">
        <v>7672</v>
      </c>
      <c r="G4299" t="s">
        <v>17339</v>
      </c>
      <c r="H4299" t="s">
        <v>10298</v>
      </c>
      <c r="I4299" t="s">
        <v>15201</v>
      </c>
      <c r="J4299" t="s">
        <v>15076</v>
      </c>
    </row>
    <row r="4300" spans="1:10" x14ac:dyDescent="0.25">
      <c r="A4300" t="s">
        <v>17404</v>
      </c>
      <c r="B4300">
        <v>8.3920000000000012</v>
      </c>
      <c r="C4300" t="s">
        <v>17405</v>
      </c>
      <c r="D4300" t="s">
        <v>385</v>
      </c>
      <c r="E4300" t="s">
        <v>17338</v>
      </c>
      <c r="F4300" t="s">
        <v>7672</v>
      </c>
      <c r="G4300" t="s">
        <v>17339</v>
      </c>
      <c r="H4300" t="s">
        <v>10298</v>
      </c>
      <c r="I4300" t="s">
        <v>17340</v>
      </c>
      <c r="J4300" t="s">
        <v>15076</v>
      </c>
    </row>
    <row r="4301" spans="1:10" x14ac:dyDescent="0.25">
      <c r="A4301" t="s">
        <v>17406</v>
      </c>
      <c r="B4301">
        <v>8.3920000000000012</v>
      </c>
      <c r="C4301" t="s">
        <v>17407</v>
      </c>
      <c r="D4301" t="s">
        <v>2910</v>
      </c>
      <c r="E4301" t="s">
        <v>17338</v>
      </c>
      <c r="F4301" t="s">
        <v>7672</v>
      </c>
      <c r="G4301" t="s">
        <v>17339</v>
      </c>
      <c r="H4301" t="s">
        <v>10298</v>
      </c>
      <c r="I4301" t="s">
        <v>17347</v>
      </c>
      <c r="J4301" t="s">
        <v>15079</v>
      </c>
    </row>
    <row r="4302" spans="1:10" x14ac:dyDescent="0.25">
      <c r="A4302" t="s">
        <v>17408</v>
      </c>
      <c r="B4302">
        <v>8.3920000000000012</v>
      </c>
      <c r="C4302" t="s">
        <v>17409</v>
      </c>
      <c r="D4302" t="s">
        <v>1143</v>
      </c>
      <c r="E4302" t="s">
        <v>17338</v>
      </c>
      <c r="F4302" t="s">
        <v>7672</v>
      </c>
      <c r="G4302" t="s">
        <v>17339</v>
      </c>
      <c r="H4302" t="s">
        <v>10298</v>
      </c>
      <c r="I4302" t="s">
        <v>16243</v>
      </c>
      <c r="J4302" t="s">
        <v>15079</v>
      </c>
    </row>
    <row r="4303" spans="1:10" x14ac:dyDescent="0.25">
      <c r="A4303" t="s">
        <v>17410</v>
      </c>
      <c r="B4303">
        <v>8.3920000000000012</v>
      </c>
      <c r="C4303" t="s">
        <v>17411</v>
      </c>
      <c r="D4303" t="s">
        <v>2022</v>
      </c>
      <c r="E4303" t="s">
        <v>17338</v>
      </c>
      <c r="F4303" t="s">
        <v>7672</v>
      </c>
      <c r="G4303" t="s">
        <v>17339</v>
      </c>
      <c r="H4303" t="s">
        <v>10298</v>
      </c>
      <c r="I4303" t="s">
        <v>17340</v>
      </c>
      <c r="J4303" t="s">
        <v>15079</v>
      </c>
    </row>
    <row r="4304" spans="1:10" x14ac:dyDescent="0.25">
      <c r="A4304" t="s">
        <v>17412</v>
      </c>
      <c r="B4304">
        <v>8.3920000000000012</v>
      </c>
      <c r="C4304" t="s">
        <v>17413</v>
      </c>
      <c r="D4304" t="s">
        <v>436</v>
      </c>
      <c r="E4304" t="s">
        <v>17338</v>
      </c>
      <c r="F4304" t="s">
        <v>7672</v>
      </c>
      <c r="G4304" t="s">
        <v>17339</v>
      </c>
      <c r="H4304" t="s">
        <v>10298</v>
      </c>
      <c r="I4304" t="s">
        <v>15201</v>
      </c>
      <c r="J4304" t="s">
        <v>15079</v>
      </c>
    </row>
    <row r="4305" spans="1:10" x14ac:dyDescent="0.25">
      <c r="A4305" t="s">
        <v>4197</v>
      </c>
      <c r="B4305">
        <v>9.8960000000000008</v>
      </c>
      <c r="C4305" t="s">
        <v>4199</v>
      </c>
      <c r="D4305" t="s">
        <v>53</v>
      </c>
      <c r="E4305" t="s">
        <v>4200</v>
      </c>
      <c r="F4305" t="s">
        <v>7672</v>
      </c>
      <c r="G4305" t="s">
        <v>17414</v>
      </c>
      <c r="H4305" t="s">
        <v>17415</v>
      </c>
      <c r="I4305" t="s">
        <v>76</v>
      </c>
      <c r="J4305" t="s">
        <v>60</v>
      </c>
    </row>
    <row r="4306" spans="1:10" x14ac:dyDescent="0.25">
      <c r="A4306" t="s">
        <v>17416</v>
      </c>
      <c r="B4306">
        <v>12</v>
      </c>
      <c r="C4306" t="s">
        <v>17417</v>
      </c>
      <c r="D4306" t="s">
        <v>296</v>
      </c>
      <c r="E4306" t="s">
        <v>17418</v>
      </c>
      <c r="F4306" t="s">
        <v>7672</v>
      </c>
      <c r="G4306" t="s">
        <v>17419</v>
      </c>
      <c r="H4306" t="s">
        <v>7974</v>
      </c>
      <c r="I4306" t="s">
        <v>17420</v>
      </c>
      <c r="J4306" t="s">
        <v>7987</v>
      </c>
    </row>
    <row r="4307" spans="1:10" x14ac:dyDescent="0.25">
      <c r="A4307" t="s">
        <v>17421</v>
      </c>
      <c r="B4307">
        <v>12</v>
      </c>
      <c r="C4307" t="s">
        <v>17422</v>
      </c>
      <c r="D4307" t="s">
        <v>12784</v>
      </c>
      <c r="E4307" t="s">
        <v>17418</v>
      </c>
      <c r="F4307" t="s">
        <v>7672</v>
      </c>
      <c r="G4307" t="s">
        <v>17419</v>
      </c>
      <c r="H4307" t="s">
        <v>7974</v>
      </c>
      <c r="I4307" t="s">
        <v>17420</v>
      </c>
      <c r="J4307" t="s">
        <v>8001</v>
      </c>
    </row>
    <row r="4308" spans="1:10" x14ac:dyDescent="0.25">
      <c r="A4308" t="s">
        <v>17423</v>
      </c>
      <c r="B4308">
        <v>12</v>
      </c>
      <c r="C4308" t="s">
        <v>17424</v>
      </c>
      <c r="D4308" t="s">
        <v>8432</v>
      </c>
      <c r="E4308" t="s">
        <v>17418</v>
      </c>
      <c r="F4308" t="s">
        <v>7672</v>
      </c>
      <c r="G4308" t="s">
        <v>17419</v>
      </c>
      <c r="H4308" t="s">
        <v>7974</v>
      </c>
      <c r="I4308" t="s">
        <v>17425</v>
      </c>
      <c r="J4308" t="s">
        <v>8001</v>
      </c>
    </row>
    <row r="4309" spans="1:10" x14ac:dyDescent="0.25">
      <c r="A4309" t="s">
        <v>17426</v>
      </c>
      <c r="B4309">
        <v>12</v>
      </c>
      <c r="C4309" t="s">
        <v>17427</v>
      </c>
      <c r="D4309" t="s">
        <v>3944</v>
      </c>
      <c r="E4309" t="s">
        <v>17418</v>
      </c>
      <c r="F4309" t="s">
        <v>7672</v>
      </c>
      <c r="G4309" t="s">
        <v>17419</v>
      </c>
      <c r="H4309" t="s">
        <v>7974</v>
      </c>
      <c r="I4309" t="s">
        <v>17425</v>
      </c>
      <c r="J4309" t="s">
        <v>8013</v>
      </c>
    </row>
    <row r="4310" spans="1:10" x14ac:dyDescent="0.25">
      <c r="A4310" t="s">
        <v>17428</v>
      </c>
      <c r="B4310">
        <v>12</v>
      </c>
      <c r="C4310" t="s">
        <v>17429</v>
      </c>
      <c r="D4310" t="s">
        <v>3944</v>
      </c>
      <c r="E4310" t="s">
        <v>17418</v>
      </c>
      <c r="F4310" t="s">
        <v>7672</v>
      </c>
      <c r="G4310" t="s">
        <v>17419</v>
      </c>
      <c r="H4310" t="s">
        <v>7974</v>
      </c>
      <c r="I4310" t="s">
        <v>17420</v>
      </c>
      <c r="J4310" t="s">
        <v>8013</v>
      </c>
    </row>
    <row r="4311" spans="1:10" x14ac:dyDescent="0.25">
      <c r="A4311" t="s">
        <v>17430</v>
      </c>
      <c r="B4311">
        <v>12</v>
      </c>
      <c r="C4311" t="s">
        <v>17431</v>
      </c>
      <c r="D4311" t="s">
        <v>199</v>
      </c>
      <c r="E4311" t="s">
        <v>17432</v>
      </c>
      <c r="F4311" t="s">
        <v>7672</v>
      </c>
      <c r="G4311" t="s">
        <v>17433</v>
      </c>
      <c r="H4311" t="s">
        <v>8779</v>
      </c>
      <c r="I4311" t="s">
        <v>17434</v>
      </c>
      <c r="J4311" t="s">
        <v>7981</v>
      </c>
    </row>
    <row r="4312" spans="1:10" x14ac:dyDescent="0.25">
      <c r="A4312" t="s">
        <v>17435</v>
      </c>
      <c r="B4312">
        <v>12</v>
      </c>
      <c r="C4312" t="s">
        <v>17436</v>
      </c>
      <c r="D4312" t="s">
        <v>436</v>
      </c>
      <c r="E4312" t="s">
        <v>17432</v>
      </c>
      <c r="F4312" t="s">
        <v>7672</v>
      </c>
      <c r="G4312" t="s">
        <v>17433</v>
      </c>
      <c r="H4312" t="s">
        <v>8779</v>
      </c>
      <c r="I4312" t="s">
        <v>17437</v>
      </c>
      <c r="J4312" t="s">
        <v>7981</v>
      </c>
    </row>
    <row r="4313" spans="1:10" x14ac:dyDescent="0.25">
      <c r="A4313" t="s">
        <v>17438</v>
      </c>
      <c r="B4313">
        <v>12</v>
      </c>
      <c r="C4313" t="s">
        <v>17439</v>
      </c>
      <c r="D4313" t="s">
        <v>40</v>
      </c>
      <c r="E4313" t="s">
        <v>17432</v>
      </c>
      <c r="F4313" t="s">
        <v>7672</v>
      </c>
      <c r="G4313" t="s">
        <v>17433</v>
      </c>
      <c r="H4313" t="s">
        <v>8779</v>
      </c>
      <c r="I4313" t="s">
        <v>17434</v>
      </c>
      <c r="J4313" t="s">
        <v>7984</v>
      </c>
    </row>
    <row r="4314" spans="1:10" x14ac:dyDescent="0.25">
      <c r="A4314" t="s">
        <v>17440</v>
      </c>
      <c r="B4314">
        <v>12</v>
      </c>
      <c r="C4314" t="s">
        <v>17441</v>
      </c>
      <c r="D4314" t="s">
        <v>926</v>
      </c>
      <c r="E4314" t="s">
        <v>17432</v>
      </c>
      <c r="F4314" t="s">
        <v>7672</v>
      </c>
      <c r="G4314" t="s">
        <v>17433</v>
      </c>
      <c r="H4314" t="s">
        <v>8779</v>
      </c>
      <c r="I4314" t="s">
        <v>17437</v>
      </c>
      <c r="J4314" t="s">
        <v>7984</v>
      </c>
    </row>
    <row r="4315" spans="1:10" x14ac:dyDescent="0.25">
      <c r="A4315" t="s">
        <v>17442</v>
      </c>
      <c r="B4315">
        <v>12</v>
      </c>
      <c r="C4315" t="s">
        <v>17443</v>
      </c>
      <c r="D4315" t="s">
        <v>199</v>
      </c>
      <c r="E4315" t="s">
        <v>17432</v>
      </c>
      <c r="F4315" t="s">
        <v>7672</v>
      </c>
      <c r="G4315" t="s">
        <v>17433</v>
      </c>
      <c r="H4315" t="s">
        <v>8779</v>
      </c>
      <c r="I4315" t="s">
        <v>17434</v>
      </c>
      <c r="J4315" t="s">
        <v>7987</v>
      </c>
    </row>
    <row r="4316" spans="1:10" x14ac:dyDescent="0.25">
      <c r="A4316" t="s">
        <v>17444</v>
      </c>
      <c r="B4316">
        <v>4.8000000000000007</v>
      </c>
      <c r="C4316" t="s">
        <v>17445</v>
      </c>
      <c r="D4316" t="s">
        <v>8803</v>
      </c>
      <c r="E4316" t="s">
        <v>17446</v>
      </c>
      <c r="F4316" t="s">
        <v>7672</v>
      </c>
      <c r="G4316" t="s">
        <v>17447</v>
      </c>
      <c r="H4316" t="s">
        <v>11496</v>
      </c>
      <c r="I4316" t="s">
        <v>17448</v>
      </c>
      <c r="J4316" t="s">
        <v>11590</v>
      </c>
    </row>
    <row r="4317" spans="1:10" x14ac:dyDescent="0.25">
      <c r="A4317" t="s">
        <v>17449</v>
      </c>
      <c r="B4317">
        <v>4.8000000000000007</v>
      </c>
      <c r="C4317" t="s">
        <v>17450</v>
      </c>
      <c r="D4317" t="s">
        <v>2910</v>
      </c>
      <c r="E4317" t="s">
        <v>17446</v>
      </c>
      <c r="F4317" t="s">
        <v>7672</v>
      </c>
      <c r="G4317" t="s">
        <v>17447</v>
      </c>
      <c r="H4317" t="s">
        <v>11496</v>
      </c>
      <c r="I4317" t="s">
        <v>17448</v>
      </c>
      <c r="J4317" t="s">
        <v>11593</v>
      </c>
    </row>
    <row r="4318" spans="1:10" x14ac:dyDescent="0.25">
      <c r="A4318" t="s">
        <v>17451</v>
      </c>
      <c r="B4318">
        <v>9.7920000000000016</v>
      </c>
      <c r="C4318" t="s">
        <v>17452</v>
      </c>
      <c r="D4318" t="s">
        <v>131</v>
      </c>
      <c r="E4318" t="s">
        <v>17453</v>
      </c>
      <c r="F4318" t="s">
        <v>7672</v>
      </c>
      <c r="G4318" t="s">
        <v>17454</v>
      </c>
      <c r="H4318" t="s">
        <v>9127</v>
      </c>
      <c r="I4318" t="s">
        <v>16878</v>
      </c>
      <c r="J4318" t="s">
        <v>7942</v>
      </c>
    </row>
    <row r="4319" spans="1:10" x14ac:dyDescent="0.25">
      <c r="A4319" t="s">
        <v>17455</v>
      </c>
      <c r="B4319">
        <v>27.992000000000001</v>
      </c>
      <c r="C4319" t="s">
        <v>17456</v>
      </c>
      <c r="D4319" t="s">
        <v>2001</v>
      </c>
      <c r="E4319" t="s">
        <v>17453</v>
      </c>
      <c r="F4319" t="s">
        <v>7672</v>
      </c>
      <c r="G4319" t="s">
        <v>17454</v>
      </c>
      <c r="H4319" t="s">
        <v>9127</v>
      </c>
      <c r="I4319" t="s">
        <v>76</v>
      </c>
      <c r="J4319" t="s">
        <v>7942</v>
      </c>
    </row>
    <row r="4320" spans="1:10" x14ac:dyDescent="0.25">
      <c r="A4320" t="s">
        <v>17457</v>
      </c>
      <c r="B4320">
        <v>27.992000000000001</v>
      </c>
      <c r="C4320" t="s">
        <v>17458</v>
      </c>
      <c r="D4320" t="s">
        <v>17459</v>
      </c>
      <c r="E4320" t="s">
        <v>17453</v>
      </c>
      <c r="F4320" t="s">
        <v>7672</v>
      </c>
      <c r="G4320" t="s">
        <v>17454</v>
      </c>
      <c r="H4320" t="s">
        <v>9127</v>
      </c>
      <c r="I4320" t="s">
        <v>76</v>
      </c>
      <c r="J4320" t="s">
        <v>7981</v>
      </c>
    </row>
    <row r="4321" spans="1:10" x14ac:dyDescent="0.25">
      <c r="A4321" t="s">
        <v>17460</v>
      </c>
      <c r="B4321">
        <v>27.992000000000001</v>
      </c>
      <c r="C4321" t="s">
        <v>17461</v>
      </c>
      <c r="D4321" t="s">
        <v>17462</v>
      </c>
      <c r="E4321" t="s">
        <v>17453</v>
      </c>
      <c r="F4321" t="s">
        <v>7672</v>
      </c>
      <c r="G4321" t="s">
        <v>17454</v>
      </c>
      <c r="H4321" t="s">
        <v>9127</v>
      </c>
      <c r="I4321" t="s">
        <v>76</v>
      </c>
      <c r="J4321" t="s">
        <v>7984</v>
      </c>
    </row>
    <row r="4322" spans="1:10" x14ac:dyDescent="0.25">
      <c r="A4322" t="s">
        <v>17463</v>
      </c>
      <c r="B4322">
        <v>9.7920000000000016</v>
      </c>
      <c r="C4322" t="s">
        <v>17464</v>
      </c>
      <c r="D4322" t="s">
        <v>8432</v>
      </c>
      <c r="E4322" t="s">
        <v>17453</v>
      </c>
      <c r="F4322" t="s">
        <v>7672</v>
      </c>
      <c r="G4322" t="s">
        <v>17454</v>
      </c>
      <c r="H4322" t="s">
        <v>9127</v>
      </c>
      <c r="I4322" t="s">
        <v>76</v>
      </c>
      <c r="J4322" t="s">
        <v>7987</v>
      </c>
    </row>
    <row r="4323" spans="1:10" x14ac:dyDescent="0.25">
      <c r="A4323" t="s">
        <v>17465</v>
      </c>
      <c r="B4323">
        <v>27.992000000000001</v>
      </c>
      <c r="C4323" t="s">
        <v>17466</v>
      </c>
      <c r="D4323" t="s">
        <v>17467</v>
      </c>
      <c r="E4323" t="s">
        <v>17453</v>
      </c>
      <c r="F4323" t="s">
        <v>7672</v>
      </c>
      <c r="G4323" t="s">
        <v>17454</v>
      </c>
      <c r="H4323" t="s">
        <v>9127</v>
      </c>
      <c r="I4323" t="s">
        <v>76</v>
      </c>
      <c r="J4323" t="s">
        <v>8001</v>
      </c>
    </row>
    <row r="4324" spans="1:10" x14ac:dyDescent="0.25">
      <c r="A4324" t="s">
        <v>17468</v>
      </c>
      <c r="B4324">
        <v>27.992000000000001</v>
      </c>
      <c r="C4324" t="s">
        <v>17469</v>
      </c>
      <c r="D4324" t="s">
        <v>15940</v>
      </c>
      <c r="E4324" t="s">
        <v>17453</v>
      </c>
      <c r="F4324" t="s">
        <v>7672</v>
      </c>
      <c r="G4324" t="s">
        <v>17454</v>
      </c>
      <c r="H4324" t="s">
        <v>9127</v>
      </c>
      <c r="I4324" t="s">
        <v>76</v>
      </c>
      <c r="J4324" t="s">
        <v>8013</v>
      </c>
    </row>
    <row r="4325" spans="1:10" x14ac:dyDescent="0.25">
      <c r="A4325" t="s">
        <v>4202</v>
      </c>
      <c r="B4325">
        <v>7.6000000000000014</v>
      </c>
      <c r="C4325" t="s">
        <v>4204</v>
      </c>
      <c r="D4325" t="s">
        <v>4207</v>
      </c>
      <c r="E4325" t="s">
        <v>4205</v>
      </c>
      <c r="F4325" t="s">
        <v>7672</v>
      </c>
      <c r="G4325" t="s">
        <v>17470</v>
      </c>
      <c r="H4325" t="s">
        <v>11496</v>
      </c>
      <c r="I4325" t="s">
        <v>17471</v>
      </c>
      <c r="J4325" t="s">
        <v>11767</v>
      </c>
    </row>
    <row r="4326" spans="1:10" x14ac:dyDescent="0.25">
      <c r="A4326" t="s">
        <v>4209</v>
      </c>
      <c r="B4326">
        <v>7.6000000000000014</v>
      </c>
      <c r="C4326" t="s">
        <v>4211</v>
      </c>
      <c r="D4326" t="s">
        <v>4213</v>
      </c>
      <c r="E4326" t="s">
        <v>4205</v>
      </c>
      <c r="F4326" t="s">
        <v>7672</v>
      </c>
      <c r="G4326" t="s">
        <v>17470</v>
      </c>
      <c r="H4326" t="s">
        <v>11496</v>
      </c>
      <c r="I4326" t="s">
        <v>17471</v>
      </c>
      <c r="J4326" t="s">
        <v>11582</v>
      </c>
    </row>
    <row r="4327" spans="1:10" x14ac:dyDescent="0.25">
      <c r="A4327" t="s">
        <v>4214</v>
      </c>
      <c r="B4327">
        <v>7.6000000000000014</v>
      </c>
      <c r="C4327" t="s">
        <v>4216</v>
      </c>
      <c r="D4327" t="s">
        <v>4218</v>
      </c>
      <c r="E4327" t="s">
        <v>4205</v>
      </c>
      <c r="F4327" t="s">
        <v>7672</v>
      </c>
      <c r="G4327" t="s">
        <v>17470</v>
      </c>
      <c r="H4327" t="s">
        <v>11496</v>
      </c>
      <c r="I4327" t="s">
        <v>17471</v>
      </c>
      <c r="J4327" t="s">
        <v>11585</v>
      </c>
    </row>
    <row r="4328" spans="1:10" x14ac:dyDescent="0.25">
      <c r="A4328" t="s">
        <v>17472</v>
      </c>
      <c r="B4328">
        <v>4.32</v>
      </c>
      <c r="C4328" t="s">
        <v>17473</v>
      </c>
      <c r="D4328" t="s">
        <v>6257</v>
      </c>
      <c r="E4328" t="s">
        <v>17474</v>
      </c>
      <c r="F4328" t="s">
        <v>7672</v>
      </c>
      <c r="G4328" t="s">
        <v>17475</v>
      </c>
      <c r="H4328" t="s">
        <v>10298</v>
      </c>
      <c r="I4328" t="s">
        <v>17476</v>
      </c>
      <c r="J4328" t="s">
        <v>7942</v>
      </c>
    </row>
    <row r="4329" spans="1:10" x14ac:dyDescent="0.25">
      <c r="A4329" t="s">
        <v>17477</v>
      </c>
      <c r="B4329">
        <v>4.32</v>
      </c>
      <c r="C4329" t="s">
        <v>17478</v>
      </c>
      <c r="D4329" t="s">
        <v>1386</v>
      </c>
      <c r="E4329" t="s">
        <v>17474</v>
      </c>
      <c r="F4329" t="s">
        <v>7672</v>
      </c>
      <c r="G4329" t="s">
        <v>17475</v>
      </c>
      <c r="H4329" t="s">
        <v>10298</v>
      </c>
      <c r="I4329" t="s">
        <v>10394</v>
      </c>
      <c r="J4329" t="s">
        <v>7942</v>
      </c>
    </row>
    <row r="4330" spans="1:10" x14ac:dyDescent="0.25">
      <c r="A4330" t="s">
        <v>17479</v>
      </c>
      <c r="B4330">
        <v>4.32</v>
      </c>
      <c r="C4330" t="s">
        <v>17480</v>
      </c>
      <c r="D4330" t="s">
        <v>4322</v>
      </c>
      <c r="E4330" t="s">
        <v>17474</v>
      </c>
      <c r="F4330" t="s">
        <v>7672</v>
      </c>
      <c r="G4330" t="s">
        <v>17475</v>
      </c>
      <c r="H4330" t="s">
        <v>10298</v>
      </c>
      <c r="I4330" t="s">
        <v>17481</v>
      </c>
      <c r="J4330" t="s">
        <v>7942</v>
      </c>
    </row>
    <row r="4331" spans="1:10" x14ac:dyDescent="0.25">
      <c r="A4331" t="s">
        <v>17482</v>
      </c>
      <c r="B4331">
        <v>4.32</v>
      </c>
      <c r="C4331" t="s">
        <v>17483</v>
      </c>
      <c r="D4331" t="s">
        <v>975</v>
      </c>
      <c r="E4331" t="s">
        <v>17474</v>
      </c>
      <c r="F4331" t="s">
        <v>7672</v>
      </c>
      <c r="G4331" t="s">
        <v>17475</v>
      </c>
      <c r="H4331" t="s">
        <v>10298</v>
      </c>
      <c r="I4331" t="s">
        <v>17476</v>
      </c>
      <c r="J4331" t="s">
        <v>7981</v>
      </c>
    </row>
    <row r="4332" spans="1:10" x14ac:dyDescent="0.25">
      <c r="A4332" t="s">
        <v>17484</v>
      </c>
      <c r="B4332">
        <v>4.32</v>
      </c>
      <c r="C4332" t="s">
        <v>17485</v>
      </c>
      <c r="D4332" t="s">
        <v>1512</v>
      </c>
      <c r="E4332" t="s">
        <v>17474</v>
      </c>
      <c r="F4332" t="s">
        <v>7672</v>
      </c>
      <c r="G4332" t="s">
        <v>17475</v>
      </c>
      <c r="H4332" t="s">
        <v>10298</v>
      </c>
      <c r="I4332" t="s">
        <v>10394</v>
      </c>
      <c r="J4332" t="s">
        <v>7981</v>
      </c>
    </row>
    <row r="4333" spans="1:10" x14ac:dyDescent="0.25">
      <c r="A4333" t="s">
        <v>17486</v>
      </c>
      <c r="B4333">
        <v>4.32</v>
      </c>
      <c r="C4333" t="s">
        <v>17487</v>
      </c>
      <c r="D4333" t="s">
        <v>626</v>
      </c>
      <c r="E4333" t="s">
        <v>17474</v>
      </c>
      <c r="F4333" t="s">
        <v>7672</v>
      </c>
      <c r="G4333" t="s">
        <v>17475</v>
      </c>
      <c r="H4333" t="s">
        <v>10298</v>
      </c>
      <c r="I4333" t="s">
        <v>17481</v>
      </c>
      <c r="J4333" t="s">
        <v>7981</v>
      </c>
    </row>
    <row r="4334" spans="1:10" x14ac:dyDescent="0.25">
      <c r="A4334" t="s">
        <v>17488</v>
      </c>
      <c r="B4334">
        <v>4.32</v>
      </c>
      <c r="C4334" t="s">
        <v>17489</v>
      </c>
      <c r="D4334" t="s">
        <v>3577</v>
      </c>
      <c r="E4334" t="s">
        <v>17474</v>
      </c>
      <c r="F4334" t="s">
        <v>7672</v>
      </c>
      <c r="G4334" t="s">
        <v>17475</v>
      </c>
      <c r="H4334" t="s">
        <v>10298</v>
      </c>
      <c r="I4334" t="s">
        <v>17476</v>
      </c>
      <c r="J4334" t="s">
        <v>7984</v>
      </c>
    </row>
    <row r="4335" spans="1:10" x14ac:dyDescent="0.25">
      <c r="A4335" t="s">
        <v>17490</v>
      </c>
      <c r="B4335">
        <v>4.32</v>
      </c>
      <c r="C4335" t="s">
        <v>17491</v>
      </c>
      <c r="D4335" t="s">
        <v>2804</v>
      </c>
      <c r="E4335" t="s">
        <v>17474</v>
      </c>
      <c r="F4335" t="s">
        <v>7672</v>
      </c>
      <c r="G4335" t="s">
        <v>17475</v>
      </c>
      <c r="H4335" t="s">
        <v>10298</v>
      </c>
      <c r="I4335" t="s">
        <v>10394</v>
      </c>
      <c r="J4335" t="s">
        <v>7984</v>
      </c>
    </row>
    <row r="4336" spans="1:10" x14ac:dyDescent="0.25">
      <c r="A4336" t="s">
        <v>17492</v>
      </c>
      <c r="B4336">
        <v>4.32</v>
      </c>
      <c r="C4336" t="s">
        <v>17493</v>
      </c>
      <c r="D4336" t="s">
        <v>1236</v>
      </c>
      <c r="E4336" t="s">
        <v>17474</v>
      </c>
      <c r="F4336" t="s">
        <v>7672</v>
      </c>
      <c r="G4336" t="s">
        <v>17475</v>
      </c>
      <c r="H4336" t="s">
        <v>10298</v>
      </c>
      <c r="I4336" t="s">
        <v>17481</v>
      </c>
      <c r="J4336" t="s">
        <v>7984</v>
      </c>
    </row>
    <row r="4337" spans="1:10" x14ac:dyDescent="0.25">
      <c r="A4337" t="s">
        <v>17494</v>
      </c>
      <c r="B4337">
        <v>4.32</v>
      </c>
      <c r="C4337" t="s">
        <v>17495</v>
      </c>
      <c r="D4337" t="s">
        <v>113</v>
      </c>
      <c r="E4337" t="s">
        <v>17474</v>
      </c>
      <c r="F4337" t="s">
        <v>7672</v>
      </c>
      <c r="G4337" t="s">
        <v>17475</v>
      </c>
      <c r="H4337" t="s">
        <v>10298</v>
      </c>
      <c r="I4337" t="s">
        <v>17476</v>
      </c>
      <c r="J4337" t="s">
        <v>8001</v>
      </c>
    </row>
    <row r="4338" spans="1:10" x14ac:dyDescent="0.25">
      <c r="A4338" t="s">
        <v>17496</v>
      </c>
      <c r="B4338">
        <v>4.32</v>
      </c>
      <c r="C4338" t="s">
        <v>17497</v>
      </c>
      <c r="D4338" t="s">
        <v>959</v>
      </c>
      <c r="E4338" t="s">
        <v>17474</v>
      </c>
      <c r="F4338" t="s">
        <v>7672</v>
      </c>
      <c r="G4338" t="s">
        <v>17475</v>
      </c>
      <c r="H4338" t="s">
        <v>10298</v>
      </c>
      <c r="I4338" t="s">
        <v>17481</v>
      </c>
      <c r="J4338" t="s">
        <v>8001</v>
      </c>
    </row>
    <row r="4339" spans="1:10" x14ac:dyDescent="0.25">
      <c r="A4339" t="s">
        <v>17498</v>
      </c>
      <c r="B4339">
        <v>4.16</v>
      </c>
      <c r="C4339" t="s">
        <v>17499</v>
      </c>
      <c r="D4339" t="s">
        <v>1236</v>
      </c>
      <c r="E4339" t="s">
        <v>17500</v>
      </c>
      <c r="F4339" t="s">
        <v>7672</v>
      </c>
      <c r="G4339" t="s">
        <v>17501</v>
      </c>
      <c r="H4339" t="s">
        <v>11496</v>
      </c>
      <c r="I4339" t="s">
        <v>17502</v>
      </c>
      <c r="J4339" t="s">
        <v>106</v>
      </c>
    </row>
    <row r="4340" spans="1:10" x14ac:dyDescent="0.25">
      <c r="A4340" t="s">
        <v>17503</v>
      </c>
      <c r="B4340">
        <v>4.16</v>
      </c>
      <c r="C4340" t="s">
        <v>17504</v>
      </c>
      <c r="D4340" t="s">
        <v>1852</v>
      </c>
      <c r="E4340" t="s">
        <v>17500</v>
      </c>
      <c r="F4340" t="s">
        <v>7672</v>
      </c>
      <c r="G4340" t="s">
        <v>17501</v>
      </c>
      <c r="H4340" t="s">
        <v>11496</v>
      </c>
      <c r="I4340" t="s">
        <v>17502</v>
      </c>
      <c r="J4340" t="s">
        <v>88</v>
      </c>
    </row>
    <row r="4341" spans="1:10" x14ac:dyDescent="0.25">
      <c r="A4341" t="s">
        <v>17505</v>
      </c>
      <c r="B4341">
        <v>4.16</v>
      </c>
      <c r="C4341" t="s">
        <v>17506</v>
      </c>
      <c r="D4341" t="s">
        <v>316</v>
      </c>
      <c r="E4341" t="s">
        <v>17500</v>
      </c>
      <c r="F4341" t="s">
        <v>7672</v>
      </c>
      <c r="G4341" t="s">
        <v>17501</v>
      </c>
      <c r="H4341" t="s">
        <v>11496</v>
      </c>
      <c r="I4341" t="s">
        <v>17502</v>
      </c>
      <c r="J4341" t="s">
        <v>131</v>
      </c>
    </row>
    <row r="4342" spans="1:10" x14ac:dyDescent="0.25">
      <c r="A4342" t="s">
        <v>17507</v>
      </c>
      <c r="B4342">
        <v>4.16</v>
      </c>
      <c r="C4342" t="s">
        <v>17508</v>
      </c>
      <c r="D4342" t="s">
        <v>3023</v>
      </c>
      <c r="E4342" t="s">
        <v>17500</v>
      </c>
      <c r="F4342" t="s">
        <v>7672</v>
      </c>
      <c r="G4342" t="s">
        <v>17501</v>
      </c>
      <c r="H4342" t="s">
        <v>11496</v>
      </c>
      <c r="I4342" t="s">
        <v>17502</v>
      </c>
      <c r="J4342" t="s">
        <v>269</v>
      </c>
    </row>
    <row r="4343" spans="1:10" x14ac:dyDescent="0.25">
      <c r="A4343" t="s">
        <v>17509</v>
      </c>
      <c r="B4343">
        <v>8.8000000000000007</v>
      </c>
      <c r="C4343" t="s">
        <v>17510</v>
      </c>
      <c r="D4343" t="s">
        <v>2149</v>
      </c>
      <c r="E4343" t="s">
        <v>17511</v>
      </c>
      <c r="F4343" t="s">
        <v>7672</v>
      </c>
      <c r="G4343" t="s">
        <v>17512</v>
      </c>
      <c r="H4343" t="s">
        <v>11496</v>
      </c>
      <c r="I4343" t="s">
        <v>17513</v>
      </c>
      <c r="J4343" t="s">
        <v>164</v>
      </c>
    </row>
    <row r="4344" spans="1:10" x14ac:dyDescent="0.25">
      <c r="A4344" t="s">
        <v>17514</v>
      </c>
      <c r="B4344">
        <v>8.8000000000000007</v>
      </c>
      <c r="C4344" t="s">
        <v>17515</v>
      </c>
      <c r="D4344" t="s">
        <v>865</v>
      </c>
      <c r="E4344" t="s">
        <v>17511</v>
      </c>
      <c r="F4344" t="s">
        <v>7672</v>
      </c>
      <c r="G4344" t="s">
        <v>17512</v>
      </c>
      <c r="H4344" t="s">
        <v>11496</v>
      </c>
      <c r="I4344" t="s">
        <v>17516</v>
      </c>
      <c r="J4344" t="s">
        <v>164</v>
      </c>
    </row>
    <row r="4345" spans="1:10" x14ac:dyDescent="0.25">
      <c r="A4345" t="s">
        <v>17517</v>
      </c>
      <c r="B4345">
        <v>36</v>
      </c>
      <c r="C4345" t="s">
        <v>17518</v>
      </c>
      <c r="D4345" t="s">
        <v>10771</v>
      </c>
      <c r="E4345" t="s">
        <v>17519</v>
      </c>
      <c r="F4345" t="s">
        <v>7672</v>
      </c>
      <c r="G4345" t="s">
        <v>17520</v>
      </c>
      <c r="H4345" t="s">
        <v>9693</v>
      </c>
      <c r="I4345" t="s">
        <v>17521</v>
      </c>
      <c r="J4345" t="s">
        <v>9694</v>
      </c>
    </row>
    <row r="4346" spans="1:10" x14ac:dyDescent="0.25">
      <c r="A4346" t="s">
        <v>17522</v>
      </c>
      <c r="B4346">
        <v>1.8160000000000001</v>
      </c>
      <c r="C4346" t="s">
        <v>17523</v>
      </c>
      <c r="D4346" t="s">
        <v>9509</v>
      </c>
      <c r="E4346" t="s">
        <v>17524</v>
      </c>
      <c r="F4346" t="s">
        <v>7672</v>
      </c>
      <c r="G4346" t="s">
        <v>17525</v>
      </c>
      <c r="H4346" t="s">
        <v>7674</v>
      </c>
      <c r="I4346" t="s">
        <v>17526</v>
      </c>
      <c r="J4346" t="s">
        <v>7981</v>
      </c>
    </row>
    <row r="4347" spans="1:10" x14ac:dyDescent="0.25">
      <c r="A4347" t="s">
        <v>17527</v>
      </c>
      <c r="B4347">
        <v>1.8160000000000001</v>
      </c>
      <c r="C4347" t="s">
        <v>17528</v>
      </c>
      <c r="D4347" t="s">
        <v>1573</v>
      </c>
      <c r="E4347" t="s">
        <v>17524</v>
      </c>
      <c r="F4347" t="s">
        <v>7672</v>
      </c>
      <c r="G4347" t="s">
        <v>17525</v>
      </c>
      <c r="H4347" t="s">
        <v>7674</v>
      </c>
      <c r="I4347" t="s">
        <v>17529</v>
      </c>
      <c r="J4347" t="s">
        <v>7981</v>
      </c>
    </row>
    <row r="4348" spans="1:10" x14ac:dyDescent="0.25">
      <c r="A4348" t="s">
        <v>17530</v>
      </c>
      <c r="B4348">
        <v>1.8160000000000001</v>
      </c>
      <c r="C4348" t="s">
        <v>17531</v>
      </c>
      <c r="D4348" t="s">
        <v>8246</v>
      </c>
      <c r="E4348" t="s">
        <v>17524</v>
      </c>
      <c r="F4348" t="s">
        <v>7672</v>
      </c>
      <c r="G4348" t="s">
        <v>17525</v>
      </c>
      <c r="H4348" t="s">
        <v>7674</v>
      </c>
      <c r="I4348" t="s">
        <v>10194</v>
      </c>
      <c r="J4348" t="s">
        <v>7981</v>
      </c>
    </row>
    <row r="4349" spans="1:10" x14ac:dyDescent="0.25">
      <c r="A4349" t="s">
        <v>17532</v>
      </c>
      <c r="B4349">
        <v>1.8160000000000001</v>
      </c>
      <c r="C4349" t="s">
        <v>17533</v>
      </c>
      <c r="D4349" t="s">
        <v>1837</v>
      </c>
      <c r="E4349" t="s">
        <v>17524</v>
      </c>
      <c r="F4349" t="s">
        <v>7672</v>
      </c>
      <c r="G4349" t="s">
        <v>17525</v>
      </c>
      <c r="H4349" t="s">
        <v>7674</v>
      </c>
      <c r="I4349" t="s">
        <v>17534</v>
      </c>
      <c r="J4349" t="s">
        <v>7981</v>
      </c>
    </row>
    <row r="4350" spans="1:10" x14ac:dyDescent="0.25">
      <c r="A4350" t="s">
        <v>17535</v>
      </c>
      <c r="B4350">
        <v>1.8160000000000001</v>
      </c>
      <c r="C4350" t="s">
        <v>17536</v>
      </c>
      <c r="D4350" t="s">
        <v>250</v>
      </c>
      <c r="E4350" t="s">
        <v>17524</v>
      </c>
      <c r="F4350" t="s">
        <v>7672</v>
      </c>
      <c r="G4350" t="s">
        <v>17525</v>
      </c>
      <c r="H4350" t="s">
        <v>7674</v>
      </c>
      <c r="I4350" t="s">
        <v>17529</v>
      </c>
      <c r="J4350" t="s">
        <v>7984</v>
      </c>
    </row>
    <row r="4351" spans="1:10" x14ac:dyDescent="0.25">
      <c r="A4351" t="s">
        <v>17537</v>
      </c>
      <c r="B4351">
        <v>1.8160000000000001</v>
      </c>
      <c r="C4351" t="s">
        <v>17538</v>
      </c>
      <c r="D4351" t="s">
        <v>11430</v>
      </c>
      <c r="E4351" t="s">
        <v>17524</v>
      </c>
      <c r="F4351" t="s">
        <v>7672</v>
      </c>
      <c r="G4351" t="s">
        <v>17525</v>
      </c>
      <c r="H4351" t="s">
        <v>7674</v>
      </c>
      <c r="I4351" t="s">
        <v>10194</v>
      </c>
      <c r="J4351" t="s">
        <v>7984</v>
      </c>
    </row>
    <row r="4352" spans="1:10" x14ac:dyDescent="0.25">
      <c r="A4352" t="s">
        <v>17539</v>
      </c>
      <c r="B4352">
        <v>1.8160000000000001</v>
      </c>
      <c r="C4352" t="s">
        <v>17540</v>
      </c>
      <c r="D4352" t="s">
        <v>4011</v>
      </c>
      <c r="E4352" t="s">
        <v>17524</v>
      </c>
      <c r="F4352" t="s">
        <v>7672</v>
      </c>
      <c r="G4352" t="s">
        <v>17525</v>
      </c>
      <c r="H4352" t="s">
        <v>7674</v>
      </c>
      <c r="I4352" t="s">
        <v>17534</v>
      </c>
      <c r="J4352" t="s">
        <v>7984</v>
      </c>
    </row>
    <row r="4353" spans="1:10" x14ac:dyDescent="0.25">
      <c r="A4353" t="s">
        <v>17541</v>
      </c>
      <c r="B4353">
        <v>1.8160000000000001</v>
      </c>
      <c r="C4353" t="s">
        <v>17542</v>
      </c>
      <c r="D4353" t="s">
        <v>8767</v>
      </c>
      <c r="E4353" t="s">
        <v>17524</v>
      </c>
      <c r="F4353" t="s">
        <v>7672</v>
      </c>
      <c r="G4353" t="s">
        <v>17525</v>
      </c>
      <c r="H4353" t="s">
        <v>7674</v>
      </c>
      <c r="I4353" t="s">
        <v>17526</v>
      </c>
      <c r="J4353" t="s">
        <v>7984</v>
      </c>
    </row>
    <row r="4354" spans="1:10" x14ac:dyDescent="0.25">
      <c r="A4354" t="s">
        <v>17543</v>
      </c>
      <c r="B4354">
        <v>1.8160000000000001</v>
      </c>
      <c r="C4354" t="s">
        <v>17544</v>
      </c>
      <c r="D4354" t="s">
        <v>10432</v>
      </c>
      <c r="E4354" t="s">
        <v>17524</v>
      </c>
      <c r="F4354" t="s">
        <v>7672</v>
      </c>
      <c r="G4354" t="s">
        <v>17525</v>
      </c>
      <c r="H4354" t="s">
        <v>7674</v>
      </c>
      <c r="I4354" t="s">
        <v>17526</v>
      </c>
      <c r="J4354" t="s">
        <v>7987</v>
      </c>
    </row>
    <row r="4355" spans="1:10" x14ac:dyDescent="0.25">
      <c r="A4355" t="s">
        <v>17545</v>
      </c>
      <c r="B4355">
        <v>1.8160000000000001</v>
      </c>
      <c r="C4355" t="s">
        <v>17546</v>
      </c>
      <c r="D4355" t="s">
        <v>15907</v>
      </c>
      <c r="E4355" t="s">
        <v>17524</v>
      </c>
      <c r="F4355" t="s">
        <v>7672</v>
      </c>
      <c r="G4355" t="s">
        <v>17525</v>
      </c>
      <c r="H4355" t="s">
        <v>7674</v>
      </c>
      <c r="I4355" t="s">
        <v>10194</v>
      </c>
      <c r="J4355" t="s">
        <v>7987</v>
      </c>
    </row>
    <row r="4356" spans="1:10" x14ac:dyDescent="0.25">
      <c r="A4356" t="s">
        <v>17547</v>
      </c>
      <c r="B4356">
        <v>1.8160000000000001</v>
      </c>
      <c r="C4356" t="s">
        <v>17548</v>
      </c>
      <c r="D4356" t="s">
        <v>67</v>
      </c>
      <c r="E4356" t="s">
        <v>17524</v>
      </c>
      <c r="F4356" t="s">
        <v>7672</v>
      </c>
      <c r="G4356" t="s">
        <v>17525</v>
      </c>
      <c r="H4356" t="s">
        <v>7674</v>
      </c>
      <c r="I4356" t="s">
        <v>17534</v>
      </c>
      <c r="J4356" t="s">
        <v>7987</v>
      </c>
    </row>
    <row r="4357" spans="1:10" x14ac:dyDescent="0.25">
      <c r="A4357" t="s">
        <v>17549</v>
      </c>
      <c r="B4357">
        <v>9.7920000000000016</v>
      </c>
      <c r="C4357" t="s">
        <v>17550</v>
      </c>
      <c r="D4357" t="s">
        <v>229</v>
      </c>
      <c r="E4357" t="s">
        <v>17551</v>
      </c>
      <c r="F4357" t="s">
        <v>7672</v>
      </c>
      <c r="G4357" t="s">
        <v>17552</v>
      </c>
      <c r="H4357" t="s">
        <v>7674</v>
      </c>
      <c r="I4357" t="s">
        <v>17553</v>
      </c>
      <c r="J4357" t="s">
        <v>9237</v>
      </c>
    </row>
    <row r="4358" spans="1:10" x14ac:dyDescent="0.25">
      <c r="A4358" t="s">
        <v>17554</v>
      </c>
      <c r="B4358">
        <v>9.7920000000000016</v>
      </c>
      <c r="C4358" t="s">
        <v>17555</v>
      </c>
      <c r="D4358" t="s">
        <v>321</v>
      </c>
      <c r="E4358" t="s">
        <v>17551</v>
      </c>
      <c r="F4358" t="s">
        <v>7672</v>
      </c>
      <c r="G4358" t="s">
        <v>17552</v>
      </c>
      <c r="H4358" t="s">
        <v>7674</v>
      </c>
      <c r="I4358" t="s">
        <v>10512</v>
      </c>
      <c r="J4358" t="s">
        <v>9237</v>
      </c>
    </row>
    <row r="4359" spans="1:10" x14ac:dyDescent="0.25">
      <c r="A4359" t="s">
        <v>17556</v>
      </c>
      <c r="B4359">
        <v>9.7920000000000016</v>
      </c>
      <c r="C4359" t="s">
        <v>17557</v>
      </c>
      <c r="D4359" t="s">
        <v>1822</v>
      </c>
      <c r="E4359" t="s">
        <v>17551</v>
      </c>
      <c r="F4359" t="s">
        <v>7672</v>
      </c>
      <c r="G4359" t="s">
        <v>17552</v>
      </c>
      <c r="H4359" t="s">
        <v>7674</v>
      </c>
      <c r="I4359" t="s">
        <v>10518</v>
      </c>
      <c r="J4359" t="s">
        <v>9237</v>
      </c>
    </row>
    <row r="4360" spans="1:10" x14ac:dyDescent="0.25">
      <c r="A4360" t="s">
        <v>17558</v>
      </c>
      <c r="B4360">
        <v>9.7920000000000016</v>
      </c>
      <c r="C4360" t="s">
        <v>17559</v>
      </c>
      <c r="D4360" t="s">
        <v>516</v>
      </c>
      <c r="E4360" t="s">
        <v>17551</v>
      </c>
      <c r="F4360" t="s">
        <v>7672</v>
      </c>
      <c r="G4360" t="s">
        <v>17552</v>
      </c>
      <c r="H4360" t="s">
        <v>7674</v>
      </c>
      <c r="I4360" t="s">
        <v>10515</v>
      </c>
      <c r="J4360" t="s">
        <v>9237</v>
      </c>
    </row>
    <row r="4361" spans="1:10" x14ac:dyDescent="0.25">
      <c r="A4361" t="s">
        <v>17560</v>
      </c>
      <c r="B4361">
        <v>9.7920000000000016</v>
      </c>
      <c r="C4361" t="s">
        <v>17561</v>
      </c>
      <c r="D4361" t="s">
        <v>3577</v>
      </c>
      <c r="E4361" t="s">
        <v>17551</v>
      </c>
      <c r="F4361" t="s">
        <v>7672</v>
      </c>
      <c r="G4361" t="s">
        <v>17552</v>
      </c>
      <c r="H4361" t="s">
        <v>7674</v>
      </c>
      <c r="I4361" t="s">
        <v>10521</v>
      </c>
      <c r="J4361" t="s">
        <v>9237</v>
      </c>
    </row>
    <row r="4362" spans="1:10" x14ac:dyDescent="0.25">
      <c r="A4362" t="s">
        <v>17562</v>
      </c>
      <c r="B4362">
        <v>9.7920000000000016</v>
      </c>
      <c r="C4362" t="s">
        <v>17563</v>
      </c>
      <c r="D4362" t="s">
        <v>2620</v>
      </c>
      <c r="E4362" t="s">
        <v>17551</v>
      </c>
      <c r="F4362" t="s">
        <v>7672</v>
      </c>
      <c r="G4362" t="s">
        <v>17552</v>
      </c>
      <c r="H4362" t="s">
        <v>7674</v>
      </c>
      <c r="I4362" t="s">
        <v>17553</v>
      </c>
      <c r="J4362" t="s">
        <v>8427</v>
      </c>
    </row>
    <row r="4363" spans="1:10" x14ac:dyDescent="0.25">
      <c r="A4363" t="s">
        <v>17564</v>
      </c>
      <c r="B4363">
        <v>9.7920000000000016</v>
      </c>
      <c r="C4363" t="s">
        <v>17565</v>
      </c>
      <c r="D4363" t="s">
        <v>1827</v>
      </c>
      <c r="E4363" t="s">
        <v>17551</v>
      </c>
      <c r="F4363" t="s">
        <v>7672</v>
      </c>
      <c r="G4363" t="s">
        <v>17552</v>
      </c>
      <c r="H4363" t="s">
        <v>7674</v>
      </c>
      <c r="I4363" t="s">
        <v>10512</v>
      </c>
      <c r="J4363" t="s">
        <v>8427</v>
      </c>
    </row>
    <row r="4364" spans="1:10" x14ac:dyDescent="0.25">
      <c r="A4364" t="s">
        <v>17566</v>
      </c>
      <c r="B4364">
        <v>9.7920000000000016</v>
      </c>
      <c r="C4364" t="s">
        <v>17567</v>
      </c>
      <c r="D4364" t="s">
        <v>2371</v>
      </c>
      <c r="E4364" t="s">
        <v>17551</v>
      </c>
      <c r="F4364" t="s">
        <v>7672</v>
      </c>
      <c r="G4364" t="s">
        <v>17552</v>
      </c>
      <c r="H4364" t="s">
        <v>7674</v>
      </c>
      <c r="I4364" t="s">
        <v>10518</v>
      </c>
      <c r="J4364" t="s">
        <v>8427</v>
      </c>
    </row>
    <row r="4365" spans="1:10" x14ac:dyDescent="0.25">
      <c r="A4365" t="s">
        <v>17568</v>
      </c>
      <c r="B4365">
        <v>9.7920000000000016</v>
      </c>
      <c r="C4365" t="s">
        <v>17569</v>
      </c>
      <c r="D4365" t="s">
        <v>913</v>
      </c>
      <c r="E4365" t="s">
        <v>17551</v>
      </c>
      <c r="F4365" t="s">
        <v>7672</v>
      </c>
      <c r="G4365" t="s">
        <v>17552</v>
      </c>
      <c r="H4365" t="s">
        <v>7674</v>
      </c>
      <c r="I4365" t="s">
        <v>10515</v>
      </c>
      <c r="J4365" t="s">
        <v>8427</v>
      </c>
    </row>
    <row r="4366" spans="1:10" x14ac:dyDescent="0.25">
      <c r="A4366" t="s">
        <v>17570</v>
      </c>
      <c r="B4366">
        <v>9.7920000000000016</v>
      </c>
      <c r="C4366" t="s">
        <v>17571</v>
      </c>
      <c r="D4366" t="s">
        <v>3604</v>
      </c>
      <c r="E4366" t="s">
        <v>17551</v>
      </c>
      <c r="F4366" t="s">
        <v>7672</v>
      </c>
      <c r="G4366" t="s">
        <v>17552</v>
      </c>
      <c r="H4366" t="s">
        <v>7674</v>
      </c>
      <c r="I4366" t="s">
        <v>10521</v>
      </c>
      <c r="J4366" t="s">
        <v>8427</v>
      </c>
    </row>
    <row r="4367" spans="1:10" x14ac:dyDescent="0.25">
      <c r="A4367" t="s">
        <v>17572</v>
      </c>
      <c r="B4367">
        <v>9.7920000000000016</v>
      </c>
      <c r="C4367" t="s">
        <v>17573</v>
      </c>
      <c r="D4367" t="s">
        <v>2381</v>
      </c>
      <c r="E4367" t="s">
        <v>17551</v>
      </c>
      <c r="F4367" t="s">
        <v>7672</v>
      </c>
      <c r="G4367" t="s">
        <v>17552</v>
      </c>
      <c r="H4367" t="s">
        <v>7674</v>
      </c>
      <c r="I4367" t="s">
        <v>17553</v>
      </c>
      <c r="J4367" t="s">
        <v>8439</v>
      </c>
    </row>
    <row r="4368" spans="1:10" x14ac:dyDescent="0.25">
      <c r="A4368" t="s">
        <v>17574</v>
      </c>
      <c r="B4368">
        <v>9.7920000000000016</v>
      </c>
      <c r="C4368" t="s">
        <v>17575</v>
      </c>
      <c r="D4368" t="s">
        <v>8164</v>
      </c>
      <c r="E4368" t="s">
        <v>17551</v>
      </c>
      <c r="F4368" t="s">
        <v>7672</v>
      </c>
      <c r="G4368" t="s">
        <v>17552</v>
      </c>
      <c r="H4368" t="s">
        <v>7674</v>
      </c>
      <c r="I4368" t="s">
        <v>10512</v>
      </c>
      <c r="J4368" t="s">
        <v>8439</v>
      </c>
    </row>
    <row r="4369" spans="1:10" x14ac:dyDescent="0.25">
      <c r="A4369" t="s">
        <v>17576</v>
      </c>
      <c r="B4369">
        <v>9.7920000000000016</v>
      </c>
      <c r="C4369" t="s">
        <v>17577</v>
      </c>
      <c r="D4369" t="s">
        <v>3110</v>
      </c>
      <c r="E4369" t="s">
        <v>17551</v>
      </c>
      <c r="F4369" t="s">
        <v>7672</v>
      </c>
      <c r="G4369" t="s">
        <v>17552</v>
      </c>
      <c r="H4369" t="s">
        <v>7674</v>
      </c>
      <c r="I4369" t="s">
        <v>10518</v>
      </c>
      <c r="J4369" t="s">
        <v>8439</v>
      </c>
    </row>
    <row r="4370" spans="1:10" x14ac:dyDescent="0.25">
      <c r="A4370" t="s">
        <v>17578</v>
      </c>
      <c r="B4370">
        <v>9.7920000000000016</v>
      </c>
      <c r="C4370" t="s">
        <v>17579</v>
      </c>
      <c r="D4370" t="s">
        <v>3175</v>
      </c>
      <c r="E4370" t="s">
        <v>17551</v>
      </c>
      <c r="F4370" t="s">
        <v>7672</v>
      </c>
      <c r="G4370" t="s">
        <v>17552</v>
      </c>
      <c r="H4370" t="s">
        <v>7674</v>
      </c>
      <c r="I4370" t="s">
        <v>10515</v>
      </c>
      <c r="J4370" t="s">
        <v>8439</v>
      </c>
    </row>
    <row r="4371" spans="1:10" x14ac:dyDescent="0.25">
      <c r="A4371" t="s">
        <v>17580</v>
      </c>
      <c r="B4371">
        <v>9.7920000000000016</v>
      </c>
      <c r="C4371" t="s">
        <v>17581</v>
      </c>
      <c r="D4371" t="s">
        <v>9399</v>
      </c>
      <c r="E4371" t="s">
        <v>17551</v>
      </c>
      <c r="F4371" t="s">
        <v>7672</v>
      </c>
      <c r="G4371" t="s">
        <v>17552</v>
      </c>
      <c r="H4371" t="s">
        <v>7674</v>
      </c>
      <c r="I4371" t="s">
        <v>10521</v>
      </c>
      <c r="J4371" t="s">
        <v>8439</v>
      </c>
    </row>
    <row r="4372" spans="1:10" x14ac:dyDescent="0.25">
      <c r="A4372" t="s">
        <v>17582</v>
      </c>
      <c r="B4372">
        <v>9.7920000000000016</v>
      </c>
      <c r="C4372" t="s">
        <v>17583</v>
      </c>
      <c r="D4372" t="s">
        <v>1811</v>
      </c>
      <c r="E4372" t="s">
        <v>17551</v>
      </c>
      <c r="F4372" t="s">
        <v>7672</v>
      </c>
      <c r="G4372" t="s">
        <v>17552</v>
      </c>
      <c r="H4372" t="s">
        <v>7674</v>
      </c>
      <c r="I4372" t="s">
        <v>17553</v>
      </c>
      <c r="J4372" t="s">
        <v>8451</v>
      </c>
    </row>
    <row r="4373" spans="1:10" x14ac:dyDescent="0.25">
      <c r="A4373" t="s">
        <v>17584</v>
      </c>
      <c r="B4373">
        <v>9.7920000000000016</v>
      </c>
      <c r="C4373" t="s">
        <v>17585</v>
      </c>
      <c r="D4373" t="s">
        <v>786</v>
      </c>
      <c r="E4373" t="s">
        <v>17551</v>
      </c>
      <c r="F4373" t="s">
        <v>7672</v>
      </c>
      <c r="G4373" t="s">
        <v>17552</v>
      </c>
      <c r="H4373" t="s">
        <v>7674</v>
      </c>
      <c r="I4373" t="s">
        <v>10521</v>
      </c>
      <c r="J4373" t="s">
        <v>8451</v>
      </c>
    </row>
    <row r="4374" spans="1:10" x14ac:dyDescent="0.25">
      <c r="A4374" t="s">
        <v>17586</v>
      </c>
      <c r="B4374">
        <v>9.7920000000000016</v>
      </c>
      <c r="C4374" t="s">
        <v>17587</v>
      </c>
      <c r="D4374" t="s">
        <v>3023</v>
      </c>
      <c r="E4374" t="s">
        <v>17551</v>
      </c>
      <c r="F4374" t="s">
        <v>7672</v>
      </c>
      <c r="G4374" t="s">
        <v>17552</v>
      </c>
      <c r="H4374" t="s">
        <v>7674</v>
      </c>
      <c r="I4374" t="s">
        <v>10515</v>
      </c>
      <c r="J4374" t="s">
        <v>8451</v>
      </c>
    </row>
    <row r="4375" spans="1:10" x14ac:dyDescent="0.25">
      <c r="A4375" t="s">
        <v>17588</v>
      </c>
      <c r="B4375">
        <v>9.7920000000000016</v>
      </c>
      <c r="C4375" t="s">
        <v>17589</v>
      </c>
      <c r="D4375" t="s">
        <v>1827</v>
      </c>
      <c r="E4375" t="s">
        <v>17551</v>
      </c>
      <c r="F4375" t="s">
        <v>7672</v>
      </c>
      <c r="G4375" t="s">
        <v>17552</v>
      </c>
      <c r="H4375" t="s">
        <v>7674</v>
      </c>
      <c r="I4375" t="s">
        <v>10512</v>
      </c>
      <c r="J4375" t="s">
        <v>8451</v>
      </c>
    </row>
    <row r="4376" spans="1:10" x14ac:dyDescent="0.25">
      <c r="A4376" t="s">
        <v>17590</v>
      </c>
      <c r="B4376">
        <v>9.7920000000000016</v>
      </c>
      <c r="C4376" t="s">
        <v>17591</v>
      </c>
      <c r="D4376" t="s">
        <v>1536</v>
      </c>
      <c r="E4376" t="s">
        <v>17551</v>
      </c>
      <c r="F4376" t="s">
        <v>7672</v>
      </c>
      <c r="G4376" t="s">
        <v>17552</v>
      </c>
      <c r="H4376" t="s">
        <v>7674</v>
      </c>
      <c r="I4376" t="s">
        <v>10518</v>
      </c>
      <c r="J4376" t="s">
        <v>8451</v>
      </c>
    </row>
    <row r="4377" spans="1:10" x14ac:dyDescent="0.25">
      <c r="A4377" t="s">
        <v>17592</v>
      </c>
      <c r="B4377">
        <v>9.7920000000000016</v>
      </c>
      <c r="C4377" t="s">
        <v>17593</v>
      </c>
      <c r="D4377" t="s">
        <v>588</v>
      </c>
      <c r="E4377" t="s">
        <v>17551</v>
      </c>
      <c r="F4377" t="s">
        <v>7672</v>
      </c>
      <c r="G4377" t="s">
        <v>17552</v>
      </c>
      <c r="H4377" t="s">
        <v>7674</v>
      </c>
      <c r="I4377" t="s">
        <v>17553</v>
      </c>
      <c r="J4377" t="s">
        <v>8462</v>
      </c>
    </row>
    <row r="4378" spans="1:10" x14ac:dyDescent="0.25">
      <c r="A4378" t="s">
        <v>17594</v>
      </c>
      <c r="B4378">
        <v>9.7920000000000016</v>
      </c>
      <c r="C4378" t="s">
        <v>17595</v>
      </c>
      <c r="D4378" t="s">
        <v>843</v>
      </c>
      <c r="E4378" t="s">
        <v>17551</v>
      </c>
      <c r="F4378" t="s">
        <v>7672</v>
      </c>
      <c r="G4378" t="s">
        <v>17552</v>
      </c>
      <c r="H4378" t="s">
        <v>7674</v>
      </c>
      <c r="I4378" t="s">
        <v>10515</v>
      </c>
      <c r="J4378" t="s">
        <v>8462</v>
      </c>
    </row>
    <row r="4379" spans="1:10" x14ac:dyDescent="0.25">
      <c r="A4379" t="s">
        <v>17596</v>
      </c>
      <c r="B4379">
        <v>9.7920000000000016</v>
      </c>
      <c r="C4379" t="s">
        <v>17597</v>
      </c>
      <c r="D4379" t="s">
        <v>1621</v>
      </c>
      <c r="E4379" t="s">
        <v>17551</v>
      </c>
      <c r="F4379" t="s">
        <v>7672</v>
      </c>
      <c r="G4379" t="s">
        <v>17552</v>
      </c>
      <c r="H4379" t="s">
        <v>7674</v>
      </c>
      <c r="I4379" t="s">
        <v>10521</v>
      </c>
      <c r="J4379" t="s">
        <v>8462</v>
      </c>
    </row>
    <row r="4380" spans="1:10" x14ac:dyDescent="0.25">
      <c r="A4380" t="s">
        <v>17598</v>
      </c>
      <c r="B4380">
        <v>9.7920000000000016</v>
      </c>
      <c r="C4380" t="s">
        <v>17599</v>
      </c>
      <c r="D4380" t="s">
        <v>981</v>
      </c>
      <c r="E4380" t="s">
        <v>17551</v>
      </c>
      <c r="F4380" t="s">
        <v>7672</v>
      </c>
      <c r="G4380" t="s">
        <v>17552</v>
      </c>
      <c r="H4380" t="s">
        <v>7674</v>
      </c>
      <c r="I4380" t="s">
        <v>10512</v>
      </c>
      <c r="J4380" t="s">
        <v>8462</v>
      </c>
    </row>
    <row r="4381" spans="1:10" x14ac:dyDescent="0.25">
      <c r="A4381" t="s">
        <v>17600</v>
      </c>
      <c r="B4381">
        <v>9.7920000000000016</v>
      </c>
      <c r="C4381" t="s">
        <v>17601</v>
      </c>
      <c r="D4381" t="s">
        <v>588</v>
      </c>
      <c r="E4381" t="s">
        <v>17551</v>
      </c>
      <c r="F4381" t="s">
        <v>7672</v>
      </c>
      <c r="G4381" t="s">
        <v>17552</v>
      </c>
      <c r="H4381" t="s">
        <v>7674</v>
      </c>
      <c r="I4381" t="s">
        <v>10518</v>
      </c>
      <c r="J4381" t="s">
        <v>8462</v>
      </c>
    </row>
    <row r="4382" spans="1:10" x14ac:dyDescent="0.25">
      <c r="A4382" t="s">
        <v>17602</v>
      </c>
      <c r="B4382">
        <v>9.7920000000000016</v>
      </c>
      <c r="C4382" t="s">
        <v>17603</v>
      </c>
      <c r="D4382" t="s">
        <v>113</v>
      </c>
      <c r="E4382" t="s">
        <v>17551</v>
      </c>
      <c r="F4382" t="s">
        <v>7672</v>
      </c>
      <c r="G4382" t="s">
        <v>17552</v>
      </c>
      <c r="H4382" t="s">
        <v>7674</v>
      </c>
      <c r="I4382" t="s">
        <v>10521</v>
      </c>
      <c r="J4382" t="s">
        <v>9998</v>
      </c>
    </row>
    <row r="4383" spans="1:10" x14ac:dyDescent="0.25">
      <c r="A4383" t="s">
        <v>17604</v>
      </c>
      <c r="B4383">
        <v>9.7920000000000016</v>
      </c>
      <c r="C4383" t="s">
        <v>17605</v>
      </c>
      <c r="D4383" t="s">
        <v>269</v>
      </c>
      <c r="E4383" t="s">
        <v>17551</v>
      </c>
      <c r="F4383" t="s">
        <v>7672</v>
      </c>
      <c r="G4383" t="s">
        <v>17552</v>
      </c>
      <c r="H4383" t="s">
        <v>7674</v>
      </c>
      <c r="I4383" t="s">
        <v>17553</v>
      </c>
      <c r="J4383" t="s">
        <v>9998</v>
      </c>
    </row>
    <row r="4384" spans="1:10" x14ac:dyDescent="0.25">
      <c r="A4384" t="s">
        <v>17606</v>
      </c>
      <c r="B4384">
        <v>9.7920000000000016</v>
      </c>
      <c r="C4384" t="s">
        <v>17607</v>
      </c>
      <c r="D4384" t="s">
        <v>100</v>
      </c>
      <c r="E4384" t="s">
        <v>17551</v>
      </c>
      <c r="F4384" t="s">
        <v>7672</v>
      </c>
      <c r="G4384" t="s">
        <v>17552</v>
      </c>
      <c r="H4384" t="s">
        <v>7674</v>
      </c>
      <c r="I4384" t="s">
        <v>10512</v>
      </c>
      <c r="J4384" t="s">
        <v>9998</v>
      </c>
    </row>
    <row r="4385" spans="1:10" x14ac:dyDescent="0.25">
      <c r="A4385" t="s">
        <v>17608</v>
      </c>
      <c r="B4385">
        <v>12.592000000000001</v>
      </c>
      <c r="C4385" t="s">
        <v>17609</v>
      </c>
      <c r="D4385" t="s">
        <v>1236</v>
      </c>
      <c r="E4385" t="s">
        <v>17610</v>
      </c>
      <c r="F4385" t="s">
        <v>7672</v>
      </c>
      <c r="G4385" t="s">
        <v>17611</v>
      </c>
      <c r="H4385" t="s">
        <v>9127</v>
      </c>
      <c r="I4385" t="s">
        <v>17612</v>
      </c>
      <c r="J4385" t="s">
        <v>7987</v>
      </c>
    </row>
    <row r="4386" spans="1:10" x14ac:dyDescent="0.25">
      <c r="A4386" t="s">
        <v>17613</v>
      </c>
      <c r="B4386">
        <v>12.592000000000001</v>
      </c>
      <c r="C4386" t="s">
        <v>17614</v>
      </c>
      <c r="D4386" t="s">
        <v>742</v>
      </c>
      <c r="E4386" t="s">
        <v>17610</v>
      </c>
      <c r="F4386" t="s">
        <v>7672</v>
      </c>
      <c r="G4386" t="s">
        <v>17611</v>
      </c>
      <c r="H4386" t="s">
        <v>9127</v>
      </c>
      <c r="I4386" t="s">
        <v>17615</v>
      </c>
      <c r="J4386" t="s">
        <v>8001</v>
      </c>
    </row>
    <row r="4387" spans="1:10" x14ac:dyDescent="0.25">
      <c r="A4387" t="s">
        <v>17616</v>
      </c>
      <c r="B4387">
        <v>12.592000000000001</v>
      </c>
      <c r="C4387" t="s">
        <v>17617</v>
      </c>
      <c r="D4387" t="s">
        <v>6257</v>
      </c>
      <c r="E4387" t="s">
        <v>17610</v>
      </c>
      <c r="F4387" t="s">
        <v>7672</v>
      </c>
      <c r="G4387" t="s">
        <v>17611</v>
      </c>
      <c r="H4387" t="s">
        <v>9127</v>
      </c>
      <c r="I4387" t="s">
        <v>17612</v>
      </c>
      <c r="J4387" t="s">
        <v>8001</v>
      </c>
    </row>
    <row r="4388" spans="1:10" x14ac:dyDescent="0.25">
      <c r="A4388" t="s">
        <v>17618</v>
      </c>
      <c r="B4388">
        <v>12.592000000000001</v>
      </c>
      <c r="C4388" t="s">
        <v>17619</v>
      </c>
      <c r="D4388" t="s">
        <v>124</v>
      </c>
      <c r="E4388" t="s">
        <v>17610</v>
      </c>
      <c r="F4388" t="s">
        <v>7672</v>
      </c>
      <c r="G4388" t="s">
        <v>17611</v>
      </c>
      <c r="H4388" t="s">
        <v>9127</v>
      </c>
      <c r="I4388" t="s">
        <v>17615</v>
      </c>
      <c r="J4388" t="s">
        <v>8013</v>
      </c>
    </row>
    <row r="4389" spans="1:10" x14ac:dyDescent="0.25">
      <c r="A4389" t="s">
        <v>17620</v>
      </c>
      <c r="B4389">
        <v>12.592000000000001</v>
      </c>
      <c r="C4389" t="s">
        <v>17621</v>
      </c>
      <c r="D4389" t="s">
        <v>1852</v>
      </c>
      <c r="E4389" t="s">
        <v>17610</v>
      </c>
      <c r="F4389" t="s">
        <v>7672</v>
      </c>
      <c r="G4389" t="s">
        <v>17611</v>
      </c>
      <c r="H4389" t="s">
        <v>9127</v>
      </c>
      <c r="I4389" t="s">
        <v>17612</v>
      </c>
      <c r="J4389" t="s">
        <v>8013</v>
      </c>
    </row>
    <row r="4390" spans="1:10" x14ac:dyDescent="0.25">
      <c r="A4390" t="s">
        <v>17622</v>
      </c>
      <c r="B4390">
        <v>4.8000000000000007</v>
      </c>
      <c r="C4390" t="s">
        <v>17623</v>
      </c>
      <c r="D4390" t="s">
        <v>6480</v>
      </c>
      <c r="E4390" t="s">
        <v>17624</v>
      </c>
      <c r="F4390" t="s">
        <v>7672</v>
      </c>
      <c r="G4390" t="s">
        <v>17625</v>
      </c>
      <c r="H4390" t="s">
        <v>7674</v>
      </c>
      <c r="I4390" t="s">
        <v>17626</v>
      </c>
      <c r="J4390" t="s">
        <v>8883</v>
      </c>
    </row>
    <row r="4391" spans="1:10" x14ac:dyDescent="0.25">
      <c r="A4391" t="s">
        <v>17627</v>
      </c>
      <c r="B4391">
        <v>4.8000000000000007</v>
      </c>
      <c r="C4391" t="s">
        <v>17628</v>
      </c>
      <c r="D4391" t="s">
        <v>12964</v>
      </c>
      <c r="E4391" t="s">
        <v>17624</v>
      </c>
      <c r="F4391" t="s">
        <v>7672</v>
      </c>
      <c r="G4391" t="s">
        <v>17625</v>
      </c>
      <c r="H4391" t="s">
        <v>7674</v>
      </c>
      <c r="I4391" t="s">
        <v>17629</v>
      </c>
      <c r="J4391" t="s">
        <v>10908</v>
      </c>
    </row>
    <row r="4392" spans="1:10" x14ac:dyDescent="0.25">
      <c r="A4392" t="s">
        <v>17630</v>
      </c>
      <c r="B4392">
        <v>4.8000000000000007</v>
      </c>
      <c r="C4392" t="s">
        <v>17631</v>
      </c>
      <c r="D4392" t="s">
        <v>7882</v>
      </c>
      <c r="E4392" t="s">
        <v>17624</v>
      </c>
      <c r="F4392" t="s">
        <v>7672</v>
      </c>
      <c r="G4392" t="s">
        <v>17625</v>
      </c>
      <c r="H4392" t="s">
        <v>7674</v>
      </c>
      <c r="I4392" t="s">
        <v>17632</v>
      </c>
      <c r="J4392" t="s">
        <v>10908</v>
      </c>
    </row>
    <row r="4393" spans="1:10" x14ac:dyDescent="0.25">
      <c r="A4393" t="s">
        <v>17633</v>
      </c>
      <c r="B4393">
        <v>4.8000000000000007</v>
      </c>
      <c r="C4393" t="s">
        <v>17634</v>
      </c>
      <c r="D4393" t="s">
        <v>17635</v>
      </c>
      <c r="E4393" t="s">
        <v>17624</v>
      </c>
      <c r="F4393" t="s">
        <v>7672</v>
      </c>
      <c r="G4393" t="s">
        <v>17625</v>
      </c>
      <c r="H4393" t="s">
        <v>7674</v>
      </c>
      <c r="I4393" t="s">
        <v>17636</v>
      </c>
      <c r="J4393" t="s">
        <v>10908</v>
      </c>
    </row>
    <row r="4394" spans="1:10" x14ac:dyDescent="0.25">
      <c r="A4394" t="s">
        <v>17637</v>
      </c>
      <c r="B4394">
        <v>4.8000000000000007</v>
      </c>
      <c r="C4394" t="s">
        <v>17638</v>
      </c>
      <c r="D4394" t="s">
        <v>16128</v>
      </c>
      <c r="E4394" t="s">
        <v>17624</v>
      </c>
      <c r="F4394" t="s">
        <v>7672</v>
      </c>
      <c r="G4394" t="s">
        <v>17625</v>
      </c>
      <c r="H4394" t="s">
        <v>7674</v>
      </c>
      <c r="I4394" t="s">
        <v>17626</v>
      </c>
      <c r="J4394" t="s">
        <v>10908</v>
      </c>
    </row>
    <row r="4395" spans="1:10" x14ac:dyDescent="0.25">
      <c r="A4395" t="s">
        <v>17639</v>
      </c>
      <c r="B4395">
        <v>4.8000000000000007</v>
      </c>
      <c r="C4395" t="s">
        <v>17640</v>
      </c>
      <c r="D4395" t="s">
        <v>9503</v>
      </c>
      <c r="E4395" t="s">
        <v>17624</v>
      </c>
      <c r="F4395" t="s">
        <v>7672</v>
      </c>
      <c r="G4395" t="s">
        <v>17625</v>
      </c>
      <c r="H4395" t="s">
        <v>7674</v>
      </c>
      <c r="I4395" t="s">
        <v>17632</v>
      </c>
      <c r="J4395" t="s">
        <v>8885</v>
      </c>
    </row>
    <row r="4396" spans="1:10" x14ac:dyDescent="0.25">
      <c r="A4396" t="s">
        <v>17641</v>
      </c>
      <c r="B4396">
        <v>4.8000000000000007</v>
      </c>
      <c r="C4396" t="s">
        <v>17642</v>
      </c>
      <c r="D4396" t="s">
        <v>9312</v>
      </c>
      <c r="E4396" t="s">
        <v>17624</v>
      </c>
      <c r="F4396" t="s">
        <v>7672</v>
      </c>
      <c r="G4396" t="s">
        <v>17625</v>
      </c>
      <c r="H4396" t="s">
        <v>7674</v>
      </c>
      <c r="I4396" t="s">
        <v>17629</v>
      </c>
      <c r="J4396" t="s">
        <v>8885</v>
      </c>
    </row>
    <row r="4397" spans="1:10" x14ac:dyDescent="0.25">
      <c r="A4397" t="s">
        <v>17643</v>
      </c>
      <c r="B4397">
        <v>4.8000000000000007</v>
      </c>
      <c r="C4397" t="s">
        <v>17644</v>
      </c>
      <c r="D4397" t="s">
        <v>11687</v>
      </c>
      <c r="E4397" t="s">
        <v>17624</v>
      </c>
      <c r="F4397" t="s">
        <v>7672</v>
      </c>
      <c r="G4397" t="s">
        <v>17625</v>
      </c>
      <c r="H4397" t="s">
        <v>7674</v>
      </c>
      <c r="I4397" t="s">
        <v>17636</v>
      </c>
      <c r="J4397" t="s">
        <v>8885</v>
      </c>
    </row>
    <row r="4398" spans="1:10" x14ac:dyDescent="0.25">
      <c r="A4398" t="s">
        <v>17645</v>
      </c>
      <c r="B4398">
        <v>4.8000000000000007</v>
      </c>
      <c r="C4398" t="s">
        <v>17646</v>
      </c>
      <c r="D4398" t="s">
        <v>8385</v>
      </c>
      <c r="E4398" t="s">
        <v>17624</v>
      </c>
      <c r="F4398" t="s">
        <v>7672</v>
      </c>
      <c r="G4398" t="s">
        <v>17625</v>
      </c>
      <c r="H4398" t="s">
        <v>7674</v>
      </c>
      <c r="I4398" t="s">
        <v>17626</v>
      </c>
      <c r="J4398" t="s">
        <v>8885</v>
      </c>
    </row>
    <row r="4399" spans="1:10" x14ac:dyDescent="0.25">
      <c r="A4399" t="s">
        <v>17647</v>
      </c>
      <c r="B4399">
        <v>4.8000000000000007</v>
      </c>
      <c r="C4399" t="s">
        <v>17648</v>
      </c>
      <c r="D4399" t="s">
        <v>245</v>
      </c>
      <c r="E4399" t="s">
        <v>17624</v>
      </c>
      <c r="F4399" t="s">
        <v>7672</v>
      </c>
      <c r="G4399" t="s">
        <v>17625</v>
      </c>
      <c r="H4399" t="s">
        <v>7674</v>
      </c>
      <c r="I4399" t="s">
        <v>17629</v>
      </c>
      <c r="J4399" t="s">
        <v>10926</v>
      </c>
    </row>
    <row r="4400" spans="1:10" x14ac:dyDescent="0.25">
      <c r="A4400" t="s">
        <v>17649</v>
      </c>
      <c r="B4400">
        <v>4.8000000000000007</v>
      </c>
      <c r="C4400" t="s">
        <v>17650</v>
      </c>
      <c r="D4400" t="s">
        <v>2253</v>
      </c>
      <c r="E4400" t="s">
        <v>17624</v>
      </c>
      <c r="F4400" t="s">
        <v>7672</v>
      </c>
      <c r="G4400" t="s">
        <v>17625</v>
      </c>
      <c r="H4400" t="s">
        <v>7674</v>
      </c>
      <c r="I4400" t="s">
        <v>17632</v>
      </c>
      <c r="J4400" t="s">
        <v>10926</v>
      </c>
    </row>
    <row r="4401" spans="1:10" x14ac:dyDescent="0.25">
      <c r="A4401" t="s">
        <v>17651</v>
      </c>
      <c r="B4401">
        <v>4.8000000000000007</v>
      </c>
      <c r="C4401" t="s">
        <v>17652</v>
      </c>
      <c r="D4401" t="s">
        <v>1703</v>
      </c>
      <c r="E4401" t="s">
        <v>17624</v>
      </c>
      <c r="F4401" t="s">
        <v>7672</v>
      </c>
      <c r="G4401" t="s">
        <v>17625</v>
      </c>
      <c r="H4401" t="s">
        <v>7674</v>
      </c>
      <c r="I4401" t="s">
        <v>17636</v>
      </c>
      <c r="J4401" t="s">
        <v>10926</v>
      </c>
    </row>
    <row r="4402" spans="1:10" x14ac:dyDescent="0.25">
      <c r="A4402" t="s">
        <v>17653</v>
      </c>
      <c r="B4402">
        <v>4.8000000000000007</v>
      </c>
      <c r="C4402" t="s">
        <v>17654</v>
      </c>
      <c r="D4402" t="s">
        <v>13321</v>
      </c>
      <c r="E4402" t="s">
        <v>17624</v>
      </c>
      <c r="F4402" t="s">
        <v>7672</v>
      </c>
      <c r="G4402" t="s">
        <v>17625</v>
      </c>
      <c r="H4402" t="s">
        <v>7674</v>
      </c>
      <c r="I4402" t="s">
        <v>17626</v>
      </c>
      <c r="J4402" t="s">
        <v>10926</v>
      </c>
    </row>
    <row r="4403" spans="1:10" x14ac:dyDescent="0.25">
      <c r="A4403" t="s">
        <v>17655</v>
      </c>
      <c r="B4403">
        <v>4.8000000000000007</v>
      </c>
      <c r="C4403" t="s">
        <v>17656</v>
      </c>
      <c r="D4403" t="s">
        <v>11272</v>
      </c>
      <c r="E4403" t="s">
        <v>17624</v>
      </c>
      <c r="F4403" t="s">
        <v>7672</v>
      </c>
      <c r="G4403" t="s">
        <v>17625</v>
      </c>
      <c r="H4403" t="s">
        <v>7674</v>
      </c>
      <c r="I4403" t="s">
        <v>17629</v>
      </c>
      <c r="J4403" t="s">
        <v>10918</v>
      </c>
    </row>
    <row r="4404" spans="1:10" x14ac:dyDescent="0.25">
      <c r="A4404" t="s">
        <v>17657</v>
      </c>
      <c r="B4404">
        <v>4.8000000000000007</v>
      </c>
      <c r="C4404" t="s">
        <v>17658</v>
      </c>
      <c r="D4404" t="s">
        <v>12553</v>
      </c>
      <c r="E4404" t="s">
        <v>17624</v>
      </c>
      <c r="F4404" t="s">
        <v>7672</v>
      </c>
      <c r="G4404" t="s">
        <v>17625</v>
      </c>
      <c r="H4404" t="s">
        <v>7674</v>
      </c>
      <c r="I4404" t="s">
        <v>17632</v>
      </c>
      <c r="J4404" t="s">
        <v>10918</v>
      </c>
    </row>
    <row r="4405" spans="1:10" x14ac:dyDescent="0.25">
      <c r="A4405" t="s">
        <v>17659</v>
      </c>
      <c r="B4405">
        <v>4.8000000000000007</v>
      </c>
      <c r="C4405" t="s">
        <v>17660</v>
      </c>
      <c r="D4405" t="s">
        <v>17661</v>
      </c>
      <c r="E4405" t="s">
        <v>17624</v>
      </c>
      <c r="F4405" t="s">
        <v>7672</v>
      </c>
      <c r="G4405" t="s">
        <v>17625</v>
      </c>
      <c r="H4405" t="s">
        <v>7674</v>
      </c>
      <c r="I4405" t="s">
        <v>17636</v>
      </c>
      <c r="J4405" t="s">
        <v>10918</v>
      </c>
    </row>
    <row r="4406" spans="1:10" x14ac:dyDescent="0.25">
      <c r="A4406" t="s">
        <v>17662</v>
      </c>
      <c r="B4406">
        <v>4.8000000000000007</v>
      </c>
      <c r="C4406" t="s">
        <v>17663</v>
      </c>
      <c r="D4406" t="s">
        <v>17664</v>
      </c>
      <c r="E4406" t="s">
        <v>17624</v>
      </c>
      <c r="F4406" t="s">
        <v>7672</v>
      </c>
      <c r="G4406" t="s">
        <v>17625</v>
      </c>
      <c r="H4406" t="s">
        <v>7674</v>
      </c>
      <c r="I4406" t="s">
        <v>17626</v>
      </c>
      <c r="J4406" t="s">
        <v>10918</v>
      </c>
    </row>
    <row r="4407" spans="1:10" x14ac:dyDescent="0.25">
      <c r="A4407" t="s">
        <v>17665</v>
      </c>
      <c r="B4407">
        <v>4.8000000000000007</v>
      </c>
      <c r="C4407" t="s">
        <v>17666</v>
      </c>
      <c r="D4407" t="s">
        <v>2317</v>
      </c>
      <c r="E4407" t="s">
        <v>17624</v>
      </c>
      <c r="F4407" t="s">
        <v>7672</v>
      </c>
      <c r="G4407" t="s">
        <v>17625</v>
      </c>
      <c r="H4407" t="s">
        <v>7674</v>
      </c>
      <c r="I4407" t="s">
        <v>17629</v>
      </c>
      <c r="J4407" t="s">
        <v>9061</v>
      </c>
    </row>
    <row r="4408" spans="1:10" x14ac:dyDescent="0.25">
      <c r="A4408" t="s">
        <v>17667</v>
      </c>
      <c r="B4408">
        <v>4.8000000000000007</v>
      </c>
      <c r="C4408" t="s">
        <v>17668</v>
      </c>
      <c r="D4408" t="s">
        <v>17669</v>
      </c>
      <c r="E4408" t="s">
        <v>17624</v>
      </c>
      <c r="F4408" t="s">
        <v>7672</v>
      </c>
      <c r="G4408" t="s">
        <v>17625</v>
      </c>
      <c r="H4408" t="s">
        <v>7674</v>
      </c>
      <c r="I4408" t="s">
        <v>17636</v>
      </c>
      <c r="J4408" t="s">
        <v>9061</v>
      </c>
    </row>
    <row r="4409" spans="1:10" x14ac:dyDescent="0.25">
      <c r="A4409" t="s">
        <v>17670</v>
      </c>
      <c r="B4409">
        <v>4.8000000000000007</v>
      </c>
      <c r="C4409" t="s">
        <v>17671</v>
      </c>
      <c r="D4409" t="s">
        <v>16142</v>
      </c>
      <c r="E4409" t="s">
        <v>17624</v>
      </c>
      <c r="F4409" t="s">
        <v>7672</v>
      </c>
      <c r="G4409" t="s">
        <v>17625</v>
      </c>
      <c r="H4409" t="s">
        <v>7674</v>
      </c>
      <c r="I4409" t="s">
        <v>17626</v>
      </c>
      <c r="J4409" t="s">
        <v>9061</v>
      </c>
    </row>
    <row r="4410" spans="1:10" x14ac:dyDescent="0.25">
      <c r="A4410" t="s">
        <v>17672</v>
      </c>
      <c r="B4410">
        <v>4.8000000000000007</v>
      </c>
      <c r="C4410" t="s">
        <v>17673</v>
      </c>
      <c r="D4410" t="s">
        <v>9800</v>
      </c>
      <c r="E4410" t="s">
        <v>17624</v>
      </c>
      <c r="F4410" t="s">
        <v>7672</v>
      </c>
      <c r="G4410" t="s">
        <v>17625</v>
      </c>
      <c r="H4410" t="s">
        <v>7674</v>
      </c>
      <c r="I4410" t="s">
        <v>17632</v>
      </c>
      <c r="J4410" t="s">
        <v>9061</v>
      </c>
    </row>
    <row r="4411" spans="1:10" x14ac:dyDescent="0.25">
      <c r="A4411" t="s">
        <v>17674</v>
      </c>
      <c r="B4411">
        <v>18</v>
      </c>
      <c r="C4411" t="s">
        <v>17675</v>
      </c>
      <c r="D4411" t="s">
        <v>3640</v>
      </c>
      <c r="E4411" t="s">
        <v>17676</v>
      </c>
      <c r="F4411" t="s">
        <v>7672</v>
      </c>
      <c r="G4411" t="s">
        <v>17677</v>
      </c>
      <c r="H4411" t="s">
        <v>8779</v>
      </c>
      <c r="I4411" t="s">
        <v>17678</v>
      </c>
      <c r="J4411" t="s">
        <v>8796</v>
      </c>
    </row>
    <row r="4412" spans="1:10" x14ac:dyDescent="0.25">
      <c r="A4412" t="s">
        <v>17679</v>
      </c>
      <c r="B4412">
        <v>18</v>
      </c>
      <c r="C4412" t="s">
        <v>17680</v>
      </c>
      <c r="D4412" t="s">
        <v>8888</v>
      </c>
      <c r="E4412" t="s">
        <v>17676</v>
      </c>
      <c r="F4412" t="s">
        <v>7672</v>
      </c>
      <c r="G4412" t="s">
        <v>17677</v>
      </c>
      <c r="H4412" t="s">
        <v>8779</v>
      </c>
      <c r="I4412" t="s">
        <v>76</v>
      </c>
      <c r="J4412" t="s">
        <v>8796</v>
      </c>
    </row>
    <row r="4413" spans="1:10" x14ac:dyDescent="0.25">
      <c r="A4413" t="s">
        <v>17681</v>
      </c>
      <c r="B4413">
        <v>18</v>
      </c>
      <c r="C4413" t="s">
        <v>17682</v>
      </c>
      <c r="D4413" t="s">
        <v>4579</v>
      </c>
      <c r="E4413" t="s">
        <v>17676</v>
      </c>
      <c r="F4413" t="s">
        <v>7672</v>
      </c>
      <c r="G4413" t="s">
        <v>17677</v>
      </c>
      <c r="H4413" t="s">
        <v>8779</v>
      </c>
      <c r="I4413" t="s">
        <v>17683</v>
      </c>
      <c r="J4413" t="s">
        <v>8796</v>
      </c>
    </row>
    <row r="4414" spans="1:10" x14ac:dyDescent="0.25">
      <c r="A4414" t="s">
        <v>17684</v>
      </c>
      <c r="B4414">
        <v>18</v>
      </c>
      <c r="C4414" t="s">
        <v>17685</v>
      </c>
      <c r="D4414" t="s">
        <v>17686</v>
      </c>
      <c r="E4414" t="s">
        <v>17676</v>
      </c>
      <c r="F4414" t="s">
        <v>7672</v>
      </c>
      <c r="G4414" t="s">
        <v>17677</v>
      </c>
      <c r="H4414" t="s">
        <v>8779</v>
      </c>
      <c r="I4414" t="s">
        <v>17678</v>
      </c>
      <c r="J4414" t="s">
        <v>8804</v>
      </c>
    </row>
    <row r="4415" spans="1:10" x14ac:dyDescent="0.25">
      <c r="A4415" t="s">
        <v>17687</v>
      </c>
      <c r="B4415">
        <v>18</v>
      </c>
      <c r="C4415" t="s">
        <v>17688</v>
      </c>
      <c r="D4415" t="s">
        <v>3974</v>
      </c>
      <c r="E4415" t="s">
        <v>17676</v>
      </c>
      <c r="F4415" t="s">
        <v>7672</v>
      </c>
      <c r="G4415" t="s">
        <v>17677</v>
      </c>
      <c r="H4415" t="s">
        <v>8779</v>
      </c>
      <c r="I4415" t="s">
        <v>76</v>
      </c>
      <c r="J4415" t="s">
        <v>8804</v>
      </c>
    </row>
    <row r="4416" spans="1:10" x14ac:dyDescent="0.25">
      <c r="A4416" t="s">
        <v>17689</v>
      </c>
      <c r="B4416">
        <v>18</v>
      </c>
      <c r="C4416" t="s">
        <v>17690</v>
      </c>
      <c r="D4416" t="s">
        <v>8865</v>
      </c>
      <c r="E4416" t="s">
        <v>17676</v>
      </c>
      <c r="F4416" t="s">
        <v>7672</v>
      </c>
      <c r="G4416" t="s">
        <v>17677</v>
      </c>
      <c r="H4416" t="s">
        <v>8779</v>
      </c>
      <c r="I4416" t="s">
        <v>17683</v>
      </c>
      <c r="J4416" t="s">
        <v>8804</v>
      </c>
    </row>
    <row r="4417" spans="1:10" x14ac:dyDescent="0.25">
      <c r="A4417" t="s">
        <v>17691</v>
      </c>
      <c r="B4417">
        <v>18</v>
      </c>
      <c r="C4417" t="s">
        <v>17692</v>
      </c>
      <c r="D4417" t="s">
        <v>17693</v>
      </c>
      <c r="E4417" t="s">
        <v>17676</v>
      </c>
      <c r="F4417" t="s">
        <v>7672</v>
      </c>
      <c r="G4417" t="s">
        <v>17677</v>
      </c>
      <c r="H4417" t="s">
        <v>8779</v>
      </c>
      <c r="I4417" t="s">
        <v>17678</v>
      </c>
      <c r="J4417" t="s">
        <v>8811</v>
      </c>
    </row>
    <row r="4418" spans="1:10" x14ac:dyDescent="0.25">
      <c r="A4418" t="s">
        <v>17694</v>
      </c>
      <c r="B4418">
        <v>18</v>
      </c>
      <c r="C4418" t="s">
        <v>17695</v>
      </c>
      <c r="D4418" t="s">
        <v>5110</v>
      </c>
      <c r="E4418" t="s">
        <v>17676</v>
      </c>
      <c r="F4418" t="s">
        <v>7672</v>
      </c>
      <c r="G4418" t="s">
        <v>17677</v>
      </c>
      <c r="H4418" t="s">
        <v>8779</v>
      </c>
      <c r="I4418" t="s">
        <v>17683</v>
      </c>
      <c r="J4418" t="s">
        <v>8811</v>
      </c>
    </row>
    <row r="4419" spans="1:10" x14ac:dyDescent="0.25">
      <c r="A4419" t="s">
        <v>17696</v>
      </c>
      <c r="B4419">
        <v>18</v>
      </c>
      <c r="C4419" t="s">
        <v>17697</v>
      </c>
      <c r="D4419" t="s">
        <v>40</v>
      </c>
      <c r="E4419" t="s">
        <v>17676</v>
      </c>
      <c r="F4419" t="s">
        <v>7672</v>
      </c>
      <c r="G4419" t="s">
        <v>17677</v>
      </c>
      <c r="H4419" t="s">
        <v>8779</v>
      </c>
      <c r="I4419" t="s">
        <v>76</v>
      </c>
      <c r="J4419" t="s">
        <v>8811</v>
      </c>
    </row>
    <row r="4420" spans="1:10" x14ac:dyDescent="0.25">
      <c r="A4420" t="s">
        <v>17698</v>
      </c>
      <c r="B4420">
        <v>8.32</v>
      </c>
      <c r="C4420" t="s">
        <v>17699</v>
      </c>
      <c r="D4420" t="s">
        <v>3850</v>
      </c>
      <c r="E4420" t="s">
        <v>17700</v>
      </c>
      <c r="F4420" t="s">
        <v>7672</v>
      </c>
      <c r="G4420" t="s">
        <v>17701</v>
      </c>
      <c r="H4420" t="s">
        <v>10368</v>
      </c>
      <c r="I4420" t="s">
        <v>10802</v>
      </c>
      <c r="J4420" t="s">
        <v>11767</v>
      </c>
    </row>
    <row r="4421" spans="1:10" x14ac:dyDescent="0.25">
      <c r="A4421" t="s">
        <v>17702</v>
      </c>
      <c r="B4421">
        <v>8.32</v>
      </c>
      <c r="C4421" t="s">
        <v>17703</v>
      </c>
      <c r="D4421" t="s">
        <v>5119</v>
      </c>
      <c r="E4421" t="s">
        <v>17700</v>
      </c>
      <c r="F4421" t="s">
        <v>7672</v>
      </c>
      <c r="G4421" t="s">
        <v>17701</v>
      </c>
      <c r="H4421" t="s">
        <v>10368</v>
      </c>
      <c r="I4421" t="s">
        <v>10802</v>
      </c>
      <c r="J4421" t="s">
        <v>11582</v>
      </c>
    </row>
    <row r="4422" spans="1:10" x14ac:dyDescent="0.25">
      <c r="A4422" t="s">
        <v>17704</v>
      </c>
      <c r="B4422">
        <v>8.32</v>
      </c>
      <c r="C4422" t="s">
        <v>17705</v>
      </c>
      <c r="D4422" t="s">
        <v>3872</v>
      </c>
      <c r="E4422" t="s">
        <v>17700</v>
      </c>
      <c r="F4422" t="s">
        <v>7672</v>
      </c>
      <c r="G4422" t="s">
        <v>17701</v>
      </c>
      <c r="H4422" t="s">
        <v>10368</v>
      </c>
      <c r="I4422" t="s">
        <v>10802</v>
      </c>
      <c r="J4422" t="s">
        <v>11585</v>
      </c>
    </row>
    <row r="4423" spans="1:10" x14ac:dyDescent="0.25">
      <c r="A4423" t="s">
        <v>17706</v>
      </c>
      <c r="B4423">
        <v>8.32</v>
      </c>
      <c r="C4423" t="s">
        <v>17707</v>
      </c>
      <c r="D4423" t="s">
        <v>17708</v>
      </c>
      <c r="E4423" t="s">
        <v>17700</v>
      </c>
      <c r="F4423" t="s">
        <v>7672</v>
      </c>
      <c r="G4423" t="s">
        <v>17701</v>
      </c>
      <c r="H4423" t="s">
        <v>10368</v>
      </c>
      <c r="I4423" t="s">
        <v>10802</v>
      </c>
      <c r="J4423" t="s">
        <v>10369</v>
      </c>
    </row>
    <row r="4424" spans="1:10" x14ac:dyDescent="0.25">
      <c r="A4424" t="s">
        <v>17709</v>
      </c>
      <c r="B4424">
        <v>8.32</v>
      </c>
      <c r="C4424" t="s">
        <v>17710</v>
      </c>
      <c r="D4424" t="s">
        <v>17711</v>
      </c>
      <c r="E4424" t="s">
        <v>17700</v>
      </c>
      <c r="F4424" t="s">
        <v>7672</v>
      </c>
      <c r="G4424" t="s">
        <v>17701</v>
      </c>
      <c r="H4424" t="s">
        <v>10368</v>
      </c>
      <c r="I4424" t="s">
        <v>10802</v>
      </c>
      <c r="J4424" t="s">
        <v>11590</v>
      </c>
    </row>
    <row r="4425" spans="1:10" x14ac:dyDescent="0.25">
      <c r="A4425" t="s">
        <v>17712</v>
      </c>
      <c r="B4425">
        <v>8.32</v>
      </c>
      <c r="C4425" t="s">
        <v>17713</v>
      </c>
      <c r="D4425" t="s">
        <v>10015</v>
      </c>
      <c r="E4425" t="s">
        <v>17700</v>
      </c>
      <c r="F4425" t="s">
        <v>7672</v>
      </c>
      <c r="G4425" t="s">
        <v>17701</v>
      </c>
      <c r="H4425" t="s">
        <v>10368</v>
      </c>
      <c r="I4425" t="s">
        <v>10802</v>
      </c>
      <c r="J4425" t="s">
        <v>11593</v>
      </c>
    </row>
    <row r="4426" spans="1:10" x14ac:dyDescent="0.25">
      <c r="A4426" t="s">
        <v>17714</v>
      </c>
      <c r="B4426">
        <v>4.1920000000000002</v>
      </c>
      <c r="C4426" t="s">
        <v>17715</v>
      </c>
      <c r="D4426" t="s">
        <v>964</v>
      </c>
      <c r="E4426" t="s">
        <v>17716</v>
      </c>
      <c r="F4426" t="s">
        <v>7672</v>
      </c>
      <c r="G4426" t="s">
        <v>17717</v>
      </c>
      <c r="H4426" t="s">
        <v>7974</v>
      </c>
      <c r="I4426" t="s">
        <v>17718</v>
      </c>
      <c r="J4426" t="s">
        <v>9237</v>
      </c>
    </row>
    <row r="4427" spans="1:10" x14ac:dyDescent="0.25">
      <c r="A4427" t="s">
        <v>17719</v>
      </c>
      <c r="B4427">
        <v>4.1920000000000002</v>
      </c>
      <c r="C4427" t="s">
        <v>17720</v>
      </c>
      <c r="D4427" t="s">
        <v>118</v>
      </c>
      <c r="E4427" t="s">
        <v>17716</v>
      </c>
      <c r="F4427" t="s">
        <v>7672</v>
      </c>
      <c r="G4427" t="s">
        <v>17717</v>
      </c>
      <c r="H4427" t="s">
        <v>7974</v>
      </c>
      <c r="I4427" t="s">
        <v>17721</v>
      </c>
      <c r="J4427" t="s">
        <v>9237</v>
      </c>
    </row>
    <row r="4428" spans="1:10" x14ac:dyDescent="0.25">
      <c r="A4428" t="s">
        <v>17722</v>
      </c>
      <c r="B4428">
        <v>4.1920000000000002</v>
      </c>
      <c r="C4428" t="s">
        <v>17723</v>
      </c>
      <c r="D4428" t="s">
        <v>613</v>
      </c>
      <c r="E4428" t="s">
        <v>17716</v>
      </c>
      <c r="F4428" t="s">
        <v>7672</v>
      </c>
      <c r="G4428" t="s">
        <v>17717</v>
      </c>
      <c r="H4428" t="s">
        <v>7974</v>
      </c>
      <c r="I4428" t="s">
        <v>17724</v>
      </c>
      <c r="J4428" t="s">
        <v>9237</v>
      </c>
    </row>
    <row r="4429" spans="1:10" x14ac:dyDescent="0.25">
      <c r="A4429" t="s">
        <v>17725</v>
      </c>
      <c r="B4429">
        <v>4.1920000000000002</v>
      </c>
      <c r="C4429" t="s">
        <v>17726</v>
      </c>
      <c r="D4429" t="s">
        <v>100</v>
      </c>
      <c r="E4429" t="s">
        <v>17716</v>
      </c>
      <c r="F4429" t="s">
        <v>7672</v>
      </c>
      <c r="G4429" t="s">
        <v>17717</v>
      </c>
      <c r="H4429" t="s">
        <v>7974</v>
      </c>
      <c r="I4429" t="s">
        <v>17727</v>
      </c>
      <c r="J4429" t="s">
        <v>9237</v>
      </c>
    </row>
    <row r="4430" spans="1:10" x14ac:dyDescent="0.25">
      <c r="A4430" t="s">
        <v>17728</v>
      </c>
      <c r="B4430">
        <v>4.1920000000000002</v>
      </c>
      <c r="C4430" t="s">
        <v>17729</v>
      </c>
      <c r="D4430" t="s">
        <v>385</v>
      </c>
      <c r="E4430" t="s">
        <v>17716</v>
      </c>
      <c r="F4430" t="s">
        <v>7672</v>
      </c>
      <c r="G4430" t="s">
        <v>17717</v>
      </c>
      <c r="H4430" t="s">
        <v>7974</v>
      </c>
      <c r="I4430" t="s">
        <v>17721</v>
      </c>
      <c r="J4430" t="s">
        <v>9998</v>
      </c>
    </row>
    <row r="4431" spans="1:10" x14ac:dyDescent="0.25">
      <c r="A4431" t="s">
        <v>17730</v>
      </c>
      <c r="B4431">
        <v>4.1920000000000002</v>
      </c>
      <c r="C4431" t="s">
        <v>17731</v>
      </c>
      <c r="D4431" t="s">
        <v>1097</v>
      </c>
      <c r="E4431" t="s">
        <v>17716</v>
      </c>
      <c r="F4431" t="s">
        <v>7672</v>
      </c>
      <c r="G4431" t="s">
        <v>17717</v>
      </c>
      <c r="H4431" t="s">
        <v>7974</v>
      </c>
      <c r="I4431" t="s">
        <v>17724</v>
      </c>
      <c r="J4431" t="s">
        <v>9998</v>
      </c>
    </row>
    <row r="4432" spans="1:10" x14ac:dyDescent="0.25">
      <c r="A4432" t="s">
        <v>17732</v>
      </c>
      <c r="B4432">
        <v>4.1920000000000002</v>
      </c>
      <c r="C4432" t="s">
        <v>17733</v>
      </c>
      <c r="D4432" t="s">
        <v>436</v>
      </c>
      <c r="E4432" t="s">
        <v>17716</v>
      </c>
      <c r="F4432" t="s">
        <v>7672</v>
      </c>
      <c r="G4432" t="s">
        <v>17717</v>
      </c>
      <c r="H4432" t="s">
        <v>7974</v>
      </c>
      <c r="I4432" t="s">
        <v>17727</v>
      </c>
      <c r="J4432" t="s">
        <v>9998</v>
      </c>
    </row>
    <row r="4433" spans="1:10" x14ac:dyDescent="0.25">
      <c r="A4433" t="s">
        <v>17734</v>
      </c>
      <c r="B4433">
        <v>4.1920000000000002</v>
      </c>
      <c r="C4433" t="s">
        <v>17735</v>
      </c>
      <c r="D4433" t="s">
        <v>849</v>
      </c>
      <c r="E4433" t="s">
        <v>17716</v>
      </c>
      <c r="F4433" t="s">
        <v>7672</v>
      </c>
      <c r="G4433" t="s">
        <v>17717</v>
      </c>
      <c r="H4433" t="s">
        <v>7974</v>
      </c>
      <c r="I4433" t="s">
        <v>17718</v>
      </c>
      <c r="J4433" t="s">
        <v>9998</v>
      </c>
    </row>
    <row r="4434" spans="1:10" x14ac:dyDescent="0.25">
      <c r="A4434" t="s">
        <v>17736</v>
      </c>
      <c r="B4434">
        <v>4.1920000000000002</v>
      </c>
      <c r="C4434" t="s">
        <v>17737</v>
      </c>
      <c r="D4434" t="s">
        <v>229</v>
      </c>
      <c r="E4434" t="s">
        <v>17716</v>
      </c>
      <c r="F4434" t="s">
        <v>7672</v>
      </c>
      <c r="G4434" t="s">
        <v>17717</v>
      </c>
      <c r="H4434" t="s">
        <v>7974</v>
      </c>
      <c r="I4434" t="s">
        <v>935</v>
      </c>
      <c r="J4434" t="s">
        <v>9998</v>
      </c>
    </row>
    <row r="4435" spans="1:10" x14ac:dyDescent="0.25">
      <c r="A4435" t="s">
        <v>17738</v>
      </c>
      <c r="B4435">
        <v>4.1920000000000002</v>
      </c>
      <c r="C4435" t="s">
        <v>17739</v>
      </c>
      <c r="D4435" t="s">
        <v>849</v>
      </c>
      <c r="E4435" t="s">
        <v>17716</v>
      </c>
      <c r="F4435" t="s">
        <v>7672</v>
      </c>
      <c r="G4435" t="s">
        <v>17717</v>
      </c>
      <c r="H4435" t="s">
        <v>7974</v>
      </c>
      <c r="I4435" t="s">
        <v>17740</v>
      </c>
      <c r="J4435" t="s">
        <v>9998</v>
      </c>
    </row>
    <row r="4436" spans="1:10" x14ac:dyDescent="0.25">
      <c r="A4436" t="s">
        <v>17741</v>
      </c>
      <c r="B4436">
        <v>12.8</v>
      </c>
      <c r="C4436" t="s">
        <v>17742</v>
      </c>
      <c r="D4436" t="s">
        <v>88</v>
      </c>
      <c r="E4436" t="s">
        <v>17743</v>
      </c>
      <c r="F4436" t="s">
        <v>7672</v>
      </c>
      <c r="G4436" t="s">
        <v>17744</v>
      </c>
      <c r="H4436" t="s">
        <v>10368</v>
      </c>
      <c r="I4436" t="s">
        <v>1490</v>
      </c>
      <c r="J4436" t="s">
        <v>255</v>
      </c>
    </row>
    <row r="4437" spans="1:10" x14ac:dyDescent="0.25">
      <c r="A4437" t="s">
        <v>17745</v>
      </c>
      <c r="B4437">
        <v>12.8</v>
      </c>
      <c r="C4437" t="s">
        <v>17746</v>
      </c>
      <c r="D4437" t="s">
        <v>296</v>
      </c>
      <c r="E4437" t="s">
        <v>17743</v>
      </c>
      <c r="F4437" t="s">
        <v>7672</v>
      </c>
      <c r="G4437" t="s">
        <v>17744</v>
      </c>
      <c r="H4437" t="s">
        <v>10368</v>
      </c>
      <c r="I4437" t="s">
        <v>1490</v>
      </c>
      <c r="J4437" t="s">
        <v>277</v>
      </c>
    </row>
    <row r="4438" spans="1:10" x14ac:dyDescent="0.25">
      <c r="A4438" t="s">
        <v>17747</v>
      </c>
      <c r="B4438">
        <v>12.8</v>
      </c>
      <c r="C4438" t="s">
        <v>17748</v>
      </c>
      <c r="D4438" t="s">
        <v>742</v>
      </c>
      <c r="E4438" t="s">
        <v>17743</v>
      </c>
      <c r="F4438" t="s">
        <v>7672</v>
      </c>
      <c r="G4438" t="s">
        <v>17744</v>
      </c>
      <c r="H4438" t="s">
        <v>10368</v>
      </c>
      <c r="I4438" t="s">
        <v>1490</v>
      </c>
      <c r="J4438" t="s">
        <v>164</v>
      </c>
    </row>
    <row r="4439" spans="1:10" x14ac:dyDescent="0.25">
      <c r="A4439" t="s">
        <v>17749</v>
      </c>
      <c r="B4439">
        <v>12.8</v>
      </c>
      <c r="C4439" t="s">
        <v>17750</v>
      </c>
      <c r="D4439" t="s">
        <v>2879</v>
      </c>
      <c r="E4439" t="s">
        <v>17743</v>
      </c>
      <c r="F4439" t="s">
        <v>7672</v>
      </c>
      <c r="G4439" t="s">
        <v>17744</v>
      </c>
      <c r="H4439" t="s">
        <v>10368</v>
      </c>
      <c r="I4439" t="s">
        <v>1490</v>
      </c>
      <c r="J4439" t="s">
        <v>290</v>
      </c>
    </row>
    <row r="4440" spans="1:10" x14ac:dyDescent="0.25">
      <c r="A4440" t="s">
        <v>17751</v>
      </c>
      <c r="B4440">
        <v>6.4</v>
      </c>
      <c r="C4440" t="s">
        <v>17752</v>
      </c>
      <c r="D4440" t="s">
        <v>959</v>
      </c>
      <c r="E4440" t="s">
        <v>17753</v>
      </c>
      <c r="F4440" t="s">
        <v>7672</v>
      </c>
      <c r="G4440" t="s">
        <v>17754</v>
      </c>
      <c r="H4440" t="s">
        <v>11496</v>
      </c>
      <c r="I4440" t="s">
        <v>17755</v>
      </c>
      <c r="J4440" t="s">
        <v>11582</v>
      </c>
    </row>
    <row r="4441" spans="1:10" x14ac:dyDescent="0.25">
      <c r="A4441" t="s">
        <v>17756</v>
      </c>
      <c r="B4441">
        <v>6.4</v>
      </c>
      <c r="C4441" t="s">
        <v>17757</v>
      </c>
      <c r="D4441" t="s">
        <v>131</v>
      </c>
      <c r="E4441" t="s">
        <v>17753</v>
      </c>
      <c r="F4441" t="s">
        <v>7672</v>
      </c>
      <c r="G4441" t="s">
        <v>17754</v>
      </c>
      <c r="H4441" t="s">
        <v>11496</v>
      </c>
      <c r="I4441" t="s">
        <v>17755</v>
      </c>
      <c r="J4441" t="s">
        <v>11585</v>
      </c>
    </row>
    <row r="4442" spans="1:10" x14ac:dyDescent="0.25">
      <c r="A4442" t="s">
        <v>17758</v>
      </c>
      <c r="B4442">
        <v>6.8000000000000007</v>
      </c>
      <c r="C4442" t="s">
        <v>17759</v>
      </c>
      <c r="D4442" t="s">
        <v>385</v>
      </c>
      <c r="E4442" t="s">
        <v>17760</v>
      </c>
      <c r="F4442" t="s">
        <v>7672</v>
      </c>
      <c r="G4442" t="s">
        <v>17761</v>
      </c>
      <c r="H4442" t="s">
        <v>11496</v>
      </c>
      <c r="I4442" t="s">
        <v>145</v>
      </c>
      <c r="J4442" t="s">
        <v>11767</v>
      </c>
    </row>
    <row r="4443" spans="1:10" x14ac:dyDescent="0.25">
      <c r="A4443" t="s">
        <v>17762</v>
      </c>
      <c r="B4443">
        <v>16.792000000000002</v>
      </c>
      <c r="C4443" t="s">
        <v>17763</v>
      </c>
      <c r="D4443" t="s">
        <v>835</v>
      </c>
      <c r="E4443" t="s">
        <v>4225</v>
      </c>
      <c r="F4443" t="s">
        <v>7672</v>
      </c>
      <c r="G4443" t="s">
        <v>17764</v>
      </c>
      <c r="H4443" t="s">
        <v>12137</v>
      </c>
      <c r="I4443" t="s">
        <v>76</v>
      </c>
      <c r="J4443" t="s">
        <v>131</v>
      </c>
    </row>
    <row r="4444" spans="1:10" x14ac:dyDescent="0.25">
      <c r="A4444" t="s">
        <v>4222</v>
      </c>
      <c r="B4444">
        <v>13.992000000000001</v>
      </c>
      <c r="C4444" t="s">
        <v>4224</v>
      </c>
      <c r="D4444" t="s">
        <v>4227</v>
      </c>
      <c r="E4444" t="s">
        <v>4225</v>
      </c>
      <c r="F4444" t="s">
        <v>7672</v>
      </c>
      <c r="G4444" t="s">
        <v>17764</v>
      </c>
      <c r="H4444" t="s">
        <v>12137</v>
      </c>
      <c r="I4444" t="s">
        <v>76</v>
      </c>
      <c r="J4444" t="s">
        <v>17765</v>
      </c>
    </row>
    <row r="4445" spans="1:10" x14ac:dyDescent="0.25">
      <c r="A4445" t="s">
        <v>17766</v>
      </c>
      <c r="B4445">
        <v>13.992000000000001</v>
      </c>
      <c r="C4445" t="s">
        <v>17767</v>
      </c>
      <c r="D4445" t="s">
        <v>6804</v>
      </c>
      <c r="E4445" t="s">
        <v>4225</v>
      </c>
      <c r="F4445" t="s">
        <v>7672</v>
      </c>
      <c r="G4445" t="s">
        <v>17764</v>
      </c>
      <c r="H4445" t="s">
        <v>12137</v>
      </c>
      <c r="I4445" t="s">
        <v>76</v>
      </c>
      <c r="J4445" t="s">
        <v>17768</v>
      </c>
    </row>
    <row r="4446" spans="1:10" x14ac:dyDescent="0.25">
      <c r="A4446" t="s">
        <v>17769</v>
      </c>
      <c r="B4446">
        <v>13.992000000000001</v>
      </c>
      <c r="C4446" t="s">
        <v>17770</v>
      </c>
      <c r="D4446" t="s">
        <v>1596</v>
      </c>
      <c r="E4446" t="s">
        <v>4225</v>
      </c>
      <c r="F4446" t="s">
        <v>7672</v>
      </c>
      <c r="G4446" t="s">
        <v>17764</v>
      </c>
      <c r="H4446" t="s">
        <v>12137</v>
      </c>
      <c r="I4446" t="s">
        <v>76</v>
      </c>
      <c r="J4446" t="s">
        <v>17771</v>
      </c>
    </row>
    <row r="4447" spans="1:10" x14ac:dyDescent="0.25">
      <c r="A4447" t="s">
        <v>17772</v>
      </c>
      <c r="B4447">
        <v>13.992000000000001</v>
      </c>
      <c r="C4447" t="s">
        <v>17773</v>
      </c>
      <c r="D4447" t="s">
        <v>3832</v>
      </c>
      <c r="E4447" t="s">
        <v>4225</v>
      </c>
      <c r="F4447" t="s">
        <v>7672</v>
      </c>
      <c r="G4447" t="s">
        <v>17764</v>
      </c>
      <c r="H4447" t="s">
        <v>12137</v>
      </c>
      <c r="I4447" t="s">
        <v>76</v>
      </c>
      <c r="J4447" t="s">
        <v>17774</v>
      </c>
    </row>
    <row r="4448" spans="1:10" x14ac:dyDescent="0.25">
      <c r="A4448" t="s">
        <v>17775</v>
      </c>
      <c r="B4448">
        <v>11.2</v>
      </c>
      <c r="C4448" t="s">
        <v>17776</v>
      </c>
      <c r="D4448" t="s">
        <v>88</v>
      </c>
      <c r="E4448" t="s">
        <v>17777</v>
      </c>
      <c r="F4448" t="s">
        <v>7672</v>
      </c>
      <c r="G4448" t="s">
        <v>17778</v>
      </c>
      <c r="H4448" t="s">
        <v>15474</v>
      </c>
      <c r="I4448" t="s">
        <v>76</v>
      </c>
      <c r="J4448" t="s">
        <v>15482</v>
      </c>
    </row>
    <row r="4449" spans="1:10" x14ac:dyDescent="0.25">
      <c r="A4449" t="s">
        <v>17779</v>
      </c>
      <c r="B4449">
        <v>8.8400000000000016</v>
      </c>
      <c r="C4449" t="s">
        <v>17780</v>
      </c>
      <c r="D4449" t="s">
        <v>4109</v>
      </c>
      <c r="E4449" t="s">
        <v>17781</v>
      </c>
      <c r="F4449" t="s">
        <v>7672</v>
      </c>
      <c r="G4449" t="s">
        <v>17782</v>
      </c>
      <c r="H4449" t="s">
        <v>8081</v>
      </c>
      <c r="I4449" t="s">
        <v>14532</v>
      </c>
      <c r="J4449" t="s">
        <v>8001</v>
      </c>
    </row>
    <row r="4450" spans="1:10" x14ac:dyDescent="0.25">
      <c r="A4450" t="s">
        <v>17783</v>
      </c>
      <c r="B4450">
        <v>6.4960000000000004</v>
      </c>
      <c r="C4450" t="s">
        <v>17784</v>
      </c>
      <c r="D4450" t="s">
        <v>8618</v>
      </c>
      <c r="E4450" t="s">
        <v>17785</v>
      </c>
      <c r="F4450" t="s">
        <v>7672</v>
      </c>
      <c r="G4450" t="s">
        <v>17786</v>
      </c>
      <c r="H4450" t="s">
        <v>8027</v>
      </c>
      <c r="I4450" t="s">
        <v>8031</v>
      </c>
      <c r="J4450" t="s">
        <v>8427</v>
      </c>
    </row>
    <row r="4451" spans="1:10" x14ac:dyDescent="0.25">
      <c r="A4451" t="s">
        <v>17787</v>
      </c>
      <c r="B4451">
        <v>6.4960000000000004</v>
      </c>
      <c r="C4451" t="s">
        <v>17788</v>
      </c>
      <c r="D4451" t="s">
        <v>306</v>
      </c>
      <c r="E4451" t="s">
        <v>17785</v>
      </c>
      <c r="F4451" t="s">
        <v>7672</v>
      </c>
      <c r="G4451" t="s">
        <v>17786</v>
      </c>
      <c r="H4451" t="s">
        <v>8027</v>
      </c>
      <c r="I4451" t="s">
        <v>8031</v>
      </c>
      <c r="J4451" t="s">
        <v>8439</v>
      </c>
    </row>
    <row r="4452" spans="1:10" x14ac:dyDescent="0.25">
      <c r="A4452" t="s">
        <v>17789</v>
      </c>
      <c r="B4452">
        <v>6.4960000000000004</v>
      </c>
      <c r="C4452" t="s">
        <v>17790</v>
      </c>
      <c r="D4452" t="s">
        <v>582</v>
      </c>
      <c r="E4452" t="s">
        <v>17785</v>
      </c>
      <c r="F4452" t="s">
        <v>7672</v>
      </c>
      <c r="G4452" t="s">
        <v>17786</v>
      </c>
      <c r="H4452" t="s">
        <v>8027</v>
      </c>
      <c r="I4452" t="s">
        <v>8031</v>
      </c>
      <c r="J4452" t="s">
        <v>8451</v>
      </c>
    </row>
    <row r="4453" spans="1:10" x14ac:dyDescent="0.25">
      <c r="A4453" t="s">
        <v>4228</v>
      </c>
      <c r="B4453">
        <v>52.8</v>
      </c>
      <c r="C4453" t="s">
        <v>4230</v>
      </c>
      <c r="D4453" t="s">
        <v>53</v>
      </c>
      <c r="E4453" t="s">
        <v>4231</v>
      </c>
      <c r="F4453" t="s">
        <v>7672</v>
      </c>
      <c r="G4453" t="s">
        <v>17791</v>
      </c>
      <c r="H4453" t="s">
        <v>9232</v>
      </c>
      <c r="I4453" t="s">
        <v>17792</v>
      </c>
      <c r="J4453" t="s">
        <v>7981</v>
      </c>
    </row>
    <row r="4454" spans="1:10" x14ac:dyDescent="0.25">
      <c r="A4454" t="s">
        <v>4235</v>
      </c>
      <c r="B4454">
        <v>52.8</v>
      </c>
      <c r="C4454" t="s">
        <v>4237</v>
      </c>
      <c r="D4454" t="s">
        <v>255</v>
      </c>
      <c r="E4454" t="s">
        <v>4231</v>
      </c>
      <c r="F4454" t="s">
        <v>7672</v>
      </c>
      <c r="G4454" t="s">
        <v>17791</v>
      </c>
      <c r="H4454" t="s">
        <v>9232</v>
      </c>
      <c r="I4454" t="s">
        <v>4239</v>
      </c>
      <c r="J4454" t="s">
        <v>7981</v>
      </c>
    </row>
    <row r="4455" spans="1:10" x14ac:dyDescent="0.25">
      <c r="A4455" t="s">
        <v>4240</v>
      </c>
      <c r="B4455">
        <v>52.8</v>
      </c>
      <c r="C4455" t="s">
        <v>4242</v>
      </c>
      <c r="D4455" t="s">
        <v>613</v>
      </c>
      <c r="E4455" t="s">
        <v>4231</v>
      </c>
      <c r="F4455" t="s">
        <v>7672</v>
      </c>
      <c r="G4455" t="s">
        <v>17791</v>
      </c>
      <c r="H4455" t="s">
        <v>9232</v>
      </c>
      <c r="I4455" t="s">
        <v>4239</v>
      </c>
      <c r="J4455" t="s">
        <v>7984</v>
      </c>
    </row>
    <row r="4456" spans="1:10" x14ac:dyDescent="0.25">
      <c r="A4456" t="s">
        <v>4244</v>
      </c>
      <c r="B4456">
        <v>52.8</v>
      </c>
      <c r="C4456" t="s">
        <v>4246</v>
      </c>
      <c r="D4456" t="s">
        <v>959</v>
      </c>
      <c r="E4456" t="s">
        <v>4231</v>
      </c>
      <c r="F4456" t="s">
        <v>7672</v>
      </c>
      <c r="G4456" t="s">
        <v>17791</v>
      </c>
      <c r="H4456" t="s">
        <v>9232</v>
      </c>
      <c r="I4456" t="s">
        <v>4248</v>
      </c>
      <c r="J4456" t="s">
        <v>7984</v>
      </c>
    </row>
    <row r="4457" spans="1:10" x14ac:dyDescent="0.25">
      <c r="A4457" t="s">
        <v>4249</v>
      </c>
      <c r="B4457">
        <v>52.8</v>
      </c>
      <c r="C4457" t="s">
        <v>4251</v>
      </c>
      <c r="D4457" t="s">
        <v>1143</v>
      </c>
      <c r="E4457" t="s">
        <v>4231</v>
      </c>
      <c r="F4457" t="s">
        <v>7672</v>
      </c>
      <c r="G4457" t="s">
        <v>17791</v>
      </c>
      <c r="H4457" t="s">
        <v>9232</v>
      </c>
      <c r="I4457" t="s">
        <v>17792</v>
      </c>
      <c r="J4457" t="s">
        <v>7984</v>
      </c>
    </row>
    <row r="4458" spans="1:10" x14ac:dyDescent="0.25">
      <c r="A4458" t="s">
        <v>4253</v>
      </c>
      <c r="B4458">
        <v>52.8</v>
      </c>
      <c r="C4458" t="s">
        <v>4255</v>
      </c>
      <c r="D4458" t="s">
        <v>959</v>
      </c>
      <c r="E4458" t="s">
        <v>4231</v>
      </c>
      <c r="F4458" t="s">
        <v>7672</v>
      </c>
      <c r="G4458" t="s">
        <v>17791</v>
      </c>
      <c r="H4458" t="s">
        <v>9232</v>
      </c>
      <c r="I4458" t="s">
        <v>17793</v>
      </c>
      <c r="J4458" t="s">
        <v>7984</v>
      </c>
    </row>
    <row r="4459" spans="1:10" x14ac:dyDescent="0.25">
      <c r="A4459" t="s">
        <v>4258</v>
      </c>
      <c r="B4459">
        <v>52.8</v>
      </c>
      <c r="C4459" t="s">
        <v>4260</v>
      </c>
      <c r="D4459" t="s">
        <v>3378</v>
      </c>
      <c r="E4459" t="s">
        <v>4231</v>
      </c>
      <c r="F4459" t="s">
        <v>7672</v>
      </c>
      <c r="G4459" t="s">
        <v>17791</v>
      </c>
      <c r="H4459" t="s">
        <v>9232</v>
      </c>
      <c r="I4459" t="s">
        <v>4239</v>
      </c>
      <c r="J4459" t="s">
        <v>7987</v>
      </c>
    </row>
    <row r="4460" spans="1:10" x14ac:dyDescent="0.25">
      <c r="A4460" t="s">
        <v>4262</v>
      </c>
      <c r="B4460">
        <v>52.8</v>
      </c>
      <c r="C4460" t="s">
        <v>4264</v>
      </c>
      <c r="D4460" t="s">
        <v>1822</v>
      </c>
      <c r="E4460" t="s">
        <v>4231</v>
      </c>
      <c r="F4460" t="s">
        <v>7672</v>
      </c>
      <c r="G4460" t="s">
        <v>17791</v>
      </c>
      <c r="H4460" t="s">
        <v>9232</v>
      </c>
      <c r="I4460" t="s">
        <v>17792</v>
      </c>
      <c r="J4460" t="s">
        <v>7987</v>
      </c>
    </row>
    <row r="4461" spans="1:10" x14ac:dyDescent="0.25">
      <c r="A4461" t="s">
        <v>4266</v>
      </c>
      <c r="B4461">
        <v>52.8</v>
      </c>
      <c r="C4461" t="s">
        <v>4268</v>
      </c>
      <c r="D4461" t="s">
        <v>4270</v>
      </c>
      <c r="E4461" t="s">
        <v>4231</v>
      </c>
      <c r="F4461" t="s">
        <v>7672</v>
      </c>
      <c r="G4461" t="s">
        <v>17791</v>
      </c>
      <c r="H4461" t="s">
        <v>9232</v>
      </c>
      <c r="I4461" t="s">
        <v>4248</v>
      </c>
      <c r="J4461" t="s">
        <v>7987</v>
      </c>
    </row>
    <row r="4462" spans="1:10" x14ac:dyDescent="0.25">
      <c r="A4462" t="s">
        <v>4271</v>
      </c>
      <c r="B4462">
        <v>52.8</v>
      </c>
      <c r="C4462" t="s">
        <v>4273</v>
      </c>
      <c r="D4462" t="s">
        <v>321</v>
      </c>
      <c r="E4462" t="s">
        <v>4231</v>
      </c>
      <c r="F4462" t="s">
        <v>7672</v>
      </c>
      <c r="G4462" t="s">
        <v>17791</v>
      </c>
      <c r="H4462" t="s">
        <v>9232</v>
      </c>
      <c r="I4462" t="s">
        <v>17793</v>
      </c>
      <c r="J4462" t="s">
        <v>7987</v>
      </c>
    </row>
    <row r="4463" spans="1:10" x14ac:dyDescent="0.25">
      <c r="A4463" t="s">
        <v>4275</v>
      </c>
      <c r="B4463">
        <v>52.8</v>
      </c>
      <c r="C4463" t="s">
        <v>4277</v>
      </c>
      <c r="D4463" t="s">
        <v>306</v>
      </c>
      <c r="E4463" t="s">
        <v>4231</v>
      </c>
      <c r="F4463" t="s">
        <v>7672</v>
      </c>
      <c r="G4463" t="s">
        <v>17791</v>
      </c>
      <c r="H4463" t="s">
        <v>9232</v>
      </c>
      <c r="I4463" t="s">
        <v>17792</v>
      </c>
      <c r="J4463" t="s">
        <v>8001</v>
      </c>
    </row>
    <row r="4464" spans="1:10" x14ac:dyDescent="0.25">
      <c r="A4464" t="s">
        <v>4279</v>
      </c>
      <c r="B4464">
        <v>52.8</v>
      </c>
      <c r="C4464" t="s">
        <v>4281</v>
      </c>
      <c r="D4464" t="s">
        <v>870</v>
      </c>
      <c r="E4464" t="s">
        <v>4231</v>
      </c>
      <c r="F4464" t="s">
        <v>7672</v>
      </c>
      <c r="G4464" t="s">
        <v>17791</v>
      </c>
      <c r="H4464" t="s">
        <v>9232</v>
      </c>
      <c r="I4464" t="s">
        <v>4248</v>
      </c>
      <c r="J4464" t="s">
        <v>8001</v>
      </c>
    </row>
    <row r="4465" spans="1:10" x14ac:dyDescent="0.25">
      <c r="A4465" t="s">
        <v>4283</v>
      </c>
      <c r="B4465">
        <v>52.8</v>
      </c>
      <c r="C4465" t="s">
        <v>4285</v>
      </c>
      <c r="D4465" t="s">
        <v>1579</v>
      </c>
      <c r="E4465" t="s">
        <v>4231</v>
      </c>
      <c r="F4465" t="s">
        <v>7672</v>
      </c>
      <c r="G4465" t="s">
        <v>17791</v>
      </c>
      <c r="H4465" t="s">
        <v>9232</v>
      </c>
      <c r="I4465" t="s">
        <v>17793</v>
      </c>
      <c r="J4465" t="s">
        <v>8001</v>
      </c>
    </row>
    <row r="4466" spans="1:10" x14ac:dyDescent="0.25">
      <c r="A4466" t="s">
        <v>4287</v>
      </c>
      <c r="B4466">
        <v>52.8</v>
      </c>
      <c r="C4466" t="s">
        <v>4289</v>
      </c>
      <c r="D4466" t="s">
        <v>296</v>
      </c>
      <c r="E4466" t="s">
        <v>4231</v>
      </c>
      <c r="F4466" t="s">
        <v>7672</v>
      </c>
      <c r="G4466" t="s">
        <v>17791</v>
      </c>
      <c r="H4466" t="s">
        <v>9232</v>
      </c>
      <c r="I4466" t="s">
        <v>4239</v>
      </c>
      <c r="J4466" t="s">
        <v>8001</v>
      </c>
    </row>
    <row r="4467" spans="1:10" x14ac:dyDescent="0.25">
      <c r="A4467" t="s">
        <v>4291</v>
      </c>
      <c r="B4467">
        <v>52.8</v>
      </c>
      <c r="C4467" t="s">
        <v>4293</v>
      </c>
      <c r="D4467" t="s">
        <v>2253</v>
      </c>
      <c r="E4467" t="s">
        <v>4231</v>
      </c>
      <c r="F4467" t="s">
        <v>7672</v>
      </c>
      <c r="G4467" t="s">
        <v>17791</v>
      </c>
      <c r="H4467" t="s">
        <v>9232</v>
      </c>
      <c r="I4467" t="s">
        <v>4248</v>
      </c>
      <c r="J4467" t="s">
        <v>8013</v>
      </c>
    </row>
    <row r="4468" spans="1:10" x14ac:dyDescent="0.25">
      <c r="A4468" t="s">
        <v>4295</v>
      </c>
      <c r="B4468">
        <v>52.8</v>
      </c>
      <c r="C4468" t="s">
        <v>4297</v>
      </c>
      <c r="D4468" t="s">
        <v>1134</v>
      </c>
      <c r="E4468" t="s">
        <v>4231</v>
      </c>
      <c r="F4468" t="s">
        <v>7672</v>
      </c>
      <c r="G4468" t="s">
        <v>17791</v>
      </c>
      <c r="H4468" t="s">
        <v>9232</v>
      </c>
      <c r="I4468" t="s">
        <v>17793</v>
      </c>
      <c r="J4468" t="s">
        <v>8013</v>
      </c>
    </row>
    <row r="4469" spans="1:10" x14ac:dyDescent="0.25">
      <c r="A4469" t="s">
        <v>4299</v>
      </c>
      <c r="B4469">
        <v>52.8</v>
      </c>
      <c r="C4469" t="s">
        <v>4301</v>
      </c>
      <c r="D4469" t="s">
        <v>311</v>
      </c>
      <c r="E4469" t="s">
        <v>4231</v>
      </c>
      <c r="F4469" t="s">
        <v>7672</v>
      </c>
      <c r="G4469" t="s">
        <v>17791</v>
      </c>
      <c r="H4469" t="s">
        <v>9232</v>
      </c>
      <c r="I4469" t="s">
        <v>4239</v>
      </c>
      <c r="J4469" t="s">
        <v>8013</v>
      </c>
    </row>
    <row r="4470" spans="1:10" x14ac:dyDescent="0.25">
      <c r="A4470" t="s">
        <v>4303</v>
      </c>
      <c r="B4470">
        <v>52.8</v>
      </c>
      <c r="C4470" t="s">
        <v>4305</v>
      </c>
      <c r="D4470" t="s">
        <v>613</v>
      </c>
      <c r="E4470" t="s">
        <v>4231</v>
      </c>
      <c r="F4470" t="s">
        <v>7672</v>
      </c>
      <c r="G4470" t="s">
        <v>17791</v>
      </c>
      <c r="H4470" t="s">
        <v>9232</v>
      </c>
      <c r="I4470" t="s">
        <v>17792</v>
      </c>
      <c r="J4470" t="s">
        <v>8013</v>
      </c>
    </row>
    <row r="4471" spans="1:10" x14ac:dyDescent="0.25">
      <c r="A4471" t="s">
        <v>17794</v>
      </c>
      <c r="B4471">
        <v>6</v>
      </c>
      <c r="C4471" t="s">
        <v>17795</v>
      </c>
      <c r="D4471" t="s">
        <v>100</v>
      </c>
      <c r="E4471" t="s">
        <v>17796</v>
      </c>
      <c r="F4471" t="s">
        <v>7672</v>
      </c>
      <c r="G4471" t="s">
        <v>17797</v>
      </c>
      <c r="H4471" t="s">
        <v>8027</v>
      </c>
      <c r="I4471" t="s">
        <v>17798</v>
      </c>
      <c r="J4471" t="s">
        <v>7942</v>
      </c>
    </row>
    <row r="4472" spans="1:10" x14ac:dyDescent="0.25">
      <c r="A4472" t="s">
        <v>17799</v>
      </c>
      <c r="B4472">
        <v>6</v>
      </c>
      <c r="C4472" t="s">
        <v>17800</v>
      </c>
      <c r="D4472" t="s">
        <v>1949</v>
      </c>
      <c r="E4472" t="s">
        <v>17796</v>
      </c>
      <c r="F4472" t="s">
        <v>7672</v>
      </c>
      <c r="G4472" t="s">
        <v>17797</v>
      </c>
      <c r="H4472" t="s">
        <v>8027</v>
      </c>
      <c r="I4472" t="s">
        <v>17801</v>
      </c>
      <c r="J4472" t="s">
        <v>7942</v>
      </c>
    </row>
    <row r="4473" spans="1:10" x14ac:dyDescent="0.25">
      <c r="A4473" t="s">
        <v>17802</v>
      </c>
      <c r="B4473">
        <v>6</v>
      </c>
      <c r="C4473" t="s">
        <v>17803</v>
      </c>
      <c r="D4473" t="s">
        <v>7993</v>
      </c>
      <c r="E4473" t="s">
        <v>17796</v>
      </c>
      <c r="F4473" t="s">
        <v>7672</v>
      </c>
      <c r="G4473" t="s">
        <v>17797</v>
      </c>
      <c r="H4473" t="s">
        <v>8027</v>
      </c>
      <c r="I4473" t="s">
        <v>14966</v>
      </c>
      <c r="J4473" t="s">
        <v>7942</v>
      </c>
    </row>
    <row r="4474" spans="1:10" x14ac:dyDescent="0.25">
      <c r="A4474" t="s">
        <v>17804</v>
      </c>
      <c r="B4474">
        <v>6</v>
      </c>
      <c r="C4474" t="s">
        <v>17805</v>
      </c>
      <c r="D4474" t="s">
        <v>269</v>
      </c>
      <c r="E4474" t="s">
        <v>17796</v>
      </c>
      <c r="F4474" t="s">
        <v>7672</v>
      </c>
      <c r="G4474" t="s">
        <v>17797</v>
      </c>
      <c r="H4474" t="s">
        <v>8027</v>
      </c>
      <c r="I4474" t="s">
        <v>11223</v>
      </c>
      <c r="J4474" t="s">
        <v>7942</v>
      </c>
    </row>
    <row r="4475" spans="1:10" x14ac:dyDescent="0.25">
      <c r="A4475" t="s">
        <v>17806</v>
      </c>
      <c r="B4475">
        <v>6</v>
      </c>
      <c r="C4475" t="s">
        <v>17807</v>
      </c>
      <c r="D4475" t="s">
        <v>903</v>
      </c>
      <c r="E4475" t="s">
        <v>17796</v>
      </c>
      <c r="F4475" t="s">
        <v>7672</v>
      </c>
      <c r="G4475" t="s">
        <v>17797</v>
      </c>
      <c r="H4475" t="s">
        <v>8027</v>
      </c>
      <c r="I4475" t="s">
        <v>17801</v>
      </c>
      <c r="J4475" t="s">
        <v>7981</v>
      </c>
    </row>
    <row r="4476" spans="1:10" x14ac:dyDescent="0.25">
      <c r="A4476" t="s">
        <v>17808</v>
      </c>
      <c r="B4476">
        <v>9</v>
      </c>
      <c r="C4476" t="s">
        <v>17809</v>
      </c>
      <c r="D4476" t="s">
        <v>1644</v>
      </c>
      <c r="E4476" t="s">
        <v>17810</v>
      </c>
      <c r="F4476" t="s">
        <v>7672</v>
      </c>
      <c r="G4476" t="s">
        <v>16976</v>
      </c>
      <c r="H4476" t="s">
        <v>16977</v>
      </c>
      <c r="I4476" t="s">
        <v>17811</v>
      </c>
      <c r="J4476" t="s">
        <v>16982</v>
      </c>
    </row>
    <row r="4477" spans="1:10" x14ac:dyDescent="0.25">
      <c r="A4477" t="s">
        <v>17812</v>
      </c>
      <c r="B4477">
        <v>9</v>
      </c>
      <c r="C4477" t="s">
        <v>17813</v>
      </c>
      <c r="D4477" t="s">
        <v>7057</v>
      </c>
      <c r="E4477" t="s">
        <v>17810</v>
      </c>
      <c r="F4477" t="s">
        <v>7672</v>
      </c>
      <c r="G4477" t="s">
        <v>16976</v>
      </c>
      <c r="H4477" t="s">
        <v>16977</v>
      </c>
      <c r="I4477" t="s">
        <v>17811</v>
      </c>
      <c r="J4477" t="s">
        <v>16985</v>
      </c>
    </row>
    <row r="4478" spans="1:10" x14ac:dyDescent="0.25">
      <c r="A4478" t="s">
        <v>17814</v>
      </c>
      <c r="B4478">
        <v>9</v>
      </c>
      <c r="C4478" t="s">
        <v>17815</v>
      </c>
      <c r="D4478" t="s">
        <v>776</v>
      </c>
      <c r="E4478" t="s">
        <v>17810</v>
      </c>
      <c r="F4478" t="s">
        <v>7672</v>
      </c>
      <c r="G4478" t="s">
        <v>16976</v>
      </c>
      <c r="H4478" t="s">
        <v>16977</v>
      </c>
      <c r="I4478" t="s">
        <v>17811</v>
      </c>
      <c r="J4478" t="s">
        <v>16988</v>
      </c>
    </row>
    <row r="4479" spans="1:10" x14ac:dyDescent="0.25">
      <c r="A4479" t="s">
        <v>17816</v>
      </c>
      <c r="B4479">
        <v>8</v>
      </c>
      <c r="C4479" t="s">
        <v>17817</v>
      </c>
      <c r="D4479" t="s">
        <v>12277</v>
      </c>
      <c r="E4479" t="s">
        <v>17818</v>
      </c>
      <c r="F4479" t="s">
        <v>7672</v>
      </c>
      <c r="G4479" t="s">
        <v>9277</v>
      </c>
      <c r="H4479" t="s">
        <v>8673</v>
      </c>
      <c r="I4479" t="s">
        <v>11206</v>
      </c>
      <c r="J4479" t="s">
        <v>7675</v>
      </c>
    </row>
    <row r="4480" spans="1:10" x14ac:dyDescent="0.25">
      <c r="A4480" t="s">
        <v>17819</v>
      </c>
      <c r="B4480">
        <v>8</v>
      </c>
      <c r="C4480" t="s">
        <v>17820</v>
      </c>
      <c r="D4480" t="s">
        <v>17821</v>
      </c>
      <c r="E4480" t="s">
        <v>17818</v>
      </c>
      <c r="F4480" t="s">
        <v>7672</v>
      </c>
      <c r="G4480" t="s">
        <v>9277</v>
      </c>
      <c r="H4480" t="s">
        <v>8673</v>
      </c>
      <c r="I4480" t="s">
        <v>11206</v>
      </c>
      <c r="J4480" t="s">
        <v>7686</v>
      </c>
    </row>
    <row r="4481" spans="1:10" x14ac:dyDescent="0.25">
      <c r="A4481" t="s">
        <v>17822</v>
      </c>
      <c r="B4481">
        <v>8</v>
      </c>
      <c r="C4481" t="s">
        <v>17823</v>
      </c>
      <c r="D4481" t="s">
        <v>17824</v>
      </c>
      <c r="E4481" t="s">
        <v>17818</v>
      </c>
      <c r="F4481" t="s">
        <v>7672</v>
      </c>
      <c r="G4481" t="s">
        <v>9277</v>
      </c>
      <c r="H4481" t="s">
        <v>8673</v>
      </c>
      <c r="I4481" t="s">
        <v>11206</v>
      </c>
      <c r="J4481" t="s">
        <v>7703</v>
      </c>
    </row>
    <row r="4482" spans="1:10" x14ac:dyDescent="0.25">
      <c r="A4482" t="s">
        <v>17825</v>
      </c>
      <c r="B4482">
        <v>8</v>
      </c>
      <c r="C4482" t="s">
        <v>17826</v>
      </c>
      <c r="D4482" t="s">
        <v>17827</v>
      </c>
      <c r="E4482" t="s">
        <v>17818</v>
      </c>
      <c r="F4482" t="s">
        <v>7672</v>
      </c>
      <c r="G4482" t="s">
        <v>9277</v>
      </c>
      <c r="H4482" t="s">
        <v>8673</v>
      </c>
      <c r="I4482" t="s">
        <v>11206</v>
      </c>
      <c r="J4482" t="s">
        <v>7713</v>
      </c>
    </row>
    <row r="4483" spans="1:10" x14ac:dyDescent="0.25">
      <c r="A4483" t="s">
        <v>17828</v>
      </c>
      <c r="B4483">
        <v>8</v>
      </c>
      <c r="C4483" t="s">
        <v>17829</v>
      </c>
      <c r="D4483" t="s">
        <v>9305</v>
      </c>
      <c r="E4483" t="s">
        <v>17818</v>
      </c>
      <c r="F4483" t="s">
        <v>7672</v>
      </c>
      <c r="G4483" t="s">
        <v>9277</v>
      </c>
      <c r="H4483" t="s">
        <v>8673</v>
      </c>
      <c r="I4483" t="s">
        <v>11206</v>
      </c>
      <c r="J4483" t="s">
        <v>7719</v>
      </c>
    </row>
    <row r="4484" spans="1:10" x14ac:dyDescent="0.25">
      <c r="A4484" t="s">
        <v>17830</v>
      </c>
      <c r="B4484">
        <v>6.4</v>
      </c>
      <c r="C4484" t="s">
        <v>17831</v>
      </c>
      <c r="D4484" t="s">
        <v>106</v>
      </c>
      <c r="E4484" t="s">
        <v>17832</v>
      </c>
      <c r="F4484" t="s">
        <v>7672</v>
      </c>
      <c r="G4484" t="s">
        <v>17833</v>
      </c>
      <c r="H4484" t="s">
        <v>11496</v>
      </c>
      <c r="I4484" t="s">
        <v>17834</v>
      </c>
      <c r="J4484" t="s">
        <v>10862</v>
      </c>
    </row>
    <row r="4485" spans="1:10" x14ac:dyDescent="0.25">
      <c r="A4485" t="s">
        <v>17835</v>
      </c>
      <c r="B4485">
        <v>6.4</v>
      </c>
      <c r="C4485" t="s">
        <v>17836</v>
      </c>
      <c r="D4485" t="s">
        <v>53</v>
      </c>
      <c r="E4485" t="s">
        <v>17832</v>
      </c>
      <c r="F4485" t="s">
        <v>7672</v>
      </c>
      <c r="G4485" t="s">
        <v>17833</v>
      </c>
      <c r="H4485" t="s">
        <v>11496</v>
      </c>
      <c r="I4485" t="s">
        <v>17834</v>
      </c>
      <c r="J4485" t="s">
        <v>13084</v>
      </c>
    </row>
    <row r="4486" spans="1:10" x14ac:dyDescent="0.25">
      <c r="A4486" t="s">
        <v>17837</v>
      </c>
      <c r="B4486">
        <v>3.992</v>
      </c>
      <c r="C4486" t="s">
        <v>17838</v>
      </c>
      <c r="D4486" t="s">
        <v>106</v>
      </c>
      <c r="E4486" t="s">
        <v>17839</v>
      </c>
      <c r="F4486" t="s">
        <v>7672</v>
      </c>
      <c r="G4486" t="s">
        <v>17840</v>
      </c>
      <c r="H4486" t="s">
        <v>8027</v>
      </c>
      <c r="I4486" t="s">
        <v>11206</v>
      </c>
      <c r="J4486" t="s">
        <v>8001</v>
      </c>
    </row>
    <row r="4487" spans="1:10" x14ac:dyDescent="0.25">
      <c r="A4487" t="s">
        <v>17841</v>
      </c>
      <c r="B4487">
        <v>3.992</v>
      </c>
      <c r="C4487" t="s">
        <v>17842</v>
      </c>
      <c r="D4487" t="s">
        <v>88</v>
      </c>
      <c r="E4487" t="s">
        <v>17839</v>
      </c>
      <c r="F4487" t="s">
        <v>7672</v>
      </c>
      <c r="G4487" t="s">
        <v>17840</v>
      </c>
      <c r="H4487" t="s">
        <v>8027</v>
      </c>
      <c r="I4487" t="s">
        <v>17843</v>
      </c>
      <c r="J4487" t="s">
        <v>8013</v>
      </c>
    </row>
    <row r="4488" spans="1:10" x14ac:dyDescent="0.25">
      <c r="A4488" t="s">
        <v>17844</v>
      </c>
      <c r="B4488">
        <v>15.391999999999999</v>
      </c>
      <c r="C4488" t="s">
        <v>17845</v>
      </c>
      <c r="D4488" t="s">
        <v>131</v>
      </c>
      <c r="E4488" t="s">
        <v>17846</v>
      </c>
      <c r="F4488" t="s">
        <v>7672</v>
      </c>
      <c r="G4488" t="s">
        <v>17847</v>
      </c>
      <c r="H4488" t="s">
        <v>11598</v>
      </c>
      <c r="I4488" t="s">
        <v>76</v>
      </c>
      <c r="J4488" t="s">
        <v>7942</v>
      </c>
    </row>
    <row r="4489" spans="1:10" x14ac:dyDescent="0.25">
      <c r="A4489" t="s">
        <v>17848</v>
      </c>
      <c r="B4489">
        <v>15.391999999999999</v>
      </c>
      <c r="C4489" t="s">
        <v>17849</v>
      </c>
      <c r="D4489" t="s">
        <v>255</v>
      </c>
      <c r="E4489" t="s">
        <v>17846</v>
      </c>
      <c r="F4489" t="s">
        <v>7672</v>
      </c>
      <c r="G4489" t="s">
        <v>17847</v>
      </c>
      <c r="H4489" t="s">
        <v>11598</v>
      </c>
      <c r="I4489" t="s">
        <v>76</v>
      </c>
      <c r="J4489" t="s">
        <v>7981</v>
      </c>
    </row>
    <row r="4490" spans="1:10" x14ac:dyDescent="0.25">
      <c r="A4490" t="s">
        <v>17850</v>
      </c>
      <c r="B4490">
        <v>15.391999999999999</v>
      </c>
      <c r="C4490" t="s">
        <v>17851</v>
      </c>
      <c r="D4490" t="s">
        <v>385</v>
      </c>
      <c r="E4490" t="s">
        <v>17846</v>
      </c>
      <c r="F4490" t="s">
        <v>7672</v>
      </c>
      <c r="G4490" t="s">
        <v>17847</v>
      </c>
      <c r="H4490" t="s">
        <v>11598</v>
      </c>
      <c r="I4490" t="s">
        <v>76</v>
      </c>
      <c r="J4490" t="s">
        <v>7984</v>
      </c>
    </row>
    <row r="4491" spans="1:10" x14ac:dyDescent="0.25">
      <c r="A4491" t="s">
        <v>17852</v>
      </c>
      <c r="B4491">
        <v>15.391999999999999</v>
      </c>
      <c r="C4491" t="s">
        <v>17853</v>
      </c>
      <c r="D4491" t="s">
        <v>330</v>
      </c>
      <c r="E4491" t="s">
        <v>17846</v>
      </c>
      <c r="F4491" t="s">
        <v>7672</v>
      </c>
      <c r="G4491" t="s">
        <v>17847</v>
      </c>
      <c r="H4491" t="s">
        <v>11598</v>
      </c>
      <c r="I4491" t="s">
        <v>76</v>
      </c>
      <c r="J4491" t="s">
        <v>7987</v>
      </c>
    </row>
    <row r="4492" spans="1:10" x14ac:dyDescent="0.25">
      <c r="A4492" t="s">
        <v>17854</v>
      </c>
      <c r="B4492">
        <v>15.391999999999999</v>
      </c>
      <c r="C4492" t="s">
        <v>17855</v>
      </c>
      <c r="D4492" t="s">
        <v>240</v>
      </c>
      <c r="E4492" t="s">
        <v>17846</v>
      </c>
      <c r="F4492" t="s">
        <v>7672</v>
      </c>
      <c r="G4492" t="s">
        <v>17847</v>
      </c>
      <c r="H4492" t="s">
        <v>11598</v>
      </c>
      <c r="I4492" t="s">
        <v>76</v>
      </c>
      <c r="J4492" t="s">
        <v>8001</v>
      </c>
    </row>
    <row r="4493" spans="1:10" x14ac:dyDescent="0.25">
      <c r="A4493" t="s">
        <v>17856</v>
      </c>
      <c r="B4493">
        <v>15.391999999999999</v>
      </c>
      <c r="C4493" t="s">
        <v>17857</v>
      </c>
      <c r="D4493" t="s">
        <v>742</v>
      </c>
      <c r="E4493" t="s">
        <v>17846</v>
      </c>
      <c r="F4493" t="s">
        <v>7672</v>
      </c>
      <c r="G4493" t="s">
        <v>17847</v>
      </c>
      <c r="H4493" t="s">
        <v>11598</v>
      </c>
      <c r="I4493" t="s">
        <v>76</v>
      </c>
      <c r="J4493" t="s">
        <v>8013</v>
      </c>
    </row>
    <row r="4494" spans="1:10" x14ac:dyDescent="0.25">
      <c r="A4494" t="s">
        <v>17858</v>
      </c>
      <c r="B4494">
        <v>4.7920000000000007</v>
      </c>
      <c r="C4494" t="s">
        <v>17859</v>
      </c>
      <c r="D4494" t="s">
        <v>15974</v>
      </c>
      <c r="E4494" t="s">
        <v>17860</v>
      </c>
      <c r="F4494" t="s">
        <v>7672</v>
      </c>
      <c r="G4494" t="s">
        <v>17861</v>
      </c>
      <c r="H4494" t="s">
        <v>10298</v>
      </c>
      <c r="I4494" t="s">
        <v>17862</v>
      </c>
      <c r="J4494" t="s">
        <v>131</v>
      </c>
    </row>
    <row r="4495" spans="1:10" x14ac:dyDescent="0.25">
      <c r="A4495" t="s">
        <v>17863</v>
      </c>
      <c r="B4495">
        <v>4.7920000000000007</v>
      </c>
      <c r="C4495" t="s">
        <v>17864</v>
      </c>
      <c r="D4495" t="s">
        <v>17865</v>
      </c>
      <c r="E4495" t="s">
        <v>17860</v>
      </c>
      <c r="F4495" t="s">
        <v>7672</v>
      </c>
      <c r="G4495" t="s">
        <v>17861</v>
      </c>
      <c r="H4495" t="s">
        <v>10298</v>
      </c>
      <c r="I4495" t="s">
        <v>76</v>
      </c>
      <c r="J4495" t="s">
        <v>131</v>
      </c>
    </row>
    <row r="4496" spans="1:10" x14ac:dyDescent="0.25">
      <c r="A4496" t="s">
        <v>17866</v>
      </c>
      <c r="B4496">
        <v>4.7920000000000007</v>
      </c>
      <c r="C4496" t="s">
        <v>17867</v>
      </c>
      <c r="D4496" t="s">
        <v>1236</v>
      </c>
      <c r="E4496" t="s">
        <v>17860</v>
      </c>
      <c r="F4496" t="s">
        <v>7672</v>
      </c>
      <c r="G4496" t="s">
        <v>17861</v>
      </c>
      <c r="H4496" t="s">
        <v>10298</v>
      </c>
      <c r="I4496" t="s">
        <v>5986</v>
      </c>
      <c r="J4496" t="s">
        <v>131</v>
      </c>
    </row>
    <row r="4497" spans="1:10" x14ac:dyDescent="0.25">
      <c r="A4497" t="s">
        <v>17868</v>
      </c>
      <c r="B4497">
        <v>4.7920000000000007</v>
      </c>
      <c r="C4497" t="s">
        <v>17869</v>
      </c>
      <c r="D4497" t="s">
        <v>5565</v>
      </c>
      <c r="E4497" t="s">
        <v>17860</v>
      </c>
      <c r="F4497" t="s">
        <v>7672</v>
      </c>
      <c r="G4497" t="s">
        <v>17861</v>
      </c>
      <c r="H4497" t="s">
        <v>10298</v>
      </c>
      <c r="I4497" t="s">
        <v>17862</v>
      </c>
      <c r="J4497" t="s">
        <v>290</v>
      </c>
    </row>
    <row r="4498" spans="1:10" x14ac:dyDescent="0.25">
      <c r="A4498" t="s">
        <v>17870</v>
      </c>
      <c r="B4498">
        <v>4.7920000000000007</v>
      </c>
      <c r="C4498" t="s">
        <v>17871</v>
      </c>
      <c r="D4498" t="s">
        <v>7057</v>
      </c>
      <c r="E4498" t="s">
        <v>17860</v>
      </c>
      <c r="F4498" t="s">
        <v>7672</v>
      </c>
      <c r="G4498" t="s">
        <v>17861</v>
      </c>
      <c r="H4498" t="s">
        <v>10298</v>
      </c>
      <c r="I4498" t="s">
        <v>76</v>
      </c>
      <c r="J4498" t="s">
        <v>88</v>
      </c>
    </row>
    <row r="4499" spans="1:10" x14ac:dyDescent="0.25">
      <c r="A4499" t="s">
        <v>17872</v>
      </c>
      <c r="B4499">
        <v>4.7920000000000007</v>
      </c>
      <c r="C4499" t="s">
        <v>17873</v>
      </c>
      <c r="D4499" t="s">
        <v>3872</v>
      </c>
      <c r="E4499" t="s">
        <v>17860</v>
      </c>
      <c r="F4499" t="s">
        <v>7672</v>
      </c>
      <c r="G4499" t="s">
        <v>17861</v>
      </c>
      <c r="H4499" t="s">
        <v>10298</v>
      </c>
      <c r="I4499" t="s">
        <v>17862</v>
      </c>
      <c r="J4499" t="s">
        <v>88</v>
      </c>
    </row>
    <row r="4500" spans="1:10" x14ac:dyDescent="0.25">
      <c r="A4500" t="s">
        <v>17874</v>
      </c>
      <c r="B4500">
        <v>4.7920000000000007</v>
      </c>
      <c r="C4500" t="s">
        <v>17875</v>
      </c>
      <c r="D4500" t="s">
        <v>6379</v>
      </c>
      <c r="E4500" t="s">
        <v>17860</v>
      </c>
      <c r="F4500" t="s">
        <v>7672</v>
      </c>
      <c r="G4500" t="s">
        <v>17861</v>
      </c>
      <c r="H4500" t="s">
        <v>10298</v>
      </c>
      <c r="I4500" t="s">
        <v>76</v>
      </c>
      <c r="J4500" t="s">
        <v>8531</v>
      </c>
    </row>
    <row r="4501" spans="1:10" x14ac:dyDescent="0.25">
      <c r="A4501" t="s">
        <v>17876</v>
      </c>
      <c r="B4501">
        <v>4.7920000000000007</v>
      </c>
      <c r="C4501" t="s">
        <v>17877</v>
      </c>
      <c r="D4501" t="s">
        <v>649</v>
      </c>
      <c r="E4501" t="s">
        <v>17860</v>
      </c>
      <c r="F4501" t="s">
        <v>7672</v>
      </c>
      <c r="G4501" t="s">
        <v>17861</v>
      </c>
      <c r="H4501" t="s">
        <v>10298</v>
      </c>
      <c r="I4501" t="s">
        <v>17862</v>
      </c>
      <c r="J4501" t="s">
        <v>8531</v>
      </c>
    </row>
    <row r="4502" spans="1:10" x14ac:dyDescent="0.25">
      <c r="A4502" t="s">
        <v>17878</v>
      </c>
      <c r="B4502">
        <v>4.7920000000000007</v>
      </c>
      <c r="C4502" t="s">
        <v>17879</v>
      </c>
      <c r="D4502" t="s">
        <v>17693</v>
      </c>
      <c r="E4502" t="s">
        <v>17860</v>
      </c>
      <c r="F4502" t="s">
        <v>7672</v>
      </c>
      <c r="G4502" t="s">
        <v>17861</v>
      </c>
      <c r="H4502" t="s">
        <v>10298</v>
      </c>
      <c r="I4502" t="s">
        <v>17862</v>
      </c>
      <c r="J4502" t="s">
        <v>269</v>
      </c>
    </row>
    <row r="4503" spans="1:10" x14ac:dyDescent="0.25">
      <c r="A4503" t="s">
        <v>17880</v>
      </c>
      <c r="B4503">
        <v>4.7920000000000007</v>
      </c>
      <c r="C4503" t="s">
        <v>17881</v>
      </c>
      <c r="D4503" t="s">
        <v>17335</v>
      </c>
      <c r="E4503" t="s">
        <v>17860</v>
      </c>
      <c r="F4503" t="s">
        <v>7672</v>
      </c>
      <c r="G4503" t="s">
        <v>17861</v>
      </c>
      <c r="H4503" t="s">
        <v>10298</v>
      </c>
      <c r="I4503" t="s">
        <v>17862</v>
      </c>
      <c r="J4503" t="s">
        <v>255</v>
      </c>
    </row>
    <row r="4504" spans="1:10" x14ac:dyDescent="0.25">
      <c r="A4504" t="s">
        <v>17882</v>
      </c>
      <c r="B4504">
        <v>4.7920000000000007</v>
      </c>
      <c r="C4504" t="s">
        <v>17883</v>
      </c>
      <c r="D4504" t="s">
        <v>15649</v>
      </c>
      <c r="E4504" t="s">
        <v>17860</v>
      </c>
      <c r="F4504" t="s">
        <v>7672</v>
      </c>
      <c r="G4504" t="s">
        <v>17861</v>
      </c>
      <c r="H4504" t="s">
        <v>10298</v>
      </c>
      <c r="I4504" t="s">
        <v>17862</v>
      </c>
      <c r="J4504" t="s">
        <v>277</v>
      </c>
    </row>
    <row r="4505" spans="1:10" x14ac:dyDescent="0.25">
      <c r="A4505" t="s">
        <v>17884</v>
      </c>
      <c r="B4505">
        <v>4.7920000000000007</v>
      </c>
      <c r="C4505" t="s">
        <v>17885</v>
      </c>
      <c r="D4505" t="s">
        <v>9653</v>
      </c>
      <c r="E4505" t="s">
        <v>17860</v>
      </c>
      <c r="F4505" t="s">
        <v>7672</v>
      </c>
      <c r="G4505" t="s">
        <v>17861</v>
      </c>
      <c r="H4505" t="s">
        <v>10298</v>
      </c>
      <c r="I4505" t="s">
        <v>17862</v>
      </c>
      <c r="J4505" t="s">
        <v>164</v>
      </c>
    </row>
    <row r="4506" spans="1:10" x14ac:dyDescent="0.25">
      <c r="A4506" t="s">
        <v>17886</v>
      </c>
      <c r="B4506">
        <v>4.7920000000000007</v>
      </c>
      <c r="C4506" t="s">
        <v>17887</v>
      </c>
      <c r="D4506" t="s">
        <v>4322</v>
      </c>
      <c r="E4506" t="s">
        <v>17860</v>
      </c>
      <c r="F4506" t="s">
        <v>7672</v>
      </c>
      <c r="G4506" t="s">
        <v>17861</v>
      </c>
      <c r="H4506" t="s">
        <v>10298</v>
      </c>
      <c r="I4506" t="s">
        <v>17862</v>
      </c>
      <c r="J4506" t="s">
        <v>199</v>
      </c>
    </row>
    <row r="4507" spans="1:10" x14ac:dyDescent="0.25">
      <c r="A4507" t="s">
        <v>17888</v>
      </c>
      <c r="B4507">
        <v>4.7920000000000007</v>
      </c>
      <c r="C4507" t="s">
        <v>17889</v>
      </c>
      <c r="D4507" t="s">
        <v>2787</v>
      </c>
      <c r="E4507" t="s">
        <v>17860</v>
      </c>
      <c r="F4507" t="s">
        <v>7672</v>
      </c>
      <c r="G4507" t="s">
        <v>17861</v>
      </c>
      <c r="H4507" t="s">
        <v>10298</v>
      </c>
      <c r="I4507" t="s">
        <v>17862</v>
      </c>
      <c r="J4507" t="s">
        <v>15238</v>
      </c>
    </row>
    <row r="4508" spans="1:10" x14ac:dyDescent="0.25">
      <c r="A4508" t="s">
        <v>17890</v>
      </c>
      <c r="B4508">
        <v>4.7920000000000007</v>
      </c>
      <c r="C4508" t="s">
        <v>17891</v>
      </c>
      <c r="D4508" t="s">
        <v>250</v>
      </c>
      <c r="E4508" t="s">
        <v>17860</v>
      </c>
      <c r="F4508" t="s">
        <v>7672</v>
      </c>
      <c r="G4508" t="s">
        <v>17861</v>
      </c>
      <c r="H4508" t="s">
        <v>10298</v>
      </c>
      <c r="I4508" t="s">
        <v>17862</v>
      </c>
      <c r="J4508" t="s">
        <v>15070</v>
      </c>
    </row>
    <row r="4509" spans="1:10" x14ac:dyDescent="0.25">
      <c r="A4509" t="s">
        <v>17892</v>
      </c>
      <c r="B4509">
        <v>4.7920000000000007</v>
      </c>
      <c r="C4509" t="s">
        <v>17893</v>
      </c>
      <c r="D4509" t="s">
        <v>1134</v>
      </c>
      <c r="E4509" t="s">
        <v>17860</v>
      </c>
      <c r="F4509" t="s">
        <v>7672</v>
      </c>
      <c r="G4509" t="s">
        <v>17861</v>
      </c>
      <c r="H4509" t="s">
        <v>10298</v>
      </c>
      <c r="I4509" t="s">
        <v>17862</v>
      </c>
      <c r="J4509" t="s">
        <v>15073</v>
      </c>
    </row>
    <row r="4510" spans="1:10" x14ac:dyDescent="0.25">
      <c r="A4510" t="s">
        <v>17894</v>
      </c>
      <c r="B4510">
        <v>4.7920000000000007</v>
      </c>
      <c r="C4510" t="s">
        <v>17895</v>
      </c>
      <c r="D4510" t="s">
        <v>613</v>
      </c>
      <c r="E4510" t="s">
        <v>17860</v>
      </c>
      <c r="F4510" t="s">
        <v>7672</v>
      </c>
      <c r="G4510" t="s">
        <v>17861</v>
      </c>
      <c r="H4510" t="s">
        <v>10298</v>
      </c>
      <c r="I4510" t="s">
        <v>17862</v>
      </c>
      <c r="J4510" t="s">
        <v>15076</v>
      </c>
    </row>
    <row r="4511" spans="1:10" x14ac:dyDescent="0.25">
      <c r="A4511" t="s">
        <v>17896</v>
      </c>
      <c r="B4511">
        <v>4.7920000000000007</v>
      </c>
      <c r="C4511" t="s">
        <v>17897</v>
      </c>
      <c r="D4511" t="s">
        <v>255</v>
      </c>
      <c r="E4511" t="s">
        <v>17860</v>
      </c>
      <c r="F4511" t="s">
        <v>7672</v>
      </c>
      <c r="G4511" t="s">
        <v>17861</v>
      </c>
      <c r="H4511" t="s">
        <v>10298</v>
      </c>
      <c r="I4511" t="s">
        <v>17862</v>
      </c>
      <c r="J4511" t="s">
        <v>15079</v>
      </c>
    </row>
    <row r="4512" spans="1:10" x14ac:dyDescent="0.25">
      <c r="A4512" t="s">
        <v>4307</v>
      </c>
      <c r="B4512">
        <v>6.9840000000000009</v>
      </c>
      <c r="C4512" t="s">
        <v>4309</v>
      </c>
      <c r="D4512" t="s">
        <v>316</v>
      </c>
      <c r="E4512" t="s">
        <v>4310</v>
      </c>
      <c r="F4512" t="s">
        <v>7672</v>
      </c>
      <c r="G4512" t="s">
        <v>17898</v>
      </c>
      <c r="H4512" t="s">
        <v>13897</v>
      </c>
      <c r="I4512" t="s">
        <v>17899</v>
      </c>
      <c r="J4512" t="s">
        <v>10862</v>
      </c>
    </row>
    <row r="4513" spans="1:10" x14ac:dyDescent="0.25">
      <c r="A4513" t="s">
        <v>4314</v>
      </c>
      <c r="B4513">
        <v>6.9840000000000009</v>
      </c>
      <c r="C4513" t="s">
        <v>4316</v>
      </c>
      <c r="D4513" t="s">
        <v>306</v>
      </c>
      <c r="E4513" t="s">
        <v>4310</v>
      </c>
      <c r="F4513" t="s">
        <v>7672</v>
      </c>
      <c r="G4513" t="s">
        <v>17898</v>
      </c>
      <c r="H4513" t="s">
        <v>13897</v>
      </c>
      <c r="I4513" t="s">
        <v>17899</v>
      </c>
      <c r="J4513" t="s">
        <v>9426</v>
      </c>
    </row>
    <row r="4514" spans="1:10" x14ac:dyDescent="0.25">
      <c r="A4514" t="s">
        <v>4318</v>
      </c>
      <c r="B4514">
        <v>6.9840000000000009</v>
      </c>
      <c r="C4514" t="s">
        <v>4320</v>
      </c>
      <c r="D4514" t="s">
        <v>4322</v>
      </c>
      <c r="E4514" t="s">
        <v>4310</v>
      </c>
      <c r="F4514" t="s">
        <v>7672</v>
      </c>
      <c r="G4514" t="s">
        <v>17898</v>
      </c>
      <c r="H4514" t="s">
        <v>13897</v>
      </c>
      <c r="I4514" t="s">
        <v>17899</v>
      </c>
      <c r="J4514" t="s">
        <v>13084</v>
      </c>
    </row>
    <row r="4515" spans="1:10" x14ac:dyDescent="0.25">
      <c r="A4515" t="s">
        <v>4323</v>
      </c>
      <c r="B4515">
        <v>6.9840000000000009</v>
      </c>
      <c r="C4515" t="s">
        <v>4325</v>
      </c>
      <c r="D4515" t="s">
        <v>4327</v>
      </c>
      <c r="E4515" t="s">
        <v>4310</v>
      </c>
      <c r="F4515" t="s">
        <v>7672</v>
      </c>
      <c r="G4515" t="s">
        <v>17898</v>
      </c>
      <c r="H4515" t="s">
        <v>13897</v>
      </c>
      <c r="I4515" t="s">
        <v>17899</v>
      </c>
      <c r="J4515" t="s">
        <v>11767</v>
      </c>
    </row>
    <row r="4516" spans="1:10" x14ac:dyDescent="0.25">
      <c r="A4516" t="s">
        <v>4328</v>
      </c>
      <c r="B4516">
        <v>6.9840000000000009</v>
      </c>
      <c r="C4516" t="s">
        <v>4330</v>
      </c>
      <c r="D4516" t="s">
        <v>3175</v>
      </c>
      <c r="E4516" t="s">
        <v>4310</v>
      </c>
      <c r="F4516" t="s">
        <v>7672</v>
      </c>
      <c r="G4516" t="s">
        <v>17898</v>
      </c>
      <c r="H4516" t="s">
        <v>13897</v>
      </c>
      <c r="I4516" t="s">
        <v>17899</v>
      </c>
      <c r="J4516" t="s">
        <v>11582</v>
      </c>
    </row>
    <row r="4517" spans="1:10" x14ac:dyDescent="0.25">
      <c r="A4517" t="s">
        <v>4332</v>
      </c>
      <c r="B4517">
        <v>6.9840000000000009</v>
      </c>
      <c r="C4517" t="s">
        <v>4334</v>
      </c>
      <c r="D4517" t="s">
        <v>593</v>
      </c>
      <c r="E4517" t="s">
        <v>4310</v>
      </c>
      <c r="F4517" t="s">
        <v>7672</v>
      </c>
      <c r="G4517" t="s">
        <v>17898</v>
      </c>
      <c r="H4517" t="s">
        <v>13897</v>
      </c>
      <c r="I4517" t="s">
        <v>17899</v>
      </c>
      <c r="J4517" t="s">
        <v>11585</v>
      </c>
    </row>
    <row r="4518" spans="1:10" x14ac:dyDescent="0.25">
      <c r="A4518" t="s">
        <v>17900</v>
      </c>
      <c r="B4518">
        <v>7.6000000000000014</v>
      </c>
      <c r="C4518" t="s">
        <v>17901</v>
      </c>
      <c r="D4518" t="s">
        <v>12711</v>
      </c>
      <c r="E4518" t="s">
        <v>17902</v>
      </c>
      <c r="F4518" t="s">
        <v>7672</v>
      </c>
      <c r="G4518" t="s">
        <v>17903</v>
      </c>
      <c r="H4518" t="s">
        <v>13951</v>
      </c>
      <c r="I4518" t="s">
        <v>17904</v>
      </c>
      <c r="J4518" t="s">
        <v>10369</v>
      </c>
    </row>
    <row r="4519" spans="1:10" x14ac:dyDescent="0.25">
      <c r="A4519" t="s">
        <v>17905</v>
      </c>
      <c r="B4519">
        <v>7.6000000000000014</v>
      </c>
      <c r="C4519" t="s">
        <v>17906</v>
      </c>
      <c r="D4519" t="s">
        <v>17907</v>
      </c>
      <c r="E4519" t="s">
        <v>17902</v>
      </c>
      <c r="F4519" t="s">
        <v>7672</v>
      </c>
      <c r="G4519" t="s">
        <v>17903</v>
      </c>
      <c r="H4519" t="s">
        <v>13951</v>
      </c>
      <c r="I4519" t="s">
        <v>17904</v>
      </c>
      <c r="J4519" t="s">
        <v>11590</v>
      </c>
    </row>
    <row r="4520" spans="1:10" x14ac:dyDescent="0.25">
      <c r="A4520" t="s">
        <v>17908</v>
      </c>
      <c r="B4520">
        <v>7.6000000000000014</v>
      </c>
      <c r="C4520" t="s">
        <v>17909</v>
      </c>
      <c r="D4520" t="s">
        <v>17910</v>
      </c>
      <c r="E4520" t="s">
        <v>17902</v>
      </c>
      <c r="F4520" t="s">
        <v>7672</v>
      </c>
      <c r="G4520" t="s">
        <v>17903</v>
      </c>
      <c r="H4520" t="s">
        <v>13951</v>
      </c>
      <c r="I4520" t="s">
        <v>17904</v>
      </c>
      <c r="J4520" t="s">
        <v>11593</v>
      </c>
    </row>
    <row r="4521" spans="1:10" x14ac:dyDescent="0.25">
      <c r="A4521" t="s">
        <v>4336</v>
      </c>
      <c r="B4521">
        <v>6</v>
      </c>
      <c r="C4521" t="s">
        <v>4338</v>
      </c>
      <c r="D4521" t="s">
        <v>4341</v>
      </c>
      <c r="E4521" t="s">
        <v>4339</v>
      </c>
      <c r="F4521" t="s">
        <v>7672</v>
      </c>
      <c r="G4521" t="s">
        <v>17911</v>
      </c>
      <c r="H4521" t="s">
        <v>8081</v>
      </c>
      <c r="I4521" t="s">
        <v>8082</v>
      </c>
      <c r="J4521" t="s">
        <v>7686</v>
      </c>
    </row>
    <row r="4522" spans="1:10" x14ac:dyDescent="0.25">
      <c r="A4522" t="s">
        <v>17912</v>
      </c>
      <c r="B4522">
        <v>12.295999999999999</v>
      </c>
      <c r="C4522" t="s">
        <v>17913</v>
      </c>
      <c r="D4522" t="s">
        <v>8770</v>
      </c>
      <c r="E4522" t="s">
        <v>17914</v>
      </c>
      <c r="F4522" t="s">
        <v>7672</v>
      </c>
      <c r="G4522" t="s">
        <v>17915</v>
      </c>
      <c r="H4522" t="s">
        <v>17916</v>
      </c>
      <c r="I4522" t="s">
        <v>497</v>
      </c>
      <c r="J4522" t="s">
        <v>9694</v>
      </c>
    </row>
    <row r="4523" spans="1:10" x14ac:dyDescent="0.25">
      <c r="A4523" t="s">
        <v>4344</v>
      </c>
      <c r="B4523">
        <v>20.847999999999999</v>
      </c>
      <c r="C4523" t="s">
        <v>4346</v>
      </c>
      <c r="D4523" t="s">
        <v>88</v>
      </c>
      <c r="E4523" t="s">
        <v>4347</v>
      </c>
      <c r="F4523" t="s">
        <v>7672</v>
      </c>
      <c r="G4523" t="s">
        <v>17917</v>
      </c>
      <c r="H4523" t="s">
        <v>10970</v>
      </c>
      <c r="I4523" t="s">
        <v>17918</v>
      </c>
      <c r="J4523" t="s">
        <v>17919</v>
      </c>
    </row>
    <row r="4524" spans="1:10" x14ac:dyDescent="0.25">
      <c r="A4524" t="s">
        <v>4351</v>
      </c>
      <c r="B4524">
        <v>20.847999999999999</v>
      </c>
      <c r="C4524" t="s">
        <v>4353</v>
      </c>
      <c r="D4524" t="s">
        <v>106</v>
      </c>
      <c r="E4524" t="s">
        <v>4347</v>
      </c>
      <c r="F4524" t="s">
        <v>7672</v>
      </c>
      <c r="G4524" t="s">
        <v>17917</v>
      </c>
      <c r="H4524" t="s">
        <v>10970</v>
      </c>
      <c r="I4524" t="s">
        <v>17920</v>
      </c>
      <c r="J4524" t="s">
        <v>17919</v>
      </c>
    </row>
    <row r="4525" spans="1:10" x14ac:dyDescent="0.25">
      <c r="A4525" t="s">
        <v>17921</v>
      </c>
      <c r="B4525">
        <v>20.847999999999999</v>
      </c>
      <c r="C4525" t="s">
        <v>17922</v>
      </c>
      <c r="D4525" t="s">
        <v>131</v>
      </c>
      <c r="E4525" t="s">
        <v>4347</v>
      </c>
      <c r="F4525" t="s">
        <v>7672</v>
      </c>
      <c r="G4525" t="s">
        <v>17917</v>
      </c>
      <c r="H4525" t="s">
        <v>10970</v>
      </c>
      <c r="I4525" t="s">
        <v>4386</v>
      </c>
      <c r="J4525" t="s">
        <v>17919</v>
      </c>
    </row>
    <row r="4526" spans="1:10" x14ac:dyDescent="0.25">
      <c r="A4526" t="s">
        <v>4357</v>
      </c>
      <c r="B4526">
        <v>20.847999999999999</v>
      </c>
      <c r="C4526" t="s">
        <v>4359</v>
      </c>
      <c r="D4526" t="s">
        <v>1143</v>
      </c>
      <c r="E4526" t="s">
        <v>4347</v>
      </c>
      <c r="F4526" t="s">
        <v>7672</v>
      </c>
      <c r="G4526" t="s">
        <v>17917</v>
      </c>
      <c r="H4526" t="s">
        <v>10970</v>
      </c>
      <c r="I4526" t="s">
        <v>17918</v>
      </c>
      <c r="J4526" t="s">
        <v>17923</v>
      </c>
    </row>
    <row r="4527" spans="1:10" x14ac:dyDescent="0.25">
      <c r="A4527" t="s">
        <v>4361</v>
      </c>
      <c r="B4527">
        <v>20.847999999999999</v>
      </c>
      <c r="C4527" t="s">
        <v>4363</v>
      </c>
      <c r="D4527" t="s">
        <v>255</v>
      </c>
      <c r="E4527" t="s">
        <v>4347</v>
      </c>
      <c r="F4527" t="s">
        <v>7672</v>
      </c>
      <c r="G4527" t="s">
        <v>17917</v>
      </c>
      <c r="H4527" t="s">
        <v>10970</v>
      </c>
      <c r="I4527" t="s">
        <v>17920</v>
      </c>
      <c r="J4527" t="s">
        <v>17923</v>
      </c>
    </row>
    <row r="4528" spans="1:10" x14ac:dyDescent="0.25">
      <c r="A4528" t="s">
        <v>17924</v>
      </c>
      <c r="B4528">
        <v>20.847999999999999</v>
      </c>
      <c r="C4528" t="s">
        <v>17925</v>
      </c>
      <c r="D4528" t="s">
        <v>269</v>
      </c>
      <c r="E4528" t="s">
        <v>4347</v>
      </c>
      <c r="F4528" t="s">
        <v>7672</v>
      </c>
      <c r="G4528" t="s">
        <v>17917</v>
      </c>
      <c r="H4528" t="s">
        <v>10970</v>
      </c>
      <c r="I4528" t="s">
        <v>4386</v>
      </c>
      <c r="J4528" t="s">
        <v>17923</v>
      </c>
    </row>
    <row r="4529" spans="1:10" x14ac:dyDescent="0.25">
      <c r="A4529" t="s">
        <v>4365</v>
      </c>
      <c r="B4529">
        <v>20.847999999999999</v>
      </c>
      <c r="C4529" t="s">
        <v>4367</v>
      </c>
      <c r="D4529" t="s">
        <v>282</v>
      </c>
      <c r="E4529" t="s">
        <v>4347</v>
      </c>
      <c r="F4529" t="s">
        <v>7672</v>
      </c>
      <c r="G4529" t="s">
        <v>17917</v>
      </c>
      <c r="H4529" t="s">
        <v>10970</v>
      </c>
      <c r="I4529" t="s">
        <v>17918</v>
      </c>
      <c r="J4529" t="s">
        <v>17926</v>
      </c>
    </row>
    <row r="4530" spans="1:10" x14ac:dyDescent="0.25">
      <c r="A4530" t="s">
        <v>4369</v>
      </c>
      <c r="B4530">
        <v>20.847999999999999</v>
      </c>
      <c r="C4530" t="s">
        <v>4371</v>
      </c>
      <c r="D4530" t="s">
        <v>53</v>
      </c>
      <c r="E4530" t="s">
        <v>4347</v>
      </c>
      <c r="F4530" t="s">
        <v>7672</v>
      </c>
      <c r="G4530" t="s">
        <v>17917</v>
      </c>
      <c r="H4530" t="s">
        <v>10970</v>
      </c>
      <c r="I4530" t="s">
        <v>17920</v>
      </c>
      <c r="J4530" t="s">
        <v>17926</v>
      </c>
    </row>
    <row r="4531" spans="1:10" x14ac:dyDescent="0.25">
      <c r="A4531" t="s">
        <v>4373</v>
      </c>
      <c r="B4531">
        <v>20.847999999999999</v>
      </c>
      <c r="C4531" t="s">
        <v>4375</v>
      </c>
      <c r="D4531" t="s">
        <v>2697</v>
      </c>
      <c r="E4531" t="s">
        <v>4347</v>
      </c>
      <c r="F4531" t="s">
        <v>7672</v>
      </c>
      <c r="G4531" t="s">
        <v>17917</v>
      </c>
      <c r="H4531" t="s">
        <v>10970</v>
      </c>
      <c r="I4531" t="s">
        <v>17918</v>
      </c>
      <c r="J4531" t="s">
        <v>17927</v>
      </c>
    </row>
    <row r="4532" spans="1:10" x14ac:dyDescent="0.25">
      <c r="A4532" t="s">
        <v>4377</v>
      </c>
      <c r="B4532">
        <v>20.847999999999999</v>
      </c>
      <c r="C4532" t="s">
        <v>4379</v>
      </c>
      <c r="D4532" t="s">
        <v>100</v>
      </c>
      <c r="E4532" t="s">
        <v>4347</v>
      </c>
      <c r="F4532" t="s">
        <v>7672</v>
      </c>
      <c r="G4532" t="s">
        <v>17917</v>
      </c>
      <c r="H4532" t="s">
        <v>10970</v>
      </c>
      <c r="I4532" t="s">
        <v>17920</v>
      </c>
      <c r="J4532" t="s">
        <v>17927</v>
      </c>
    </row>
    <row r="4533" spans="1:10" x14ac:dyDescent="0.25">
      <c r="A4533" t="s">
        <v>4381</v>
      </c>
      <c r="B4533">
        <v>20.847999999999999</v>
      </c>
      <c r="C4533" t="s">
        <v>4383</v>
      </c>
      <c r="D4533" t="s">
        <v>131</v>
      </c>
      <c r="E4533" t="s">
        <v>4347</v>
      </c>
      <c r="F4533" t="s">
        <v>7672</v>
      </c>
      <c r="G4533" t="s">
        <v>17917</v>
      </c>
      <c r="H4533" t="s">
        <v>10970</v>
      </c>
      <c r="I4533" t="s">
        <v>4386</v>
      </c>
      <c r="J4533" t="s">
        <v>17927</v>
      </c>
    </row>
    <row r="4534" spans="1:10" x14ac:dyDescent="0.25">
      <c r="A4534" t="s">
        <v>4387</v>
      </c>
      <c r="B4534">
        <v>20.847999999999999</v>
      </c>
      <c r="C4534" t="s">
        <v>4389</v>
      </c>
      <c r="D4534" t="s">
        <v>60</v>
      </c>
      <c r="E4534" t="s">
        <v>4347</v>
      </c>
      <c r="F4534" t="s">
        <v>7672</v>
      </c>
      <c r="G4534" t="s">
        <v>17917</v>
      </c>
      <c r="H4534" t="s">
        <v>10970</v>
      </c>
      <c r="I4534" t="s">
        <v>17920</v>
      </c>
      <c r="J4534" t="s">
        <v>10174</v>
      </c>
    </row>
    <row r="4535" spans="1:10" x14ac:dyDescent="0.25">
      <c r="A4535" t="s">
        <v>4391</v>
      </c>
      <c r="B4535">
        <v>20.847999999999999</v>
      </c>
      <c r="C4535" t="s">
        <v>4393</v>
      </c>
      <c r="D4535" t="s">
        <v>106</v>
      </c>
      <c r="E4535" t="s">
        <v>4347</v>
      </c>
      <c r="F4535" t="s">
        <v>7672</v>
      </c>
      <c r="G4535" t="s">
        <v>17917</v>
      </c>
      <c r="H4535" t="s">
        <v>10970</v>
      </c>
      <c r="I4535" t="s">
        <v>17920</v>
      </c>
      <c r="J4535" t="s">
        <v>10185</v>
      </c>
    </row>
    <row r="4536" spans="1:10" x14ac:dyDescent="0.25">
      <c r="A4536" t="s">
        <v>4395</v>
      </c>
      <c r="B4536">
        <v>20.847999999999999</v>
      </c>
      <c r="C4536" t="s">
        <v>4397</v>
      </c>
      <c r="D4536" t="s">
        <v>106</v>
      </c>
      <c r="E4536" t="s">
        <v>4347</v>
      </c>
      <c r="F4536" t="s">
        <v>7672</v>
      </c>
      <c r="G4536" t="s">
        <v>17917</v>
      </c>
      <c r="H4536" t="s">
        <v>10970</v>
      </c>
      <c r="I4536" t="s">
        <v>17920</v>
      </c>
      <c r="J4536" t="s">
        <v>17928</v>
      </c>
    </row>
    <row r="4537" spans="1:10" x14ac:dyDescent="0.25">
      <c r="A4537" t="s">
        <v>4399</v>
      </c>
      <c r="B4537">
        <v>20.847999999999999</v>
      </c>
      <c r="C4537" t="s">
        <v>4401</v>
      </c>
      <c r="D4537" t="s">
        <v>106</v>
      </c>
      <c r="E4537" t="s">
        <v>4347</v>
      </c>
      <c r="F4537" t="s">
        <v>7672</v>
      </c>
      <c r="G4537" t="s">
        <v>17917</v>
      </c>
      <c r="H4537" t="s">
        <v>10970</v>
      </c>
      <c r="I4537" t="s">
        <v>17920</v>
      </c>
      <c r="J4537" t="s">
        <v>17929</v>
      </c>
    </row>
    <row r="4538" spans="1:10" x14ac:dyDescent="0.25">
      <c r="A4538" t="s">
        <v>4403</v>
      </c>
      <c r="B4538">
        <v>20.847999999999999</v>
      </c>
      <c r="C4538" t="s">
        <v>4405</v>
      </c>
      <c r="D4538" t="s">
        <v>53</v>
      </c>
      <c r="E4538" t="s">
        <v>4347</v>
      </c>
      <c r="F4538" t="s">
        <v>7672</v>
      </c>
      <c r="G4538" t="s">
        <v>17917</v>
      </c>
      <c r="H4538" t="s">
        <v>10970</v>
      </c>
      <c r="I4538" t="s">
        <v>17920</v>
      </c>
      <c r="J4538" t="s">
        <v>10195</v>
      </c>
    </row>
    <row r="4539" spans="1:10" x14ac:dyDescent="0.25">
      <c r="A4539" t="s">
        <v>4407</v>
      </c>
      <c r="B4539">
        <v>20.847999999999999</v>
      </c>
      <c r="C4539" t="s">
        <v>4409</v>
      </c>
      <c r="D4539" t="s">
        <v>88</v>
      </c>
      <c r="E4539" t="s">
        <v>4347</v>
      </c>
      <c r="F4539" t="s">
        <v>7672</v>
      </c>
      <c r="G4539" t="s">
        <v>17917</v>
      </c>
      <c r="H4539" t="s">
        <v>10970</v>
      </c>
      <c r="I4539" t="s">
        <v>17920</v>
      </c>
      <c r="J4539" t="s">
        <v>10206</v>
      </c>
    </row>
    <row r="4540" spans="1:10" x14ac:dyDescent="0.25">
      <c r="A4540" t="s">
        <v>4411</v>
      </c>
      <c r="B4540">
        <v>20.847999999999999</v>
      </c>
      <c r="C4540" t="s">
        <v>4413</v>
      </c>
      <c r="D4540" t="s">
        <v>131</v>
      </c>
      <c r="E4540" t="s">
        <v>4347</v>
      </c>
      <c r="F4540" t="s">
        <v>7672</v>
      </c>
      <c r="G4540" t="s">
        <v>17917</v>
      </c>
      <c r="H4540" t="s">
        <v>10970</v>
      </c>
      <c r="I4540" t="s">
        <v>17920</v>
      </c>
      <c r="J4540" t="s">
        <v>17930</v>
      </c>
    </row>
    <row r="4541" spans="1:10" x14ac:dyDescent="0.25">
      <c r="A4541" t="s">
        <v>4415</v>
      </c>
      <c r="B4541">
        <v>20.847999999999999</v>
      </c>
      <c r="C4541" t="s">
        <v>4417</v>
      </c>
      <c r="D4541" t="s">
        <v>269</v>
      </c>
      <c r="E4541" t="s">
        <v>4347</v>
      </c>
      <c r="F4541" t="s">
        <v>7672</v>
      </c>
      <c r="G4541" t="s">
        <v>17917</v>
      </c>
      <c r="H4541" t="s">
        <v>10970</v>
      </c>
      <c r="I4541" t="s">
        <v>17931</v>
      </c>
      <c r="J4541" t="s">
        <v>17930</v>
      </c>
    </row>
    <row r="4542" spans="1:10" x14ac:dyDescent="0.25">
      <c r="A4542" t="s">
        <v>4421</v>
      </c>
      <c r="B4542">
        <v>20.847999999999999</v>
      </c>
      <c r="C4542" t="s">
        <v>4423</v>
      </c>
      <c r="D4542" t="s">
        <v>106</v>
      </c>
      <c r="E4542" t="s">
        <v>4347</v>
      </c>
      <c r="F4542" t="s">
        <v>7672</v>
      </c>
      <c r="G4542" t="s">
        <v>17917</v>
      </c>
      <c r="H4542" t="s">
        <v>10970</v>
      </c>
      <c r="I4542" t="s">
        <v>17920</v>
      </c>
      <c r="J4542" t="s">
        <v>17932</v>
      </c>
    </row>
    <row r="4543" spans="1:10" x14ac:dyDescent="0.25">
      <c r="A4543" t="s">
        <v>4425</v>
      </c>
      <c r="B4543">
        <v>20.847999999999999</v>
      </c>
      <c r="C4543" t="s">
        <v>4427</v>
      </c>
      <c r="D4543" t="s">
        <v>131</v>
      </c>
      <c r="E4543" t="s">
        <v>4347</v>
      </c>
      <c r="F4543" t="s">
        <v>7672</v>
      </c>
      <c r="G4543" t="s">
        <v>17917</v>
      </c>
      <c r="H4543" t="s">
        <v>10970</v>
      </c>
      <c r="I4543" t="s">
        <v>17918</v>
      </c>
      <c r="J4543" t="s">
        <v>17933</v>
      </c>
    </row>
    <row r="4544" spans="1:10" x14ac:dyDescent="0.25">
      <c r="A4544" t="s">
        <v>4429</v>
      </c>
      <c r="B4544">
        <v>20.847999999999999</v>
      </c>
      <c r="C4544" t="s">
        <v>4431</v>
      </c>
      <c r="D4544" t="s">
        <v>131</v>
      </c>
      <c r="E4544" t="s">
        <v>4347</v>
      </c>
      <c r="F4544" t="s">
        <v>7672</v>
      </c>
      <c r="G4544" t="s">
        <v>17917</v>
      </c>
      <c r="H4544" t="s">
        <v>10970</v>
      </c>
      <c r="I4544" t="s">
        <v>17920</v>
      </c>
      <c r="J4544" t="s">
        <v>17933</v>
      </c>
    </row>
    <row r="4545" spans="1:10" x14ac:dyDescent="0.25">
      <c r="A4545" t="s">
        <v>4433</v>
      </c>
      <c r="B4545">
        <v>20.847999999999999</v>
      </c>
      <c r="C4545" t="s">
        <v>4435</v>
      </c>
      <c r="D4545" t="s">
        <v>88</v>
      </c>
      <c r="E4545" t="s">
        <v>4347</v>
      </c>
      <c r="F4545" t="s">
        <v>7672</v>
      </c>
      <c r="G4545" t="s">
        <v>17917</v>
      </c>
      <c r="H4545" t="s">
        <v>10970</v>
      </c>
      <c r="I4545" t="s">
        <v>17920</v>
      </c>
      <c r="J4545" t="s">
        <v>17934</v>
      </c>
    </row>
    <row r="4546" spans="1:10" x14ac:dyDescent="0.25">
      <c r="A4546" t="s">
        <v>4437</v>
      </c>
      <c r="B4546">
        <v>20.847999999999999</v>
      </c>
      <c r="C4546" t="s">
        <v>4439</v>
      </c>
      <c r="D4546" t="s">
        <v>88</v>
      </c>
      <c r="E4546" t="s">
        <v>4347</v>
      </c>
      <c r="F4546" t="s">
        <v>7672</v>
      </c>
      <c r="G4546" t="s">
        <v>17917</v>
      </c>
      <c r="H4546" t="s">
        <v>10970</v>
      </c>
      <c r="I4546" t="s">
        <v>17920</v>
      </c>
      <c r="J4546" t="s">
        <v>10211</v>
      </c>
    </row>
    <row r="4547" spans="1:10" x14ac:dyDescent="0.25">
      <c r="A4547" t="s">
        <v>4441</v>
      </c>
      <c r="B4547">
        <v>20.847999999999999</v>
      </c>
      <c r="C4547" t="s">
        <v>4443</v>
      </c>
      <c r="D4547" t="s">
        <v>106</v>
      </c>
      <c r="E4547" t="s">
        <v>4347</v>
      </c>
      <c r="F4547" t="s">
        <v>7672</v>
      </c>
      <c r="G4547" t="s">
        <v>17917</v>
      </c>
      <c r="H4547" t="s">
        <v>10970</v>
      </c>
      <c r="I4547" t="s">
        <v>17920</v>
      </c>
      <c r="J4547" t="s">
        <v>10222</v>
      </c>
    </row>
    <row r="4548" spans="1:10" x14ac:dyDescent="0.25">
      <c r="A4548" t="s">
        <v>4445</v>
      </c>
      <c r="B4548">
        <v>20.847999999999999</v>
      </c>
      <c r="C4548" t="s">
        <v>4447</v>
      </c>
      <c r="D4548" t="s">
        <v>301</v>
      </c>
      <c r="E4548" t="s">
        <v>4347</v>
      </c>
      <c r="F4548" t="s">
        <v>7672</v>
      </c>
      <c r="G4548" t="s">
        <v>17917</v>
      </c>
      <c r="H4548" t="s">
        <v>10970</v>
      </c>
      <c r="I4548" t="s">
        <v>17918</v>
      </c>
      <c r="J4548" t="s">
        <v>17935</v>
      </c>
    </row>
    <row r="4549" spans="1:10" x14ac:dyDescent="0.25">
      <c r="A4549" t="s">
        <v>4449</v>
      </c>
      <c r="B4549">
        <v>20.847999999999999</v>
      </c>
      <c r="C4549" t="s">
        <v>4451</v>
      </c>
      <c r="D4549" t="s">
        <v>100</v>
      </c>
      <c r="E4549" t="s">
        <v>4347</v>
      </c>
      <c r="F4549" t="s">
        <v>7672</v>
      </c>
      <c r="G4549" t="s">
        <v>17917</v>
      </c>
      <c r="H4549" t="s">
        <v>10970</v>
      </c>
      <c r="I4549" t="s">
        <v>17920</v>
      </c>
      <c r="J4549" t="s">
        <v>17935</v>
      </c>
    </row>
    <row r="4550" spans="1:10" x14ac:dyDescent="0.25">
      <c r="A4550" t="s">
        <v>4453</v>
      </c>
      <c r="B4550">
        <v>20.847999999999999</v>
      </c>
      <c r="C4550" t="s">
        <v>4455</v>
      </c>
      <c r="D4550" t="s">
        <v>88</v>
      </c>
      <c r="E4550" t="s">
        <v>4347</v>
      </c>
      <c r="F4550" t="s">
        <v>7672</v>
      </c>
      <c r="G4550" t="s">
        <v>17917</v>
      </c>
      <c r="H4550" t="s">
        <v>10970</v>
      </c>
      <c r="I4550" t="s">
        <v>17931</v>
      </c>
      <c r="J4550" t="s">
        <v>17935</v>
      </c>
    </row>
    <row r="4551" spans="1:10" x14ac:dyDescent="0.25">
      <c r="A4551" t="s">
        <v>4457</v>
      </c>
      <c r="B4551">
        <v>20.847999999999999</v>
      </c>
      <c r="C4551" t="s">
        <v>4459</v>
      </c>
      <c r="D4551" t="s">
        <v>131</v>
      </c>
      <c r="E4551" t="s">
        <v>4347</v>
      </c>
      <c r="F4551" t="s">
        <v>7672</v>
      </c>
      <c r="G4551" t="s">
        <v>17917</v>
      </c>
      <c r="H4551" t="s">
        <v>10970</v>
      </c>
      <c r="I4551" t="s">
        <v>17920</v>
      </c>
      <c r="J4551" t="s">
        <v>10251</v>
      </c>
    </row>
    <row r="4552" spans="1:10" x14ac:dyDescent="0.25">
      <c r="A4552" t="s">
        <v>4461</v>
      </c>
      <c r="B4552">
        <v>20.847999999999999</v>
      </c>
      <c r="C4552" t="s">
        <v>4463</v>
      </c>
      <c r="D4552" t="s">
        <v>342</v>
      </c>
      <c r="E4552" t="s">
        <v>4347</v>
      </c>
      <c r="F4552" t="s">
        <v>7672</v>
      </c>
      <c r="G4552" t="s">
        <v>17917</v>
      </c>
      <c r="H4552" t="s">
        <v>10970</v>
      </c>
      <c r="I4552" t="s">
        <v>17920</v>
      </c>
      <c r="J4552" t="s">
        <v>10262</v>
      </c>
    </row>
    <row r="4553" spans="1:10" x14ac:dyDescent="0.25">
      <c r="A4553" t="s">
        <v>4465</v>
      </c>
      <c r="B4553">
        <v>20.847999999999999</v>
      </c>
      <c r="C4553" t="s">
        <v>4467</v>
      </c>
      <c r="D4553" t="s">
        <v>330</v>
      </c>
      <c r="E4553" t="s">
        <v>4347</v>
      </c>
      <c r="F4553" t="s">
        <v>7672</v>
      </c>
      <c r="G4553" t="s">
        <v>17917</v>
      </c>
      <c r="H4553" t="s">
        <v>10970</v>
      </c>
      <c r="I4553" t="s">
        <v>17918</v>
      </c>
      <c r="J4553" t="s">
        <v>10262</v>
      </c>
    </row>
    <row r="4554" spans="1:10" x14ac:dyDescent="0.25">
      <c r="A4554" t="s">
        <v>4469</v>
      </c>
      <c r="B4554">
        <v>20.847999999999999</v>
      </c>
      <c r="C4554" t="s">
        <v>4471</v>
      </c>
      <c r="D4554" t="s">
        <v>282</v>
      </c>
      <c r="E4554" t="s">
        <v>4347</v>
      </c>
      <c r="F4554" t="s">
        <v>7672</v>
      </c>
      <c r="G4554" t="s">
        <v>17917</v>
      </c>
      <c r="H4554" t="s">
        <v>10970</v>
      </c>
      <c r="I4554" t="s">
        <v>17920</v>
      </c>
      <c r="J4554" t="s">
        <v>17936</v>
      </c>
    </row>
    <row r="4555" spans="1:10" x14ac:dyDescent="0.25">
      <c r="A4555" t="s">
        <v>4473</v>
      </c>
      <c r="B4555">
        <v>20.847999999999999</v>
      </c>
      <c r="C4555" t="s">
        <v>4475</v>
      </c>
      <c r="D4555" t="s">
        <v>286</v>
      </c>
      <c r="E4555" t="s">
        <v>4347</v>
      </c>
      <c r="F4555" t="s">
        <v>7672</v>
      </c>
      <c r="G4555" t="s">
        <v>17917</v>
      </c>
      <c r="H4555" t="s">
        <v>10970</v>
      </c>
      <c r="I4555" t="s">
        <v>17918</v>
      </c>
      <c r="J4555" t="s">
        <v>17936</v>
      </c>
    </row>
    <row r="4556" spans="1:10" x14ac:dyDescent="0.25">
      <c r="A4556" t="s">
        <v>17937</v>
      </c>
      <c r="B4556">
        <v>20.847999999999999</v>
      </c>
      <c r="C4556" t="s">
        <v>17938</v>
      </c>
      <c r="D4556" t="s">
        <v>100</v>
      </c>
      <c r="E4556" t="s">
        <v>4347</v>
      </c>
      <c r="F4556" t="s">
        <v>7672</v>
      </c>
      <c r="G4556" t="s">
        <v>17917</v>
      </c>
      <c r="H4556" t="s">
        <v>10970</v>
      </c>
      <c r="I4556" t="s">
        <v>4386</v>
      </c>
      <c r="J4556" t="s">
        <v>17936</v>
      </c>
    </row>
    <row r="4557" spans="1:10" x14ac:dyDescent="0.25">
      <c r="A4557" t="s">
        <v>4477</v>
      </c>
      <c r="B4557">
        <v>20.847999999999999</v>
      </c>
      <c r="C4557" t="s">
        <v>4479</v>
      </c>
      <c r="D4557" t="s">
        <v>290</v>
      </c>
      <c r="E4557" t="s">
        <v>4347</v>
      </c>
      <c r="F4557" t="s">
        <v>7672</v>
      </c>
      <c r="G4557" t="s">
        <v>17917</v>
      </c>
      <c r="H4557" t="s">
        <v>10970</v>
      </c>
      <c r="I4557" t="s">
        <v>17931</v>
      </c>
      <c r="J4557" t="s">
        <v>17936</v>
      </c>
    </row>
    <row r="4558" spans="1:10" x14ac:dyDescent="0.25">
      <c r="A4558" t="s">
        <v>4481</v>
      </c>
      <c r="B4558">
        <v>20.847999999999999</v>
      </c>
      <c r="C4558" t="s">
        <v>4483</v>
      </c>
      <c r="D4558" t="s">
        <v>88</v>
      </c>
      <c r="E4558" t="s">
        <v>4347</v>
      </c>
      <c r="F4558" t="s">
        <v>7672</v>
      </c>
      <c r="G4558" t="s">
        <v>17917</v>
      </c>
      <c r="H4558" t="s">
        <v>10970</v>
      </c>
      <c r="I4558" t="s">
        <v>17920</v>
      </c>
      <c r="J4558" t="s">
        <v>8658</v>
      </c>
    </row>
    <row r="4559" spans="1:10" x14ac:dyDescent="0.25">
      <c r="A4559" t="s">
        <v>4485</v>
      </c>
      <c r="B4559">
        <v>20.847999999999999</v>
      </c>
      <c r="C4559" t="s">
        <v>4487</v>
      </c>
      <c r="D4559" t="s">
        <v>269</v>
      </c>
      <c r="E4559" t="s">
        <v>4347</v>
      </c>
      <c r="F4559" t="s">
        <v>7672</v>
      </c>
      <c r="G4559" t="s">
        <v>17917</v>
      </c>
      <c r="H4559" t="s">
        <v>10970</v>
      </c>
      <c r="I4559" t="s">
        <v>17931</v>
      </c>
      <c r="J4559" t="s">
        <v>10283</v>
      </c>
    </row>
    <row r="4560" spans="1:10" x14ac:dyDescent="0.25">
      <c r="A4560" t="s">
        <v>4489</v>
      </c>
      <c r="B4560">
        <v>20.847999999999999</v>
      </c>
      <c r="C4560" t="s">
        <v>4491</v>
      </c>
      <c r="D4560" t="s">
        <v>53</v>
      </c>
      <c r="E4560" t="s">
        <v>4347</v>
      </c>
      <c r="F4560" t="s">
        <v>7672</v>
      </c>
      <c r="G4560" t="s">
        <v>17917</v>
      </c>
      <c r="H4560" t="s">
        <v>10970</v>
      </c>
      <c r="I4560" t="s">
        <v>17920</v>
      </c>
      <c r="J4560" t="s">
        <v>15312</v>
      </c>
    </row>
    <row r="4561" spans="1:10" x14ac:dyDescent="0.25">
      <c r="A4561" t="s">
        <v>4493</v>
      </c>
      <c r="B4561">
        <v>20.847999999999999</v>
      </c>
      <c r="C4561" t="s">
        <v>4495</v>
      </c>
      <c r="D4561" t="s">
        <v>60</v>
      </c>
      <c r="E4561" t="s">
        <v>4347</v>
      </c>
      <c r="F4561" t="s">
        <v>7672</v>
      </c>
      <c r="G4561" t="s">
        <v>17917</v>
      </c>
      <c r="H4561" t="s">
        <v>10970</v>
      </c>
      <c r="I4561" t="s">
        <v>17931</v>
      </c>
      <c r="J4561" t="s">
        <v>15312</v>
      </c>
    </row>
    <row r="4562" spans="1:10" x14ac:dyDescent="0.25">
      <c r="A4562" t="s">
        <v>4497</v>
      </c>
      <c r="B4562">
        <v>20.847999999999999</v>
      </c>
      <c r="C4562" t="s">
        <v>4499</v>
      </c>
      <c r="D4562" t="s">
        <v>436</v>
      </c>
      <c r="E4562" t="s">
        <v>4347</v>
      </c>
      <c r="F4562" t="s">
        <v>7672</v>
      </c>
      <c r="G4562" t="s">
        <v>17917</v>
      </c>
      <c r="H4562" t="s">
        <v>10970</v>
      </c>
      <c r="I4562" t="s">
        <v>17939</v>
      </c>
      <c r="J4562" t="s">
        <v>8659</v>
      </c>
    </row>
    <row r="4563" spans="1:10" x14ac:dyDescent="0.25">
      <c r="A4563" t="s">
        <v>4503</v>
      </c>
      <c r="B4563">
        <v>20.847999999999999</v>
      </c>
      <c r="C4563" t="s">
        <v>4505</v>
      </c>
      <c r="D4563" t="s">
        <v>100</v>
      </c>
      <c r="E4563" t="s">
        <v>4347</v>
      </c>
      <c r="F4563" t="s">
        <v>7672</v>
      </c>
      <c r="G4563" t="s">
        <v>17917</v>
      </c>
      <c r="H4563" t="s">
        <v>10970</v>
      </c>
      <c r="I4563" t="s">
        <v>17920</v>
      </c>
      <c r="J4563" t="s">
        <v>8659</v>
      </c>
    </row>
    <row r="4564" spans="1:10" x14ac:dyDescent="0.25">
      <c r="A4564" t="s">
        <v>4507</v>
      </c>
      <c r="B4564">
        <v>20.847999999999999</v>
      </c>
      <c r="C4564" t="s">
        <v>4509</v>
      </c>
      <c r="D4564" t="s">
        <v>269</v>
      </c>
      <c r="E4564" t="s">
        <v>4347</v>
      </c>
      <c r="F4564" t="s">
        <v>7672</v>
      </c>
      <c r="G4564" t="s">
        <v>17917</v>
      </c>
      <c r="H4564" t="s">
        <v>10970</v>
      </c>
      <c r="I4564" t="s">
        <v>17918</v>
      </c>
      <c r="J4564" t="s">
        <v>8659</v>
      </c>
    </row>
    <row r="4565" spans="1:10" x14ac:dyDescent="0.25">
      <c r="A4565" t="s">
        <v>4511</v>
      </c>
      <c r="B4565">
        <v>20.847999999999999</v>
      </c>
      <c r="C4565" t="s">
        <v>4513</v>
      </c>
      <c r="D4565" t="s">
        <v>366</v>
      </c>
      <c r="E4565" t="s">
        <v>4347</v>
      </c>
      <c r="F4565" t="s">
        <v>7672</v>
      </c>
      <c r="G4565" t="s">
        <v>17917</v>
      </c>
      <c r="H4565" t="s">
        <v>10970</v>
      </c>
      <c r="I4565" t="s">
        <v>17931</v>
      </c>
      <c r="J4565" t="s">
        <v>8659</v>
      </c>
    </row>
    <row r="4566" spans="1:10" x14ac:dyDescent="0.25">
      <c r="A4566" t="s">
        <v>4515</v>
      </c>
      <c r="B4566">
        <v>20.847999999999999</v>
      </c>
      <c r="C4566" t="s">
        <v>4517</v>
      </c>
      <c r="D4566" t="s">
        <v>282</v>
      </c>
      <c r="E4566" t="s">
        <v>4347</v>
      </c>
      <c r="F4566" t="s">
        <v>7672</v>
      </c>
      <c r="G4566" t="s">
        <v>17917</v>
      </c>
      <c r="H4566" t="s">
        <v>10970</v>
      </c>
      <c r="I4566" t="s">
        <v>17920</v>
      </c>
      <c r="J4566" t="s">
        <v>16679</v>
      </c>
    </row>
    <row r="4567" spans="1:10" x14ac:dyDescent="0.25">
      <c r="A4567" t="s">
        <v>4519</v>
      </c>
      <c r="B4567">
        <v>20.847999999999999</v>
      </c>
      <c r="C4567" t="s">
        <v>4521</v>
      </c>
      <c r="D4567" t="s">
        <v>60</v>
      </c>
      <c r="E4567" t="s">
        <v>4347</v>
      </c>
      <c r="F4567" t="s">
        <v>7672</v>
      </c>
      <c r="G4567" t="s">
        <v>17917</v>
      </c>
      <c r="H4567" t="s">
        <v>10970</v>
      </c>
      <c r="I4567" t="s">
        <v>17931</v>
      </c>
      <c r="J4567" t="s">
        <v>16679</v>
      </c>
    </row>
    <row r="4568" spans="1:10" x14ac:dyDescent="0.25">
      <c r="A4568" t="s">
        <v>17940</v>
      </c>
      <c r="B4568">
        <v>20.847999999999999</v>
      </c>
      <c r="C4568" t="s">
        <v>17941</v>
      </c>
      <c r="D4568" t="s">
        <v>53</v>
      </c>
      <c r="E4568" t="s">
        <v>4347</v>
      </c>
      <c r="F4568" t="s">
        <v>7672</v>
      </c>
      <c r="G4568" t="s">
        <v>17917</v>
      </c>
      <c r="H4568" t="s">
        <v>10970</v>
      </c>
      <c r="I4568" t="s">
        <v>4386</v>
      </c>
      <c r="J4568" t="s">
        <v>16679</v>
      </c>
    </row>
    <row r="4569" spans="1:10" x14ac:dyDescent="0.25">
      <c r="A4569" t="s">
        <v>4523</v>
      </c>
      <c r="B4569">
        <v>20.847999999999999</v>
      </c>
      <c r="C4569" t="s">
        <v>4525</v>
      </c>
      <c r="D4569" t="s">
        <v>53</v>
      </c>
      <c r="E4569" t="s">
        <v>4347</v>
      </c>
      <c r="F4569" t="s">
        <v>7672</v>
      </c>
      <c r="G4569" t="s">
        <v>17917</v>
      </c>
      <c r="H4569" t="s">
        <v>10970</v>
      </c>
      <c r="I4569" t="s">
        <v>17939</v>
      </c>
      <c r="J4569" t="s">
        <v>16683</v>
      </c>
    </row>
    <row r="4570" spans="1:10" x14ac:dyDescent="0.25">
      <c r="A4570" t="s">
        <v>4527</v>
      </c>
      <c r="B4570">
        <v>20.847999999999999</v>
      </c>
      <c r="C4570" t="s">
        <v>4529</v>
      </c>
      <c r="D4570" t="s">
        <v>106</v>
      </c>
      <c r="E4570" t="s">
        <v>4347</v>
      </c>
      <c r="F4570" t="s">
        <v>7672</v>
      </c>
      <c r="G4570" t="s">
        <v>17917</v>
      </c>
      <c r="H4570" t="s">
        <v>10970</v>
      </c>
      <c r="I4570" t="s">
        <v>17920</v>
      </c>
      <c r="J4570" t="s">
        <v>16683</v>
      </c>
    </row>
    <row r="4571" spans="1:10" x14ac:dyDescent="0.25">
      <c r="A4571" t="s">
        <v>4531</v>
      </c>
      <c r="B4571">
        <v>20.847999999999999</v>
      </c>
      <c r="C4571" t="s">
        <v>4533</v>
      </c>
      <c r="D4571" t="s">
        <v>100</v>
      </c>
      <c r="E4571" t="s">
        <v>4347</v>
      </c>
      <c r="F4571" t="s">
        <v>7672</v>
      </c>
      <c r="G4571" t="s">
        <v>17917</v>
      </c>
      <c r="H4571" t="s">
        <v>10970</v>
      </c>
      <c r="I4571" t="s">
        <v>17931</v>
      </c>
      <c r="J4571" t="s">
        <v>16683</v>
      </c>
    </row>
    <row r="4572" spans="1:10" x14ac:dyDescent="0.25">
      <c r="A4572" t="s">
        <v>4535</v>
      </c>
      <c r="B4572">
        <v>20.847999999999999</v>
      </c>
      <c r="C4572" t="s">
        <v>4537</v>
      </c>
      <c r="D4572" t="s">
        <v>352</v>
      </c>
      <c r="E4572" t="s">
        <v>4347</v>
      </c>
      <c r="F4572" t="s">
        <v>7672</v>
      </c>
      <c r="G4572" t="s">
        <v>17917</v>
      </c>
      <c r="H4572" t="s">
        <v>10970</v>
      </c>
      <c r="I4572" t="s">
        <v>17918</v>
      </c>
      <c r="J4572" t="s">
        <v>10292</v>
      </c>
    </row>
    <row r="4573" spans="1:10" x14ac:dyDescent="0.25">
      <c r="A4573" t="s">
        <v>4539</v>
      </c>
      <c r="B4573">
        <v>20.847999999999999</v>
      </c>
      <c r="C4573" t="s">
        <v>4541</v>
      </c>
      <c r="D4573" t="s">
        <v>106</v>
      </c>
      <c r="E4573" t="s">
        <v>4347</v>
      </c>
      <c r="F4573" t="s">
        <v>7672</v>
      </c>
      <c r="G4573" t="s">
        <v>17917</v>
      </c>
      <c r="H4573" t="s">
        <v>10970</v>
      </c>
      <c r="I4573" t="s">
        <v>17920</v>
      </c>
      <c r="J4573" t="s">
        <v>10292</v>
      </c>
    </row>
    <row r="4574" spans="1:10" x14ac:dyDescent="0.25">
      <c r="A4574" t="s">
        <v>4543</v>
      </c>
      <c r="B4574">
        <v>20.847999999999999</v>
      </c>
      <c r="C4574" t="s">
        <v>4545</v>
      </c>
      <c r="D4574" t="s">
        <v>2697</v>
      </c>
      <c r="E4574" t="s">
        <v>4347</v>
      </c>
      <c r="F4574" t="s">
        <v>7672</v>
      </c>
      <c r="G4574" t="s">
        <v>17917</v>
      </c>
      <c r="H4574" t="s">
        <v>10970</v>
      </c>
      <c r="I4574" t="s">
        <v>17931</v>
      </c>
      <c r="J4574" t="s">
        <v>10292</v>
      </c>
    </row>
    <row r="4575" spans="1:10" x14ac:dyDescent="0.25">
      <c r="A4575" t="s">
        <v>17942</v>
      </c>
      <c r="B4575">
        <v>20.847999999999999</v>
      </c>
      <c r="C4575" t="s">
        <v>17943</v>
      </c>
      <c r="D4575" t="s">
        <v>131</v>
      </c>
      <c r="E4575" t="s">
        <v>4347</v>
      </c>
      <c r="F4575" t="s">
        <v>7672</v>
      </c>
      <c r="G4575" t="s">
        <v>17917</v>
      </c>
      <c r="H4575" t="s">
        <v>10970</v>
      </c>
      <c r="I4575" t="s">
        <v>4386</v>
      </c>
      <c r="J4575" t="s">
        <v>10292</v>
      </c>
    </row>
    <row r="4576" spans="1:10" x14ac:dyDescent="0.25">
      <c r="A4576" t="s">
        <v>17944</v>
      </c>
      <c r="B4576">
        <v>13.6</v>
      </c>
      <c r="C4576" t="s">
        <v>17945</v>
      </c>
      <c r="D4576" t="s">
        <v>199</v>
      </c>
      <c r="E4576" t="s">
        <v>17946</v>
      </c>
      <c r="F4576" t="s">
        <v>7672</v>
      </c>
      <c r="G4576" t="s">
        <v>17947</v>
      </c>
      <c r="H4576" t="s">
        <v>15474</v>
      </c>
      <c r="I4576" t="s">
        <v>1490</v>
      </c>
      <c r="J4576" t="s">
        <v>131</v>
      </c>
    </row>
    <row r="4577" spans="1:10" x14ac:dyDescent="0.25">
      <c r="A4577" t="s">
        <v>17948</v>
      </c>
      <c r="B4577">
        <v>13.6</v>
      </c>
      <c r="C4577" t="s">
        <v>17949</v>
      </c>
      <c r="D4577" t="s">
        <v>352</v>
      </c>
      <c r="E4577" t="s">
        <v>17946</v>
      </c>
      <c r="F4577" t="s">
        <v>7672</v>
      </c>
      <c r="G4577" t="s">
        <v>17947</v>
      </c>
      <c r="H4577" t="s">
        <v>15474</v>
      </c>
      <c r="I4577" t="s">
        <v>1490</v>
      </c>
      <c r="J4577" t="s">
        <v>255</v>
      </c>
    </row>
    <row r="4578" spans="1:10" x14ac:dyDescent="0.25">
      <c r="A4578" t="s">
        <v>17950</v>
      </c>
      <c r="B4578">
        <v>13.6</v>
      </c>
      <c r="C4578" t="s">
        <v>17951</v>
      </c>
      <c r="D4578" t="s">
        <v>342</v>
      </c>
      <c r="E4578" t="s">
        <v>17946</v>
      </c>
      <c r="F4578" t="s">
        <v>7672</v>
      </c>
      <c r="G4578" t="s">
        <v>17947</v>
      </c>
      <c r="H4578" t="s">
        <v>15474</v>
      </c>
      <c r="I4578" t="s">
        <v>1490</v>
      </c>
      <c r="J4578" t="s">
        <v>277</v>
      </c>
    </row>
    <row r="4579" spans="1:10" x14ac:dyDescent="0.25">
      <c r="A4579" t="s">
        <v>17952</v>
      </c>
      <c r="B4579">
        <v>12.592000000000001</v>
      </c>
      <c r="C4579" t="s">
        <v>17953</v>
      </c>
      <c r="D4579" t="s">
        <v>1949</v>
      </c>
      <c r="E4579" t="s">
        <v>17954</v>
      </c>
      <c r="F4579" t="s">
        <v>7672</v>
      </c>
      <c r="G4579" t="s">
        <v>17955</v>
      </c>
      <c r="H4579" t="s">
        <v>11598</v>
      </c>
      <c r="I4579" t="s">
        <v>13052</v>
      </c>
      <c r="J4579" t="s">
        <v>8427</v>
      </c>
    </row>
    <row r="4580" spans="1:10" x14ac:dyDescent="0.25">
      <c r="A4580" t="s">
        <v>17956</v>
      </c>
      <c r="B4580">
        <v>12.592000000000001</v>
      </c>
      <c r="C4580" t="s">
        <v>17957</v>
      </c>
      <c r="D4580" t="s">
        <v>255</v>
      </c>
      <c r="E4580" t="s">
        <v>17954</v>
      </c>
      <c r="F4580" t="s">
        <v>7672</v>
      </c>
      <c r="G4580" t="s">
        <v>17955</v>
      </c>
      <c r="H4580" t="s">
        <v>11598</v>
      </c>
      <c r="I4580" t="s">
        <v>11206</v>
      </c>
      <c r="J4580" t="s">
        <v>8439</v>
      </c>
    </row>
    <row r="4581" spans="1:10" x14ac:dyDescent="0.25">
      <c r="A4581" t="s">
        <v>17958</v>
      </c>
      <c r="B4581">
        <v>12.592000000000001</v>
      </c>
      <c r="C4581" t="s">
        <v>17959</v>
      </c>
      <c r="D4581" t="s">
        <v>2036</v>
      </c>
      <c r="E4581" t="s">
        <v>17954</v>
      </c>
      <c r="F4581" t="s">
        <v>7672</v>
      </c>
      <c r="G4581" t="s">
        <v>17955</v>
      </c>
      <c r="H4581" t="s">
        <v>11598</v>
      </c>
      <c r="I4581" t="s">
        <v>13052</v>
      </c>
      <c r="J4581" t="s">
        <v>8439</v>
      </c>
    </row>
    <row r="4582" spans="1:10" x14ac:dyDescent="0.25">
      <c r="A4582" t="s">
        <v>17960</v>
      </c>
      <c r="B4582">
        <v>12.592000000000001</v>
      </c>
      <c r="C4582" t="s">
        <v>17961</v>
      </c>
      <c r="D4582" t="s">
        <v>843</v>
      </c>
      <c r="E4582" t="s">
        <v>17954</v>
      </c>
      <c r="F4582" t="s">
        <v>7672</v>
      </c>
      <c r="G4582" t="s">
        <v>17955</v>
      </c>
      <c r="H4582" t="s">
        <v>11598</v>
      </c>
      <c r="I4582" t="s">
        <v>11206</v>
      </c>
      <c r="J4582" t="s">
        <v>8451</v>
      </c>
    </row>
    <row r="4583" spans="1:10" x14ac:dyDescent="0.25">
      <c r="A4583" t="s">
        <v>17962</v>
      </c>
      <c r="B4583">
        <v>12.592000000000001</v>
      </c>
      <c r="C4583" t="s">
        <v>17963</v>
      </c>
      <c r="D4583" t="s">
        <v>8618</v>
      </c>
      <c r="E4583" t="s">
        <v>17954</v>
      </c>
      <c r="F4583" t="s">
        <v>7672</v>
      </c>
      <c r="G4583" t="s">
        <v>17955</v>
      </c>
      <c r="H4583" t="s">
        <v>11598</v>
      </c>
      <c r="I4583" t="s">
        <v>13052</v>
      </c>
      <c r="J4583" t="s">
        <v>8451</v>
      </c>
    </row>
    <row r="4584" spans="1:10" x14ac:dyDescent="0.25">
      <c r="A4584" t="s">
        <v>17964</v>
      </c>
      <c r="B4584">
        <v>12.592000000000001</v>
      </c>
      <c r="C4584" t="s">
        <v>17965</v>
      </c>
      <c r="D4584" t="s">
        <v>2910</v>
      </c>
      <c r="E4584" t="s">
        <v>17954</v>
      </c>
      <c r="F4584" t="s">
        <v>7672</v>
      </c>
      <c r="G4584" t="s">
        <v>17955</v>
      </c>
      <c r="H4584" t="s">
        <v>11598</v>
      </c>
      <c r="I4584" t="s">
        <v>13052</v>
      </c>
      <c r="J4584" t="s">
        <v>8462</v>
      </c>
    </row>
    <row r="4585" spans="1:10" x14ac:dyDescent="0.25">
      <c r="A4585" t="s">
        <v>17966</v>
      </c>
      <c r="B4585">
        <v>12.592000000000001</v>
      </c>
      <c r="C4585" t="s">
        <v>17967</v>
      </c>
      <c r="D4585" t="s">
        <v>60</v>
      </c>
      <c r="E4585" t="s">
        <v>17954</v>
      </c>
      <c r="F4585" t="s">
        <v>7672</v>
      </c>
      <c r="G4585" t="s">
        <v>17955</v>
      </c>
      <c r="H4585" t="s">
        <v>11598</v>
      </c>
      <c r="I4585" t="s">
        <v>11206</v>
      </c>
      <c r="J4585" t="s">
        <v>8462</v>
      </c>
    </row>
    <row r="4586" spans="1:10" x14ac:dyDescent="0.25">
      <c r="A4586" t="s">
        <v>17968</v>
      </c>
      <c r="B4586">
        <v>10.24</v>
      </c>
      <c r="C4586" t="s">
        <v>17969</v>
      </c>
      <c r="D4586" t="s">
        <v>245</v>
      </c>
      <c r="E4586" t="s">
        <v>17970</v>
      </c>
      <c r="F4586" t="s">
        <v>7672</v>
      </c>
      <c r="G4586" t="s">
        <v>17971</v>
      </c>
      <c r="H4586" t="s">
        <v>15122</v>
      </c>
      <c r="I4586" t="s">
        <v>15935</v>
      </c>
      <c r="J4586" t="s">
        <v>11767</v>
      </c>
    </row>
    <row r="4587" spans="1:10" x14ac:dyDescent="0.25">
      <c r="A4587" t="s">
        <v>17972</v>
      </c>
      <c r="B4587">
        <v>10.24</v>
      </c>
      <c r="C4587" t="s">
        <v>17973</v>
      </c>
      <c r="D4587" t="s">
        <v>250</v>
      </c>
      <c r="E4587" t="s">
        <v>17970</v>
      </c>
      <c r="F4587" t="s">
        <v>7672</v>
      </c>
      <c r="G4587" t="s">
        <v>17971</v>
      </c>
      <c r="H4587" t="s">
        <v>15122</v>
      </c>
      <c r="I4587" t="s">
        <v>15935</v>
      </c>
      <c r="J4587" t="s">
        <v>11582</v>
      </c>
    </row>
    <row r="4588" spans="1:10" x14ac:dyDescent="0.25">
      <c r="A4588" t="s">
        <v>17974</v>
      </c>
      <c r="B4588">
        <v>10.24</v>
      </c>
      <c r="C4588" t="s">
        <v>17975</v>
      </c>
      <c r="D4588" t="s">
        <v>1254</v>
      </c>
      <c r="E4588" t="s">
        <v>17970</v>
      </c>
      <c r="F4588" t="s">
        <v>7672</v>
      </c>
      <c r="G4588" t="s">
        <v>17971</v>
      </c>
      <c r="H4588" t="s">
        <v>15122</v>
      </c>
      <c r="I4588" t="s">
        <v>15935</v>
      </c>
      <c r="J4588" t="s">
        <v>11585</v>
      </c>
    </row>
    <row r="4589" spans="1:10" x14ac:dyDescent="0.25">
      <c r="A4589" t="s">
        <v>17976</v>
      </c>
      <c r="B4589">
        <v>10.24</v>
      </c>
      <c r="C4589" t="s">
        <v>17977</v>
      </c>
      <c r="D4589" t="s">
        <v>2347</v>
      </c>
      <c r="E4589" t="s">
        <v>17970</v>
      </c>
      <c r="F4589" t="s">
        <v>7672</v>
      </c>
      <c r="G4589" t="s">
        <v>17971</v>
      </c>
      <c r="H4589" t="s">
        <v>15122</v>
      </c>
      <c r="I4589" t="s">
        <v>15935</v>
      </c>
      <c r="J4589" t="s">
        <v>10369</v>
      </c>
    </row>
    <row r="4590" spans="1:10" x14ac:dyDescent="0.25">
      <c r="A4590" t="s">
        <v>17978</v>
      </c>
      <c r="B4590">
        <v>15.288</v>
      </c>
      <c r="C4590" t="s">
        <v>17979</v>
      </c>
      <c r="D4590" t="s">
        <v>53</v>
      </c>
      <c r="E4590" t="s">
        <v>17980</v>
      </c>
      <c r="F4590" t="s">
        <v>7672</v>
      </c>
      <c r="G4590" t="s">
        <v>17981</v>
      </c>
      <c r="H4590" t="s">
        <v>12423</v>
      </c>
      <c r="I4590" t="s">
        <v>17982</v>
      </c>
      <c r="J4590" t="s">
        <v>7675</v>
      </c>
    </row>
    <row r="4591" spans="1:10" x14ac:dyDescent="0.25">
      <c r="A4591" t="s">
        <v>17983</v>
      </c>
      <c r="B4591">
        <v>4.3920000000000003</v>
      </c>
      <c r="C4591" t="s">
        <v>17984</v>
      </c>
      <c r="D4591" t="s">
        <v>17985</v>
      </c>
      <c r="E4591" t="s">
        <v>17986</v>
      </c>
      <c r="F4591" t="s">
        <v>7672</v>
      </c>
      <c r="G4591" t="s">
        <v>17987</v>
      </c>
      <c r="H4591" t="s">
        <v>8027</v>
      </c>
      <c r="I4591" t="s">
        <v>8194</v>
      </c>
      <c r="J4591" t="s">
        <v>8013</v>
      </c>
    </row>
    <row r="4592" spans="1:10" x14ac:dyDescent="0.25">
      <c r="A4592" t="s">
        <v>17988</v>
      </c>
      <c r="B4592">
        <v>12.992000000000001</v>
      </c>
      <c r="C4592" t="s">
        <v>17989</v>
      </c>
      <c r="D4592" t="s">
        <v>3827</v>
      </c>
      <c r="E4592" t="s">
        <v>17990</v>
      </c>
      <c r="F4592" t="s">
        <v>7672</v>
      </c>
      <c r="G4592" t="s">
        <v>17991</v>
      </c>
      <c r="H4592" t="s">
        <v>17992</v>
      </c>
      <c r="I4592" t="s">
        <v>8158</v>
      </c>
      <c r="J4592" t="s">
        <v>8427</v>
      </c>
    </row>
    <row r="4593" spans="1:10" x14ac:dyDescent="0.25">
      <c r="A4593" t="s">
        <v>17993</v>
      </c>
      <c r="B4593">
        <v>12.992000000000001</v>
      </c>
      <c r="C4593" t="s">
        <v>17994</v>
      </c>
      <c r="D4593" t="s">
        <v>639</v>
      </c>
      <c r="E4593" t="s">
        <v>17990</v>
      </c>
      <c r="F4593" t="s">
        <v>7672</v>
      </c>
      <c r="G4593" t="s">
        <v>17991</v>
      </c>
      <c r="H4593" t="s">
        <v>17992</v>
      </c>
      <c r="I4593" t="s">
        <v>8158</v>
      </c>
      <c r="J4593" t="s">
        <v>8439</v>
      </c>
    </row>
    <row r="4594" spans="1:10" x14ac:dyDescent="0.25">
      <c r="A4594" t="s">
        <v>17995</v>
      </c>
      <c r="B4594">
        <v>12.992000000000001</v>
      </c>
      <c r="C4594" t="s">
        <v>17996</v>
      </c>
      <c r="D4594" t="s">
        <v>2198</v>
      </c>
      <c r="E4594" t="s">
        <v>17990</v>
      </c>
      <c r="F4594" t="s">
        <v>7672</v>
      </c>
      <c r="G4594" t="s">
        <v>17991</v>
      </c>
      <c r="H4594" t="s">
        <v>17992</v>
      </c>
      <c r="I4594" t="s">
        <v>8158</v>
      </c>
      <c r="J4594" t="s">
        <v>8451</v>
      </c>
    </row>
    <row r="4595" spans="1:10" x14ac:dyDescent="0.25">
      <c r="A4595" t="s">
        <v>17997</v>
      </c>
      <c r="B4595">
        <v>12.992000000000001</v>
      </c>
      <c r="C4595" t="s">
        <v>17998</v>
      </c>
      <c r="D4595" t="s">
        <v>3023</v>
      </c>
      <c r="E4595" t="s">
        <v>17990</v>
      </c>
      <c r="F4595" t="s">
        <v>7672</v>
      </c>
      <c r="G4595" t="s">
        <v>17991</v>
      </c>
      <c r="H4595" t="s">
        <v>17992</v>
      </c>
      <c r="I4595" t="s">
        <v>8158</v>
      </c>
      <c r="J4595" t="s">
        <v>8462</v>
      </c>
    </row>
    <row r="4596" spans="1:10" x14ac:dyDescent="0.25">
      <c r="A4596" t="s">
        <v>17999</v>
      </c>
      <c r="B4596">
        <v>10.4</v>
      </c>
      <c r="C4596" t="s">
        <v>18000</v>
      </c>
      <c r="D4596" t="s">
        <v>53</v>
      </c>
      <c r="E4596" t="s">
        <v>18001</v>
      </c>
      <c r="F4596" t="s">
        <v>7672</v>
      </c>
      <c r="G4596" t="s">
        <v>18002</v>
      </c>
      <c r="H4596" t="s">
        <v>18003</v>
      </c>
      <c r="I4596" t="s">
        <v>1440</v>
      </c>
      <c r="J4596" t="s">
        <v>53</v>
      </c>
    </row>
    <row r="4597" spans="1:10" x14ac:dyDescent="0.25">
      <c r="A4597" t="s">
        <v>18004</v>
      </c>
      <c r="B4597">
        <v>8</v>
      </c>
      <c r="C4597" t="s">
        <v>18005</v>
      </c>
      <c r="D4597" t="s">
        <v>385</v>
      </c>
      <c r="E4597" t="s">
        <v>18006</v>
      </c>
      <c r="F4597" t="s">
        <v>7672</v>
      </c>
      <c r="G4597" t="s">
        <v>18007</v>
      </c>
      <c r="H4597" t="s">
        <v>8301</v>
      </c>
      <c r="I4597" t="s">
        <v>8158</v>
      </c>
      <c r="J4597" t="s">
        <v>7987</v>
      </c>
    </row>
    <row r="4598" spans="1:10" x14ac:dyDescent="0.25">
      <c r="A4598" t="s">
        <v>18008</v>
      </c>
      <c r="B4598">
        <v>8</v>
      </c>
      <c r="C4598" t="s">
        <v>18009</v>
      </c>
      <c r="D4598" t="s">
        <v>975</v>
      </c>
      <c r="E4598" t="s">
        <v>18006</v>
      </c>
      <c r="F4598" t="s">
        <v>7672</v>
      </c>
      <c r="G4598" t="s">
        <v>18007</v>
      </c>
      <c r="H4598" t="s">
        <v>8301</v>
      </c>
      <c r="I4598" t="s">
        <v>8317</v>
      </c>
      <c r="J4598" t="s">
        <v>8001</v>
      </c>
    </row>
    <row r="4599" spans="1:10" x14ac:dyDescent="0.25">
      <c r="A4599" t="s">
        <v>18010</v>
      </c>
      <c r="B4599">
        <v>8</v>
      </c>
      <c r="C4599" t="s">
        <v>18011</v>
      </c>
      <c r="D4599" t="s">
        <v>2243</v>
      </c>
      <c r="E4599" t="s">
        <v>18006</v>
      </c>
      <c r="F4599" t="s">
        <v>7672</v>
      </c>
      <c r="G4599" t="s">
        <v>18007</v>
      </c>
      <c r="H4599" t="s">
        <v>8301</v>
      </c>
      <c r="I4599" t="s">
        <v>8158</v>
      </c>
      <c r="J4599" t="s">
        <v>8001</v>
      </c>
    </row>
    <row r="4600" spans="1:10" x14ac:dyDescent="0.25">
      <c r="A4600" t="s">
        <v>18012</v>
      </c>
      <c r="B4600">
        <v>8</v>
      </c>
      <c r="C4600" t="s">
        <v>18013</v>
      </c>
      <c r="D4600" t="s">
        <v>4100</v>
      </c>
      <c r="E4600" t="s">
        <v>18006</v>
      </c>
      <c r="F4600" t="s">
        <v>7672</v>
      </c>
      <c r="G4600" t="s">
        <v>18007</v>
      </c>
      <c r="H4600" t="s">
        <v>8301</v>
      </c>
      <c r="I4600" t="s">
        <v>18014</v>
      </c>
      <c r="J4600" t="s">
        <v>8001</v>
      </c>
    </row>
    <row r="4601" spans="1:10" x14ac:dyDescent="0.25">
      <c r="A4601" t="s">
        <v>18015</v>
      </c>
      <c r="B4601">
        <v>8</v>
      </c>
      <c r="C4601" t="s">
        <v>18016</v>
      </c>
      <c r="D4601" t="s">
        <v>742</v>
      </c>
      <c r="E4601" t="s">
        <v>18006</v>
      </c>
      <c r="F4601" t="s">
        <v>7672</v>
      </c>
      <c r="G4601" t="s">
        <v>18007</v>
      </c>
      <c r="H4601" t="s">
        <v>8301</v>
      </c>
      <c r="I4601" t="s">
        <v>8317</v>
      </c>
      <c r="J4601" t="s">
        <v>8013</v>
      </c>
    </row>
    <row r="4602" spans="1:10" x14ac:dyDescent="0.25">
      <c r="A4602" t="s">
        <v>18017</v>
      </c>
      <c r="B4602">
        <v>8</v>
      </c>
      <c r="C4602" t="s">
        <v>18018</v>
      </c>
      <c r="D4602" t="s">
        <v>131</v>
      </c>
      <c r="E4602" t="s">
        <v>18006</v>
      </c>
      <c r="F4602" t="s">
        <v>7672</v>
      </c>
      <c r="G4602" t="s">
        <v>18007</v>
      </c>
      <c r="H4602" t="s">
        <v>8301</v>
      </c>
      <c r="I4602" t="s">
        <v>18014</v>
      </c>
      <c r="J4602" t="s">
        <v>8013</v>
      </c>
    </row>
    <row r="4603" spans="1:10" x14ac:dyDescent="0.25">
      <c r="A4603" t="s">
        <v>4547</v>
      </c>
      <c r="B4603">
        <v>6.4</v>
      </c>
      <c r="C4603" t="s">
        <v>4549</v>
      </c>
      <c r="D4603" t="s">
        <v>60</v>
      </c>
      <c r="E4603" t="s">
        <v>4550</v>
      </c>
      <c r="F4603" t="s">
        <v>7672</v>
      </c>
      <c r="G4603" t="s">
        <v>18019</v>
      </c>
      <c r="H4603" t="s">
        <v>11496</v>
      </c>
      <c r="I4603" t="s">
        <v>18020</v>
      </c>
      <c r="J4603" t="s">
        <v>9423</v>
      </c>
    </row>
    <row r="4604" spans="1:10" x14ac:dyDescent="0.25">
      <c r="A4604" t="s">
        <v>4552</v>
      </c>
      <c r="B4604">
        <v>6.4</v>
      </c>
      <c r="C4604" t="s">
        <v>4554</v>
      </c>
      <c r="D4604" t="s">
        <v>290</v>
      </c>
      <c r="E4604" t="s">
        <v>4550</v>
      </c>
      <c r="F4604" t="s">
        <v>7672</v>
      </c>
      <c r="G4604" t="s">
        <v>18019</v>
      </c>
      <c r="H4604" t="s">
        <v>11496</v>
      </c>
      <c r="I4604" t="s">
        <v>18020</v>
      </c>
      <c r="J4604" t="s">
        <v>9426</v>
      </c>
    </row>
    <row r="4605" spans="1:10" x14ac:dyDescent="0.25">
      <c r="A4605" t="s">
        <v>4556</v>
      </c>
      <c r="B4605">
        <v>6.4</v>
      </c>
      <c r="C4605" t="s">
        <v>4558</v>
      </c>
      <c r="D4605" t="s">
        <v>875</v>
      </c>
      <c r="E4605" t="s">
        <v>4550</v>
      </c>
      <c r="F4605" t="s">
        <v>7672</v>
      </c>
      <c r="G4605" t="s">
        <v>18019</v>
      </c>
      <c r="H4605" t="s">
        <v>11496</v>
      </c>
      <c r="I4605" t="s">
        <v>18020</v>
      </c>
      <c r="J4605" t="s">
        <v>13084</v>
      </c>
    </row>
    <row r="4606" spans="1:10" x14ac:dyDescent="0.25">
      <c r="A4606" t="s">
        <v>4561</v>
      </c>
      <c r="B4606">
        <v>6.4</v>
      </c>
      <c r="C4606" t="s">
        <v>4563</v>
      </c>
      <c r="D4606" t="s">
        <v>250</v>
      </c>
      <c r="E4606" t="s">
        <v>4550</v>
      </c>
      <c r="F4606" t="s">
        <v>7672</v>
      </c>
      <c r="G4606" t="s">
        <v>18019</v>
      </c>
      <c r="H4606" t="s">
        <v>11496</v>
      </c>
      <c r="I4606" t="s">
        <v>18020</v>
      </c>
      <c r="J4606" t="s">
        <v>11767</v>
      </c>
    </row>
    <row r="4607" spans="1:10" x14ac:dyDescent="0.25">
      <c r="A4607" t="s">
        <v>18021</v>
      </c>
      <c r="B4607">
        <v>15.992000000000001</v>
      </c>
      <c r="C4607" t="s">
        <v>18022</v>
      </c>
      <c r="D4607" t="s">
        <v>835</v>
      </c>
      <c r="E4607" t="s">
        <v>18023</v>
      </c>
      <c r="F4607" t="s">
        <v>7672</v>
      </c>
      <c r="G4607" t="s">
        <v>18024</v>
      </c>
      <c r="H4607" t="s">
        <v>11381</v>
      </c>
      <c r="I4607" t="s">
        <v>18025</v>
      </c>
      <c r="J4607" t="s">
        <v>18026</v>
      </c>
    </row>
    <row r="4608" spans="1:10" x14ac:dyDescent="0.25">
      <c r="A4608" t="s">
        <v>18027</v>
      </c>
      <c r="B4608">
        <v>8.3920000000000012</v>
      </c>
      <c r="C4608" t="s">
        <v>18028</v>
      </c>
      <c r="D4608" t="s">
        <v>250</v>
      </c>
      <c r="E4608" t="s">
        <v>18029</v>
      </c>
      <c r="F4608" t="s">
        <v>7672</v>
      </c>
      <c r="G4608" t="s">
        <v>18030</v>
      </c>
      <c r="H4608" t="s">
        <v>10298</v>
      </c>
      <c r="I4608" t="s">
        <v>18031</v>
      </c>
      <c r="J4608" t="s">
        <v>11696</v>
      </c>
    </row>
    <row r="4609" spans="1:10" x14ac:dyDescent="0.25">
      <c r="A4609" t="s">
        <v>18032</v>
      </c>
      <c r="B4609">
        <v>8.3920000000000012</v>
      </c>
      <c r="C4609" t="s">
        <v>18033</v>
      </c>
      <c r="D4609" t="s">
        <v>311</v>
      </c>
      <c r="E4609" t="s">
        <v>18029</v>
      </c>
      <c r="F4609" t="s">
        <v>7672</v>
      </c>
      <c r="G4609" t="s">
        <v>18030</v>
      </c>
      <c r="H4609" t="s">
        <v>10298</v>
      </c>
      <c r="I4609" t="s">
        <v>18034</v>
      </c>
      <c r="J4609" t="s">
        <v>11696</v>
      </c>
    </row>
    <row r="4610" spans="1:10" x14ac:dyDescent="0.25">
      <c r="A4610" t="s">
        <v>18035</v>
      </c>
      <c r="B4610">
        <v>8.3920000000000012</v>
      </c>
      <c r="C4610" t="s">
        <v>18036</v>
      </c>
      <c r="D4610" t="s">
        <v>118</v>
      </c>
      <c r="E4610" t="s">
        <v>18029</v>
      </c>
      <c r="F4610" t="s">
        <v>7672</v>
      </c>
      <c r="G4610" t="s">
        <v>18030</v>
      </c>
      <c r="H4610" t="s">
        <v>10298</v>
      </c>
      <c r="I4610" t="s">
        <v>13300</v>
      </c>
      <c r="J4610" t="s">
        <v>11696</v>
      </c>
    </row>
    <row r="4611" spans="1:10" x14ac:dyDescent="0.25">
      <c r="A4611" t="s">
        <v>18037</v>
      </c>
      <c r="B4611">
        <v>8.3920000000000012</v>
      </c>
      <c r="C4611" t="s">
        <v>18038</v>
      </c>
      <c r="D4611" t="s">
        <v>396</v>
      </c>
      <c r="E4611" t="s">
        <v>18029</v>
      </c>
      <c r="F4611" t="s">
        <v>7672</v>
      </c>
      <c r="G4611" t="s">
        <v>18030</v>
      </c>
      <c r="H4611" t="s">
        <v>10298</v>
      </c>
      <c r="I4611" t="s">
        <v>18039</v>
      </c>
      <c r="J4611" t="s">
        <v>11696</v>
      </c>
    </row>
    <row r="4612" spans="1:10" x14ac:dyDescent="0.25">
      <c r="A4612" t="s">
        <v>18040</v>
      </c>
      <c r="B4612">
        <v>8.3920000000000012</v>
      </c>
      <c r="C4612" t="s">
        <v>18041</v>
      </c>
      <c r="D4612" t="s">
        <v>199</v>
      </c>
      <c r="E4612" t="s">
        <v>18029</v>
      </c>
      <c r="F4612" t="s">
        <v>7672</v>
      </c>
      <c r="G4612" t="s">
        <v>18030</v>
      </c>
      <c r="H4612" t="s">
        <v>10298</v>
      </c>
      <c r="I4612" t="s">
        <v>18031</v>
      </c>
      <c r="J4612" t="s">
        <v>11702</v>
      </c>
    </row>
    <row r="4613" spans="1:10" x14ac:dyDescent="0.25">
      <c r="A4613" t="s">
        <v>18042</v>
      </c>
      <c r="B4613">
        <v>8.3920000000000012</v>
      </c>
      <c r="C4613" t="s">
        <v>18043</v>
      </c>
      <c r="D4613" t="s">
        <v>3184</v>
      </c>
      <c r="E4613" t="s">
        <v>18029</v>
      </c>
      <c r="F4613" t="s">
        <v>7672</v>
      </c>
      <c r="G4613" t="s">
        <v>18030</v>
      </c>
      <c r="H4613" t="s">
        <v>10298</v>
      </c>
      <c r="I4613" t="s">
        <v>18034</v>
      </c>
      <c r="J4613" t="s">
        <v>11702</v>
      </c>
    </row>
    <row r="4614" spans="1:10" x14ac:dyDescent="0.25">
      <c r="A4614" t="s">
        <v>18044</v>
      </c>
      <c r="B4614">
        <v>8.3920000000000012</v>
      </c>
      <c r="C4614" t="s">
        <v>18045</v>
      </c>
      <c r="D4614" t="s">
        <v>1143</v>
      </c>
      <c r="E4614" t="s">
        <v>18029</v>
      </c>
      <c r="F4614" t="s">
        <v>7672</v>
      </c>
      <c r="G4614" t="s">
        <v>18030</v>
      </c>
      <c r="H4614" t="s">
        <v>10298</v>
      </c>
      <c r="I4614" t="s">
        <v>13300</v>
      </c>
      <c r="J4614" t="s">
        <v>11702</v>
      </c>
    </row>
    <row r="4615" spans="1:10" x14ac:dyDescent="0.25">
      <c r="A4615" t="s">
        <v>18046</v>
      </c>
      <c r="B4615">
        <v>8.3920000000000012</v>
      </c>
      <c r="C4615" t="s">
        <v>18047</v>
      </c>
      <c r="D4615" t="s">
        <v>1621</v>
      </c>
      <c r="E4615" t="s">
        <v>18029</v>
      </c>
      <c r="F4615" t="s">
        <v>7672</v>
      </c>
      <c r="G4615" t="s">
        <v>18030</v>
      </c>
      <c r="H4615" t="s">
        <v>10298</v>
      </c>
      <c r="I4615" t="s">
        <v>18039</v>
      </c>
      <c r="J4615" t="s">
        <v>11702</v>
      </c>
    </row>
    <row r="4616" spans="1:10" x14ac:dyDescent="0.25">
      <c r="A4616" t="s">
        <v>18048</v>
      </c>
      <c r="B4616">
        <v>8.3920000000000012</v>
      </c>
      <c r="C4616" t="s">
        <v>18049</v>
      </c>
      <c r="D4616" t="s">
        <v>849</v>
      </c>
      <c r="E4616" t="s">
        <v>18029</v>
      </c>
      <c r="F4616" t="s">
        <v>7672</v>
      </c>
      <c r="G4616" t="s">
        <v>18030</v>
      </c>
      <c r="H4616" t="s">
        <v>10298</v>
      </c>
      <c r="I4616" t="s">
        <v>18031</v>
      </c>
      <c r="J4616" t="s">
        <v>11710</v>
      </c>
    </row>
    <row r="4617" spans="1:10" x14ac:dyDescent="0.25">
      <c r="A4617" t="s">
        <v>18050</v>
      </c>
      <c r="B4617">
        <v>8.3920000000000012</v>
      </c>
      <c r="C4617" t="s">
        <v>18051</v>
      </c>
      <c r="D4617" t="s">
        <v>2620</v>
      </c>
      <c r="E4617" t="s">
        <v>18029</v>
      </c>
      <c r="F4617" t="s">
        <v>7672</v>
      </c>
      <c r="G4617" t="s">
        <v>18030</v>
      </c>
      <c r="H4617" t="s">
        <v>10298</v>
      </c>
      <c r="I4617" t="s">
        <v>18034</v>
      </c>
      <c r="J4617" t="s">
        <v>11710</v>
      </c>
    </row>
    <row r="4618" spans="1:10" x14ac:dyDescent="0.25">
      <c r="A4618" t="s">
        <v>18052</v>
      </c>
      <c r="B4618">
        <v>8.3920000000000012</v>
      </c>
      <c r="C4618" t="s">
        <v>18053</v>
      </c>
      <c r="D4618" t="s">
        <v>250</v>
      </c>
      <c r="E4618" t="s">
        <v>18029</v>
      </c>
      <c r="F4618" t="s">
        <v>7672</v>
      </c>
      <c r="G4618" t="s">
        <v>18030</v>
      </c>
      <c r="H4618" t="s">
        <v>10298</v>
      </c>
      <c r="I4618" t="s">
        <v>13300</v>
      </c>
      <c r="J4618" t="s">
        <v>11710</v>
      </c>
    </row>
    <row r="4619" spans="1:10" x14ac:dyDescent="0.25">
      <c r="A4619" t="s">
        <v>18054</v>
      </c>
      <c r="B4619">
        <v>8.3920000000000012</v>
      </c>
      <c r="C4619" t="s">
        <v>18055</v>
      </c>
      <c r="D4619" t="s">
        <v>2910</v>
      </c>
      <c r="E4619" t="s">
        <v>18029</v>
      </c>
      <c r="F4619" t="s">
        <v>7672</v>
      </c>
      <c r="G4619" t="s">
        <v>18030</v>
      </c>
      <c r="H4619" t="s">
        <v>10298</v>
      </c>
      <c r="I4619" t="s">
        <v>18039</v>
      </c>
      <c r="J4619" t="s">
        <v>11710</v>
      </c>
    </row>
    <row r="4620" spans="1:10" x14ac:dyDescent="0.25">
      <c r="A4620" t="s">
        <v>18056</v>
      </c>
      <c r="B4620">
        <v>8.3920000000000012</v>
      </c>
      <c r="C4620" t="s">
        <v>18057</v>
      </c>
      <c r="D4620" t="s">
        <v>1949</v>
      </c>
      <c r="E4620" t="s">
        <v>18029</v>
      </c>
      <c r="F4620" t="s">
        <v>7672</v>
      </c>
      <c r="G4620" t="s">
        <v>18030</v>
      </c>
      <c r="H4620" t="s">
        <v>10298</v>
      </c>
      <c r="I4620" t="s">
        <v>18039</v>
      </c>
      <c r="J4620" t="s">
        <v>12182</v>
      </c>
    </row>
    <row r="4621" spans="1:10" x14ac:dyDescent="0.25">
      <c r="A4621" t="s">
        <v>18058</v>
      </c>
      <c r="B4621">
        <v>8.3920000000000012</v>
      </c>
      <c r="C4621" t="s">
        <v>18059</v>
      </c>
      <c r="D4621" t="s">
        <v>286</v>
      </c>
      <c r="E4621" t="s">
        <v>18029</v>
      </c>
      <c r="F4621" t="s">
        <v>7672</v>
      </c>
      <c r="G4621" t="s">
        <v>18030</v>
      </c>
      <c r="H4621" t="s">
        <v>10298</v>
      </c>
      <c r="I4621" t="s">
        <v>18031</v>
      </c>
      <c r="J4621" t="s">
        <v>12182</v>
      </c>
    </row>
    <row r="4622" spans="1:10" x14ac:dyDescent="0.25">
      <c r="A4622" t="s">
        <v>18060</v>
      </c>
      <c r="B4622">
        <v>8.3920000000000012</v>
      </c>
      <c r="C4622" t="s">
        <v>18061</v>
      </c>
      <c r="D4622" t="s">
        <v>1949</v>
      </c>
      <c r="E4622" t="s">
        <v>18029</v>
      </c>
      <c r="F4622" t="s">
        <v>7672</v>
      </c>
      <c r="G4622" t="s">
        <v>18030</v>
      </c>
      <c r="H4622" t="s">
        <v>10298</v>
      </c>
      <c r="I4622" t="s">
        <v>18034</v>
      </c>
      <c r="J4622" t="s">
        <v>12182</v>
      </c>
    </row>
    <row r="4623" spans="1:10" x14ac:dyDescent="0.25">
      <c r="A4623" t="s">
        <v>18062</v>
      </c>
      <c r="B4623">
        <v>8.3920000000000012</v>
      </c>
      <c r="C4623" t="s">
        <v>18063</v>
      </c>
      <c r="D4623" t="s">
        <v>981</v>
      </c>
      <c r="E4623" t="s">
        <v>18029</v>
      </c>
      <c r="F4623" t="s">
        <v>7672</v>
      </c>
      <c r="G4623" t="s">
        <v>18030</v>
      </c>
      <c r="H4623" t="s">
        <v>10298</v>
      </c>
      <c r="I4623" t="s">
        <v>13300</v>
      </c>
      <c r="J4623" t="s">
        <v>12182</v>
      </c>
    </row>
    <row r="4624" spans="1:10" x14ac:dyDescent="0.25">
      <c r="A4624" t="s">
        <v>18064</v>
      </c>
      <c r="B4624">
        <v>8.3920000000000012</v>
      </c>
      <c r="C4624" t="s">
        <v>18065</v>
      </c>
      <c r="D4624" t="s">
        <v>311</v>
      </c>
      <c r="E4624" t="s">
        <v>18029</v>
      </c>
      <c r="F4624" t="s">
        <v>7672</v>
      </c>
      <c r="G4624" t="s">
        <v>18030</v>
      </c>
      <c r="H4624" t="s">
        <v>10298</v>
      </c>
      <c r="I4624" t="s">
        <v>13300</v>
      </c>
      <c r="J4624" t="s">
        <v>10150</v>
      </c>
    </row>
    <row r="4625" spans="1:10" x14ac:dyDescent="0.25">
      <c r="A4625" t="s">
        <v>18066</v>
      </c>
      <c r="B4625">
        <v>8.3920000000000012</v>
      </c>
      <c r="C4625" t="s">
        <v>18067</v>
      </c>
      <c r="D4625" t="s">
        <v>450</v>
      </c>
      <c r="E4625" t="s">
        <v>18029</v>
      </c>
      <c r="F4625" t="s">
        <v>7672</v>
      </c>
      <c r="G4625" t="s">
        <v>18030</v>
      </c>
      <c r="H4625" t="s">
        <v>10298</v>
      </c>
      <c r="I4625" t="s">
        <v>18039</v>
      </c>
      <c r="J4625" t="s">
        <v>10150</v>
      </c>
    </row>
    <row r="4626" spans="1:10" x14ac:dyDescent="0.25">
      <c r="A4626" t="s">
        <v>18068</v>
      </c>
      <c r="B4626">
        <v>8.3920000000000012</v>
      </c>
      <c r="C4626" t="s">
        <v>18069</v>
      </c>
      <c r="D4626" t="s">
        <v>2697</v>
      </c>
      <c r="E4626" t="s">
        <v>18029</v>
      </c>
      <c r="F4626" t="s">
        <v>7672</v>
      </c>
      <c r="G4626" t="s">
        <v>18030</v>
      </c>
      <c r="H4626" t="s">
        <v>10298</v>
      </c>
      <c r="I4626" t="s">
        <v>18031</v>
      </c>
      <c r="J4626" t="s">
        <v>10150</v>
      </c>
    </row>
    <row r="4627" spans="1:10" x14ac:dyDescent="0.25">
      <c r="A4627" t="s">
        <v>18070</v>
      </c>
      <c r="B4627">
        <v>8.3920000000000012</v>
      </c>
      <c r="C4627" t="s">
        <v>18071</v>
      </c>
      <c r="D4627" t="s">
        <v>903</v>
      </c>
      <c r="E4627" t="s">
        <v>18029</v>
      </c>
      <c r="F4627" t="s">
        <v>7672</v>
      </c>
      <c r="G4627" t="s">
        <v>18030</v>
      </c>
      <c r="H4627" t="s">
        <v>10298</v>
      </c>
      <c r="I4627" t="s">
        <v>18034</v>
      </c>
      <c r="J4627" t="s">
        <v>10150</v>
      </c>
    </row>
    <row r="4628" spans="1:10" x14ac:dyDescent="0.25">
      <c r="A4628" t="s">
        <v>18072</v>
      </c>
      <c r="B4628">
        <v>8.3920000000000012</v>
      </c>
      <c r="C4628" t="s">
        <v>18073</v>
      </c>
      <c r="D4628" t="s">
        <v>131</v>
      </c>
      <c r="E4628" t="s">
        <v>18029</v>
      </c>
      <c r="F4628" t="s">
        <v>7672</v>
      </c>
      <c r="G4628" t="s">
        <v>18030</v>
      </c>
      <c r="H4628" t="s">
        <v>10298</v>
      </c>
      <c r="I4628" t="s">
        <v>18039</v>
      </c>
      <c r="J4628" t="s">
        <v>15238</v>
      </c>
    </row>
    <row r="4629" spans="1:10" x14ac:dyDescent="0.25">
      <c r="A4629" t="s">
        <v>18074</v>
      </c>
      <c r="B4629">
        <v>8.3920000000000012</v>
      </c>
      <c r="C4629" t="s">
        <v>18075</v>
      </c>
      <c r="D4629" t="s">
        <v>53</v>
      </c>
      <c r="E4629" t="s">
        <v>18029</v>
      </c>
      <c r="F4629" t="s">
        <v>7672</v>
      </c>
      <c r="G4629" t="s">
        <v>18030</v>
      </c>
      <c r="H4629" t="s">
        <v>10298</v>
      </c>
      <c r="I4629" t="s">
        <v>18031</v>
      </c>
      <c r="J4629" t="s">
        <v>15238</v>
      </c>
    </row>
    <row r="4630" spans="1:10" x14ac:dyDescent="0.25">
      <c r="A4630" t="s">
        <v>18076</v>
      </c>
      <c r="B4630">
        <v>8.3920000000000012</v>
      </c>
      <c r="C4630" t="s">
        <v>18077</v>
      </c>
      <c r="D4630" t="s">
        <v>342</v>
      </c>
      <c r="E4630" t="s">
        <v>18029</v>
      </c>
      <c r="F4630" t="s">
        <v>7672</v>
      </c>
      <c r="G4630" t="s">
        <v>18030</v>
      </c>
      <c r="H4630" t="s">
        <v>10298</v>
      </c>
      <c r="I4630" t="s">
        <v>18034</v>
      </c>
      <c r="J4630" t="s">
        <v>15238</v>
      </c>
    </row>
    <row r="4631" spans="1:10" x14ac:dyDescent="0.25">
      <c r="A4631" t="s">
        <v>18078</v>
      </c>
      <c r="B4631">
        <v>8.3920000000000012</v>
      </c>
      <c r="C4631" t="s">
        <v>18079</v>
      </c>
      <c r="D4631" t="s">
        <v>53</v>
      </c>
      <c r="E4631" t="s">
        <v>18029</v>
      </c>
      <c r="F4631" t="s">
        <v>7672</v>
      </c>
      <c r="G4631" t="s">
        <v>18030</v>
      </c>
      <c r="H4631" t="s">
        <v>10298</v>
      </c>
      <c r="I4631" t="s">
        <v>18034</v>
      </c>
      <c r="J4631" t="s">
        <v>15070</v>
      </c>
    </row>
    <row r="4632" spans="1:10" x14ac:dyDescent="0.25">
      <c r="A4632" t="s">
        <v>18080</v>
      </c>
      <c r="B4632">
        <v>8.3920000000000012</v>
      </c>
      <c r="C4632" t="s">
        <v>18081</v>
      </c>
      <c r="D4632" t="s">
        <v>106</v>
      </c>
      <c r="E4632" t="s">
        <v>18029</v>
      </c>
      <c r="F4632" t="s">
        <v>7672</v>
      </c>
      <c r="G4632" t="s">
        <v>18030</v>
      </c>
      <c r="H4632" t="s">
        <v>10298</v>
      </c>
      <c r="I4632" t="s">
        <v>18039</v>
      </c>
      <c r="J4632" t="s">
        <v>15073</v>
      </c>
    </row>
    <row r="4633" spans="1:10" x14ac:dyDescent="0.25">
      <c r="A4633" t="s">
        <v>18082</v>
      </c>
      <c r="B4633">
        <v>8.3920000000000012</v>
      </c>
      <c r="C4633" t="s">
        <v>18083</v>
      </c>
      <c r="D4633" t="s">
        <v>60</v>
      </c>
      <c r="E4633" t="s">
        <v>18029</v>
      </c>
      <c r="F4633" t="s">
        <v>7672</v>
      </c>
      <c r="G4633" t="s">
        <v>18030</v>
      </c>
      <c r="H4633" t="s">
        <v>10298</v>
      </c>
      <c r="I4633" t="s">
        <v>18034</v>
      </c>
      <c r="J4633" t="s">
        <v>15073</v>
      </c>
    </row>
    <row r="4634" spans="1:10" x14ac:dyDescent="0.25">
      <c r="A4634" t="s">
        <v>18084</v>
      </c>
      <c r="B4634">
        <v>8.3920000000000012</v>
      </c>
      <c r="C4634" t="s">
        <v>18085</v>
      </c>
      <c r="D4634" t="s">
        <v>255</v>
      </c>
      <c r="E4634" t="s">
        <v>18029</v>
      </c>
      <c r="F4634" t="s">
        <v>7672</v>
      </c>
      <c r="G4634" t="s">
        <v>18030</v>
      </c>
      <c r="H4634" t="s">
        <v>10298</v>
      </c>
      <c r="I4634" t="s">
        <v>18031</v>
      </c>
      <c r="J4634" t="s">
        <v>15076</v>
      </c>
    </row>
    <row r="4635" spans="1:10" x14ac:dyDescent="0.25">
      <c r="A4635" t="s">
        <v>18086</v>
      </c>
      <c r="B4635">
        <v>8.3920000000000012</v>
      </c>
      <c r="C4635" t="s">
        <v>18087</v>
      </c>
      <c r="D4635" t="s">
        <v>199</v>
      </c>
      <c r="E4635" t="s">
        <v>18029</v>
      </c>
      <c r="F4635" t="s">
        <v>7672</v>
      </c>
      <c r="G4635" t="s">
        <v>18030</v>
      </c>
      <c r="H4635" t="s">
        <v>10298</v>
      </c>
      <c r="I4635" t="s">
        <v>18039</v>
      </c>
      <c r="J4635" t="s">
        <v>15076</v>
      </c>
    </row>
    <row r="4636" spans="1:10" x14ac:dyDescent="0.25">
      <c r="A4636" t="s">
        <v>18088</v>
      </c>
      <c r="B4636">
        <v>8.3920000000000012</v>
      </c>
      <c r="C4636" t="s">
        <v>18089</v>
      </c>
      <c r="D4636" t="s">
        <v>964</v>
      </c>
      <c r="E4636" t="s">
        <v>18029</v>
      </c>
      <c r="F4636" t="s">
        <v>7672</v>
      </c>
      <c r="G4636" t="s">
        <v>18030</v>
      </c>
      <c r="H4636" t="s">
        <v>10298</v>
      </c>
      <c r="I4636" t="s">
        <v>18034</v>
      </c>
      <c r="J4636" t="s">
        <v>15076</v>
      </c>
    </row>
    <row r="4637" spans="1:10" x14ac:dyDescent="0.25">
      <c r="A4637" t="s">
        <v>18090</v>
      </c>
      <c r="B4637">
        <v>8.3920000000000012</v>
      </c>
      <c r="C4637" t="s">
        <v>18091</v>
      </c>
      <c r="D4637" t="s">
        <v>301</v>
      </c>
      <c r="E4637" t="s">
        <v>18029</v>
      </c>
      <c r="F4637" t="s">
        <v>7672</v>
      </c>
      <c r="G4637" t="s">
        <v>18030</v>
      </c>
      <c r="H4637" t="s">
        <v>10298</v>
      </c>
      <c r="I4637" t="s">
        <v>18031</v>
      </c>
      <c r="J4637" t="s">
        <v>15079</v>
      </c>
    </row>
    <row r="4638" spans="1:10" x14ac:dyDescent="0.25">
      <c r="A4638" t="s">
        <v>18092</v>
      </c>
      <c r="B4638">
        <v>8.3920000000000012</v>
      </c>
      <c r="C4638" t="s">
        <v>18093</v>
      </c>
      <c r="D4638" t="s">
        <v>229</v>
      </c>
      <c r="E4638" t="s">
        <v>18029</v>
      </c>
      <c r="F4638" t="s">
        <v>7672</v>
      </c>
      <c r="G4638" t="s">
        <v>18030</v>
      </c>
      <c r="H4638" t="s">
        <v>10298</v>
      </c>
      <c r="I4638" t="s">
        <v>18039</v>
      </c>
      <c r="J4638" t="s">
        <v>15079</v>
      </c>
    </row>
    <row r="4639" spans="1:10" x14ac:dyDescent="0.25">
      <c r="A4639" t="s">
        <v>18094</v>
      </c>
      <c r="B4639">
        <v>8.3920000000000012</v>
      </c>
      <c r="C4639" t="s">
        <v>18095</v>
      </c>
      <c r="D4639" t="s">
        <v>330</v>
      </c>
      <c r="E4639" t="s">
        <v>18029</v>
      </c>
      <c r="F4639" t="s">
        <v>7672</v>
      </c>
      <c r="G4639" t="s">
        <v>18030</v>
      </c>
      <c r="H4639" t="s">
        <v>10298</v>
      </c>
      <c r="I4639" t="s">
        <v>13300</v>
      </c>
      <c r="J4639" t="s">
        <v>15079</v>
      </c>
    </row>
    <row r="4640" spans="1:10" x14ac:dyDescent="0.25">
      <c r="A4640" t="s">
        <v>18096</v>
      </c>
      <c r="B4640">
        <v>8.3920000000000012</v>
      </c>
      <c r="C4640" t="s">
        <v>18097</v>
      </c>
      <c r="D4640" t="s">
        <v>588</v>
      </c>
      <c r="E4640" t="s">
        <v>18029</v>
      </c>
      <c r="F4640" t="s">
        <v>7672</v>
      </c>
      <c r="G4640" t="s">
        <v>18030</v>
      </c>
      <c r="H4640" t="s">
        <v>10298</v>
      </c>
      <c r="I4640" t="s">
        <v>18034</v>
      </c>
      <c r="J4640" t="s">
        <v>15079</v>
      </c>
    </row>
    <row r="4641" spans="1:10" x14ac:dyDescent="0.25">
      <c r="A4641" t="s">
        <v>18098</v>
      </c>
      <c r="B4641">
        <v>12</v>
      </c>
      <c r="C4641" t="s">
        <v>18099</v>
      </c>
      <c r="D4641" t="s">
        <v>1811</v>
      </c>
      <c r="E4641" t="s">
        <v>18100</v>
      </c>
      <c r="F4641" t="s">
        <v>7672</v>
      </c>
      <c r="G4641" t="s">
        <v>18101</v>
      </c>
      <c r="H4641" t="s">
        <v>7954</v>
      </c>
      <c r="I4641" t="s">
        <v>13273</v>
      </c>
      <c r="J4641" t="s">
        <v>7981</v>
      </c>
    </row>
    <row r="4642" spans="1:10" x14ac:dyDescent="0.25">
      <c r="A4642" t="s">
        <v>18102</v>
      </c>
      <c r="B4642">
        <v>12</v>
      </c>
      <c r="C4642" t="s">
        <v>18103</v>
      </c>
      <c r="D4642" t="s">
        <v>240</v>
      </c>
      <c r="E4642" t="s">
        <v>18100</v>
      </c>
      <c r="F4642" t="s">
        <v>7672</v>
      </c>
      <c r="G4642" t="s">
        <v>18101</v>
      </c>
      <c r="H4642" t="s">
        <v>7954</v>
      </c>
      <c r="I4642" t="s">
        <v>18104</v>
      </c>
      <c r="J4642" t="s">
        <v>7981</v>
      </c>
    </row>
    <row r="4643" spans="1:10" x14ac:dyDescent="0.25">
      <c r="A4643" t="s">
        <v>18105</v>
      </c>
      <c r="B4643">
        <v>12</v>
      </c>
      <c r="C4643" t="s">
        <v>18106</v>
      </c>
      <c r="D4643" t="s">
        <v>3258</v>
      </c>
      <c r="E4643" t="s">
        <v>18100</v>
      </c>
      <c r="F4643" t="s">
        <v>7672</v>
      </c>
      <c r="G4643" t="s">
        <v>18101</v>
      </c>
      <c r="H4643" t="s">
        <v>7954</v>
      </c>
      <c r="I4643" t="s">
        <v>18104</v>
      </c>
      <c r="J4643" t="s">
        <v>7984</v>
      </c>
    </row>
    <row r="4644" spans="1:10" x14ac:dyDescent="0.25">
      <c r="A4644" t="s">
        <v>18107</v>
      </c>
      <c r="B4644">
        <v>12</v>
      </c>
      <c r="C4644" t="s">
        <v>18108</v>
      </c>
      <c r="D4644" t="s">
        <v>593</v>
      </c>
      <c r="E4644" t="s">
        <v>18100</v>
      </c>
      <c r="F4644" t="s">
        <v>7672</v>
      </c>
      <c r="G4644" t="s">
        <v>18101</v>
      </c>
      <c r="H4644" t="s">
        <v>7954</v>
      </c>
      <c r="I4644" t="s">
        <v>13273</v>
      </c>
      <c r="J4644" t="s">
        <v>7984</v>
      </c>
    </row>
    <row r="4645" spans="1:10" x14ac:dyDescent="0.25">
      <c r="A4645" t="s">
        <v>18109</v>
      </c>
      <c r="B4645">
        <v>12</v>
      </c>
      <c r="C4645" t="s">
        <v>18110</v>
      </c>
      <c r="D4645" t="s">
        <v>6257</v>
      </c>
      <c r="E4645" t="s">
        <v>18100</v>
      </c>
      <c r="F4645" t="s">
        <v>7672</v>
      </c>
      <c r="G4645" t="s">
        <v>18101</v>
      </c>
      <c r="H4645" t="s">
        <v>7954</v>
      </c>
      <c r="I4645" t="s">
        <v>18104</v>
      </c>
      <c r="J4645" t="s">
        <v>7987</v>
      </c>
    </row>
    <row r="4646" spans="1:10" x14ac:dyDescent="0.25">
      <c r="A4646" t="s">
        <v>18111</v>
      </c>
      <c r="B4646">
        <v>12</v>
      </c>
      <c r="C4646" t="s">
        <v>18112</v>
      </c>
      <c r="D4646" t="s">
        <v>2804</v>
      </c>
      <c r="E4646" t="s">
        <v>18100</v>
      </c>
      <c r="F4646" t="s">
        <v>7672</v>
      </c>
      <c r="G4646" t="s">
        <v>18101</v>
      </c>
      <c r="H4646" t="s">
        <v>7954</v>
      </c>
      <c r="I4646" t="s">
        <v>13273</v>
      </c>
      <c r="J4646" t="s">
        <v>7987</v>
      </c>
    </row>
    <row r="4647" spans="1:10" x14ac:dyDescent="0.25">
      <c r="A4647" t="s">
        <v>18113</v>
      </c>
      <c r="B4647">
        <v>12</v>
      </c>
      <c r="C4647" t="s">
        <v>18114</v>
      </c>
      <c r="D4647" t="s">
        <v>1512</v>
      </c>
      <c r="E4647" t="s">
        <v>18100</v>
      </c>
      <c r="F4647" t="s">
        <v>7672</v>
      </c>
      <c r="G4647" t="s">
        <v>18101</v>
      </c>
      <c r="H4647" t="s">
        <v>7954</v>
      </c>
      <c r="I4647" t="s">
        <v>13273</v>
      </c>
      <c r="J4647" t="s">
        <v>8001</v>
      </c>
    </row>
    <row r="4648" spans="1:10" x14ac:dyDescent="0.25">
      <c r="A4648" t="s">
        <v>18115</v>
      </c>
      <c r="B4648">
        <v>12</v>
      </c>
      <c r="C4648" t="s">
        <v>18116</v>
      </c>
      <c r="D4648" t="s">
        <v>450</v>
      </c>
      <c r="E4648" t="s">
        <v>18100</v>
      </c>
      <c r="F4648" t="s">
        <v>7672</v>
      </c>
      <c r="G4648" t="s">
        <v>18101</v>
      </c>
      <c r="H4648" t="s">
        <v>7954</v>
      </c>
      <c r="I4648" t="s">
        <v>18104</v>
      </c>
      <c r="J4648" t="s">
        <v>8001</v>
      </c>
    </row>
    <row r="4649" spans="1:10" x14ac:dyDescent="0.25">
      <c r="A4649" t="s">
        <v>4565</v>
      </c>
      <c r="B4649">
        <v>4.68</v>
      </c>
      <c r="C4649" t="s">
        <v>4567</v>
      </c>
      <c r="D4649" t="s">
        <v>2022</v>
      </c>
      <c r="E4649" t="s">
        <v>4568</v>
      </c>
      <c r="F4649" t="s">
        <v>7672</v>
      </c>
      <c r="G4649" t="s">
        <v>18117</v>
      </c>
      <c r="H4649" t="s">
        <v>8081</v>
      </c>
      <c r="I4649" t="s">
        <v>14532</v>
      </c>
      <c r="J4649" t="s">
        <v>7987</v>
      </c>
    </row>
    <row r="4650" spans="1:10" x14ac:dyDescent="0.25">
      <c r="A4650" t="s">
        <v>4570</v>
      </c>
      <c r="B4650">
        <v>4.68</v>
      </c>
      <c r="C4650" t="s">
        <v>4572</v>
      </c>
      <c r="D4650" t="s">
        <v>1143</v>
      </c>
      <c r="E4650" t="s">
        <v>4568</v>
      </c>
      <c r="F4650" t="s">
        <v>7672</v>
      </c>
      <c r="G4650" t="s">
        <v>18117</v>
      </c>
      <c r="H4650" t="s">
        <v>8081</v>
      </c>
      <c r="I4650" t="s">
        <v>18118</v>
      </c>
      <c r="J4650" t="s">
        <v>7987</v>
      </c>
    </row>
    <row r="4651" spans="1:10" x14ac:dyDescent="0.25">
      <c r="A4651" t="s">
        <v>4575</v>
      </c>
      <c r="B4651">
        <v>4.68</v>
      </c>
      <c r="C4651" t="s">
        <v>4577</v>
      </c>
      <c r="D4651" t="s">
        <v>4579</v>
      </c>
      <c r="E4651" t="s">
        <v>4568</v>
      </c>
      <c r="F4651" t="s">
        <v>7672</v>
      </c>
      <c r="G4651" t="s">
        <v>18117</v>
      </c>
      <c r="H4651" t="s">
        <v>8081</v>
      </c>
      <c r="I4651" t="s">
        <v>14532</v>
      </c>
      <c r="J4651" t="s">
        <v>8001</v>
      </c>
    </row>
    <row r="4652" spans="1:10" x14ac:dyDescent="0.25">
      <c r="A4652" t="s">
        <v>4580</v>
      </c>
      <c r="B4652">
        <v>4.68</v>
      </c>
      <c r="C4652" t="s">
        <v>4582</v>
      </c>
      <c r="D4652" t="s">
        <v>4584</v>
      </c>
      <c r="E4652" t="s">
        <v>4568</v>
      </c>
      <c r="F4652" t="s">
        <v>7672</v>
      </c>
      <c r="G4652" t="s">
        <v>18117</v>
      </c>
      <c r="H4652" t="s">
        <v>8081</v>
      </c>
      <c r="I4652" t="s">
        <v>18118</v>
      </c>
      <c r="J4652" t="s">
        <v>8001</v>
      </c>
    </row>
    <row r="4653" spans="1:10" x14ac:dyDescent="0.25">
      <c r="A4653" t="s">
        <v>18119</v>
      </c>
      <c r="B4653">
        <v>4.68</v>
      </c>
      <c r="C4653" t="s">
        <v>18120</v>
      </c>
      <c r="D4653" t="s">
        <v>3086</v>
      </c>
      <c r="E4653" t="s">
        <v>4568</v>
      </c>
      <c r="F4653" t="s">
        <v>7672</v>
      </c>
      <c r="G4653" t="s">
        <v>18117</v>
      </c>
      <c r="H4653" t="s">
        <v>8081</v>
      </c>
      <c r="I4653" t="s">
        <v>18121</v>
      </c>
      <c r="J4653" t="s">
        <v>8001</v>
      </c>
    </row>
    <row r="4654" spans="1:10" x14ac:dyDescent="0.25">
      <c r="A4654" t="s">
        <v>4586</v>
      </c>
      <c r="B4654">
        <v>4.68</v>
      </c>
      <c r="C4654" t="s">
        <v>4588</v>
      </c>
      <c r="D4654" t="s">
        <v>1949</v>
      </c>
      <c r="E4654" t="s">
        <v>4568</v>
      </c>
      <c r="F4654" t="s">
        <v>7672</v>
      </c>
      <c r="G4654" t="s">
        <v>18117</v>
      </c>
      <c r="H4654" t="s">
        <v>8081</v>
      </c>
      <c r="I4654" t="s">
        <v>18122</v>
      </c>
      <c r="J4654" t="s">
        <v>8001</v>
      </c>
    </row>
    <row r="4655" spans="1:10" x14ac:dyDescent="0.25">
      <c r="A4655" t="s">
        <v>18123</v>
      </c>
      <c r="B4655">
        <v>3.6</v>
      </c>
      <c r="C4655" t="s">
        <v>18124</v>
      </c>
      <c r="D4655" t="s">
        <v>742</v>
      </c>
      <c r="E4655" t="s">
        <v>18125</v>
      </c>
      <c r="F4655" t="s">
        <v>7672</v>
      </c>
      <c r="G4655" t="s">
        <v>18126</v>
      </c>
      <c r="H4655" t="s">
        <v>8515</v>
      </c>
      <c r="I4655" t="s">
        <v>18127</v>
      </c>
      <c r="J4655" t="s">
        <v>11767</v>
      </c>
    </row>
    <row r="4656" spans="1:10" x14ac:dyDescent="0.25">
      <c r="A4656" t="s">
        <v>18128</v>
      </c>
      <c r="B4656">
        <v>3.6</v>
      </c>
      <c r="C4656" t="s">
        <v>18129</v>
      </c>
      <c r="D4656" t="s">
        <v>2253</v>
      </c>
      <c r="E4656" t="s">
        <v>18125</v>
      </c>
      <c r="F4656" t="s">
        <v>7672</v>
      </c>
      <c r="G4656" t="s">
        <v>18126</v>
      </c>
      <c r="H4656" t="s">
        <v>8515</v>
      </c>
      <c r="I4656" t="s">
        <v>18130</v>
      </c>
      <c r="J4656" t="s">
        <v>11767</v>
      </c>
    </row>
    <row r="4657" spans="1:10" x14ac:dyDescent="0.25">
      <c r="A4657" t="s">
        <v>18131</v>
      </c>
      <c r="B4657">
        <v>3.6</v>
      </c>
      <c r="C4657" t="s">
        <v>18132</v>
      </c>
      <c r="D4657" t="s">
        <v>144</v>
      </c>
      <c r="E4657" t="s">
        <v>18125</v>
      </c>
      <c r="F4657" t="s">
        <v>7672</v>
      </c>
      <c r="G4657" t="s">
        <v>18126</v>
      </c>
      <c r="H4657" t="s">
        <v>8515</v>
      </c>
      <c r="I4657" t="s">
        <v>18127</v>
      </c>
      <c r="J4657" t="s">
        <v>11582</v>
      </c>
    </row>
    <row r="4658" spans="1:10" x14ac:dyDescent="0.25">
      <c r="A4658" t="s">
        <v>18133</v>
      </c>
      <c r="B4658">
        <v>3.6</v>
      </c>
      <c r="C4658" t="s">
        <v>18134</v>
      </c>
      <c r="D4658" t="s">
        <v>2243</v>
      </c>
      <c r="E4658" t="s">
        <v>18125</v>
      </c>
      <c r="F4658" t="s">
        <v>7672</v>
      </c>
      <c r="G4658" t="s">
        <v>18126</v>
      </c>
      <c r="H4658" t="s">
        <v>8515</v>
      </c>
      <c r="I4658" t="s">
        <v>18130</v>
      </c>
      <c r="J4658" t="s">
        <v>11582</v>
      </c>
    </row>
    <row r="4659" spans="1:10" x14ac:dyDescent="0.25">
      <c r="A4659" t="s">
        <v>18135</v>
      </c>
      <c r="B4659">
        <v>3.6</v>
      </c>
      <c r="C4659" t="s">
        <v>18136</v>
      </c>
      <c r="D4659" t="s">
        <v>9134</v>
      </c>
      <c r="E4659" t="s">
        <v>18125</v>
      </c>
      <c r="F4659" t="s">
        <v>7672</v>
      </c>
      <c r="G4659" t="s">
        <v>18126</v>
      </c>
      <c r="H4659" t="s">
        <v>8515</v>
      </c>
      <c r="I4659" t="s">
        <v>18137</v>
      </c>
      <c r="J4659" t="s">
        <v>10369</v>
      </c>
    </row>
    <row r="4660" spans="1:10" x14ac:dyDescent="0.25">
      <c r="A4660" t="s">
        <v>18138</v>
      </c>
      <c r="B4660">
        <v>3.6</v>
      </c>
      <c r="C4660" t="s">
        <v>18139</v>
      </c>
      <c r="D4660" t="s">
        <v>366</v>
      </c>
      <c r="E4660" t="s">
        <v>18125</v>
      </c>
      <c r="F4660" t="s">
        <v>7672</v>
      </c>
      <c r="G4660" t="s">
        <v>18126</v>
      </c>
      <c r="H4660" t="s">
        <v>8515</v>
      </c>
      <c r="I4660" t="s">
        <v>18140</v>
      </c>
      <c r="J4660" t="s">
        <v>10369</v>
      </c>
    </row>
    <row r="4661" spans="1:10" x14ac:dyDescent="0.25">
      <c r="A4661" t="s">
        <v>18141</v>
      </c>
      <c r="B4661">
        <v>3.6</v>
      </c>
      <c r="C4661" t="s">
        <v>18142</v>
      </c>
      <c r="D4661" t="s">
        <v>10295</v>
      </c>
      <c r="E4661" t="s">
        <v>18125</v>
      </c>
      <c r="F4661" t="s">
        <v>7672</v>
      </c>
      <c r="G4661" t="s">
        <v>18126</v>
      </c>
      <c r="H4661" t="s">
        <v>8515</v>
      </c>
      <c r="I4661" t="s">
        <v>18130</v>
      </c>
      <c r="J4661" t="s">
        <v>10369</v>
      </c>
    </row>
    <row r="4662" spans="1:10" x14ac:dyDescent="0.25">
      <c r="A4662" t="s">
        <v>18143</v>
      </c>
      <c r="B4662">
        <v>3.6</v>
      </c>
      <c r="C4662" t="s">
        <v>18144</v>
      </c>
      <c r="D4662" t="s">
        <v>10623</v>
      </c>
      <c r="E4662" t="s">
        <v>18125</v>
      </c>
      <c r="F4662" t="s">
        <v>7672</v>
      </c>
      <c r="G4662" t="s">
        <v>18126</v>
      </c>
      <c r="H4662" t="s">
        <v>8515</v>
      </c>
      <c r="I4662" t="s">
        <v>18127</v>
      </c>
      <c r="J4662" t="s">
        <v>10369</v>
      </c>
    </row>
    <row r="4663" spans="1:10" x14ac:dyDescent="0.25">
      <c r="A4663" t="s">
        <v>18145</v>
      </c>
      <c r="B4663">
        <v>3.6</v>
      </c>
      <c r="C4663" t="s">
        <v>18146</v>
      </c>
      <c r="D4663" t="s">
        <v>2138</v>
      </c>
      <c r="E4663" t="s">
        <v>18125</v>
      </c>
      <c r="F4663" t="s">
        <v>7672</v>
      </c>
      <c r="G4663" t="s">
        <v>18126</v>
      </c>
      <c r="H4663" t="s">
        <v>8515</v>
      </c>
      <c r="I4663" t="s">
        <v>18130</v>
      </c>
      <c r="J4663" t="s">
        <v>11590</v>
      </c>
    </row>
    <row r="4664" spans="1:10" x14ac:dyDescent="0.25">
      <c r="A4664" t="s">
        <v>18147</v>
      </c>
      <c r="B4664">
        <v>3.6</v>
      </c>
      <c r="C4664" t="s">
        <v>18148</v>
      </c>
      <c r="D4664" t="s">
        <v>715</v>
      </c>
      <c r="E4664" t="s">
        <v>18125</v>
      </c>
      <c r="F4664" t="s">
        <v>7672</v>
      </c>
      <c r="G4664" t="s">
        <v>18126</v>
      </c>
      <c r="H4664" t="s">
        <v>8515</v>
      </c>
      <c r="I4664" t="s">
        <v>18127</v>
      </c>
      <c r="J4664" t="s">
        <v>11590</v>
      </c>
    </row>
    <row r="4665" spans="1:10" x14ac:dyDescent="0.25">
      <c r="A4665" t="s">
        <v>18149</v>
      </c>
      <c r="B4665">
        <v>3.6</v>
      </c>
      <c r="C4665" t="s">
        <v>18150</v>
      </c>
      <c r="D4665" t="s">
        <v>113</v>
      </c>
      <c r="E4665" t="s">
        <v>18125</v>
      </c>
      <c r="F4665" t="s">
        <v>7672</v>
      </c>
      <c r="G4665" t="s">
        <v>18126</v>
      </c>
      <c r="H4665" t="s">
        <v>8515</v>
      </c>
      <c r="I4665" t="s">
        <v>18130</v>
      </c>
      <c r="J4665" t="s">
        <v>11593</v>
      </c>
    </row>
    <row r="4666" spans="1:10" x14ac:dyDescent="0.25">
      <c r="A4666" t="s">
        <v>18151</v>
      </c>
      <c r="B4666">
        <v>3.6</v>
      </c>
      <c r="C4666" t="s">
        <v>18152</v>
      </c>
      <c r="D4666" t="s">
        <v>131</v>
      </c>
      <c r="E4666" t="s">
        <v>18125</v>
      </c>
      <c r="F4666" t="s">
        <v>7672</v>
      </c>
      <c r="G4666" t="s">
        <v>18126</v>
      </c>
      <c r="H4666" t="s">
        <v>8515</v>
      </c>
      <c r="I4666" t="s">
        <v>18127</v>
      </c>
      <c r="J4666" t="s">
        <v>11593</v>
      </c>
    </row>
    <row r="4667" spans="1:10" x14ac:dyDescent="0.25">
      <c r="A4667" t="s">
        <v>18153</v>
      </c>
      <c r="B4667">
        <v>3.6</v>
      </c>
      <c r="C4667" t="s">
        <v>18154</v>
      </c>
      <c r="D4667" t="s">
        <v>1020</v>
      </c>
      <c r="E4667" t="s">
        <v>18125</v>
      </c>
      <c r="F4667" t="s">
        <v>7672</v>
      </c>
      <c r="G4667" t="s">
        <v>18126</v>
      </c>
      <c r="H4667" t="s">
        <v>8515</v>
      </c>
      <c r="I4667" t="s">
        <v>18127</v>
      </c>
      <c r="J4667" t="s">
        <v>11783</v>
      </c>
    </row>
    <row r="4668" spans="1:10" x14ac:dyDescent="0.25">
      <c r="A4668" t="s">
        <v>18155</v>
      </c>
      <c r="B4668">
        <v>3.6</v>
      </c>
      <c r="C4668" t="s">
        <v>18156</v>
      </c>
      <c r="D4668" t="s">
        <v>74</v>
      </c>
      <c r="E4668" t="s">
        <v>18125</v>
      </c>
      <c r="F4668" t="s">
        <v>7672</v>
      </c>
      <c r="G4668" t="s">
        <v>18126</v>
      </c>
      <c r="H4668" t="s">
        <v>8515</v>
      </c>
      <c r="I4668" t="s">
        <v>18130</v>
      </c>
      <c r="J4668" t="s">
        <v>11783</v>
      </c>
    </row>
    <row r="4669" spans="1:10" x14ac:dyDescent="0.25">
      <c r="A4669" t="s">
        <v>18157</v>
      </c>
      <c r="B4669">
        <v>14.215999999999999</v>
      </c>
      <c r="C4669" t="s">
        <v>18158</v>
      </c>
      <c r="D4669" t="s">
        <v>330</v>
      </c>
      <c r="E4669" t="s">
        <v>18159</v>
      </c>
      <c r="F4669" t="s">
        <v>7672</v>
      </c>
      <c r="G4669" t="s">
        <v>18160</v>
      </c>
      <c r="H4669" t="s">
        <v>14639</v>
      </c>
      <c r="I4669" t="s">
        <v>18161</v>
      </c>
      <c r="J4669" t="s">
        <v>60</v>
      </c>
    </row>
    <row r="4670" spans="1:10" x14ac:dyDescent="0.25">
      <c r="A4670" t="s">
        <v>18162</v>
      </c>
      <c r="B4670">
        <v>7.28</v>
      </c>
      <c r="C4670" t="s">
        <v>18163</v>
      </c>
      <c r="D4670" t="s">
        <v>290</v>
      </c>
      <c r="E4670" t="s">
        <v>18164</v>
      </c>
      <c r="F4670" t="s">
        <v>7672</v>
      </c>
      <c r="G4670" t="s">
        <v>18165</v>
      </c>
      <c r="H4670" t="s">
        <v>7947</v>
      </c>
      <c r="I4670" t="s">
        <v>278</v>
      </c>
      <c r="J4670" t="s">
        <v>7981</v>
      </c>
    </row>
    <row r="4671" spans="1:10" x14ac:dyDescent="0.25">
      <c r="A4671" t="s">
        <v>18166</v>
      </c>
      <c r="B4671">
        <v>7.28</v>
      </c>
      <c r="C4671" t="s">
        <v>18167</v>
      </c>
      <c r="D4671" t="s">
        <v>286</v>
      </c>
      <c r="E4671" t="s">
        <v>18164</v>
      </c>
      <c r="F4671" t="s">
        <v>7672</v>
      </c>
      <c r="G4671" t="s">
        <v>18165</v>
      </c>
      <c r="H4671" t="s">
        <v>7947</v>
      </c>
      <c r="I4671" t="s">
        <v>278</v>
      </c>
      <c r="J4671" t="s">
        <v>7984</v>
      </c>
    </row>
    <row r="4672" spans="1:10" x14ac:dyDescent="0.25">
      <c r="A4672" t="s">
        <v>18168</v>
      </c>
      <c r="B4672">
        <v>7.28</v>
      </c>
      <c r="C4672" t="s">
        <v>18169</v>
      </c>
      <c r="D4672" t="s">
        <v>1134</v>
      </c>
      <c r="E4672" t="s">
        <v>18164</v>
      </c>
      <c r="F4672" t="s">
        <v>7672</v>
      </c>
      <c r="G4672" t="s">
        <v>18165</v>
      </c>
      <c r="H4672" t="s">
        <v>7947</v>
      </c>
      <c r="I4672" t="s">
        <v>278</v>
      </c>
      <c r="J4672" t="s">
        <v>7987</v>
      </c>
    </row>
    <row r="4673" spans="1:10" x14ac:dyDescent="0.25">
      <c r="A4673" t="s">
        <v>18170</v>
      </c>
      <c r="B4673">
        <v>7.28</v>
      </c>
      <c r="C4673" t="s">
        <v>18171</v>
      </c>
      <c r="D4673" t="s">
        <v>991</v>
      </c>
      <c r="E4673" t="s">
        <v>18164</v>
      </c>
      <c r="F4673" t="s">
        <v>7672</v>
      </c>
      <c r="G4673" t="s">
        <v>18165</v>
      </c>
      <c r="H4673" t="s">
        <v>7947</v>
      </c>
      <c r="I4673" t="s">
        <v>278</v>
      </c>
      <c r="J4673" t="s">
        <v>8001</v>
      </c>
    </row>
    <row r="4674" spans="1:10" x14ac:dyDescent="0.25">
      <c r="A4674" t="s">
        <v>18172</v>
      </c>
      <c r="B4674">
        <v>5.5920000000000014</v>
      </c>
      <c r="C4674" t="s">
        <v>18173</v>
      </c>
      <c r="D4674" t="s">
        <v>106</v>
      </c>
      <c r="E4674" t="s">
        <v>18174</v>
      </c>
      <c r="F4674" t="s">
        <v>7672</v>
      </c>
      <c r="G4674" t="s">
        <v>18175</v>
      </c>
      <c r="H4674" t="s">
        <v>9127</v>
      </c>
      <c r="I4674" t="s">
        <v>11192</v>
      </c>
      <c r="J4674" t="s">
        <v>7981</v>
      </c>
    </row>
    <row r="4675" spans="1:10" x14ac:dyDescent="0.25">
      <c r="A4675" t="s">
        <v>18176</v>
      </c>
      <c r="B4675">
        <v>5.5920000000000014</v>
      </c>
      <c r="C4675" t="s">
        <v>18177</v>
      </c>
      <c r="D4675" t="s">
        <v>240</v>
      </c>
      <c r="E4675" t="s">
        <v>18174</v>
      </c>
      <c r="F4675" t="s">
        <v>7672</v>
      </c>
      <c r="G4675" t="s">
        <v>18175</v>
      </c>
      <c r="H4675" t="s">
        <v>9127</v>
      </c>
      <c r="I4675" t="s">
        <v>15430</v>
      </c>
      <c r="J4675" t="s">
        <v>7981</v>
      </c>
    </row>
    <row r="4676" spans="1:10" x14ac:dyDescent="0.25">
      <c r="A4676" t="s">
        <v>18178</v>
      </c>
      <c r="B4676">
        <v>5.5920000000000014</v>
      </c>
      <c r="C4676" t="s">
        <v>18179</v>
      </c>
      <c r="D4676" t="s">
        <v>705</v>
      </c>
      <c r="E4676" t="s">
        <v>18174</v>
      </c>
      <c r="F4676" t="s">
        <v>7672</v>
      </c>
      <c r="G4676" t="s">
        <v>18175</v>
      </c>
      <c r="H4676" t="s">
        <v>9127</v>
      </c>
      <c r="I4676" t="s">
        <v>11192</v>
      </c>
      <c r="J4676" t="s">
        <v>7984</v>
      </c>
    </row>
    <row r="4677" spans="1:10" x14ac:dyDescent="0.25">
      <c r="A4677" t="s">
        <v>18180</v>
      </c>
      <c r="B4677">
        <v>5.5920000000000014</v>
      </c>
      <c r="C4677" t="s">
        <v>18181</v>
      </c>
      <c r="D4677" t="s">
        <v>4270</v>
      </c>
      <c r="E4677" t="s">
        <v>18174</v>
      </c>
      <c r="F4677" t="s">
        <v>7672</v>
      </c>
      <c r="G4677" t="s">
        <v>18175</v>
      </c>
      <c r="H4677" t="s">
        <v>9127</v>
      </c>
      <c r="I4677" t="s">
        <v>15430</v>
      </c>
      <c r="J4677" t="s">
        <v>7984</v>
      </c>
    </row>
    <row r="4678" spans="1:10" x14ac:dyDescent="0.25">
      <c r="A4678" t="s">
        <v>18182</v>
      </c>
      <c r="B4678">
        <v>5.5920000000000014</v>
      </c>
      <c r="C4678" t="s">
        <v>18183</v>
      </c>
      <c r="D4678" t="s">
        <v>7057</v>
      </c>
      <c r="E4678" t="s">
        <v>18174</v>
      </c>
      <c r="F4678" t="s">
        <v>7672</v>
      </c>
      <c r="G4678" t="s">
        <v>18175</v>
      </c>
      <c r="H4678" t="s">
        <v>9127</v>
      </c>
      <c r="I4678" t="s">
        <v>11192</v>
      </c>
      <c r="J4678" t="s">
        <v>7987</v>
      </c>
    </row>
    <row r="4679" spans="1:10" x14ac:dyDescent="0.25">
      <c r="A4679" t="s">
        <v>18184</v>
      </c>
      <c r="B4679">
        <v>5.5920000000000014</v>
      </c>
      <c r="C4679" t="s">
        <v>18185</v>
      </c>
      <c r="D4679" t="s">
        <v>3023</v>
      </c>
      <c r="E4679" t="s">
        <v>18174</v>
      </c>
      <c r="F4679" t="s">
        <v>7672</v>
      </c>
      <c r="G4679" t="s">
        <v>18175</v>
      </c>
      <c r="H4679" t="s">
        <v>9127</v>
      </c>
      <c r="I4679" t="s">
        <v>15430</v>
      </c>
      <c r="J4679" t="s">
        <v>7987</v>
      </c>
    </row>
    <row r="4680" spans="1:10" x14ac:dyDescent="0.25">
      <c r="A4680" t="s">
        <v>18186</v>
      </c>
      <c r="B4680">
        <v>5.5920000000000014</v>
      </c>
      <c r="C4680" t="s">
        <v>18187</v>
      </c>
      <c r="D4680" t="s">
        <v>926</v>
      </c>
      <c r="E4680" t="s">
        <v>18174</v>
      </c>
      <c r="F4680" t="s">
        <v>7672</v>
      </c>
      <c r="G4680" t="s">
        <v>18175</v>
      </c>
      <c r="H4680" t="s">
        <v>9127</v>
      </c>
      <c r="I4680" t="s">
        <v>18188</v>
      </c>
      <c r="J4680" t="s">
        <v>7987</v>
      </c>
    </row>
    <row r="4681" spans="1:10" x14ac:dyDescent="0.25">
      <c r="A4681" t="s">
        <v>18189</v>
      </c>
      <c r="B4681">
        <v>5.5920000000000014</v>
      </c>
      <c r="C4681" t="s">
        <v>18190</v>
      </c>
      <c r="D4681" t="s">
        <v>5592</v>
      </c>
      <c r="E4681" t="s">
        <v>18174</v>
      </c>
      <c r="F4681" t="s">
        <v>7672</v>
      </c>
      <c r="G4681" t="s">
        <v>18175</v>
      </c>
      <c r="H4681" t="s">
        <v>9127</v>
      </c>
      <c r="I4681" t="s">
        <v>15430</v>
      </c>
      <c r="J4681" t="s">
        <v>8001</v>
      </c>
    </row>
    <row r="4682" spans="1:10" x14ac:dyDescent="0.25">
      <c r="A4682" t="s">
        <v>18191</v>
      </c>
      <c r="B4682">
        <v>5.5920000000000014</v>
      </c>
      <c r="C4682" t="s">
        <v>18192</v>
      </c>
      <c r="D4682" t="s">
        <v>8262</v>
      </c>
      <c r="E4682" t="s">
        <v>18174</v>
      </c>
      <c r="F4682" t="s">
        <v>7672</v>
      </c>
      <c r="G4682" t="s">
        <v>18175</v>
      </c>
      <c r="H4682" t="s">
        <v>9127</v>
      </c>
      <c r="I4682" t="s">
        <v>11192</v>
      </c>
      <c r="J4682" t="s">
        <v>8001</v>
      </c>
    </row>
    <row r="4683" spans="1:10" x14ac:dyDescent="0.25">
      <c r="A4683" t="s">
        <v>18193</v>
      </c>
      <c r="B4683">
        <v>5.5920000000000014</v>
      </c>
      <c r="C4683" t="s">
        <v>18194</v>
      </c>
      <c r="D4683" t="s">
        <v>1949</v>
      </c>
      <c r="E4683" t="s">
        <v>18174</v>
      </c>
      <c r="F4683" t="s">
        <v>7672</v>
      </c>
      <c r="G4683" t="s">
        <v>18175</v>
      </c>
      <c r="H4683" t="s">
        <v>9127</v>
      </c>
      <c r="I4683" t="s">
        <v>18188</v>
      </c>
      <c r="J4683" t="s">
        <v>8001</v>
      </c>
    </row>
    <row r="4684" spans="1:10" x14ac:dyDescent="0.25">
      <c r="A4684" t="s">
        <v>18195</v>
      </c>
      <c r="B4684">
        <v>5.5920000000000014</v>
      </c>
      <c r="C4684" t="s">
        <v>18196</v>
      </c>
      <c r="D4684" t="s">
        <v>1852</v>
      </c>
      <c r="E4684" t="s">
        <v>18174</v>
      </c>
      <c r="F4684" t="s">
        <v>7672</v>
      </c>
      <c r="G4684" t="s">
        <v>18175</v>
      </c>
      <c r="H4684" t="s">
        <v>9127</v>
      </c>
      <c r="I4684" t="s">
        <v>11192</v>
      </c>
      <c r="J4684" t="s">
        <v>8013</v>
      </c>
    </row>
    <row r="4685" spans="1:10" x14ac:dyDescent="0.25">
      <c r="A4685" t="s">
        <v>18197</v>
      </c>
      <c r="B4685">
        <v>5.5920000000000014</v>
      </c>
      <c r="C4685" t="s">
        <v>18198</v>
      </c>
      <c r="D4685" t="s">
        <v>903</v>
      </c>
      <c r="E4685" t="s">
        <v>18174</v>
      </c>
      <c r="F4685" t="s">
        <v>7672</v>
      </c>
      <c r="G4685" t="s">
        <v>18175</v>
      </c>
      <c r="H4685" t="s">
        <v>9127</v>
      </c>
      <c r="I4685" t="s">
        <v>15430</v>
      </c>
      <c r="J4685" t="s">
        <v>8013</v>
      </c>
    </row>
    <row r="4686" spans="1:10" x14ac:dyDescent="0.25">
      <c r="A4686" t="s">
        <v>18199</v>
      </c>
      <c r="B4686">
        <v>5.5920000000000014</v>
      </c>
      <c r="C4686" t="s">
        <v>18200</v>
      </c>
      <c r="D4686" t="s">
        <v>516</v>
      </c>
      <c r="E4686" t="s">
        <v>18174</v>
      </c>
      <c r="F4686" t="s">
        <v>7672</v>
      </c>
      <c r="G4686" t="s">
        <v>18175</v>
      </c>
      <c r="H4686" t="s">
        <v>9127</v>
      </c>
      <c r="I4686" t="s">
        <v>18188</v>
      </c>
      <c r="J4686" t="s">
        <v>8013</v>
      </c>
    </row>
    <row r="4687" spans="1:10" x14ac:dyDescent="0.25">
      <c r="A4687" t="s">
        <v>18201</v>
      </c>
      <c r="B4687">
        <v>5.032</v>
      </c>
      <c r="C4687" t="s">
        <v>18202</v>
      </c>
      <c r="D4687" t="s">
        <v>8193</v>
      </c>
      <c r="E4687" t="s">
        <v>18203</v>
      </c>
      <c r="F4687" t="s">
        <v>7672</v>
      </c>
      <c r="G4687" t="s">
        <v>18204</v>
      </c>
      <c r="H4687" t="s">
        <v>10298</v>
      </c>
      <c r="I4687" t="s">
        <v>15752</v>
      </c>
      <c r="J4687" t="s">
        <v>7981</v>
      </c>
    </row>
    <row r="4688" spans="1:10" x14ac:dyDescent="0.25">
      <c r="A4688" t="s">
        <v>18205</v>
      </c>
      <c r="B4688">
        <v>5.032</v>
      </c>
      <c r="C4688" t="s">
        <v>18206</v>
      </c>
      <c r="D4688" t="s">
        <v>7057</v>
      </c>
      <c r="E4688" t="s">
        <v>18203</v>
      </c>
      <c r="F4688" t="s">
        <v>7672</v>
      </c>
      <c r="G4688" t="s">
        <v>18204</v>
      </c>
      <c r="H4688" t="s">
        <v>10298</v>
      </c>
      <c r="I4688" t="s">
        <v>15755</v>
      </c>
      <c r="J4688" t="s">
        <v>7981</v>
      </c>
    </row>
    <row r="4689" spans="1:10" x14ac:dyDescent="0.25">
      <c r="A4689" t="s">
        <v>18207</v>
      </c>
      <c r="B4689">
        <v>5.032</v>
      </c>
      <c r="C4689" t="s">
        <v>18208</v>
      </c>
      <c r="D4689" t="s">
        <v>3378</v>
      </c>
      <c r="E4689" t="s">
        <v>18203</v>
      </c>
      <c r="F4689" t="s">
        <v>7672</v>
      </c>
      <c r="G4689" t="s">
        <v>18204</v>
      </c>
      <c r="H4689" t="s">
        <v>10298</v>
      </c>
      <c r="I4689" t="s">
        <v>15755</v>
      </c>
      <c r="J4689" t="s">
        <v>7984</v>
      </c>
    </row>
    <row r="4690" spans="1:10" x14ac:dyDescent="0.25">
      <c r="A4690" t="s">
        <v>18209</v>
      </c>
      <c r="B4690">
        <v>5.032</v>
      </c>
      <c r="C4690" t="s">
        <v>18210</v>
      </c>
      <c r="D4690" t="s">
        <v>3577</v>
      </c>
      <c r="E4690" t="s">
        <v>18203</v>
      </c>
      <c r="F4690" t="s">
        <v>7672</v>
      </c>
      <c r="G4690" t="s">
        <v>18204</v>
      </c>
      <c r="H4690" t="s">
        <v>10298</v>
      </c>
      <c r="I4690" t="s">
        <v>15755</v>
      </c>
      <c r="J4690" t="s">
        <v>7987</v>
      </c>
    </row>
    <row r="4691" spans="1:10" x14ac:dyDescent="0.25">
      <c r="A4691" t="s">
        <v>18211</v>
      </c>
      <c r="B4691">
        <v>5.032</v>
      </c>
      <c r="C4691" t="s">
        <v>18212</v>
      </c>
      <c r="D4691" t="s">
        <v>436</v>
      </c>
      <c r="E4691" t="s">
        <v>18203</v>
      </c>
      <c r="F4691" t="s">
        <v>7672</v>
      </c>
      <c r="G4691" t="s">
        <v>18204</v>
      </c>
      <c r="H4691" t="s">
        <v>10298</v>
      </c>
      <c r="I4691" t="s">
        <v>15752</v>
      </c>
      <c r="J4691" t="s">
        <v>7987</v>
      </c>
    </row>
    <row r="4692" spans="1:10" x14ac:dyDescent="0.25">
      <c r="A4692" t="s">
        <v>18213</v>
      </c>
      <c r="B4692">
        <v>5.032</v>
      </c>
      <c r="C4692" t="s">
        <v>18214</v>
      </c>
      <c r="D4692" t="s">
        <v>1567</v>
      </c>
      <c r="E4692" t="s">
        <v>18203</v>
      </c>
      <c r="F4692" t="s">
        <v>7672</v>
      </c>
      <c r="G4692" t="s">
        <v>18204</v>
      </c>
      <c r="H4692" t="s">
        <v>10298</v>
      </c>
      <c r="I4692" t="s">
        <v>15755</v>
      </c>
      <c r="J4692" t="s">
        <v>8001</v>
      </c>
    </row>
    <row r="4693" spans="1:10" x14ac:dyDescent="0.25">
      <c r="A4693" t="s">
        <v>18215</v>
      </c>
      <c r="B4693">
        <v>5.032</v>
      </c>
      <c r="C4693" t="s">
        <v>18216</v>
      </c>
      <c r="D4693" t="s">
        <v>5592</v>
      </c>
      <c r="E4693" t="s">
        <v>18203</v>
      </c>
      <c r="F4693" t="s">
        <v>7672</v>
      </c>
      <c r="G4693" t="s">
        <v>18204</v>
      </c>
      <c r="H4693" t="s">
        <v>10298</v>
      </c>
      <c r="I4693" t="s">
        <v>15752</v>
      </c>
      <c r="J4693" t="s">
        <v>8001</v>
      </c>
    </row>
    <row r="4694" spans="1:10" x14ac:dyDescent="0.25">
      <c r="A4694" t="s">
        <v>18217</v>
      </c>
      <c r="B4694">
        <v>5.032</v>
      </c>
      <c r="C4694" t="s">
        <v>18218</v>
      </c>
      <c r="D4694" t="s">
        <v>436</v>
      </c>
      <c r="E4694" t="s">
        <v>18203</v>
      </c>
      <c r="F4694" t="s">
        <v>7672</v>
      </c>
      <c r="G4694" t="s">
        <v>18204</v>
      </c>
      <c r="H4694" t="s">
        <v>10298</v>
      </c>
      <c r="I4694" t="s">
        <v>15755</v>
      </c>
      <c r="J4694" t="s">
        <v>8013</v>
      </c>
    </row>
    <row r="4695" spans="1:10" x14ac:dyDescent="0.25">
      <c r="A4695" t="s">
        <v>18219</v>
      </c>
      <c r="B4695">
        <v>5.1920000000000002</v>
      </c>
      <c r="C4695" t="s">
        <v>18220</v>
      </c>
      <c r="D4695" t="s">
        <v>3827</v>
      </c>
      <c r="E4695" t="s">
        <v>18221</v>
      </c>
      <c r="F4695" t="s">
        <v>7672</v>
      </c>
      <c r="G4695" t="s">
        <v>18222</v>
      </c>
      <c r="H4695" t="s">
        <v>8027</v>
      </c>
      <c r="I4695" t="s">
        <v>76</v>
      </c>
      <c r="J4695" t="s">
        <v>8427</v>
      </c>
    </row>
    <row r="4696" spans="1:10" x14ac:dyDescent="0.25">
      <c r="A4696" t="s">
        <v>18223</v>
      </c>
      <c r="B4696">
        <v>5.1920000000000002</v>
      </c>
      <c r="C4696" t="s">
        <v>18224</v>
      </c>
      <c r="D4696" t="s">
        <v>835</v>
      </c>
      <c r="E4696" t="s">
        <v>18221</v>
      </c>
      <c r="F4696" t="s">
        <v>7672</v>
      </c>
      <c r="G4696" t="s">
        <v>18222</v>
      </c>
      <c r="H4696" t="s">
        <v>8027</v>
      </c>
      <c r="I4696" t="s">
        <v>76</v>
      </c>
      <c r="J4696" t="s">
        <v>8439</v>
      </c>
    </row>
    <row r="4697" spans="1:10" x14ac:dyDescent="0.25">
      <c r="A4697" t="s">
        <v>18225</v>
      </c>
      <c r="B4697">
        <v>5.1920000000000002</v>
      </c>
      <c r="C4697" t="s">
        <v>18226</v>
      </c>
      <c r="D4697" t="s">
        <v>908</v>
      </c>
      <c r="E4697" t="s">
        <v>18221</v>
      </c>
      <c r="F4697" t="s">
        <v>7672</v>
      </c>
      <c r="G4697" t="s">
        <v>18222</v>
      </c>
      <c r="H4697" t="s">
        <v>8027</v>
      </c>
      <c r="I4697" t="s">
        <v>76</v>
      </c>
      <c r="J4697" t="s">
        <v>8451</v>
      </c>
    </row>
    <row r="4698" spans="1:10" x14ac:dyDescent="0.25">
      <c r="A4698" t="s">
        <v>18227</v>
      </c>
      <c r="B4698">
        <v>5.1920000000000002</v>
      </c>
      <c r="C4698" t="s">
        <v>18228</v>
      </c>
      <c r="D4698" t="s">
        <v>5592</v>
      </c>
      <c r="E4698" t="s">
        <v>18221</v>
      </c>
      <c r="F4698" t="s">
        <v>7672</v>
      </c>
      <c r="G4698" t="s">
        <v>18222</v>
      </c>
      <c r="H4698" t="s">
        <v>8027</v>
      </c>
      <c r="I4698" t="s">
        <v>76</v>
      </c>
      <c r="J4698" t="s">
        <v>8462</v>
      </c>
    </row>
    <row r="4699" spans="1:10" x14ac:dyDescent="0.25">
      <c r="A4699" t="s">
        <v>18229</v>
      </c>
      <c r="B4699">
        <v>2.2400000000000002</v>
      </c>
      <c r="C4699" t="s">
        <v>18230</v>
      </c>
      <c r="D4699" t="s">
        <v>3208</v>
      </c>
      <c r="E4699" t="s">
        <v>18231</v>
      </c>
      <c r="F4699" t="s">
        <v>7672</v>
      </c>
      <c r="G4699" t="s">
        <v>8576</v>
      </c>
      <c r="H4699" t="s">
        <v>7674</v>
      </c>
      <c r="I4699" t="s">
        <v>18232</v>
      </c>
      <c r="J4699" t="s">
        <v>7981</v>
      </c>
    </row>
    <row r="4700" spans="1:10" x14ac:dyDescent="0.25">
      <c r="A4700" t="s">
        <v>18233</v>
      </c>
      <c r="B4700">
        <v>2.8719999999999999</v>
      </c>
      <c r="C4700" t="s">
        <v>18234</v>
      </c>
      <c r="D4700" t="s">
        <v>18235</v>
      </c>
      <c r="E4700" t="s">
        <v>18231</v>
      </c>
      <c r="F4700" t="s">
        <v>7672</v>
      </c>
      <c r="G4700" t="s">
        <v>8576</v>
      </c>
      <c r="H4700" t="s">
        <v>7674</v>
      </c>
      <c r="I4700" t="s">
        <v>278</v>
      </c>
      <c r="J4700" t="s">
        <v>8013</v>
      </c>
    </row>
    <row r="4701" spans="1:10" x14ac:dyDescent="0.25">
      <c r="A4701" t="s">
        <v>18236</v>
      </c>
      <c r="B4701">
        <v>2.8719999999999999</v>
      </c>
      <c r="C4701" t="s">
        <v>18237</v>
      </c>
      <c r="D4701" t="s">
        <v>18238</v>
      </c>
      <c r="E4701" t="s">
        <v>18231</v>
      </c>
      <c r="F4701" t="s">
        <v>7672</v>
      </c>
      <c r="G4701" t="s">
        <v>8576</v>
      </c>
      <c r="H4701" t="s">
        <v>7674</v>
      </c>
      <c r="I4701" t="s">
        <v>76</v>
      </c>
      <c r="J4701" t="s">
        <v>8013</v>
      </c>
    </row>
    <row r="4702" spans="1:10" x14ac:dyDescent="0.25">
      <c r="A4702" t="s">
        <v>4590</v>
      </c>
      <c r="B4702">
        <v>21</v>
      </c>
      <c r="C4702" t="s">
        <v>4592</v>
      </c>
      <c r="D4702" t="s">
        <v>282</v>
      </c>
      <c r="E4702" t="s">
        <v>4593</v>
      </c>
      <c r="F4702" t="s">
        <v>7672</v>
      </c>
      <c r="G4702" t="s">
        <v>18239</v>
      </c>
      <c r="H4702" t="s">
        <v>7954</v>
      </c>
      <c r="I4702" t="s">
        <v>76</v>
      </c>
      <c r="J4702" t="s">
        <v>7942</v>
      </c>
    </row>
    <row r="4703" spans="1:10" x14ac:dyDescent="0.25">
      <c r="A4703" t="s">
        <v>4596</v>
      </c>
      <c r="B4703">
        <v>21</v>
      </c>
      <c r="C4703" t="s">
        <v>4598</v>
      </c>
      <c r="D4703" t="s">
        <v>199</v>
      </c>
      <c r="E4703" t="s">
        <v>4593</v>
      </c>
      <c r="F4703" t="s">
        <v>7672</v>
      </c>
      <c r="G4703" t="s">
        <v>18239</v>
      </c>
      <c r="H4703" t="s">
        <v>7954</v>
      </c>
      <c r="I4703" t="s">
        <v>4600</v>
      </c>
      <c r="J4703" t="s">
        <v>7942</v>
      </c>
    </row>
    <row r="4704" spans="1:10" x14ac:dyDescent="0.25">
      <c r="A4704" t="s">
        <v>4601</v>
      </c>
      <c r="B4704">
        <v>21</v>
      </c>
      <c r="C4704" t="s">
        <v>4603</v>
      </c>
      <c r="D4704" t="s">
        <v>436</v>
      </c>
      <c r="E4704" t="s">
        <v>4593</v>
      </c>
      <c r="F4704" t="s">
        <v>7672</v>
      </c>
      <c r="G4704" t="s">
        <v>18239</v>
      </c>
      <c r="H4704" t="s">
        <v>7954</v>
      </c>
      <c r="I4704" t="s">
        <v>856</v>
      </c>
      <c r="J4704" t="s">
        <v>7942</v>
      </c>
    </row>
    <row r="4705" spans="1:10" x14ac:dyDescent="0.25">
      <c r="A4705" t="s">
        <v>4605</v>
      </c>
      <c r="B4705">
        <v>21</v>
      </c>
      <c r="C4705" t="s">
        <v>4607</v>
      </c>
      <c r="D4705" t="s">
        <v>964</v>
      </c>
      <c r="E4705" t="s">
        <v>4593</v>
      </c>
      <c r="F4705" t="s">
        <v>7672</v>
      </c>
      <c r="G4705" t="s">
        <v>18239</v>
      </c>
      <c r="H4705" t="s">
        <v>7954</v>
      </c>
      <c r="I4705" t="s">
        <v>76</v>
      </c>
      <c r="J4705" t="s">
        <v>7981</v>
      </c>
    </row>
    <row r="4706" spans="1:10" x14ac:dyDescent="0.25">
      <c r="A4706" t="s">
        <v>4609</v>
      </c>
      <c r="B4706">
        <v>21</v>
      </c>
      <c r="C4706" t="s">
        <v>4611</v>
      </c>
      <c r="D4706" t="s">
        <v>131</v>
      </c>
      <c r="E4706" t="s">
        <v>4593</v>
      </c>
      <c r="F4706" t="s">
        <v>7672</v>
      </c>
      <c r="G4706" t="s">
        <v>18239</v>
      </c>
      <c r="H4706" t="s">
        <v>7954</v>
      </c>
      <c r="I4706" t="s">
        <v>4600</v>
      </c>
      <c r="J4706" t="s">
        <v>7981</v>
      </c>
    </row>
    <row r="4707" spans="1:10" x14ac:dyDescent="0.25">
      <c r="A4707" t="s">
        <v>4613</v>
      </c>
      <c r="B4707">
        <v>21</v>
      </c>
      <c r="C4707" t="s">
        <v>4615</v>
      </c>
      <c r="D4707" t="s">
        <v>359</v>
      </c>
      <c r="E4707" t="s">
        <v>4593</v>
      </c>
      <c r="F4707" t="s">
        <v>7672</v>
      </c>
      <c r="G4707" t="s">
        <v>18239</v>
      </c>
      <c r="H4707" t="s">
        <v>7954</v>
      </c>
      <c r="I4707" t="s">
        <v>856</v>
      </c>
      <c r="J4707" t="s">
        <v>7981</v>
      </c>
    </row>
    <row r="4708" spans="1:10" x14ac:dyDescent="0.25">
      <c r="A4708" t="s">
        <v>4617</v>
      </c>
      <c r="B4708">
        <v>21</v>
      </c>
      <c r="C4708" t="s">
        <v>4619</v>
      </c>
      <c r="D4708" t="s">
        <v>1852</v>
      </c>
      <c r="E4708" t="s">
        <v>4593</v>
      </c>
      <c r="F4708" t="s">
        <v>7672</v>
      </c>
      <c r="G4708" t="s">
        <v>18239</v>
      </c>
      <c r="H4708" t="s">
        <v>7954</v>
      </c>
      <c r="I4708" t="s">
        <v>76</v>
      </c>
      <c r="J4708" t="s">
        <v>7984</v>
      </c>
    </row>
    <row r="4709" spans="1:10" x14ac:dyDescent="0.25">
      <c r="A4709" t="s">
        <v>4621</v>
      </c>
      <c r="B4709">
        <v>21</v>
      </c>
      <c r="C4709" t="s">
        <v>4623</v>
      </c>
      <c r="D4709" t="s">
        <v>964</v>
      </c>
      <c r="E4709" t="s">
        <v>4593</v>
      </c>
      <c r="F4709" t="s">
        <v>7672</v>
      </c>
      <c r="G4709" t="s">
        <v>18239</v>
      </c>
      <c r="H4709" t="s">
        <v>7954</v>
      </c>
      <c r="I4709" t="s">
        <v>4600</v>
      </c>
      <c r="J4709" t="s">
        <v>7984</v>
      </c>
    </row>
    <row r="4710" spans="1:10" x14ac:dyDescent="0.25">
      <c r="A4710" t="s">
        <v>4625</v>
      </c>
      <c r="B4710">
        <v>21</v>
      </c>
      <c r="C4710" t="s">
        <v>4627</v>
      </c>
      <c r="D4710" t="s">
        <v>698</v>
      </c>
      <c r="E4710" t="s">
        <v>4593</v>
      </c>
      <c r="F4710" t="s">
        <v>7672</v>
      </c>
      <c r="G4710" t="s">
        <v>18239</v>
      </c>
      <c r="H4710" t="s">
        <v>7954</v>
      </c>
      <c r="I4710" t="s">
        <v>856</v>
      </c>
      <c r="J4710" t="s">
        <v>7984</v>
      </c>
    </row>
    <row r="4711" spans="1:10" x14ac:dyDescent="0.25">
      <c r="A4711" t="s">
        <v>4629</v>
      </c>
      <c r="B4711">
        <v>21</v>
      </c>
      <c r="C4711" t="s">
        <v>4631</v>
      </c>
      <c r="D4711" t="s">
        <v>359</v>
      </c>
      <c r="E4711" t="s">
        <v>4593</v>
      </c>
      <c r="F4711" t="s">
        <v>7672</v>
      </c>
      <c r="G4711" t="s">
        <v>18239</v>
      </c>
      <c r="H4711" t="s">
        <v>7954</v>
      </c>
      <c r="I4711" t="s">
        <v>4600</v>
      </c>
      <c r="J4711" t="s">
        <v>7987</v>
      </c>
    </row>
    <row r="4712" spans="1:10" x14ac:dyDescent="0.25">
      <c r="A4712" t="s">
        <v>4633</v>
      </c>
      <c r="B4712">
        <v>21</v>
      </c>
      <c r="C4712" t="s">
        <v>4635</v>
      </c>
      <c r="D4712" t="s">
        <v>277</v>
      </c>
      <c r="E4712" t="s">
        <v>4593</v>
      </c>
      <c r="F4712" t="s">
        <v>7672</v>
      </c>
      <c r="G4712" t="s">
        <v>18239</v>
      </c>
      <c r="H4712" t="s">
        <v>7954</v>
      </c>
      <c r="I4712" t="s">
        <v>76</v>
      </c>
      <c r="J4712" t="s">
        <v>7987</v>
      </c>
    </row>
    <row r="4713" spans="1:10" x14ac:dyDescent="0.25">
      <c r="A4713" t="s">
        <v>4637</v>
      </c>
      <c r="B4713">
        <v>21</v>
      </c>
      <c r="C4713" t="s">
        <v>4639</v>
      </c>
      <c r="D4713" t="s">
        <v>2879</v>
      </c>
      <c r="E4713" t="s">
        <v>4593</v>
      </c>
      <c r="F4713" t="s">
        <v>7672</v>
      </c>
      <c r="G4713" t="s">
        <v>18239</v>
      </c>
      <c r="H4713" t="s">
        <v>7954</v>
      </c>
      <c r="I4713" t="s">
        <v>856</v>
      </c>
      <c r="J4713" t="s">
        <v>7987</v>
      </c>
    </row>
    <row r="4714" spans="1:10" x14ac:dyDescent="0.25">
      <c r="A4714" t="s">
        <v>4641</v>
      </c>
      <c r="B4714">
        <v>21</v>
      </c>
      <c r="C4714" t="s">
        <v>4643</v>
      </c>
      <c r="D4714" t="s">
        <v>245</v>
      </c>
      <c r="E4714" t="s">
        <v>4593</v>
      </c>
      <c r="F4714" t="s">
        <v>7672</v>
      </c>
      <c r="G4714" t="s">
        <v>18239</v>
      </c>
      <c r="H4714" t="s">
        <v>7954</v>
      </c>
      <c r="I4714" t="s">
        <v>4600</v>
      </c>
      <c r="J4714" t="s">
        <v>8001</v>
      </c>
    </row>
    <row r="4715" spans="1:10" x14ac:dyDescent="0.25">
      <c r="A4715" t="s">
        <v>4645</v>
      </c>
      <c r="B4715">
        <v>21</v>
      </c>
      <c r="C4715" t="s">
        <v>4647</v>
      </c>
      <c r="D4715" t="s">
        <v>352</v>
      </c>
      <c r="E4715" t="s">
        <v>4593</v>
      </c>
      <c r="F4715" t="s">
        <v>7672</v>
      </c>
      <c r="G4715" t="s">
        <v>18239</v>
      </c>
      <c r="H4715" t="s">
        <v>7954</v>
      </c>
      <c r="I4715" t="s">
        <v>76</v>
      </c>
      <c r="J4715" t="s">
        <v>8001</v>
      </c>
    </row>
    <row r="4716" spans="1:10" x14ac:dyDescent="0.25">
      <c r="A4716" t="s">
        <v>4649</v>
      </c>
      <c r="B4716">
        <v>21</v>
      </c>
      <c r="C4716" t="s">
        <v>4651</v>
      </c>
      <c r="D4716" t="s">
        <v>964</v>
      </c>
      <c r="E4716" t="s">
        <v>4593</v>
      </c>
      <c r="F4716" t="s">
        <v>7672</v>
      </c>
      <c r="G4716" t="s">
        <v>18239</v>
      </c>
      <c r="H4716" t="s">
        <v>7954</v>
      </c>
      <c r="I4716" t="s">
        <v>856</v>
      </c>
      <c r="J4716" t="s">
        <v>8001</v>
      </c>
    </row>
    <row r="4717" spans="1:10" x14ac:dyDescent="0.25">
      <c r="A4717" t="s">
        <v>4653</v>
      </c>
      <c r="B4717">
        <v>12</v>
      </c>
      <c r="C4717" t="s">
        <v>4655</v>
      </c>
      <c r="D4717" t="s">
        <v>4100</v>
      </c>
      <c r="E4717" t="s">
        <v>4656</v>
      </c>
      <c r="F4717" t="s">
        <v>7672</v>
      </c>
      <c r="G4717" t="s">
        <v>18240</v>
      </c>
      <c r="H4717" t="s">
        <v>18241</v>
      </c>
      <c r="I4717" t="s">
        <v>4659</v>
      </c>
      <c r="J4717" t="s">
        <v>282</v>
      </c>
    </row>
    <row r="4718" spans="1:10" x14ac:dyDescent="0.25">
      <c r="A4718" t="s">
        <v>18242</v>
      </c>
      <c r="B4718">
        <v>8.3920000000000012</v>
      </c>
      <c r="C4718" t="s">
        <v>18243</v>
      </c>
      <c r="D4718" t="s">
        <v>3070</v>
      </c>
      <c r="E4718" t="s">
        <v>18244</v>
      </c>
      <c r="F4718" t="s">
        <v>7672</v>
      </c>
      <c r="G4718" t="s">
        <v>18245</v>
      </c>
      <c r="H4718" t="s">
        <v>10298</v>
      </c>
      <c r="I4718" t="s">
        <v>15044</v>
      </c>
      <c r="J4718" t="s">
        <v>290</v>
      </c>
    </row>
    <row r="4719" spans="1:10" x14ac:dyDescent="0.25">
      <c r="A4719" t="s">
        <v>18246</v>
      </c>
      <c r="B4719">
        <v>8.3920000000000012</v>
      </c>
      <c r="C4719" t="s">
        <v>18247</v>
      </c>
      <c r="D4719" t="s">
        <v>277</v>
      </c>
      <c r="E4719" t="s">
        <v>18244</v>
      </c>
      <c r="F4719" t="s">
        <v>7672</v>
      </c>
      <c r="G4719" t="s">
        <v>18245</v>
      </c>
      <c r="H4719" t="s">
        <v>10298</v>
      </c>
      <c r="I4719" t="s">
        <v>9245</v>
      </c>
      <c r="J4719" t="s">
        <v>290</v>
      </c>
    </row>
    <row r="4720" spans="1:10" x14ac:dyDescent="0.25">
      <c r="A4720" t="s">
        <v>18248</v>
      </c>
      <c r="B4720">
        <v>8.3920000000000012</v>
      </c>
      <c r="C4720" t="s">
        <v>18249</v>
      </c>
      <c r="D4720" t="s">
        <v>613</v>
      </c>
      <c r="E4720" t="s">
        <v>18244</v>
      </c>
      <c r="F4720" t="s">
        <v>7672</v>
      </c>
      <c r="G4720" t="s">
        <v>18245</v>
      </c>
      <c r="H4720" t="s">
        <v>10298</v>
      </c>
      <c r="I4720" t="s">
        <v>15044</v>
      </c>
      <c r="J4720" t="s">
        <v>269</v>
      </c>
    </row>
    <row r="4721" spans="1:10" x14ac:dyDescent="0.25">
      <c r="A4721" t="s">
        <v>18250</v>
      </c>
      <c r="B4721">
        <v>8.3920000000000012</v>
      </c>
      <c r="C4721" t="s">
        <v>18251</v>
      </c>
      <c r="D4721" t="s">
        <v>2381</v>
      </c>
      <c r="E4721" t="s">
        <v>18244</v>
      </c>
      <c r="F4721" t="s">
        <v>7672</v>
      </c>
      <c r="G4721" t="s">
        <v>18245</v>
      </c>
      <c r="H4721" t="s">
        <v>10298</v>
      </c>
      <c r="I4721" t="s">
        <v>15044</v>
      </c>
      <c r="J4721" t="s">
        <v>255</v>
      </c>
    </row>
    <row r="4722" spans="1:10" x14ac:dyDescent="0.25">
      <c r="A4722" t="s">
        <v>18252</v>
      </c>
      <c r="B4722">
        <v>8.3920000000000012</v>
      </c>
      <c r="C4722" t="s">
        <v>18253</v>
      </c>
      <c r="D4722" t="s">
        <v>3076</v>
      </c>
      <c r="E4722" t="s">
        <v>18244</v>
      </c>
      <c r="F4722" t="s">
        <v>7672</v>
      </c>
      <c r="G4722" t="s">
        <v>18245</v>
      </c>
      <c r="H4722" t="s">
        <v>10298</v>
      </c>
      <c r="I4722" t="s">
        <v>15044</v>
      </c>
      <c r="J4722" t="s">
        <v>277</v>
      </c>
    </row>
    <row r="4723" spans="1:10" x14ac:dyDescent="0.25">
      <c r="A4723" t="s">
        <v>18254</v>
      </c>
      <c r="B4723">
        <v>8.3920000000000012</v>
      </c>
      <c r="C4723" t="s">
        <v>18255</v>
      </c>
      <c r="D4723" t="s">
        <v>2845</v>
      </c>
      <c r="E4723" t="s">
        <v>18244</v>
      </c>
      <c r="F4723" t="s">
        <v>7672</v>
      </c>
      <c r="G4723" t="s">
        <v>18245</v>
      </c>
      <c r="H4723" t="s">
        <v>10298</v>
      </c>
      <c r="I4723" t="s">
        <v>15044</v>
      </c>
      <c r="J4723" t="s">
        <v>164</v>
      </c>
    </row>
    <row r="4724" spans="1:10" x14ac:dyDescent="0.25">
      <c r="A4724" t="s">
        <v>18256</v>
      </c>
      <c r="B4724">
        <v>8.3920000000000012</v>
      </c>
      <c r="C4724" t="s">
        <v>18257</v>
      </c>
      <c r="D4724" t="s">
        <v>705</v>
      </c>
      <c r="E4724" t="s">
        <v>18244</v>
      </c>
      <c r="F4724" t="s">
        <v>7672</v>
      </c>
      <c r="G4724" t="s">
        <v>18245</v>
      </c>
      <c r="H4724" t="s">
        <v>10298</v>
      </c>
      <c r="I4724" t="s">
        <v>15044</v>
      </c>
      <c r="J4724" t="s">
        <v>199</v>
      </c>
    </row>
    <row r="4725" spans="1:10" x14ac:dyDescent="0.25">
      <c r="A4725" t="s">
        <v>18258</v>
      </c>
      <c r="B4725">
        <v>8.0960000000000001</v>
      </c>
      <c r="C4725" t="s">
        <v>18259</v>
      </c>
      <c r="D4725" t="s">
        <v>18260</v>
      </c>
      <c r="E4725" t="s">
        <v>18261</v>
      </c>
      <c r="F4725" t="s">
        <v>7672</v>
      </c>
      <c r="G4725" t="s">
        <v>18262</v>
      </c>
      <c r="H4725" t="s">
        <v>10298</v>
      </c>
      <c r="I4725" t="s">
        <v>438</v>
      </c>
      <c r="J4725" t="s">
        <v>342</v>
      </c>
    </row>
    <row r="4726" spans="1:10" x14ac:dyDescent="0.25">
      <c r="A4726" t="s">
        <v>18263</v>
      </c>
      <c r="B4726">
        <v>8.0960000000000001</v>
      </c>
      <c r="C4726" t="s">
        <v>18264</v>
      </c>
      <c r="D4726" t="s">
        <v>16180</v>
      </c>
      <c r="E4726" t="s">
        <v>18261</v>
      </c>
      <c r="F4726" t="s">
        <v>7672</v>
      </c>
      <c r="G4726" t="s">
        <v>18262</v>
      </c>
      <c r="H4726" t="s">
        <v>10298</v>
      </c>
      <c r="I4726" t="s">
        <v>438</v>
      </c>
      <c r="J4726" t="s">
        <v>100</v>
      </c>
    </row>
    <row r="4727" spans="1:10" x14ac:dyDescent="0.25">
      <c r="A4727" t="s">
        <v>18265</v>
      </c>
      <c r="B4727">
        <v>8.0960000000000001</v>
      </c>
      <c r="C4727" t="s">
        <v>18266</v>
      </c>
      <c r="D4727" t="s">
        <v>18267</v>
      </c>
      <c r="E4727" t="s">
        <v>18261</v>
      </c>
      <c r="F4727" t="s">
        <v>7672</v>
      </c>
      <c r="G4727" t="s">
        <v>18262</v>
      </c>
      <c r="H4727" t="s">
        <v>10298</v>
      </c>
      <c r="I4727" t="s">
        <v>438</v>
      </c>
      <c r="J4727" t="s">
        <v>88</v>
      </c>
    </row>
    <row r="4728" spans="1:10" x14ac:dyDescent="0.25">
      <c r="A4728" t="s">
        <v>18268</v>
      </c>
      <c r="B4728">
        <v>4.32</v>
      </c>
      <c r="C4728" t="s">
        <v>18269</v>
      </c>
      <c r="D4728" t="s">
        <v>100</v>
      </c>
      <c r="E4728" t="s">
        <v>18270</v>
      </c>
      <c r="F4728" t="s">
        <v>7672</v>
      </c>
      <c r="G4728" t="s">
        <v>18271</v>
      </c>
      <c r="H4728" t="s">
        <v>10298</v>
      </c>
      <c r="I4728" t="s">
        <v>18272</v>
      </c>
      <c r="J4728" t="s">
        <v>7942</v>
      </c>
    </row>
    <row r="4729" spans="1:10" x14ac:dyDescent="0.25">
      <c r="A4729" t="s">
        <v>18273</v>
      </c>
      <c r="B4729">
        <v>4.32</v>
      </c>
      <c r="C4729" t="s">
        <v>18274</v>
      </c>
      <c r="D4729" t="s">
        <v>1097</v>
      </c>
      <c r="E4729" t="s">
        <v>18270</v>
      </c>
      <c r="F4729" t="s">
        <v>7672</v>
      </c>
      <c r="G4729" t="s">
        <v>18271</v>
      </c>
      <c r="H4729" t="s">
        <v>10298</v>
      </c>
      <c r="I4729" t="s">
        <v>10394</v>
      </c>
      <c r="J4729" t="s">
        <v>7942</v>
      </c>
    </row>
    <row r="4730" spans="1:10" x14ac:dyDescent="0.25">
      <c r="A4730" t="s">
        <v>18275</v>
      </c>
      <c r="B4730">
        <v>4.32</v>
      </c>
      <c r="C4730" t="s">
        <v>18276</v>
      </c>
      <c r="D4730" t="s">
        <v>2910</v>
      </c>
      <c r="E4730" t="s">
        <v>18270</v>
      </c>
      <c r="F4730" t="s">
        <v>7672</v>
      </c>
      <c r="G4730" t="s">
        <v>18271</v>
      </c>
      <c r="H4730" t="s">
        <v>10298</v>
      </c>
      <c r="I4730" t="s">
        <v>11206</v>
      </c>
      <c r="J4730" t="s">
        <v>7942</v>
      </c>
    </row>
    <row r="4731" spans="1:10" x14ac:dyDescent="0.25">
      <c r="A4731" t="s">
        <v>18277</v>
      </c>
      <c r="B4731">
        <v>4.32</v>
      </c>
      <c r="C4731" t="s">
        <v>18278</v>
      </c>
      <c r="D4731" t="s">
        <v>118</v>
      </c>
      <c r="E4731" t="s">
        <v>18270</v>
      </c>
      <c r="F4731" t="s">
        <v>7672</v>
      </c>
      <c r="G4731" t="s">
        <v>18271</v>
      </c>
      <c r="H4731" t="s">
        <v>10298</v>
      </c>
      <c r="I4731" t="s">
        <v>18279</v>
      </c>
      <c r="J4731" t="s">
        <v>7942</v>
      </c>
    </row>
    <row r="4732" spans="1:10" x14ac:dyDescent="0.25">
      <c r="A4732" t="s">
        <v>18280</v>
      </c>
      <c r="B4732">
        <v>4.32</v>
      </c>
      <c r="C4732" t="s">
        <v>18281</v>
      </c>
      <c r="D4732" t="s">
        <v>311</v>
      </c>
      <c r="E4732" t="s">
        <v>18270</v>
      </c>
      <c r="F4732" t="s">
        <v>7672</v>
      </c>
      <c r="G4732" t="s">
        <v>18271</v>
      </c>
      <c r="H4732" t="s">
        <v>10298</v>
      </c>
      <c r="I4732" t="s">
        <v>18282</v>
      </c>
      <c r="J4732" t="s">
        <v>7942</v>
      </c>
    </row>
    <row r="4733" spans="1:10" x14ac:dyDescent="0.25">
      <c r="A4733" t="s">
        <v>18283</v>
      </c>
      <c r="B4733">
        <v>4.32</v>
      </c>
      <c r="C4733" t="s">
        <v>18284</v>
      </c>
      <c r="D4733" t="s">
        <v>290</v>
      </c>
      <c r="E4733" t="s">
        <v>18270</v>
      </c>
      <c r="F4733" t="s">
        <v>7672</v>
      </c>
      <c r="G4733" t="s">
        <v>18271</v>
      </c>
      <c r="H4733" t="s">
        <v>10298</v>
      </c>
      <c r="I4733" t="s">
        <v>18285</v>
      </c>
      <c r="J4733" t="s">
        <v>7942</v>
      </c>
    </row>
    <row r="4734" spans="1:10" x14ac:dyDescent="0.25">
      <c r="A4734" t="s">
        <v>18286</v>
      </c>
      <c r="B4734">
        <v>4.32</v>
      </c>
      <c r="C4734" t="s">
        <v>18287</v>
      </c>
      <c r="D4734" t="s">
        <v>705</v>
      </c>
      <c r="E4734" t="s">
        <v>18270</v>
      </c>
      <c r="F4734" t="s">
        <v>7672</v>
      </c>
      <c r="G4734" t="s">
        <v>18271</v>
      </c>
      <c r="H4734" t="s">
        <v>10298</v>
      </c>
      <c r="I4734" t="s">
        <v>18288</v>
      </c>
      <c r="J4734" t="s">
        <v>7942</v>
      </c>
    </row>
    <row r="4735" spans="1:10" x14ac:dyDescent="0.25">
      <c r="A4735" t="s">
        <v>18289</v>
      </c>
      <c r="B4735">
        <v>3.6</v>
      </c>
      <c r="C4735" t="s">
        <v>18290</v>
      </c>
      <c r="D4735" t="s">
        <v>576</v>
      </c>
      <c r="E4735" t="s">
        <v>18291</v>
      </c>
      <c r="F4735" t="s">
        <v>7672</v>
      </c>
      <c r="G4735" t="s">
        <v>18292</v>
      </c>
      <c r="H4735" t="s">
        <v>10298</v>
      </c>
      <c r="I4735" t="s">
        <v>11699</v>
      </c>
      <c r="J4735" t="s">
        <v>7942</v>
      </c>
    </row>
    <row r="4736" spans="1:10" x14ac:dyDescent="0.25">
      <c r="A4736" t="s">
        <v>18293</v>
      </c>
      <c r="B4736">
        <v>3.6</v>
      </c>
      <c r="C4736" t="s">
        <v>18294</v>
      </c>
      <c r="D4736" t="s">
        <v>164</v>
      </c>
      <c r="E4736" t="s">
        <v>18291</v>
      </c>
      <c r="F4736" t="s">
        <v>7672</v>
      </c>
      <c r="G4736" t="s">
        <v>18292</v>
      </c>
      <c r="H4736" t="s">
        <v>10298</v>
      </c>
      <c r="I4736" t="s">
        <v>15013</v>
      </c>
      <c r="J4736" t="s">
        <v>8013</v>
      </c>
    </row>
    <row r="4737" spans="1:10" x14ac:dyDescent="0.25">
      <c r="A4737" t="s">
        <v>18295</v>
      </c>
      <c r="B4737">
        <v>3.6</v>
      </c>
      <c r="C4737" t="s">
        <v>18296</v>
      </c>
      <c r="D4737" t="s">
        <v>742</v>
      </c>
      <c r="E4737" t="s">
        <v>18291</v>
      </c>
      <c r="F4737" t="s">
        <v>7672</v>
      </c>
      <c r="G4737" t="s">
        <v>18292</v>
      </c>
      <c r="H4737" t="s">
        <v>10298</v>
      </c>
      <c r="I4737" t="s">
        <v>15016</v>
      </c>
      <c r="J4737" t="s">
        <v>8013</v>
      </c>
    </row>
    <row r="4738" spans="1:10" x14ac:dyDescent="0.25">
      <c r="A4738" t="s">
        <v>18297</v>
      </c>
      <c r="B4738">
        <v>3.6</v>
      </c>
      <c r="C4738" t="s">
        <v>18298</v>
      </c>
      <c r="D4738" t="s">
        <v>60</v>
      </c>
      <c r="E4738" t="s">
        <v>18291</v>
      </c>
      <c r="F4738" t="s">
        <v>7672</v>
      </c>
      <c r="G4738" t="s">
        <v>18292</v>
      </c>
      <c r="H4738" t="s">
        <v>10298</v>
      </c>
      <c r="I4738" t="s">
        <v>11206</v>
      </c>
      <c r="J4738" t="s">
        <v>8013</v>
      </c>
    </row>
    <row r="4739" spans="1:10" x14ac:dyDescent="0.25">
      <c r="A4739" t="s">
        <v>18299</v>
      </c>
      <c r="B4739">
        <v>9.5920000000000005</v>
      </c>
      <c r="C4739" t="s">
        <v>18300</v>
      </c>
      <c r="D4739" t="s">
        <v>3086</v>
      </c>
      <c r="E4739" t="s">
        <v>18301</v>
      </c>
      <c r="F4739" t="s">
        <v>7672</v>
      </c>
      <c r="G4739" t="s">
        <v>18302</v>
      </c>
      <c r="H4739" t="s">
        <v>7674</v>
      </c>
      <c r="I4739" t="s">
        <v>15158</v>
      </c>
      <c r="J4739" t="s">
        <v>9694</v>
      </c>
    </row>
    <row r="4740" spans="1:10" x14ac:dyDescent="0.25">
      <c r="A4740" t="s">
        <v>18303</v>
      </c>
      <c r="B4740">
        <v>7.8319999999999999</v>
      </c>
      <c r="C4740" t="s">
        <v>18304</v>
      </c>
      <c r="D4740" t="s">
        <v>849</v>
      </c>
      <c r="E4740" t="s">
        <v>18305</v>
      </c>
      <c r="F4740" t="s">
        <v>7672</v>
      </c>
      <c r="G4740" t="s">
        <v>18306</v>
      </c>
      <c r="H4740" t="s">
        <v>7974</v>
      </c>
      <c r="I4740" t="s">
        <v>18307</v>
      </c>
      <c r="J4740" t="s">
        <v>7942</v>
      </c>
    </row>
    <row r="4741" spans="1:10" x14ac:dyDescent="0.25">
      <c r="A4741" t="s">
        <v>18308</v>
      </c>
      <c r="B4741">
        <v>7.8319999999999999</v>
      </c>
      <c r="C4741" t="s">
        <v>18309</v>
      </c>
      <c r="D4741" t="s">
        <v>277</v>
      </c>
      <c r="E4741" t="s">
        <v>18305</v>
      </c>
      <c r="F4741" t="s">
        <v>7672</v>
      </c>
      <c r="G4741" t="s">
        <v>18306</v>
      </c>
      <c r="H4741" t="s">
        <v>7974</v>
      </c>
      <c r="I4741" t="s">
        <v>18307</v>
      </c>
      <c r="J4741" t="s">
        <v>7981</v>
      </c>
    </row>
    <row r="4742" spans="1:10" x14ac:dyDescent="0.25">
      <c r="A4742" t="s">
        <v>18310</v>
      </c>
      <c r="B4742">
        <v>7.8319999999999999</v>
      </c>
      <c r="C4742" t="s">
        <v>18311</v>
      </c>
      <c r="D4742" t="s">
        <v>1811</v>
      </c>
      <c r="E4742" t="s">
        <v>18305</v>
      </c>
      <c r="F4742" t="s">
        <v>7672</v>
      </c>
      <c r="G4742" t="s">
        <v>18306</v>
      </c>
      <c r="H4742" t="s">
        <v>7974</v>
      </c>
      <c r="I4742" t="s">
        <v>18307</v>
      </c>
      <c r="J4742" t="s">
        <v>7984</v>
      </c>
    </row>
    <row r="4743" spans="1:10" x14ac:dyDescent="0.25">
      <c r="A4743" t="s">
        <v>18312</v>
      </c>
      <c r="B4743">
        <v>7.8319999999999999</v>
      </c>
      <c r="C4743" t="s">
        <v>18313</v>
      </c>
      <c r="D4743" t="s">
        <v>3850</v>
      </c>
      <c r="E4743" t="s">
        <v>18305</v>
      </c>
      <c r="F4743" t="s">
        <v>7672</v>
      </c>
      <c r="G4743" t="s">
        <v>18306</v>
      </c>
      <c r="H4743" t="s">
        <v>7974</v>
      </c>
      <c r="I4743" t="s">
        <v>18307</v>
      </c>
      <c r="J4743" t="s">
        <v>7987</v>
      </c>
    </row>
    <row r="4744" spans="1:10" x14ac:dyDescent="0.25">
      <c r="A4744" t="s">
        <v>18314</v>
      </c>
      <c r="B4744">
        <v>7.8319999999999999</v>
      </c>
      <c r="C4744" t="s">
        <v>18315</v>
      </c>
      <c r="D4744" t="s">
        <v>3415</v>
      </c>
      <c r="E4744" t="s">
        <v>18305</v>
      </c>
      <c r="F4744" t="s">
        <v>7672</v>
      </c>
      <c r="G4744" t="s">
        <v>18306</v>
      </c>
      <c r="H4744" t="s">
        <v>7974</v>
      </c>
      <c r="I4744" t="s">
        <v>18307</v>
      </c>
      <c r="J4744" t="s">
        <v>8001</v>
      </c>
    </row>
    <row r="4745" spans="1:10" x14ac:dyDescent="0.25">
      <c r="A4745" t="s">
        <v>18316</v>
      </c>
      <c r="B4745">
        <v>7.8319999999999999</v>
      </c>
      <c r="C4745" t="s">
        <v>18317</v>
      </c>
      <c r="D4745" t="s">
        <v>1795</v>
      </c>
      <c r="E4745" t="s">
        <v>18305</v>
      </c>
      <c r="F4745" t="s">
        <v>7672</v>
      </c>
      <c r="G4745" t="s">
        <v>18306</v>
      </c>
      <c r="H4745" t="s">
        <v>7974</v>
      </c>
      <c r="I4745" t="s">
        <v>18307</v>
      </c>
      <c r="J4745" t="s">
        <v>8013</v>
      </c>
    </row>
    <row r="4746" spans="1:10" x14ac:dyDescent="0.25">
      <c r="A4746" t="s">
        <v>18318</v>
      </c>
      <c r="B4746">
        <v>42</v>
      </c>
      <c r="C4746" t="s">
        <v>18319</v>
      </c>
      <c r="D4746" t="s">
        <v>18320</v>
      </c>
      <c r="E4746" t="s">
        <v>18321</v>
      </c>
      <c r="F4746" t="s">
        <v>7672</v>
      </c>
      <c r="G4746" t="s">
        <v>18322</v>
      </c>
      <c r="H4746" t="s">
        <v>9693</v>
      </c>
      <c r="I4746" t="s">
        <v>18323</v>
      </c>
      <c r="J4746" t="s">
        <v>9694</v>
      </c>
    </row>
    <row r="4747" spans="1:10" x14ac:dyDescent="0.25">
      <c r="A4747" t="s">
        <v>18324</v>
      </c>
      <c r="B4747">
        <v>13</v>
      </c>
      <c r="C4747" t="s">
        <v>18325</v>
      </c>
      <c r="D4747" t="s">
        <v>576</v>
      </c>
      <c r="E4747" t="s">
        <v>18326</v>
      </c>
      <c r="F4747" t="s">
        <v>7672</v>
      </c>
      <c r="G4747" t="s">
        <v>18327</v>
      </c>
      <c r="H4747" t="s">
        <v>8027</v>
      </c>
      <c r="I4747" t="s">
        <v>18328</v>
      </c>
      <c r="J4747" t="s">
        <v>8439</v>
      </c>
    </row>
    <row r="4748" spans="1:10" x14ac:dyDescent="0.25">
      <c r="A4748" t="s">
        <v>18329</v>
      </c>
      <c r="B4748">
        <v>13</v>
      </c>
      <c r="C4748" t="s">
        <v>18330</v>
      </c>
      <c r="D4748" t="s">
        <v>3184</v>
      </c>
      <c r="E4748" t="s">
        <v>18326</v>
      </c>
      <c r="F4748" t="s">
        <v>7672</v>
      </c>
      <c r="G4748" t="s">
        <v>18327</v>
      </c>
      <c r="H4748" t="s">
        <v>8027</v>
      </c>
      <c r="I4748" t="s">
        <v>18328</v>
      </c>
      <c r="J4748" t="s">
        <v>8451</v>
      </c>
    </row>
    <row r="4749" spans="1:10" x14ac:dyDescent="0.25">
      <c r="A4749" t="s">
        <v>18331</v>
      </c>
      <c r="B4749">
        <v>13</v>
      </c>
      <c r="C4749" t="s">
        <v>18332</v>
      </c>
      <c r="D4749" t="s">
        <v>1134</v>
      </c>
      <c r="E4749" t="s">
        <v>18326</v>
      </c>
      <c r="F4749" t="s">
        <v>7672</v>
      </c>
      <c r="G4749" t="s">
        <v>18327</v>
      </c>
      <c r="H4749" t="s">
        <v>8027</v>
      </c>
      <c r="I4749" t="s">
        <v>18328</v>
      </c>
      <c r="J4749" t="s">
        <v>8462</v>
      </c>
    </row>
    <row r="4750" spans="1:10" x14ac:dyDescent="0.25">
      <c r="A4750" t="s">
        <v>18333</v>
      </c>
      <c r="B4750">
        <v>9.120000000000001</v>
      </c>
      <c r="C4750" t="s">
        <v>18334</v>
      </c>
      <c r="D4750" t="s">
        <v>654</v>
      </c>
      <c r="E4750" t="s">
        <v>18335</v>
      </c>
      <c r="F4750" t="s">
        <v>7672</v>
      </c>
      <c r="G4750" t="s">
        <v>18336</v>
      </c>
      <c r="H4750" t="s">
        <v>11037</v>
      </c>
      <c r="I4750" t="s">
        <v>935</v>
      </c>
      <c r="J4750" t="s">
        <v>8427</v>
      </c>
    </row>
    <row r="4751" spans="1:10" x14ac:dyDescent="0.25">
      <c r="A4751" t="s">
        <v>18337</v>
      </c>
      <c r="B4751">
        <v>9.120000000000001</v>
      </c>
      <c r="C4751" t="s">
        <v>18338</v>
      </c>
      <c r="D4751" t="s">
        <v>131</v>
      </c>
      <c r="E4751" t="s">
        <v>18335</v>
      </c>
      <c r="F4751" t="s">
        <v>7672</v>
      </c>
      <c r="G4751" t="s">
        <v>18336</v>
      </c>
      <c r="H4751" t="s">
        <v>11037</v>
      </c>
      <c r="I4751" t="s">
        <v>76</v>
      </c>
      <c r="J4751" t="s">
        <v>8427</v>
      </c>
    </row>
    <row r="4752" spans="1:10" x14ac:dyDescent="0.25">
      <c r="A4752" t="s">
        <v>18339</v>
      </c>
      <c r="B4752">
        <v>9.120000000000001</v>
      </c>
      <c r="C4752" t="s">
        <v>18340</v>
      </c>
      <c r="D4752" t="s">
        <v>1767</v>
      </c>
      <c r="E4752" t="s">
        <v>18335</v>
      </c>
      <c r="F4752" t="s">
        <v>7672</v>
      </c>
      <c r="G4752" t="s">
        <v>18336</v>
      </c>
      <c r="H4752" t="s">
        <v>11037</v>
      </c>
      <c r="I4752" t="s">
        <v>935</v>
      </c>
      <c r="J4752" t="s">
        <v>8439</v>
      </c>
    </row>
    <row r="4753" spans="1:10" x14ac:dyDescent="0.25">
      <c r="A4753" t="s">
        <v>18341</v>
      </c>
      <c r="B4753">
        <v>9.120000000000001</v>
      </c>
      <c r="C4753" t="s">
        <v>18342</v>
      </c>
      <c r="D4753" t="s">
        <v>301</v>
      </c>
      <c r="E4753" t="s">
        <v>18335</v>
      </c>
      <c r="F4753" t="s">
        <v>7672</v>
      </c>
      <c r="G4753" t="s">
        <v>18336</v>
      </c>
      <c r="H4753" t="s">
        <v>11037</v>
      </c>
      <c r="I4753" t="s">
        <v>76</v>
      </c>
      <c r="J4753" t="s">
        <v>8439</v>
      </c>
    </row>
    <row r="4754" spans="1:10" x14ac:dyDescent="0.25">
      <c r="A4754" t="s">
        <v>18343</v>
      </c>
      <c r="B4754">
        <v>9.120000000000001</v>
      </c>
      <c r="C4754" t="s">
        <v>18344</v>
      </c>
      <c r="D4754" t="s">
        <v>2001</v>
      </c>
      <c r="E4754" t="s">
        <v>18335</v>
      </c>
      <c r="F4754" t="s">
        <v>7672</v>
      </c>
      <c r="G4754" t="s">
        <v>18336</v>
      </c>
      <c r="H4754" t="s">
        <v>11037</v>
      </c>
      <c r="I4754" t="s">
        <v>935</v>
      </c>
      <c r="J4754" t="s">
        <v>8451</v>
      </c>
    </row>
    <row r="4755" spans="1:10" x14ac:dyDescent="0.25">
      <c r="A4755" t="s">
        <v>18345</v>
      </c>
      <c r="B4755">
        <v>9.120000000000001</v>
      </c>
      <c r="C4755" t="s">
        <v>18346</v>
      </c>
      <c r="D4755" t="s">
        <v>959</v>
      </c>
      <c r="E4755" t="s">
        <v>18335</v>
      </c>
      <c r="F4755" t="s">
        <v>7672</v>
      </c>
      <c r="G4755" t="s">
        <v>18336</v>
      </c>
      <c r="H4755" t="s">
        <v>11037</v>
      </c>
      <c r="I4755" t="s">
        <v>76</v>
      </c>
      <c r="J4755" t="s">
        <v>8451</v>
      </c>
    </row>
    <row r="4756" spans="1:10" x14ac:dyDescent="0.25">
      <c r="A4756" t="s">
        <v>18347</v>
      </c>
      <c r="B4756">
        <v>8.3920000000000012</v>
      </c>
      <c r="C4756" t="s">
        <v>18348</v>
      </c>
      <c r="D4756" t="s">
        <v>245</v>
      </c>
      <c r="E4756" t="s">
        <v>18349</v>
      </c>
      <c r="F4756" t="s">
        <v>7672</v>
      </c>
      <c r="G4756" t="s">
        <v>18350</v>
      </c>
      <c r="H4756" t="s">
        <v>9127</v>
      </c>
      <c r="I4756" t="s">
        <v>5202</v>
      </c>
      <c r="J4756" t="s">
        <v>7984</v>
      </c>
    </row>
    <row r="4757" spans="1:10" x14ac:dyDescent="0.25">
      <c r="A4757" t="s">
        <v>18351</v>
      </c>
      <c r="B4757">
        <v>8.3920000000000012</v>
      </c>
      <c r="C4757" t="s">
        <v>18352</v>
      </c>
      <c r="D4757" t="s">
        <v>250</v>
      </c>
      <c r="E4757" t="s">
        <v>18349</v>
      </c>
      <c r="F4757" t="s">
        <v>7672</v>
      </c>
      <c r="G4757" t="s">
        <v>18350</v>
      </c>
      <c r="H4757" t="s">
        <v>9127</v>
      </c>
      <c r="I4757" t="s">
        <v>13703</v>
      </c>
      <c r="J4757" t="s">
        <v>7984</v>
      </c>
    </row>
    <row r="4758" spans="1:10" x14ac:dyDescent="0.25">
      <c r="A4758" t="s">
        <v>18353</v>
      </c>
      <c r="B4758">
        <v>8.3920000000000012</v>
      </c>
      <c r="C4758" t="s">
        <v>18354</v>
      </c>
      <c r="D4758" t="s">
        <v>941</v>
      </c>
      <c r="E4758" t="s">
        <v>18349</v>
      </c>
      <c r="F4758" t="s">
        <v>7672</v>
      </c>
      <c r="G4758" t="s">
        <v>18350</v>
      </c>
      <c r="H4758" t="s">
        <v>9127</v>
      </c>
      <c r="I4758" t="s">
        <v>5202</v>
      </c>
      <c r="J4758" t="s">
        <v>7987</v>
      </c>
    </row>
    <row r="4759" spans="1:10" x14ac:dyDescent="0.25">
      <c r="A4759" t="s">
        <v>18355</v>
      </c>
      <c r="B4759">
        <v>8.3920000000000012</v>
      </c>
      <c r="C4759" t="s">
        <v>18356</v>
      </c>
      <c r="D4759" t="s">
        <v>986</v>
      </c>
      <c r="E4759" t="s">
        <v>18349</v>
      </c>
      <c r="F4759" t="s">
        <v>7672</v>
      </c>
      <c r="G4759" t="s">
        <v>18350</v>
      </c>
      <c r="H4759" t="s">
        <v>9127</v>
      </c>
      <c r="I4759" t="s">
        <v>13703</v>
      </c>
      <c r="J4759" t="s">
        <v>7987</v>
      </c>
    </row>
    <row r="4760" spans="1:10" x14ac:dyDescent="0.25">
      <c r="A4760" t="s">
        <v>18357</v>
      </c>
      <c r="B4760">
        <v>8.3920000000000012</v>
      </c>
      <c r="C4760" t="s">
        <v>18358</v>
      </c>
      <c r="D4760" t="s">
        <v>396</v>
      </c>
      <c r="E4760" t="s">
        <v>18349</v>
      </c>
      <c r="F4760" t="s">
        <v>7672</v>
      </c>
      <c r="G4760" t="s">
        <v>18350</v>
      </c>
      <c r="H4760" t="s">
        <v>9127</v>
      </c>
      <c r="I4760" t="s">
        <v>16298</v>
      </c>
      <c r="J4760" t="s">
        <v>8001</v>
      </c>
    </row>
    <row r="4761" spans="1:10" x14ac:dyDescent="0.25">
      <c r="A4761" t="s">
        <v>18359</v>
      </c>
      <c r="B4761">
        <v>8.3920000000000012</v>
      </c>
      <c r="C4761" t="s">
        <v>18360</v>
      </c>
      <c r="D4761" t="s">
        <v>1965</v>
      </c>
      <c r="E4761" t="s">
        <v>18349</v>
      </c>
      <c r="F4761" t="s">
        <v>7672</v>
      </c>
      <c r="G4761" t="s">
        <v>18350</v>
      </c>
      <c r="H4761" t="s">
        <v>9127</v>
      </c>
      <c r="I4761" t="s">
        <v>5202</v>
      </c>
      <c r="J4761" t="s">
        <v>8001</v>
      </c>
    </row>
    <row r="4762" spans="1:10" x14ac:dyDescent="0.25">
      <c r="A4762" t="s">
        <v>18361</v>
      </c>
      <c r="B4762">
        <v>8.3920000000000012</v>
      </c>
      <c r="C4762" t="s">
        <v>18362</v>
      </c>
      <c r="D4762" t="s">
        <v>4270</v>
      </c>
      <c r="E4762" t="s">
        <v>18349</v>
      </c>
      <c r="F4762" t="s">
        <v>7672</v>
      </c>
      <c r="G4762" t="s">
        <v>18350</v>
      </c>
      <c r="H4762" t="s">
        <v>9127</v>
      </c>
      <c r="I4762" t="s">
        <v>76</v>
      </c>
      <c r="J4762" t="s">
        <v>8001</v>
      </c>
    </row>
    <row r="4763" spans="1:10" x14ac:dyDescent="0.25">
      <c r="A4763" t="s">
        <v>18363</v>
      </c>
      <c r="B4763">
        <v>8.3920000000000012</v>
      </c>
      <c r="C4763" t="s">
        <v>18364</v>
      </c>
      <c r="D4763" t="s">
        <v>1795</v>
      </c>
      <c r="E4763" t="s">
        <v>18349</v>
      </c>
      <c r="F4763" t="s">
        <v>7672</v>
      </c>
      <c r="G4763" t="s">
        <v>18350</v>
      </c>
      <c r="H4763" t="s">
        <v>9127</v>
      </c>
      <c r="I4763" t="s">
        <v>13703</v>
      </c>
      <c r="J4763" t="s">
        <v>8001</v>
      </c>
    </row>
    <row r="4764" spans="1:10" x14ac:dyDescent="0.25">
      <c r="A4764" t="s">
        <v>18365</v>
      </c>
      <c r="B4764">
        <v>8.3920000000000012</v>
      </c>
      <c r="C4764" t="s">
        <v>18366</v>
      </c>
      <c r="D4764" t="s">
        <v>234</v>
      </c>
      <c r="E4764" t="s">
        <v>18349</v>
      </c>
      <c r="F4764" t="s">
        <v>7672</v>
      </c>
      <c r="G4764" t="s">
        <v>18350</v>
      </c>
      <c r="H4764" t="s">
        <v>9127</v>
      </c>
      <c r="I4764" t="s">
        <v>16298</v>
      </c>
      <c r="J4764" t="s">
        <v>8013</v>
      </c>
    </row>
    <row r="4765" spans="1:10" x14ac:dyDescent="0.25">
      <c r="A4765" t="s">
        <v>18367</v>
      </c>
      <c r="B4765">
        <v>8.3920000000000012</v>
      </c>
      <c r="C4765" t="s">
        <v>18368</v>
      </c>
      <c r="D4765" t="s">
        <v>705</v>
      </c>
      <c r="E4765" t="s">
        <v>18349</v>
      </c>
      <c r="F4765" t="s">
        <v>7672</v>
      </c>
      <c r="G4765" t="s">
        <v>18350</v>
      </c>
      <c r="H4765" t="s">
        <v>9127</v>
      </c>
      <c r="I4765" t="s">
        <v>5202</v>
      </c>
      <c r="J4765" t="s">
        <v>8013</v>
      </c>
    </row>
    <row r="4766" spans="1:10" x14ac:dyDescent="0.25">
      <c r="A4766" t="s">
        <v>18369</v>
      </c>
      <c r="B4766">
        <v>8.3920000000000012</v>
      </c>
      <c r="C4766" t="s">
        <v>18370</v>
      </c>
      <c r="D4766" t="s">
        <v>1236</v>
      </c>
      <c r="E4766" t="s">
        <v>18349</v>
      </c>
      <c r="F4766" t="s">
        <v>7672</v>
      </c>
      <c r="G4766" t="s">
        <v>18350</v>
      </c>
      <c r="H4766" t="s">
        <v>9127</v>
      </c>
      <c r="I4766" t="s">
        <v>76</v>
      </c>
      <c r="J4766" t="s">
        <v>8013</v>
      </c>
    </row>
    <row r="4767" spans="1:10" x14ac:dyDescent="0.25">
      <c r="A4767" t="s">
        <v>18371</v>
      </c>
      <c r="B4767">
        <v>8.3920000000000012</v>
      </c>
      <c r="C4767" t="s">
        <v>18372</v>
      </c>
      <c r="D4767" t="s">
        <v>2056</v>
      </c>
      <c r="E4767" t="s">
        <v>18349</v>
      </c>
      <c r="F4767" t="s">
        <v>7672</v>
      </c>
      <c r="G4767" t="s">
        <v>18350</v>
      </c>
      <c r="H4767" t="s">
        <v>9127</v>
      </c>
      <c r="I4767" t="s">
        <v>13703</v>
      </c>
      <c r="J4767" t="s">
        <v>8013</v>
      </c>
    </row>
    <row r="4768" spans="1:10" x14ac:dyDescent="0.25">
      <c r="A4768" t="s">
        <v>18373</v>
      </c>
      <c r="B4768">
        <v>5.9920000000000009</v>
      </c>
      <c r="C4768" t="s">
        <v>18374</v>
      </c>
      <c r="D4768" t="s">
        <v>164</v>
      </c>
      <c r="E4768" t="s">
        <v>18375</v>
      </c>
      <c r="F4768" t="s">
        <v>7672</v>
      </c>
      <c r="G4768" t="s">
        <v>18376</v>
      </c>
      <c r="H4768" t="s">
        <v>10298</v>
      </c>
      <c r="I4768" t="s">
        <v>15041</v>
      </c>
      <c r="J4768" t="s">
        <v>290</v>
      </c>
    </row>
    <row r="4769" spans="1:10" x14ac:dyDescent="0.25">
      <c r="A4769" t="s">
        <v>18377</v>
      </c>
      <c r="B4769">
        <v>5.9920000000000009</v>
      </c>
      <c r="C4769" t="s">
        <v>18378</v>
      </c>
      <c r="D4769" t="s">
        <v>3184</v>
      </c>
      <c r="E4769" t="s">
        <v>18375</v>
      </c>
      <c r="F4769" t="s">
        <v>7672</v>
      </c>
      <c r="G4769" t="s">
        <v>18376</v>
      </c>
      <c r="H4769" t="s">
        <v>10298</v>
      </c>
      <c r="I4769" t="s">
        <v>15044</v>
      </c>
      <c r="J4769" t="s">
        <v>290</v>
      </c>
    </row>
    <row r="4770" spans="1:10" x14ac:dyDescent="0.25">
      <c r="A4770" t="s">
        <v>18379</v>
      </c>
      <c r="B4770">
        <v>5.9920000000000009</v>
      </c>
      <c r="C4770" t="s">
        <v>18380</v>
      </c>
      <c r="D4770" t="s">
        <v>164</v>
      </c>
      <c r="E4770" t="s">
        <v>18375</v>
      </c>
      <c r="F4770" t="s">
        <v>7672</v>
      </c>
      <c r="G4770" t="s">
        <v>18376</v>
      </c>
      <c r="H4770" t="s">
        <v>10298</v>
      </c>
      <c r="I4770" t="s">
        <v>15041</v>
      </c>
      <c r="J4770" t="s">
        <v>255</v>
      </c>
    </row>
    <row r="4771" spans="1:10" x14ac:dyDescent="0.25">
      <c r="A4771" t="s">
        <v>18381</v>
      </c>
      <c r="B4771">
        <v>5.9920000000000009</v>
      </c>
      <c r="C4771" t="s">
        <v>18382</v>
      </c>
      <c r="D4771" t="s">
        <v>3604</v>
      </c>
      <c r="E4771" t="s">
        <v>18375</v>
      </c>
      <c r="F4771" t="s">
        <v>7672</v>
      </c>
      <c r="G4771" t="s">
        <v>18376</v>
      </c>
      <c r="H4771" t="s">
        <v>10298</v>
      </c>
      <c r="I4771" t="s">
        <v>15041</v>
      </c>
      <c r="J4771" t="s">
        <v>277</v>
      </c>
    </row>
    <row r="4772" spans="1:10" x14ac:dyDescent="0.25">
      <c r="A4772" t="s">
        <v>18383</v>
      </c>
      <c r="B4772">
        <v>5.9920000000000009</v>
      </c>
      <c r="C4772" t="s">
        <v>18384</v>
      </c>
      <c r="D4772" t="s">
        <v>4924</v>
      </c>
      <c r="E4772" t="s">
        <v>18375</v>
      </c>
      <c r="F4772" t="s">
        <v>7672</v>
      </c>
      <c r="G4772" t="s">
        <v>18376</v>
      </c>
      <c r="H4772" t="s">
        <v>10298</v>
      </c>
      <c r="I4772" t="s">
        <v>15044</v>
      </c>
      <c r="J4772" t="s">
        <v>277</v>
      </c>
    </row>
    <row r="4773" spans="1:10" x14ac:dyDescent="0.25">
      <c r="A4773" t="s">
        <v>18385</v>
      </c>
      <c r="B4773">
        <v>5.9920000000000009</v>
      </c>
      <c r="C4773" t="s">
        <v>18386</v>
      </c>
      <c r="D4773" t="s">
        <v>12639</v>
      </c>
      <c r="E4773" t="s">
        <v>18375</v>
      </c>
      <c r="F4773" t="s">
        <v>7672</v>
      </c>
      <c r="G4773" t="s">
        <v>18376</v>
      </c>
      <c r="H4773" t="s">
        <v>10298</v>
      </c>
      <c r="I4773" t="s">
        <v>15041</v>
      </c>
      <c r="J4773" t="s">
        <v>164</v>
      </c>
    </row>
    <row r="4774" spans="1:10" x14ac:dyDescent="0.25">
      <c r="A4774" t="s">
        <v>18387</v>
      </c>
      <c r="B4774">
        <v>5.9920000000000009</v>
      </c>
      <c r="C4774" t="s">
        <v>18388</v>
      </c>
      <c r="D4774" t="s">
        <v>2238</v>
      </c>
      <c r="E4774" t="s">
        <v>18375</v>
      </c>
      <c r="F4774" t="s">
        <v>7672</v>
      </c>
      <c r="G4774" t="s">
        <v>18376</v>
      </c>
      <c r="H4774" t="s">
        <v>10298</v>
      </c>
      <c r="I4774" t="s">
        <v>15044</v>
      </c>
      <c r="J4774" t="s">
        <v>164</v>
      </c>
    </row>
    <row r="4775" spans="1:10" x14ac:dyDescent="0.25">
      <c r="A4775" t="s">
        <v>18389</v>
      </c>
      <c r="B4775">
        <v>5.9920000000000009</v>
      </c>
      <c r="C4775" t="s">
        <v>18390</v>
      </c>
      <c r="D4775" t="s">
        <v>379</v>
      </c>
      <c r="E4775" t="s">
        <v>18375</v>
      </c>
      <c r="F4775" t="s">
        <v>7672</v>
      </c>
      <c r="G4775" t="s">
        <v>18376</v>
      </c>
      <c r="H4775" t="s">
        <v>10298</v>
      </c>
      <c r="I4775" t="s">
        <v>15041</v>
      </c>
      <c r="J4775" t="s">
        <v>199</v>
      </c>
    </row>
    <row r="4776" spans="1:10" x14ac:dyDescent="0.25">
      <c r="A4776" t="s">
        <v>18391</v>
      </c>
      <c r="B4776">
        <v>5.9920000000000009</v>
      </c>
      <c r="C4776" t="s">
        <v>18392</v>
      </c>
      <c r="D4776" t="s">
        <v>2620</v>
      </c>
      <c r="E4776" t="s">
        <v>18375</v>
      </c>
      <c r="F4776" t="s">
        <v>7672</v>
      </c>
      <c r="G4776" t="s">
        <v>18376</v>
      </c>
      <c r="H4776" t="s">
        <v>10298</v>
      </c>
      <c r="I4776" t="s">
        <v>15044</v>
      </c>
      <c r="J4776" t="s">
        <v>199</v>
      </c>
    </row>
    <row r="4777" spans="1:10" x14ac:dyDescent="0.25">
      <c r="A4777" t="s">
        <v>18393</v>
      </c>
      <c r="B4777">
        <v>17</v>
      </c>
      <c r="C4777" t="s">
        <v>18394</v>
      </c>
      <c r="D4777" t="s">
        <v>865</v>
      </c>
      <c r="E4777" t="s">
        <v>18395</v>
      </c>
      <c r="F4777" t="s">
        <v>7672</v>
      </c>
      <c r="G4777" t="s">
        <v>18396</v>
      </c>
      <c r="H4777" t="s">
        <v>11496</v>
      </c>
      <c r="I4777" t="s">
        <v>410</v>
      </c>
      <c r="J4777" t="s">
        <v>10369</v>
      </c>
    </row>
    <row r="4778" spans="1:10" x14ac:dyDescent="0.25">
      <c r="A4778" t="s">
        <v>18397</v>
      </c>
      <c r="B4778">
        <v>17</v>
      </c>
      <c r="C4778" t="s">
        <v>18398</v>
      </c>
      <c r="D4778" t="s">
        <v>4685</v>
      </c>
      <c r="E4778" t="s">
        <v>18395</v>
      </c>
      <c r="F4778" t="s">
        <v>7672</v>
      </c>
      <c r="G4778" t="s">
        <v>18396</v>
      </c>
      <c r="H4778" t="s">
        <v>11496</v>
      </c>
      <c r="I4778" t="s">
        <v>18399</v>
      </c>
      <c r="J4778" t="s">
        <v>10369</v>
      </c>
    </row>
    <row r="4779" spans="1:10" x14ac:dyDescent="0.25">
      <c r="A4779" t="s">
        <v>18400</v>
      </c>
      <c r="B4779">
        <v>17</v>
      </c>
      <c r="C4779" t="s">
        <v>18401</v>
      </c>
      <c r="D4779" t="s">
        <v>7057</v>
      </c>
      <c r="E4779" t="s">
        <v>18395</v>
      </c>
      <c r="F4779" t="s">
        <v>7672</v>
      </c>
      <c r="G4779" t="s">
        <v>18396</v>
      </c>
      <c r="H4779" t="s">
        <v>11496</v>
      </c>
      <c r="I4779" t="s">
        <v>18399</v>
      </c>
      <c r="J4779" t="s">
        <v>11590</v>
      </c>
    </row>
    <row r="4780" spans="1:10" x14ac:dyDescent="0.25">
      <c r="A4780" t="s">
        <v>18402</v>
      </c>
      <c r="B4780">
        <v>17</v>
      </c>
      <c r="C4780" t="s">
        <v>18403</v>
      </c>
      <c r="D4780" t="s">
        <v>311</v>
      </c>
      <c r="E4780" t="s">
        <v>18395</v>
      </c>
      <c r="F4780" t="s">
        <v>7672</v>
      </c>
      <c r="G4780" t="s">
        <v>18396</v>
      </c>
      <c r="H4780" t="s">
        <v>11496</v>
      </c>
      <c r="I4780" t="s">
        <v>18399</v>
      </c>
      <c r="J4780" t="s">
        <v>11593</v>
      </c>
    </row>
    <row r="4781" spans="1:10" x14ac:dyDescent="0.25">
      <c r="A4781" t="s">
        <v>18404</v>
      </c>
      <c r="B4781">
        <v>16.015999999999998</v>
      </c>
      <c r="C4781" t="s">
        <v>18405</v>
      </c>
      <c r="D4781" t="s">
        <v>301</v>
      </c>
      <c r="E4781" t="s">
        <v>18406</v>
      </c>
      <c r="F4781" t="s">
        <v>7672</v>
      </c>
      <c r="G4781" t="s">
        <v>18407</v>
      </c>
      <c r="H4781" t="s">
        <v>18408</v>
      </c>
      <c r="I4781" t="s">
        <v>18409</v>
      </c>
      <c r="J4781" t="s">
        <v>9694</v>
      </c>
    </row>
    <row r="4782" spans="1:10" x14ac:dyDescent="0.25">
      <c r="A4782" t="s">
        <v>4660</v>
      </c>
      <c r="B4782">
        <v>6.8000000000000007</v>
      </c>
      <c r="C4782" t="s">
        <v>4662</v>
      </c>
      <c r="D4782" t="s">
        <v>2910</v>
      </c>
      <c r="E4782" t="s">
        <v>4663</v>
      </c>
      <c r="F4782" t="s">
        <v>7672</v>
      </c>
      <c r="G4782" t="s">
        <v>18410</v>
      </c>
      <c r="H4782" t="s">
        <v>11496</v>
      </c>
      <c r="I4782" t="s">
        <v>12862</v>
      </c>
      <c r="J4782" t="s">
        <v>9423</v>
      </c>
    </row>
    <row r="4783" spans="1:10" x14ac:dyDescent="0.25">
      <c r="A4783" t="s">
        <v>4667</v>
      </c>
      <c r="B4783">
        <v>6.8000000000000007</v>
      </c>
      <c r="C4783" t="s">
        <v>4669</v>
      </c>
      <c r="D4783" t="s">
        <v>74</v>
      </c>
      <c r="E4783" t="s">
        <v>4663</v>
      </c>
      <c r="F4783" t="s">
        <v>7672</v>
      </c>
      <c r="G4783" t="s">
        <v>18410</v>
      </c>
      <c r="H4783" t="s">
        <v>11496</v>
      </c>
      <c r="I4783" t="s">
        <v>12862</v>
      </c>
      <c r="J4783" t="s">
        <v>10862</v>
      </c>
    </row>
    <row r="4784" spans="1:10" x14ac:dyDescent="0.25">
      <c r="A4784" t="s">
        <v>4671</v>
      </c>
      <c r="B4784">
        <v>6.8000000000000007</v>
      </c>
      <c r="C4784" t="s">
        <v>4673</v>
      </c>
      <c r="D4784" t="s">
        <v>1795</v>
      </c>
      <c r="E4784" t="s">
        <v>4663</v>
      </c>
      <c r="F4784" t="s">
        <v>7672</v>
      </c>
      <c r="G4784" t="s">
        <v>18410</v>
      </c>
      <c r="H4784" t="s">
        <v>11496</v>
      </c>
      <c r="I4784" t="s">
        <v>12862</v>
      </c>
      <c r="J4784" t="s">
        <v>9426</v>
      </c>
    </row>
    <row r="4785" spans="1:10" x14ac:dyDescent="0.25">
      <c r="A4785" t="s">
        <v>4675</v>
      </c>
      <c r="B4785">
        <v>6.8000000000000007</v>
      </c>
      <c r="C4785" t="s">
        <v>4677</v>
      </c>
      <c r="D4785" t="s">
        <v>4679</v>
      </c>
      <c r="E4785" t="s">
        <v>4663</v>
      </c>
      <c r="F4785" t="s">
        <v>7672</v>
      </c>
      <c r="G4785" t="s">
        <v>18410</v>
      </c>
      <c r="H4785" t="s">
        <v>11496</v>
      </c>
      <c r="I4785" t="s">
        <v>12862</v>
      </c>
      <c r="J4785" t="s">
        <v>13084</v>
      </c>
    </row>
    <row r="4786" spans="1:10" x14ac:dyDescent="0.25">
      <c r="A4786" t="s">
        <v>4681</v>
      </c>
      <c r="B4786">
        <v>6.8000000000000007</v>
      </c>
      <c r="C4786" t="s">
        <v>4683</v>
      </c>
      <c r="D4786" t="s">
        <v>4685</v>
      </c>
      <c r="E4786" t="s">
        <v>4663</v>
      </c>
      <c r="F4786" t="s">
        <v>7672</v>
      </c>
      <c r="G4786" t="s">
        <v>18410</v>
      </c>
      <c r="H4786" t="s">
        <v>11496</v>
      </c>
      <c r="I4786" t="s">
        <v>12862</v>
      </c>
      <c r="J4786" t="s">
        <v>11767</v>
      </c>
    </row>
    <row r="4787" spans="1:10" x14ac:dyDescent="0.25">
      <c r="A4787" t="s">
        <v>4686</v>
      </c>
      <c r="B4787">
        <v>6.8000000000000007</v>
      </c>
      <c r="C4787" t="s">
        <v>4688</v>
      </c>
      <c r="D4787" t="s">
        <v>3076</v>
      </c>
      <c r="E4787" t="s">
        <v>4663</v>
      </c>
      <c r="F4787" t="s">
        <v>7672</v>
      </c>
      <c r="G4787" t="s">
        <v>18410</v>
      </c>
      <c r="H4787" t="s">
        <v>11496</v>
      </c>
      <c r="I4787" t="s">
        <v>12862</v>
      </c>
      <c r="J4787" t="s">
        <v>11582</v>
      </c>
    </row>
    <row r="4788" spans="1:10" x14ac:dyDescent="0.25">
      <c r="A4788" t="s">
        <v>4690</v>
      </c>
      <c r="B4788">
        <v>6.8000000000000007</v>
      </c>
      <c r="C4788" t="s">
        <v>4692</v>
      </c>
      <c r="D4788" t="s">
        <v>835</v>
      </c>
      <c r="E4788" t="s">
        <v>4663</v>
      </c>
      <c r="F4788" t="s">
        <v>7672</v>
      </c>
      <c r="G4788" t="s">
        <v>18410</v>
      </c>
      <c r="H4788" t="s">
        <v>11496</v>
      </c>
      <c r="I4788" t="s">
        <v>12862</v>
      </c>
      <c r="J4788" t="s">
        <v>11585</v>
      </c>
    </row>
    <row r="4789" spans="1:10" x14ac:dyDescent="0.25">
      <c r="A4789" t="s">
        <v>18411</v>
      </c>
      <c r="B4789">
        <v>13.992000000000001</v>
      </c>
      <c r="C4789" t="s">
        <v>18412</v>
      </c>
      <c r="D4789" t="s">
        <v>131</v>
      </c>
      <c r="E4789" t="s">
        <v>18413</v>
      </c>
      <c r="F4789" t="s">
        <v>7672</v>
      </c>
      <c r="G4789" t="s">
        <v>18414</v>
      </c>
      <c r="H4789" t="s">
        <v>11598</v>
      </c>
      <c r="I4789" t="s">
        <v>1622</v>
      </c>
      <c r="J4789" t="s">
        <v>7942</v>
      </c>
    </row>
    <row r="4790" spans="1:10" x14ac:dyDescent="0.25">
      <c r="A4790" t="s">
        <v>18415</v>
      </c>
      <c r="B4790">
        <v>13.992000000000001</v>
      </c>
      <c r="C4790" t="s">
        <v>18416</v>
      </c>
      <c r="D4790" t="s">
        <v>835</v>
      </c>
      <c r="E4790" t="s">
        <v>18413</v>
      </c>
      <c r="F4790" t="s">
        <v>7672</v>
      </c>
      <c r="G4790" t="s">
        <v>18414</v>
      </c>
      <c r="H4790" t="s">
        <v>11598</v>
      </c>
      <c r="I4790" t="s">
        <v>76</v>
      </c>
      <c r="J4790" t="s">
        <v>7942</v>
      </c>
    </row>
    <row r="4791" spans="1:10" x14ac:dyDescent="0.25">
      <c r="A4791" t="s">
        <v>18417</v>
      </c>
      <c r="B4791">
        <v>13.992000000000001</v>
      </c>
      <c r="C4791" t="s">
        <v>18418</v>
      </c>
      <c r="D4791" t="s">
        <v>199</v>
      </c>
      <c r="E4791" t="s">
        <v>18413</v>
      </c>
      <c r="F4791" t="s">
        <v>7672</v>
      </c>
      <c r="G4791" t="s">
        <v>18414</v>
      </c>
      <c r="H4791" t="s">
        <v>11598</v>
      </c>
      <c r="I4791" t="s">
        <v>76</v>
      </c>
      <c r="J4791" t="s">
        <v>7981</v>
      </c>
    </row>
    <row r="4792" spans="1:10" x14ac:dyDescent="0.25">
      <c r="A4792" t="s">
        <v>18419</v>
      </c>
      <c r="B4792">
        <v>13.992000000000001</v>
      </c>
      <c r="C4792" t="s">
        <v>18420</v>
      </c>
      <c r="D4792" t="s">
        <v>100</v>
      </c>
      <c r="E4792" t="s">
        <v>18413</v>
      </c>
      <c r="F4792" t="s">
        <v>7672</v>
      </c>
      <c r="G4792" t="s">
        <v>18414</v>
      </c>
      <c r="H4792" t="s">
        <v>11598</v>
      </c>
      <c r="I4792" t="s">
        <v>1622</v>
      </c>
      <c r="J4792" t="s">
        <v>8013</v>
      </c>
    </row>
    <row r="4793" spans="1:10" x14ac:dyDescent="0.25">
      <c r="A4793" t="s">
        <v>18421</v>
      </c>
      <c r="B4793">
        <v>13.992000000000001</v>
      </c>
      <c r="C4793" t="s">
        <v>18422</v>
      </c>
      <c r="D4793" t="s">
        <v>282</v>
      </c>
      <c r="E4793" t="s">
        <v>18413</v>
      </c>
      <c r="F4793" t="s">
        <v>7672</v>
      </c>
      <c r="G4793" t="s">
        <v>18414</v>
      </c>
      <c r="H4793" t="s">
        <v>11598</v>
      </c>
      <c r="I4793" t="s">
        <v>76</v>
      </c>
      <c r="J4793" t="s">
        <v>8013</v>
      </c>
    </row>
    <row r="4794" spans="1:10" x14ac:dyDescent="0.25">
      <c r="A4794" t="s">
        <v>18423</v>
      </c>
      <c r="B4794">
        <v>6.7200000000000006</v>
      </c>
      <c r="C4794" t="s">
        <v>18424</v>
      </c>
      <c r="D4794" t="s">
        <v>1842</v>
      </c>
      <c r="E4794" t="s">
        <v>18425</v>
      </c>
      <c r="F4794" t="s">
        <v>7672</v>
      </c>
      <c r="G4794" t="s">
        <v>18426</v>
      </c>
      <c r="H4794" t="s">
        <v>11496</v>
      </c>
      <c r="I4794" t="s">
        <v>18427</v>
      </c>
      <c r="J4794" t="s">
        <v>10369</v>
      </c>
    </row>
    <row r="4795" spans="1:10" x14ac:dyDescent="0.25">
      <c r="A4795" t="s">
        <v>18428</v>
      </c>
      <c r="B4795">
        <v>6.7200000000000006</v>
      </c>
      <c r="C4795" t="s">
        <v>18429</v>
      </c>
      <c r="D4795" t="s">
        <v>1703</v>
      </c>
      <c r="E4795" t="s">
        <v>18425</v>
      </c>
      <c r="F4795" t="s">
        <v>7672</v>
      </c>
      <c r="G4795" t="s">
        <v>18426</v>
      </c>
      <c r="H4795" t="s">
        <v>11496</v>
      </c>
      <c r="I4795" t="s">
        <v>18427</v>
      </c>
      <c r="J4795" t="s">
        <v>11590</v>
      </c>
    </row>
    <row r="4796" spans="1:10" x14ac:dyDescent="0.25">
      <c r="A4796" t="s">
        <v>18430</v>
      </c>
      <c r="B4796">
        <v>6.7200000000000006</v>
      </c>
      <c r="C4796" t="s">
        <v>18431</v>
      </c>
      <c r="D4796" t="s">
        <v>12338</v>
      </c>
      <c r="E4796" t="s">
        <v>18425</v>
      </c>
      <c r="F4796" t="s">
        <v>7672</v>
      </c>
      <c r="G4796" t="s">
        <v>18426</v>
      </c>
      <c r="H4796" t="s">
        <v>11496</v>
      </c>
      <c r="I4796" t="s">
        <v>18427</v>
      </c>
      <c r="J4796" t="s">
        <v>11593</v>
      </c>
    </row>
    <row r="4797" spans="1:10" x14ac:dyDescent="0.25">
      <c r="A4797" t="s">
        <v>18432</v>
      </c>
      <c r="B4797">
        <v>6.7200000000000006</v>
      </c>
      <c r="C4797" t="s">
        <v>18433</v>
      </c>
      <c r="D4797" t="s">
        <v>8631</v>
      </c>
      <c r="E4797" t="s">
        <v>18425</v>
      </c>
      <c r="F4797" t="s">
        <v>7672</v>
      </c>
      <c r="G4797" t="s">
        <v>18426</v>
      </c>
      <c r="H4797" t="s">
        <v>11496</v>
      </c>
      <c r="I4797" t="s">
        <v>18427</v>
      </c>
      <c r="J4797" t="s">
        <v>11783</v>
      </c>
    </row>
    <row r="4798" spans="1:10" x14ac:dyDescent="0.25">
      <c r="A4798" t="s">
        <v>4695</v>
      </c>
      <c r="B4798">
        <v>54.776000000000003</v>
      </c>
      <c r="C4798" t="s">
        <v>4697</v>
      </c>
      <c r="D4798" t="s">
        <v>330</v>
      </c>
      <c r="E4798" t="s">
        <v>4698</v>
      </c>
      <c r="F4798" t="s">
        <v>7672</v>
      </c>
      <c r="G4798" t="s">
        <v>18434</v>
      </c>
      <c r="H4798" t="s">
        <v>16164</v>
      </c>
      <c r="I4798" t="s">
        <v>4701</v>
      </c>
      <c r="J4798" t="s">
        <v>7942</v>
      </c>
    </row>
    <row r="4799" spans="1:10" x14ac:dyDescent="0.25">
      <c r="A4799" t="s">
        <v>4702</v>
      </c>
      <c r="B4799">
        <v>54.776000000000003</v>
      </c>
      <c r="C4799" t="s">
        <v>4704</v>
      </c>
      <c r="D4799" t="s">
        <v>352</v>
      </c>
      <c r="E4799" t="s">
        <v>4698</v>
      </c>
      <c r="F4799" t="s">
        <v>7672</v>
      </c>
      <c r="G4799" t="s">
        <v>18434</v>
      </c>
      <c r="H4799" t="s">
        <v>16164</v>
      </c>
      <c r="I4799" t="s">
        <v>76</v>
      </c>
      <c r="J4799" t="s">
        <v>7942</v>
      </c>
    </row>
    <row r="4800" spans="1:10" x14ac:dyDescent="0.25">
      <c r="A4800" t="s">
        <v>4707</v>
      </c>
      <c r="B4800">
        <v>54.776000000000003</v>
      </c>
      <c r="C4800" t="s">
        <v>4709</v>
      </c>
      <c r="D4800" t="s">
        <v>269</v>
      </c>
      <c r="E4800" t="s">
        <v>4698</v>
      </c>
      <c r="F4800" t="s">
        <v>7672</v>
      </c>
      <c r="G4800" t="s">
        <v>18434</v>
      </c>
      <c r="H4800" t="s">
        <v>16164</v>
      </c>
      <c r="I4800" t="s">
        <v>4712</v>
      </c>
      <c r="J4800" t="s">
        <v>7942</v>
      </c>
    </row>
    <row r="4801" spans="1:10" x14ac:dyDescent="0.25">
      <c r="A4801" t="s">
        <v>4713</v>
      </c>
      <c r="B4801">
        <v>54.776000000000003</v>
      </c>
      <c r="C4801" t="s">
        <v>4715</v>
      </c>
      <c r="D4801" t="s">
        <v>359</v>
      </c>
      <c r="E4801" t="s">
        <v>4698</v>
      </c>
      <c r="F4801" t="s">
        <v>7672</v>
      </c>
      <c r="G4801" t="s">
        <v>18434</v>
      </c>
      <c r="H4801" t="s">
        <v>16164</v>
      </c>
      <c r="I4801" t="s">
        <v>4701</v>
      </c>
      <c r="J4801" t="s">
        <v>7981</v>
      </c>
    </row>
    <row r="4802" spans="1:10" x14ac:dyDescent="0.25">
      <c r="A4802" t="s">
        <v>4718</v>
      </c>
      <c r="B4802">
        <v>54.776000000000003</v>
      </c>
      <c r="C4802" t="s">
        <v>4720</v>
      </c>
      <c r="D4802" t="s">
        <v>2253</v>
      </c>
      <c r="E4802" t="s">
        <v>4698</v>
      </c>
      <c r="F4802" t="s">
        <v>7672</v>
      </c>
      <c r="G4802" t="s">
        <v>18434</v>
      </c>
      <c r="H4802" t="s">
        <v>16164</v>
      </c>
      <c r="I4802" t="s">
        <v>4712</v>
      </c>
      <c r="J4802" t="s">
        <v>7981</v>
      </c>
    </row>
    <row r="4803" spans="1:10" x14ac:dyDescent="0.25">
      <c r="A4803" t="s">
        <v>4723</v>
      </c>
      <c r="B4803">
        <v>54.776000000000003</v>
      </c>
      <c r="C4803" t="s">
        <v>4725</v>
      </c>
      <c r="D4803" t="s">
        <v>516</v>
      </c>
      <c r="E4803" t="s">
        <v>4698</v>
      </c>
      <c r="F4803" t="s">
        <v>7672</v>
      </c>
      <c r="G4803" t="s">
        <v>18434</v>
      </c>
      <c r="H4803" t="s">
        <v>16164</v>
      </c>
      <c r="I4803" t="s">
        <v>76</v>
      </c>
      <c r="J4803" t="s">
        <v>7981</v>
      </c>
    </row>
    <row r="4804" spans="1:10" x14ac:dyDescent="0.25">
      <c r="A4804" t="s">
        <v>4728</v>
      </c>
      <c r="B4804">
        <v>54.776000000000003</v>
      </c>
      <c r="C4804" t="s">
        <v>4730</v>
      </c>
      <c r="D4804" t="s">
        <v>106</v>
      </c>
      <c r="E4804" t="s">
        <v>4698</v>
      </c>
      <c r="F4804" t="s">
        <v>7672</v>
      </c>
      <c r="G4804" t="s">
        <v>18434</v>
      </c>
      <c r="H4804" t="s">
        <v>16164</v>
      </c>
      <c r="I4804" t="s">
        <v>4712</v>
      </c>
      <c r="J4804" t="s">
        <v>7984</v>
      </c>
    </row>
    <row r="4805" spans="1:10" x14ac:dyDescent="0.25">
      <c r="A4805" t="s">
        <v>4733</v>
      </c>
      <c r="B4805">
        <v>54.776000000000003</v>
      </c>
      <c r="C4805" t="s">
        <v>4735</v>
      </c>
      <c r="D4805" t="s">
        <v>582</v>
      </c>
      <c r="E4805" t="s">
        <v>4698</v>
      </c>
      <c r="F4805" t="s">
        <v>7672</v>
      </c>
      <c r="G4805" t="s">
        <v>18434</v>
      </c>
      <c r="H4805" t="s">
        <v>16164</v>
      </c>
      <c r="I4805" t="s">
        <v>76</v>
      </c>
      <c r="J4805" t="s">
        <v>7984</v>
      </c>
    </row>
    <row r="4806" spans="1:10" x14ac:dyDescent="0.25">
      <c r="A4806" t="s">
        <v>4738</v>
      </c>
      <c r="B4806">
        <v>54.776000000000003</v>
      </c>
      <c r="C4806" t="s">
        <v>4740</v>
      </c>
      <c r="D4806" t="s">
        <v>290</v>
      </c>
      <c r="E4806" t="s">
        <v>4698</v>
      </c>
      <c r="F4806" t="s">
        <v>7672</v>
      </c>
      <c r="G4806" t="s">
        <v>18434</v>
      </c>
      <c r="H4806" t="s">
        <v>16164</v>
      </c>
      <c r="I4806" t="s">
        <v>4712</v>
      </c>
      <c r="J4806" t="s">
        <v>7987</v>
      </c>
    </row>
    <row r="4807" spans="1:10" x14ac:dyDescent="0.25">
      <c r="A4807" t="s">
        <v>4743</v>
      </c>
      <c r="B4807">
        <v>54.776000000000003</v>
      </c>
      <c r="C4807" t="s">
        <v>4745</v>
      </c>
      <c r="D4807" t="s">
        <v>330</v>
      </c>
      <c r="E4807" t="s">
        <v>4698</v>
      </c>
      <c r="F4807" t="s">
        <v>7672</v>
      </c>
      <c r="G4807" t="s">
        <v>18434</v>
      </c>
      <c r="H4807" t="s">
        <v>16164</v>
      </c>
      <c r="I4807" t="s">
        <v>4701</v>
      </c>
      <c r="J4807" t="s">
        <v>7987</v>
      </c>
    </row>
    <row r="4808" spans="1:10" x14ac:dyDescent="0.25">
      <c r="A4808" t="s">
        <v>4748</v>
      </c>
      <c r="B4808">
        <v>54.776000000000003</v>
      </c>
      <c r="C4808" t="s">
        <v>4750</v>
      </c>
      <c r="D4808" t="s">
        <v>199</v>
      </c>
      <c r="E4808" t="s">
        <v>4698</v>
      </c>
      <c r="F4808" t="s">
        <v>7672</v>
      </c>
      <c r="G4808" t="s">
        <v>18434</v>
      </c>
      <c r="H4808" t="s">
        <v>16164</v>
      </c>
      <c r="I4808" t="s">
        <v>4712</v>
      </c>
      <c r="J4808" t="s">
        <v>8001</v>
      </c>
    </row>
    <row r="4809" spans="1:10" x14ac:dyDescent="0.25">
      <c r="A4809" t="s">
        <v>4753</v>
      </c>
      <c r="B4809">
        <v>54.776000000000003</v>
      </c>
      <c r="C4809" t="s">
        <v>4755</v>
      </c>
      <c r="D4809" t="s">
        <v>959</v>
      </c>
      <c r="E4809" t="s">
        <v>4698</v>
      </c>
      <c r="F4809" t="s">
        <v>7672</v>
      </c>
      <c r="G4809" t="s">
        <v>18434</v>
      </c>
      <c r="H4809" t="s">
        <v>16164</v>
      </c>
      <c r="I4809" t="s">
        <v>4701</v>
      </c>
      <c r="J4809" t="s">
        <v>8001</v>
      </c>
    </row>
    <row r="4810" spans="1:10" x14ac:dyDescent="0.25">
      <c r="A4810" t="s">
        <v>18435</v>
      </c>
      <c r="B4810">
        <v>6.2960000000000003</v>
      </c>
      <c r="C4810" t="s">
        <v>18436</v>
      </c>
      <c r="D4810" t="s">
        <v>18437</v>
      </c>
      <c r="E4810" t="s">
        <v>18438</v>
      </c>
      <c r="F4810" t="s">
        <v>7672</v>
      </c>
      <c r="G4810" t="s">
        <v>18439</v>
      </c>
      <c r="H4810" t="s">
        <v>9693</v>
      </c>
      <c r="I4810" t="s">
        <v>497</v>
      </c>
      <c r="J4810" t="s">
        <v>9694</v>
      </c>
    </row>
    <row r="4811" spans="1:10" x14ac:dyDescent="0.25">
      <c r="A4811" t="s">
        <v>18440</v>
      </c>
      <c r="B4811">
        <v>9.120000000000001</v>
      </c>
      <c r="C4811" t="s">
        <v>18441</v>
      </c>
      <c r="D4811" t="s">
        <v>6257</v>
      </c>
      <c r="E4811" t="s">
        <v>18442</v>
      </c>
      <c r="F4811" t="s">
        <v>7672</v>
      </c>
      <c r="G4811" t="s">
        <v>18443</v>
      </c>
      <c r="H4811" t="s">
        <v>11037</v>
      </c>
      <c r="I4811" t="s">
        <v>935</v>
      </c>
      <c r="J4811" t="s">
        <v>7942</v>
      </c>
    </row>
    <row r="4812" spans="1:10" x14ac:dyDescent="0.25">
      <c r="A4812" t="s">
        <v>18444</v>
      </c>
      <c r="B4812">
        <v>9.120000000000001</v>
      </c>
      <c r="C4812" t="s">
        <v>18445</v>
      </c>
      <c r="D4812" t="s">
        <v>2804</v>
      </c>
      <c r="E4812" t="s">
        <v>18442</v>
      </c>
      <c r="F4812" t="s">
        <v>7672</v>
      </c>
      <c r="G4812" t="s">
        <v>18443</v>
      </c>
      <c r="H4812" t="s">
        <v>11037</v>
      </c>
      <c r="I4812" t="s">
        <v>935</v>
      </c>
      <c r="J4812" t="s">
        <v>7981</v>
      </c>
    </row>
    <row r="4813" spans="1:10" x14ac:dyDescent="0.25">
      <c r="A4813" t="s">
        <v>18446</v>
      </c>
      <c r="B4813">
        <v>9.120000000000001</v>
      </c>
      <c r="C4813" t="s">
        <v>18447</v>
      </c>
      <c r="D4813" t="s">
        <v>9399</v>
      </c>
      <c r="E4813" t="s">
        <v>18442</v>
      </c>
      <c r="F4813" t="s">
        <v>7672</v>
      </c>
      <c r="G4813" t="s">
        <v>18443</v>
      </c>
      <c r="H4813" t="s">
        <v>11037</v>
      </c>
      <c r="I4813" t="s">
        <v>935</v>
      </c>
      <c r="J4813" t="s">
        <v>7984</v>
      </c>
    </row>
    <row r="4814" spans="1:10" x14ac:dyDescent="0.25">
      <c r="A4814" t="s">
        <v>18448</v>
      </c>
      <c r="B4814">
        <v>9.120000000000001</v>
      </c>
      <c r="C4814" t="s">
        <v>18449</v>
      </c>
      <c r="D4814" t="s">
        <v>1847</v>
      </c>
      <c r="E4814" t="s">
        <v>18442</v>
      </c>
      <c r="F4814" t="s">
        <v>7672</v>
      </c>
      <c r="G4814" t="s">
        <v>18443</v>
      </c>
      <c r="H4814" t="s">
        <v>11037</v>
      </c>
      <c r="I4814" t="s">
        <v>935</v>
      </c>
      <c r="J4814" t="s">
        <v>7987</v>
      </c>
    </row>
    <row r="4815" spans="1:10" x14ac:dyDescent="0.25">
      <c r="A4815" t="s">
        <v>18450</v>
      </c>
      <c r="B4815">
        <v>9.120000000000001</v>
      </c>
      <c r="C4815" t="s">
        <v>18451</v>
      </c>
      <c r="D4815" t="s">
        <v>598</v>
      </c>
      <c r="E4815" t="s">
        <v>18442</v>
      </c>
      <c r="F4815" t="s">
        <v>7672</v>
      </c>
      <c r="G4815" t="s">
        <v>18443</v>
      </c>
      <c r="H4815" t="s">
        <v>11037</v>
      </c>
      <c r="I4815" t="s">
        <v>935</v>
      </c>
      <c r="J4815" t="s">
        <v>8001</v>
      </c>
    </row>
    <row r="4816" spans="1:10" x14ac:dyDescent="0.25">
      <c r="A4816" t="s">
        <v>18452</v>
      </c>
      <c r="B4816">
        <v>9.120000000000001</v>
      </c>
      <c r="C4816" t="s">
        <v>18453</v>
      </c>
      <c r="D4816" t="s">
        <v>2022</v>
      </c>
      <c r="E4816" t="s">
        <v>18442</v>
      </c>
      <c r="F4816" t="s">
        <v>7672</v>
      </c>
      <c r="G4816" t="s">
        <v>18443</v>
      </c>
      <c r="H4816" t="s">
        <v>11037</v>
      </c>
      <c r="I4816" t="s">
        <v>935</v>
      </c>
      <c r="J4816" t="s">
        <v>8013</v>
      </c>
    </row>
    <row r="4817" spans="1:10" x14ac:dyDescent="0.25">
      <c r="A4817" t="s">
        <v>18454</v>
      </c>
      <c r="B4817">
        <v>8</v>
      </c>
      <c r="C4817" t="s">
        <v>18455</v>
      </c>
      <c r="D4817" t="s">
        <v>3604</v>
      </c>
      <c r="E4817" t="s">
        <v>18456</v>
      </c>
      <c r="F4817" t="s">
        <v>7672</v>
      </c>
      <c r="G4817" t="s">
        <v>18457</v>
      </c>
      <c r="H4817" t="s">
        <v>7974</v>
      </c>
      <c r="I4817" t="s">
        <v>76</v>
      </c>
      <c r="J4817" t="s">
        <v>11315</v>
      </c>
    </row>
    <row r="4818" spans="1:10" x14ac:dyDescent="0.25">
      <c r="A4818" t="s">
        <v>4758</v>
      </c>
      <c r="B4818">
        <v>13</v>
      </c>
      <c r="C4818" t="s">
        <v>4760</v>
      </c>
      <c r="D4818" t="s">
        <v>290</v>
      </c>
      <c r="E4818" t="s">
        <v>4761</v>
      </c>
      <c r="F4818" t="s">
        <v>7672</v>
      </c>
      <c r="G4818" t="s">
        <v>18458</v>
      </c>
      <c r="H4818" t="s">
        <v>7954</v>
      </c>
      <c r="I4818" t="s">
        <v>2603</v>
      </c>
      <c r="J4818" t="s">
        <v>7686</v>
      </c>
    </row>
    <row r="4819" spans="1:10" x14ac:dyDescent="0.25">
      <c r="A4819" t="s">
        <v>4764</v>
      </c>
      <c r="B4819">
        <v>13</v>
      </c>
      <c r="C4819" t="s">
        <v>4766</v>
      </c>
      <c r="D4819" t="s">
        <v>106</v>
      </c>
      <c r="E4819" t="s">
        <v>4761</v>
      </c>
      <c r="F4819" t="s">
        <v>7672</v>
      </c>
      <c r="G4819" t="s">
        <v>18458</v>
      </c>
      <c r="H4819" t="s">
        <v>7954</v>
      </c>
      <c r="I4819" t="s">
        <v>278</v>
      </c>
      <c r="J4819" t="s">
        <v>7703</v>
      </c>
    </row>
    <row r="4820" spans="1:10" x14ac:dyDescent="0.25">
      <c r="A4820" t="s">
        <v>4768</v>
      </c>
      <c r="B4820">
        <v>13</v>
      </c>
      <c r="C4820" t="s">
        <v>4770</v>
      </c>
      <c r="D4820" t="s">
        <v>240</v>
      </c>
      <c r="E4820" t="s">
        <v>4761</v>
      </c>
      <c r="F4820" t="s">
        <v>7672</v>
      </c>
      <c r="G4820" t="s">
        <v>18458</v>
      </c>
      <c r="H4820" t="s">
        <v>7954</v>
      </c>
      <c r="I4820" t="s">
        <v>2603</v>
      </c>
      <c r="J4820" t="s">
        <v>7703</v>
      </c>
    </row>
    <row r="4821" spans="1:10" x14ac:dyDescent="0.25">
      <c r="A4821" t="s">
        <v>4772</v>
      </c>
      <c r="B4821">
        <v>13</v>
      </c>
      <c r="C4821" t="s">
        <v>4774</v>
      </c>
      <c r="D4821" t="s">
        <v>277</v>
      </c>
      <c r="E4821" t="s">
        <v>4761</v>
      </c>
      <c r="F4821" t="s">
        <v>7672</v>
      </c>
      <c r="G4821" t="s">
        <v>18458</v>
      </c>
      <c r="H4821" t="s">
        <v>7954</v>
      </c>
      <c r="I4821" t="s">
        <v>278</v>
      </c>
      <c r="J4821" t="s">
        <v>7719</v>
      </c>
    </row>
    <row r="4822" spans="1:10" x14ac:dyDescent="0.25">
      <c r="A4822" t="s">
        <v>18459</v>
      </c>
      <c r="B4822">
        <v>11.2</v>
      </c>
      <c r="C4822" t="s">
        <v>18460</v>
      </c>
      <c r="D4822" t="s">
        <v>1143</v>
      </c>
      <c r="E4822" t="s">
        <v>18461</v>
      </c>
      <c r="F4822" t="s">
        <v>7672</v>
      </c>
      <c r="G4822" t="s">
        <v>18462</v>
      </c>
      <c r="H4822" t="s">
        <v>7974</v>
      </c>
      <c r="I4822" t="s">
        <v>8317</v>
      </c>
      <c r="J4822" t="s">
        <v>7984</v>
      </c>
    </row>
    <row r="4823" spans="1:10" x14ac:dyDescent="0.25">
      <c r="A4823" t="s">
        <v>18463</v>
      </c>
      <c r="B4823">
        <v>11.2</v>
      </c>
      <c r="C4823" t="s">
        <v>18464</v>
      </c>
      <c r="D4823" t="s">
        <v>9325</v>
      </c>
      <c r="E4823" t="s">
        <v>18461</v>
      </c>
      <c r="F4823" t="s">
        <v>7672</v>
      </c>
      <c r="G4823" t="s">
        <v>18462</v>
      </c>
      <c r="H4823" t="s">
        <v>7974</v>
      </c>
      <c r="I4823" t="s">
        <v>8317</v>
      </c>
      <c r="J4823" t="s">
        <v>7987</v>
      </c>
    </row>
    <row r="4824" spans="1:10" x14ac:dyDescent="0.25">
      <c r="A4824" t="s">
        <v>18465</v>
      </c>
      <c r="B4824">
        <v>11.2</v>
      </c>
      <c r="C4824" t="s">
        <v>18466</v>
      </c>
      <c r="D4824" t="s">
        <v>926</v>
      </c>
      <c r="E4824" t="s">
        <v>18461</v>
      </c>
      <c r="F4824" t="s">
        <v>7672</v>
      </c>
      <c r="G4824" t="s">
        <v>18462</v>
      </c>
      <c r="H4824" t="s">
        <v>7974</v>
      </c>
      <c r="I4824" t="s">
        <v>18467</v>
      </c>
      <c r="J4824" t="s">
        <v>7987</v>
      </c>
    </row>
    <row r="4825" spans="1:10" x14ac:dyDescent="0.25">
      <c r="A4825" t="s">
        <v>18468</v>
      </c>
      <c r="B4825">
        <v>11.2</v>
      </c>
      <c r="C4825" t="s">
        <v>18469</v>
      </c>
      <c r="D4825" t="s">
        <v>9285</v>
      </c>
      <c r="E4825" t="s">
        <v>18461</v>
      </c>
      <c r="F4825" t="s">
        <v>7672</v>
      </c>
      <c r="G4825" t="s">
        <v>18462</v>
      </c>
      <c r="H4825" t="s">
        <v>7974</v>
      </c>
      <c r="I4825" t="s">
        <v>8317</v>
      </c>
      <c r="J4825" t="s">
        <v>8001</v>
      </c>
    </row>
    <row r="4826" spans="1:10" x14ac:dyDescent="0.25">
      <c r="A4826" t="s">
        <v>18470</v>
      </c>
      <c r="B4826">
        <v>11.2</v>
      </c>
      <c r="C4826" t="s">
        <v>18471</v>
      </c>
      <c r="D4826" t="s">
        <v>5716</v>
      </c>
      <c r="E4826" t="s">
        <v>18461</v>
      </c>
      <c r="F4826" t="s">
        <v>7672</v>
      </c>
      <c r="G4826" t="s">
        <v>18462</v>
      </c>
      <c r="H4826" t="s">
        <v>7974</v>
      </c>
      <c r="I4826" t="s">
        <v>18467</v>
      </c>
      <c r="J4826" t="s">
        <v>8001</v>
      </c>
    </row>
    <row r="4827" spans="1:10" x14ac:dyDescent="0.25">
      <c r="A4827" t="s">
        <v>18472</v>
      </c>
      <c r="B4827">
        <v>11.2</v>
      </c>
      <c r="C4827" t="s">
        <v>18473</v>
      </c>
      <c r="D4827" t="s">
        <v>3665</v>
      </c>
      <c r="E4827" t="s">
        <v>18461</v>
      </c>
      <c r="F4827" t="s">
        <v>7672</v>
      </c>
      <c r="G4827" t="s">
        <v>18462</v>
      </c>
      <c r="H4827" t="s">
        <v>7974</v>
      </c>
      <c r="I4827" t="s">
        <v>8317</v>
      </c>
      <c r="J4827" t="s">
        <v>8013</v>
      </c>
    </row>
    <row r="4828" spans="1:10" x14ac:dyDescent="0.25">
      <c r="A4828" t="s">
        <v>18474</v>
      </c>
      <c r="B4828">
        <v>11.2</v>
      </c>
      <c r="C4828" t="s">
        <v>18475</v>
      </c>
      <c r="D4828" t="s">
        <v>13859</v>
      </c>
      <c r="E4828" t="s">
        <v>18461</v>
      </c>
      <c r="F4828" t="s">
        <v>7672</v>
      </c>
      <c r="G4828" t="s">
        <v>18462</v>
      </c>
      <c r="H4828" t="s">
        <v>7974</v>
      </c>
      <c r="I4828" t="s">
        <v>18467</v>
      </c>
      <c r="J4828" t="s">
        <v>8013</v>
      </c>
    </row>
    <row r="4829" spans="1:10" x14ac:dyDescent="0.25">
      <c r="A4829" t="s">
        <v>18476</v>
      </c>
      <c r="B4829">
        <v>9.9920000000000009</v>
      </c>
      <c r="C4829" t="s">
        <v>18477</v>
      </c>
      <c r="D4829" t="s">
        <v>124</v>
      </c>
      <c r="E4829" t="s">
        <v>18478</v>
      </c>
      <c r="F4829" t="s">
        <v>7672</v>
      </c>
      <c r="G4829" t="s">
        <v>18479</v>
      </c>
      <c r="H4829" t="s">
        <v>13951</v>
      </c>
      <c r="I4829" t="s">
        <v>145</v>
      </c>
      <c r="J4829" t="s">
        <v>282</v>
      </c>
    </row>
    <row r="4830" spans="1:10" x14ac:dyDescent="0.25">
      <c r="A4830" t="s">
        <v>18480</v>
      </c>
      <c r="B4830">
        <v>9.9920000000000009</v>
      </c>
      <c r="C4830" t="s">
        <v>18481</v>
      </c>
      <c r="D4830" t="s">
        <v>250</v>
      </c>
      <c r="E4830" t="s">
        <v>18478</v>
      </c>
      <c r="F4830" t="s">
        <v>7672</v>
      </c>
      <c r="G4830" t="s">
        <v>18479</v>
      </c>
      <c r="H4830" t="s">
        <v>13951</v>
      </c>
      <c r="I4830" t="s">
        <v>145</v>
      </c>
      <c r="J4830" t="s">
        <v>277</v>
      </c>
    </row>
    <row r="4831" spans="1:10" x14ac:dyDescent="0.25">
      <c r="A4831" t="s">
        <v>4776</v>
      </c>
      <c r="B4831">
        <v>8.6639999999999997</v>
      </c>
      <c r="C4831" t="s">
        <v>4778</v>
      </c>
      <c r="D4831" t="s">
        <v>975</v>
      </c>
      <c r="E4831" t="s">
        <v>4779</v>
      </c>
      <c r="F4831" t="s">
        <v>7672</v>
      </c>
      <c r="G4831" t="s">
        <v>18482</v>
      </c>
      <c r="H4831" t="s">
        <v>13897</v>
      </c>
      <c r="I4831" t="s">
        <v>18483</v>
      </c>
      <c r="J4831" t="s">
        <v>9423</v>
      </c>
    </row>
    <row r="4832" spans="1:10" x14ac:dyDescent="0.25">
      <c r="A4832" t="s">
        <v>4782</v>
      </c>
      <c r="B4832">
        <v>8.6639999999999997</v>
      </c>
      <c r="C4832" t="s">
        <v>4784</v>
      </c>
      <c r="D4832" t="s">
        <v>639</v>
      </c>
      <c r="E4832" t="s">
        <v>4779</v>
      </c>
      <c r="F4832" t="s">
        <v>7672</v>
      </c>
      <c r="G4832" t="s">
        <v>18482</v>
      </c>
      <c r="H4832" t="s">
        <v>13897</v>
      </c>
      <c r="I4832" t="s">
        <v>18483</v>
      </c>
      <c r="J4832" t="s">
        <v>10862</v>
      </c>
    </row>
    <row r="4833" spans="1:10" x14ac:dyDescent="0.25">
      <c r="A4833" t="s">
        <v>4786</v>
      </c>
      <c r="B4833">
        <v>8.6639999999999997</v>
      </c>
      <c r="C4833" t="s">
        <v>4788</v>
      </c>
      <c r="D4833" t="s">
        <v>2376</v>
      </c>
      <c r="E4833" t="s">
        <v>4779</v>
      </c>
      <c r="F4833" t="s">
        <v>7672</v>
      </c>
      <c r="G4833" t="s">
        <v>18482</v>
      </c>
      <c r="H4833" t="s">
        <v>13897</v>
      </c>
      <c r="I4833" t="s">
        <v>18483</v>
      </c>
      <c r="J4833" t="s">
        <v>9426</v>
      </c>
    </row>
    <row r="4834" spans="1:10" x14ac:dyDescent="0.25">
      <c r="A4834" t="s">
        <v>4790</v>
      </c>
      <c r="B4834">
        <v>8.6639999999999997</v>
      </c>
      <c r="C4834" t="s">
        <v>4792</v>
      </c>
      <c r="D4834" t="s">
        <v>4794</v>
      </c>
      <c r="E4834" t="s">
        <v>4779</v>
      </c>
      <c r="F4834" t="s">
        <v>7672</v>
      </c>
      <c r="G4834" t="s">
        <v>18482</v>
      </c>
      <c r="H4834" t="s">
        <v>13897</v>
      </c>
      <c r="I4834" t="s">
        <v>18483</v>
      </c>
      <c r="J4834" t="s">
        <v>13084</v>
      </c>
    </row>
    <row r="4835" spans="1:10" x14ac:dyDescent="0.25">
      <c r="A4835" t="s">
        <v>4795</v>
      </c>
      <c r="B4835">
        <v>8.6639999999999997</v>
      </c>
      <c r="C4835" t="s">
        <v>4797</v>
      </c>
      <c r="D4835" t="s">
        <v>4799</v>
      </c>
      <c r="E4835" t="s">
        <v>4779</v>
      </c>
      <c r="F4835" t="s">
        <v>7672</v>
      </c>
      <c r="G4835" t="s">
        <v>18482</v>
      </c>
      <c r="H4835" t="s">
        <v>13897</v>
      </c>
      <c r="I4835" t="s">
        <v>18483</v>
      </c>
      <c r="J4835" t="s">
        <v>11767</v>
      </c>
    </row>
    <row r="4836" spans="1:10" x14ac:dyDescent="0.25">
      <c r="A4836" t="s">
        <v>4800</v>
      </c>
      <c r="B4836">
        <v>8.6639999999999997</v>
      </c>
      <c r="C4836" t="s">
        <v>4802</v>
      </c>
      <c r="D4836" t="s">
        <v>4804</v>
      </c>
      <c r="E4836" t="s">
        <v>4779</v>
      </c>
      <c r="F4836" t="s">
        <v>7672</v>
      </c>
      <c r="G4836" t="s">
        <v>18482</v>
      </c>
      <c r="H4836" t="s">
        <v>13897</v>
      </c>
      <c r="I4836" t="s">
        <v>18483</v>
      </c>
      <c r="J4836" t="s">
        <v>11582</v>
      </c>
    </row>
    <row r="4837" spans="1:10" x14ac:dyDescent="0.25">
      <c r="A4837" t="s">
        <v>4805</v>
      </c>
      <c r="B4837">
        <v>8.6639999999999997</v>
      </c>
      <c r="C4837" t="s">
        <v>4807</v>
      </c>
      <c r="D4837" t="s">
        <v>639</v>
      </c>
      <c r="E4837" t="s">
        <v>4779</v>
      </c>
      <c r="F4837" t="s">
        <v>7672</v>
      </c>
      <c r="G4837" t="s">
        <v>18482</v>
      </c>
      <c r="H4837" t="s">
        <v>13897</v>
      </c>
      <c r="I4837" t="s">
        <v>18483</v>
      </c>
      <c r="J4837" t="s">
        <v>11585</v>
      </c>
    </row>
    <row r="4838" spans="1:10" x14ac:dyDescent="0.25">
      <c r="A4838" t="s">
        <v>18484</v>
      </c>
      <c r="B4838">
        <v>5.120000000000001</v>
      </c>
      <c r="C4838" t="s">
        <v>18485</v>
      </c>
      <c r="D4838" t="s">
        <v>1459</v>
      </c>
      <c r="E4838" t="s">
        <v>18486</v>
      </c>
      <c r="F4838" t="s">
        <v>7672</v>
      </c>
      <c r="G4838" t="s">
        <v>18487</v>
      </c>
      <c r="H4838" t="s">
        <v>11496</v>
      </c>
      <c r="I4838" t="s">
        <v>18483</v>
      </c>
      <c r="J4838" t="s">
        <v>9423</v>
      </c>
    </row>
    <row r="4839" spans="1:10" x14ac:dyDescent="0.25">
      <c r="A4839" t="s">
        <v>18488</v>
      </c>
      <c r="B4839">
        <v>5.120000000000001</v>
      </c>
      <c r="C4839" t="s">
        <v>18489</v>
      </c>
      <c r="D4839" t="s">
        <v>2317</v>
      </c>
      <c r="E4839" t="s">
        <v>18486</v>
      </c>
      <c r="F4839" t="s">
        <v>7672</v>
      </c>
      <c r="G4839" t="s">
        <v>18487</v>
      </c>
      <c r="H4839" t="s">
        <v>11496</v>
      </c>
      <c r="I4839" t="s">
        <v>18483</v>
      </c>
      <c r="J4839" t="s">
        <v>9426</v>
      </c>
    </row>
    <row r="4840" spans="1:10" x14ac:dyDescent="0.25">
      <c r="A4840" t="s">
        <v>18490</v>
      </c>
      <c r="B4840">
        <v>5.120000000000001</v>
      </c>
      <c r="C4840" t="s">
        <v>18491</v>
      </c>
      <c r="D4840" t="s">
        <v>1949</v>
      </c>
      <c r="E4840" t="s">
        <v>18486</v>
      </c>
      <c r="F4840" t="s">
        <v>7672</v>
      </c>
      <c r="G4840" t="s">
        <v>18487</v>
      </c>
      <c r="H4840" t="s">
        <v>11496</v>
      </c>
      <c r="I4840" t="s">
        <v>18483</v>
      </c>
      <c r="J4840" t="s">
        <v>10862</v>
      </c>
    </row>
    <row r="4841" spans="1:10" x14ac:dyDescent="0.25">
      <c r="A4841" t="s">
        <v>18492</v>
      </c>
      <c r="B4841">
        <v>10.352</v>
      </c>
      <c r="C4841" t="s">
        <v>18493</v>
      </c>
      <c r="D4841" t="s">
        <v>1134</v>
      </c>
      <c r="E4841" t="s">
        <v>18494</v>
      </c>
      <c r="F4841" t="s">
        <v>7672</v>
      </c>
      <c r="G4841" t="s">
        <v>18495</v>
      </c>
      <c r="H4841" t="s">
        <v>9127</v>
      </c>
      <c r="I4841" t="s">
        <v>18496</v>
      </c>
      <c r="J4841" t="s">
        <v>15894</v>
      </c>
    </row>
    <row r="4842" spans="1:10" x14ac:dyDescent="0.25">
      <c r="A4842" t="s">
        <v>18497</v>
      </c>
      <c r="B4842">
        <v>10.352</v>
      </c>
      <c r="C4842" t="s">
        <v>18498</v>
      </c>
      <c r="D4842" t="s">
        <v>330</v>
      </c>
      <c r="E4842" t="s">
        <v>18494</v>
      </c>
      <c r="F4842" t="s">
        <v>7672</v>
      </c>
      <c r="G4842" t="s">
        <v>18495</v>
      </c>
      <c r="H4842" t="s">
        <v>9127</v>
      </c>
      <c r="I4842" t="s">
        <v>18496</v>
      </c>
      <c r="J4842" t="s">
        <v>7942</v>
      </c>
    </row>
    <row r="4843" spans="1:10" x14ac:dyDescent="0.25">
      <c r="A4843" t="s">
        <v>18499</v>
      </c>
      <c r="B4843">
        <v>10.352</v>
      </c>
      <c r="C4843" t="s">
        <v>18500</v>
      </c>
      <c r="D4843" t="s">
        <v>2620</v>
      </c>
      <c r="E4843" t="s">
        <v>18494</v>
      </c>
      <c r="F4843" t="s">
        <v>7672</v>
      </c>
      <c r="G4843" t="s">
        <v>18495</v>
      </c>
      <c r="H4843" t="s">
        <v>9127</v>
      </c>
      <c r="I4843" t="s">
        <v>18501</v>
      </c>
      <c r="J4843" t="s">
        <v>7942</v>
      </c>
    </row>
    <row r="4844" spans="1:10" x14ac:dyDescent="0.25">
      <c r="A4844" t="s">
        <v>18502</v>
      </c>
      <c r="B4844">
        <v>10.352</v>
      </c>
      <c r="C4844" t="s">
        <v>18503</v>
      </c>
      <c r="D4844" t="s">
        <v>301</v>
      </c>
      <c r="E4844" t="s">
        <v>18494</v>
      </c>
      <c r="F4844" t="s">
        <v>7672</v>
      </c>
      <c r="G4844" t="s">
        <v>18495</v>
      </c>
      <c r="H4844" t="s">
        <v>9127</v>
      </c>
      <c r="I4844" t="s">
        <v>11348</v>
      </c>
      <c r="J4844" t="s">
        <v>8603</v>
      </c>
    </row>
    <row r="4845" spans="1:10" x14ac:dyDescent="0.25">
      <c r="A4845" t="s">
        <v>18504</v>
      </c>
      <c r="B4845">
        <v>10.352</v>
      </c>
      <c r="C4845" t="s">
        <v>18505</v>
      </c>
      <c r="D4845" t="s">
        <v>113</v>
      </c>
      <c r="E4845" t="s">
        <v>18494</v>
      </c>
      <c r="F4845" t="s">
        <v>7672</v>
      </c>
      <c r="G4845" t="s">
        <v>18495</v>
      </c>
      <c r="H4845" t="s">
        <v>9127</v>
      </c>
      <c r="I4845" t="s">
        <v>18501</v>
      </c>
      <c r="J4845" t="s">
        <v>8603</v>
      </c>
    </row>
    <row r="4846" spans="1:10" x14ac:dyDescent="0.25">
      <c r="A4846" t="s">
        <v>18506</v>
      </c>
      <c r="B4846">
        <v>10.352</v>
      </c>
      <c r="C4846" t="s">
        <v>18507</v>
      </c>
      <c r="D4846" t="s">
        <v>118</v>
      </c>
      <c r="E4846" t="s">
        <v>18494</v>
      </c>
      <c r="F4846" t="s">
        <v>7672</v>
      </c>
      <c r="G4846" t="s">
        <v>18495</v>
      </c>
      <c r="H4846" t="s">
        <v>9127</v>
      </c>
      <c r="I4846" t="s">
        <v>18496</v>
      </c>
      <c r="J4846" t="s">
        <v>8603</v>
      </c>
    </row>
    <row r="4847" spans="1:10" x14ac:dyDescent="0.25">
      <c r="A4847" t="s">
        <v>18508</v>
      </c>
      <c r="B4847">
        <v>10.352</v>
      </c>
      <c r="C4847" t="s">
        <v>18509</v>
      </c>
      <c r="D4847" t="s">
        <v>626</v>
      </c>
      <c r="E4847" t="s">
        <v>18494</v>
      </c>
      <c r="F4847" t="s">
        <v>7672</v>
      </c>
      <c r="G4847" t="s">
        <v>18495</v>
      </c>
      <c r="H4847" t="s">
        <v>9127</v>
      </c>
      <c r="I4847" t="s">
        <v>18496</v>
      </c>
      <c r="J4847" t="s">
        <v>18510</v>
      </c>
    </row>
    <row r="4848" spans="1:10" x14ac:dyDescent="0.25">
      <c r="A4848" t="s">
        <v>18511</v>
      </c>
      <c r="B4848">
        <v>10.352</v>
      </c>
      <c r="C4848" t="s">
        <v>18512</v>
      </c>
      <c r="D4848" t="s">
        <v>1621</v>
      </c>
      <c r="E4848" t="s">
        <v>18494</v>
      </c>
      <c r="F4848" t="s">
        <v>7672</v>
      </c>
      <c r="G4848" t="s">
        <v>18495</v>
      </c>
      <c r="H4848" t="s">
        <v>9127</v>
      </c>
      <c r="I4848" t="s">
        <v>18496</v>
      </c>
      <c r="J4848" t="s">
        <v>8615</v>
      </c>
    </row>
    <row r="4849" spans="1:10" x14ac:dyDescent="0.25">
      <c r="A4849" t="s">
        <v>18513</v>
      </c>
      <c r="B4849">
        <v>10.352</v>
      </c>
      <c r="C4849" t="s">
        <v>18514</v>
      </c>
      <c r="D4849" t="s">
        <v>613</v>
      </c>
      <c r="E4849" t="s">
        <v>18494</v>
      </c>
      <c r="F4849" t="s">
        <v>7672</v>
      </c>
      <c r="G4849" t="s">
        <v>18495</v>
      </c>
      <c r="H4849" t="s">
        <v>9127</v>
      </c>
      <c r="I4849" t="s">
        <v>18501</v>
      </c>
      <c r="J4849" t="s">
        <v>8615</v>
      </c>
    </row>
    <row r="4850" spans="1:10" x14ac:dyDescent="0.25">
      <c r="A4850" t="s">
        <v>18515</v>
      </c>
      <c r="B4850">
        <v>10.352</v>
      </c>
      <c r="C4850" t="s">
        <v>18516</v>
      </c>
      <c r="D4850" t="s">
        <v>118</v>
      </c>
      <c r="E4850" t="s">
        <v>18494</v>
      </c>
      <c r="F4850" t="s">
        <v>7672</v>
      </c>
      <c r="G4850" t="s">
        <v>18495</v>
      </c>
      <c r="H4850" t="s">
        <v>9127</v>
      </c>
      <c r="I4850" t="s">
        <v>18496</v>
      </c>
      <c r="J4850" t="s">
        <v>18517</v>
      </c>
    </row>
    <row r="4851" spans="1:10" x14ac:dyDescent="0.25">
      <c r="A4851" t="s">
        <v>18518</v>
      </c>
      <c r="B4851">
        <v>10.352</v>
      </c>
      <c r="C4851" t="s">
        <v>18519</v>
      </c>
      <c r="D4851" t="s">
        <v>385</v>
      </c>
      <c r="E4851" t="s">
        <v>18494</v>
      </c>
      <c r="F4851" t="s">
        <v>7672</v>
      </c>
      <c r="G4851" t="s">
        <v>18495</v>
      </c>
      <c r="H4851" t="s">
        <v>9127</v>
      </c>
      <c r="I4851" t="s">
        <v>18496</v>
      </c>
      <c r="J4851" t="s">
        <v>18520</v>
      </c>
    </row>
    <row r="4852" spans="1:10" x14ac:dyDescent="0.25">
      <c r="A4852" t="s">
        <v>18521</v>
      </c>
      <c r="B4852">
        <v>10.352</v>
      </c>
      <c r="C4852" t="s">
        <v>18522</v>
      </c>
      <c r="D4852" t="s">
        <v>53</v>
      </c>
      <c r="E4852" t="s">
        <v>18494</v>
      </c>
      <c r="F4852" t="s">
        <v>7672</v>
      </c>
      <c r="G4852" t="s">
        <v>18495</v>
      </c>
      <c r="H4852" t="s">
        <v>9127</v>
      </c>
      <c r="I4852" t="s">
        <v>18501</v>
      </c>
      <c r="J4852" t="s">
        <v>8636</v>
      </c>
    </row>
    <row r="4853" spans="1:10" x14ac:dyDescent="0.25">
      <c r="A4853" t="s">
        <v>18523</v>
      </c>
      <c r="B4853">
        <v>10.352</v>
      </c>
      <c r="C4853" t="s">
        <v>18524</v>
      </c>
      <c r="D4853" t="s">
        <v>359</v>
      </c>
      <c r="E4853" t="s">
        <v>18494</v>
      </c>
      <c r="F4853" t="s">
        <v>7672</v>
      </c>
      <c r="G4853" t="s">
        <v>18495</v>
      </c>
      <c r="H4853" t="s">
        <v>9127</v>
      </c>
      <c r="I4853" t="s">
        <v>18496</v>
      </c>
      <c r="J4853" t="s">
        <v>18525</v>
      </c>
    </row>
    <row r="4854" spans="1:10" x14ac:dyDescent="0.25">
      <c r="A4854" t="s">
        <v>18526</v>
      </c>
      <c r="B4854">
        <v>10.352</v>
      </c>
      <c r="C4854" t="s">
        <v>18527</v>
      </c>
      <c r="D4854" t="s">
        <v>2697</v>
      </c>
      <c r="E4854" t="s">
        <v>18494</v>
      </c>
      <c r="F4854" t="s">
        <v>7672</v>
      </c>
      <c r="G4854" t="s">
        <v>18495</v>
      </c>
      <c r="H4854" t="s">
        <v>9127</v>
      </c>
      <c r="I4854" t="s">
        <v>18496</v>
      </c>
      <c r="J4854" t="s">
        <v>8643</v>
      </c>
    </row>
    <row r="4855" spans="1:10" x14ac:dyDescent="0.25">
      <c r="A4855" t="s">
        <v>18528</v>
      </c>
      <c r="B4855">
        <v>10.352</v>
      </c>
      <c r="C4855" t="s">
        <v>18529</v>
      </c>
      <c r="D4855" t="s">
        <v>2697</v>
      </c>
      <c r="E4855" t="s">
        <v>18494</v>
      </c>
      <c r="F4855" t="s">
        <v>7672</v>
      </c>
      <c r="G4855" t="s">
        <v>18495</v>
      </c>
      <c r="H4855" t="s">
        <v>9127</v>
      </c>
      <c r="I4855" t="s">
        <v>18501</v>
      </c>
      <c r="J4855" t="s">
        <v>8643</v>
      </c>
    </row>
    <row r="4856" spans="1:10" x14ac:dyDescent="0.25">
      <c r="A4856" t="s">
        <v>18530</v>
      </c>
      <c r="B4856">
        <v>10.352</v>
      </c>
      <c r="C4856" t="s">
        <v>18531</v>
      </c>
      <c r="D4856" t="s">
        <v>106</v>
      </c>
      <c r="E4856" t="s">
        <v>18494</v>
      </c>
      <c r="F4856" t="s">
        <v>7672</v>
      </c>
      <c r="G4856" t="s">
        <v>18495</v>
      </c>
      <c r="H4856" t="s">
        <v>9127</v>
      </c>
      <c r="I4856" t="s">
        <v>18501</v>
      </c>
      <c r="J4856" t="s">
        <v>11600</v>
      </c>
    </row>
    <row r="4857" spans="1:10" x14ac:dyDescent="0.25">
      <c r="A4857" t="s">
        <v>18532</v>
      </c>
      <c r="B4857">
        <v>10.352</v>
      </c>
      <c r="C4857" t="s">
        <v>18533</v>
      </c>
      <c r="D4857" t="s">
        <v>60</v>
      </c>
      <c r="E4857" t="s">
        <v>18494</v>
      </c>
      <c r="F4857" t="s">
        <v>7672</v>
      </c>
      <c r="G4857" t="s">
        <v>18495</v>
      </c>
      <c r="H4857" t="s">
        <v>9127</v>
      </c>
      <c r="I4857" t="s">
        <v>18496</v>
      </c>
      <c r="J4857" t="s">
        <v>11600</v>
      </c>
    </row>
    <row r="4858" spans="1:10" x14ac:dyDescent="0.25">
      <c r="A4858" t="s">
        <v>18534</v>
      </c>
      <c r="B4858">
        <v>10.352</v>
      </c>
      <c r="C4858" t="s">
        <v>18535</v>
      </c>
      <c r="D4858" t="s">
        <v>1097</v>
      </c>
      <c r="E4858" t="s">
        <v>18494</v>
      </c>
      <c r="F4858" t="s">
        <v>7672</v>
      </c>
      <c r="G4858" t="s">
        <v>18495</v>
      </c>
      <c r="H4858" t="s">
        <v>9127</v>
      </c>
      <c r="I4858" t="s">
        <v>18501</v>
      </c>
      <c r="J4858" t="s">
        <v>8013</v>
      </c>
    </row>
    <row r="4859" spans="1:10" x14ac:dyDescent="0.25">
      <c r="A4859" t="s">
        <v>18536</v>
      </c>
      <c r="B4859">
        <v>10.352</v>
      </c>
      <c r="C4859" t="s">
        <v>18537</v>
      </c>
      <c r="D4859" t="s">
        <v>436</v>
      </c>
      <c r="E4859" t="s">
        <v>18494</v>
      </c>
      <c r="F4859" t="s">
        <v>7672</v>
      </c>
      <c r="G4859" t="s">
        <v>18495</v>
      </c>
      <c r="H4859" t="s">
        <v>9127</v>
      </c>
      <c r="I4859" t="s">
        <v>18496</v>
      </c>
      <c r="J4859" t="s">
        <v>18538</v>
      </c>
    </row>
    <row r="4860" spans="1:10" x14ac:dyDescent="0.25">
      <c r="A4860" t="s">
        <v>18539</v>
      </c>
      <c r="B4860">
        <v>10.352</v>
      </c>
      <c r="C4860" t="s">
        <v>18540</v>
      </c>
      <c r="D4860" t="s">
        <v>576</v>
      </c>
      <c r="E4860" t="s">
        <v>18494</v>
      </c>
      <c r="F4860" t="s">
        <v>7672</v>
      </c>
      <c r="G4860" t="s">
        <v>18495</v>
      </c>
      <c r="H4860" t="s">
        <v>9127</v>
      </c>
      <c r="I4860" t="s">
        <v>18501</v>
      </c>
      <c r="J4860" t="s">
        <v>18538</v>
      </c>
    </row>
    <row r="4861" spans="1:10" x14ac:dyDescent="0.25">
      <c r="A4861" t="s">
        <v>4809</v>
      </c>
      <c r="B4861">
        <v>17.591999999999999</v>
      </c>
      <c r="C4861" t="s">
        <v>4811</v>
      </c>
      <c r="D4861" t="s">
        <v>106</v>
      </c>
      <c r="E4861" t="s">
        <v>4812</v>
      </c>
      <c r="F4861" t="s">
        <v>7672</v>
      </c>
      <c r="G4861" t="s">
        <v>18541</v>
      </c>
      <c r="H4861" t="s">
        <v>8301</v>
      </c>
      <c r="I4861" t="s">
        <v>18542</v>
      </c>
      <c r="J4861" t="s">
        <v>106</v>
      </c>
    </row>
    <row r="4862" spans="1:10" x14ac:dyDescent="0.25">
      <c r="A4862" t="s">
        <v>4815</v>
      </c>
      <c r="B4862">
        <v>3.3759999999999999</v>
      </c>
      <c r="C4862" t="s">
        <v>4817</v>
      </c>
      <c r="D4862" t="s">
        <v>530</v>
      </c>
      <c r="E4862" t="s">
        <v>4818</v>
      </c>
      <c r="F4862" t="s">
        <v>7672</v>
      </c>
      <c r="G4862" t="s">
        <v>18543</v>
      </c>
      <c r="H4862" t="s">
        <v>18544</v>
      </c>
      <c r="I4862" t="s">
        <v>497</v>
      </c>
      <c r="J4862" t="s">
        <v>9694</v>
      </c>
    </row>
    <row r="4863" spans="1:10" x14ac:dyDescent="0.25">
      <c r="A4863" t="s">
        <v>18545</v>
      </c>
      <c r="B4863">
        <v>16.896000000000001</v>
      </c>
      <c r="C4863" t="s">
        <v>18546</v>
      </c>
      <c r="D4863" t="s">
        <v>18547</v>
      </c>
      <c r="E4863" t="s">
        <v>18548</v>
      </c>
      <c r="F4863" t="s">
        <v>7672</v>
      </c>
      <c r="G4863" t="s">
        <v>18549</v>
      </c>
      <c r="H4863" t="s">
        <v>10317</v>
      </c>
      <c r="I4863" t="s">
        <v>497</v>
      </c>
      <c r="J4863" t="s">
        <v>9694</v>
      </c>
    </row>
    <row r="4864" spans="1:10" x14ac:dyDescent="0.25">
      <c r="A4864" t="s">
        <v>18550</v>
      </c>
      <c r="B4864">
        <v>4.8000000000000007</v>
      </c>
      <c r="C4864" t="s">
        <v>18551</v>
      </c>
      <c r="D4864" t="s">
        <v>352</v>
      </c>
      <c r="E4864" t="s">
        <v>18552</v>
      </c>
      <c r="F4864" t="s">
        <v>7672</v>
      </c>
      <c r="G4864" t="s">
        <v>18553</v>
      </c>
      <c r="H4864" t="s">
        <v>11496</v>
      </c>
      <c r="I4864" t="s">
        <v>10802</v>
      </c>
      <c r="J4864" t="s">
        <v>9423</v>
      </c>
    </row>
    <row r="4865" spans="1:10" x14ac:dyDescent="0.25">
      <c r="A4865" t="s">
        <v>18554</v>
      </c>
      <c r="B4865">
        <v>4.8000000000000007</v>
      </c>
      <c r="C4865" t="s">
        <v>18555</v>
      </c>
      <c r="D4865" t="s">
        <v>4579</v>
      </c>
      <c r="E4865" t="s">
        <v>18552</v>
      </c>
      <c r="F4865" t="s">
        <v>7672</v>
      </c>
      <c r="G4865" t="s">
        <v>18553</v>
      </c>
      <c r="H4865" t="s">
        <v>11496</v>
      </c>
      <c r="I4865" t="s">
        <v>10802</v>
      </c>
      <c r="J4865" t="s">
        <v>10862</v>
      </c>
    </row>
    <row r="4866" spans="1:10" x14ac:dyDescent="0.25">
      <c r="A4866" t="s">
        <v>18556</v>
      </c>
      <c r="B4866">
        <v>4.8000000000000007</v>
      </c>
      <c r="C4866" t="s">
        <v>18557</v>
      </c>
      <c r="D4866" t="s">
        <v>2262</v>
      </c>
      <c r="E4866" t="s">
        <v>18552</v>
      </c>
      <c r="F4866" t="s">
        <v>7672</v>
      </c>
      <c r="G4866" t="s">
        <v>18553</v>
      </c>
      <c r="H4866" t="s">
        <v>11496</v>
      </c>
      <c r="I4866" t="s">
        <v>10802</v>
      </c>
      <c r="J4866" t="s">
        <v>9426</v>
      </c>
    </row>
    <row r="4867" spans="1:10" x14ac:dyDescent="0.25">
      <c r="A4867" t="s">
        <v>18558</v>
      </c>
      <c r="B4867">
        <v>4.8000000000000007</v>
      </c>
      <c r="C4867" t="s">
        <v>18559</v>
      </c>
      <c r="D4867" t="s">
        <v>3815</v>
      </c>
      <c r="E4867" t="s">
        <v>18552</v>
      </c>
      <c r="F4867" t="s">
        <v>7672</v>
      </c>
      <c r="G4867" t="s">
        <v>18553</v>
      </c>
      <c r="H4867" t="s">
        <v>11496</v>
      </c>
      <c r="I4867" t="s">
        <v>10802</v>
      </c>
      <c r="J4867" t="s">
        <v>13084</v>
      </c>
    </row>
    <row r="4868" spans="1:10" x14ac:dyDescent="0.25">
      <c r="A4868" t="s">
        <v>18560</v>
      </c>
      <c r="B4868">
        <v>4.8000000000000007</v>
      </c>
      <c r="C4868" t="s">
        <v>18561</v>
      </c>
      <c r="D4868" t="s">
        <v>4794</v>
      </c>
      <c r="E4868" t="s">
        <v>18552</v>
      </c>
      <c r="F4868" t="s">
        <v>7672</v>
      </c>
      <c r="G4868" t="s">
        <v>18553</v>
      </c>
      <c r="H4868" t="s">
        <v>11496</v>
      </c>
      <c r="I4868" t="s">
        <v>10802</v>
      </c>
      <c r="J4868" t="s">
        <v>11767</v>
      </c>
    </row>
    <row r="4869" spans="1:10" x14ac:dyDescent="0.25">
      <c r="A4869" t="s">
        <v>18562</v>
      </c>
      <c r="B4869">
        <v>4.8000000000000007</v>
      </c>
      <c r="C4869" t="s">
        <v>18563</v>
      </c>
      <c r="D4869" t="s">
        <v>3239</v>
      </c>
      <c r="E4869" t="s">
        <v>18552</v>
      </c>
      <c r="F4869" t="s">
        <v>7672</v>
      </c>
      <c r="G4869" t="s">
        <v>18553</v>
      </c>
      <c r="H4869" t="s">
        <v>11496</v>
      </c>
      <c r="I4869" t="s">
        <v>10802</v>
      </c>
      <c r="J4869" t="s">
        <v>11582</v>
      </c>
    </row>
    <row r="4870" spans="1:10" x14ac:dyDescent="0.25">
      <c r="A4870" t="s">
        <v>18564</v>
      </c>
      <c r="B4870">
        <v>4.8000000000000007</v>
      </c>
      <c r="C4870" t="s">
        <v>18565</v>
      </c>
      <c r="D4870" t="s">
        <v>2253</v>
      </c>
      <c r="E4870" t="s">
        <v>18552</v>
      </c>
      <c r="F4870" t="s">
        <v>7672</v>
      </c>
      <c r="G4870" t="s">
        <v>18553</v>
      </c>
      <c r="H4870" t="s">
        <v>11496</v>
      </c>
      <c r="I4870" t="s">
        <v>10802</v>
      </c>
      <c r="J4870" t="s">
        <v>11585</v>
      </c>
    </row>
    <row r="4871" spans="1:10" x14ac:dyDescent="0.25">
      <c r="A4871" t="s">
        <v>18566</v>
      </c>
      <c r="B4871">
        <v>9.2000000000000011</v>
      </c>
      <c r="C4871" t="s">
        <v>18567</v>
      </c>
      <c r="D4871" t="s">
        <v>3153</v>
      </c>
      <c r="E4871" t="s">
        <v>18568</v>
      </c>
      <c r="F4871" t="s">
        <v>7672</v>
      </c>
      <c r="G4871" t="s">
        <v>18569</v>
      </c>
      <c r="H4871" t="s">
        <v>18570</v>
      </c>
      <c r="I4871" t="s">
        <v>18571</v>
      </c>
      <c r="J4871" t="s">
        <v>7981</v>
      </c>
    </row>
    <row r="4872" spans="1:10" x14ac:dyDescent="0.25">
      <c r="A4872" t="s">
        <v>18572</v>
      </c>
      <c r="B4872">
        <v>9.2000000000000011</v>
      </c>
      <c r="C4872" t="s">
        <v>18573</v>
      </c>
      <c r="D4872" t="s">
        <v>385</v>
      </c>
      <c r="E4872" t="s">
        <v>18568</v>
      </c>
      <c r="F4872" t="s">
        <v>7672</v>
      </c>
      <c r="G4872" t="s">
        <v>18569</v>
      </c>
      <c r="H4872" t="s">
        <v>18570</v>
      </c>
      <c r="I4872" t="s">
        <v>18574</v>
      </c>
      <c r="J4872" t="s">
        <v>7981</v>
      </c>
    </row>
    <row r="4873" spans="1:10" x14ac:dyDescent="0.25">
      <c r="A4873" t="s">
        <v>18575</v>
      </c>
      <c r="B4873">
        <v>9.2000000000000011</v>
      </c>
      <c r="C4873" t="s">
        <v>18576</v>
      </c>
      <c r="D4873" t="s">
        <v>903</v>
      </c>
      <c r="E4873" t="s">
        <v>18568</v>
      </c>
      <c r="F4873" t="s">
        <v>7672</v>
      </c>
      <c r="G4873" t="s">
        <v>18569</v>
      </c>
      <c r="H4873" t="s">
        <v>18570</v>
      </c>
      <c r="I4873" t="s">
        <v>18577</v>
      </c>
      <c r="J4873" t="s">
        <v>7981</v>
      </c>
    </row>
    <row r="4874" spans="1:10" x14ac:dyDescent="0.25">
      <c r="A4874" t="s">
        <v>18578</v>
      </c>
      <c r="B4874">
        <v>9.2000000000000011</v>
      </c>
      <c r="C4874" t="s">
        <v>18579</v>
      </c>
      <c r="D4874" t="s">
        <v>8816</v>
      </c>
      <c r="E4874" t="s">
        <v>18568</v>
      </c>
      <c r="F4874" t="s">
        <v>7672</v>
      </c>
      <c r="G4874" t="s">
        <v>18569</v>
      </c>
      <c r="H4874" t="s">
        <v>18570</v>
      </c>
      <c r="I4874" t="s">
        <v>18577</v>
      </c>
      <c r="J4874" t="s">
        <v>7984</v>
      </c>
    </row>
    <row r="4875" spans="1:10" x14ac:dyDescent="0.25">
      <c r="A4875" t="s">
        <v>18580</v>
      </c>
      <c r="B4875">
        <v>9.2000000000000011</v>
      </c>
      <c r="C4875" t="s">
        <v>18581</v>
      </c>
      <c r="D4875" t="s">
        <v>1710</v>
      </c>
      <c r="E4875" t="s">
        <v>18568</v>
      </c>
      <c r="F4875" t="s">
        <v>7672</v>
      </c>
      <c r="G4875" t="s">
        <v>18569</v>
      </c>
      <c r="H4875" t="s">
        <v>18570</v>
      </c>
      <c r="I4875" t="s">
        <v>18577</v>
      </c>
      <c r="J4875" t="s">
        <v>7987</v>
      </c>
    </row>
    <row r="4876" spans="1:10" x14ac:dyDescent="0.25">
      <c r="A4876" t="s">
        <v>18582</v>
      </c>
      <c r="B4876">
        <v>9.2000000000000011</v>
      </c>
      <c r="C4876" t="s">
        <v>18583</v>
      </c>
      <c r="D4876" t="s">
        <v>633</v>
      </c>
      <c r="E4876" t="s">
        <v>18568</v>
      </c>
      <c r="F4876" t="s">
        <v>7672</v>
      </c>
      <c r="G4876" t="s">
        <v>18569</v>
      </c>
      <c r="H4876" t="s">
        <v>18570</v>
      </c>
      <c r="I4876" t="s">
        <v>18577</v>
      </c>
      <c r="J4876" t="s">
        <v>8001</v>
      </c>
    </row>
    <row r="4877" spans="1:10" x14ac:dyDescent="0.25">
      <c r="A4877" t="s">
        <v>4822</v>
      </c>
      <c r="B4877">
        <v>13.192</v>
      </c>
      <c r="C4877" t="s">
        <v>4824</v>
      </c>
      <c r="D4877" t="s">
        <v>582</v>
      </c>
      <c r="E4877" t="s">
        <v>4825</v>
      </c>
      <c r="F4877" t="s">
        <v>7672</v>
      </c>
      <c r="G4877" t="s">
        <v>18584</v>
      </c>
      <c r="H4877" t="s">
        <v>8331</v>
      </c>
      <c r="I4877" t="s">
        <v>4828</v>
      </c>
      <c r="J4877" t="s">
        <v>11499</v>
      </c>
    </row>
    <row r="4878" spans="1:10" x14ac:dyDescent="0.25">
      <c r="A4878" t="s">
        <v>4829</v>
      </c>
      <c r="B4878">
        <v>13.192</v>
      </c>
      <c r="C4878" t="s">
        <v>4831</v>
      </c>
      <c r="D4878" t="s">
        <v>964</v>
      </c>
      <c r="E4878" t="s">
        <v>4825</v>
      </c>
      <c r="F4878" t="s">
        <v>7672</v>
      </c>
      <c r="G4878" t="s">
        <v>18584</v>
      </c>
      <c r="H4878" t="s">
        <v>8331</v>
      </c>
      <c r="I4878" t="s">
        <v>4828</v>
      </c>
      <c r="J4878" t="s">
        <v>11500</v>
      </c>
    </row>
    <row r="4879" spans="1:10" x14ac:dyDescent="0.25">
      <c r="A4879" t="s">
        <v>18585</v>
      </c>
      <c r="B4879">
        <v>14.215999999999999</v>
      </c>
      <c r="C4879" t="s">
        <v>18586</v>
      </c>
      <c r="D4879" t="s">
        <v>277</v>
      </c>
      <c r="E4879" t="s">
        <v>18587</v>
      </c>
      <c r="F4879" t="s">
        <v>7672</v>
      </c>
      <c r="G4879" t="s">
        <v>18588</v>
      </c>
      <c r="H4879" t="s">
        <v>16745</v>
      </c>
      <c r="I4879" t="s">
        <v>18589</v>
      </c>
      <c r="J4879" t="s">
        <v>7942</v>
      </c>
    </row>
    <row r="4880" spans="1:10" x14ac:dyDescent="0.25">
      <c r="A4880" t="s">
        <v>18590</v>
      </c>
      <c r="B4880">
        <v>14.215999999999999</v>
      </c>
      <c r="C4880" t="s">
        <v>18591</v>
      </c>
      <c r="D4880" t="s">
        <v>240</v>
      </c>
      <c r="E4880" t="s">
        <v>18587</v>
      </c>
      <c r="F4880" t="s">
        <v>7672</v>
      </c>
      <c r="G4880" t="s">
        <v>18588</v>
      </c>
      <c r="H4880" t="s">
        <v>16745</v>
      </c>
      <c r="I4880" t="s">
        <v>18589</v>
      </c>
      <c r="J4880" t="s">
        <v>7981</v>
      </c>
    </row>
    <row r="4881" spans="1:10" x14ac:dyDescent="0.25">
      <c r="A4881" t="s">
        <v>18592</v>
      </c>
      <c r="B4881">
        <v>6.4960000000000004</v>
      </c>
      <c r="C4881" t="s">
        <v>18593</v>
      </c>
      <c r="D4881" t="s">
        <v>60</v>
      </c>
      <c r="E4881" t="s">
        <v>18594</v>
      </c>
      <c r="F4881" t="s">
        <v>7672</v>
      </c>
      <c r="G4881" t="s">
        <v>18595</v>
      </c>
      <c r="H4881" t="s">
        <v>8027</v>
      </c>
      <c r="I4881" t="s">
        <v>18596</v>
      </c>
      <c r="J4881" t="s">
        <v>8427</v>
      </c>
    </row>
    <row r="4882" spans="1:10" x14ac:dyDescent="0.25">
      <c r="A4882" t="s">
        <v>18597</v>
      </c>
      <c r="B4882">
        <v>6.4960000000000004</v>
      </c>
      <c r="C4882" t="s">
        <v>18598</v>
      </c>
      <c r="D4882" t="s">
        <v>131</v>
      </c>
      <c r="E4882" t="s">
        <v>18594</v>
      </c>
      <c r="F4882" t="s">
        <v>7672</v>
      </c>
      <c r="G4882" t="s">
        <v>18595</v>
      </c>
      <c r="H4882" t="s">
        <v>8027</v>
      </c>
      <c r="I4882" t="s">
        <v>18599</v>
      </c>
      <c r="J4882" t="s">
        <v>8427</v>
      </c>
    </row>
    <row r="4883" spans="1:10" x14ac:dyDescent="0.25">
      <c r="A4883" t="s">
        <v>18600</v>
      </c>
      <c r="B4883">
        <v>6.4960000000000004</v>
      </c>
      <c r="C4883" t="s">
        <v>18601</v>
      </c>
      <c r="D4883" t="s">
        <v>1822</v>
      </c>
      <c r="E4883" t="s">
        <v>18594</v>
      </c>
      <c r="F4883" t="s">
        <v>7672</v>
      </c>
      <c r="G4883" t="s">
        <v>18595</v>
      </c>
      <c r="H4883" t="s">
        <v>8027</v>
      </c>
      <c r="I4883" t="s">
        <v>17843</v>
      </c>
      <c r="J4883" t="s">
        <v>8439</v>
      </c>
    </row>
    <row r="4884" spans="1:10" x14ac:dyDescent="0.25">
      <c r="A4884" t="s">
        <v>18602</v>
      </c>
      <c r="B4884">
        <v>6.4960000000000004</v>
      </c>
      <c r="C4884" t="s">
        <v>18603</v>
      </c>
      <c r="D4884" t="s">
        <v>88</v>
      </c>
      <c r="E4884" t="s">
        <v>18594</v>
      </c>
      <c r="F4884" t="s">
        <v>7672</v>
      </c>
      <c r="G4884" t="s">
        <v>18595</v>
      </c>
      <c r="H4884" t="s">
        <v>8027</v>
      </c>
      <c r="I4884" t="s">
        <v>18604</v>
      </c>
      <c r="J4884" t="s">
        <v>8439</v>
      </c>
    </row>
    <row r="4885" spans="1:10" x14ac:dyDescent="0.25">
      <c r="A4885" t="s">
        <v>18605</v>
      </c>
      <c r="B4885">
        <v>6.4960000000000004</v>
      </c>
      <c r="C4885" t="s">
        <v>18606</v>
      </c>
      <c r="D4885" t="s">
        <v>598</v>
      </c>
      <c r="E4885" t="s">
        <v>18594</v>
      </c>
      <c r="F4885" t="s">
        <v>7672</v>
      </c>
      <c r="G4885" t="s">
        <v>18595</v>
      </c>
      <c r="H4885" t="s">
        <v>8027</v>
      </c>
      <c r="I4885" t="s">
        <v>8158</v>
      </c>
      <c r="J4885" t="s">
        <v>8439</v>
      </c>
    </row>
    <row r="4886" spans="1:10" x14ac:dyDescent="0.25">
      <c r="A4886" t="s">
        <v>18607</v>
      </c>
      <c r="B4886">
        <v>6.4960000000000004</v>
      </c>
      <c r="C4886" t="s">
        <v>18608</v>
      </c>
      <c r="D4886" t="s">
        <v>1134</v>
      </c>
      <c r="E4886" t="s">
        <v>18594</v>
      </c>
      <c r="F4886" t="s">
        <v>7672</v>
      </c>
      <c r="G4886" t="s">
        <v>18595</v>
      </c>
      <c r="H4886" t="s">
        <v>8027</v>
      </c>
      <c r="I4886" t="s">
        <v>17261</v>
      </c>
      <c r="J4886" t="s">
        <v>8439</v>
      </c>
    </row>
    <row r="4887" spans="1:10" x14ac:dyDescent="0.25">
      <c r="A4887" t="s">
        <v>18609</v>
      </c>
      <c r="B4887">
        <v>6.4960000000000004</v>
      </c>
      <c r="C4887" t="s">
        <v>18610</v>
      </c>
      <c r="D4887" t="s">
        <v>875</v>
      </c>
      <c r="E4887" t="s">
        <v>18594</v>
      </c>
      <c r="F4887" t="s">
        <v>7672</v>
      </c>
      <c r="G4887" t="s">
        <v>18595</v>
      </c>
      <c r="H4887" t="s">
        <v>8027</v>
      </c>
      <c r="I4887" t="s">
        <v>18596</v>
      </c>
      <c r="J4887" t="s">
        <v>8439</v>
      </c>
    </row>
    <row r="4888" spans="1:10" x14ac:dyDescent="0.25">
      <c r="A4888" t="s">
        <v>18611</v>
      </c>
      <c r="B4888">
        <v>6.4960000000000004</v>
      </c>
      <c r="C4888" t="s">
        <v>18612</v>
      </c>
      <c r="D4888" t="s">
        <v>1621</v>
      </c>
      <c r="E4888" t="s">
        <v>18594</v>
      </c>
      <c r="F4888" t="s">
        <v>7672</v>
      </c>
      <c r="G4888" t="s">
        <v>18595</v>
      </c>
      <c r="H4888" t="s">
        <v>8027</v>
      </c>
      <c r="I4888" t="s">
        <v>18599</v>
      </c>
      <c r="J4888" t="s">
        <v>8439</v>
      </c>
    </row>
    <row r="4889" spans="1:10" x14ac:dyDescent="0.25">
      <c r="A4889" t="s">
        <v>18613</v>
      </c>
      <c r="B4889">
        <v>6.4960000000000004</v>
      </c>
      <c r="C4889" t="s">
        <v>18614</v>
      </c>
      <c r="D4889" t="s">
        <v>269</v>
      </c>
      <c r="E4889" t="s">
        <v>18594</v>
      </c>
      <c r="F4889" t="s">
        <v>7672</v>
      </c>
      <c r="G4889" t="s">
        <v>18595</v>
      </c>
      <c r="H4889" t="s">
        <v>8027</v>
      </c>
      <c r="I4889" t="s">
        <v>18599</v>
      </c>
      <c r="J4889" t="s">
        <v>8451</v>
      </c>
    </row>
    <row r="4890" spans="1:10" x14ac:dyDescent="0.25">
      <c r="A4890" t="s">
        <v>18615</v>
      </c>
      <c r="B4890">
        <v>6.4960000000000004</v>
      </c>
      <c r="C4890" t="s">
        <v>18616</v>
      </c>
      <c r="D4890" t="s">
        <v>330</v>
      </c>
      <c r="E4890" t="s">
        <v>18594</v>
      </c>
      <c r="F4890" t="s">
        <v>7672</v>
      </c>
      <c r="G4890" t="s">
        <v>18595</v>
      </c>
      <c r="H4890" t="s">
        <v>8027</v>
      </c>
      <c r="I4890" t="s">
        <v>8158</v>
      </c>
      <c r="J4890" t="s">
        <v>8462</v>
      </c>
    </row>
    <row r="4891" spans="1:10" x14ac:dyDescent="0.25">
      <c r="A4891" t="s">
        <v>18617</v>
      </c>
      <c r="B4891">
        <v>6.4960000000000004</v>
      </c>
      <c r="C4891" t="s">
        <v>18618</v>
      </c>
      <c r="D4891" t="s">
        <v>282</v>
      </c>
      <c r="E4891" t="s">
        <v>18594</v>
      </c>
      <c r="F4891" t="s">
        <v>7672</v>
      </c>
      <c r="G4891" t="s">
        <v>18595</v>
      </c>
      <c r="H4891" t="s">
        <v>8027</v>
      </c>
      <c r="I4891" t="s">
        <v>17843</v>
      </c>
      <c r="J4891" t="s">
        <v>8462</v>
      </c>
    </row>
    <row r="4892" spans="1:10" x14ac:dyDescent="0.25">
      <c r="A4892" t="s">
        <v>18619</v>
      </c>
      <c r="B4892">
        <v>6.4960000000000004</v>
      </c>
      <c r="C4892" t="s">
        <v>18620</v>
      </c>
      <c r="D4892" t="s">
        <v>352</v>
      </c>
      <c r="E4892" t="s">
        <v>18594</v>
      </c>
      <c r="F4892" t="s">
        <v>7672</v>
      </c>
      <c r="G4892" t="s">
        <v>18595</v>
      </c>
      <c r="H4892" t="s">
        <v>8027</v>
      </c>
      <c r="I4892" t="s">
        <v>17261</v>
      </c>
      <c r="J4892" t="s">
        <v>8462</v>
      </c>
    </row>
    <row r="4893" spans="1:10" x14ac:dyDescent="0.25">
      <c r="A4893" t="s">
        <v>18621</v>
      </c>
      <c r="B4893">
        <v>6.4960000000000004</v>
      </c>
      <c r="C4893" t="s">
        <v>18622</v>
      </c>
      <c r="D4893" t="s">
        <v>255</v>
      </c>
      <c r="E4893" t="s">
        <v>18594</v>
      </c>
      <c r="F4893" t="s">
        <v>7672</v>
      </c>
      <c r="G4893" t="s">
        <v>18595</v>
      </c>
      <c r="H4893" t="s">
        <v>8027</v>
      </c>
      <c r="I4893" t="s">
        <v>18596</v>
      </c>
      <c r="J4893" t="s">
        <v>8462</v>
      </c>
    </row>
    <row r="4894" spans="1:10" x14ac:dyDescent="0.25">
      <c r="A4894" t="s">
        <v>18623</v>
      </c>
      <c r="B4894">
        <v>6.4960000000000004</v>
      </c>
      <c r="C4894" t="s">
        <v>18624</v>
      </c>
      <c r="D4894" t="s">
        <v>199</v>
      </c>
      <c r="E4894" t="s">
        <v>18594</v>
      </c>
      <c r="F4894" t="s">
        <v>7672</v>
      </c>
      <c r="G4894" t="s">
        <v>18595</v>
      </c>
      <c r="H4894" t="s">
        <v>8027</v>
      </c>
      <c r="I4894" t="s">
        <v>18599</v>
      </c>
      <c r="J4894" t="s">
        <v>8462</v>
      </c>
    </row>
    <row r="4895" spans="1:10" x14ac:dyDescent="0.25">
      <c r="A4895" t="s">
        <v>4833</v>
      </c>
      <c r="B4895">
        <v>8.3920000000000012</v>
      </c>
      <c r="C4895" t="s">
        <v>4835</v>
      </c>
      <c r="D4895" t="s">
        <v>4838</v>
      </c>
      <c r="E4895" t="s">
        <v>4836</v>
      </c>
      <c r="F4895" t="s">
        <v>7672</v>
      </c>
      <c r="G4895" t="s">
        <v>18625</v>
      </c>
      <c r="H4895" t="s">
        <v>12508</v>
      </c>
      <c r="I4895" t="s">
        <v>497</v>
      </c>
      <c r="J4895" t="s">
        <v>9694</v>
      </c>
    </row>
    <row r="4896" spans="1:10" x14ac:dyDescent="0.25">
      <c r="A4896" t="s">
        <v>4840</v>
      </c>
      <c r="B4896">
        <v>15.896000000000001</v>
      </c>
      <c r="C4896" t="s">
        <v>4842</v>
      </c>
      <c r="D4896" t="s">
        <v>277</v>
      </c>
      <c r="E4896" t="s">
        <v>4843</v>
      </c>
      <c r="F4896" t="s">
        <v>7672</v>
      </c>
      <c r="G4896" t="s">
        <v>18626</v>
      </c>
      <c r="H4896" t="s">
        <v>12423</v>
      </c>
      <c r="I4896" t="s">
        <v>1092</v>
      </c>
      <c r="J4896" t="s">
        <v>12704</v>
      </c>
    </row>
    <row r="4897" spans="1:10" x14ac:dyDescent="0.25">
      <c r="A4897" t="s">
        <v>4846</v>
      </c>
      <c r="B4897">
        <v>15.896000000000001</v>
      </c>
      <c r="C4897" t="s">
        <v>4848</v>
      </c>
      <c r="D4897" t="s">
        <v>100</v>
      </c>
      <c r="E4897" t="s">
        <v>4843</v>
      </c>
      <c r="F4897" t="s">
        <v>7672</v>
      </c>
      <c r="G4897" t="s">
        <v>18626</v>
      </c>
      <c r="H4897" t="s">
        <v>12423</v>
      </c>
      <c r="I4897" t="s">
        <v>4851</v>
      </c>
      <c r="J4897" t="s">
        <v>12704</v>
      </c>
    </row>
    <row r="4898" spans="1:10" x14ac:dyDescent="0.25">
      <c r="A4898" t="s">
        <v>4852</v>
      </c>
      <c r="B4898">
        <v>15.896000000000001</v>
      </c>
      <c r="C4898" t="s">
        <v>4854</v>
      </c>
      <c r="D4898" t="s">
        <v>282</v>
      </c>
      <c r="E4898" t="s">
        <v>4843</v>
      </c>
      <c r="F4898" t="s">
        <v>7672</v>
      </c>
      <c r="G4898" t="s">
        <v>18626</v>
      </c>
      <c r="H4898" t="s">
        <v>12423</v>
      </c>
      <c r="I4898" t="s">
        <v>4851</v>
      </c>
      <c r="J4898" t="s">
        <v>18627</v>
      </c>
    </row>
    <row r="4899" spans="1:10" x14ac:dyDescent="0.25">
      <c r="A4899" t="s">
        <v>4856</v>
      </c>
      <c r="B4899">
        <v>15.896000000000001</v>
      </c>
      <c r="C4899" t="s">
        <v>4858</v>
      </c>
      <c r="D4899" t="s">
        <v>286</v>
      </c>
      <c r="E4899" t="s">
        <v>4843</v>
      </c>
      <c r="F4899" t="s">
        <v>7672</v>
      </c>
      <c r="G4899" t="s">
        <v>18626</v>
      </c>
      <c r="H4899" t="s">
        <v>12423</v>
      </c>
      <c r="I4899" t="s">
        <v>1092</v>
      </c>
      <c r="J4899" t="s">
        <v>18627</v>
      </c>
    </row>
    <row r="4900" spans="1:10" x14ac:dyDescent="0.25">
      <c r="A4900" t="s">
        <v>4860</v>
      </c>
      <c r="B4900">
        <v>15.896000000000001</v>
      </c>
      <c r="C4900" t="s">
        <v>4862</v>
      </c>
      <c r="D4900" t="s">
        <v>100</v>
      </c>
      <c r="E4900" t="s">
        <v>4843</v>
      </c>
      <c r="F4900" t="s">
        <v>7672</v>
      </c>
      <c r="G4900" t="s">
        <v>18626</v>
      </c>
      <c r="H4900" t="s">
        <v>12423</v>
      </c>
      <c r="I4900" t="s">
        <v>1092</v>
      </c>
      <c r="J4900" t="s">
        <v>18628</v>
      </c>
    </row>
    <row r="4901" spans="1:10" x14ac:dyDescent="0.25">
      <c r="A4901" t="s">
        <v>4864</v>
      </c>
      <c r="B4901">
        <v>15.896000000000001</v>
      </c>
      <c r="C4901" t="s">
        <v>4866</v>
      </c>
      <c r="D4901" t="s">
        <v>60</v>
      </c>
      <c r="E4901" t="s">
        <v>4843</v>
      </c>
      <c r="F4901" t="s">
        <v>7672</v>
      </c>
      <c r="G4901" t="s">
        <v>18626</v>
      </c>
      <c r="H4901" t="s">
        <v>12423</v>
      </c>
      <c r="I4901" t="s">
        <v>4851</v>
      </c>
      <c r="J4901" t="s">
        <v>12734</v>
      </c>
    </row>
    <row r="4902" spans="1:10" x14ac:dyDescent="0.25">
      <c r="A4902" t="s">
        <v>4868</v>
      </c>
      <c r="B4902">
        <v>15.896000000000001</v>
      </c>
      <c r="C4902" t="s">
        <v>4870</v>
      </c>
      <c r="D4902" t="s">
        <v>106</v>
      </c>
      <c r="E4902" t="s">
        <v>4843</v>
      </c>
      <c r="F4902" t="s">
        <v>7672</v>
      </c>
      <c r="G4902" t="s">
        <v>18626</v>
      </c>
      <c r="H4902" t="s">
        <v>12423</v>
      </c>
      <c r="I4902" t="s">
        <v>1092</v>
      </c>
      <c r="J4902" t="s">
        <v>12734</v>
      </c>
    </row>
    <row r="4903" spans="1:10" x14ac:dyDescent="0.25">
      <c r="A4903" t="s">
        <v>18629</v>
      </c>
      <c r="B4903">
        <v>4.3120000000000003</v>
      </c>
      <c r="C4903" t="s">
        <v>18630</v>
      </c>
      <c r="D4903" t="s">
        <v>330</v>
      </c>
      <c r="E4903" t="s">
        <v>18631</v>
      </c>
      <c r="F4903" t="s">
        <v>7672</v>
      </c>
      <c r="G4903" t="s">
        <v>18632</v>
      </c>
      <c r="H4903" t="s">
        <v>8301</v>
      </c>
      <c r="I4903" t="s">
        <v>10587</v>
      </c>
      <c r="J4903" t="s">
        <v>9237</v>
      </c>
    </row>
    <row r="4904" spans="1:10" x14ac:dyDescent="0.25">
      <c r="A4904" t="s">
        <v>18633</v>
      </c>
      <c r="B4904">
        <v>4.3120000000000003</v>
      </c>
      <c r="C4904" t="s">
        <v>18634</v>
      </c>
      <c r="D4904" t="s">
        <v>3470</v>
      </c>
      <c r="E4904" t="s">
        <v>18631</v>
      </c>
      <c r="F4904" t="s">
        <v>7672</v>
      </c>
      <c r="G4904" t="s">
        <v>18632</v>
      </c>
      <c r="H4904" t="s">
        <v>8301</v>
      </c>
      <c r="I4904" t="s">
        <v>8158</v>
      </c>
      <c r="J4904" t="s">
        <v>8427</v>
      </c>
    </row>
    <row r="4905" spans="1:10" x14ac:dyDescent="0.25">
      <c r="A4905" t="s">
        <v>18635</v>
      </c>
      <c r="B4905">
        <v>4.3120000000000003</v>
      </c>
      <c r="C4905" t="s">
        <v>18636</v>
      </c>
      <c r="D4905" t="s">
        <v>3070</v>
      </c>
      <c r="E4905" t="s">
        <v>18631</v>
      </c>
      <c r="F4905" t="s">
        <v>7672</v>
      </c>
      <c r="G4905" t="s">
        <v>18632</v>
      </c>
      <c r="H4905" t="s">
        <v>8301</v>
      </c>
      <c r="I4905" t="s">
        <v>10587</v>
      </c>
      <c r="J4905" t="s">
        <v>8427</v>
      </c>
    </row>
    <row r="4906" spans="1:10" x14ac:dyDescent="0.25">
      <c r="A4906" t="s">
        <v>18637</v>
      </c>
      <c r="B4906">
        <v>4.3120000000000003</v>
      </c>
      <c r="C4906" t="s">
        <v>18638</v>
      </c>
      <c r="D4906" t="s">
        <v>9822</v>
      </c>
      <c r="E4906" t="s">
        <v>18631</v>
      </c>
      <c r="F4906" t="s">
        <v>7672</v>
      </c>
      <c r="G4906" t="s">
        <v>18632</v>
      </c>
      <c r="H4906" t="s">
        <v>8301</v>
      </c>
      <c r="I4906" t="s">
        <v>8158</v>
      </c>
      <c r="J4906" t="s">
        <v>8439</v>
      </c>
    </row>
    <row r="4907" spans="1:10" x14ac:dyDescent="0.25">
      <c r="A4907" t="s">
        <v>18639</v>
      </c>
      <c r="B4907">
        <v>4.3120000000000003</v>
      </c>
      <c r="C4907" t="s">
        <v>18640</v>
      </c>
      <c r="D4907" t="s">
        <v>6030</v>
      </c>
      <c r="E4907" t="s">
        <v>18631</v>
      </c>
      <c r="F4907" t="s">
        <v>7672</v>
      </c>
      <c r="G4907" t="s">
        <v>18632</v>
      </c>
      <c r="H4907" t="s">
        <v>8301</v>
      </c>
      <c r="I4907" t="s">
        <v>10587</v>
      </c>
      <c r="J4907" t="s">
        <v>8439</v>
      </c>
    </row>
    <row r="4908" spans="1:10" x14ac:dyDescent="0.25">
      <c r="A4908" t="s">
        <v>18641</v>
      </c>
      <c r="B4908">
        <v>4.3120000000000003</v>
      </c>
      <c r="C4908" t="s">
        <v>18642</v>
      </c>
      <c r="D4908" t="s">
        <v>803</v>
      </c>
      <c r="E4908" t="s">
        <v>18631</v>
      </c>
      <c r="F4908" t="s">
        <v>7672</v>
      </c>
      <c r="G4908" t="s">
        <v>18632</v>
      </c>
      <c r="H4908" t="s">
        <v>8301</v>
      </c>
      <c r="I4908" t="s">
        <v>10587</v>
      </c>
      <c r="J4908" t="s">
        <v>8451</v>
      </c>
    </row>
    <row r="4909" spans="1:10" x14ac:dyDescent="0.25">
      <c r="A4909" t="s">
        <v>18643</v>
      </c>
      <c r="B4909">
        <v>4.3120000000000003</v>
      </c>
      <c r="C4909" t="s">
        <v>18644</v>
      </c>
      <c r="D4909" t="s">
        <v>18645</v>
      </c>
      <c r="E4909" t="s">
        <v>18631</v>
      </c>
      <c r="F4909" t="s">
        <v>7672</v>
      </c>
      <c r="G4909" t="s">
        <v>18632</v>
      </c>
      <c r="H4909" t="s">
        <v>8301</v>
      </c>
      <c r="I4909" t="s">
        <v>8158</v>
      </c>
      <c r="J4909" t="s">
        <v>8451</v>
      </c>
    </row>
    <row r="4910" spans="1:10" x14ac:dyDescent="0.25">
      <c r="A4910" t="s">
        <v>18646</v>
      </c>
      <c r="B4910">
        <v>4.3120000000000003</v>
      </c>
      <c r="C4910" t="s">
        <v>18647</v>
      </c>
      <c r="D4910" t="s">
        <v>450</v>
      </c>
      <c r="E4910" t="s">
        <v>18631</v>
      </c>
      <c r="F4910" t="s">
        <v>7672</v>
      </c>
      <c r="G4910" t="s">
        <v>18632</v>
      </c>
      <c r="H4910" t="s">
        <v>8301</v>
      </c>
      <c r="I4910" t="s">
        <v>8158</v>
      </c>
      <c r="J4910" t="s">
        <v>8462</v>
      </c>
    </row>
    <row r="4911" spans="1:10" x14ac:dyDescent="0.25">
      <c r="A4911" t="s">
        <v>18648</v>
      </c>
      <c r="B4911">
        <v>4.3120000000000003</v>
      </c>
      <c r="C4911" t="s">
        <v>18649</v>
      </c>
      <c r="D4911" t="s">
        <v>2138</v>
      </c>
      <c r="E4911" t="s">
        <v>18631</v>
      </c>
      <c r="F4911" t="s">
        <v>7672</v>
      </c>
      <c r="G4911" t="s">
        <v>18632</v>
      </c>
      <c r="H4911" t="s">
        <v>8301</v>
      </c>
      <c r="I4911" t="s">
        <v>10587</v>
      </c>
      <c r="J4911" t="s">
        <v>8462</v>
      </c>
    </row>
    <row r="4912" spans="1:10" x14ac:dyDescent="0.25">
      <c r="A4912" t="s">
        <v>18650</v>
      </c>
      <c r="B4912">
        <v>4.3120000000000003</v>
      </c>
      <c r="C4912" t="s">
        <v>18651</v>
      </c>
      <c r="D4912" t="s">
        <v>53</v>
      </c>
      <c r="E4912" t="s">
        <v>18631</v>
      </c>
      <c r="F4912" t="s">
        <v>7672</v>
      </c>
      <c r="G4912" t="s">
        <v>18632</v>
      </c>
      <c r="H4912" t="s">
        <v>8301</v>
      </c>
      <c r="I4912" t="s">
        <v>18652</v>
      </c>
      <c r="J4912" t="s">
        <v>8462</v>
      </c>
    </row>
    <row r="4913" spans="1:10" x14ac:dyDescent="0.25">
      <c r="A4913" t="s">
        <v>18653</v>
      </c>
      <c r="B4913">
        <v>4.3120000000000003</v>
      </c>
      <c r="C4913" t="s">
        <v>18654</v>
      </c>
      <c r="D4913" t="s">
        <v>705</v>
      </c>
      <c r="E4913" t="s">
        <v>18631</v>
      </c>
      <c r="F4913" t="s">
        <v>7672</v>
      </c>
      <c r="G4913" t="s">
        <v>18632</v>
      </c>
      <c r="H4913" t="s">
        <v>8301</v>
      </c>
      <c r="I4913" t="s">
        <v>8158</v>
      </c>
      <c r="J4913" t="s">
        <v>9998</v>
      </c>
    </row>
    <row r="4914" spans="1:10" x14ac:dyDescent="0.25">
      <c r="A4914" t="s">
        <v>18655</v>
      </c>
      <c r="B4914">
        <v>4.3120000000000003</v>
      </c>
      <c r="C4914" t="s">
        <v>18656</v>
      </c>
      <c r="D4914" t="s">
        <v>3153</v>
      </c>
      <c r="E4914" t="s">
        <v>18631</v>
      </c>
      <c r="F4914" t="s">
        <v>7672</v>
      </c>
      <c r="G4914" t="s">
        <v>18632</v>
      </c>
      <c r="H4914" t="s">
        <v>8301</v>
      </c>
      <c r="I4914" t="s">
        <v>10587</v>
      </c>
      <c r="J4914" t="s">
        <v>9998</v>
      </c>
    </row>
    <row r="4915" spans="1:10" x14ac:dyDescent="0.25">
      <c r="A4915" t="s">
        <v>18657</v>
      </c>
      <c r="B4915">
        <v>4.3120000000000003</v>
      </c>
      <c r="C4915" t="s">
        <v>18658</v>
      </c>
      <c r="D4915" t="s">
        <v>106</v>
      </c>
      <c r="E4915" t="s">
        <v>18631</v>
      </c>
      <c r="F4915" t="s">
        <v>7672</v>
      </c>
      <c r="G4915" t="s">
        <v>18632</v>
      </c>
      <c r="H4915" t="s">
        <v>8301</v>
      </c>
      <c r="I4915" t="s">
        <v>18652</v>
      </c>
      <c r="J4915" t="s">
        <v>9998</v>
      </c>
    </row>
    <row r="4916" spans="1:10" x14ac:dyDescent="0.25">
      <c r="A4916" t="s">
        <v>18659</v>
      </c>
      <c r="B4916">
        <v>3.8959999999999999</v>
      </c>
      <c r="C4916" t="s">
        <v>18660</v>
      </c>
      <c r="D4916" t="s">
        <v>1236</v>
      </c>
      <c r="E4916" t="s">
        <v>18661</v>
      </c>
      <c r="F4916" t="s">
        <v>7672</v>
      </c>
      <c r="G4916" t="s">
        <v>18662</v>
      </c>
      <c r="H4916" t="s">
        <v>13951</v>
      </c>
      <c r="I4916" t="s">
        <v>1490</v>
      </c>
      <c r="J4916" t="s">
        <v>8001</v>
      </c>
    </row>
    <row r="4917" spans="1:10" x14ac:dyDescent="0.25">
      <c r="A4917" t="s">
        <v>18663</v>
      </c>
      <c r="B4917">
        <v>9.5920000000000005</v>
      </c>
      <c r="C4917" t="s">
        <v>18664</v>
      </c>
      <c r="D4917" t="s">
        <v>199</v>
      </c>
      <c r="E4917" t="s">
        <v>18665</v>
      </c>
      <c r="F4917" t="s">
        <v>7672</v>
      </c>
      <c r="G4917" t="s">
        <v>12512</v>
      </c>
      <c r="H4917" t="s">
        <v>11598</v>
      </c>
      <c r="I4917" t="s">
        <v>18666</v>
      </c>
      <c r="J4917" t="s">
        <v>269</v>
      </c>
    </row>
    <row r="4918" spans="1:10" x14ac:dyDescent="0.25">
      <c r="A4918" t="s">
        <v>18667</v>
      </c>
      <c r="B4918">
        <v>9.5920000000000005</v>
      </c>
      <c r="C4918" t="s">
        <v>18668</v>
      </c>
      <c r="D4918" t="s">
        <v>311</v>
      </c>
      <c r="E4918" t="s">
        <v>18665</v>
      </c>
      <c r="F4918" t="s">
        <v>7672</v>
      </c>
      <c r="G4918" t="s">
        <v>12512</v>
      </c>
      <c r="H4918" t="s">
        <v>11598</v>
      </c>
      <c r="I4918" t="s">
        <v>18666</v>
      </c>
      <c r="J4918" t="s">
        <v>277</v>
      </c>
    </row>
    <row r="4919" spans="1:10" x14ac:dyDescent="0.25">
      <c r="A4919" t="s">
        <v>18669</v>
      </c>
      <c r="B4919">
        <v>9.5920000000000005</v>
      </c>
      <c r="C4919" t="s">
        <v>18670</v>
      </c>
      <c r="D4919" t="s">
        <v>875</v>
      </c>
      <c r="E4919" t="s">
        <v>18665</v>
      </c>
      <c r="F4919" t="s">
        <v>7672</v>
      </c>
      <c r="G4919" t="s">
        <v>12512</v>
      </c>
      <c r="H4919" t="s">
        <v>11598</v>
      </c>
      <c r="I4919" t="s">
        <v>18666</v>
      </c>
      <c r="J4919" t="s">
        <v>164</v>
      </c>
    </row>
    <row r="4920" spans="1:10" x14ac:dyDescent="0.25">
      <c r="A4920" t="s">
        <v>18671</v>
      </c>
      <c r="B4920">
        <v>9.5920000000000005</v>
      </c>
      <c r="C4920" t="s">
        <v>18672</v>
      </c>
      <c r="D4920" t="s">
        <v>776</v>
      </c>
      <c r="E4920" t="s">
        <v>18665</v>
      </c>
      <c r="F4920" t="s">
        <v>7672</v>
      </c>
      <c r="G4920" t="s">
        <v>12512</v>
      </c>
      <c r="H4920" t="s">
        <v>11598</v>
      </c>
      <c r="I4920" t="s">
        <v>18666</v>
      </c>
      <c r="J4920" t="s">
        <v>290</v>
      </c>
    </row>
    <row r="4921" spans="1:10" x14ac:dyDescent="0.25">
      <c r="A4921" t="s">
        <v>18673</v>
      </c>
      <c r="B4921">
        <v>9.5920000000000005</v>
      </c>
      <c r="C4921" t="s">
        <v>18674</v>
      </c>
      <c r="D4921" t="s">
        <v>1143</v>
      </c>
      <c r="E4921" t="s">
        <v>18665</v>
      </c>
      <c r="F4921" t="s">
        <v>7672</v>
      </c>
      <c r="G4921" t="s">
        <v>12512</v>
      </c>
      <c r="H4921" t="s">
        <v>11598</v>
      </c>
      <c r="I4921" t="s">
        <v>18666</v>
      </c>
      <c r="J4921" t="s">
        <v>199</v>
      </c>
    </row>
    <row r="4922" spans="1:10" x14ac:dyDescent="0.25">
      <c r="A4922" t="s">
        <v>18675</v>
      </c>
      <c r="B4922">
        <v>7.2</v>
      </c>
      <c r="C4922" t="s">
        <v>18676</v>
      </c>
      <c r="D4922" t="s">
        <v>124</v>
      </c>
      <c r="E4922" t="s">
        <v>18677</v>
      </c>
      <c r="F4922" t="s">
        <v>7672</v>
      </c>
      <c r="G4922" t="s">
        <v>18678</v>
      </c>
      <c r="H4922" t="s">
        <v>11496</v>
      </c>
      <c r="I4922" t="s">
        <v>145</v>
      </c>
      <c r="J4922" t="s">
        <v>11593</v>
      </c>
    </row>
    <row r="4923" spans="1:10" x14ac:dyDescent="0.25">
      <c r="A4923" t="s">
        <v>18679</v>
      </c>
      <c r="B4923">
        <v>7.2</v>
      </c>
      <c r="C4923" t="s">
        <v>18680</v>
      </c>
      <c r="D4923" t="s">
        <v>3070</v>
      </c>
      <c r="E4923" t="s">
        <v>18677</v>
      </c>
      <c r="F4923" t="s">
        <v>7672</v>
      </c>
      <c r="G4923" t="s">
        <v>18678</v>
      </c>
      <c r="H4923" t="s">
        <v>11496</v>
      </c>
      <c r="I4923" t="s">
        <v>145</v>
      </c>
      <c r="J4923" t="s">
        <v>11783</v>
      </c>
    </row>
    <row r="4924" spans="1:10" x14ac:dyDescent="0.25">
      <c r="A4924" t="s">
        <v>18681</v>
      </c>
      <c r="B4924">
        <v>19.591999999999999</v>
      </c>
      <c r="C4924" t="s">
        <v>18682</v>
      </c>
      <c r="D4924" t="s">
        <v>582</v>
      </c>
      <c r="E4924" t="s">
        <v>18683</v>
      </c>
      <c r="F4924" t="s">
        <v>7672</v>
      </c>
      <c r="G4924" t="s">
        <v>18684</v>
      </c>
      <c r="H4924" t="s">
        <v>18685</v>
      </c>
      <c r="I4924" t="s">
        <v>18686</v>
      </c>
      <c r="J4924" t="s">
        <v>7942</v>
      </c>
    </row>
    <row r="4925" spans="1:10" x14ac:dyDescent="0.25">
      <c r="A4925" t="s">
        <v>18687</v>
      </c>
      <c r="B4925">
        <v>19.591999999999999</v>
      </c>
      <c r="C4925" t="s">
        <v>18688</v>
      </c>
      <c r="D4925" t="s">
        <v>1236</v>
      </c>
      <c r="E4925" t="s">
        <v>18683</v>
      </c>
      <c r="F4925" t="s">
        <v>7672</v>
      </c>
      <c r="G4925" t="s">
        <v>18684</v>
      </c>
      <c r="H4925" t="s">
        <v>18685</v>
      </c>
      <c r="I4925" t="s">
        <v>18686</v>
      </c>
      <c r="J4925" t="s">
        <v>7981</v>
      </c>
    </row>
    <row r="4926" spans="1:10" x14ac:dyDescent="0.25">
      <c r="A4926" t="s">
        <v>18689</v>
      </c>
      <c r="B4926">
        <v>19.591999999999999</v>
      </c>
      <c r="C4926" t="s">
        <v>18690</v>
      </c>
      <c r="D4926" t="s">
        <v>835</v>
      </c>
      <c r="E4926" t="s">
        <v>18683</v>
      </c>
      <c r="F4926" t="s">
        <v>7672</v>
      </c>
      <c r="G4926" t="s">
        <v>18684</v>
      </c>
      <c r="H4926" t="s">
        <v>18685</v>
      </c>
      <c r="I4926" t="s">
        <v>18686</v>
      </c>
      <c r="J4926" t="s">
        <v>7984</v>
      </c>
    </row>
    <row r="4927" spans="1:10" x14ac:dyDescent="0.25">
      <c r="A4927" t="s">
        <v>18691</v>
      </c>
      <c r="B4927">
        <v>19.591999999999999</v>
      </c>
      <c r="C4927" t="s">
        <v>18692</v>
      </c>
      <c r="D4927" t="s">
        <v>1097</v>
      </c>
      <c r="E4927" t="s">
        <v>18683</v>
      </c>
      <c r="F4927" t="s">
        <v>7672</v>
      </c>
      <c r="G4927" t="s">
        <v>18684</v>
      </c>
      <c r="H4927" t="s">
        <v>18685</v>
      </c>
      <c r="I4927" t="s">
        <v>18686</v>
      </c>
      <c r="J4927" t="s">
        <v>7987</v>
      </c>
    </row>
    <row r="4928" spans="1:10" x14ac:dyDescent="0.25">
      <c r="A4928" t="s">
        <v>18693</v>
      </c>
      <c r="B4928">
        <v>19.591999999999999</v>
      </c>
      <c r="C4928" t="s">
        <v>18694</v>
      </c>
      <c r="D4928" t="s">
        <v>582</v>
      </c>
      <c r="E4928" t="s">
        <v>18683</v>
      </c>
      <c r="F4928" t="s">
        <v>7672</v>
      </c>
      <c r="G4928" t="s">
        <v>18684</v>
      </c>
      <c r="H4928" t="s">
        <v>18685</v>
      </c>
      <c r="I4928" t="s">
        <v>18686</v>
      </c>
      <c r="J4928" t="s">
        <v>8001</v>
      </c>
    </row>
    <row r="4929" spans="1:10" x14ac:dyDescent="0.25">
      <c r="A4929" t="s">
        <v>18695</v>
      </c>
      <c r="B4929">
        <v>7.5439999999999996</v>
      </c>
      <c r="C4929" t="s">
        <v>18696</v>
      </c>
      <c r="D4929" t="s">
        <v>3572</v>
      </c>
      <c r="E4929" t="s">
        <v>18697</v>
      </c>
      <c r="F4929" t="s">
        <v>7672</v>
      </c>
      <c r="G4929" t="s">
        <v>18698</v>
      </c>
      <c r="H4929" t="s">
        <v>13897</v>
      </c>
      <c r="I4929" t="s">
        <v>17135</v>
      </c>
      <c r="J4929" t="s">
        <v>11582</v>
      </c>
    </row>
    <row r="4930" spans="1:10" x14ac:dyDescent="0.25">
      <c r="A4930" t="s">
        <v>18699</v>
      </c>
      <c r="B4930">
        <v>7.5439999999999996</v>
      </c>
      <c r="C4930" t="s">
        <v>18700</v>
      </c>
      <c r="D4930" t="s">
        <v>941</v>
      </c>
      <c r="E4930" t="s">
        <v>18697</v>
      </c>
      <c r="F4930" t="s">
        <v>7672</v>
      </c>
      <c r="G4930" t="s">
        <v>18698</v>
      </c>
      <c r="H4930" t="s">
        <v>13897</v>
      </c>
      <c r="I4930" t="s">
        <v>17135</v>
      </c>
      <c r="J4930" t="s">
        <v>11585</v>
      </c>
    </row>
    <row r="4931" spans="1:10" x14ac:dyDescent="0.25">
      <c r="A4931" t="s">
        <v>18701</v>
      </c>
      <c r="B4931">
        <v>9</v>
      </c>
      <c r="C4931" t="s">
        <v>18702</v>
      </c>
      <c r="D4931" t="s">
        <v>3470</v>
      </c>
      <c r="E4931" t="s">
        <v>18703</v>
      </c>
      <c r="F4931" t="s">
        <v>7672</v>
      </c>
      <c r="G4931" t="s">
        <v>18704</v>
      </c>
      <c r="H4931" t="s">
        <v>13951</v>
      </c>
      <c r="I4931" t="s">
        <v>18705</v>
      </c>
      <c r="J4931" t="s">
        <v>7675</v>
      </c>
    </row>
    <row r="4932" spans="1:10" x14ac:dyDescent="0.25">
      <c r="A4932" t="s">
        <v>18706</v>
      </c>
      <c r="B4932">
        <v>9</v>
      </c>
      <c r="C4932" t="s">
        <v>18707</v>
      </c>
      <c r="D4932" t="s">
        <v>8786</v>
      </c>
      <c r="E4932" t="s">
        <v>18703</v>
      </c>
      <c r="F4932" t="s">
        <v>7672</v>
      </c>
      <c r="G4932" t="s">
        <v>18704</v>
      </c>
      <c r="H4932" t="s">
        <v>13951</v>
      </c>
      <c r="I4932" t="s">
        <v>18705</v>
      </c>
      <c r="J4932" t="s">
        <v>7686</v>
      </c>
    </row>
    <row r="4933" spans="1:10" x14ac:dyDescent="0.25">
      <c r="A4933" t="s">
        <v>18708</v>
      </c>
      <c r="B4933">
        <v>8.8160000000000007</v>
      </c>
      <c r="C4933" t="s">
        <v>18709</v>
      </c>
      <c r="D4933" t="s">
        <v>60</v>
      </c>
      <c r="E4933" t="s">
        <v>18710</v>
      </c>
      <c r="F4933" t="s">
        <v>7672</v>
      </c>
      <c r="G4933" t="s">
        <v>18711</v>
      </c>
      <c r="H4933" t="s">
        <v>16745</v>
      </c>
      <c r="I4933" t="s">
        <v>1243</v>
      </c>
      <c r="J4933" t="s">
        <v>7942</v>
      </c>
    </row>
    <row r="4934" spans="1:10" x14ac:dyDescent="0.25">
      <c r="A4934" t="s">
        <v>18712</v>
      </c>
      <c r="B4934">
        <v>8.8160000000000007</v>
      </c>
      <c r="C4934" t="s">
        <v>18713</v>
      </c>
      <c r="D4934" t="s">
        <v>131</v>
      </c>
      <c r="E4934" t="s">
        <v>18710</v>
      </c>
      <c r="F4934" t="s">
        <v>7672</v>
      </c>
      <c r="G4934" t="s">
        <v>18711</v>
      </c>
      <c r="H4934" t="s">
        <v>16745</v>
      </c>
      <c r="I4934" t="s">
        <v>18714</v>
      </c>
      <c r="J4934" t="s">
        <v>7981</v>
      </c>
    </row>
    <row r="4935" spans="1:10" x14ac:dyDescent="0.25">
      <c r="A4935" t="s">
        <v>18715</v>
      </c>
      <c r="B4935">
        <v>8.8160000000000007</v>
      </c>
      <c r="C4935" t="s">
        <v>18716</v>
      </c>
      <c r="D4935" t="s">
        <v>576</v>
      </c>
      <c r="E4935" t="s">
        <v>18710</v>
      </c>
      <c r="F4935" t="s">
        <v>7672</v>
      </c>
      <c r="G4935" t="s">
        <v>18711</v>
      </c>
      <c r="H4935" t="s">
        <v>16745</v>
      </c>
      <c r="I4935" t="s">
        <v>76</v>
      </c>
      <c r="J4935" t="s">
        <v>7981</v>
      </c>
    </row>
    <row r="4936" spans="1:10" x14ac:dyDescent="0.25">
      <c r="A4936" t="s">
        <v>18717</v>
      </c>
      <c r="B4936">
        <v>8.8160000000000007</v>
      </c>
      <c r="C4936" t="s">
        <v>18718</v>
      </c>
      <c r="D4936" t="s">
        <v>330</v>
      </c>
      <c r="E4936" t="s">
        <v>18710</v>
      </c>
      <c r="F4936" t="s">
        <v>7672</v>
      </c>
      <c r="G4936" t="s">
        <v>18711</v>
      </c>
      <c r="H4936" t="s">
        <v>16745</v>
      </c>
      <c r="I4936" t="s">
        <v>1243</v>
      </c>
      <c r="J4936" t="s">
        <v>7984</v>
      </c>
    </row>
    <row r="4937" spans="1:10" x14ac:dyDescent="0.25">
      <c r="A4937" t="s">
        <v>18719</v>
      </c>
      <c r="B4937">
        <v>8.8160000000000007</v>
      </c>
      <c r="C4937" t="s">
        <v>18720</v>
      </c>
      <c r="D4937" t="s">
        <v>240</v>
      </c>
      <c r="E4937" t="s">
        <v>18710</v>
      </c>
      <c r="F4937" t="s">
        <v>7672</v>
      </c>
      <c r="G4937" t="s">
        <v>18711</v>
      </c>
      <c r="H4937" t="s">
        <v>16745</v>
      </c>
      <c r="I4937" t="s">
        <v>18714</v>
      </c>
      <c r="J4937" t="s">
        <v>7984</v>
      </c>
    </row>
    <row r="4938" spans="1:10" x14ac:dyDescent="0.25">
      <c r="A4938" t="s">
        <v>18721</v>
      </c>
      <c r="B4938">
        <v>8.8160000000000007</v>
      </c>
      <c r="C4938" t="s">
        <v>18722</v>
      </c>
      <c r="D4938" t="s">
        <v>113</v>
      </c>
      <c r="E4938" t="s">
        <v>18710</v>
      </c>
      <c r="F4938" t="s">
        <v>7672</v>
      </c>
      <c r="G4938" t="s">
        <v>18711</v>
      </c>
      <c r="H4938" t="s">
        <v>16745</v>
      </c>
      <c r="I4938" t="s">
        <v>76</v>
      </c>
      <c r="J4938" t="s">
        <v>7984</v>
      </c>
    </row>
    <row r="4939" spans="1:10" x14ac:dyDescent="0.25">
      <c r="A4939" t="s">
        <v>18723</v>
      </c>
      <c r="B4939">
        <v>8.8160000000000007</v>
      </c>
      <c r="C4939" t="s">
        <v>18724</v>
      </c>
      <c r="D4939" t="s">
        <v>352</v>
      </c>
      <c r="E4939" t="s">
        <v>18710</v>
      </c>
      <c r="F4939" t="s">
        <v>7672</v>
      </c>
      <c r="G4939" t="s">
        <v>18711</v>
      </c>
      <c r="H4939" t="s">
        <v>16745</v>
      </c>
      <c r="I4939" t="s">
        <v>18714</v>
      </c>
      <c r="J4939" t="s">
        <v>7987</v>
      </c>
    </row>
    <row r="4940" spans="1:10" x14ac:dyDescent="0.25">
      <c r="A4940" t="s">
        <v>18725</v>
      </c>
      <c r="B4940">
        <v>8.8160000000000007</v>
      </c>
      <c r="C4940" t="s">
        <v>18726</v>
      </c>
      <c r="D4940" t="s">
        <v>342</v>
      </c>
      <c r="E4940" t="s">
        <v>18710</v>
      </c>
      <c r="F4940" t="s">
        <v>7672</v>
      </c>
      <c r="G4940" t="s">
        <v>18711</v>
      </c>
      <c r="H4940" t="s">
        <v>16745</v>
      </c>
      <c r="I4940" t="s">
        <v>18714</v>
      </c>
      <c r="J4940" t="s">
        <v>8001</v>
      </c>
    </row>
    <row r="4941" spans="1:10" x14ac:dyDescent="0.25">
      <c r="A4941" t="s">
        <v>18727</v>
      </c>
      <c r="B4941">
        <v>8.8160000000000007</v>
      </c>
      <c r="C4941" t="s">
        <v>18728</v>
      </c>
      <c r="D4941" t="s">
        <v>282</v>
      </c>
      <c r="E4941" t="s">
        <v>18710</v>
      </c>
      <c r="F4941" t="s">
        <v>7672</v>
      </c>
      <c r="G4941" t="s">
        <v>18711</v>
      </c>
      <c r="H4941" t="s">
        <v>16745</v>
      </c>
      <c r="I4941" t="s">
        <v>1243</v>
      </c>
      <c r="J4941" t="s">
        <v>8001</v>
      </c>
    </row>
    <row r="4942" spans="1:10" x14ac:dyDescent="0.25">
      <c r="A4942" t="s">
        <v>18729</v>
      </c>
      <c r="B4942">
        <v>9.6000000000000014</v>
      </c>
      <c r="C4942" t="s">
        <v>18730</v>
      </c>
      <c r="D4942" t="s">
        <v>4141</v>
      </c>
      <c r="E4942" t="s">
        <v>18731</v>
      </c>
      <c r="F4942" t="s">
        <v>7672</v>
      </c>
      <c r="G4942" t="s">
        <v>18732</v>
      </c>
      <c r="H4942" t="s">
        <v>11496</v>
      </c>
      <c r="I4942" t="s">
        <v>1243</v>
      </c>
      <c r="J4942" t="s">
        <v>9423</v>
      </c>
    </row>
    <row r="4943" spans="1:10" x14ac:dyDescent="0.25">
      <c r="A4943" t="s">
        <v>18733</v>
      </c>
      <c r="B4943">
        <v>9.6000000000000014</v>
      </c>
      <c r="C4943" t="s">
        <v>18734</v>
      </c>
      <c r="D4943" t="s">
        <v>4011</v>
      </c>
      <c r="E4943" t="s">
        <v>18731</v>
      </c>
      <c r="F4943" t="s">
        <v>7672</v>
      </c>
      <c r="G4943" t="s">
        <v>18732</v>
      </c>
      <c r="H4943" t="s">
        <v>11496</v>
      </c>
      <c r="I4943" t="s">
        <v>1243</v>
      </c>
      <c r="J4943" t="s">
        <v>10862</v>
      </c>
    </row>
    <row r="4944" spans="1:10" x14ac:dyDescent="0.25">
      <c r="A4944" t="s">
        <v>18735</v>
      </c>
      <c r="B4944">
        <v>9.6000000000000014</v>
      </c>
      <c r="C4944" t="s">
        <v>18736</v>
      </c>
      <c r="D4944" t="s">
        <v>3850</v>
      </c>
      <c r="E4944" t="s">
        <v>18731</v>
      </c>
      <c r="F4944" t="s">
        <v>7672</v>
      </c>
      <c r="G4944" t="s">
        <v>18732</v>
      </c>
      <c r="H4944" t="s">
        <v>11496</v>
      </c>
      <c r="I4944" t="s">
        <v>1243</v>
      </c>
      <c r="J4944" t="s">
        <v>9426</v>
      </c>
    </row>
    <row r="4945" spans="1:10" x14ac:dyDescent="0.25">
      <c r="A4945" t="s">
        <v>18737</v>
      </c>
      <c r="B4945">
        <v>9.6000000000000014</v>
      </c>
      <c r="C4945" t="s">
        <v>18738</v>
      </c>
      <c r="D4945" t="s">
        <v>7735</v>
      </c>
      <c r="E4945" t="s">
        <v>18731</v>
      </c>
      <c r="F4945" t="s">
        <v>7672</v>
      </c>
      <c r="G4945" t="s">
        <v>18732</v>
      </c>
      <c r="H4945" t="s">
        <v>11496</v>
      </c>
      <c r="I4945" t="s">
        <v>1243</v>
      </c>
      <c r="J4945" t="s">
        <v>13084</v>
      </c>
    </row>
    <row r="4946" spans="1:10" x14ac:dyDescent="0.25">
      <c r="A4946" t="s">
        <v>18739</v>
      </c>
      <c r="B4946">
        <v>9.6000000000000014</v>
      </c>
      <c r="C4946" t="s">
        <v>18740</v>
      </c>
      <c r="D4946" t="s">
        <v>9124</v>
      </c>
      <c r="E4946" t="s">
        <v>18731</v>
      </c>
      <c r="F4946" t="s">
        <v>7672</v>
      </c>
      <c r="G4946" t="s">
        <v>18732</v>
      </c>
      <c r="H4946" t="s">
        <v>11496</v>
      </c>
      <c r="I4946" t="s">
        <v>1243</v>
      </c>
      <c r="J4946" t="s">
        <v>11767</v>
      </c>
    </row>
    <row r="4947" spans="1:10" x14ac:dyDescent="0.25">
      <c r="A4947" t="s">
        <v>18741</v>
      </c>
      <c r="B4947">
        <v>9.6000000000000014</v>
      </c>
      <c r="C4947" t="s">
        <v>18742</v>
      </c>
      <c r="D4947" t="s">
        <v>4100</v>
      </c>
      <c r="E4947" t="s">
        <v>18731</v>
      </c>
      <c r="F4947" t="s">
        <v>7672</v>
      </c>
      <c r="G4947" t="s">
        <v>18732</v>
      </c>
      <c r="H4947" t="s">
        <v>11496</v>
      </c>
      <c r="I4947" t="s">
        <v>1243</v>
      </c>
      <c r="J4947" t="s">
        <v>11582</v>
      </c>
    </row>
    <row r="4948" spans="1:10" x14ac:dyDescent="0.25">
      <c r="A4948" t="s">
        <v>4872</v>
      </c>
      <c r="B4948">
        <v>19.792000000000002</v>
      </c>
      <c r="C4948" t="s">
        <v>4874</v>
      </c>
      <c r="D4948" t="s">
        <v>269</v>
      </c>
      <c r="E4948" t="s">
        <v>4875</v>
      </c>
      <c r="F4948" t="s">
        <v>7672</v>
      </c>
      <c r="G4948" t="s">
        <v>18743</v>
      </c>
      <c r="H4948" t="s">
        <v>18744</v>
      </c>
      <c r="I4948" t="s">
        <v>76</v>
      </c>
      <c r="J4948" t="s">
        <v>7719</v>
      </c>
    </row>
    <row r="4949" spans="1:10" x14ac:dyDescent="0.25">
      <c r="A4949" t="s">
        <v>18745</v>
      </c>
      <c r="B4949">
        <v>9.7920000000000016</v>
      </c>
      <c r="C4949" t="s">
        <v>18746</v>
      </c>
      <c r="D4949" t="s">
        <v>436</v>
      </c>
      <c r="E4949" t="s">
        <v>18747</v>
      </c>
      <c r="F4949" t="s">
        <v>7672</v>
      </c>
      <c r="G4949" t="s">
        <v>18748</v>
      </c>
      <c r="H4949" t="s">
        <v>10298</v>
      </c>
      <c r="I4949" t="s">
        <v>18749</v>
      </c>
      <c r="J4949" t="s">
        <v>7942</v>
      </c>
    </row>
    <row r="4950" spans="1:10" x14ac:dyDescent="0.25">
      <c r="A4950" t="s">
        <v>18750</v>
      </c>
      <c r="B4950">
        <v>9.7920000000000016</v>
      </c>
      <c r="C4950" t="s">
        <v>18751</v>
      </c>
      <c r="D4950" t="s">
        <v>576</v>
      </c>
      <c r="E4950" t="s">
        <v>18747</v>
      </c>
      <c r="F4950" t="s">
        <v>7672</v>
      </c>
      <c r="G4950" t="s">
        <v>18748</v>
      </c>
      <c r="H4950" t="s">
        <v>10298</v>
      </c>
      <c r="I4950" t="s">
        <v>18749</v>
      </c>
      <c r="J4950" t="s">
        <v>8001</v>
      </c>
    </row>
    <row r="4951" spans="1:10" x14ac:dyDescent="0.25">
      <c r="A4951" t="s">
        <v>18752</v>
      </c>
      <c r="B4951">
        <v>6.8000000000000007</v>
      </c>
      <c r="C4951" t="s">
        <v>18753</v>
      </c>
      <c r="D4951" t="s">
        <v>88</v>
      </c>
      <c r="E4951" t="s">
        <v>18754</v>
      </c>
      <c r="F4951" t="s">
        <v>7672</v>
      </c>
      <c r="G4951" t="s">
        <v>18755</v>
      </c>
      <c r="H4951" t="s">
        <v>11496</v>
      </c>
      <c r="I4951" t="s">
        <v>10802</v>
      </c>
      <c r="J4951" t="s">
        <v>131</v>
      </c>
    </row>
    <row r="4952" spans="1:10" x14ac:dyDescent="0.25">
      <c r="A4952" t="s">
        <v>18756</v>
      </c>
      <c r="B4952">
        <v>6.8000000000000007</v>
      </c>
      <c r="C4952" t="s">
        <v>18757</v>
      </c>
      <c r="D4952" t="s">
        <v>277</v>
      </c>
      <c r="E4952" t="s">
        <v>18754</v>
      </c>
      <c r="F4952" t="s">
        <v>7672</v>
      </c>
      <c r="G4952" t="s">
        <v>18755</v>
      </c>
      <c r="H4952" t="s">
        <v>11496</v>
      </c>
      <c r="I4952" t="s">
        <v>10802</v>
      </c>
      <c r="J4952" t="s">
        <v>269</v>
      </c>
    </row>
    <row r="4953" spans="1:10" x14ac:dyDescent="0.25">
      <c r="A4953" t="s">
        <v>18758</v>
      </c>
      <c r="B4953">
        <v>6.8000000000000007</v>
      </c>
      <c r="C4953" t="s">
        <v>18759</v>
      </c>
      <c r="D4953" t="s">
        <v>698</v>
      </c>
      <c r="E4953" t="s">
        <v>18754</v>
      </c>
      <c r="F4953" t="s">
        <v>7672</v>
      </c>
      <c r="G4953" t="s">
        <v>18755</v>
      </c>
      <c r="H4953" t="s">
        <v>11496</v>
      </c>
      <c r="I4953" t="s">
        <v>10802</v>
      </c>
      <c r="J4953" t="s">
        <v>8789</v>
      </c>
    </row>
    <row r="4954" spans="1:10" x14ac:dyDescent="0.25">
      <c r="A4954" t="s">
        <v>18760</v>
      </c>
      <c r="B4954">
        <v>7.68</v>
      </c>
      <c r="C4954" t="s">
        <v>18761</v>
      </c>
      <c r="D4954" t="s">
        <v>786</v>
      </c>
      <c r="E4954" t="s">
        <v>18762</v>
      </c>
      <c r="F4954" t="s">
        <v>7672</v>
      </c>
      <c r="G4954" t="s">
        <v>18763</v>
      </c>
      <c r="H4954" t="s">
        <v>7674</v>
      </c>
      <c r="I4954" t="s">
        <v>18764</v>
      </c>
      <c r="J4954" t="s">
        <v>7981</v>
      </c>
    </row>
    <row r="4955" spans="1:10" x14ac:dyDescent="0.25">
      <c r="A4955" t="s">
        <v>18765</v>
      </c>
      <c r="B4955">
        <v>7.68</v>
      </c>
      <c r="C4955" t="s">
        <v>18766</v>
      </c>
      <c r="D4955" t="s">
        <v>151</v>
      </c>
      <c r="E4955" t="s">
        <v>18762</v>
      </c>
      <c r="F4955" t="s">
        <v>7672</v>
      </c>
      <c r="G4955" t="s">
        <v>18763</v>
      </c>
      <c r="H4955" t="s">
        <v>7674</v>
      </c>
      <c r="I4955" t="s">
        <v>18767</v>
      </c>
      <c r="J4955" t="s">
        <v>7981</v>
      </c>
    </row>
    <row r="4956" spans="1:10" x14ac:dyDescent="0.25">
      <c r="A4956" t="s">
        <v>18768</v>
      </c>
      <c r="B4956">
        <v>7.68</v>
      </c>
      <c r="C4956" t="s">
        <v>18769</v>
      </c>
      <c r="D4956" t="s">
        <v>3999</v>
      </c>
      <c r="E4956" t="s">
        <v>18762</v>
      </c>
      <c r="F4956" t="s">
        <v>7672</v>
      </c>
      <c r="G4956" t="s">
        <v>18763</v>
      </c>
      <c r="H4956" t="s">
        <v>7674</v>
      </c>
      <c r="I4956" t="s">
        <v>18770</v>
      </c>
      <c r="J4956" t="s">
        <v>7981</v>
      </c>
    </row>
    <row r="4957" spans="1:10" x14ac:dyDescent="0.25">
      <c r="A4957" t="s">
        <v>18771</v>
      </c>
      <c r="B4957">
        <v>7.68</v>
      </c>
      <c r="C4957" t="s">
        <v>18772</v>
      </c>
      <c r="D4957" t="s">
        <v>5738</v>
      </c>
      <c r="E4957" t="s">
        <v>18762</v>
      </c>
      <c r="F4957" t="s">
        <v>7672</v>
      </c>
      <c r="G4957" t="s">
        <v>18763</v>
      </c>
      <c r="H4957" t="s">
        <v>7674</v>
      </c>
      <c r="I4957" t="s">
        <v>18770</v>
      </c>
      <c r="J4957" t="s">
        <v>7984</v>
      </c>
    </row>
    <row r="4958" spans="1:10" x14ac:dyDescent="0.25">
      <c r="A4958" t="s">
        <v>18773</v>
      </c>
      <c r="B4958">
        <v>7.68</v>
      </c>
      <c r="C4958" t="s">
        <v>18774</v>
      </c>
      <c r="D4958" t="s">
        <v>2845</v>
      </c>
      <c r="E4958" t="s">
        <v>18762</v>
      </c>
      <c r="F4958" t="s">
        <v>7672</v>
      </c>
      <c r="G4958" t="s">
        <v>18763</v>
      </c>
      <c r="H4958" t="s">
        <v>7674</v>
      </c>
      <c r="I4958" t="s">
        <v>18764</v>
      </c>
      <c r="J4958" t="s">
        <v>7984</v>
      </c>
    </row>
    <row r="4959" spans="1:10" x14ac:dyDescent="0.25">
      <c r="A4959" t="s">
        <v>18775</v>
      </c>
      <c r="B4959">
        <v>7.68</v>
      </c>
      <c r="C4959" t="s">
        <v>18776</v>
      </c>
      <c r="D4959" t="s">
        <v>8971</v>
      </c>
      <c r="E4959" t="s">
        <v>18762</v>
      </c>
      <c r="F4959" t="s">
        <v>7672</v>
      </c>
      <c r="G4959" t="s">
        <v>18763</v>
      </c>
      <c r="H4959" t="s">
        <v>7674</v>
      </c>
      <c r="I4959" t="s">
        <v>18767</v>
      </c>
      <c r="J4959" t="s">
        <v>7984</v>
      </c>
    </row>
    <row r="4960" spans="1:10" x14ac:dyDescent="0.25">
      <c r="A4960" t="s">
        <v>18777</v>
      </c>
      <c r="B4960">
        <v>7.68</v>
      </c>
      <c r="C4960" t="s">
        <v>18778</v>
      </c>
      <c r="D4960" t="s">
        <v>5661</v>
      </c>
      <c r="E4960" t="s">
        <v>18762</v>
      </c>
      <c r="F4960" t="s">
        <v>7672</v>
      </c>
      <c r="G4960" t="s">
        <v>18763</v>
      </c>
      <c r="H4960" t="s">
        <v>7674</v>
      </c>
      <c r="I4960" t="s">
        <v>18770</v>
      </c>
      <c r="J4960" t="s">
        <v>7987</v>
      </c>
    </row>
    <row r="4961" spans="1:10" x14ac:dyDescent="0.25">
      <c r="A4961" t="s">
        <v>18779</v>
      </c>
      <c r="B4961">
        <v>7.68</v>
      </c>
      <c r="C4961" t="s">
        <v>18780</v>
      </c>
      <c r="D4961" t="s">
        <v>9134</v>
      </c>
      <c r="E4961" t="s">
        <v>18762</v>
      </c>
      <c r="F4961" t="s">
        <v>7672</v>
      </c>
      <c r="G4961" t="s">
        <v>18763</v>
      </c>
      <c r="H4961" t="s">
        <v>7674</v>
      </c>
      <c r="I4961" t="s">
        <v>18764</v>
      </c>
      <c r="J4961" t="s">
        <v>7987</v>
      </c>
    </row>
    <row r="4962" spans="1:10" x14ac:dyDescent="0.25">
      <c r="A4962" t="s">
        <v>18781</v>
      </c>
      <c r="B4962">
        <v>7.68</v>
      </c>
      <c r="C4962" t="s">
        <v>18782</v>
      </c>
      <c r="D4962" t="s">
        <v>1790</v>
      </c>
      <c r="E4962" t="s">
        <v>18762</v>
      </c>
      <c r="F4962" t="s">
        <v>7672</v>
      </c>
      <c r="G4962" t="s">
        <v>18763</v>
      </c>
      <c r="H4962" t="s">
        <v>7674</v>
      </c>
      <c r="I4962" t="s">
        <v>18767</v>
      </c>
      <c r="J4962" t="s">
        <v>7987</v>
      </c>
    </row>
    <row r="4963" spans="1:10" x14ac:dyDescent="0.25">
      <c r="A4963" t="s">
        <v>18783</v>
      </c>
      <c r="B4963">
        <v>7.68</v>
      </c>
      <c r="C4963" t="s">
        <v>18784</v>
      </c>
      <c r="D4963" t="s">
        <v>913</v>
      </c>
      <c r="E4963" t="s">
        <v>18762</v>
      </c>
      <c r="F4963" t="s">
        <v>7672</v>
      </c>
      <c r="G4963" t="s">
        <v>18763</v>
      </c>
      <c r="H4963" t="s">
        <v>7674</v>
      </c>
      <c r="I4963" t="s">
        <v>18764</v>
      </c>
      <c r="J4963" t="s">
        <v>8001</v>
      </c>
    </row>
    <row r="4964" spans="1:10" x14ac:dyDescent="0.25">
      <c r="A4964" t="s">
        <v>18785</v>
      </c>
      <c r="B4964">
        <v>7.68</v>
      </c>
      <c r="C4964" t="s">
        <v>18786</v>
      </c>
      <c r="D4964" t="s">
        <v>3470</v>
      </c>
      <c r="E4964" t="s">
        <v>18762</v>
      </c>
      <c r="F4964" t="s">
        <v>7672</v>
      </c>
      <c r="G4964" t="s">
        <v>18763</v>
      </c>
      <c r="H4964" t="s">
        <v>7674</v>
      </c>
      <c r="I4964" t="s">
        <v>18770</v>
      </c>
      <c r="J4964" t="s">
        <v>8001</v>
      </c>
    </row>
    <row r="4965" spans="1:10" x14ac:dyDescent="0.25">
      <c r="A4965" t="s">
        <v>18787</v>
      </c>
      <c r="B4965">
        <v>7.68</v>
      </c>
      <c r="C4965" t="s">
        <v>18788</v>
      </c>
      <c r="D4965" t="s">
        <v>229</v>
      </c>
      <c r="E4965" t="s">
        <v>18762</v>
      </c>
      <c r="F4965" t="s">
        <v>7672</v>
      </c>
      <c r="G4965" t="s">
        <v>18763</v>
      </c>
      <c r="H4965" t="s">
        <v>7674</v>
      </c>
      <c r="I4965" t="s">
        <v>18767</v>
      </c>
      <c r="J4965" t="s">
        <v>8001</v>
      </c>
    </row>
    <row r="4966" spans="1:10" x14ac:dyDescent="0.25">
      <c r="A4966" t="s">
        <v>18789</v>
      </c>
      <c r="B4966">
        <v>7.68</v>
      </c>
      <c r="C4966" t="s">
        <v>18790</v>
      </c>
      <c r="D4966" t="s">
        <v>776</v>
      </c>
      <c r="E4966" t="s">
        <v>18762</v>
      </c>
      <c r="F4966" t="s">
        <v>7672</v>
      </c>
      <c r="G4966" t="s">
        <v>18763</v>
      </c>
      <c r="H4966" t="s">
        <v>7674</v>
      </c>
      <c r="I4966" t="s">
        <v>18770</v>
      </c>
      <c r="J4966" t="s">
        <v>8418</v>
      </c>
    </row>
    <row r="4967" spans="1:10" x14ac:dyDescent="0.25">
      <c r="A4967" t="s">
        <v>18791</v>
      </c>
      <c r="B4967">
        <v>7.68</v>
      </c>
      <c r="C4967" t="s">
        <v>18792</v>
      </c>
      <c r="D4967" t="s">
        <v>781</v>
      </c>
      <c r="E4967" t="s">
        <v>18762</v>
      </c>
      <c r="F4967" t="s">
        <v>7672</v>
      </c>
      <c r="G4967" t="s">
        <v>18763</v>
      </c>
      <c r="H4967" t="s">
        <v>7674</v>
      </c>
      <c r="I4967" t="s">
        <v>18767</v>
      </c>
      <c r="J4967" t="s">
        <v>8418</v>
      </c>
    </row>
    <row r="4968" spans="1:10" x14ac:dyDescent="0.25">
      <c r="A4968" t="s">
        <v>18793</v>
      </c>
      <c r="B4968">
        <v>7.68</v>
      </c>
      <c r="C4968" t="s">
        <v>18794</v>
      </c>
      <c r="D4968" t="s">
        <v>306</v>
      </c>
      <c r="E4968" t="s">
        <v>18762</v>
      </c>
      <c r="F4968" t="s">
        <v>7672</v>
      </c>
      <c r="G4968" t="s">
        <v>18763</v>
      </c>
      <c r="H4968" t="s">
        <v>7674</v>
      </c>
      <c r="I4968" t="s">
        <v>18767</v>
      </c>
      <c r="J4968" t="s">
        <v>8422</v>
      </c>
    </row>
    <row r="4969" spans="1:10" x14ac:dyDescent="0.25">
      <c r="A4969" t="s">
        <v>18795</v>
      </c>
      <c r="B4969">
        <v>7.68</v>
      </c>
      <c r="C4969" t="s">
        <v>18796</v>
      </c>
      <c r="D4969" t="s">
        <v>720</v>
      </c>
      <c r="E4969" t="s">
        <v>18762</v>
      </c>
      <c r="F4969" t="s">
        <v>7672</v>
      </c>
      <c r="G4969" t="s">
        <v>18763</v>
      </c>
      <c r="H4969" t="s">
        <v>7674</v>
      </c>
      <c r="I4969" t="s">
        <v>18770</v>
      </c>
      <c r="J4969" t="s">
        <v>8422</v>
      </c>
    </row>
    <row r="4970" spans="1:10" x14ac:dyDescent="0.25">
      <c r="A4970" t="s">
        <v>18797</v>
      </c>
      <c r="B4970">
        <v>7.68</v>
      </c>
      <c r="C4970" t="s">
        <v>18798</v>
      </c>
      <c r="D4970" t="s">
        <v>4924</v>
      </c>
      <c r="E4970" t="s">
        <v>18762</v>
      </c>
      <c r="F4970" t="s">
        <v>7672</v>
      </c>
      <c r="G4970" t="s">
        <v>18763</v>
      </c>
      <c r="H4970" t="s">
        <v>7674</v>
      </c>
      <c r="I4970" t="s">
        <v>18770</v>
      </c>
      <c r="J4970" t="s">
        <v>11023</v>
      </c>
    </row>
    <row r="4971" spans="1:10" x14ac:dyDescent="0.25">
      <c r="A4971" t="s">
        <v>18799</v>
      </c>
      <c r="B4971">
        <v>7.68</v>
      </c>
      <c r="C4971" t="s">
        <v>18800</v>
      </c>
      <c r="D4971" t="s">
        <v>870</v>
      </c>
      <c r="E4971" t="s">
        <v>18762</v>
      </c>
      <c r="F4971" t="s">
        <v>7672</v>
      </c>
      <c r="G4971" t="s">
        <v>18763</v>
      </c>
      <c r="H4971" t="s">
        <v>7674</v>
      </c>
      <c r="I4971" t="s">
        <v>18767</v>
      </c>
      <c r="J4971" t="s">
        <v>11023</v>
      </c>
    </row>
    <row r="4972" spans="1:10" x14ac:dyDescent="0.25">
      <c r="A4972" t="s">
        <v>18801</v>
      </c>
      <c r="B4972">
        <v>8</v>
      </c>
      <c r="C4972" t="s">
        <v>18802</v>
      </c>
      <c r="D4972" t="s">
        <v>18803</v>
      </c>
      <c r="E4972" t="s">
        <v>18804</v>
      </c>
      <c r="F4972" t="s">
        <v>7672</v>
      </c>
      <c r="G4972" t="s">
        <v>18805</v>
      </c>
      <c r="H4972" t="s">
        <v>13951</v>
      </c>
      <c r="I4972" t="s">
        <v>497</v>
      </c>
      <c r="J4972" t="s">
        <v>88</v>
      </c>
    </row>
    <row r="4973" spans="1:10" x14ac:dyDescent="0.25">
      <c r="A4973" t="s">
        <v>18806</v>
      </c>
      <c r="B4973">
        <v>8</v>
      </c>
      <c r="C4973" t="s">
        <v>18807</v>
      </c>
      <c r="D4973" t="s">
        <v>18808</v>
      </c>
      <c r="E4973" t="s">
        <v>18804</v>
      </c>
      <c r="F4973" t="s">
        <v>7672</v>
      </c>
      <c r="G4973" t="s">
        <v>18805</v>
      </c>
      <c r="H4973" t="s">
        <v>13951</v>
      </c>
      <c r="I4973" t="s">
        <v>497</v>
      </c>
      <c r="J4973" t="s">
        <v>269</v>
      </c>
    </row>
    <row r="4974" spans="1:10" x14ac:dyDescent="0.25">
      <c r="A4974" t="s">
        <v>18809</v>
      </c>
      <c r="B4974">
        <v>8</v>
      </c>
      <c r="C4974" t="s">
        <v>18810</v>
      </c>
      <c r="D4974" t="s">
        <v>1905</v>
      </c>
      <c r="E4974" t="s">
        <v>18804</v>
      </c>
      <c r="F4974" t="s">
        <v>7672</v>
      </c>
      <c r="G4974" t="s">
        <v>18805</v>
      </c>
      <c r="H4974" t="s">
        <v>13951</v>
      </c>
      <c r="I4974" t="s">
        <v>497</v>
      </c>
      <c r="J4974" t="s">
        <v>255</v>
      </c>
    </row>
    <row r="4975" spans="1:10" x14ac:dyDescent="0.25">
      <c r="A4975" t="s">
        <v>18811</v>
      </c>
      <c r="B4975">
        <v>6.4960000000000004</v>
      </c>
      <c r="C4975" t="s">
        <v>18812</v>
      </c>
      <c r="D4975" t="s">
        <v>164</v>
      </c>
      <c r="E4975" t="s">
        <v>18813</v>
      </c>
      <c r="F4975" t="s">
        <v>7672</v>
      </c>
      <c r="G4975" t="s">
        <v>18814</v>
      </c>
      <c r="H4975" t="s">
        <v>17992</v>
      </c>
      <c r="I4975" t="s">
        <v>18815</v>
      </c>
      <c r="J4975" t="s">
        <v>8427</v>
      </c>
    </row>
    <row r="4976" spans="1:10" x14ac:dyDescent="0.25">
      <c r="A4976" t="s">
        <v>18816</v>
      </c>
      <c r="B4976">
        <v>6.4960000000000004</v>
      </c>
      <c r="C4976" t="s">
        <v>18817</v>
      </c>
      <c r="D4976" t="s">
        <v>234</v>
      </c>
      <c r="E4976" t="s">
        <v>18813</v>
      </c>
      <c r="F4976" t="s">
        <v>7672</v>
      </c>
      <c r="G4976" t="s">
        <v>18814</v>
      </c>
      <c r="H4976" t="s">
        <v>17992</v>
      </c>
      <c r="I4976" t="s">
        <v>8158</v>
      </c>
      <c r="J4976" t="s">
        <v>8427</v>
      </c>
    </row>
    <row r="4977" spans="1:10" x14ac:dyDescent="0.25">
      <c r="A4977" t="s">
        <v>18818</v>
      </c>
      <c r="B4977">
        <v>6.4960000000000004</v>
      </c>
      <c r="C4977" t="s">
        <v>18819</v>
      </c>
      <c r="D4977" t="s">
        <v>975</v>
      </c>
      <c r="E4977" t="s">
        <v>18813</v>
      </c>
      <c r="F4977" t="s">
        <v>7672</v>
      </c>
      <c r="G4977" t="s">
        <v>18814</v>
      </c>
      <c r="H4977" t="s">
        <v>17992</v>
      </c>
      <c r="I4977" t="s">
        <v>11206</v>
      </c>
      <c r="J4977" t="s">
        <v>8427</v>
      </c>
    </row>
    <row r="4978" spans="1:10" x14ac:dyDescent="0.25">
      <c r="A4978" t="s">
        <v>18820</v>
      </c>
      <c r="B4978">
        <v>6.4960000000000004</v>
      </c>
      <c r="C4978" t="s">
        <v>18821</v>
      </c>
      <c r="D4978" t="s">
        <v>1236</v>
      </c>
      <c r="E4978" t="s">
        <v>18813</v>
      </c>
      <c r="F4978" t="s">
        <v>7672</v>
      </c>
      <c r="G4978" t="s">
        <v>18814</v>
      </c>
      <c r="H4978" t="s">
        <v>17992</v>
      </c>
      <c r="I4978" t="s">
        <v>18815</v>
      </c>
      <c r="J4978" t="s">
        <v>8439</v>
      </c>
    </row>
    <row r="4979" spans="1:10" x14ac:dyDescent="0.25">
      <c r="A4979" t="s">
        <v>18822</v>
      </c>
      <c r="B4979">
        <v>6.4960000000000004</v>
      </c>
      <c r="C4979" t="s">
        <v>18823</v>
      </c>
      <c r="D4979" t="s">
        <v>1512</v>
      </c>
      <c r="E4979" t="s">
        <v>18813</v>
      </c>
      <c r="F4979" t="s">
        <v>7672</v>
      </c>
      <c r="G4979" t="s">
        <v>18814</v>
      </c>
      <c r="H4979" t="s">
        <v>17992</v>
      </c>
      <c r="I4979" t="s">
        <v>8158</v>
      </c>
      <c r="J4979" t="s">
        <v>8439</v>
      </c>
    </row>
    <row r="4980" spans="1:10" x14ac:dyDescent="0.25">
      <c r="A4980" t="s">
        <v>18824</v>
      </c>
      <c r="B4980">
        <v>6.4960000000000004</v>
      </c>
      <c r="C4980" t="s">
        <v>18825</v>
      </c>
      <c r="D4980" t="s">
        <v>2243</v>
      </c>
      <c r="E4980" t="s">
        <v>18813</v>
      </c>
      <c r="F4980" t="s">
        <v>7672</v>
      </c>
      <c r="G4980" t="s">
        <v>18814</v>
      </c>
      <c r="H4980" t="s">
        <v>17992</v>
      </c>
      <c r="I4980" t="s">
        <v>11206</v>
      </c>
      <c r="J4980" t="s">
        <v>8439</v>
      </c>
    </row>
    <row r="4981" spans="1:10" x14ac:dyDescent="0.25">
      <c r="A4981" t="s">
        <v>18826</v>
      </c>
      <c r="B4981">
        <v>6.4960000000000004</v>
      </c>
      <c r="C4981" t="s">
        <v>18827</v>
      </c>
      <c r="D4981" t="s">
        <v>118</v>
      </c>
      <c r="E4981" t="s">
        <v>18813</v>
      </c>
      <c r="F4981" t="s">
        <v>7672</v>
      </c>
      <c r="G4981" t="s">
        <v>18814</v>
      </c>
      <c r="H4981" t="s">
        <v>17992</v>
      </c>
      <c r="I4981" t="s">
        <v>18815</v>
      </c>
      <c r="J4981" t="s">
        <v>8451</v>
      </c>
    </row>
    <row r="4982" spans="1:10" x14ac:dyDescent="0.25">
      <c r="A4982" t="s">
        <v>18828</v>
      </c>
      <c r="B4982">
        <v>6.4960000000000004</v>
      </c>
      <c r="C4982" t="s">
        <v>18829</v>
      </c>
      <c r="D4982" t="s">
        <v>2620</v>
      </c>
      <c r="E4982" t="s">
        <v>18813</v>
      </c>
      <c r="F4982" t="s">
        <v>7672</v>
      </c>
      <c r="G4982" t="s">
        <v>18814</v>
      </c>
      <c r="H4982" t="s">
        <v>17992</v>
      </c>
      <c r="I4982" t="s">
        <v>8158</v>
      </c>
      <c r="J4982" t="s">
        <v>8451</v>
      </c>
    </row>
    <row r="4983" spans="1:10" x14ac:dyDescent="0.25">
      <c r="A4983" t="s">
        <v>18830</v>
      </c>
      <c r="B4983">
        <v>6.4960000000000004</v>
      </c>
      <c r="C4983" t="s">
        <v>18831</v>
      </c>
      <c r="D4983" t="s">
        <v>626</v>
      </c>
      <c r="E4983" t="s">
        <v>18813</v>
      </c>
      <c r="F4983" t="s">
        <v>7672</v>
      </c>
      <c r="G4983" t="s">
        <v>18814</v>
      </c>
      <c r="H4983" t="s">
        <v>17992</v>
      </c>
      <c r="I4983" t="s">
        <v>11206</v>
      </c>
      <c r="J4983" t="s">
        <v>8451</v>
      </c>
    </row>
    <row r="4984" spans="1:10" x14ac:dyDescent="0.25">
      <c r="A4984" t="s">
        <v>18832</v>
      </c>
      <c r="B4984">
        <v>6.4960000000000004</v>
      </c>
      <c r="C4984" t="s">
        <v>18833</v>
      </c>
      <c r="D4984" t="s">
        <v>95</v>
      </c>
      <c r="E4984" t="s">
        <v>18813</v>
      </c>
      <c r="F4984" t="s">
        <v>7672</v>
      </c>
      <c r="G4984" t="s">
        <v>18814</v>
      </c>
      <c r="H4984" t="s">
        <v>17992</v>
      </c>
      <c r="I4984" t="s">
        <v>18815</v>
      </c>
      <c r="J4984" t="s">
        <v>8462</v>
      </c>
    </row>
    <row r="4985" spans="1:10" x14ac:dyDescent="0.25">
      <c r="A4985" t="s">
        <v>18834</v>
      </c>
      <c r="B4985">
        <v>6.4960000000000004</v>
      </c>
      <c r="C4985" t="s">
        <v>18835</v>
      </c>
      <c r="D4985" t="s">
        <v>113</v>
      </c>
      <c r="E4985" t="s">
        <v>18813</v>
      </c>
      <c r="F4985" t="s">
        <v>7672</v>
      </c>
      <c r="G4985" t="s">
        <v>18814</v>
      </c>
      <c r="H4985" t="s">
        <v>17992</v>
      </c>
      <c r="I4985" t="s">
        <v>8158</v>
      </c>
      <c r="J4985" t="s">
        <v>8462</v>
      </c>
    </row>
    <row r="4986" spans="1:10" x14ac:dyDescent="0.25">
      <c r="A4986" t="s">
        <v>18836</v>
      </c>
      <c r="B4986">
        <v>6.4960000000000004</v>
      </c>
      <c r="C4986" t="s">
        <v>18837</v>
      </c>
      <c r="D4986" t="s">
        <v>613</v>
      </c>
      <c r="E4986" t="s">
        <v>18813</v>
      </c>
      <c r="F4986" t="s">
        <v>7672</v>
      </c>
      <c r="G4986" t="s">
        <v>18814</v>
      </c>
      <c r="H4986" t="s">
        <v>17992</v>
      </c>
      <c r="I4986" t="s">
        <v>11206</v>
      </c>
      <c r="J4986" t="s">
        <v>8462</v>
      </c>
    </row>
    <row r="4987" spans="1:10" x14ac:dyDescent="0.25">
      <c r="A4987" t="s">
        <v>18838</v>
      </c>
      <c r="B4987">
        <v>5.032</v>
      </c>
      <c r="C4987" t="s">
        <v>18839</v>
      </c>
      <c r="D4987" t="s">
        <v>53</v>
      </c>
      <c r="E4987" t="s">
        <v>18840</v>
      </c>
      <c r="F4987" t="s">
        <v>7672</v>
      </c>
      <c r="G4987" t="s">
        <v>18841</v>
      </c>
      <c r="H4987" t="s">
        <v>7974</v>
      </c>
      <c r="I4987" t="s">
        <v>14085</v>
      </c>
      <c r="J4987" t="s">
        <v>9998</v>
      </c>
    </row>
    <row r="4988" spans="1:10" x14ac:dyDescent="0.25">
      <c r="A4988" t="s">
        <v>18842</v>
      </c>
      <c r="B4988">
        <v>5.032</v>
      </c>
      <c r="C4988" t="s">
        <v>18843</v>
      </c>
      <c r="D4988" t="s">
        <v>60</v>
      </c>
      <c r="E4988" t="s">
        <v>18840</v>
      </c>
      <c r="F4988" t="s">
        <v>7672</v>
      </c>
      <c r="G4988" t="s">
        <v>18841</v>
      </c>
      <c r="H4988" t="s">
        <v>7974</v>
      </c>
      <c r="I4988" t="s">
        <v>18844</v>
      </c>
      <c r="J4988" t="s">
        <v>9998</v>
      </c>
    </row>
    <row r="4989" spans="1:10" x14ac:dyDescent="0.25">
      <c r="A4989" t="s">
        <v>18845</v>
      </c>
      <c r="B4989">
        <v>5.032</v>
      </c>
      <c r="C4989" t="s">
        <v>18846</v>
      </c>
      <c r="D4989" t="s">
        <v>875</v>
      </c>
      <c r="E4989" t="s">
        <v>18840</v>
      </c>
      <c r="F4989" t="s">
        <v>7672</v>
      </c>
      <c r="G4989" t="s">
        <v>18841</v>
      </c>
      <c r="H4989" t="s">
        <v>7974</v>
      </c>
      <c r="I4989" t="s">
        <v>1357</v>
      </c>
      <c r="J4989" t="s">
        <v>9998</v>
      </c>
    </row>
    <row r="4990" spans="1:10" x14ac:dyDescent="0.25">
      <c r="A4990" t="s">
        <v>18847</v>
      </c>
      <c r="B4990">
        <v>5.032</v>
      </c>
      <c r="C4990" t="s">
        <v>18848</v>
      </c>
      <c r="D4990" t="s">
        <v>1236</v>
      </c>
      <c r="E4990" t="s">
        <v>18840</v>
      </c>
      <c r="F4990" t="s">
        <v>7672</v>
      </c>
      <c r="G4990" t="s">
        <v>18841</v>
      </c>
      <c r="H4990" t="s">
        <v>7974</v>
      </c>
      <c r="I4990" t="s">
        <v>18849</v>
      </c>
      <c r="J4990" t="s">
        <v>9998</v>
      </c>
    </row>
    <row r="4991" spans="1:10" x14ac:dyDescent="0.25">
      <c r="A4991" t="s">
        <v>18850</v>
      </c>
      <c r="B4991">
        <v>15.992000000000001</v>
      </c>
      <c r="C4991" t="s">
        <v>18851</v>
      </c>
      <c r="D4991" t="s">
        <v>843</v>
      </c>
      <c r="E4991" t="s">
        <v>18852</v>
      </c>
      <c r="F4991" t="s">
        <v>7672</v>
      </c>
      <c r="G4991" t="s">
        <v>18853</v>
      </c>
      <c r="H4991" t="s">
        <v>12137</v>
      </c>
      <c r="I4991" t="s">
        <v>18854</v>
      </c>
      <c r="J4991" t="s">
        <v>18855</v>
      </c>
    </row>
    <row r="4992" spans="1:10" x14ac:dyDescent="0.25">
      <c r="A4992" t="s">
        <v>18856</v>
      </c>
      <c r="B4992">
        <v>9.2240000000000002</v>
      </c>
      <c r="C4992" t="s">
        <v>18857</v>
      </c>
      <c r="D4992" t="s">
        <v>582</v>
      </c>
      <c r="E4992" t="s">
        <v>18858</v>
      </c>
      <c r="F4992" t="s">
        <v>7672</v>
      </c>
      <c r="G4992" t="s">
        <v>18859</v>
      </c>
      <c r="H4992" t="s">
        <v>13897</v>
      </c>
      <c r="I4992" t="s">
        <v>18860</v>
      </c>
      <c r="J4992" t="s">
        <v>9423</v>
      </c>
    </row>
    <row r="4993" spans="1:10" x14ac:dyDescent="0.25">
      <c r="A4993" t="s">
        <v>18861</v>
      </c>
      <c r="B4993">
        <v>9.2240000000000002</v>
      </c>
      <c r="C4993" t="s">
        <v>18862</v>
      </c>
      <c r="D4993" t="s">
        <v>4270</v>
      </c>
      <c r="E4993" t="s">
        <v>18858</v>
      </c>
      <c r="F4993" t="s">
        <v>7672</v>
      </c>
      <c r="G4993" t="s">
        <v>18859</v>
      </c>
      <c r="H4993" t="s">
        <v>13897</v>
      </c>
      <c r="I4993" t="s">
        <v>18860</v>
      </c>
      <c r="J4993" t="s">
        <v>10862</v>
      </c>
    </row>
    <row r="4994" spans="1:10" x14ac:dyDescent="0.25">
      <c r="A4994" t="s">
        <v>18863</v>
      </c>
      <c r="B4994">
        <v>9.2240000000000002</v>
      </c>
      <c r="C4994" t="s">
        <v>18864</v>
      </c>
      <c r="D4994" t="s">
        <v>3153</v>
      </c>
      <c r="E4994" t="s">
        <v>18858</v>
      </c>
      <c r="F4994" t="s">
        <v>7672</v>
      </c>
      <c r="G4994" t="s">
        <v>18859</v>
      </c>
      <c r="H4994" t="s">
        <v>13897</v>
      </c>
      <c r="I4994" t="s">
        <v>18860</v>
      </c>
      <c r="J4994" t="s">
        <v>9426</v>
      </c>
    </row>
    <row r="4995" spans="1:10" x14ac:dyDescent="0.25">
      <c r="A4995" t="s">
        <v>18865</v>
      </c>
      <c r="B4995">
        <v>9.2240000000000002</v>
      </c>
      <c r="C4995" t="s">
        <v>18866</v>
      </c>
      <c r="D4995" t="s">
        <v>316</v>
      </c>
      <c r="E4995" t="s">
        <v>18858</v>
      </c>
      <c r="F4995" t="s">
        <v>7672</v>
      </c>
      <c r="G4995" t="s">
        <v>18859</v>
      </c>
      <c r="H4995" t="s">
        <v>13897</v>
      </c>
      <c r="I4995" t="s">
        <v>18860</v>
      </c>
      <c r="J4995" t="s">
        <v>13084</v>
      </c>
    </row>
    <row r="4996" spans="1:10" x14ac:dyDescent="0.25">
      <c r="A4996" t="s">
        <v>18867</v>
      </c>
      <c r="B4996">
        <v>9.2240000000000002</v>
      </c>
      <c r="C4996" t="s">
        <v>18868</v>
      </c>
      <c r="D4996" t="s">
        <v>2149</v>
      </c>
      <c r="E4996" t="s">
        <v>18858</v>
      </c>
      <c r="F4996" t="s">
        <v>7672</v>
      </c>
      <c r="G4996" t="s">
        <v>18859</v>
      </c>
      <c r="H4996" t="s">
        <v>13897</v>
      </c>
      <c r="I4996" t="s">
        <v>18860</v>
      </c>
      <c r="J4996" t="s">
        <v>11767</v>
      </c>
    </row>
    <row r="4997" spans="1:10" x14ac:dyDescent="0.25">
      <c r="A4997" t="s">
        <v>18869</v>
      </c>
      <c r="B4997">
        <v>9.2240000000000002</v>
      </c>
      <c r="C4997" t="s">
        <v>18870</v>
      </c>
      <c r="D4997" t="s">
        <v>725</v>
      </c>
      <c r="E4997" t="s">
        <v>18858</v>
      </c>
      <c r="F4997" t="s">
        <v>7672</v>
      </c>
      <c r="G4997" t="s">
        <v>18859</v>
      </c>
      <c r="H4997" t="s">
        <v>13897</v>
      </c>
      <c r="I4997" t="s">
        <v>18860</v>
      </c>
      <c r="J4997" t="s">
        <v>11582</v>
      </c>
    </row>
    <row r="4998" spans="1:10" x14ac:dyDescent="0.25">
      <c r="A4998" t="s">
        <v>18871</v>
      </c>
      <c r="B4998">
        <v>9.2240000000000002</v>
      </c>
      <c r="C4998" t="s">
        <v>18872</v>
      </c>
      <c r="D4998" t="s">
        <v>626</v>
      </c>
      <c r="E4998" t="s">
        <v>18858</v>
      </c>
      <c r="F4998" t="s">
        <v>7672</v>
      </c>
      <c r="G4998" t="s">
        <v>18859</v>
      </c>
      <c r="H4998" t="s">
        <v>13897</v>
      </c>
      <c r="I4998" t="s">
        <v>18860</v>
      </c>
      <c r="J4998" t="s">
        <v>11585</v>
      </c>
    </row>
    <row r="4999" spans="1:10" x14ac:dyDescent="0.25">
      <c r="A4999" t="s">
        <v>18873</v>
      </c>
      <c r="B4999">
        <v>5.6000000000000014</v>
      </c>
      <c r="C4999" t="s">
        <v>18874</v>
      </c>
      <c r="D4999" t="s">
        <v>17467</v>
      </c>
      <c r="E4999" t="s">
        <v>18875</v>
      </c>
      <c r="F4999" t="s">
        <v>7672</v>
      </c>
      <c r="G4999" t="s">
        <v>18876</v>
      </c>
      <c r="H4999" t="s">
        <v>11496</v>
      </c>
      <c r="I4999" t="s">
        <v>410</v>
      </c>
      <c r="J4999" t="s">
        <v>9423</v>
      </c>
    </row>
    <row r="5000" spans="1:10" x14ac:dyDescent="0.25">
      <c r="A5000" t="s">
        <v>18877</v>
      </c>
      <c r="B5000">
        <v>5.6000000000000014</v>
      </c>
      <c r="C5000" t="s">
        <v>18878</v>
      </c>
      <c r="D5000" t="s">
        <v>8063</v>
      </c>
      <c r="E5000" t="s">
        <v>18875</v>
      </c>
      <c r="F5000" t="s">
        <v>7672</v>
      </c>
      <c r="G5000" t="s">
        <v>18876</v>
      </c>
      <c r="H5000" t="s">
        <v>11496</v>
      </c>
      <c r="I5000" t="s">
        <v>410</v>
      </c>
      <c r="J5000" t="s">
        <v>10862</v>
      </c>
    </row>
    <row r="5001" spans="1:10" x14ac:dyDescent="0.25">
      <c r="A5001" t="s">
        <v>18879</v>
      </c>
      <c r="B5001">
        <v>5.6000000000000014</v>
      </c>
      <c r="C5001" t="s">
        <v>18880</v>
      </c>
      <c r="D5001" t="s">
        <v>18881</v>
      </c>
      <c r="E5001" t="s">
        <v>18875</v>
      </c>
      <c r="F5001" t="s">
        <v>7672</v>
      </c>
      <c r="G5001" t="s">
        <v>18876</v>
      </c>
      <c r="H5001" t="s">
        <v>11496</v>
      </c>
      <c r="I5001" t="s">
        <v>410</v>
      </c>
      <c r="J5001" t="s">
        <v>9426</v>
      </c>
    </row>
    <row r="5002" spans="1:10" x14ac:dyDescent="0.25">
      <c r="A5002" t="s">
        <v>18882</v>
      </c>
      <c r="B5002">
        <v>5.6000000000000014</v>
      </c>
      <c r="C5002" t="s">
        <v>18883</v>
      </c>
      <c r="D5002" t="s">
        <v>10436</v>
      </c>
      <c r="E5002" t="s">
        <v>18875</v>
      </c>
      <c r="F5002" t="s">
        <v>7672</v>
      </c>
      <c r="G5002" t="s">
        <v>18876</v>
      </c>
      <c r="H5002" t="s">
        <v>11496</v>
      </c>
      <c r="I5002" t="s">
        <v>410</v>
      </c>
      <c r="J5002" t="s">
        <v>13084</v>
      </c>
    </row>
    <row r="5003" spans="1:10" x14ac:dyDescent="0.25">
      <c r="A5003" t="s">
        <v>18884</v>
      </c>
      <c r="B5003">
        <v>5.6000000000000014</v>
      </c>
      <c r="C5003" t="s">
        <v>18885</v>
      </c>
      <c r="D5003" t="s">
        <v>2317</v>
      </c>
      <c r="E5003" t="s">
        <v>18875</v>
      </c>
      <c r="F5003" t="s">
        <v>7672</v>
      </c>
      <c r="G5003" t="s">
        <v>18876</v>
      </c>
      <c r="H5003" t="s">
        <v>11496</v>
      </c>
      <c r="I5003" t="s">
        <v>410</v>
      </c>
      <c r="J5003" t="s">
        <v>11767</v>
      </c>
    </row>
    <row r="5004" spans="1:10" x14ac:dyDescent="0.25">
      <c r="A5004" t="s">
        <v>4878</v>
      </c>
      <c r="B5004">
        <v>15.6</v>
      </c>
      <c r="C5004" t="s">
        <v>4880</v>
      </c>
      <c r="D5004" t="s">
        <v>113</v>
      </c>
      <c r="E5004" t="s">
        <v>4881</v>
      </c>
      <c r="F5004" t="s">
        <v>7672</v>
      </c>
      <c r="G5004" t="s">
        <v>18886</v>
      </c>
      <c r="H5004" t="s">
        <v>8078</v>
      </c>
      <c r="I5004" t="s">
        <v>18887</v>
      </c>
      <c r="J5004" t="s">
        <v>8451</v>
      </c>
    </row>
    <row r="5005" spans="1:10" x14ac:dyDescent="0.25">
      <c r="A5005" t="s">
        <v>4885</v>
      </c>
      <c r="B5005">
        <v>15.6</v>
      </c>
      <c r="C5005" t="s">
        <v>4887</v>
      </c>
      <c r="D5005" t="s">
        <v>385</v>
      </c>
      <c r="E5005" t="s">
        <v>4881</v>
      </c>
      <c r="F5005" t="s">
        <v>7672</v>
      </c>
      <c r="G5005" t="s">
        <v>18886</v>
      </c>
      <c r="H5005" t="s">
        <v>8078</v>
      </c>
      <c r="I5005" t="s">
        <v>8982</v>
      </c>
      <c r="J5005" t="s">
        <v>8451</v>
      </c>
    </row>
    <row r="5006" spans="1:10" x14ac:dyDescent="0.25">
      <c r="A5006" t="s">
        <v>18888</v>
      </c>
      <c r="B5006">
        <v>5.032</v>
      </c>
      <c r="C5006" t="s">
        <v>18889</v>
      </c>
      <c r="D5006" t="s">
        <v>875</v>
      </c>
      <c r="E5006" t="s">
        <v>18890</v>
      </c>
      <c r="F5006" t="s">
        <v>7672</v>
      </c>
      <c r="G5006" t="s">
        <v>18891</v>
      </c>
      <c r="H5006" t="s">
        <v>7674</v>
      </c>
      <c r="I5006" t="s">
        <v>18892</v>
      </c>
      <c r="J5006" t="s">
        <v>16039</v>
      </c>
    </row>
    <row r="5007" spans="1:10" x14ac:dyDescent="0.25">
      <c r="A5007" t="s">
        <v>18893</v>
      </c>
      <c r="B5007">
        <v>5.032</v>
      </c>
      <c r="C5007" t="s">
        <v>18894</v>
      </c>
      <c r="D5007" t="s">
        <v>60</v>
      </c>
      <c r="E5007" t="s">
        <v>18890</v>
      </c>
      <c r="F5007" t="s">
        <v>7672</v>
      </c>
      <c r="G5007" t="s">
        <v>18891</v>
      </c>
      <c r="H5007" t="s">
        <v>7674</v>
      </c>
      <c r="I5007" t="s">
        <v>18895</v>
      </c>
      <c r="J5007" t="s">
        <v>16039</v>
      </c>
    </row>
    <row r="5008" spans="1:10" x14ac:dyDescent="0.25">
      <c r="A5008" t="s">
        <v>18896</v>
      </c>
      <c r="B5008">
        <v>5.032</v>
      </c>
      <c r="C5008" t="s">
        <v>18897</v>
      </c>
      <c r="D5008" t="s">
        <v>1097</v>
      </c>
      <c r="E5008" t="s">
        <v>18890</v>
      </c>
      <c r="F5008" t="s">
        <v>7672</v>
      </c>
      <c r="G5008" t="s">
        <v>18891</v>
      </c>
      <c r="H5008" t="s">
        <v>7674</v>
      </c>
      <c r="I5008" t="s">
        <v>18898</v>
      </c>
      <c r="J5008" t="s">
        <v>16039</v>
      </c>
    </row>
    <row r="5009" spans="1:10" x14ac:dyDescent="0.25">
      <c r="A5009" t="s">
        <v>18899</v>
      </c>
      <c r="B5009">
        <v>5.032</v>
      </c>
      <c r="C5009" t="s">
        <v>18900</v>
      </c>
      <c r="D5009" t="s">
        <v>250</v>
      </c>
      <c r="E5009" t="s">
        <v>18890</v>
      </c>
      <c r="F5009" t="s">
        <v>7672</v>
      </c>
      <c r="G5009" t="s">
        <v>18891</v>
      </c>
      <c r="H5009" t="s">
        <v>7674</v>
      </c>
      <c r="I5009" t="s">
        <v>18901</v>
      </c>
      <c r="J5009" t="s">
        <v>16039</v>
      </c>
    </row>
    <row r="5010" spans="1:10" x14ac:dyDescent="0.25">
      <c r="A5010" t="s">
        <v>18902</v>
      </c>
      <c r="B5010">
        <v>5.032</v>
      </c>
      <c r="C5010" t="s">
        <v>18903</v>
      </c>
      <c r="D5010" t="s">
        <v>18904</v>
      </c>
      <c r="E5010" t="s">
        <v>18890</v>
      </c>
      <c r="F5010" t="s">
        <v>7672</v>
      </c>
      <c r="G5010" t="s">
        <v>18891</v>
      </c>
      <c r="H5010" t="s">
        <v>7674</v>
      </c>
      <c r="I5010" t="s">
        <v>18892</v>
      </c>
      <c r="J5010" t="s">
        <v>16064</v>
      </c>
    </row>
    <row r="5011" spans="1:10" x14ac:dyDescent="0.25">
      <c r="A5011" t="s">
        <v>18905</v>
      </c>
      <c r="B5011">
        <v>5.032</v>
      </c>
      <c r="C5011" t="s">
        <v>18906</v>
      </c>
      <c r="D5011" t="s">
        <v>321</v>
      </c>
      <c r="E5011" t="s">
        <v>18890</v>
      </c>
      <c r="F5011" t="s">
        <v>7672</v>
      </c>
      <c r="G5011" t="s">
        <v>18891</v>
      </c>
      <c r="H5011" t="s">
        <v>7674</v>
      </c>
      <c r="I5011" t="s">
        <v>18901</v>
      </c>
      <c r="J5011" t="s">
        <v>16064</v>
      </c>
    </row>
    <row r="5012" spans="1:10" x14ac:dyDescent="0.25">
      <c r="A5012" t="s">
        <v>18907</v>
      </c>
      <c r="B5012">
        <v>5.032</v>
      </c>
      <c r="C5012" t="s">
        <v>18908</v>
      </c>
      <c r="D5012" t="s">
        <v>1965</v>
      </c>
      <c r="E5012" t="s">
        <v>18890</v>
      </c>
      <c r="F5012" t="s">
        <v>7672</v>
      </c>
      <c r="G5012" t="s">
        <v>18891</v>
      </c>
      <c r="H5012" t="s">
        <v>7674</v>
      </c>
      <c r="I5012" t="s">
        <v>18909</v>
      </c>
      <c r="J5012" t="s">
        <v>16064</v>
      </c>
    </row>
    <row r="5013" spans="1:10" x14ac:dyDescent="0.25">
      <c r="A5013" t="s">
        <v>18910</v>
      </c>
      <c r="B5013">
        <v>5.032</v>
      </c>
      <c r="C5013" t="s">
        <v>18911</v>
      </c>
      <c r="D5013" t="s">
        <v>234</v>
      </c>
      <c r="E5013" t="s">
        <v>18890</v>
      </c>
      <c r="F5013" t="s">
        <v>7672</v>
      </c>
      <c r="G5013" t="s">
        <v>18891</v>
      </c>
      <c r="H5013" t="s">
        <v>7674</v>
      </c>
      <c r="I5013" t="s">
        <v>18895</v>
      </c>
      <c r="J5013" t="s">
        <v>16064</v>
      </c>
    </row>
    <row r="5014" spans="1:10" x14ac:dyDescent="0.25">
      <c r="A5014" t="s">
        <v>18912</v>
      </c>
      <c r="B5014">
        <v>5.032</v>
      </c>
      <c r="C5014" t="s">
        <v>18913</v>
      </c>
      <c r="D5014" t="s">
        <v>933</v>
      </c>
      <c r="E5014" t="s">
        <v>18890</v>
      </c>
      <c r="F5014" t="s">
        <v>7672</v>
      </c>
      <c r="G5014" t="s">
        <v>18891</v>
      </c>
      <c r="H5014" t="s">
        <v>7674</v>
      </c>
      <c r="I5014" t="s">
        <v>18914</v>
      </c>
      <c r="J5014" t="s">
        <v>16064</v>
      </c>
    </row>
    <row r="5015" spans="1:10" x14ac:dyDescent="0.25">
      <c r="A5015" t="s">
        <v>18915</v>
      </c>
      <c r="B5015">
        <v>5.032</v>
      </c>
      <c r="C5015" t="s">
        <v>18916</v>
      </c>
      <c r="D5015" t="s">
        <v>725</v>
      </c>
      <c r="E5015" t="s">
        <v>18890</v>
      </c>
      <c r="F5015" t="s">
        <v>7672</v>
      </c>
      <c r="G5015" t="s">
        <v>18891</v>
      </c>
      <c r="H5015" t="s">
        <v>7674</v>
      </c>
      <c r="I5015" t="s">
        <v>18898</v>
      </c>
      <c r="J5015" t="s">
        <v>16064</v>
      </c>
    </row>
    <row r="5016" spans="1:10" x14ac:dyDescent="0.25">
      <c r="A5016" t="s">
        <v>18917</v>
      </c>
      <c r="B5016">
        <v>5.032</v>
      </c>
      <c r="C5016" t="s">
        <v>18918</v>
      </c>
      <c r="D5016" t="s">
        <v>2652</v>
      </c>
      <c r="E5016" t="s">
        <v>18890</v>
      </c>
      <c r="F5016" t="s">
        <v>7672</v>
      </c>
      <c r="G5016" t="s">
        <v>18891</v>
      </c>
      <c r="H5016" t="s">
        <v>7674</v>
      </c>
      <c r="I5016" t="s">
        <v>18909</v>
      </c>
      <c r="J5016" t="s">
        <v>16089</v>
      </c>
    </row>
    <row r="5017" spans="1:10" x14ac:dyDescent="0.25">
      <c r="A5017" t="s">
        <v>18919</v>
      </c>
      <c r="B5017">
        <v>5.032</v>
      </c>
      <c r="C5017" t="s">
        <v>18920</v>
      </c>
      <c r="D5017" t="s">
        <v>10436</v>
      </c>
      <c r="E5017" t="s">
        <v>18890</v>
      </c>
      <c r="F5017" t="s">
        <v>7672</v>
      </c>
      <c r="G5017" t="s">
        <v>18891</v>
      </c>
      <c r="H5017" t="s">
        <v>7674</v>
      </c>
      <c r="I5017" t="s">
        <v>18892</v>
      </c>
      <c r="J5017" t="s">
        <v>16089</v>
      </c>
    </row>
    <row r="5018" spans="1:10" x14ac:dyDescent="0.25">
      <c r="A5018" t="s">
        <v>18921</v>
      </c>
      <c r="B5018">
        <v>5.032</v>
      </c>
      <c r="C5018" t="s">
        <v>18922</v>
      </c>
      <c r="D5018" t="s">
        <v>2783</v>
      </c>
      <c r="E5018" t="s">
        <v>18890</v>
      </c>
      <c r="F5018" t="s">
        <v>7672</v>
      </c>
      <c r="G5018" t="s">
        <v>18891</v>
      </c>
      <c r="H5018" t="s">
        <v>7674</v>
      </c>
      <c r="I5018" t="s">
        <v>18901</v>
      </c>
      <c r="J5018" t="s">
        <v>16089</v>
      </c>
    </row>
    <row r="5019" spans="1:10" x14ac:dyDescent="0.25">
      <c r="A5019" t="s">
        <v>18923</v>
      </c>
      <c r="B5019">
        <v>5.032</v>
      </c>
      <c r="C5019" t="s">
        <v>18924</v>
      </c>
      <c r="D5019" t="s">
        <v>74</v>
      </c>
      <c r="E5019" t="s">
        <v>18890</v>
      </c>
      <c r="F5019" t="s">
        <v>7672</v>
      </c>
      <c r="G5019" t="s">
        <v>18891</v>
      </c>
      <c r="H5019" t="s">
        <v>7674</v>
      </c>
      <c r="I5019" t="s">
        <v>18914</v>
      </c>
      <c r="J5019" t="s">
        <v>16089</v>
      </c>
    </row>
    <row r="5020" spans="1:10" x14ac:dyDescent="0.25">
      <c r="A5020" t="s">
        <v>18925</v>
      </c>
      <c r="B5020">
        <v>5.032</v>
      </c>
      <c r="C5020" t="s">
        <v>18926</v>
      </c>
      <c r="D5020" t="s">
        <v>5119</v>
      </c>
      <c r="E5020" t="s">
        <v>18890</v>
      </c>
      <c r="F5020" t="s">
        <v>7672</v>
      </c>
      <c r="G5020" t="s">
        <v>18891</v>
      </c>
      <c r="H5020" t="s">
        <v>7674</v>
      </c>
      <c r="I5020" t="s">
        <v>18898</v>
      </c>
      <c r="J5020" t="s">
        <v>16089</v>
      </c>
    </row>
    <row r="5021" spans="1:10" x14ac:dyDescent="0.25">
      <c r="A5021" t="s">
        <v>18927</v>
      </c>
      <c r="B5021">
        <v>5.032</v>
      </c>
      <c r="C5021" t="s">
        <v>18928</v>
      </c>
      <c r="D5021" t="s">
        <v>2620</v>
      </c>
      <c r="E5021" t="s">
        <v>18890</v>
      </c>
      <c r="F5021" t="s">
        <v>7672</v>
      </c>
      <c r="G5021" t="s">
        <v>18891</v>
      </c>
      <c r="H5021" t="s">
        <v>7674</v>
      </c>
      <c r="I5021" t="s">
        <v>18895</v>
      </c>
      <c r="J5021" t="s">
        <v>16089</v>
      </c>
    </row>
    <row r="5022" spans="1:10" x14ac:dyDescent="0.25">
      <c r="A5022" t="s">
        <v>18929</v>
      </c>
      <c r="B5022">
        <v>5.032</v>
      </c>
      <c r="C5022" t="s">
        <v>18930</v>
      </c>
      <c r="D5022" t="s">
        <v>3640</v>
      </c>
      <c r="E5022" t="s">
        <v>18890</v>
      </c>
      <c r="F5022" t="s">
        <v>7672</v>
      </c>
      <c r="G5022" t="s">
        <v>18891</v>
      </c>
      <c r="H5022" t="s">
        <v>7674</v>
      </c>
      <c r="I5022" t="s">
        <v>18901</v>
      </c>
      <c r="J5022" t="s">
        <v>16104</v>
      </c>
    </row>
    <row r="5023" spans="1:10" x14ac:dyDescent="0.25">
      <c r="A5023" t="s">
        <v>18931</v>
      </c>
      <c r="B5023">
        <v>5.032</v>
      </c>
      <c r="C5023" t="s">
        <v>18932</v>
      </c>
      <c r="D5023" t="s">
        <v>2797</v>
      </c>
      <c r="E5023" t="s">
        <v>18890</v>
      </c>
      <c r="F5023" t="s">
        <v>7672</v>
      </c>
      <c r="G5023" t="s">
        <v>18891</v>
      </c>
      <c r="H5023" t="s">
        <v>7674</v>
      </c>
      <c r="I5023" t="s">
        <v>18914</v>
      </c>
      <c r="J5023" t="s">
        <v>16104</v>
      </c>
    </row>
    <row r="5024" spans="1:10" x14ac:dyDescent="0.25">
      <c r="A5024" t="s">
        <v>18933</v>
      </c>
      <c r="B5024">
        <v>5.032</v>
      </c>
      <c r="C5024" t="s">
        <v>18934</v>
      </c>
      <c r="D5024" t="s">
        <v>10907</v>
      </c>
      <c r="E5024" t="s">
        <v>18890</v>
      </c>
      <c r="F5024" t="s">
        <v>7672</v>
      </c>
      <c r="G5024" t="s">
        <v>18891</v>
      </c>
      <c r="H5024" t="s">
        <v>7674</v>
      </c>
      <c r="I5024" t="s">
        <v>18892</v>
      </c>
      <c r="J5024" t="s">
        <v>16104</v>
      </c>
    </row>
    <row r="5025" spans="1:10" x14ac:dyDescent="0.25">
      <c r="A5025" t="s">
        <v>18935</v>
      </c>
      <c r="B5025">
        <v>5.032</v>
      </c>
      <c r="C5025" t="s">
        <v>18936</v>
      </c>
      <c r="D5025" t="s">
        <v>3175</v>
      </c>
      <c r="E5025" t="s">
        <v>18890</v>
      </c>
      <c r="F5025" t="s">
        <v>7672</v>
      </c>
      <c r="G5025" t="s">
        <v>18891</v>
      </c>
      <c r="H5025" t="s">
        <v>7674</v>
      </c>
      <c r="I5025" t="s">
        <v>18909</v>
      </c>
      <c r="J5025" t="s">
        <v>16104</v>
      </c>
    </row>
    <row r="5026" spans="1:10" x14ac:dyDescent="0.25">
      <c r="A5026" t="s">
        <v>18937</v>
      </c>
      <c r="B5026">
        <v>5.032</v>
      </c>
      <c r="C5026" t="s">
        <v>18938</v>
      </c>
      <c r="D5026" t="s">
        <v>124</v>
      </c>
      <c r="E5026" t="s">
        <v>18890</v>
      </c>
      <c r="F5026" t="s">
        <v>7672</v>
      </c>
      <c r="G5026" t="s">
        <v>18891</v>
      </c>
      <c r="H5026" t="s">
        <v>7674</v>
      </c>
      <c r="I5026" t="s">
        <v>18939</v>
      </c>
      <c r="J5026" t="s">
        <v>16104</v>
      </c>
    </row>
    <row r="5027" spans="1:10" x14ac:dyDescent="0.25">
      <c r="A5027" t="s">
        <v>18940</v>
      </c>
      <c r="B5027">
        <v>5.032</v>
      </c>
      <c r="C5027" t="s">
        <v>18941</v>
      </c>
      <c r="D5027" t="s">
        <v>9653</v>
      </c>
      <c r="E5027" t="s">
        <v>18890</v>
      </c>
      <c r="F5027" t="s">
        <v>7672</v>
      </c>
      <c r="G5027" t="s">
        <v>18891</v>
      </c>
      <c r="H5027" t="s">
        <v>7674</v>
      </c>
      <c r="I5027" t="s">
        <v>18898</v>
      </c>
      <c r="J5027" t="s">
        <v>16104</v>
      </c>
    </row>
    <row r="5028" spans="1:10" x14ac:dyDescent="0.25">
      <c r="A5028" t="s">
        <v>18942</v>
      </c>
      <c r="B5028">
        <v>5.032</v>
      </c>
      <c r="C5028" t="s">
        <v>18943</v>
      </c>
      <c r="D5028" t="s">
        <v>664</v>
      </c>
      <c r="E5028" t="s">
        <v>18890</v>
      </c>
      <c r="F5028" t="s">
        <v>7672</v>
      </c>
      <c r="G5028" t="s">
        <v>18891</v>
      </c>
      <c r="H5028" t="s">
        <v>7674</v>
      </c>
      <c r="I5028" t="s">
        <v>18895</v>
      </c>
      <c r="J5028" t="s">
        <v>16104</v>
      </c>
    </row>
    <row r="5029" spans="1:10" x14ac:dyDescent="0.25">
      <c r="A5029" t="s">
        <v>18944</v>
      </c>
      <c r="B5029">
        <v>5.032</v>
      </c>
      <c r="C5029" t="s">
        <v>18945</v>
      </c>
      <c r="D5029" t="s">
        <v>8235</v>
      </c>
      <c r="E5029" t="s">
        <v>18890</v>
      </c>
      <c r="F5029" t="s">
        <v>7672</v>
      </c>
      <c r="G5029" t="s">
        <v>18891</v>
      </c>
      <c r="H5029" t="s">
        <v>7674</v>
      </c>
      <c r="I5029" t="s">
        <v>18901</v>
      </c>
      <c r="J5029" t="s">
        <v>16125</v>
      </c>
    </row>
    <row r="5030" spans="1:10" x14ac:dyDescent="0.25">
      <c r="A5030" t="s">
        <v>18946</v>
      </c>
      <c r="B5030">
        <v>5.032</v>
      </c>
      <c r="C5030" t="s">
        <v>18947</v>
      </c>
      <c r="D5030" t="s">
        <v>3850</v>
      </c>
      <c r="E5030" t="s">
        <v>18890</v>
      </c>
      <c r="F5030" t="s">
        <v>7672</v>
      </c>
      <c r="G5030" t="s">
        <v>18891</v>
      </c>
      <c r="H5030" t="s">
        <v>7674</v>
      </c>
      <c r="I5030" t="s">
        <v>18914</v>
      </c>
      <c r="J5030" t="s">
        <v>16125</v>
      </c>
    </row>
    <row r="5031" spans="1:10" x14ac:dyDescent="0.25">
      <c r="A5031" t="s">
        <v>18948</v>
      </c>
      <c r="B5031">
        <v>5.032</v>
      </c>
      <c r="C5031" t="s">
        <v>18949</v>
      </c>
      <c r="D5031" t="s">
        <v>10015</v>
      </c>
      <c r="E5031" t="s">
        <v>18890</v>
      </c>
      <c r="F5031" t="s">
        <v>7672</v>
      </c>
      <c r="G5031" t="s">
        <v>18891</v>
      </c>
      <c r="H5031" t="s">
        <v>7674</v>
      </c>
      <c r="I5031" t="s">
        <v>18892</v>
      </c>
      <c r="J5031" t="s">
        <v>16125</v>
      </c>
    </row>
    <row r="5032" spans="1:10" x14ac:dyDescent="0.25">
      <c r="A5032" t="s">
        <v>18950</v>
      </c>
      <c r="B5032">
        <v>5.032</v>
      </c>
      <c r="C5032" t="s">
        <v>18951</v>
      </c>
      <c r="D5032" t="s">
        <v>649</v>
      </c>
      <c r="E5032" t="s">
        <v>18890</v>
      </c>
      <c r="F5032" t="s">
        <v>7672</v>
      </c>
      <c r="G5032" t="s">
        <v>18891</v>
      </c>
      <c r="H5032" t="s">
        <v>7674</v>
      </c>
      <c r="I5032" t="s">
        <v>18909</v>
      </c>
      <c r="J5032" t="s">
        <v>16125</v>
      </c>
    </row>
    <row r="5033" spans="1:10" x14ac:dyDescent="0.25">
      <c r="A5033" t="s">
        <v>18952</v>
      </c>
      <c r="B5033">
        <v>5.032</v>
      </c>
      <c r="C5033" t="s">
        <v>18953</v>
      </c>
      <c r="D5033" t="s">
        <v>3577</v>
      </c>
      <c r="E5033" t="s">
        <v>18890</v>
      </c>
      <c r="F5033" t="s">
        <v>7672</v>
      </c>
      <c r="G5033" t="s">
        <v>18891</v>
      </c>
      <c r="H5033" t="s">
        <v>7674</v>
      </c>
      <c r="I5033" t="s">
        <v>18939</v>
      </c>
      <c r="J5033" t="s">
        <v>16125</v>
      </c>
    </row>
    <row r="5034" spans="1:10" x14ac:dyDescent="0.25">
      <c r="A5034" t="s">
        <v>18954</v>
      </c>
      <c r="B5034">
        <v>5.032</v>
      </c>
      <c r="C5034" t="s">
        <v>18955</v>
      </c>
      <c r="D5034" t="s">
        <v>8164</v>
      </c>
      <c r="E5034" t="s">
        <v>18890</v>
      </c>
      <c r="F5034" t="s">
        <v>7672</v>
      </c>
      <c r="G5034" t="s">
        <v>18891</v>
      </c>
      <c r="H5034" t="s">
        <v>7674</v>
      </c>
      <c r="I5034" t="s">
        <v>18898</v>
      </c>
      <c r="J5034" t="s">
        <v>16125</v>
      </c>
    </row>
    <row r="5035" spans="1:10" x14ac:dyDescent="0.25">
      <c r="A5035" t="s">
        <v>18956</v>
      </c>
      <c r="B5035">
        <v>5.032</v>
      </c>
      <c r="C5035" t="s">
        <v>18957</v>
      </c>
      <c r="D5035" t="s">
        <v>8618</v>
      </c>
      <c r="E5035" t="s">
        <v>18890</v>
      </c>
      <c r="F5035" t="s">
        <v>7672</v>
      </c>
      <c r="G5035" t="s">
        <v>18891</v>
      </c>
      <c r="H5035" t="s">
        <v>7674</v>
      </c>
      <c r="I5035" t="s">
        <v>18895</v>
      </c>
      <c r="J5035" t="s">
        <v>16125</v>
      </c>
    </row>
    <row r="5036" spans="1:10" x14ac:dyDescent="0.25">
      <c r="A5036" t="s">
        <v>18958</v>
      </c>
      <c r="B5036">
        <v>5.032</v>
      </c>
      <c r="C5036" t="s">
        <v>18959</v>
      </c>
      <c r="D5036" t="s">
        <v>6257</v>
      </c>
      <c r="E5036" t="s">
        <v>18890</v>
      </c>
      <c r="F5036" t="s">
        <v>7672</v>
      </c>
      <c r="G5036" t="s">
        <v>18891</v>
      </c>
      <c r="H5036" t="s">
        <v>7674</v>
      </c>
      <c r="I5036" t="s">
        <v>18895</v>
      </c>
      <c r="J5036" t="s">
        <v>16143</v>
      </c>
    </row>
    <row r="5037" spans="1:10" x14ac:dyDescent="0.25">
      <c r="A5037" t="s">
        <v>18960</v>
      </c>
      <c r="B5037">
        <v>5.032</v>
      </c>
      <c r="C5037" t="s">
        <v>18961</v>
      </c>
      <c r="D5037" t="s">
        <v>5283</v>
      </c>
      <c r="E5037" t="s">
        <v>18890</v>
      </c>
      <c r="F5037" t="s">
        <v>7672</v>
      </c>
      <c r="G5037" t="s">
        <v>18891</v>
      </c>
      <c r="H5037" t="s">
        <v>7674</v>
      </c>
      <c r="I5037" t="s">
        <v>18909</v>
      </c>
      <c r="J5037" t="s">
        <v>16143</v>
      </c>
    </row>
    <row r="5038" spans="1:10" x14ac:dyDescent="0.25">
      <c r="A5038" t="s">
        <v>18962</v>
      </c>
      <c r="B5038">
        <v>5.032</v>
      </c>
      <c r="C5038" t="s">
        <v>18963</v>
      </c>
      <c r="D5038" t="s">
        <v>7850</v>
      </c>
      <c r="E5038" t="s">
        <v>18890</v>
      </c>
      <c r="F5038" t="s">
        <v>7672</v>
      </c>
      <c r="G5038" t="s">
        <v>18891</v>
      </c>
      <c r="H5038" t="s">
        <v>7674</v>
      </c>
      <c r="I5038" t="s">
        <v>18901</v>
      </c>
      <c r="J5038" t="s">
        <v>16143</v>
      </c>
    </row>
    <row r="5039" spans="1:10" x14ac:dyDescent="0.25">
      <c r="A5039" t="s">
        <v>18964</v>
      </c>
      <c r="B5039">
        <v>5.032</v>
      </c>
      <c r="C5039" t="s">
        <v>18965</v>
      </c>
      <c r="D5039" t="s">
        <v>1020</v>
      </c>
      <c r="E5039" t="s">
        <v>18890</v>
      </c>
      <c r="F5039" t="s">
        <v>7672</v>
      </c>
      <c r="G5039" t="s">
        <v>18891</v>
      </c>
      <c r="H5039" t="s">
        <v>7674</v>
      </c>
      <c r="I5039" t="s">
        <v>18892</v>
      </c>
      <c r="J5039" t="s">
        <v>16143</v>
      </c>
    </row>
    <row r="5040" spans="1:10" x14ac:dyDescent="0.25">
      <c r="A5040" t="s">
        <v>18966</v>
      </c>
      <c r="B5040">
        <v>5.032</v>
      </c>
      <c r="C5040" t="s">
        <v>18967</v>
      </c>
      <c r="D5040" t="s">
        <v>2248</v>
      </c>
      <c r="E5040" t="s">
        <v>18890</v>
      </c>
      <c r="F5040" t="s">
        <v>7672</v>
      </c>
      <c r="G5040" t="s">
        <v>18891</v>
      </c>
      <c r="H5040" t="s">
        <v>7674</v>
      </c>
      <c r="I5040" t="s">
        <v>18914</v>
      </c>
      <c r="J5040" t="s">
        <v>16143</v>
      </c>
    </row>
    <row r="5041" spans="1:10" x14ac:dyDescent="0.25">
      <c r="A5041" t="s">
        <v>18968</v>
      </c>
      <c r="B5041">
        <v>5.032</v>
      </c>
      <c r="C5041" t="s">
        <v>18969</v>
      </c>
      <c r="D5041" t="s">
        <v>8759</v>
      </c>
      <c r="E5041" t="s">
        <v>18890</v>
      </c>
      <c r="F5041" t="s">
        <v>7672</v>
      </c>
      <c r="G5041" t="s">
        <v>18891</v>
      </c>
      <c r="H5041" t="s">
        <v>7674</v>
      </c>
      <c r="I5041" t="s">
        <v>18898</v>
      </c>
      <c r="J5041" t="s">
        <v>16143</v>
      </c>
    </row>
    <row r="5042" spans="1:10" x14ac:dyDescent="0.25">
      <c r="A5042" t="s">
        <v>18970</v>
      </c>
      <c r="B5042">
        <v>18</v>
      </c>
      <c r="C5042" t="s">
        <v>18971</v>
      </c>
      <c r="D5042" t="s">
        <v>100</v>
      </c>
      <c r="E5042" t="s">
        <v>18972</v>
      </c>
      <c r="F5042" t="s">
        <v>7672</v>
      </c>
      <c r="G5042" t="s">
        <v>18973</v>
      </c>
      <c r="H5042" t="s">
        <v>8087</v>
      </c>
      <c r="I5042" t="s">
        <v>7955</v>
      </c>
      <c r="J5042" t="s">
        <v>10211</v>
      </c>
    </row>
    <row r="5043" spans="1:10" x14ac:dyDescent="0.25">
      <c r="A5043" t="s">
        <v>18974</v>
      </c>
      <c r="B5043">
        <v>18</v>
      </c>
      <c r="C5043" t="s">
        <v>18975</v>
      </c>
      <c r="D5043" t="s">
        <v>290</v>
      </c>
      <c r="E5043" t="s">
        <v>18972</v>
      </c>
      <c r="F5043" t="s">
        <v>7672</v>
      </c>
      <c r="G5043" t="s">
        <v>18973</v>
      </c>
      <c r="H5043" t="s">
        <v>8087</v>
      </c>
      <c r="I5043" t="s">
        <v>8096</v>
      </c>
      <c r="J5043" t="s">
        <v>18976</v>
      </c>
    </row>
    <row r="5044" spans="1:10" x14ac:dyDescent="0.25">
      <c r="A5044" t="s">
        <v>18977</v>
      </c>
      <c r="B5044">
        <v>18</v>
      </c>
      <c r="C5044" t="s">
        <v>18978</v>
      </c>
      <c r="D5044" t="s">
        <v>95</v>
      </c>
      <c r="E5044" t="s">
        <v>18972</v>
      </c>
      <c r="F5044" t="s">
        <v>7672</v>
      </c>
      <c r="G5044" t="s">
        <v>18973</v>
      </c>
      <c r="H5044" t="s">
        <v>8087</v>
      </c>
      <c r="I5044" t="s">
        <v>61</v>
      </c>
      <c r="J5044" t="s">
        <v>18976</v>
      </c>
    </row>
    <row r="5045" spans="1:10" x14ac:dyDescent="0.25">
      <c r="A5045" t="s">
        <v>18979</v>
      </c>
      <c r="B5045">
        <v>18</v>
      </c>
      <c r="C5045" t="s">
        <v>18980</v>
      </c>
      <c r="D5045" t="s">
        <v>199</v>
      </c>
      <c r="E5045" t="s">
        <v>18972</v>
      </c>
      <c r="F5045" t="s">
        <v>7672</v>
      </c>
      <c r="G5045" t="s">
        <v>18973</v>
      </c>
      <c r="H5045" t="s">
        <v>8087</v>
      </c>
      <c r="I5045" t="s">
        <v>4045</v>
      </c>
      <c r="J5045" t="s">
        <v>18976</v>
      </c>
    </row>
    <row r="5046" spans="1:10" x14ac:dyDescent="0.25">
      <c r="A5046" t="s">
        <v>18981</v>
      </c>
      <c r="B5046">
        <v>18</v>
      </c>
      <c r="C5046" t="s">
        <v>18982</v>
      </c>
      <c r="D5046" t="s">
        <v>835</v>
      </c>
      <c r="E5046" t="s">
        <v>18972</v>
      </c>
      <c r="F5046" t="s">
        <v>7672</v>
      </c>
      <c r="G5046" t="s">
        <v>18973</v>
      </c>
      <c r="H5046" t="s">
        <v>8087</v>
      </c>
      <c r="I5046" t="s">
        <v>7955</v>
      </c>
      <c r="J5046" t="s">
        <v>10251</v>
      </c>
    </row>
    <row r="5047" spans="1:10" x14ac:dyDescent="0.25">
      <c r="A5047" t="s">
        <v>18983</v>
      </c>
      <c r="B5047">
        <v>18</v>
      </c>
      <c r="C5047" t="s">
        <v>18984</v>
      </c>
      <c r="D5047" t="s">
        <v>835</v>
      </c>
      <c r="E5047" t="s">
        <v>18972</v>
      </c>
      <c r="F5047" t="s">
        <v>7672</v>
      </c>
      <c r="G5047" t="s">
        <v>18973</v>
      </c>
      <c r="H5047" t="s">
        <v>8087</v>
      </c>
      <c r="I5047" t="s">
        <v>18985</v>
      </c>
      <c r="J5047" t="s">
        <v>10251</v>
      </c>
    </row>
    <row r="5048" spans="1:10" x14ac:dyDescent="0.25">
      <c r="A5048" t="s">
        <v>18986</v>
      </c>
      <c r="B5048">
        <v>18</v>
      </c>
      <c r="C5048" t="s">
        <v>18987</v>
      </c>
      <c r="D5048" t="s">
        <v>113</v>
      </c>
      <c r="E5048" t="s">
        <v>18972</v>
      </c>
      <c r="F5048" t="s">
        <v>7672</v>
      </c>
      <c r="G5048" t="s">
        <v>18973</v>
      </c>
      <c r="H5048" t="s">
        <v>8087</v>
      </c>
      <c r="I5048" t="s">
        <v>9391</v>
      </c>
      <c r="J5048" t="s">
        <v>10251</v>
      </c>
    </row>
    <row r="5049" spans="1:10" x14ac:dyDescent="0.25">
      <c r="A5049" t="s">
        <v>18988</v>
      </c>
      <c r="B5049">
        <v>18</v>
      </c>
      <c r="C5049" t="s">
        <v>18989</v>
      </c>
      <c r="D5049" t="s">
        <v>164</v>
      </c>
      <c r="E5049" t="s">
        <v>18972</v>
      </c>
      <c r="F5049" t="s">
        <v>7672</v>
      </c>
      <c r="G5049" t="s">
        <v>18973</v>
      </c>
      <c r="H5049" t="s">
        <v>8087</v>
      </c>
      <c r="I5049" t="s">
        <v>18990</v>
      </c>
      <c r="J5049" t="s">
        <v>10251</v>
      </c>
    </row>
    <row r="5050" spans="1:10" x14ac:dyDescent="0.25">
      <c r="A5050" t="s">
        <v>18991</v>
      </c>
      <c r="B5050">
        <v>18</v>
      </c>
      <c r="C5050" t="s">
        <v>18992</v>
      </c>
      <c r="D5050" t="s">
        <v>342</v>
      </c>
      <c r="E5050" t="s">
        <v>18972</v>
      </c>
      <c r="F5050" t="s">
        <v>7672</v>
      </c>
      <c r="G5050" t="s">
        <v>18973</v>
      </c>
      <c r="H5050" t="s">
        <v>8087</v>
      </c>
      <c r="I5050" t="s">
        <v>9391</v>
      </c>
      <c r="J5050" t="s">
        <v>8658</v>
      </c>
    </row>
    <row r="5051" spans="1:10" x14ac:dyDescent="0.25">
      <c r="A5051" t="s">
        <v>18993</v>
      </c>
      <c r="B5051">
        <v>18</v>
      </c>
      <c r="C5051" t="s">
        <v>18994</v>
      </c>
      <c r="D5051" t="s">
        <v>106</v>
      </c>
      <c r="E5051" t="s">
        <v>18972</v>
      </c>
      <c r="F5051" t="s">
        <v>7672</v>
      </c>
      <c r="G5051" t="s">
        <v>18973</v>
      </c>
      <c r="H5051" t="s">
        <v>8087</v>
      </c>
      <c r="I5051" t="s">
        <v>9391</v>
      </c>
      <c r="J5051" t="s">
        <v>10283</v>
      </c>
    </row>
    <row r="5052" spans="1:10" x14ac:dyDescent="0.25">
      <c r="A5052" t="s">
        <v>4890</v>
      </c>
      <c r="B5052">
        <v>13</v>
      </c>
      <c r="C5052" t="s">
        <v>4892</v>
      </c>
      <c r="D5052" t="s">
        <v>576</v>
      </c>
      <c r="E5052" t="s">
        <v>4893</v>
      </c>
      <c r="F5052" t="s">
        <v>7672</v>
      </c>
      <c r="G5052" t="s">
        <v>18995</v>
      </c>
      <c r="H5052" t="s">
        <v>16164</v>
      </c>
      <c r="I5052" t="s">
        <v>4896</v>
      </c>
      <c r="J5052" t="s">
        <v>7675</v>
      </c>
    </row>
    <row r="5053" spans="1:10" x14ac:dyDescent="0.25">
      <c r="A5053" t="s">
        <v>4897</v>
      </c>
      <c r="B5053">
        <v>13</v>
      </c>
      <c r="C5053" t="s">
        <v>4899</v>
      </c>
      <c r="D5053" t="s">
        <v>131</v>
      </c>
      <c r="E5053" t="s">
        <v>4893</v>
      </c>
      <c r="F5053" t="s">
        <v>7672</v>
      </c>
      <c r="G5053" t="s">
        <v>18995</v>
      </c>
      <c r="H5053" t="s">
        <v>16164</v>
      </c>
      <c r="I5053" t="s">
        <v>4701</v>
      </c>
      <c r="J5053" t="s">
        <v>7675</v>
      </c>
    </row>
    <row r="5054" spans="1:10" x14ac:dyDescent="0.25">
      <c r="A5054" t="s">
        <v>4902</v>
      </c>
      <c r="B5054">
        <v>13</v>
      </c>
      <c r="C5054" t="s">
        <v>4904</v>
      </c>
      <c r="D5054" t="s">
        <v>53</v>
      </c>
      <c r="E5054" t="s">
        <v>4893</v>
      </c>
      <c r="F5054" t="s">
        <v>7672</v>
      </c>
      <c r="G5054" t="s">
        <v>18995</v>
      </c>
      <c r="H5054" t="s">
        <v>16164</v>
      </c>
      <c r="I5054" t="s">
        <v>4907</v>
      </c>
      <c r="J5054" t="s">
        <v>7675</v>
      </c>
    </row>
    <row r="5055" spans="1:10" x14ac:dyDescent="0.25">
      <c r="A5055" t="s">
        <v>4908</v>
      </c>
      <c r="B5055">
        <v>13</v>
      </c>
      <c r="C5055" t="s">
        <v>4910</v>
      </c>
      <c r="D5055" t="s">
        <v>282</v>
      </c>
      <c r="E5055" t="s">
        <v>4893</v>
      </c>
      <c r="F5055" t="s">
        <v>7672</v>
      </c>
      <c r="G5055" t="s">
        <v>18995</v>
      </c>
      <c r="H5055" t="s">
        <v>16164</v>
      </c>
      <c r="I5055" t="s">
        <v>4913</v>
      </c>
      <c r="J5055" t="s">
        <v>7675</v>
      </c>
    </row>
    <row r="5056" spans="1:10" x14ac:dyDescent="0.25">
      <c r="A5056" t="s">
        <v>4914</v>
      </c>
      <c r="B5056">
        <v>13</v>
      </c>
      <c r="C5056" t="s">
        <v>4916</v>
      </c>
      <c r="D5056" t="s">
        <v>576</v>
      </c>
      <c r="E5056" t="s">
        <v>4893</v>
      </c>
      <c r="F5056" t="s">
        <v>7672</v>
      </c>
      <c r="G5056" t="s">
        <v>18995</v>
      </c>
      <c r="H5056" t="s">
        <v>16164</v>
      </c>
      <c r="I5056" t="s">
        <v>4919</v>
      </c>
      <c r="J5056" t="s">
        <v>7675</v>
      </c>
    </row>
    <row r="5057" spans="1:10" x14ac:dyDescent="0.25">
      <c r="A5057" t="s">
        <v>18996</v>
      </c>
      <c r="B5057">
        <v>13</v>
      </c>
      <c r="C5057" t="s">
        <v>18997</v>
      </c>
      <c r="D5057" t="s">
        <v>1822</v>
      </c>
      <c r="E5057" t="s">
        <v>4893</v>
      </c>
      <c r="F5057" t="s">
        <v>7672</v>
      </c>
      <c r="G5057" t="s">
        <v>18995</v>
      </c>
      <c r="H5057" t="s">
        <v>16164</v>
      </c>
      <c r="I5057" t="s">
        <v>1675</v>
      </c>
      <c r="J5057" t="s">
        <v>7686</v>
      </c>
    </row>
    <row r="5058" spans="1:10" x14ac:dyDescent="0.25">
      <c r="A5058" t="s">
        <v>18998</v>
      </c>
      <c r="B5058">
        <v>13</v>
      </c>
      <c r="C5058" t="s">
        <v>18999</v>
      </c>
      <c r="D5058" t="s">
        <v>3153</v>
      </c>
      <c r="E5058" t="s">
        <v>4893</v>
      </c>
      <c r="F5058" t="s">
        <v>7672</v>
      </c>
      <c r="G5058" t="s">
        <v>18995</v>
      </c>
      <c r="H5058" t="s">
        <v>16164</v>
      </c>
      <c r="I5058" t="s">
        <v>19000</v>
      </c>
      <c r="J5058" t="s">
        <v>7686</v>
      </c>
    </row>
    <row r="5059" spans="1:10" x14ac:dyDescent="0.25">
      <c r="A5059" t="s">
        <v>4920</v>
      </c>
      <c r="B5059">
        <v>13</v>
      </c>
      <c r="C5059" t="s">
        <v>4922</v>
      </c>
      <c r="D5059" t="s">
        <v>4924</v>
      </c>
      <c r="E5059" t="s">
        <v>4893</v>
      </c>
      <c r="F5059" t="s">
        <v>7672</v>
      </c>
      <c r="G5059" t="s">
        <v>18995</v>
      </c>
      <c r="H5059" t="s">
        <v>16164</v>
      </c>
      <c r="I5059" t="s">
        <v>4896</v>
      </c>
      <c r="J5059" t="s">
        <v>7686</v>
      </c>
    </row>
    <row r="5060" spans="1:10" x14ac:dyDescent="0.25">
      <c r="A5060" t="s">
        <v>4926</v>
      </c>
      <c r="B5060">
        <v>13</v>
      </c>
      <c r="C5060" t="s">
        <v>4928</v>
      </c>
      <c r="D5060" t="s">
        <v>1512</v>
      </c>
      <c r="E5060" t="s">
        <v>4893</v>
      </c>
      <c r="F5060" t="s">
        <v>7672</v>
      </c>
      <c r="G5060" t="s">
        <v>18995</v>
      </c>
      <c r="H5060" t="s">
        <v>16164</v>
      </c>
      <c r="I5060" t="s">
        <v>4913</v>
      </c>
      <c r="J5060" t="s">
        <v>7686</v>
      </c>
    </row>
    <row r="5061" spans="1:10" x14ac:dyDescent="0.25">
      <c r="A5061" t="s">
        <v>19001</v>
      </c>
      <c r="B5061">
        <v>13</v>
      </c>
      <c r="C5061" t="s">
        <v>19002</v>
      </c>
      <c r="D5061" t="s">
        <v>959</v>
      </c>
      <c r="E5061" t="s">
        <v>4893</v>
      </c>
      <c r="F5061" t="s">
        <v>7672</v>
      </c>
      <c r="G5061" t="s">
        <v>18995</v>
      </c>
      <c r="H5061" t="s">
        <v>16164</v>
      </c>
      <c r="I5061" t="s">
        <v>19003</v>
      </c>
      <c r="J5061" t="s">
        <v>7686</v>
      </c>
    </row>
    <row r="5062" spans="1:10" x14ac:dyDescent="0.25">
      <c r="A5062" t="s">
        <v>4931</v>
      </c>
      <c r="B5062">
        <v>13</v>
      </c>
      <c r="C5062" t="s">
        <v>4933</v>
      </c>
      <c r="D5062" t="s">
        <v>705</v>
      </c>
      <c r="E5062" t="s">
        <v>4893</v>
      </c>
      <c r="F5062" t="s">
        <v>7672</v>
      </c>
      <c r="G5062" t="s">
        <v>18995</v>
      </c>
      <c r="H5062" t="s">
        <v>16164</v>
      </c>
      <c r="I5062" t="s">
        <v>4907</v>
      </c>
      <c r="J5062" t="s">
        <v>7686</v>
      </c>
    </row>
    <row r="5063" spans="1:10" x14ac:dyDescent="0.25">
      <c r="A5063" t="s">
        <v>4936</v>
      </c>
      <c r="B5063">
        <v>13</v>
      </c>
      <c r="C5063" t="s">
        <v>4938</v>
      </c>
      <c r="D5063" t="s">
        <v>436</v>
      </c>
      <c r="E5063" t="s">
        <v>4893</v>
      </c>
      <c r="F5063" t="s">
        <v>7672</v>
      </c>
      <c r="G5063" t="s">
        <v>18995</v>
      </c>
      <c r="H5063" t="s">
        <v>16164</v>
      </c>
      <c r="I5063" t="s">
        <v>4919</v>
      </c>
      <c r="J5063" t="s">
        <v>7686</v>
      </c>
    </row>
    <row r="5064" spans="1:10" x14ac:dyDescent="0.25">
      <c r="A5064" t="s">
        <v>19004</v>
      </c>
      <c r="B5064">
        <v>13</v>
      </c>
      <c r="C5064" t="s">
        <v>19005</v>
      </c>
      <c r="D5064" t="s">
        <v>277</v>
      </c>
      <c r="E5064" t="s">
        <v>4893</v>
      </c>
      <c r="F5064" t="s">
        <v>7672</v>
      </c>
      <c r="G5064" t="s">
        <v>18995</v>
      </c>
      <c r="H5064" t="s">
        <v>16164</v>
      </c>
      <c r="I5064" t="s">
        <v>19000</v>
      </c>
      <c r="J5064" t="s">
        <v>7703</v>
      </c>
    </row>
    <row r="5065" spans="1:10" x14ac:dyDescent="0.25">
      <c r="A5065" t="s">
        <v>4941</v>
      </c>
      <c r="B5065">
        <v>13</v>
      </c>
      <c r="C5065" t="s">
        <v>4943</v>
      </c>
      <c r="D5065" t="s">
        <v>113</v>
      </c>
      <c r="E5065" t="s">
        <v>4893</v>
      </c>
      <c r="F5065" t="s">
        <v>7672</v>
      </c>
      <c r="G5065" t="s">
        <v>18995</v>
      </c>
      <c r="H5065" t="s">
        <v>16164</v>
      </c>
      <c r="I5065" t="s">
        <v>4913</v>
      </c>
      <c r="J5065" t="s">
        <v>7703</v>
      </c>
    </row>
    <row r="5066" spans="1:10" x14ac:dyDescent="0.25">
      <c r="A5066" t="s">
        <v>4946</v>
      </c>
      <c r="B5066">
        <v>13</v>
      </c>
      <c r="C5066" t="s">
        <v>4948</v>
      </c>
      <c r="D5066" t="s">
        <v>385</v>
      </c>
      <c r="E5066" t="s">
        <v>4893</v>
      </c>
      <c r="F5066" t="s">
        <v>7672</v>
      </c>
      <c r="G5066" t="s">
        <v>18995</v>
      </c>
      <c r="H5066" t="s">
        <v>16164</v>
      </c>
      <c r="I5066" t="s">
        <v>4913</v>
      </c>
      <c r="J5066" t="s">
        <v>7713</v>
      </c>
    </row>
    <row r="5067" spans="1:10" x14ac:dyDescent="0.25">
      <c r="A5067" t="s">
        <v>19006</v>
      </c>
      <c r="B5067">
        <v>13</v>
      </c>
      <c r="C5067" t="s">
        <v>19007</v>
      </c>
      <c r="D5067" t="s">
        <v>282</v>
      </c>
      <c r="E5067" t="s">
        <v>4893</v>
      </c>
      <c r="F5067" t="s">
        <v>7672</v>
      </c>
      <c r="G5067" t="s">
        <v>18995</v>
      </c>
      <c r="H5067" t="s">
        <v>16164</v>
      </c>
      <c r="I5067" t="s">
        <v>1675</v>
      </c>
      <c r="J5067" t="s">
        <v>7719</v>
      </c>
    </row>
    <row r="5068" spans="1:10" x14ac:dyDescent="0.25">
      <c r="A5068" t="s">
        <v>19008</v>
      </c>
      <c r="B5068">
        <v>13</v>
      </c>
      <c r="C5068" t="s">
        <v>19009</v>
      </c>
      <c r="D5068" t="s">
        <v>234</v>
      </c>
      <c r="E5068" t="s">
        <v>4893</v>
      </c>
      <c r="F5068" t="s">
        <v>7672</v>
      </c>
      <c r="G5068" t="s">
        <v>18995</v>
      </c>
      <c r="H5068" t="s">
        <v>16164</v>
      </c>
      <c r="I5068" t="s">
        <v>19000</v>
      </c>
      <c r="J5068" t="s">
        <v>7719</v>
      </c>
    </row>
    <row r="5069" spans="1:10" x14ac:dyDescent="0.25">
      <c r="A5069" t="s">
        <v>4951</v>
      </c>
      <c r="B5069">
        <v>13</v>
      </c>
      <c r="C5069" t="s">
        <v>4953</v>
      </c>
      <c r="D5069" t="s">
        <v>2022</v>
      </c>
      <c r="E5069" t="s">
        <v>4893</v>
      </c>
      <c r="F5069" t="s">
        <v>7672</v>
      </c>
      <c r="G5069" t="s">
        <v>18995</v>
      </c>
      <c r="H5069" t="s">
        <v>16164</v>
      </c>
      <c r="I5069" t="s">
        <v>4913</v>
      </c>
      <c r="J5069" t="s">
        <v>7719</v>
      </c>
    </row>
    <row r="5070" spans="1:10" x14ac:dyDescent="0.25">
      <c r="A5070" t="s">
        <v>19010</v>
      </c>
      <c r="B5070">
        <v>13</v>
      </c>
      <c r="C5070" t="s">
        <v>19011</v>
      </c>
      <c r="D5070" t="s">
        <v>255</v>
      </c>
      <c r="E5070" t="s">
        <v>4893</v>
      </c>
      <c r="F5070" t="s">
        <v>7672</v>
      </c>
      <c r="G5070" t="s">
        <v>18995</v>
      </c>
      <c r="H5070" t="s">
        <v>16164</v>
      </c>
      <c r="I5070" t="s">
        <v>19003</v>
      </c>
      <c r="J5070" t="s">
        <v>7719</v>
      </c>
    </row>
    <row r="5071" spans="1:10" x14ac:dyDescent="0.25">
      <c r="A5071" t="s">
        <v>4956</v>
      </c>
      <c r="B5071">
        <v>13</v>
      </c>
      <c r="C5071" t="s">
        <v>4958</v>
      </c>
      <c r="D5071" t="s">
        <v>849</v>
      </c>
      <c r="E5071" t="s">
        <v>4893</v>
      </c>
      <c r="F5071" t="s">
        <v>7672</v>
      </c>
      <c r="G5071" t="s">
        <v>18995</v>
      </c>
      <c r="H5071" t="s">
        <v>16164</v>
      </c>
      <c r="I5071" t="s">
        <v>4907</v>
      </c>
      <c r="J5071" t="s">
        <v>7719</v>
      </c>
    </row>
    <row r="5072" spans="1:10" x14ac:dyDescent="0.25">
      <c r="A5072" t="s">
        <v>4961</v>
      </c>
      <c r="B5072">
        <v>13</v>
      </c>
      <c r="C5072" t="s">
        <v>4963</v>
      </c>
      <c r="D5072" t="s">
        <v>88</v>
      </c>
      <c r="E5072" t="s">
        <v>4893</v>
      </c>
      <c r="F5072" t="s">
        <v>7672</v>
      </c>
      <c r="G5072" t="s">
        <v>18995</v>
      </c>
      <c r="H5072" t="s">
        <v>16164</v>
      </c>
      <c r="I5072" t="s">
        <v>4919</v>
      </c>
      <c r="J5072" t="s">
        <v>7719</v>
      </c>
    </row>
    <row r="5073" spans="1:10" x14ac:dyDescent="0.25">
      <c r="A5073" t="s">
        <v>19012</v>
      </c>
      <c r="B5073">
        <v>4.2</v>
      </c>
      <c r="C5073" t="s">
        <v>19013</v>
      </c>
      <c r="D5073" t="s">
        <v>19014</v>
      </c>
      <c r="E5073" t="s">
        <v>19015</v>
      </c>
      <c r="F5073" t="s">
        <v>7672</v>
      </c>
      <c r="G5073" t="s">
        <v>19016</v>
      </c>
      <c r="H5073" t="s">
        <v>7974</v>
      </c>
      <c r="I5073" t="s">
        <v>76</v>
      </c>
      <c r="J5073" t="s">
        <v>9107</v>
      </c>
    </row>
    <row r="5074" spans="1:10" x14ac:dyDescent="0.25">
      <c r="A5074" t="s">
        <v>19017</v>
      </c>
      <c r="B5074">
        <v>4.2</v>
      </c>
      <c r="C5074" t="s">
        <v>19018</v>
      </c>
      <c r="D5074" t="s">
        <v>10630</v>
      </c>
      <c r="E5074" t="s">
        <v>19015</v>
      </c>
      <c r="F5074" t="s">
        <v>7672</v>
      </c>
      <c r="G5074" t="s">
        <v>19016</v>
      </c>
      <c r="H5074" t="s">
        <v>7974</v>
      </c>
      <c r="I5074" t="s">
        <v>19019</v>
      </c>
      <c r="J5074" t="s">
        <v>9107</v>
      </c>
    </row>
    <row r="5075" spans="1:10" x14ac:dyDescent="0.25">
      <c r="A5075" t="s">
        <v>19020</v>
      </c>
      <c r="B5075">
        <v>4.2</v>
      </c>
      <c r="C5075" t="s">
        <v>19021</v>
      </c>
      <c r="D5075" t="s">
        <v>8246</v>
      </c>
      <c r="E5075" t="s">
        <v>19015</v>
      </c>
      <c r="F5075" t="s">
        <v>7672</v>
      </c>
      <c r="G5075" t="s">
        <v>19016</v>
      </c>
      <c r="H5075" t="s">
        <v>7974</v>
      </c>
      <c r="I5075" t="s">
        <v>11439</v>
      </c>
      <c r="J5075" t="s">
        <v>9107</v>
      </c>
    </row>
    <row r="5076" spans="1:10" x14ac:dyDescent="0.25">
      <c r="A5076" t="s">
        <v>19022</v>
      </c>
      <c r="B5076">
        <v>4.2</v>
      </c>
      <c r="C5076" t="s">
        <v>19023</v>
      </c>
      <c r="D5076" t="s">
        <v>1466</v>
      </c>
      <c r="E5076" t="s">
        <v>19015</v>
      </c>
      <c r="F5076" t="s">
        <v>7672</v>
      </c>
      <c r="G5076" t="s">
        <v>19016</v>
      </c>
      <c r="H5076" t="s">
        <v>7974</v>
      </c>
      <c r="I5076" t="s">
        <v>19024</v>
      </c>
      <c r="J5076" t="s">
        <v>9107</v>
      </c>
    </row>
    <row r="5077" spans="1:10" x14ac:dyDescent="0.25">
      <c r="A5077" t="s">
        <v>19025</v>
      </c>
      <c r="B5077">
        <v>4.2</v>
      </c>
      <c r="C5077" t="s">
        <v>19026</v>
      </c>
      <c r="D5077" t="s">
        <v>14940</v>
      </c>
      <c r="E5077" t="s">
        <v>19015</v>
      </c>
      <c r="F5077" t="s">
        <v>7672</v>
      </c>
      <c r="G5077" t="s">
        <v>19016</v>
      </c>
      <c r="H5077" t="s">
        <v>7974</v>
      </c>
      <c r="I5077" t="s">
        <v>19027</v>
      </c>
      <c r="J5077" t="s">
        <v>9107</v>
      </c>
    </row>
    <row r="5078" spans="1:10" x14ac:dyDescent="0.25">
      <c r="A5078" t="s">
        <v>19028</v>
      </c>
      <c r="B5078">
        <v>4.2</v>
      </c>
      <c r="C5078" t="s">
        <v>19029</v>
      </c>
      <c r="D5078" t="s">
        <v>10771</v>
      </c>
      <c r="E5078" t="s">
        <v>19015</v>
      </c>
      <c r="F5078" t="s">
        <v>7672</v>
      </c>
      <c r="G5078" t="s">
        <v>19016</v>
      </c>
      <c r="H5078" t="s">
        <v>7974</v>
      </c>
      <c r="I5078" t="s">
        <v>76</v>
      </c>
      <c r="J5078" t="s">
        <v>9110</v>
      </c>
    </row>
    <row r="5079" spans="1:10" x14ac:dyDescent="0.25">
      <c r="A5079" t="s">
        <v>19030</v>
      </c>
      <c r="B5079">
        <v>4.2</v>
      </c>
      <c r="C5079" t="s">
        <v>19031</v>
      </c>
      <c r="D5079" t="s">
        <v>3999</v>
      </c>
      <c r="E5079" t="s">
        <v>19015</v>
      </c>
      <c r="F5079" t="s">
        <v>7672</v>
      </c>
      <c r="G5079" t="s">
        <v>19016</v>
      </c>
      <c r="H5079" t="s">
        <v>7974</v>
      </c>
      <c r="I5079" t="s">
        <v>19024</v>
      </c>
      <c r="J5079" t="s">
        <v>9110</v>
      </c>
    </row>
    <row r="5080" spans="1:10" x14ac:dyDescent="0.25">
      <c r="A5080" t="s">
        <v>19032</v>
      </c>
      <c r="B5080">
        <v>4.2</v>
      </c>
      <c r="C5080" t="s">
        <v>19033</v>
      </c>
      <c r="D5080" t="s">
        <v>516</v>
      </c>
      <c r="E5080" t="s">
        <v>19015</v>
      </c>
      <c r="F5080" t="s">
        <v>7672</v>
      </c>
      <c r="G5080" t="s">
        <v>19016</v>
      </c>
      <c r="H5080" t="s">
        <v>7974</v>
      </c>
      <c r="I5080" t="s">
        <v>19019</v>
      </c>
      <c r="J5080" t="s">
        <v>9110</v>
      </c>
    </row>
    <row r="5081" spans="1:10" x14ac:dyDescent="0.25">
      <c r="A5081" t="s">
        <v>19034</v>
      </c>
      <c r="B5081">
        <v>4.2</v>
      </c>
      <c r="C5081" t="s">
        <v>19035</v>
      </c>
      <c r="D5081" t="s">
        <v>2804</v>
      </c>
      <c r="E5081" t="s">
        <v>19015</v>
      </c>
      <c r="F5081" t="s">
        <v>7672</v>
      </c>
      <c r="G5081" t="s">
        <v>19016</v>
      </c>
      <c r="H5081" t="s">
        <v>7974</v>
      </c>
      <c r="I5081" t="s">
        <v>19027</v>
      </c>
      <c r="J5081" t="s">
        <v>9110</v>
      </c>
    </row>
    <row r="5082" spans="1:10" x14ac:dyDescent="0.25">
      <c r="A5082" t="s">
        <v>19036</v>
      </c>
      <c r="B5082">
        <v>13</v>
      </c>
      <c r="C5082" t="s">
        <v>19037</v>
      </c>
      <c r="D5082" t="s">
        <v>12896</v>
      </c>
      <c r="E5082" t="s">
        <v>19038</v>
      </c>
      <c r="F5082" t="s">
        <v>7672</v>
      </c>
      <c r="G5082" t="s">
        <v>19039</v>
      </c>
      <c r="H5082" t="s">
        <v>8027</v>
      </c>
      <c r="I5082" t="s">
        <v>1675</v>
      </c>
      <c r="J5082" t="s">
        <v>8427</v>
      </c>
    </row>
    <row r="5083" spans="1:10" x14ac:dyDescent="0.25">
      <c r="A5083" t="s">
        <v>19040</v>
      </c>
      <c r="B5083">
        <v>13</v>
      </c>
      <c r="C5083" t="s">
        <v>19041</v>
      </c>
      <c r="D5083" t="s">
        <v>19042</v>
      </c>
      <c r="E5083" t="s">
        <v>19038</v>
      </c>
      <c r="F5083" t="s">
        <v>7672</v>
      </c>
      <c r="G5083" t="s">
        <v>19039</v>
      </c>
      <c r="H5083" t="s">
        <v>8027</v>
      </c>
      <c r="I5083" t="s">
        <v>1675</v>
      </c>
      <c r="J5083" t="s">
        <v>8439</v>
      </c>
    </row>
    <row r="5084" spans="1:10" x14ac:dyDescent="0.25">
      <c r="A5084" t="s">
        <v>19043</v>
      </c>
      <c r="B5084">
        <v>13</v>
      </c>
      <c r="C5084" t="s">
        <v>19044</v>
      </c>
      <c r="D5084" t="s">
        <v>19045</v>
      </c>
      <c r="E5084" t="s">
        <v>19038</v>
      </c>
      <c r="F5084" t="s">
        <v>7672</v>
      </c>
      <c r="G5084" t="s">
        <v>19039</v>
      </c>
      <c r="H5084" t="s">
        <v>8027</v>
      </c>
      <c r="I5084" t="s">
        <v>1675</v>
      </c>
      <c r="J5084" t="s">
        <v>8451</v>
      </c>
    </row>
    <row r="5085" spans="1:10" x14ac:dyDescent="0.25">
      <c r="A5085" t="s">
        <v>19046</v>
      </c>
      <c r="B5085">
        <v>13</v>
      </c>
      <c r="C5085" t="s">
        <v>19047</v>
      </c>
      <c r="D5085" t="s">
        <v>4799</v>
      </c>
      <c r="E5085" t="s">
        <v>19038</v>
      </c>
      <c r="F5085" t="s">
        <v>7672</v>
      </c>
      <c r="G5085" t="s">
        <v>19039</v>
      </c>
      <c r="H5085" t="s">
        <v>8027</v>
      </c>
      <c r="I5085" t="s">
        <v>1675</v>
      </c>
      <c r="J5085" t="s">
        <v>8462</v>
      </c>
    </row>
    <row r="5086" spans="1:10" x14ac:dyDescent="0.25">
      <c r="A5086" t="s">
        <v>4966</v>
      </c>
      <c r="B5086">
        <v>5.6000000000000014</v>
      </c>
      <c r="C5086" t="s">
        <v>4968</v>
      </c>
      <c r="D5086" t="s">
        <v>4971</v>
      </c>
      <c r="E5086" t="s">
        <v>4969</v>
      </c>
      <c r="F5086" t="s">
        <v>7672</v>
      </c>
      <c r="G5086" t="s">
        <v>19048</v>
      </c>
      <c r="H5086" t="s">
        <v>7947</v>
      </c>
      <c r="I5086" t="s">
        <v>19049</v>
      </c>
      <c r="J5086" t="s">
        <v>9694</v>
      </c>
    </row>
    <row r="5087" spans="1:10" x14ac:dyDescent="0.25">
      <c r="A5087" t="s">
        <v>19050</v>
      </c>
      <c r="B5087">
        <v>12.096</v>
      </c>
      <c r="C5087" t="s">
        <v>19051</v>
      </c>
      <c r="D5087" t="s">
        <v>2879</v>
      </c>
      <c r="E5087" t="s">
        <v>19052</v>
      </c>
      <c r="F5087" t="s">
        <v>7672</v>
      </c>
      <c r="G5087" t="s">
        <v>19053</v>
      </c>
      <c r="H5087" t="s">
        <v>17992</v>
      </c>
      <c r="I5087" t="s">
        <v>11206</v>
      </c>
      <c r="J5087" t="s">
        <v>7942</v>
      </c>
    </row>
    <row r="5088" spans="1:10" x14ac:dyDescent="0.25">
      <c r="A5088" t="s">
        <v>19054</v>
      </c>
      <c r="B5088">
        <v>12.096</v>
      </c>
      <c r="C5088" t="s">
        <v>19055</v>
      </c>
      <c r="D5088" t="s">
        <v>60</v>
      </c>
      <c r="E5088" t="s">
        <v>19052</v>
      </c>
      <c r="F5088" t="s">
        <v>7672</v>
      </c>
      <c r="G5088" t="s">
        <v>19053</v>
      </c>
      <c r="H5088" t="s">
        <v>17992</v>
      </c>
      <c r="I5088" t="s">
        <v>8158</v>
      </c>
      <c r="J5088" t="s">
        <v>7942</v>
      </c>
    </row>
    <row r="5089" spans="1:10" x14ac:dyDescent="0.25">
      <c r="A5089" t="s">
        <v>19056</v>
      </c>
      <c r="B5089">
        <v>12.096</v>
      </c>
      <c r="C5089" t="s">
        <v>19057</v>
      </c>
      <c r="D5089" t="s">
        <v>366</v>
      </c>
      <c r="E5089" t="s">
        <v>19052</v>
      </c>
      <c r="F5089" t="s">
        <v>7672</v>
      </c>
      <c r="G5089" t="s">
        <v>19053</v>
      </c>
      <c r="H5089" t="s">
        <v>17992</v>
      </c>
      <c r="I5089" t="s">
        <v>19058</v>
      </c>
      <c r="J5089" t="s">
        <v>7942</v>
      </c>
    </row>
    <row r="5090" spans="1:10" x14ac:dyDescent="0.25">
      <c r="A5090" t="s">
        <v>19059</v>
      </c>
      <c r="B5090">
        <v>12.096</v>
      </c>
      <c r="C5090" t="s">
        <v>19060</v>
      </c>
      <c r="D5090" t="s">
        <v>908</v>
      </c>
      <c r="E5090" t="s">
        <v>19052</v>
      </c>
      <c r="F5090" t="s">
        <v>7672</v>
      </c>
      <c r="G5090" t="s">
        <v>19053</v>
      </c>
      <c r="H5090" t="s">
        <v>17992</v>
      </c>
      <c r="I5090" t="s">
        <v>11206</v>
      </c>
      <c r="J5090" t="s">
        <v>7981</v>
      </c>
    </row>
    <row r="5091" spans="1:10" x14ac:dyDescent="0.25">
      <c r="A5091" t="s">
        <v>19061</v>
      </c>
      <c r="B5091">
        <v>12.096</v>
      </c>
      <c r="C5091" t="s">
        <v>19062</v>
      </c>
      <c r="D5091" t="s">
        <v>1236</v>
      </c>
      <c r="E5091" t="s">
        <v>19052</v>
      </c>
      <c r="F5091" t="s">
        <v>7672</v>
      </c>
      <c r="G5091" t="s">
        <v>19053</v>
      </c>
      <c r="H5091" t="s">
        <v>17992</v>
      </c>
      <c r="I5091" t="s">
        <v>8158</v>
      </c>
      <c r="J5091" t="s">
        <v>7981</v>
      </c>
    </row>
    <row r="5092" spans="1:10" x14ac:dyDescent="0.25">
      <c r="A5092" t="s">
        <v>19063</v>
      </c>
      <c r="B5092">
        <v>12.096</v>
      </c>
      <c r="C5092" t="s">
        <v>19064</v>
      </c>
      <c r="D5092" t="s">
        <v>2371</v>
      </c>
      <c r="E5092" t="s">
        <v>19052</v>
      </c>
      <c r="F5092" t="s">
        <v>7672</v>
      </c>
      <c r="G5092" t="s">
        <v>19053</v>
      </c>
      <c r="H5092" t="s">
        <v>17992</v>
      </c>
      <c r="I5092" t="s">
        <v>19058</v>
      </c>
      <c r="J5092" t="s">
        <v>7981</v>
      </c>
    </row>
    <row r="5093" spans="1:10" x14ac:dyDescent="0.25">
      <c r="A5093" t="s">
        <v>19065</v>
      </c>
      <c r="B5093">
        <v>12.096</v>
      </c>
      <c r="C5093" t="s">
        <v>19066</v>
      </c>
      <c r="D5093" t="s">
        <v>1567</v>
      </c>
      <c r="E5093" t="s">
        <v>19052</v>
      </c>
      <c r="F5093" t="s">
        <v>7672</v>
      </c>
      <c r="G5093" t="s">
        <v>19053</v>
      </c>
      <c r="H5093" t="s">
        <v>17992</v>
      </c>
      <c r="I5093" t="s">
        <v>11206</v>
      </c>
      <c r="J5093" t="s">
        <v>7984</v>
      </c>
    </row>
    <row r="5094" spans="1:10" x14ac:dyDescent="0.25">
      <c r="A5094" t="s">
        <v>19067</v>
      </c>
      <c r="B5094">
        <v>12.096</v>
      </c>
      <c r="C5094" t="s">
        <v>19068</v>
      </c>
      <c r="D5094" t="s">
        <v>290</v>
      </c>
      <c r="E5094" t="s">
        <v>19052</v>
      </c>
      <c r="F5094" t="s">
        <v>7672</v>
      </c>
      <c r="G5094" t="s">
        <v>19053</v>
      </c>
      <c r="H5094" t="s">
        <v>17992</v>
      </c>
      <c r="I5094" t="s">
        <v>8158</v>
      </c>
      <c r="J5094" t="s">
        <v>7984</v>
      </c>
    </row>
    <row r="5095" spans="1:10" x14ac:dyDescent="0.25">
      <c r="A5095" t="s">
        <v>19069</v>
      </c>
      <c r="B5095">
        <v>12.096</v>
      </c>
      <c r="C5095" t="s">
        <v>19070</v>
      </c>
      <c r="D5095" t="s">
        <v>4270</v>
      </c>
      <c r="E5095" t="s">
        <v>19052</v>
      </c>
      <c r="F5095" t="s">
        <v>7672</v>
      </c>
      <c r="G5095" t="s">
        <v>19053</v>
      </c>
      <c r="H5095" t="s">
        <v>17992</v>
      </c>
      <c r="I5095" t="s">
        <v>19058</v>
      </c>
      <c r="J5095" t="s">
        <v>7984</v>
      </c>
    </row>
    <row r="5096" spans="1:10" x14ac:dyDescent="0.25">
      <c r="A5096" t="s">
        <v>19071</v>
      </c>
      <c r="B5096">
        <v>12.096</v>
      </c>
      <c r="C5096" t="s">
        <v>19072</v>
      </c>
      <c r="D5096" t="s">
        <v>4924</v>
      </c>
      <c r="E5096" t="s">
        <v>19052</v>
      </c>
      <c r="F5096" t="s">
        <v>7672</v>
      </c>
      <c r="G5096" t="s">
        <v>19053</v>
      </c>
      <c r="H5096" t="s">
        <v>17992</v>
      </c>
      <c r="I5096" t="s">
        <v>19058</v>
      </c>
      <c r="J5096" t="s">
        <v>7987</v>
      </c>
    </row>
    <row r="5097" spans="1:10" x14ac:dyDescent="0.25">
      <c r="A5097" t="s">
        <v>19073</v>
      </c>
      <c r="B5097">
        <v>12.096</v>
      </c>
      <c r="C5097" t="s">
        <v>19074</v>
      </c>
      <c r="D5097" t="s">
        <v>12639</v>
      </c>
      <c r="E5097" t="s">
        <v>19052</v>
      </c>
      <c r="F5097" t="s">
        <v>7672</v>
      </c>
      <c r="G5097" t="s">
        <v>19053</v>
      </c>
      <c r="H5097" t="s">
        <v>17992</v>
      </c>
      <c r="I5097" t="s">
        <v>11206</v>
      </c>
      <c r="J5097" t="s">
        <v>7987</v>
      </c>
    </row>
    <row r="5098" spans="1:10" x14ac:dyDescent="0.25">
      <c r="A5098" t="s">
        <v>19075</v>
      </c>
      <c r="B5098">
        <v>12.096</v>
      </c>
      <c r="C5098" t="s">
        <v>19076</v>
      </c>
      <c r="D5098" t="s">
        <v>2697</v>
      </c>
      <c r="E5098" t="s">
        <v>19052</v>
      </c>
      <c r="F5098" t="s">
        <v>7672</v>
      </c>
      <c r="G5098" t="s">
        <v>19053</v>
      </c>
      <c r="H5098" t="s">
        <v>17992</v>
      </c>
      <c r="I5098" t="s">
        <v>8158</v>
      </c>
      <c r="J5098" t="s">
        <v>7987</v>
      </c>
    </row>
    <row r="5099" spans="1:10" x14ac:dyDescent="0.25">
      <c r="A5099" t="s">
        <v>19077</v>
      </c>
      <c r="B5099">
        <v>12.096</v>
      </c>
      <c r="C5099" t="s">
        <v>19078</v>
      </c>
      <c r="D5099" t="s">
        <v>908</v>
      </c>
      <c r="E5099" t="s">
        <v>19052</v>
      </c>
      <c r="F5099" t="s">
        <v>7672</v>
      </c>
      <c r="G5099" t="s">
        <v>19053</v>
      </c>
      <c r="H5099" t="s">
        <v>17992</v>
      </c>
      <c r="I5099" t="s">
        <v>11206</v>
      </c>
      <c r="J5099" t="s">
        <v>8001</v>
      </c>
    </row>
    <row r="5100" spans="1:10" x14ac:dyDescent="0.25">
      <c r="A5100" t="s">
        <v>19079</v>
      </c>
      <c r="B5100">
        <v>12.096</v>
      </c>
      <c r="C5100" t="s">
        <v>19080</v>
      </c>
      <c r="D5100" t="s">
        <v>296</v>
      </c>
      <c r="E5100" t="s">
        <v>19052</v>
      </c>
      <c r="F5100" t="s">
        <v>7672</v>
      </c>
      <c r="G5100" t="s">
        <v>19053</v>
      </c>
      <c r="H5100" t="s">
        <v>17992</v>
      </c>
      <c r="I5100" t="s">
        <v>8158</v>
      </c>
      <c r="J5100" t="s">
        <v>8001</v>
      </c>
    </row>
    <row r="5101" spans="1:10" x14ac:dyDescent="0.25">
      <c r="A5101" t="s">
        <v>19081</v>
      </c>
      <c r="B5101">
        <v>12.096</v>
      </c>
      <c r="C5101" t="s">
        <v>19082</v>
      </c>
      <c r="D5101" t="s">
        <v>1512</v>
      </c>
      <c r="E5101" t="s">
        <v>19052</v>
      </c>
      <c r="F5101" t="s">
        <v>7672</v>
      </c>
      <c r="G5101" t="s">
        <v>19053</v>
      </c>
      <c r="H5101" t="s">
        <v>17992</v>
      </c>
      <c r="I5101" t="s">
        <v>19058</v>
      </c>
      <c r="J5101" t="s">
        <v>8001</v>
      </c>
    </row>
    <row r="5102" spans="1:10" x14ac:dyDescent="0.25">
      <c r="A5102" t="s">
        <v>19083</v>
      </c>
      <c r="B5102">
        <v>12.096</v>
      </c>
      <c r="C5102" t="s">
        <v>19084</v>
      </c>
      <c r="D5102" t="s">
        <v>933</v>
      </c>
      <c r="E5102" t="s">
        <v>19052</v>
      </c>
      <c r="F5102" t="s">
        <v>7672</v>
      </c>
      <c r="G5102" t="s">
        <v>19053</v>
      </c>
      <c r="H5102" t="s">
        <v>17992</v>
      </c>
      <c r="I5102" t="s">
        <v>19058</v>
      </c>
      <c r="J5102" t="s">
        <v>8013</v>
      </c>
    </row>
    <row r="5103" spans="1:10" x14ac:dyDescent="0.25">
      <c r="A5103" t="s">
        <v>19085</v>
      </c>
      <c r="B5103">
        <v>12.096</v>
      </c>
      <c r="C5103" t="s">
        <v>19086</v>
      </c>
      <c r="D5103" t="s">
        <v>6155</v>
      </c>
      <c r="E5103" t="s">
        <v>19052</v>
      </c>
      <c r="F5103" t="s">
        <v>7672</v>
      </c>
      <c r="G5103" t="s">
        <v>19053</v>
      </c>
      <c r="H5103" t="s">
        <v>17992</v>
      </c>
      <c r="I5103" t="s">
        <v>11206</v>
      </c>
      <c r="J5103" t="s">
        <v>8013</v>
      </c>
    </row>
    <row r="5104" spans="1:10" x14ac:dyDescent="0.25">
      <c r="A5104" t="s">
        <v>19087</v>
      </c>
      <c r="B5104">
        <v>12.096</v>
      </c>
      <c r="C5104" t="s">
        <v>19088</v>
      </c>
      <c r="D5104" t="s">
        <v>654</v>
      </c>
      <c r="E5104" t="s">
        <v>19052</v>
      </c>
      <c r="F5104" t="s">
        <v>7672</v>
      </c>
      <c r="G5104" t="s">
        <v>19053</v>
      </c>
      <c r="H5104" t="s">
        <v>17992</v>
      </c>
      <c r="I5104" t="s">
        <v>8158</v>
      </c>
      <c r="J5104" t="s">
        <v>8013</v>
      </c>
    </row>
    <row r="5105" spans="1:10" x14ac:dyDescent="0.25">
      <c r="A5105" t="s">
        <v>19089</v>
      </c>
      <c r="B5105">
        <v>96</v>
      </c>
      <c r="C5105" t="s">
        <v>19090</v>
      </c>
      <c r="D5105" t="s">
        <v>144</v>
      </c>
      <c r="E5105" t="s">
        <v>19091</v>
      </c>
      <c r="F5105" t="s">
        <v>7672</v>
      </c>
      <c r="G5105" t="s">
        <v>19092</v>
      </c>
      <c r="H5105" t="s">
        <v>9693</v>
      </c>
      <c r="I5105" t="s">
        <v>18323</v>
      </c>
      <c r="J5105" t="s">
        <v>9694</v>
      </c>
    </row>
    <row r="5106" spans="1:10" x14ac:dyDescent="0.25">
      <c r="A5106" t="s">
        <v>19093</v>
      </c>
      <c r="B5106">
        <v>14.4</v>
      </c>
      <c r="C5106" t="s">
        <v>19094</v>
      </c>
      <c r="D5106" t="s">
        <v>240</v>
      </c>
      <c r="E5106" t="s">
        <v>19095</v>
      </c>
      <c r="F5106" t="s">
        <v>7672</v>
      </c>
      <c r="G5106" t="s">
        <v>19096</v>
      </c>
      <c r="H5106" t="s">
        <v>15122</v>
      </c>
      <c r="I5106" t="s">
        <v>4821</v>
      </c>
      <c r="J5106" t="s">
        <v>100</v>
      </c>
    </row>
    <row r="5107" spans="1:10" x14ac:dyDescent="0.25">
      <c r="A5107" t="s">
        <v>19097</v>
      </c>
      <c r="B5107">
        <v>14.4</v>
      </c>
      <c r="C5107" t="s">
        <v>19098</v>
      </c>
      <c r="D5107" t="s">
        <v>396</v>
      </c>
      <c r="E5107" t="s">
        <v>19095</v>
      </c>
      <c r="F5107" t="s">
        <v>7672</v>
      </c>
      <c r="G5107" t="s">
        <v>19096</v>
      </c>
      <c r="H5107" t="s">
        <v>15122</v>
      </c>
      <c r="I5107" t="s">
        <v>4821</v>
      </c>
      <c r="J5107" t="s">
        <v>106</v>
      </c>
    </row>
    <row r="5108" spans="1:10" x14ac:dyDescent="0.25">
      <c r="A5108" t="s">
        <v>19099</v>
      </c>
      <c r="B5108">
        <v>14.4</v>
      </c>
      <c r="C5108" t="s">
        <v>19100</v>
      </c>
      <c r="D5108" t="s">
        <v>582</v>
      </c>
      <c r="E5108" t="s">
        <v>19095</v>
      </c>
      <c r="F5108" t="s">
        <v>7672</v>
      </c>
      <c r="G5108" t="s">
        <v>19096</v>
      </c>
      <c r="H5108" t="s">
        <v>15122</v>
      </c>
      <c r="I5108" t="s">
        <v>4821</v>
      </c>
      <c r="J5108" t="s">
        <v>88</v>
      </c>
    </row>
    <row r="5109" spans="1:10" x14ac:dyDescent="0.25">
      <c r="A5109" t="s">
        <v>19101</v>
      </c>
      <c r="B5109">
        <v>14.4</v>
      </c>
      <c r="C5109" t="s">
        <v>19102</v>
      </c>
      <c r="D5109" t="s">
        <v>742</v>
      </c>
      <c r="E5109" t="s">
        <v>19095</v>
      </c>
      <c r="F5109" t="s">
        <v>7672</v>
      </c>
      <c r="G5109" t="s">
        <v>19096</v>
      </c>
      <c r="H5109" t="s">
        <v>15122</v>
      </c>
      <c r="I5109" t="s">
        <v>4821</v>
      </c>
      <c r="J5109" t="s">
        <v>8531</v>
      </c>
    </row>
    <row r="5110" spans="1:10" x14ac:dyDescent="0.25">
      <c r="A5110" t="s">
        <v>19103</v>
      </c>
      <c r="B5110">
        <v>16</v>
      </c>
      <c r="C5110" t="s">
        <v>19104</v>
      </c>
      <c r="D5110" t="s">
        <v>396</v>
      </c>
      <c r="E5110" t="s">
        <v>19095</v>
      </c>
      <c r="F5110" t="s">
        <v>7672</v>
      </c>
      <c r="G5110" t="s">
        <v>19096</v>
      </c>
      <c r="H5110" t="s">
        <v>15122</v>
      </c>
      <c r="I5110" t="s">
        <v>4821</v>
      </c>
      <c r="J5110" t="s">
        <v>269</v>
      </c>
    </row>
    <row r="5111" spans="1:10" x14ac:dyDescent="0.25">
      <c r="A5111" t="s">
        <v>19105</v>
      </c>
      <c r="B5111">
        <v>16</v>
      </c>
      <c r="C5111" t="s">
        <v>19106</v>
      </c>
      <c r="D5111" t="s">
        <v>2099</v>
      </c>
      <c r="E5111" t="s">
        <v>19095</v>
      </c>
      <c r="F5111" t="s">
        <v>7672</v>
      </c>
      <c r="G5111" t="s">
        <v>19096</v>
      </c>
      <c r="H5111" t="s">
        <v>15122</v>
      </c>
      <c r="I5111" t="s">
        <v>4821</v>
      </c>
      <c r="J5111" t="s">
        <v>255</v>
      </c>
    </row>
    <row r="5112" spans="1:10" x14ac:dyDescent="0.25">
      <c r="A5112" t="s">
        <v>19107</v>
      </c>
      <c r="B5112">
        <v>16</v>
      </c>
      <c r="C5112" t="s">
        <v>19108</v>
      </c>
      <c r="D5112" t="s">
        <v>964</v>
      </c>
      <c r="E5112" t="s">
        <v>19095</v>
      </c>
      <c r="F5112" t="s">
        <v>7672</v>
      </c>
      <c r="G5112" t="s">
        <v>19096</v>
      </c>
      <c r="H5112" t="s">
        <v>15122</v>
      </c>
      <c r="I5112" t="s">
        <v>4821</v>
      </c>
      <c r="J5112" t="s">
        <v>277</v>
      </c>
    </row>
    <row r="5113" spans="1:10" x14ac:dyDescent="0.25">
      <c r="A5113" t="s">
        <v>19109</v>
      </c>
      <c r="B5113">
        <v>16</v>
      </c>
      <c r="C5113" t="s">
        <v>19110</v>
      </c>
      <c r="D5113" t="s">
        <v>875</v>
      </c>
      <c r="E5113" t="s">
        <v>19095</v>
      </c>
      <c r="F5113" t="s">
        <v>7672</v>
      </c>
      <c r="G5113" t="s">
        <v>19096</v>
      </c>
      <c r="H5113" t="s">
        <v>15122</v>
      </c>
      <c r="I5113" t="s">
        <v>4821</v>
      </c>
      <c r="J5113" t="s">
        <v>164</v>
      </c>
    </row>
    <row r="5114" spans="1:10" x14ac:dyDescent="0.25">
      <c r="A5114" t="s">
        <v>19111</v>
      </c>
      <c r="B5114">
        <v>16</v>
      </c>
      <c r="C5114" t="s">
        <v>19112</v>
      </c>
      <c r="D5114" t="s">
        <v>1134</v>
      </c>
      <c r="E5114" t="s">
        <v>19095</v>
      </c>
      <c r="F5114" t="s">
        <v>7672</v>
      </c>
      <c r="G5114" t="s">
        <v>19096</v>
      </c>
      <c r="H5114" t="s">
        <v>15122</v>
      </c>
      <c r="I5114" t="s">
        <v>4821</v>
      </c>
      <c r="J5114" t="s">
        <v>290</v>
      </c>
    </row>
    <row r="5115" spans="1:10" x14ac:dyDescent="0.25">
      <c r="A5115" t="s">
        <v>19113</v>
      </c>
      <c r="B5115">
        <v>16</v>
      </c>
      <c r="C5115" t="s">
        <v>19114</v>
      </c>
      <c r="D5115" t="s">
        <v>964</v>
      </c>
      <c r="E5115" t="s">
        <v>19095</v>
      </c>
      <c r="F5115" t="s">
        <v>7672</v>
      </c>
      <c r="G5115" t="s">
        <v>19096</v>
      </c>
      <c r="H5115" t="s">
        <v>15122</v>
      </c>
      <c r="I5115" t="s">
        <v>4821</v>
      </c>
      <c r="J5115" t="s">
        <v>15238</v>
      </c>
    </row>
    <row r="5116" spans="1:10" x14ac:dyDescent="0.25">
      <c r="A5116" t="s">
        <v>19115</v>
      </c>
      <c r="B5116">
        <v>16</v>
      </c>
      <c r="C5116" t="s">
        <v>19116</v>
      </c>
      <c r="D5116" t="s">
        <v>199</v>
      </c>
      <c r="E5116" t="s">
        <v>19095</v>
      </c>
      <c r="F5116" t="s">
        <v>7672</v>
      </c>
      <c r="G5116" t="s">
        <v>19096</v>
      </c>
      <c r="H5116" t="s">
        <v>15122</v>
      </c>
      <c r="I5116" t="s">
        <v>4821</v>
      </c>
      <c r="J5116" t="s">
        <v>15070</v>
      </c>
    </row>
    <row r="5117" spans="1:10" x14ac:dyDescent="0.25">
      <c r="A5117" t="s">
        <v>19117</v>
      </c>
      <c r="B5117">
        <v>16</v>
      </c>
      <c r="C5117" t="s">
        <v>19118</v>
      </c>
      <c r="D5117" t="s">
        <v>229</v>
      </c>
      <c r="E5117" t="s">
        <v>19095</v>
      </c>
      <c r="F5117" t="s">
        <v>7672</v>
      </c>
      <c r="G5117" t="s">
        <v>19096</v>
      </c>
      <c r="H5117" t="s">
        <v>15122</v>
      </c>
      <c r="I5117" t="s">
        <v>4821</v>
      </c>
      <c r="J5117" t="s">
        <v>15076</v>
      </c>
    </row>
    <row r="5118" spans="1:10" x14ac:dyDescent="0.25">
      <c r="A5118" t="s">
        <v>19119</v>
      </c>
      <c r="B5118">
        <v>16</v>
      </c>
      <c r="C5118" t="s">
        <v>19120</v>
      </c>
      <c r="D5118" t="s">
        <v>576</v>
      </c>
      <c r="E5118" t="s">
        <v>19095</v>
      </c>
      <c r="F5118" t="s">
        <v>7672</v>
      </c>
      <c r="G5118" t="s">
        <v>19096</v>
      </c>
      <c r="H5118" t="s">
        <v>15122</v>
      </c>
      <c r="I5118" t="s">
        <v>4821</v>
      </c>
      <c r="J5118" t="s">
        <v>15079</v>
      </c>
    </row>
    <row r="5119" spans="1:10" x14ac:dyDescent="0.25">
      <c r="A5119" t="s">
        <v>19121</v>
      </c>
      <c r="B5119">
        <v>5.4</v>
      </c>
      <c r="C5119" t="s">
        <v>19122</v>
      </c>
      <c r="D5119" t="s">
        <v>659</v>
      </c>
      <c r="E5119" t="s">
        <v>4975</v>
      </c>
      <c r="F5119" t="s">
        <v>7672</v>
      </c>
      <c r="G5119" t="s">
        <v>19123</v>
      </c>
      <c r="H5119" t="s">
        <v>15980</v>
      </c>
      <c r="I5119" t="s">
        <v>76</v>
      </c>
      <c r="J5119" t="s">
        <v>15981</v>
      </c>
    </row>
    <row r="5120" spans="1:10" x14ac:dyDescent="0.25">
      <c r="A5120" t="s">
        <v>4972</v>
      </c>
      <c r="B5120">
        <v>5.4</v>
      </c>
      <c r="C5120" t="s">
        <v>4974</v>
      </c>
      <c r="D5120" t="s">
        <v>582</v>
      </c>
      <c r="E5120" t="s">
        <v>4975</v>
      </c>
      <c r="F5120" t="s">
        <v>7672</v>
      </c>
      <c r="G5120" t="s">
        <v>19123</v>
      </c>
      <c r="H5120" t="s">
        <v>15980</v>
      </c>
      <c r="I5120" t="s">
        <v>76</v>
      </c>
      <c r="J5120" t="s">
        <v>7675</v>
      </c>
    </row>
    <row r="5121" spans="1:10" x14ac:dyDescent="0.25">
      <c r="A5121" t="s">
        <v>4979</v>
      </c>
      <c r="B5121">
        <v>5.4</v>
      </c>
      <c r="C5121" t="s">
        <v>4981</v>
      </c>
      <c r="D5121" t="s">
        <v>786</v>
      </c>
      <c r="E5121" t="s">
        <v>4975</v>
      </c>
      <c r="F5121" t="s">
        <v>7672</v>
      </c>
      <c r="G5121" t="s">
        <v>19123</v>
      </c>
      <c r="H5121" t="s">
        <v>15980</v>
      </c>
      <c r="I5121" t="s">
        <v>76</v>
      </c>
      <c r="J5121" t="s">
        <v>7686</v>
      </c>
    </row>
    <row r="5122" spans="1:10" x14ac:dyDescent="0.25">
      <c r="A5122" t="s">
        <v>4984</v>
      </c>
      <c r="B5122">
        <v>5.4</v>
      </c>
      <c r="C5122" t="s">
        <v>4986</v>
      </c>
      <c r="D5122" t="s">
        <v>975</v>
      </c>
      <c r="E5122" t="s">
        <v>4975</v>
      </c>
      <c r="F5122" t="s">
        <v>7672</v>
      </c>
      <c r="G5122" t="s">
        <v>19123</v>
      </c>
      <c r="H5122" t="s">
        <v>15980</v>
      </c>
      <c r="I5122" t="s">
        <v>76</v>
      </c>
      <c r="J5122" t="s">
        <v>7703</v>
      </c>
    </row>
    <row r="5123" spans="1:10" x14ac:dyDescent="0.25">
      <c r="A5123" t="s">
        <v>4989</v>
      </c>
      <c r="B5123">
        <v>20.847999999999999</v>
      </c>
      <c r="C5123" t="s">
        <v>4991</v>
      </c>
      <c r="D5123" t="s">
        <v>301</v>
      </c>
      <c r="E5123" t="s">
        <v>4992</v>
      </c>
      <c r="F5123" t="s">
        <v>7672</v>
      </c>
      <c r="G5123" t="s">
        <v>19124</v>
      </c>
      <c r="H5123" t="s">
        <v>10970</v>
      </c>
      <c r="I5123" t="s">
        <v>4995</v>
      </c>
      <c r="J5123" t="s">
        <v>7675</v>
      </c>
    </row>
    <row r="5124" spans="1:10" x14ac:dyDescent="0.25">
      <c r="A5124" t="s">
        <v>4996</v>
      </c>
      <c r="B5124">
        <v>20.847999999999999</v>
      </c>
      <c r="C5124" t="s">
        <v>4998</v>
      </c>
      <c r="D5124" t="s">
        <v>959</v>
      </c>
      <c r="E5124" t="s">
        <v>4992</v>
      </c>
      <c r="F5124" t="s">
        <v>7672</v>
      </c>
      <c r="G5124" t="s">
        <v>19124</v>
      </c>
      <c r="H5124" t="s">
        <v>10970</v>
      </c>
      <c r="I5124" t="s">
        <v>5001</v>
      </c>
      <c r="J5124" t="s">
        <v>7675</v>
      </c>
    </row>
    <row r="5125" spans="1:10" x14ac:dyDescent="0.25">
      <c r="A5125" t="s">
        <v>5002</v>
      </c>
      <c r="B5125">
        <v>20.847999999999999</v>
      </c>
      <c r="C5125" t="s">
        <v>5004</v>
      </c>
      <c r="D5125" t="s">
        <v>705</v>
      </c>
      <c r="E5125" t="s">
        <v>4992</v>
      </c>
      <c r="F5125" t="s">
        <v>7672</v>
      </c>
      <c r="G5125" t="s">
        <v>19124</v>
      </c>
      <c r="H5125" t="s">
        <v>10970</v>
      </c>
      <c r="I5125" t="s">
        <v>5001</v>
      </c>
      <c r="J5125" t="s">
        <v>7703</v>
      </c>
    </row>
    <row r="5126" spans="1:10" x14ac:dyDescent="0.25">
      <c r="A5126" t="s">
        <v>5006</v>
      </c>
      <c r="B5126">
        <v>20.847999999999999</v>
      </c>
      <c r="C5126" t="s">
        <v>5008</v>
      </c>
      <c r="D5126" t="s">
        <v>2620</v>
      </c>
      <c r="E5126" t="s">
        <v>4992</v>
      </c>
      <c r="F5126" t="s">
        <v>7672</v>
      </c>
      <c r="G5126" t="s">
        <v>19124</v>
      </c>
      <c r="H5126" t="s">
        <v>10970</v>
      </c>
      <c r="I5126" t="s">
        <v>4995</v>
      </c>
      <c r="J5126" t="s">
        <v>7703</v>
      </c>
    </row>
    <row r="5127" spans="1:10" x14ac:dyDescent="0.25">
      <c r="A5127" t="s">
        <v>5010</v>
      </c>
      <c r="B5127">
        <v>16.8</v>
      </c>
      <c r="C5127" t="s">
        <v>5012</v>
      </c>
      <c r="D5127" t="s">
        <v>60</v>
      </c>
      <c r="E5127" t="s">
        <v>5013</v>
      </c>
      <c r="F5127" t="s">
        <v>7672</v>
      </c>
      <c r="G5127" t="s">
        <v>19125</v>
      </c>
      <c r="H5127" t="s">
        <v>7954</v>
      </c>
      <c r="I5127" t="s">
        <v>278</v>
      </c>
      <c r="J5127" t="s">
        <v>7942</v>
      </c>
    </row>
    <row r="5128" spans="1:10" x14ac:dyDescent="0.25">
      <c r="A5128" t="s">
        <v>5016</v>
      </c>
      <c r="B5128">
        <v>15.4</v>
      </c>
      <c r="C5128" t="s">
        <v>5018</v>
      </c>
      <c r="D5128" t="s">
        <v>436</v>
      </c>
      <c r="E5128" t="s">
        <v>5013</v>
      </c>
      <c r="F5128" t="s">
        <v>7672</v>
      </c>
      <c r="G5128" t="s">
        <v>19125</v>
      </c>
      <c r="H5128" t="s">
        <v>7954</v>
      </c>
      <c r="I5128" t="s">
        <v>856</v>
      </c>
      <c r="J5128" t="s">
        <v>7942</v>
      </c>
    </row>
    <row r="5129" spans="1:10" x14ac:dyDescent="0.25">
      <c r="A5129" t="s">
        <v>5021</v>
      </c>
      <c r="B5129">
        <v>16.8</v>
      </c>
      <c r="C5129" t="s">
        <v>5023</v>
      </c>
      <c r="D5129" t="s">
        <v>1579</v>
      </c>
      <c r="E5129" t="s">
        <v>5013</v>
      </c>
      <c r="F5129" t="s">
        <v>7672</v>
      </c>
      <c r="G5129" t="s">
        <v>19125</v>
      </c>
      <c r="H5129" t="s">
        <v>7954</v>
      </c>
      <c r="I5129" t="s">
        <v>278</v>
      </c>
      <c r="J5129" t="s">
        <v>7981</v>
      </c>
    </row>
    <row r="5130" spans="1:10" x14ac:dyDescent="0.25">
      <c r="A5130" t="s">
        <v>5025</v>
      </c>
      <c r="B5130">
        <v>16.8</v>
      </c>
      <c r="C5130" t="s">
        <v>5027</v>
      </c>
      <c r="D5130" t="s">
        <v>282</v>
      </c>
      <c r="E5130" t="s">
        <v>5013</v>
      </c>
      <c r="F5130" t="s">
        <v>7672</v>
      </c>
      <c r="G5130" t="s">
        <v>19125</v>
      </c>
      <c r="H5130" t="s">
        <v>7954</v>
      </c>
      <c r="I5130" t="s">
        <v>19126</v>
      </c>
      <c r="J5130" t="s">
        <v>7981</v>
      </c>
    </row>
    <row r="5131" spans="1:10" x14ac:dyDescent="0.25">
      <c r="A5131" t="s">
        <v>5029</v>
      </c>
      <c r="B5131">
        <v>15.4</v>
      </c>
      <c r="C5131" t="s">
        <v>5031</v>
      </c>
      <c r="D5131" t="s">
        <v>385</v>
      </c>
      <c r="E5131" t="s">
        <v>5013</v>
      </c>
      <c r="F5131" t="s">
        <v>7672</v>
      </c>
      <c r="G5131" t="s">
        <v>19125</v>
      </c>
      <c r="H5131" t="s">
        <v>7954</v>
      </c>
      <c r="I5131" t="s">
        <v>856</v>
      </c>
      <c r="J5131" t="s">
        <v>7981</v>
      </c>
    </row>
    <row r="5132" spans="1:10" x14ac:dyDescent="0.25">
      <c r="A5132" t="s">
        <v>5033</v>
      </c>
      <c r="B5132">
        <v>16.8</v>
      </c>
      <c r="C5132" t="s">
        <v>5035</v>
      </c>
      <c r="D5132" t="s">
        <v>903</v>
      </c>
      <c r="E5132" t="s">
        <v>5013</v>
      </c>
      <c r="F5132" t="s">
        <v>7672</v>
      </c>
      <c r="G5132" t="s">
        <v>19125</v>
      </c>
      <c r="H5132" t="s">
        <v>7954</v>
      </c>
      <c r="I5132" t="s">
        <v>278</v>
      </c>
      <c r="J5132" t="s">
        <v>7984</v>
      </c>
    </row>
    <row r="5133" spans="1:10" x14ac:dyDescent="0.25">
      <c r="A5133" t="s">
        <v>5037</v>
      </c>
      <c r="B5133">
        <v>15.4</v>
      </c>
      <c r="C5133" t="s">
        <v>5039</v>
      </c>
      <c r="D5133" t="s">
        <v>698</v>
      </c>
      <c r="E5133" t="s">
        <v>5013</v>
      </c>
      <c r="F5133" t="s">
        <v>7672</v>
      </c>
      <c r="G5133" t="s">
        <v>19125</v>
      </c>
      <c r="H5133" t="s">
        <v>7954</v>
      </c>
      <c r="I5133" t="s">
        <v>856</v>
      </c>
      <c r="J5133" t="s">
        <v>7984</v>
      </c>
    </row>
    <row r="5134" spans="1:10" x14ac:dyDescent="0.25">
      <c r="A5134" t="s">
        <v>5041</v>
      </c>
      <c r="B5134">
        <v>16.8</v>
      </c>
      <c r="C5134" t="s">
        <v>5043</v>
      </c>
      <c r="D5134" t="s">
        <v>2022</v>
      </c>
      <c r="E5134" t="s">
        <v>5013</v>
      </c>
      <c r="F5134" t="s">
        <v>7672</v>
      </c>
      <c r="G5134" t="s">
        <v>19125</v>
      </c>
      <c r="H5134" t="s">
        <v>7954</v>
      </c>
      <c r="I5134" t="s">
        <v>278</v>
      </c>
      <c r="J5134" t="s">
        <v>7987</v>
      </c>
    </row>
    <row r="5135" spans="1:10" x14ac:dyDescent="0.25">
      <c r="A5135" t="s">
        <v>5045</v>
      </c>
      <c r="B5135">
        <v>15.4</v>
      </c>
      <c r="C5135" t="s">
        <v>5047</v>
      </c>
      <c r="D5135" t="s">
        <v>240</v>
      </c>
      <c r="E5135" t="s">
        <v>5013</v>
      </c>
      <c r="F5135" t="s">
        <v>7672</v>
      </c>
      <c r="G5135" t="s">
        <v>19125</v>
      </c>
      <c r="H5135" t="s">
        <v>7954</v>
      </c>
      <c r="I5135" t="s">
        <v>856</v>
      </c>
      <c r="J5135" t="s">
        <v>7987</v>
      </c>
    </row>
    <row r="5136" spans="1:10" x14ac:dyDescent="0.25">
      <c r="A5136" t="s">
        <v>5049</v>
      </c>
      <c r="B5136">
        <v>16.8</v>
      </c>
      <c r="C5136" t="s">
        <v>5051</v>
      </c>
      <c r="D5136" t="s">
        <v>1254</v>
      </c>
      <c r="E5136" t="s">
        <v>5013</v>
      </c>
      <c r="F5136" t="s">
        <v>7672</v>
      </c>
      <c r="G5136" t="s">
        <v>19125</v>
      </c>
      <c r="H5136" t="s">
        <v>7954</v>
      </c>
      <c r="I5136" t="s">
        <v>278</v>
      </c>
      <c r="J5136" t="s">
        <v>8001</v>
      </c>
    </row>
    <row r="5137" spans="1:10" x14ac:dyDescent="0.25">
      <c r="A5137" t="s">
        <v>5053</v>
      </c>
      <c r="B5137">
        <v>15.4</v>
      </c>
      <c r="C5137" t="s">
        <v>5055</v>
      </c>
      <c r="D5137" t="s">
        <v>964</v>
      </c>
      <c r="E5137" t="s">
        <v>5013</v>
      </c>
      <c r="F5137" t="s">
        <v>7672</v>
      </c>
      <c r="G5137" t="s">
        <v>19125</v>
      </c>
      <c r="H5137" t="s">
        <v>7954</v>
      </c>
      <c r="I5137" t="s">
        <v>856</v>
      </c>
      <c r="J5137" t="s">
        <v>8001</v>
      </c>
    </row>
    <row r="5138" spans="1:10" x14ac:dyDescent="0.25">
      <c r="A5138" t="s">
        <v>5057</v>
      </c>
      <c r="B5138">
        <v>15.4</v>
      </c>
      <c r="C5138" t="s">
        <v>5059</v>
      </c>
      <c r="D5138" t="s">
        <v>53</v>
      </c>
      <c r="E5138" t="s">
        <v>5013</v>
      </c>
      <c r="F5138" t="s">
        <v>7672</v>
      </c>
      <c r="G5138" t="s">
        <v>19125</v>
      </c>
      <c r="H5138" t="s">
        <v>7954</v>
      </c>
      <c r="I5138" t="s">
        <v>856</v>
      </c>
      <c r="J5138" t="s">
        <v>8013</v>
      </c>
    </row>
    <row r="5139" spans="1:10" x14ac:dyDescent="0.25">
      <c r="A5139" t="s">
        <v>19127</v>
      </c>
      <c r="B5139">
        <v>7.9200000000000008</v>
      </c>
      <c r="C5139" t="s">
        <v>19128</v>
      </c>
      <c r="D5139" t="s">
        <v>4924</v>
      </c>
      <c r="E5139" t="s">
        <v>19129</v>
      </c>
      <c r="F5139" t="s">
        <v>7672</v>
      </c>
      <c r="G5139" t="s">
        <v>19130</v>
      </c>
      <c r="H5139" t="s">
        <v>8673</v>
      </c>
      <c r="I5139" t="s">
        <v>19131</v>
      </c>
      <c r="J5139" t="s">
        <v>240</v>
      </c>
    </row>
    <row r="5140" spans="1:10" x14ac:dyDescent="0.25">
      <c r="A5140" t="s">
        <v>19132</v>
      </c>
      <c r="B5140">
        <v>7.9200000000000008</v>
      </c>
      <c r="C5140" t="s">
        <v>19133</v>
      </c>
      <c r="D5140" t="s">
        <v>964</v>
      </c>
      <c r="E5140" t="s">
        <v>19129</v>
      </c>
      <c r="F5140" t="s">
        <v>7672</v>
      </c>
      <c r="G5140" t="s">
        <v>19130</v>
      </c>
      <c r="H5140" t="s">
        <v>8673</v>
      </c>
      <c r="I5140" t="s">
        <v>15158</v>
      </c>
      <c r="J5140" t="s">
        <v>240</v>
      </c>
    </row>
    <row r="5141" spans="1:10" x14ac:dyDescent="0.25">
      <c r="A5141" t="s">
        <v>5061</v>
      </c>
      <c r="B5141">
        <v>6.8000000000000007</v>
      </c>
      <c r="C5141" t="s">
        <v>5063</v>
      </c>
      <c r="D5141" t="s">
        <v>671</v>
      </c>
      <c r="E5141" t="s">
        <v>5064</v>
      </c>
      <c r="F5141" t="s">
        <v>7672</v>
      </c>
      <c r="G5141" t="s">
        <v>19134</v>
      </c>
      <c r="H5141" t="s">
        <v>11496</v>
      </c>
      <c r="I5141" t="s">
        <v>18020</v>
      </c>
      <c r="J5141" t="s">
        <v>9423</v>
      </c>
    </row>
    <row r="5142" spans="1:10" x14ac:dyDescent="0.25">
      <c r="A5142" t="s">
        <v>5066</v>
      </c>
      <c r="B5142">
        <v>6.8000000000000007</v>
      </c>
      <c r="C5142" t="s">
        <v>5068</v>
      </c>
      <c r="D5142" t="s">
        <v>2697</v>
      </c>
      <c r="E5142" t="s">
        <v>5064</v>
      </c>
      <c r="F5142" t="s">
        <v>7672</v>
      </c>
      <c r="G5142" t="s">
        <v>19134</v>
      </c>
      <c r="H5142" t="s">
        <v>11496</v>
      </c>
      <c r="I5142" t="s">
        <v>18020</v>
      </c>
      <c r="J5142" t="s">
        <v>10862</v>
      </c>
    </row>
    <row r="5143" spans="1:10" x14ac:dyDescent="0.25">
      <c r="A5143" t="s">
        <v>5071</v>
      </c>
      <c r="B5143">
        <v>6.8000000000000007</v>
      </c>
      <c r="C5143" t="s">
        <v>5073</v>
      </c>
      <c r="D5143" t="s">
        <v>781</v>
      </c>
      <c r="E5143" t="s">
        <v>5064</v>
      </c>
      <c r="F5143" t="s">
        <v>7672</v>
      </c>
      <c r="G5143" t="s">
        <v>19134</v>
      </c>
      <c r="H5143" t="s">
        <v>11496</v>
      </c>
      <c r="I5143" t="s">
        <v>18020</v>
      </c>
      <c r="J5143" t="s">
        <v>9426</v>
      </c>
    </row>
    <row r="5144" spans="1:10" x14ac:dyDescent="0.25">
      <c r="A5144" t="s">
        <v>5075</v>
      </c>
      <c r="B5144">
        <v>6.8000000000000007</v>
      </c>
      <c r="C5144" t="s">
        <v>5077</v>
      </c>
      <c r="D5144" t="s">
        <v>40</v>
      </c>
      <c r="E5144" t="s">
        <v>5064</v>
      </c>
      <c r="F5144" t="s">
        <v>7672</v>
      </c>
      <c r="G5144" t="s">
        <v>19134</v>
      </c>
      <c r="H5144" t="s">
        <v>11496</v>
      </c>
      <c r="I5144" t="s">
        <v>18020</v>
      </c>
      <c r="J5144" t="s">
        <v>13084</v>
      </c>
    </row>
    <row r="5145" spans="1:10" x14ac:dyDescent="0.25">
      <c r="A5145" t="s">
        <v>5079</v>
      </c>
      <c r="B5145">
        <v>6.8000000000000007</v>
      </c>
      <c r="C5145" t="s">
        <v>5081</v>
      </c>
      <c r="D5145" t="s">
        <v>2198</v>
      </c>
      <c r="E5145" t="s">
        <v>5064</v>
      </c>
      <c r="F5145" t="s">
        <v>7672</v>
      </c>
      <c r="G5145" t="s">
        <v>19134</v>
      </c>
      <c r="H5145" t="s">
        <v>11496</v>
      </c>
      <c r="I5145" t="s">
        <v>18020</v>
      </c>
      <c r="J5145" t="s">
        <v>11767</v>
      </c>
    </row>
    <row r="5146" spans="1:10" x14ac:dyDescent="0.25">
      <c r="A5146" t="s">
        <v>5083</v>
      </c>
      <c r="B5146">
        <v>6.8000000000000007</v>
      </c>
      <c r="C5146" t="s">
        <v>5085</v>
      </c>
      <c r="D5146" t="s">
        <v>582</v>
      </c>
      <c r="E5146" t="s">
        <v>5064</v>
      </c>
      <c r="F5146" t="s">
        <v>7672</v>
      </c>
      <c r="G5146" t="s">
        <v>19134</v>
      </c>
      <c r="H5146" t="s">
        <v>11496</v>
      </c>
      <c r="I5146" t="s">
        <v>18020</v>
      </c>
      <c r="J5146" t="s">
        <v>11582</v>
      </c>
    </row>
    <row r="5147" spans="1:10" x14ac:dyDescent="0.25">
      <c r="A5147" t="s">
        <v>19135</v>
      </c>
      <c r="B5147">
        <v>7.56</v>
      </c>
      <c r="C5147" t="s">
        <v>19136</v>
      </c>
      <c r="D5147" t="s">
        <v>199</v>
      </c>
      <c r="E5147" t="s">
        <v>19137</v>
      </c>
      <c r="F5147" t="s">
        <v>7672</v>
      </c>
      <c r="G5147" t="s">
        <v>19138</v>
      </c>
      <c r="H5147" t="s">
        <v>19139</v>
      </c>
      <c r="I5147" t="s">
        <v>9116</v>
      </c>
      <c r="J5147" t="s">
        <v>7675</v>
      </c>
    </row>
    <row r="5148" spans="1:10" x14ac:dyDescent="0.25">
      <c r="A5148" t="s">
        <v>19140</v>
      </c>
      <c r="B5148">
        <v>7.56</v>
      </c>
      <c r="C5148" t="s">
        <v>19141</v>
      </c>
      <c r="D5148" t="s">
        <v>282</v>
      </c>
      <c r="E5148" t="s">
        <v>19137</v>
      </c>
      <c r="F5148" t="s">
        <v>7672</v>
      </c>
      <c r="G5148" t="s">
        <v>19138</v>
      </c>
      <c r="H5148" t="s">
        <v>19139</v>
      </c>
      <c r="I5148" t="s">
        <v>14558</v>
      </c>
      <c r="J5148" t="s">
        <v>7675</v>
      </c>
    </row>
    <row r="5149" spans="1:10" x14ac:dyDescent="0.25">
      <c r="A5149" t="s">
        <v>19142</v>
      </c>
      <c r="B5149">
        <v>7.56</v>
      </c>
      <c r="C5149" t="s">
        <v>19143</v>
      </c>
      <c r="D5149" t="s">
        <v>286</v>
      </c>
      <c r="E5149" t="s">
        <v>19137</v>
      </c>
      <c r="F5149" t="s">
        <v>7672</v>
      </c>
      <c r="G5149" t="s">
        <v>19138</v>
      </c>
      <c r="H5149" t="s">
        <v>19139</v>
      </c>
      <c r="I5149" t="s">
        <v>9116</v>
      </c>
      <c r="J5149" t="s">
        <v>7686</v>
      </c>
    </row>
    <row r="5150" spans="1:10" x14ac:dyDescent="0.25">
      <c r="A5150" t="s">
        <v>19144</v>
      </c>
      <c r="B5150">
        <v>7.6000000000000014</v>
      </c>
      <c r="C5150" t="s">
        <v>19145</v>
      </c>
      <c r="D5150" t="s">
        <v>14270</v>
      </c>
      <c r="E5150" t="s">
        <v>19146</v>
      </c>
      <c r="F5150" t="s">
        <v>7672</v>
      </c>
      <c r="G5150" t="s">
        <v>19147</v>
      </c>
      <c r="H5150" t="s">
        <v>13951</v>
      </c>
      <c r="I5150" t="s">
        <v>19148</v>
      </c>
      <c r="J5150" t="s">
        <v>10369</v>
      </c>
    </row>
    <row r="5151" spans="1:10" x14ac:dyDescent="0.25">
      <c r="A5151" t="s">
        <v>19149</v>
      </c>
      <c r="B5151">
        <v>7.6000000000000014</v>
      </c>
      <c r="C5151" t="s">
        <v>19150</v>
      </c>
      <c r="D5151" t="s">
        <v>19151</v>
      </c>
      <c r="E5151" t="s">
        <v>19146</v>
      </c>
      <c r="F5151" t="s">
        <v>7672</v>
      </c>
      <c r="G5151" t="s">
        <v>19147</v>
      </c>
      <c r="H5151" t="s">
        <v>13951</v>
      </c>
      <c r="I5151" t="s">
        <v>19148</v>
      </c>
      <c r="J5151" t="s">
        <v>11590</v>
      </c>
    </row>
    <row r="5152" spans="1:10" x14ac:dyDescent="0.25">
      <c r="A5152" t="s">
        <v>19152</v>
      </c>
      <c r="B5152">
        <v>7.6000000000000014</v>
      </c>
      <c r="C5152" t="s">
        <v>19153</v>
      </c>
      <c r="D5152" t="s">
        <v>15649</v>
      </c>
      <c r="E5152" t="s">
        <v>19146</v>
      </c>
      <c r="F5152" t="s">
        <v>7672</v>
      </c>
      <c r="G5152" t="s">
        <v>19147</v>
      </c>
      <c r="H5152" t="s">
        <v>13951</v>
      </c>
      <c r="I5152" t="s">
        <v>19148</v>
      </c>
      <c r="J5152" t="s">
        <v>11593</v>
      </c>
    </row>
    <row r="5153" spans="1:10" x14ac:dyDescent="0.25">
      <c r="A5153" t="s">
        <v>19154</v>
      </c>
      <c r="B5153">
        <v>6.2960000000000003</v>
      </c>
      <c r="C5153" t="s">
        <v>19155</v>
      </c>
      <c r="D5153" t="s">
        <v>1621</v>
      </c>
      <c r="E5153" t="s">
        <v>19156</v>
      </c>
      <c r="F5153" t="s">
        <v>7672</v>
      </c>
      <c r="G5153" t="s">
        <v>19157</v>
      </c>
      <c r="H5153" t="s">
        <v>14647</v>
      </c>
      <c r="I5153" t="s">
        <v>76</v>
      </c>
      <c r="J5153" t="s">
        <v>7981</v>
      </c>
    </row>
    <row r="5154" spans="1:10" x14ac:dyDescent="0.25">
      <c r="A5154" t="s">
        <v>19158</v>
      </c>
      <c r="B5154">
        <v>6.2960000000000003</v>
      </c>
      <c r="C5154" t="s">
        <v>19159</v>
      </c>
      <c r="D5154" t="s">
        <v>106</v>
      </c>
      <c r="E5154" t="s">
        <v>19156</v>
      </c>
      <c r="F5154" t="s">
        <v>7672</v>
      </c>
      <c r="G5154" t="s">
        <v>19157</v>
      </c>
      <c r="H5154" t="s">
        <v>14647</v>
      </c>
      <c r="I5154" t="s">
        <v>11789</v>
      </c>
      <c r="J5154" t="s">
        <v>7981</v>
      </c>
    </row>
    <row r="5155" spans="1:10" x14ac:dyDescent="0.25">
      <c r="A5155" t="s">
        <v>19160</v>
      </c>
      <c r="B5155">
        <v>6.2960000000000003</v>
      </c>
      <c r="C5155" t="s">
        <v>19161</v>
      </c>
      <c r="D5155" t="s">
        <v>269</v>
      </c>
      <c r="E5155" t="s">
        <v>19156</v>
      </c>
      <c r="F5155" t="s">
        <v>7672</v>
      </c>
      <c r="G5155" t="s">
        <v>19157</v>
      </c>
      <c r="H5155" t="s">
        <v>14647</v>
      </c>
      <c r="I5155" t="s">
        <v>19162</v>
      </c>
      <c r="J5155" t="s">
        <v>7981</v>
      </c>
    </row>
    <row r="5156" spans="1:10" x14ac:dyDescent="0.25">
      <c r="A5156" t="s">
        <v>19163</v>
      </c>
      <c r="B5156">
        <v>6.2960000000000003</v>
      </c>
      <c r="C5156" t="s">
        <v>19164</v>
      </c>
      <c r="D5156" t="s">
        <v>582</v>
      </c>
      <c r="E5156" t="s">
        <v>19156</v>
      </c>
      <c r="F5156" t="s">
        <v>7672</v>
      </c>
      <c r="G5156" t="s">
        <v>19157</v>
      </c>
      <c r="H5156" t="s">
        <v>14647</v>
      </c>
      <c r="I5156" t="s">
        <v>11789</v>
      </c>
      <c r="J5156" t="s">
        <v>7984</v>
      </c>
    </row>
    <row r="5157" spans="1:10" x14ac:dyDescent="0.25">
      <c r="A5157" t="s">
        <v>19165</v>
      </c>
      <c r="B5157">
        <v>6.2960000000000003</v>
      </c>
      <c r="C5157" t="s">
        <v>19166</v>
      </c>
      <c r="D5157" t="s">
        <v>1143</v>
      </c>
      <c r="E5157" t="s">
        <v>19156</v>
      </c>
      <c r="F5157" t="s">
        <v>7672</v>
      </c>
      <c r="G5157" t="s">
        <v>19157</v>
      </c>
      <c r="H5157" t="s">
        <v>14647</v>
      </c>
      <c r="I5157" t="s">
        <v>19162</v>
      </c>
      <c r="J5157" t="s">
        <v>7984</v>
      </c>
    </row>
    <row r="5158" spans="1:10" x14ac:dyDescent="0.25">
      <c r="A5158" t="s">
        <v>19167</v>
      </c>
      <c r="B5158">
        <v>6.2960000000000003</v>
      </c>
      <c r="C5158" t="s">
        <v>19168</v>
      </c>
      <c r="D5158" t="s">
        <v>385</v>
      </c>
      <c r="E5158" t="s">
        <v>19156</v>
      </c>
      <c r="F5158" t="s">
        <v>7672</v>
      </c>
      <c r="G5158" t="s">
        <v>19157</v>
      </c>
      <c r="H5158" t="s">
        <v>14647</v>
      </c>
      <c r="I5158" t="s">
        <v>11789</v>
      </c>
      <c r="J5158" t="s">
        <v>7987</v>
      </c>
    </row>
    <row r="5159" spans="1:10" x14ac:dyDescent="0.25">
      <c r="A5159" t="s">
        <v>19169</v>
      </c>
      <c r="B5159">
        <v>6.2960000000000003</v>
      </c>
      <c r="C5159" t="s">
        <v>19170</v>
      </c>
      <c r="D5159" t="s">
        <v>588</v>
      </c>
      <c r="E5159" t="s">
        <v>19156</v>
      </c>
      <c r="F5159" t="s">
        <v>7672</v>
      </c>
      <c r="G5159" t="s">
        <v>19157</v>
      </c>
      <c r="H5159" t="s">
        <v>14647</v>
      </c>
      <c r="I5159" t="s">
        <v>19162</v>
      </c>
      <c r="J5159" t="s">
        <v>7987</v>
      </c>
    </row>
    <row r="5160" spans="1:10" x14ac:dyDescent="0.25">
      <c r="A5160" t="s">
        <v>19171</v>
      </c>
      <c r="B5160">
        <v>6.2960000000000003</v>
      </c>
      <c r="C5160" t="s">
        <v>19172</v>
      </c>
      <c r="D5160" t="s">
        <v>118</v>
      </c>
      <c r="E5160" t="s">
        <v>19156</v>
      </c>
      <c r="F5160" t="s">
        <v>7672</v>
      </c>
      <c r="G5160" t="s">
        <v>19157</v>
      </c>
      <c r="H5160" t="s">
        <v>14647</v>
      </c>
      <c r="I5160" t="s">
        <v>11789</v>
      </c>
      <c r="J5160" t="s">
        <v>8001</v>
      </c>
    </row>
    <row r="5161" spans="1:10" x14ac:dyDescent="0.25">
      <c r="A5161" t="s">
        <v>19173</v>
      </c>
      <c r="B5161">
        <v>6.2960000000000003</v>
      </c>
      <c r="C5161" t="s">
        <v>19174</v>
      </c>
      <c r="D5161" t="s">
        <v>2099</v>
      </c>
      <c r="E5161" t="s">
        <v>19156</v>
      </c>
      <c r="F5161" t="s">
        <v>7672</v>
      </c>
      <c r="G5161" t="s">
        <v>19157</v>
      </c>
      <c r="H5161" t="s">
        <v>14647</v>
      </c>
      <c r="I5161" t="s">
        <v>19162</v>
      </c>
      <c r="J5161" t="s">
        <v>8001</v>
      </c>
    </row>
    <row r="5162" spans="1:10" x14ac:dyDescent="0.25">
      <c r="A5162" t="s">
        <v>19175</v>
      </c>
      <c r="B5162">
        <v>11.192</v>
      </c>
      <c r="C5162" t="s">
        <v>19176</v>
      </c>
      <c r="D5162" t="s">
        <v>60</v>
      </c>
      <c r="E5162" t="s">
        <v>19177</v>
      </c>
      <c r="F5162" t="s">
        <v>7672</v>
      </c>
      <c r="G5162" t="s">
        <v>19178</v>
      </c>
      <c r="H5162" t="s">
        <v>10298</v>
      </c>
      <c r="I5162" t="s">
        <v>19179</v>
      </c>
      <c r="J5162" t="s">
        <v>7942</v>
      </c>
    </row>
    <row r="5163" spans="1:10" x14ac:dyDescent="0.25">
      <c r="A5163" t="s">
        <v>19180</v>
      </c>
      <c r="B5163">
        <v>11.192</v>
      </c>
      <c r="C5163" t="s">
        <v>19181</v>
      </c>
      <c r="D5163" t="s">
        <v>250</v>
      </c>
      <c r="E5163" t="s">
        <v>19177</v>
      </c>
      <c r="F5163" t="s">
        <v>7672</v>
      </c>
      <c r="G5163" t="s">
        <v>19178</v>
      </c>
      <c r="H5163" t="s">
        <v>10298</v>
      </c>
      <c r="I5163" t="s">
        <v>19182</v>
      </c>
      <c r="J5163" t="s">
        <v>7942</v>
      </c>
    </row>
    <row r="5164" spans="1:10" x14ac:dyDescent="0.25">
      <c r="A5164" t="s">
        <v>19183</v>
      </c>
      <c r="B5164">
        <v>11.192</v>
      </c>
      <c r="C5164" t="s">
        <v>19184</v>
      </c>
      <c r="D5164" t="s">
        <v>60</v>
      </c>
      <c r="E5164" t="s">
        <v>19177</v>
      </c>
      <c r="F5164" t="s">
        <v>7672</v>
      </c>
      <c r="G5164" t="s">
        <v>19178</v>
      </c>
      <c r="H5164" t="s">
        <v>10298</v>
      </c>
      <c r="I5164" t="s">
        <v>19179</v>
      </c>
      <c r="J5164" t="s">
        <v>7981</v>
      </c>
    </row>
    <row r="5165" spans="1:10" x14ac:dyDescent="0.25">
      <c r="A5165" t="s">
        <v>19185</v>
      </c>
      <c r="B5165">
        <v>11.192</v>
      </c>
      <c r="C5165" t="s">
        <v>19186</v>
      </c>
      <c r="D5165" t="s">
        <v>2910</v>
      </c>
      <c r="E5165" t="s">
        <v>19177</v>
      </c>
      <c r="F5165" t="s">
        <v>7672</v>
      </c>
      <c r="G5165" t="s">
        <v>19178</v>
      </c>
      <c r="H5165" t="s">
        <v>10298</v>
      </c>
      <c r="I5165" t="s">
        <v>19182</v>
      </c>
      <c r="J5165" t="s">
        <v>7981</v>
      </c>
    </row>
    <row r="5166" spans="1:10" x14ac:dyDescent="0.25">
      <c r="A5166" t="s">
        <v>19187</v>
      </c>
      <c r="B5166">
        <v>11.192</v>
      </c>
      <c r="C5166" t="s">
        <v>19188</v>
      </c>
      <c r="D5166" t="s">
        <v>875</v>
      </c>
      <c r="E5166" t="s">
        <v>19177</v>
      </c>
      <c r="F5166" t="s">
        <v>7672</v>
      </c>
      <c r="G5166" t="s">
        <v>19178</v>
      </c>
      <c r="H5166" t="s">
        <v>10298</v>
      </c>
      <c r="I5166" t="s">
        <v>19182</v>
      </c>
      <c r="J5166" t="s">
        <v>7984</v>
      </c>
    </row>
    <row r="5167" spans="1:10" x14ac:dyDescent="0.25">
      <c r="A5167" t="s">
        <v>19189</v>
      </c>
      <c r="B5167">
        <v>11.192</v>
      </c>
      <c r="C5167" t="s">
        <v>19190</v>
      </c>
      <c r="D5167" t="s">
        <v>234</v>
      </c>
      <c r="E5167" t="s">
        <v>19177</v>
      </c>
      <c r="F5167" t="s">
        <v>7672</v>
      </c>
      <c r="G5167" t="s">
        <v>19178</v>
      </c>
      <c r="H5167" t="s">
        <v>10298</v>
      </c>
      <c r="I5167" t="s">
        <v>19182</v>
      </c>
      <c r="J5167" t="s">
        <v>7987</v>
      </c>
    </row>
    <row r="5168" spans="1:10" x14ac:dyDescent="0.25">
      <c r="A5168" t="s">
        <v>19191</v>
      </c>
      <c r="B5168">
        <v>11.192</v>
      </c>
      <c r="C5168" t="s">
        <v>19192</v>
      </c>
      <c r="D5168" t="s">
        <v>106</v>
      </c>
      <c r="E5168" t="s">
        <v>19177</v>
      </c>
      <c r="F5168" t="s">
        <v>7672</v>
      </c>
      <c r="G5168" t="s">
        <v>19178</v>
      </c>
      <c r="H5168" t="s">
        <v>10298</v>
      </c>
      <c r="I5168" t="s">
        <v>19182</v>
      </c>
      <c r="J5168" t="s">
        <v>8001</v>
      </c>
    </row>
    <row r="5169" spans="1:10" x14ac:dyDescent="0.25">
      <c r="A5169" t="s">
        <v>19193</v>
      </c>
      <c r="B5169">
        <v>17.920000000000002</v>
      </c>
      <c r="C5169" t="s">
        <v>19194</v>
      </c>
      <c r="D5169" t="s">
        <v>2910</v>
      </c>
      <c r="E5169" t="s">
        <v>19195</v>
      </c>
      <c r="F5169" t="s">
        <v>7672</v>
      </c>
      <c r="G5169" t="s">
        <v>19196</v>
      </c>
      <c r="H5169" t="s">
        <v>7974</v>
      </c>
      <c r="I5169" t="s">
        <v>19197</v>
      </c>
      <c r="J5169" t="s">
        <v>9237</v>
      </c>
    </row>
    <row r="5170" spans="1:10" x14ac:dyDescent="0.25">
      <c r="A5170" t="s">
        <v>19198</v>
      </c>
      <c r="B5170">
        <v>17.920000000000002</v>
      </c>
      <c r="C5170" t="s">
        <v>19199</v>
      </c>
      <c r="D5170" t="s">
        <v>964</v>
      </c>
      <c r="E5170" t="s">
        <v>19195</v>
      </c>
      <c r="F5170" t="s">
        <v>7672</v>
      </c>
      <c r="G5170" t="s">
        <v>19196</v>
      </c>
      <c r="H5170" t="s">
        <v>7974</v>
      </c>
      <c r="I5170" t="s">
        <v>19200</v>
      </c>
      <c r="J5170" t="s">
        <v>9237</v>
      </c>
    </row>
    <row r="5171" spans="1:10" x14ac:dyDescent="0.25">
      <c r="A5171" t="s">
        <v>19201</v>
      </c>
      <c r="B5171">
        <v>17.920000000000002</v>
      </c>
      <c r="C5171" t="s">
        <v>19202</v>
      </c>
      <c r="D5171" t="s">
        <v>316</v>
      </c>
      <c r="E5171" t="s">
        <v>19195</v>
      </c>
      <c r="F5171" t="s">
        <v>7672</v>
      </c>
      <c r="G5171" t="s">
        <v>19196</v>
      </c>
      <c r="H5171" t="s">
        <v>7974</v>
      </c>
      <c r="I5171" t="s">
        <v>19200</v>
      </c>
      <c r="J5171" t="s">
        <v>8427</v>
      </c>
    </row>
    <row r="5172" spans="1:10" x14ac:dyDescent="0.25">
      <c r="A5172" t="s">
        <v>19203</v>
      </c>
      <c r="B5172">
        <v>17.920000000000002</v>
      </c>
      <c r="C5172" t="s">
        <v>19204</v>
      </c>
      <c r="D5172" t="s">
        <v>1014</v>
      </c>
      <c r="E5172" t="s">
        <v>19195</v>
      </c>
      <c r="F5172" t="s">
        <v>7672</v>
      </c>
      <c r="G5172" t="s">
        <v>19196</v>
      </c>
      <c r="H5172" t="s">
        <v>7974</v>
      </c>
      <c r="I5172" t="s">
        <v>19197</v>
      </c>
      <c r="J5172" t="s">
        <v>8427</v>
      </c>
    </row>
    <row r="5173" spans="1:10" x14ac:dyDescent="0.25">
      <c r="A5173" t="s">
        <v>19205</v>
      </c>
      <c r="B5173">
        <v>17.920000000000002</v>
      </c>
      <c r="C5173" t="s">
        <v>19206</v>
      </c>
      <c r="D5173" t="s">
        <v>7850</v>
      </c>
      <c r="E5173" t="s">
        <v>19195</v>
      </c>
      <c r="F5173" t="s">
        <v>7672</v>
      </c>
      <c r="G5173" t="s">
        <v>19196</v>
      </c>
      <c r="H5173" t="s">
        <v>7974</v>
      </c>
      <c r="I5173" t="s">
        <v>19197</v>
      </c>
      <c r="J5173" t="s">
        <v>8439</v>
      </c>
    </row>
    <row r="5174" spans="1:10" x14ac:dyDescent="0.25">
      <c r="A5174" t="s">
        <v>19207</v>
      </c>
      <c r="B5174">
        <v>17.920000000000002</v>
      </c>
      <c r="C5174" t="s">
        <v>19208</v>
      </c>
      <c r="D5174" t="s">
        <v>2078</v>
      </c>
      <c r="E5174" t="s">
        <v>19195</v>
      </c>
      <c r="F5174" t="s">
        <v>7672</v>
      </c>
      <c r="G5174" t="s">
        <v>19196</v>
      </c>
      <c r="H5174" t="s">
        <v>7974</v>
      </c>
      <c r="I5174" t="s">
        <v>19200</v>
      </c>
      <c r="J5174" t="s">
        <v>8439</v>
      </c>
    </row>
    <row r="5175" spans="1:10" x14ac:dyDescent="0.25">
      <c r="A5175" t="s">
        <v>19209</v>
      </c>
      <c r="B5175">
        <v>17.920000000000002</v>
      </c>
      <c r="C5175" t="s">
        <v>19210</v>
      </c>
      <c r="D5175" t="s">
        <v>2620</v>
      </c>
      <c r="E5175" t="s">
        <v>19195</v>
      </c>
      <c r="F5175" t="s">
        <v>7672</v>
      </c>
      <c r="G5175" t="s">
        <v>19196</v>
      </c>
      <c r="H5175" t="s">
        <v>7974</v>
      </c>
      <c r="I5175" t="s">
        <v>19200</v>
      </c>
      <c r="J5175" t="s">
        <v>8451</v>
      </c>
    </row>
    <row r="5176" spans="1:10" x14ac:dyDescent="0.25">
      <c r="A5176" t="s">
        <v>19211</v>
      </c>
      <c r="B5176">
        <v>17.920000000000002</v>
      </c>
      <c r="C5176" t="s">
        <v>19212</v>
      </c>
      <c r="D5176" t="s">
        <v>715</v>
      </c>
      <c r="E5176" t="s">
        <v>19195</v>
      </c>
      <c r="F5176" t="s">
        <v>7672</v>
      </c>
      <c r="G5176" t="s">
        <v>19196</v>
      </c>
      <c r="H5176" t="s">
        <v>7974</v>
      </c>
      <c r="I5176" t="s">
        <v>19197</v>
      </c>
      <c r="J5176" t="s">
        <v>8451</v>
      </c>
    </row>
    <row r="5177" spans="1:10" x14ac:dyDescent="0.25">
      <c r="A5177" t="s">
        <v>19213</v>
      </c>
      <c r="B5177">
        <v>17.920000000000002</v>
      </c>
      <c r="C5177" t="s">
        <v>19214</v>
      </c>
      <c r="D5177" t="s">
        <v>60</v>
      </c>
      <c r="E5177" t="s">
        <v>19195</v>
      </c>
      <c r="F5177" t="s">
        <v>7672</v>
      </c>
      <c r="G5177" t="s">
        <v>19196</v>
      </c>
      <c r="H5177" t="s">
        <v>7974</v>
      </c>
      <c r="I5177" t="s">
        <v>19200</v>
      </c>
      <c r="J5177" t="s">
        <v>8462</v>
      </c>
    </row>
    <row r="5178" spans="1:10" x14ac:dyDescent="0.25">
      <c r="A5178" t="s">
        <v>19215</v>
      </c>
      <c r="B5178">
        <v>17.920000000000002</v>
      </c>
      <c r="C5178" t="s">
        <v>19216</v>
      </c>
      <c r="D5178" t="s">
        <v>164</v>
      </c>
      <c r="E5178" t="s">
        <v>19195</v>
      </c>
      <c r="F5178" t="s">
        <v>7672</v>
      </c>
      <c r="G5178" t="s">
        <v>19196</v>
      </c>
      <c r="H5178" t="s">
        <v>7974</v>
      </c>
      <c r="I5178" t="s">
        <v>19197</v>
      </c>
      <c r="J5178" t="s">
        <v>8462</v>
      </c>
    </row>
    <row r="5179" spans="1:10" x14ac:dyDescent="0.25">
      <c r="A5179" t="s">
        <v>19217</v>
      </c>
      <c r="B5179">
        <v>17.920000000000002</v>
      </c>
      <c r="C5179" t="s">
        <v>19218</v>
      </c>
      <c r="D5179" t="s">
        <v>964</v>
      </c>
      <c r="E5179" t="s">
        <v>19195</v>
      </c>
      <c r="F5179" t="s">
        <v>7672</v>
      </c>
      <c r="G5179" t="s">
        <v>19196</v>
      </c>
      <c r="H5179" t="s">
        <v>7974</v>
      </c>
      <c r="I5179" t="s">
        <v>19200</v>
      </c>
      <c r="J5179" t="s">
        <v>9998</v>
      </c>
    </row>
    <row r="5180" spans="1:10" x14ac:dyDescent="0.25">
      <c r="A5180" t="s">
        <v>19219</v>
      </c>
      <c r="B5180">
        <v>17.920000000000002</v>
      </c>
      <c r="C5180" t="s">
        <v>19220</v>
      </c>
      <c r="D5180" t="s">
        <v>366</v>
      </c>
      <c r="E5180" t="s">
        <v>19195</v>
      </c>
      <c r="F5180" t="s">
        <v>7672</v>
      </c>
      <c r="G5180" t="s">
        <v>19196</v>
      </c>
      <c r="H5180" t="s">
        <v>7974</v>
      </c>
      <c r="I5180" t="s">
        <v>19197</v>
      </c>
      <c r="J5180" t="s">
        <v>9998</v>
      </c>
    </row>
    <row r="5181" spans="1:10" x14ac:dyDescent="0.25">
      <c r="A5181" t="s">
        <v>19221</v>
      </c>
      <c r="B5181">
        <v>16</v>
      </c>
      <c r="C5181" t="s">
        <v>19222</v>
      </c>
      <c r="D5181" t="s">
        <v>742</v>
      </c>
      <c r="E5181" t="s">
        <v>19223</v>
      </c>
      <c r="F5181" t="s">
        <v>7672</v>
      </c>
      <c r="G5181" t="s">
        <v>19224</v>
      </c>
      <c r="H5181" t="s">
        <v>11496</v>
      </c>
      <c r="I5181" t="s">
        <v>19225</v>
      </c>
      <c r="J5181" t="s">
        <v>19226</v>
      </c>
    </row>
    <row r="5182" spans="1:10" x14ac:dyDescent="0.25">
      <c r="A5182" t="s">
        <v>19227</v>
      </c>
      <c r="B5182">
        <v>16</v>
      </c>
      <c r="C5182" t="s">
        <v>19228</v>
      </c>
      <c r="D5182" t="s">
        <v>9167</v>
      </c>
      <c r="E5182" t="s">
        <v>19223</v>
      </c>
      <c r="F5182" t="s">
        <v>7672</v>
      </c>
      <c r="G5182" t="s">
        <v>19224</v>
      </c>
      <c r="H5182" t="s">
        <v>11496</v>
      </c>
      <c r="I5182" t="s">
        <v>19225</v>
      </c>
      <c r="J5182" t="s">
        <v>19229</v>
      </c>
    </row>
    <row r="5183" spans="1:10" x14ac:dyDescent="0.25">
      <c r="A5183" t="s">
        <v>19230</v>
      </c>
      <c r="B5183">
        <v>16</v>
      </c>
      <c r="C5183" t="s">
        <v>19231</v>
      </c>
      <c r="D5183" t="s">
        <v>13122</v>
      </c>
      <c r="E5183" t="s">
        <v>19223</v>
      </c>
      <c r="F5183" t="s">
        <v>7672</v>
      </c>
      <c r="G5183" t="s">
        <v>19224</v>
      </c>
      <c r="H5183" t="s">
        <v>11496</v>
      </c>
      <c r="I5183" t="s">
        <v>19225</v>
      </c>
      <c r="J5183" t="s">
        <v>11767</v>
      </c>
    </row>
    <row r="5184" spans="1:10" x14ac:dyDescent="0.25">
      <c r="A5184" t="s">
        <v>19232</v>
      </c>
      <c r="B5184">
        <v>3.6320000000000001</v>
      </c>
      <c r="C5184" t="s">
        <v>19233</v>
      </c>
      <c r="D5184" t="s">
        <v>2697</v>
      </c>
      <c r="E5184" t="s">
        <v>19234</v>
      </c>
      <c r="F5184" t="s">
        <v>7672</v>
      </c>
      <c r="G5184" t="s">
        <v>19235</v>
      </c>
      <c r="H5184" t="s">
        <v>8515</v>
      </c>
      <c r="I5184" t="s">
        <v>19236</v>
      </c>
      <c r="J5184" t="s">
        <v>100</v>
      </c>
    </row>
    <row r="5185" spans="1:10" x14ac:dyDescent="0.25">
      <c r="A5185" t="s">
        <v>19237</v>
      </c>
      <c r="B5185">
        <v>3.6320000000000001</v>
      </c>
      <c r="C5185" t="s">
        <v>19238</v>
      </c>
      <c r="D5185" t="s">
        <v>2381</v>
      </c>
      <c r="E5185" t="s">
        <v>19234</v>
      </c>
      <c r="F5185" t="s">
        <v>7672</v>
      </c>
      <c r="G5185" t="s">
        <v>19235</v>
      </c>
      <c r="H5185" t="s">
        <v>8515</v>
      </c>
      <c r="I5185" t="s">
        <v>19236</v>
      </c>
      <c r="J5185" t="s">
        <v>106</v>
      </c>
    </row>
    <row r="5186" spans="1:10" x14ac:dyDescent="0.25">
      <c r="A5186" t="s">
        <v>19239</v>
      </c>
      <c r="B5186">
        <v>3.6320000000000001</v>
      </c>
      <c r="C5186" t="s">
        <v>19240</v>
      </c>
      <c r="D5186" t="s">
        <v>131</v>
      </c>
      <c r="E5186" t="s">
        <v>19234</v>
      </c>
      <c r="F5186" t="s">
        <v>7672</v>
      </c>
      <c r="G5186" t="s">
        <v>19235</v>
      </c>
      <c r="H5186" t="s">
        <v>8515</v>
      </c>
      <c r="I5186" t="s">
        <v>19236</v>
      </c>
      <c r="J5186" t="s">
        <v>88</v>
      </c>
    </row>
    <row r="5187" spans="1:10" x14ac:dyDescent="0.25">
      <c r="A5187" t="s">
        <v>19241</v>
      </c>
      <c r="B5187">
        <v>3.6320000000000001</v>
      </c>
      <c r="C5187" t="s">
        <v>19242</v>
      </c>
      <c r="D5187" t="s">
        <v>843</v>
      </c>
      <c r="E5187" t="s">
        <v>19234</v>
      </c>
      <c r="F5187" t="s">
        <v>7672</v>
      </c>
      <c r="G5187" t="s">
        <v>19235</v>
      </c>
      <c r="H5187" t="s">
        <v>8515</v>
      </c>
      <c r="I5187" t="s">
        <v>19236</v>
      </c>
      <c r="J5187" t="s">
        <v>8531</v>
      </c>
    </row>
    <row r="5188" spans="1:10" x14ac:dyDescent="0.25">
      <c r="A5188" t="s">
        <v>19243</v>
      </c>
      <c r="B5188">
        <v>3.6320000000000001</v>
      </c>
      <c r="C5188" t="s">
        <v>19244</v>
      </c>
      <c r="D5188" t="s">
        <v>1852</v>
      </c>
      <c r="E5188" t="s">
        <v>19234</v>
      </c>
      <c r="F5188" t="s">
        <v>7672</v>
      </c>
      <c r="G5188" t="s">
        <v>19235</v>
      </c>
      <c r="H5188" t="s">
        <v>8515</v>
      </c>
      <c r="I5188" t="s">
        <v>19236</v>
      </c>
      <c r="J5188" t="s">
        <v>131</v>
      </c>
    </row>
    <row r="5189" spans="1:10" x14ac:dyDescent="0.25">
      <c r="A5189" t="s">
        <v>19245</v>
      </c>
      <c r="B5189">
        <v>3.6320000000000001</v>
      </c>
      <c r="C5189" t="s">
        <v>19246</v>
      </c>
      <c r="D5189" t="s">
        <v>385</v>
      </c>
      <c r="E5189" t="s">
        <v>19234</v>
      </c>
      <c r="F5189" t="s">
        <v>7672</v>
      </c>
      <c r="G5189" t="s">
        <v>19235</v>
      </c>
      <c r="H5189" t="s">
        <v>8515</v>
      </c>
      <c r="I5189" t="s">
        <v>19236</v>
      </c>
      <c r="J5189" t="s">
        <v>255</v>
      </c>
    </row>
    <row r="5190" spans="1:10" x14ac:dyDescent="0.25">
      <c r="A5190" t="s">
        <v>19247</v>
      </c>
      <c r="B5190">
        <v>3.6320000000000001</v>
      </c>
      <c r="C5190" t="s">
        <v>19248</v>
      </c>
      <c r="D5190" t="s">
        <v>835</v>
      </c>
      <c r="E5190" t="s">
        <v>19234</v>
      </c>
      <c r="F5190" t="s">
        <v>7672</v>
      </c>
      <c r="G5190" t="s">
        <v>19235</v>
      </c>
      <c r="H5190" t="s">
        <v>8515</v>
      </c>
      <c r="I5190" t="s">
        <v>19236</v>
      </c>
      <c r="J5190" t="s">
        <v>277</v>
      </c>
    </row>
    <row r="5191" spans="1:10" x14ac:dyDescent="0.25">
      <c r="A5191" t="s">
        <v>19249</v>
      </c>
      <c r="B5191">
        <v>4.8000000000000007</v>
      </c>
      <c r="C5191" t="s">
        <v>19250</v>
      </c>
      <c r="D5191" t="s">
        <v>2078</v>
      </c>
      <c r="E5191" t="s">
        <v>19251</v>
      </c>
      <c r="F5191" t="s">
        <v>7672</v>
      </c>
      <c r="G5191" t="s">
        <v>19252</v>
      </c>
      <c r="H5191" t="s">
        <v>11496</v>
      </c>
      <c r="I5191" t="s">
        <v>15475</v>
      </c>
      <c r="J5191" t="s">
        <v>9423</v>
      </c>
    </row>
    <row r="5192" spans="1:10" x14ac:dyDescent="0.25">
      <c r="A5192" t="s">
        <v>19253</v>
      </c>
      <c r="B5192">
        <v>4.8000000000000007</v>
      </c>
      <c r="C5192" t="s">
        <v>19254</v>
      </c>
      <c r="D5192" t="s">
        <v>644</v>
      </c>
      <c r="E5192" t="s">
        <v>19251</v>
      </c>
      <c r="F5192" t="s">
        <v>7672</v>
      </c>
      <c r="G5192" t="s">
        <v>19252</v>
      </c>
      <c r="H5192" t="s">
        <v>11496</v>
      </c>
      <c r="I5192" t="s">
        <v>15475</v>
      </c>
      <c r="J5192" t="s">
        <v>10862</v>
      </c>
    </row>
    <row r="5193" spans="1:10" x14ac:dyDescent="0.25">
      <c r="A5193" t="s">
        <v>19255</v>
      </c>
      <c r="B5193">
        <v>4.8000000000000007</v>
      </c>
      <c r="C5193" t="s">
        <v>19256</v>
      </c>
      <c r="D5193" t="s">
        <v>4679</v>
      </c>
      <c r="E5193" t="s">
        <v>19251</v>
      </c>
      <c r="F5193" t="s">
        <v>7672</v>
      </c>
      <c r="G5193" t="s">
        <v>19252</v>
      </c>
      <c r="H5193" t="s">
        <v>11496</v>
      </c>
      <c r="I5193" t="s">
        <v>15475</v>
      </c>
      <c r="J5193" t="s">
        <v>9426</v>
      </c>
    </row>
    <row r="5194" spans="1:10" x14ac:dyDescent="0.25">
      <c r="A5194" t="s">
        <v>19257</v>
      </c>
      <c r="B5194">
        <v>4.8000000000000007</v>
      </c>
      <c r="C5194" t="s">
        <v>19258</v>
      </c>
      <c r="D5194" t="s">
        <v>10785</v>
      </c>
      <c r="E5194" t="s">
        <v>19251</v>
      </c>
      <c r="F5194" t="s">
        <v>7672</v>
      </c>
      <c r="G5194" t="s">
        <v>19252</v>
      </c>
      <c r="H5194" t="s">
        <v>11496</v>
      </c>
      <c r="I5194" t="s">
        <v>15475</v>
      </c>
      <c r="J5194" t="s">
        <v>13084</v>
      </c>
    </row>
    <row r="5195" spans="1:10" x14ac:dyDescent="0.25">
      <c r="A5195" t="s">
        <v>19259</v>
      </c>
      <c r="B5195">
        <v>4.8000000000000007</v>
      </c>
      <c r="C5195" t="s">
        <v>19260</v>
      </c>
      <c r="D5195" t="s">
        <v>17459</v>
      </c>
      <c r="E5195" t="s">
        <v>19251</v>
      </c>
      <c r="F5195" t="s">
        <v>7672</v>
      </c>
      <c r="G5195" t="s">
        <v>19252</v>
      </c>
      <c r="H5195" t="s">
        <v>11496</v>
      </c>
      <c r="I5195" t="s">
        <v>15475</v>
      </c>
      <c r="J5195" t="s">
        <v>11767</v>
      </c>
    </row>
    <row r="5196" spans="1:10" x14ac:dyDescent="0.25">
      <c r="A5196" t="s">
        <v>19261</v>
      </c>
      <c r="B5196">
        <v>4.8000000000000007</v>
      </c>
      <c r="C5196" t="s">
        <v>19262</v>
      </c>
      <c r="D5196" t="s">
        <v>7670</v>
      </c>
      <c r="E5196" t="s">
        <v>19251</v>
      </c>
      <c r="F5196" t="s">
        <v>7672</v>
      </c>
      <c r="G5196" t="s">
        <v>19252</v>
      </c>
      <c r="H5196" t="s">
        <v>11496</v>
      </c>
      <c r="I5196" t="s">
        <v>15475</v>
      </c>
      <c r="J5196" t="s">
        <v>11582</v>
      </c>
    </row>
    <row r="5197" spans="1:10" x14ac:dyDescent="0.25">
      <c r="A5197" t="s">
        <v>19263</v>
      </c>
      <c r="B5197">
        <v>4.8000000000000007</v>
      </c>
      <c r="C5197" t="s">
        <v>19264</v>
      </c>
      <c r="D5197" t="s">
        <v>359</v>
      </c>
      <c r="E5197" t="s">
        <v>19251</v>
      </c>
      <c r="F5197" t="s">
        <v>7672</v>
      </c>
      <c r="G5197" t="s">
        <v>19252</v>
      </c>
      <c r="H5197" t="s">
        <v>11496</v>
      </c>
      <c r="I5197" t="s">
        <v>15475</v>
      </c>
      <c r="J5197" t="s">
        <v>11585</v>
      </c>
    </row>
    <row r="5198" spans="1:10" x14ac:dyDescent="0.25">
      <c r="A5198" t="s">
        <v>19265</v>
      </c>
      <c r="B5198">
        <v>6.9840000000000009</v>
      </c>
      <c r="C5198" t="s">
        <v>19266</v>
      </c>
      <c r="D5198" t="s">
        <v>875</v>
      </c>
      <c r="E5198" t="s">
        <v>19267</v>
      </c>
      <c r="F5198" t="s">
        <v>7672</v>
      </c>
      <c r="G5198" t="s">
        <v>19268</v>
      </c>
      <c r="H5198" t="s">
        <v>13897</v>
      </c>
      <c r="I5198" t="s">
        <v>19269</v>
      </c>
      <c r="J5198" t="s">
        <v>9423</v>
      </c>
    </row>
    <row r="5199" spans="1:10" x14ac:dyDescent="0.25">
      <c r="A5199" t="s">
        <v>19270</v>
      </c>
      <c r="B5199">
        <v>6.9840000000000009</v>
      </c>
      <c r="C5199" t="s">
        <v>19271</v>
      </c>
      <c r="D5199" t="s">
        <v>1621</v>
      </c>
      <c r="E5199" t="s">
        <v>19267</v>
      </c>
      <c r="F5199" t="s">
        <v>7672</v>
      </c>
      <c r="G5199" t="s">
        <v>19268</v>
      </c>
      <c r="H5199" t="s">
        <v>13897</v>
      </c>
      <c r="I5199" t="s">
        <v>19269</v>
      </c>
      <c r="J5199" t="s">
        <v>10862</v>
      </c>
    </row>
    <row r="5200" spans="1:10" x14ac:dyDescent="0.25">
      <c r="A5200" t="s">
        <v>19272</v>
      </c>
      <c r="B5200">
        <v>6.9840000000000009</v>
      </c>
      <c r="C5200" t="s">
        <v>19273</v>
      </c>
      <c r="D5200" t="s">
        <v>725</v>
      </c>
      <c r="E5200" t="s">
        <v>19267</v>
      </c>
      <c r="F5200" t="s">
        <v>7672</v>
      </c>
      <c r="G5200" t="s">
        <v>19268</v>
      </c>
      <c r="H5200" t="s">
        <v>13897</v>
      </c>
      <c r="I5200" t="s">
        <v>19269</v>
      </c>
      <c r="J5200" t="s">
        <v>9426</v>
      </c>
    </row>
    <row r="5201" spans="1:10" x14ac:dyDescent="0.25">
      <c r="A5201" t="s">
        <v>19274</v>
      </c>
      <c r="B5201">
        <v>6.9840000000000009</v>
      </c>
      <c r="C5201" t="s">
        <v>19275</v>
      </c>
      <c r="D5201" t="s">
        <v>705</v>
      </c>
      <c r="E5201" t="s">
        <v>19267</v>
      </c>
      <c r="F5201" t="s">
        <v>7672</v>
      </c>
      <c r="G5201" t="s">
        <v>19268</v>
      </c>
      <c r="H5201" t="s">
        <v>13897</v>
      </c>
      <c r="I5201" t="s">
        <v>19269</v>
      </c>
      <c r="J5201" t="s">
        <v>13084</v>
      </c>
    </row>
    <row r="5202" spans="1:10" x14ac:dyDescent="0.25">
      <c r="A5202" t="s">
        <v>19276</v>
      </c>
      <c r="B5202">
        <v>6.9840000000000009</v>
      </c>
      <c r="C5202" t="s">
        <v>19277</v>
      </c>
      <c r="D5202" t="s">
        <v>1236</v>
      </c>
      <c r="E5202" t="s">
        <v>19267</v>
      </c>
      <c r="F5202" t="s">
        <v>7672</v>
      </c>
      <c r="G5202" t="s">
        <v>19268</v>
      </c>
      <c r="H5202" t="s">
        <v>13897</v>
      </c>
      <c r="I5202" t="s">
        <v>19269</v>
      </c>
      <c r="J5202" t="s">
        <v>11767</v>
      </c>
    </row>
    <row r="5203" spans="1:10" x14ac:dyDescent="0.25">
      <c r="A5203" t="s">
        <v>19278</v>
      </c>
      <c r="B5203">
        <v>6.9840000000000009</v>
      </c>
      <c r="C5203" t="s">
        <v>19279</v>
      </c>
      <c r="D5203" t="s">
        <v>698</v>
      </c>
      <c r="E5203" t="s">
        <v>19267</v>
      </c>
      <c r="F5203" t="s">
        <v>7672</v>
      </c>
      <c r="G5203" t="s">
        <v>19268</v>
      </c>
      <c r="H5203" t="s">
        <v>13897</v>
      </c>
      <c r="I5203" t="s">
        <v>19269</v>
      </c>
      <c r="J5203" t="s">
        <v>11582</v>
      </c>
    </row>
    <row r="5204" spans="1:10" x14ac:dyDescent="0.25">
      <c r="A5204" t="s">
        <v>19280</v>
      </c>
      <c r="B5204">
        <v>6.8000000000000007</v>
      </c>
      <c r="C5204" t="s">
        <v>19281</v>
      </c>
      <c r="D5204" t="s">
        <v>2697</v>
      </c>
      <c r="E5204" t="s">
        <v>19282</v>
      </c>
      <c r="F5204" t="s">
        <v>7672</v>
      </c>
      <c r="G5204" t="s">
        <v>19283</v>
      </c>
      <c r="H5204" t="s">
        <v>11381</v>
      </c>
      <c r="I5204" t="s">
        <v>19284</v>
      </c>
      <c r="J5204" t="s">
        <v>12096</v>
      </c>
    </row>
    <row r="5205" spans="1:10" x14ac:dyDescent="0.25">
      <c r="A5205" t="s">
        <v>19285</v>
      </c>
      <c r="B5205">
        <v>6.8000000000000007</v>
      </c>
      <c r="C5205" t="s">
        <v>19286</v>
      </c>
      <c r="D5205" t="s">
        <v>5145</v>
      </c>
      <c r="E5205" t="s">
        <v>19282</v>
      </c>
      <c r="F5205" t="s">
        <v>7672</v>
      </c>
      <c r="G5205" t="s">
        <v>19283</v>
      </c>
      <c r="H5205" t="s">
        <v>11381</v>
      </c>
      <c r="I5205" t="s">
        <v>19287</v>
      </c>
      <c r="J5205" t="s">
        <v>12096</v>
      </c>
    </row>
    <row r="5206" spans="1:10" x14ac:dyDescent="0.25">
      <c r="A5206" t="s">
        <v>19288</v>
      </c>
      <c r="B5206">
        <v>6.8000000000000007</v>
      </c>
      <c r="C5206" t="s">
        <v>19289</v>
      </c>
      <c r="D5206" t="s">
        <v>124</v>
      </c>
      <c r="E5206" t="s">
        <v>19282</v>
      </c>
      <c r="F5206" t="s">
        <v>7672</v>
      </c>
      <c r="G5206" t="s">
        <v>19283</v>
      </c>
      <c r="H5206" t="s">
        <v>11381</v>
      </c>
      <c r="I5206" t="s">
        <v>19287</v>
      </c>
      <c r="J5206" t="s">
        <v>269</v>
      </c>
    </row>
    <row r="5207" spans="1:10" x14ac:dyDescent="0.25">
      <c r="A5207" t="s">
        <v>19290</v>
      </c>
      <c r="B5207">
        <v>6.8000000000000007</v>
      </c>
      <c r="C5207" t="s">
        <v>19291</v>
      </c>
      <c r="D5207" t="s">
        <v>352</v>
      </c>
      <c r="E5207" t="s">
        <v>19282</v>
      </c>
      <c r="F5207" t="s">
        <v>7672</v>
      </c>
      <c r="G5207" t="s">
        <v>19283</v>
      </c>
      <c r="H5207" t="s">
        <v>11381</v>
      </c>
      <c r="I5207" t="s">
        <v>19292</v>
      </c>
      <c r="J5207" t="s">
        <v>269</v>
      </c>
    </row>
    <row r="5208" spans="1:10" x14ac:dyDescent="0.25">
      <c r="A5208" t="s">
        <v>19293</v>
      </c>
      <c r="B5208">
        <v>15.992000000000001</v>
      </c>
      <c r="C5208" t="s">
        <v>19294</v>
      </c>
      <c r="D5208" t="s">
        <v>330</v>
      </c>
      <c r="E5208" t="s">
        <v>19295</v>
      </c>
      <c r="F5208" t="s">
        <v>7672</v>
      </c>
      <c r="G5208" t="s">
        <v>19296</v>
      </c>
      <c r="H5208" t="s">
        <v>12137</v>
      </c>
      <c r="I5208" t="s">
        <v>235</v>
      </c>
      <c r="J5208" t="s">
        <v>7966</v>
      </c>
    </row>
    <row r="5209" spans="1:10" x14ac:dyDescent="0.25">
      <c r="A5209" t="s">
        <v>19297</v>
      </c>
      <c r="B5209">
        <v>15.992000000000001</v>
      </c>
      <c r="C5209" t="s">
        <v>19298</v>
      </c>
      <c r="D5209" t="s">
        <v>330</v>
      </c>
      <c r="E5209" t="s">
        <v>19295</v>
      </c>
      <c r="F5209" t="s">
        <v>7672</v>
      </c>
      <c r="G5209" t="s">
        <v>19296</v>
      </c>
      <c r="H5209" t="s">
        <v>12137</v>
      </c>
      <c r="I5209" t="s">
        <v>235</v>
      </c>
      <c r="J5209" t="s">
        <v>131</v>
      </c>
    </row>
    <row r="5210" spans="1:10" x14ac:dyDescent="0.25">
      <c r="A5210" t="s">
        <v>19299</v>
      </c>
      <c r="B5210">
        <v>15.992000000000001</v>
      </c>
      <c r="C5210" t="s">
        <v>19300</v>
      </c>
      <c r="D5210" t="s">
        <v>240</v>
      </c>
      <c r="E5210" t="s">
        <v>19295</v>
      </c>
      <c r="F5210" t="s">
        <v>7672</v>
      </c>
      <c r="G5210" t="s">
        <v>19296</v>
      </c>
      <c r="H5210" t="s">
        <v>12137</v>
      </c>
      <c r="I5210" t="s">
        <v>235</v>
      </c>
      <c r="J5210" t="s">
        <v>269</v>
      </c>
    </row>
    <row r="5211" spans="1:10" x14ac:dyDescent="0.25">
      <c r="A5211" t="s">
        <v>19301</v>
      </c>
      <c r="B5211">
        <v>15.992000000000001</v>
      </c>
      <c r="C5211" t="s">
        <v>19302</v>
      </c>
      <c r="D5211" t="s">
        <v>450</v>
      </c>
      <c r="E5211" t="s">
        <v>19295</v>
      </c>
      <c r="F5211" t="s">
        <v>7672</v>
      </c>
      <c r="G5211" t="s">
        <v>19296</v>
      </c>
      <c r="H5211" t="s">
        <v>12137</v>
      </c>
      <c r="I5211" t="s">
        <v>235</v>
      </c>
      <c r="J5211" t="s">
        <v>7968</v>
      </c>
    </row>
    <row r="5212" spans="1:10" x14ac:dyDescent="0.25">
      <c r="A5212" t="s">
        <v>19303</v>
      </c>
      <c r="B5212">
        <v>15.992000000000001</v>
      </c>
      <c r="C5212" t="s">
        <v>19304</v>
      </c>
      <c r="D5212" t="s">
        <v>2149</v>
      </c>
      <c r="E5212" t="s">
        <v>19295</v>
      </c>
      <c r="F5212" t="s">
        <v>7672</v>
      </c>
      <c r="G5212" t="s">
        <v>19296</v>
      </c>
      <c r="H5212" t="s">
        <v>12137</v>
      </c>
      <c r="I5212" t="s">
        <v>235</v>
      </c>
      <c r="J5212" t="s">
        <v>576</v>
      </c>
    </row>
    <row r="5213" spans="1:10" x14ac:dyDescent="0.25">
      <c r="A5213" t="s">
        <v>19305</v>
      </c>
      <c r="B5213">
        <v>15.992000000000001</v>
      </c>
      <c r="C5213" t="s">
        <v>19306</v>
      </c>
      <c r="D5213" t="s">
        <v>379</v>
      </c>
      <c r="E5213" t="s">
        <v>19295</v>
      </c>
      <c r="F5213" t="s">
        <v>7672</v>
      </c>
      <c r="G5213" t="s">
        <v>19296</v>
      </c>
      <c r="H5213" t="s">
        <v>12137</v>
      </c>
      <c r="I5213" t="s">
        <v>235</v>
      </c>
      <c r="J5213" t="s">
        <v>7969</v>
      </c>
    </row>
    <row r="5214" spans="1:10" x14ac:dyDescent="0.25">
      <c r="A5214" t="s">
        <v>19307</v>
      </c>
      <c r="B5214">
        <v>15.992000000000001</v>
      </c>
      <c r="C5214" t="s">
        <v>19308</v>
      </c>
      <c r="D5214" t="s">
        <v>113</v>
      </c>
      <c r="E5214" t="s">
        <v>19295</v>
      </c>
      <c r="F5214" t="s">
        <v>7672</v>
      </c>
      <c r="G5214" t="s">
        <v>19296</v>
      </c>
      <c r="H5214" t="s">
        <v>12137</v>
      </c>
      <c r="I5214" t="s">
        <v>235</v>
      </c>
      <c r="J5214" t="s">
        <v>255</v>
      </c>
    </row>
    <row r="5215" spans="1:10" x14ac:dyDescent="0.25">
      <c r="A5215" t="s">
        <v>19309</v>
      </c>
      <c r="B5215">
        <v>15.992000000000001</v>
      </c>
      <c r="C5215" t="s">
        <v>19310</v>
      </c>
      <c r="D5215" t="s">
        <v>53</v>
      </c>
      <c r="E5215" t="s">
        <v>19295</v>
      </c>
      <c r="F5215" t="s">
        <v>7672</v>
      </c>
      <c r="G5215" t="s">
        <v>19296</v>
      </c>
      <c r="H5215" t="s">
        <v>12137</v>
      </c>
      <c r="I5215" t="s">
        <v>235</v>
      </c>
      <c r="J5215" t="s">
        <v>282</v>
      </c>
    </row>
    <row r="5216" spans="1:10" x14ac:dyDescent="0.25">
      <c r="A5216" t="s">
        <v>19311</v>
      </c>
      <c r="B5216">
        <v>4.1920000000000002</v>
      </c>
      <c r="C5216" t="s">
        <v>19312</v>
      </c>
      <c r="D5216" t="s">
        <v>926</v>
      </c>
      <c r="E5216" t="s">
        <v>19313</v>
      </c>
      <c r="F5216" t="s">
        <v>7672</v>
      </c>
      <c r="G5216" t="s">
        <v>19314</v>
      </c>
      <c r="H5216" t="s">
        <v>11381</v>
      </c>
      <c r="I5216" t="s">
        <v>278</v>
      </c>
      <c r="J5216" t="s">
        <v>9694</v>
      </c>
    </row>
    <row r="5217" spans="1:10" x14ac:dyDescent="0.25">
      <c r="A5217" t="s">
        <v>19315</v>
      </c>
      <c r="B5217">
        <v>3.2</v>
      </c>
      <c r="C5217" t="s">
        <v>19316</v>
      </c>
      <c r="D5217" t="s">
        <v>1459</v>
      </c>
      <c r="E5217" t="s">
        <v>19317</v>
      </c>
      <c r="F5217" t="s">
        <v>7672</v>
      </c>
      <c r="G5217" t="s">
        <v>19318</v>
      </c>
      <c r="H5217" t="s">
        <v>7674</v>
      </c>
      <c r="I5217" t="s">
        <v>19319</v>
      </c>
      <c r="J5217" t="s">
        <v>7984</v>
      </c>
    </row>
    <row r="5218" spans="1:10" x14ac:dyDescent="0.25">
      <c r="A5218" t="s">
        <v>19320</v>
      </c>
      <c r="B5218">
        <v>3.2</v>
      </c>
      <c r="C5218" t="s">
        <v>19321</v>
      </c>
      <c r="D5218" t="s">
        <v>342</v>
      </c>
      <c r="E5218" t="s">
        <v>19317</v>
      </c>
      <c r="F5218" t="s">
        <v>7672</v>
      </c>
      <c r="G5218" t="s">
        <v>19318</v>
      </c>
      <c r="H5218" t="s">
        <v>7674</v>
      </c>
      <c r="I5218" t="s">
        <v>19322</v>
      </c>
      <c r="J5218" t="s">
        <v>7987</v>
      </c>
    </row>
    <row r="5219" spans="1:10" x14ac:dyDescent="0.25">
      <c r="A5219" t="s">
        <v>19323</v>
      </c>
      <c r="B5219">
        <v>3.2</v>
      </c>
      <c r="C5219" t="s">
        <v>19324</v>
      </c>
      <c r="D5219" t="s">
        <v>9124</v>
      </c>
      <c r="E5219" t="s">
        <v>19317</v>
      </c>
      <c r="F5219" t="s">
        <v>7672</v>
      </c>
      <c r="G5219" t="s">
        <v>19318</v>
      </c>
      <c r="H5219" t="s">
        <v>7674</v>
      </c>
      <c r="I5219" t="s">
        <v>19319</v>
      </c>
      <c r="J5219" t="s">
        <v>7987</v>
      </c>
    </row>
    <row r="5220" spans="1:10" x14ac:dyDescent="0.25">
      <c r="A5220" t="s">
        <v>19325</v>
      </c>
      <c r="B5220">
        <v>3.2</v>
      </c>
      <c r="C5220" t="s">
        <v>19326</v>
      </c>
      <c r="D5220" t="s">
        <v>359</v>
      </c>
      <c r="E5220" t="s">
        <v>19317</v>
      </c>
      <c r="F5220" t="s">
        <v>7672</v>
      </c>
      <c r="G5220" t="s">
        <v>19318</v>
      </c>
      <c r="H5220" t="s">
        <v>7674</v>
      </c>
      <c r="I5220" t="s">
        <v>19319</v>
      </c>
      <c r="J5220" t="s">
        <v>8001</v>
      </c>
    </row>
    <row r="5221" spans="1:10" x14ac:dyDescent="0.25">
      <c r="A5221" t="s">
        <v>19327</v>
      </c>
      <c r="B5221">
        <v>6.9920000000000009</v>
      </c>
      <c r="C5221" t="s">
        <v>19328</v>
      </c>
      <c r="D5221" t="s">
        <v>1822</v>
      </c>
      <c r="E5221" t="s">
        <v>19329</v>
      </c>
      <c r="F5221" t="s">
        <v>7672</v>
      </c>
      <c r="G5221" t="s">
        <v>19330</v>
      </c>
      <c r="H5221" t="s">
        <v>7974</v>
      </c>
      <c r="I5221" t="s">
        <v>8600</v>
      </c>
      <c r="J5221" t="s">
        <v>9107</v>
      </c>
    </row>
    <row r="5222" spans="1:10" x14ac:dyDescent="0.25">
      <c r="A5222" t="s">
        <v>19331</v>
      </c>
      <c r="B5222">
        <v>6.9920000000000009</v>
      </c>
      <c r="C5222" t="s">
        <v>19332</v>
      </c>
      <c r="D5222" t="s">
        <v>849</v>
      </c>
      <c r="E5222" t="s">
        <v>19329</v>
      </c>
      <c r="F5222" t="s">
        <v>7672</v>
      </c>
      <c r="G5222" t="s">
        <v>19330</v>
      </c>
      <c r="H5222" t="s">
        <v>7974</v>
      </c>
      <c r="I5222" t="s">
        <v>76</v>
      </c>
      <c r="J5222" t="s">
        <v>9107</v>
      </c>
    </row>
    <row r="5223" spans="1:10" x14ac:dyDescent="0.25">
      <c r="A5223" t="s">
        <v>19333</v>
      </c>
      <c r="B5223">
        <v>10</v>
      </c>
      <c r="C5223" t="s">
        <v>19334</v>
      </c>
      <c r="D5223" t="s">
        <v>8421</v>
      </c>
      <c r="E5223" t="s">
        <v>19335</v>
      </c>
      <c r="F5223" t="s">
        <v>7672</v>
      </c>
      <c r="G5223" t="s">
        <v>19336</v>
      </c>
      <c r="H5223" t="s">
        <v>8673</v>
      </c>
      <c r="I5223" t="s">
        <v>1490</v>
      </c>
      <c r="J5223" t="s">
        <v>7675</v>
      </c>
    </row>
    <row r="5224" spans="1:10" x14ac:dyDescent="0.25">
      <c r="A5224" t="s">
        <v>19337</v>
      </c>
      <c r="B5224">
        <v>10</v>
      </c>
      <c r="C5224" t="s">
        <v>19338</v>
      </c>
      <c r="D5224" t="s">
        <v>286</v>
      </c>
      <c r="E5224" t="s">
        <v>19335</v>
      </c>
      <c r="F5224" t="s">
        <v>7672</v>
      </c>
      <c r="G5224" t="s">
        <v>19336</v>
      </c>
      <c r="H5224" t="s">
        <v>8673</v>
      </c>
      <c r="I5224" t="s">
        <v>3799</v>
      </c>
      <c r="J5224" t="s">
        <v>7675</v>
      </c>
    </row>
    <row r="5225" spans="1:10" x14ac:dyDescent="0.25">
      <c r="A5225" t="s">
        <v>19339</v>
      </c>
      <c r="B5225">
        <v>10</v>
      </c>
      <c r="C5225" t="s">
        <v>19340</v>
      </c>
      <c r="D5225" t="s">
        <v>7057</v>
      </c>
      <c r="E5225" t="s">
        <v>19335</v>
      </c>
      <c r="F5225" t="s">
        <v>7672</v>
      </c>
      <c r="G5225" t="s">
        <v>19336</v>
      </c>
      <c r="H5225" t="s">
        <v>8673</v>
      </c>
      <c r="I5225" t="s">
        <v>2496</v>
      </c>
      <c r="J5225" t="s">
        <v>7675</v>
      </c>
    </row>
    <row r="5226" spans="1:10" x14ac:dyDescent="0.25">
      <c r="A5226" t="s">
        <v>19341</v>
      </c>
      <c r="B5226">
        <v>10</v>
      </c>
      <c r="C5226" t="s">
        <v>19342</v>
      </c>
      <c r="D5226" t="s">
        <v>5283</v>
      </c>
      <c r="E5226" t="s">
        <v>19335</v>
      </c>
      <c r="F5226" t="s">
        <v>7672</v>
      </c>
      <c r="G5226" t="s">
        <v>19336</v>
      </c>
      <c r="H5226" t="s">
        <v>8673</v>
      </c>
      <c r="I5226" t="s">
        <v>76</v>
      </c>
      <c r="J5226" t="s">
        <v>7675</v>
      </c>
    </row>
    <row r="5227" spans="1:10" x14ac:dyDescent="0.25">
      <c r="A5227" t="s">
        <v>19343</v>
      </c>
      <c r="B5227">
        <v>10</v>
      </c>
      <c r="C5227" t="s">
        <v>19344</v>
      </c>
      <c r="D5227" t="s">
        <v>1014</v>
      </c>
      <c r="E5227" t="s">
        <v>19335</v>
      </c>
      <c r="F5227" t="s">
        <v>7672</v>
      </c>
      <c r="G5227" t="s">
        <v>19336</v>
      </c>
      <c r="H5227" t="s">
        <v>8673</v>
      </c>
      <c r="I5227" t="s">
        <v>1440</v>
      </c>
      <c r="J5227" t="s">
        <v>7675</v>
      </c>
    </row>
    <row r="5228" spans="1:10" x14ac:dyDescent="0.25">
      <c r="A5228" t="s">
        <v>19345</v>
      </c>
      <c r="B5228">
        <v>10</v>
      </c>
      <c r="C5228" t="s">
        <v>19346</v>
      </c>
      <c r="D5228" t="s">
        <v>7901</v>
      </c>
      <c r="E5228" t="s">
        <v>19335</v>
      </c>
      <c r="F5228" t="s">
        <v>7672</v>
      </c>
      <c r="G5228" t="s">
        <v>19336</v>
      </c>
      <c r="H5228" t="s">
        <v>8673</v>
      </c>
      <c r="I5228" t="s">
        <v>1490</v>
      </c>
      <c r="J5228" t="s">
        <v>7686</v>
      </c>
    </row>
    <row r="5229" spans="1:10" x14ac:dyDescent="0.25">
      <c r="A5229" t="s">
        <v>19347</v>
      </c>
      <c r="B5229">
        <v>10</v>
      </c>
      <c r="C5229" t="s">
        <v>19348</v>
      </c>
      <c r="D5229" t="s">
        <v>959</v>
      </c>
      <c r="E5229" t="s">
        <v>19335</v>
      </c>
      <c r="F5229" t="s">
        <v>7672</v>
      </c>
      <c r="G5229" t="s">
        <v>19336</v>
      </c>
      <c r="H5229" t="s">
        <v>8673</v>
      </c>
      <c r="I5229" t="s">
        <v>3799</v>
      </c>
      <c r="J5229" t="s">
        <v>7686</v>
      </c>
    </row>
    <row r="5230" spans="1:10" x14ac:dyDescent="0.25">
      <c r="A5230" t="s">
        <v>19349</v>
      </c>
      <c r="B5230">
        <v>10</v>
      </c>
      <c r="C5230" t="s">
        <v>19350</v>
      </c>
      <c r="D5230" t="s">
        <v>12896</v>
      </c>
      <c r="E5230" t="s">
        <v>19335</v>
      </c>
      <c r="F5230" t="s">
        <v>7672</v>
      </c>
      <c r="G5230" t="s">
        <v>19336</v>
      </c>
      <c r="H5230" t="s">
        <v>8673</v>
      </c>
      <c r="I5230" t="s">
        <v>2496</v>
      </c>
      <c r="J5230" t="s">
        <v>7686</v>
      </c>
    </row>
    <row r="5231" spans="1:10" x14ac:dyDescent="0.25">
      <c r="A5231" t="s">
        <v>19351</v>
      </c>
      <c r="B5231">
        <v>10</v>
      </c>
      <c r="C5231" t="s">
        <v>19352</v>
      </c>
      <c r="D5231" t="s">
        <v>19353</v>
      </c>
      <c r="E5231" t="s">
        <v>19335</v>
      </c>
      <c r="F5231" t="s">
        <v>7672</v>
      </c>
      <c r="G5231" t="s">
        <v>19336</v>
      </c>
      <c r="H5231" t="s">
        <v>8673</v>
      </c>
      <c r="I5231" t="s">
        <v>76</v>
      </c>
      <c r="J5231" t="s">
        <v>7686</v>
      </c>
    </row>
    <row r="5232" spans="1:10" x14ac:dyDescent="0.25">
      <c r="A5232" t="s">
        <v>19354</v>
      </c>
      <c r="B5232">
        <v>10</v>
      </c>
      <c r="C5232" t="s">
        <v>19355</v>
      </c>
      <c r="D5232" t="s">
        <v>2753</v>
      </c>
      <c r="E5232" t="s">
        <v>19335</v>
      </c>
      <c r="F5232" t="s">
        <v>7672</v>
      </c>
      <c r="G5232" t="s">
        <v>19336</v>
      </c>
      <c r="H5232" t="s">
        <v>8673</v>
      </c>
      <c r="I5232" t="s">
        <v>1440</v>
      </c>
      <c r="J5232" t="s">
        <v>7686</v>
      </c>
    </row>
    <row r="5233" spans="1:10" x14ac:dyDescent="0.25">
      <c r="A5233" t="s">
        <v>19356</v>
      </c>
      <c r="B5233">
        <v>10</v>
      </c>
      <c r="C5233" t="s">
        <v>19357</v>
      </c>
      <c r="D5233" t="s">
        <v>16848</v>
      </c>
      <c r="E5233" t="s">
        <v>19335</v>
      </c>
      <c r="F5233" t="s">
        <v>7672</v>
      </c>
      <c r="G5233" t="s">
        <v>19336</v>
      </c>
      <c r="H5233" t="s">
        <v>8673</v>
      </c>
      <c r="I5233" t="s">
        <v>1490</v>
      </c>
      <c r="J5233" t="s">
        <v>7703</v>
      </c>
    </row>
    <row r="5234" spans="1:10" x14ac:dyDescent="0.25">
      <c r="A5234" t="s">
        <v>19358</v>
      </c>
      <c r="B5234">
        <v>10</v>
      </c>
      <c r="C5234" t="s">
        <v>19359</v>
      </c>
      <c r="D5234" t="s">
        <v>144</v>
      </c>
      <c r="E5234" t="s">
        <v>19335</v>
      </c>
      <c r="F5234" t="s">
        <v>7672</v>
      </c>
      <c r="G5234" t="s">
        <v>19336</v>
      </c>
      <c r="H5234" t="s">
        <v>8673</v>
      </c>
      <c r="I5234" t="s">
        <v>3799</v>
      </c>
      <c r="J5234" t="s">
        <v>7703</v>
      </c>
    </row>
    <row r="5235" spans="1:10" x14ac:dyDescent="0.25">
      <c r="A5235" t="s">
        <v>19360</v>
      </c>
      <c r="B5235">
        <v>10</v>
      </c>
      <c r="C5235" t="s">
        <v>19361</v>
      </c>
      <c r="D5235" t="s">
        <v>19362</v>
      </c>
      <c r="E5235" t="s">
        <v>19335</v>
      </c>
      <c r="F5235" t="s">
        <v>7672</v>
      </c>
      <c r="G5235" t="s">
        <v>19336</v>
      </c>
      <c r="H5235" t="s">
        <v>8673</v>
      </c>
      <c r="I5235" t="s">
        <v>1440</v>
      </c>
      <c r="J5235" t="s">
        <v>7703</v>
      </c>
    </row>
    <row r="5236" spans="1:10" x14ac:dyDescent="0.25">
      <c r="A5236" t="s">
        <v>19363</v>
      </c>
      <c r="B5236">
        <v>10</v>
      </c>
      <c r="C5236" t="s">
        <v>19364</v>
      </c>
      <c r="D5236" t="s">
        <v>19365</v>
      </c>
      <c r="E5236" t="s">
        <v>19335</v>
      </c>
      <c r="F5236" t="s">
        <v>7672</v>
      </c>
      <c r="G5236" t="s">
        <v>19336</v>
      </c>
      <c r="H5236" t="s">
        <v>8673</v>
      </c>
      <c r="I5236" t="s">
        <v>76</v>
      </c>
      <c r="J5236" t="s">
        <v>7703</v>
      </c>
    </row>
    <row r="5237" spans="1:10" x14ac:dyDescent="0.25">
      <c r="A5237" t="s">
        <v>19366</v>
      </c>
      <c r="B5237">
        <v>10</v>
      </c>
      <c r="C5237" t="s">
        <v>19367</v>
      </c>
      <c r="D5237" t="s">
        <v>19368</v>
      </c>
      <c r="E5237" t="s">
        <v>19335</v>
      </c>
      <c r="F5237" t="s">
        <v>7672</v>
      </c>
      <c r="G5237" t="s">
        <v>19336</v>
      </c>
      <c r="H5237" t="s">
        <v>8673</v>
      </c>
      <c r="I5237" t="s">
        <v>2496</v>
      </c>
      <c r="J5237" t="s">
        <v>7703</v>
      </c>
    </row>
    <row r="5238" spans="1:10" x14ac:dyDescent="0.25">
      <c r="A5238" t="s">
        <v>19369</v>
      </c>
      <c r="B5238">
        <v>10</v>
      </c>
      <c r="C5238" t="s">
        <v>19370</v>
      </c>
      <c r="D5238" t="s">
        <v>9936</v>
      </c>
      <c r="E5238" t="s">
        <v>19335</v>
      </c>
      <c r="F5238" t="s">
        <v>7672</v>
      </c>
      <c r="G5238" t="s">
        <v>19336</v>
      </c>
      <c r="H5238" t="s">
        <v>8673</v>
      </c>
      <c r="I5238" t="s">
        <v>1490</v>
      </c>
      <c r="J5238" t="s">
        <v>7713</v>
      </c>
    </row>
    <row r="5239" spans="1:10" x14ac:dyDescent="0.25">
      <c r="A5239" t="s">
        <v>19371</v>
      </c>
      <c r="B5239">
        <v>10</v>
      </c>
      <c r="C5239" t="s">
        <v>19372</v>
      </c>
      <c r="D5239" t="s">
        <v>5145</v>
      </c>
      <c r="E5239" t="s">
        <v>19335</v>
      </c>
      <c r="F5239" t="s">
        <v>7672</v>
      </c>
      <c r="G5239" t="s">
        <v>19336</v>
      </c>
      <c r="H5239" t="s">
        <v>8673</v>
      </c>
      <c r="I5239" t="s">
        <v>3799</v>
      </c>
      <c r="J5239" t="s">
        <v>7713</v>
      </c>
    </row>
    <row r="5240" spans="1:10" x14ac:dyDescent="0.25">
      <c r="A5240" t="s">
        <v>19373</v>
      </c>
      <c r="B5240">
        <v>10</v>
      </c>
      <c r="C5240" t="s">
        <v>19374</v>
      </c>
      <c r="D5240" t="s">
        <v>19375</v>
      </c>
      <c r="E5240" t="s">
        <v>19335</v>
      </c>
      <c r="F5240" t="s">
        <v>7672</v>
      </c>
      <c r="G5240" t="s">
        <v>19336</v>
      </c>
      <c r="H5240" t="s">
        <v>8673</v>
      </c>
      <c r="I5240" t="s">
        <v>1440</v>
      </c>
      <c r="J5240" t="s">
        <v>7713</v>
      </c>
    </row>
    <row r="5241" spans="1:10" x14ac:dyDescent="0.25">
      <c r="A5241" t="s">
        <v>19376</v>
      </c>
      <c r="B5241">
        <v>10</v>
      </c>
      <c r="C5241" t="s">
        <v>19377</v>
      </c>
      <c r="D5241" t="s">
        <v>8457</v>
      </c>
      <c r="E5241" t="s">
        <v>19335</v>
      </c>
      <c r="F5241" t="s">
        <v>7672</v>
      </c>
      <c r="G5241" t="s">
        <v>19336</v>
      </c>
      <c r="H5241" t="s">
        <v>8673</v>
      </c>
      <c r="I5241" t="s">
        <v>76</v>
      </c>
      <c r="J5241" t="s">
        <v>7713</v>
      </c>
    </row>
    <row r="5242" spans="1:10" x14ac:dyDescent="0.25">
      <c r="A5242" t="s">
        <v>19378</v>
      </c>
      <c r="B5242">
        <v>10</v>
      </c>
      <c r="C5242" t="s">
        <v>19379</v>
      </c>
      <c r="D5242" t="s">
        <v>11247</v>
      </c>
      <c r="E5242" t="s">
        <v>19335</v>
      </c>
      <c r="F5242" t="s">
        <v>7672</v>
      </c>
      <c r="G5242" t="s">
        <v>19336</v>
      </c>
      <c r="H5242" t="s">
        <v>8673</v>
      </c>
      <c r="I5242" t="s">
        <v>2496</v>
      </c>
      <c r="J5242" t="s">
        <v>7713</v>
      </c>
    </row>
    <row r="5243" spans="1:10" x14ac:dyDescent="0.25">
      <c r="A5243" t="s">
        <v>19380</v>
      </c>
      <c r="B5243">
        <v>10</v>
      </c>
      <c r="C5243" t="s">
        <v>19381</v>
      </c>
      <c r="D5243" t="s">
        <v>9595</v>
      </c>
      <c r="E5243" t="s">
        <v>19335</v>
      </c>
      <c r="F5243" t="s">
        <v>7672</v>
      </c>
      <c r="G5243" t="s">
        <v>19336</v>
      </c>
      <c r="H5243" t="s">
        <v>8673</v>
      </c>
      <c r="I5243" t="s">
        <v>76</v>
      </c>
      <c r="J5243" t="s">
        <v>7719</v>
      </c>
    </row>
    <row r="5244" spans="1:10" x14ac:dyDescent="0.25">
      <c r="A5244" t="s">
        <v>19382</v>
      </c>
      <c r="B5244">
        <v>10</v>
      </c>
      <c r="C5244" t="s">
        <v>19383</v>
      </c>
      <c r="D5244" t="s">
        <v>19384</v>
      </c>
      <c r="E5244" t="s">
        <v>19335</v>
      </c>
      <c r="F5244" t="s">
        <v>7672</v>
      </c>
      <c r="G5244" t="s">
        <v>19336</v>
      </c>
      <c r="H5244" t="s">
        <v>8673</v>
      </c>
      <c r="I5244" t="s">
        <v>1440</v>
      </c>
      <c r="J5244" t="s">
        <v>7719</v>
      </c>
    </row>
    <row r="5245" spans="1:10" x14ac:dyDescent="0.25">
      <c r="A5245" t="s">
        <v>19385</v>
      </c>
      <c r="B5245">
        <v>10</v>
      </c>
      <c r="C5245" t="s">
        <v>19386</v>
      </c>
      <c r="D5245" t="s">
        <v>1536</v>
      </c>
      <c r="E5245" t="s">
        <v>19335</v>
      </c>
      <c r="F5245" t="s">
        <v>7672</v>
      </c>
      <c r="G5245" t="s">
        <v>19336</v>
      </c>
      <c r="H5245" t="s">
        <v>8673</v>
      </c>
      <c r="I5245" t="s">
        <v>3799</v>
      </c>
      <c r="J5245" t="s">
        <v>7719</v>
      </c>
    </row>
    <row r="5246" spans="1:10" x14ac:dyDescent="0.25">
      <c r="A5246" t="s">
        <v>19387</v>
      </c>
      <c r="B5246">
        <v>10</v>
      </c>
      <c r="C5246" t="s">
        <v>19388</v>
      </c>
      <c r="D5246" t="s">
        <v>8767</v>
      </c>
      <c r="E5246" t="s">
        <v>19335</v>
      </c>
      <c r="F5246" t="s">
        <v>7672</v>
      </c>
      <c r="G5246" t="s">
        <v>19336</v>
      </c>
      <c r="H5246" t="s">
        <v>8673</v>
      </c>
      <c r="I5246" t="s">
        <v>2496</v>
      </c>
      <c r="J5246" t="s">
        <v>7719</v>
      </c>
    </row>
    <row r="5247" spans="1:10" x14ac:dyDescent="0.25">
      <c r="A5247" t="s">
        <v>19389</v>
      </c>
      <c r="B5247">
        <v>10</v>
      </c>
      <c r="C5247" t="s">
        <v>19390</v>
      </c>
      <c r="D5247" t="s">
        <v>11140</v>
      </c>
      <c r="E5247" t="s">
        <v>19335</v>
      </c>
      <c r="F5247" t="s">
        <v>7672</v>
      </c>
      <c r="G5247" t="s">
        <v>19336</v>
      </c>
      <c r="H5247" t="s">
        <v>8673</v>
      </c>
      <c r="I5247" t="s">
        <v>1490</v>
      </c>
      <c r="J5247" t="s">
        <v>7719</v>
      </c>
    </row>
    <row r="5248" spans="1:10" x14ac:dyDescent="0.25">
      <c r="A5248" t="s">
        <v>19391</v>
      </c>
      <c r="B5248">
        <v>8.0960000000000001</v>
      </c>
      <c r="C5248" t="s">
        <v>19392</v>
      </c>
      <c r="D5248" t="s">
        <v>19393</v>
      </c>
      <c r="E5248" t="s">
        <v>19394</v>
      </c>
      <c r="F5248" t="s">
        <v>7672</v>
      </c>
      <c r="G5248" t="s">
        <v>18262</v>
      </c>
      <c r="H5248" t="s">
        <v>10298</v>
      </c>
      <c r="I5248" t="s">
        <v>76</v>
      </c>
      <c r="J5248" t="s">
        <v>60</v>
      </c>
    </row>
    <row r="5249" spans="1:10" x14ac:dyDescent="0.25">
      <c r="A5249" t="s">
        <v>19395</v>
      </c>
      <c r="B5249">
        <v>8.0960000000000001</v>
      </c>
      <c r="C5249" t="s">
        <v>19396</v>
      </c>
      <c r="D5249" t="s">
        <v>19397</v>
      </c>
      <c r="E5249" t="s">
        <v>19394</v>
      </c>
      <c r="F5249" t="s">
        <v>7672</v>
      </c>
      <c r="G5249" t="s">
        <v>18262</v>
      </c>
      <c r="H5249" t="s">
        <v>10298</v>
      </c>
      <c r="I5249" t="s">
        <v>76</v>
      </c>
      <c r="J5249" t="s">
        <v>342</v>
      </c>
    </row>
    <row r="5250" spans="1:10" x14ac:dyDescent="0.25">
      <c r="A5250" t="s">
        <v>19398</v>
      </c>
      <c r="B5250">
        <v>8.0960000000000001</v>
      </c>
      <c r="C5250" t="s">
        <v>19399</v>
      </c>
      <c r="D5250" t="s">
        <v>19400</v>
      </c>
      <c r="E5250" t="s">
        <v>19394</v>
      </c>
      <c r="F5250" t="s">
        <v>7672</v>
      </c>
      <c r="G5250" t="s">
        <v>18262</v>
      </c>
      <c r="H5250" t="s">
        <v>10298</v>
      </c>
      <c r="I5250" t="s">
        <v>76</v>
      </c>
      <c r="J5250" t="s">
        <v>100</v>
      </c>
    </row>
    <row r="5251" spans="1:10" x14ac:dyDescent="0.25">
      <c r="A5251" t="s">
        <v>19401</v>
      </c>
      <c r="B5251">
        <v>8.0960000000000001</v>
      </c>
      <c r="C5251" t="s">
        <v>19402</v>
      </c>
      <c r="D5251" t="s">
        <v>3599</v>
      </c>
      <c r="E5251" t="s">
        <v>19394</v>
      </c>
      <c r="F5251" t="s">
        <v>7672</v>
      </c>
      <c r="G5251" t="s">
        <v>18262</v>
      </c>
      <c r="H5251" t="s">
        <v>10298</v>
      </c>
      <c r="I5251" t="s">
        <v>76</v>
      </c>
      <c r="J5251" t="s">
        <v>106</v>
      </c>
    </row>
    <row r="5252" spans="1:10" x14ac:dyDescent="0.25">
      <c r="A5252" t="s">
        <v>19403</v>
      </c>
      <c r="B5252">
        <v>17</v>
      </c>
      <c r="C5252" t="s">
        <v>19404</v>
      </c>
      <c r="D5252" t="s">
        <v>60</v>
      </c>
      <c r="E5252" t="s">
        <v>19405</v>
      </c>
      <c r="F5252" t="s">
        <v>7672</v>
      </c>
      <c r="G5252" t="s">
        <v>19406</v>
      </c>
      <c r="H5252" t="s">
        <v>10321</v>
      </c>
      <c r="I5252" t="s">
        <v>19407</v>
      </c>
      <c r="J5252" t="s">
        <v>8439</v>
      </c>
    </row>
    <row r="5253" spans="1:10" x14ac:dyDescent="0.25">
      <c r="A5253" t="s">
        <v>19408</v>
      </c>
      <c r="B5253">
        <v>17</v>
      </c>
      <c r="C5253" t="s">
        <v>19409</v>
      </c>
      <c r="D5253" t="s">
        <v>131</v>
      </c>
      <c r="E5253" t="s">
        <v>19405</v>
      </c>
      <c r="F5253" t="s">
        <v>7672</v>
      </c>
      <c r="G5253" t="s">
        <v>19406</v>
      </c>
      <c r="H5253" t="s">
        <v>10321</v>
      </c>
      <c r="I5253" t="s">
        <v>19410</v>
      </c>
      <c r="J5253" t="s">
        <v>8451</v>
      </c>
    </row>
    <row r="5254" spans="1:10" x14ac:dyDescent="0.25">
      <c r="A5254" t="s">
        <v>19411</v>
      </c>
      <c r="B5254">
        <v>17</v>
      </c>
      <c r="C5254" t="s">
        <v>19412</v>
      </c>
      <c r="D5254" t="s">
        <v>60</v>
      </c>
      <c r="E5254" t="s">
        <v>19405</v>
      </c>
      <c r="F5254" t="s">
        <v>7672</v>
      </c>
      <c r="G5254" t="s">
        <v>19406</v>
      </c>
      <c r="H5254" t="s">
        <v>10321</v>
      </c>
      <c r="I5254" t="s">
        <v>19407</v>
      </c>
      <c r="J5254" t="s">
        <v>8451</v>
      </c>
    </row>
    <row r="5255" spans="1:10" x14ac:dyDescent="0.25">
      <c r="A5255" t="s">
        <v>19413</v>
      </c>
      <c r="B5255">
        <v>6.4</v>
      </c>
      <c r="C5255" t="s">
        <v>19414</v>
      </c>
      <c r="D5255" t="s">
        <v>240</v>
      </c>
      <c r="E5255" t="s">
        <v>19415</v>
      </c>
      <c r="F5255" t="s">
        <v>7672</v>
      </c>
      <c r="G5255" t="s">
        <v>19416</v>
      </c>
      <c r="H5255" t="s">
        <v>11496</v>
      </c>
      <c r="I5255" t="s">
        <v>145</v>
      </c>
      <c r="J5255" t="s">
        <v>10862</v>
      </c>
    </row>
    <row r="5256" spans="1:10" x14ac:dyDescent="0.25">
      <c r="A5256" t="s">
        <v>19417</v>
      </c>
      <c r="B5256">
        <v>6.4</v>
      </c>
      <c r="C5256" t="s">
        <v>19418</v>
      </c>
      <c r="D5256" t="s">
        <v>240</v>
      </c>
      <c r="E5256" t="s">
        <v>19415</v>
      </c>
      <c r="F5256" t="s">
        <v>7672</v>
      </c>
      <c r="G5256" t="s">
        <v>19416</v>
      </c>
      <c r="H5256" t="s">
        <v>11496</v>
      </c>
      <c r="I5256" t="s">
        <v>145</v>
      </c>
      <c r="J5256" t="s">
        <v>9426</v>
      </c>
    </row>
    <row r="5257" spans="1:10" x14ac:dyDescent="0.25">
      <c r="A5257" t="s">
        <v>19419</v>
      </c>
      <c r="B5257">
        <v>6.4</v>
      </c>
      <c r="C5257" t="s">
        <v>19420</v>
      </c>
      <c r="D5257" t="s">
        <v>849</v>
      </c>
      <c r="E5257" t="s">
        <v>19415</v>
      </c>
      <c r="F5257" t="s">
        <v>7672</v>
      </c>
      <c r="G5257" t="s">
        <v>19416</v>
      </c>
      <c r="H5257" t="s">
        <v>11496</v>
      </c>
      <c r="I5257" t="s">
        <v>145</v>
      </c>
      <c r="J5257" t="s">
        <v>13084</v>
      </c>
    </row>
    <row r="5258" spans="1:10" x14ac:dyDescent="0.25">
      <c r="A5258" t="s">
        <v>19421</v>
      </c>
      <c r="B5258">
        <v>6.4</v>
      </c>
      <c r="C5258" t="s">
        <v>19422</v>
      </c>
      <c r="D5258" t="s">
        <v>240</v>
      </c>
      <c r="E5258" t="s">
        <v>19415</v>
      </c>
      <c r="F5258" t="s">
        <v>7672</v>
      </c>
      <c r="G5258" t="s">
        <v>19416</v>
      </c>
      <c r="H5258" t="s">
        <v>11496</v>
      </c>
      <c r="I5258" t="s">
        <v>145</v>
      </c>
      <c r="J5258" t="s">
        <v>11767</v>
      </c>
    </row>
    <row r="5259" spans="1:10" x14ac:dyDescent="0.25">
      <c r="A5259" t="s">
        <v>19423</v>
      </c>
      <c r="B5259">
        <v>6.4</v>
      </c>
      <c r="C5259" t="s">
        <v>19424</v>
      </c>
      <c r="D5259" t="s">
        <v>311</v>
      </c>
      <c r="E5259" t="s">
        <v>19415</v>
      </c>
      <c r="F5259" t="s">
        <v>7672</v>
      </c>
      <c r="G5259" t="s">
        <v>19416</v>
      </c>
      <c r="H5259" t="s">
        <v>11496</v>
      </c>
      <c r="I5259" t="s">
        <v>145</v>
      </c>
      <c r="J5259" t="s">
        <v>11582</v>
      </c>
    </row>
    <row r="5260" spans="1:10" x14ac:dyDescent="0.25">
      <c r="A5260" t="s">
        <v>19425</v>
      </c>
      <c r="B5260">
        <v>6.4960000000000004</v>
      </c>
      <c r="C5260" t="s">
        <v>19426</v>
      </c>
      <c r="D5260" t="s">
        <v>301</v>
      </c>
      <c r="E5260" t="s">
        <v>19427</v>
      </c>
      <c r="F5260" t="s">
        <v>7672</v>
      </c>
      <c r="G5260" t="s">
        <v>19428</v>
      </c>
      <c r="H5260" t="s">
        <v>17992</v>
      </c>
      <c r="I5260" t="s">
        <v>11206</v>
      </c>
      <c r="J5260" t="s">
        <v>8451</v>
      </c>
    </row>
    <row r="5261" spans="1:10" x14ac:dyDescent="0.25">
      <c r="A5261" t="s">
        <v>19429</v>
      </c>
      <c r="B5261">
        <v>6.4960000000000004</v>
      </c>
      <c r="C5261" t="s">
        <v>19430</v>
      </c>
      <c r="D5261" t="s">
        <v>359</v>
      </c>
      <c r="E5261" t="s">
        <v>19427</v>
      </c>
      <c r="F5261" t="s">
        <v>7672</v>
      </c>
      <c r="G5261" t="s">
        <v>19428</v>
      </c>
      <c r="H5261" t="s">
        <v>17992</v>
      </c>
      <c r="I5261" t="s">
        <v>11206</v>
      </c>
      <c r="J5261" t="s">
        <v>8462</v>
      </c>
    </row>
    <row r="5262" spans="1:10" x14ac:dyDescent="0.25">
      <c r="A5262" t="s">
        <v>19431</v>
      </c>
      <c r="B5262">
        <v>24</v>
      </c>
      <c r="C5262" t="s">
        <v>19432</v>
      </c>
      <c r="D5262" t="s">
        <v>1143</v>
      </c>
      <c r="E5262" t="s">
        <v>19433</v>
      </c>
      <c r="F5262" t="s">
        <v>7672</v>
      </c>
      <c r="G5262" t="s">
        <v>19434</v>
      </c>
      <c r="H5262" t="s">
        <v>8331</v>
      </c>
      <c r="I5262" t="s">
        <v>19435</v>
      </c>
      <c r="J5262" t="s">
        <v>7987</v>
      </c>
    </row>
    <row r="5263" spans="1:10" x14ac:dyDescent="0.25">
      <c r="A5263" t="s">
        <v>19436</v>
      </c>
      <c r="B5263">
        <v>24</v>
      </c>
      <c r="C5263" t="s">
        <v>19437</v>
      </c>
      <c r="D5263" t="s">
        <v>626</v>
      </c>
      <c r="E5263" t="s">
        <v>19433</v>
      </c>
      <c r="F5263" t="s">
        <v>7672</v>
      </c>
      <c r="G5263" t="s">
        <v>19434</v>
      </c>
      <c r="H5263" t="s">
        <v>8331</v>
      </c>
      <c r="I5263" t="s">
        <v>19435</v>
      </c>
      <c r="J5263" t="s">
        <v>8001</v>
      </c>
    </row>
    <row r="5264" spans="1:10" x14ac:dyDescent="0.25">
      <c r="A5264" t="s">
        <v>19438</v>
      </c>
      <c r="B5264">
        <v>24</v>
      </c>
      <c r="C5264" t="s">
        <v>19439</v>
      </c>
      <c r="D5264" t="s">
        <v>4270</v>
      </c>
      <c r="E5264" t="s">
        <v>19433</v>
      </c>
      <c r="F5264" t="s">
        <v>7672</v>
      </c>
      <c r="G5264" t="s">
        <v>19434</v>
      </c>
      <c r="H5264" t="s">
        <v>8331</v>
      </c>
      <c r="I5264" t="s">
        <v>19435</v>
      </c>
      <c r="J5264" t="s">
        <v>8013</v>
      </c>
    </row>
    <row r="5265" spans="1:10" x14ac:dyDescent="0.25">
      <c r="A5265" t="s">
        <v>19440</v>
      </c>
      <c r="B5265">
        <v>13.2</v>
      </c>
      <c r="C5265" t="s">
        <v>19441</v>
      </c>
      <c r="D5265" t="s">
        <v>282</v>
      </c>
      <c r="E5265" t="s">
        <v>19442</v>
      </c>
      <c r="F5265" t="s">
        <v>7672</v>
      </c>
      <c r="G5265" t="s">
        <v>19443</v>
      </c>
      <c r="H5265" t="s">
        <v>8078</v>
      </c>
      <c r="I5265" t="s">
        <v>19444</v>
      </c>
      <c r="J5265" t="s">
        <v>8293</v>
      </c>
    </row>
    <row r="5266" spans="1:10" x14ac:dyDescent="0.25">
      <c r="A5266" t="s">
        <v>19445</v>
      </c>
      <c r="B5266">
        <v>5.2</v>
      </c>
      <c r="C5266" t="s">
        <v>19446</v>
      </c>
      <c r="D5266" t="s">
        <v>269</v>
      </c>
      <c r="E5266" t="s">
        <v>19447</v>
      </c>
      <c r="F5266" t="s">
        <v>7672</v>
      </c>
      <c r="G5266" t="s">
        <v>19448</v>
      </c>
      <c r="H5266" t="s">
        <v>11496</v>
      </c>
      <c r="I5266" t="s">
        <v>145</v>
      </c>
      <c r="J5266" t="s">
        <v>9426</v>
      </c>
    </row>
    <row r="5267" spans="1:10" x14ac:dyDescent="0.25">
      <c r="A5267" t="s">
        <v>19449</v>
      </c>
      <c r="B5267">
        <v>5.2</v>
      </c>
      <c r="C5267" t="s">
        <v>19450</v>
      </c>
      <c r="D5267" t="s">
        <v>286</v>
      </c>
      <c r="E5267" t="s">
        <v>19447</v>
      </c>
      <c r="F5267" t="s">
        <v>7672</v>
      </c>
      <c r="G5267" t="s">
        <v>19448</v>
      </c>
      <c r="H5267" t="s">
        <v>11496</v>
      </c>
      <c r="I5267" t="s">
        <v>145</v>
      </c>
      <c r="J5267" t="s">
        <v>13084</v>
      </c>
    </row>
    <row r="5268" spans="1:10" x14ac:dyDescent="0.25">
      <c r="A5268" t="s">
        <v>19451</v>
      </c>
      <c r="B5268">
        <v>5.2</v>
      </c>
      <c r="C5268" t="s">
        <v>19452</v>
      </c>
      <c r="D5268" t="s">
        <v>240</v>
      </c>
      <c r="E5268" t="s">
        <v>19447</v>
      </c>
      <c r="F5268" t="s">
        <v>7672</v>
      </c>
      <c r="G5268" t="s">
        <v>19448</v>
      </c>
      <c r="H5268" t="s">
        <v>11496</v>
      </c>
      <c r="I5268" t="s">
        <v>145</v>
      </c>
      <c r="J5268" t="s">
        <v>11582</v>
      </c>
    </row>
    <row r="5269" spans="1:10" x14ac:dyDescent="0.25">
      <c r="A5269" t="s">
        <v>19453</v>
      </c>
      <c r="B5269">
        <v>4.16</v>
      </c>
      <c r="C5269" t="s">
        <v>19454</v>
      </c>
      <c r="D5269" t="s">
        <v>2697</v>
      </c>
      <c r="E5269" t="s">
        <v>19455</v>
      </c>
      <c r="F5269" t="s">
        <v>7672</v>
      </c>
      <c r="G5269" t="s">
        <v>19456</v>
      </c>
      <c r="H5269" t="s">
        <v>7674</v>
      </c>
      <c r="I5269" t="s">
        <v>10988</v>
      </c>
      <c r="J5269" t="s">
        <v>7981</v>
      </c>
    </row>
    <row r="5270" spans="1:10" x14ac:dyDescent="0.25">
      <c r="A5270" t="s">
        <v>19457</v>
      </c>
      <c r="B5270">
        <v>4.16</v>
      </c>
      <c r="C5270" t="s">
        <v>19458</v>
      </c>
      <c r="D5270" t="s">
        <v>742</v>
      </c>
      <c r="E5270" t="s">
        <v>19455</v>
      </c>
      <c r="F5270" t="s">
        <v>7672</v>
      </c>
      <c r="G5270" t="s">
        <v>19456</v>
      </c>
      <c r="H5270" t="s">
        <v>7674</v>
      </c>
      <c r="I5270" t="s">
        <v>15893</v>
      </c>
      <c r="J5270" t="s">
        <v>7981</v>
      </c>
    </row>
    <row r="5271" spans="1:10" x14ac:dyDescent="0.25">
      <c r="A5271" t="s">
        <v>19459</v>
      </c>
      <c r="B5271">
        <v>4.16</v>
      </c>
      <c r="C5271" t="s">
        <v>19460</v>
      </c>
      <c r="D5271" t="s">
        <v>781</v>
      </c>
      <c r="E5271" t="s">
        <v>19455</v>
      </c>
      <c r="F5271" t="s">
        <v>7672</v>
      </c>
      <c r="G5271" t="s">
        <v>19456</v>
      </c>
      <c r="H5271" t="s">
        <v>7674</v>
      </c>
      <c r="I5271" t="s">
        <v>19461</v>
      </c>
      <c r="J5271" t="s">
        <v>8001</v>
      </c>
    </row>
    <row r="5272" spans="1:10" x14ac:dyDescent="0.25">
      <c r="A5272" t="s">
        <v>19462</v>
      </c>
      <c r="B5272">
        <v>4.16</v>
      </c>
      <c r="C5272" t="s">
        <v>19463</v>
      </c>
      <c r="D5272" t="s">
        <v>2099</v>
      </c>
      <c r="E5272" t="s">
        <v>19455</v>
      </c>
      <c r="F5272" t="s">
        <v>7672</v>
      </c>
      <c r="G5272" t="s">
        <v>19456</v>
      </c>
      <c r="H5272" t="s">
        <v>7674</v>
      </c>
      <c r="I5272" t="s">
        <v>10988</v>
      </c>
      <c r="J5272" t="s">
        <v>8422</v>
      </c>
    </row>
    <row r="5273" spans="1:10" x14ac:dyDescent="0.25">
      <c r="A5273" t="s">
        <v>19464</v>
      </c>
      <c r="B5273">
        <v>4.16</v>
      </c>
      <c r="C5273" t="s">
        <v>19465</v>
      </c>
      <c r="D5273" t="s">
        <v>1579</v>
      </c>
      <c r="E5273" t="s">
        <v>19455</v>
      </c>
      <c r="F5273" t="s">
        <v>7672</v>
      </c>
      <c r="G5273" t="s">
        <v>19456</v>
      </c>
      <c r="H5273" t="s">
        <v>7674</v>
      </c>
      <c r="I5273" t="s">
        <v>19461</v>
      </c>
      <c r="J5273" t="s">
        <v>8422</v>
      </c>
    </row>
    <row r="5274" spans="1:10" x14ac:dyDescent="0.25">
      <c r="A5274" t="s">
        <v>19466</v>
      </c>
      <c r="B5274">
        <v>4.16</v>
      </c>
      <c r="C5274" t="s">
        <v>19467</v>
      </c>
      <c r="D5274" t="s">
        <v>316</v>
      </c>
      <c r="E5274" t="s">
        <v>19455</v>
      </c>
      <c r="F5274" t="s">
        <v>7672</v>
      </c>
      <c r="G5274" t="s">
        <v>19456</v>
      </c>
      <c r="H5274" t="s">
        <v>7674</v>
      </c>
      <c r="I5274" t="s">
        <v>19461</v>
      </c>
      <c r="J5274" t="s">
        <v>11023</v>
      </c>
    </row>
    <row r="5275" spans="1:10" x14ac:dyDescent="0.25">
      <c r="A5275" t="s">
        <v>19468</v>
      </c>
      <c r="B5275">
        <v>4.16</v>
      </c>
      <c r="C5275" t="s">
        <v>19469</v>
      </c>
      <c r="D5275" t="s">
        <v>290</v>
      </c>
      <c r="E5275" t="s">
        <v>19455</v>
      </c>
      <c r="F5275" t="s">
        <v>7672</v>
      </c>
      <c r="G5275" t="s">
        <v>19456</v>
      </c>
      <c r="H5275" t="s">
        <v>7674</v>
      </c>
      <c r="I5275" t="s">
        <v>10988</v>
      </c>
      <c r="J5275" t="s">
        <v>11023</v>
      </c>
    </row>
    <row r="5276" spans="1:10" x14ac:dyDescent="0.25">
      <c r="A5276" t="s">
        <v>19470</v>
      </c>
      <c r="B5276">
        <v>4.16</v>
      </c>
      <c r="C5276" t="s">
        <v>19471</v>
      </c>
      <c r="D5276" t="s">
        <v>396</v>
      </c>
      <c r="E5276" t="s">
        <v>19455</v>
      </c>
      <c r="F5276" t="s">
        <v>7672</v>
      </c>
      <c r="G5276" t="s">
        <v>19456</v>
      </c>
      <c r="H5276" t="s">
        <v>7674</v>
      </c>
      <c r="I5276" t="s">
        <v>19461</v>
      </c>
      <c r="J5276" t="s">
        <v>11030</v>
      </c>
    </row>
    <row r="5277" spans="1:10" x14ac:dyDescent="0.25">
      <c r="A5277" t="s">
        <v>19472</v>
      </c>
      <c r="B5277">
        <v>8</v>
      </c>
      <c r="C5277" t="s">
        <v>19473</v>
      </c>
      <c r="D5277" t="s">
        <v>516</v>
      </c>
      <c r="E5277" t="s">
        <v>19474</v>
      </c>
      <c r="F5277" t="s">
        <v>7672</v>
      </c>
      <c r="G5277" t="s">
        <v>19475</v>
      </c>
      <c r="H5277" t="s">
        <v>11496</v>
      </c>
      <c r="I5277" t="s">
        <v>1490</v>
      </c>
      <c r="J5277" t="s">
        <v>11767</v>
      </c>
    </row>
    <row r="5278" spans="1:10" x14ac:dyDescent="0.25">
      <c r="A5278" t="s">
        <v>19476</v>
      </c>
      <c r="B5278">
        <v>8</v>
      </c>
      <c r="C5278" t="s">
        <v>19477</v>
      </c>
      <c r="D5278" t="s">
        <v>245</v>
      </c>
      <c r="E5278" t="s">
        <v>19474</v>
      </c>
      <c r="F5278" t="s">
        <v>7672</v>
      </c>
      <c r="G5278" t="s">
        <v>19475</v>
      </c>
      <c r="H5278" t="s">
        <v>11496</v>
      </c>
      <c r="I5278" t="s">
        <v>1490</v>
      </c>
      <c r="J5278" t="s">
        <v>11582</v>
      </c>
    </row>
    <row r="5279" spans="1:10" x14ac:dyDescent="0.25">
      <c r="A5279" t="s">
        <v>19478</v>
      </c>
      <c r="B5279">
        <v>18.192</v>
      </c>
      <c r="C5279" t="s">
        <v>19479</v>
      </c>
      <c r="D5279" t="s">
        <v>88</v>
      </c>
      <c r="E5279" t="s">
        <v>19480</v>
      </c>
      <c r="F5279" t="s">
        <v>7672</v>
      </c>
      <c r="G5279" t="s">
        <v>19481</v>
      </c>
      <c r="H5279" t="s">
        <v>9127</v>
      </c>
      <c r="I5279" t="s">
        <v>17102</v>
      </c>
      <c r="J5279" t="s">
        <v>8013</v>
      </c>
    </row>
    <row r="5280" spans="1:10" x14ac:dyDescent="0.25">
      <c r="A5280" t="s">
        <v>19482</v>
      </c>
      <c r="B5280">
        <v>18.192</v>
      </c>
      <c r="C5280" t="s">
        <v>19483</v>
      </c>
      <c r="D5280" t="s">
        <v>269</v>
      </c>
      <c r="E5280" t="s">
        <v>19480</v>
      </c>
      <c r="F5280" t="s">
        <v>7672</v>
      </c>
      <c r="G5280" t="s">
        <v>19481</v>
      </c>
      <c r="H5280" t="s">
        <v>9127</v>
      </c>
      <c r="I5280" t="s">
        <v>19484</v>
      </c>
      <c r="J5280" t="s">
        <v>8013</v>
      </c>
    </row>
    <row r="5281" spans="1:10" x14ac:dyDescent="0.25">
      <c r="A5281" t="s">
        <v>19485</v>
      </c>
      <c r="B5281">
        <v>4.4000000000000004</v>
      </c>
      <c r="C5281" t="s">
        <v>19486</v>
      </c>
      <c r="D5281" t="s">
        <v>2787</v>
      </c>
      <c r="E5281" t="s">
        <v>19487</v>
      </c>
      <c r="F5281" t="s">
        <v>7672</v>
      </c>
      <c r="G5281" t="s">
        <v>19488</v>
      </c>
      <c r="H5281" t="s">
        <v>11496</v>
      </c>
      <c r="I5281" t="s">
        <v>410</v>
      </c>
      <c r="J5281" t="s">
        <v>9423</v>
      </c>
    </row>
    <row r="5282" spans="1:10" x14ac:dyDescent="0.25">
      <c r="A5282" t="s">
        <v>19489</v>
      </c>
      <c r="B5282">
        <v>4.4000000000000004</v>
      </c>
      <c r="C5282" t="s">
        <v>19490</v>
      </c>
      <c r="D5282" t="s">
        <v>2381</v>
      </c>
      <c r="E5282" t="s">
        <v>19487</v>
      </c>
      <c r="F5282" t="s">
        <v>7672</v>
      </c>
      <c r="G5282" t="s">
        <v>19488</v>
      </c>
      <c r="H5282" t="s">
        <v>11496</v>
      </c>
      <c r="I5282" t="s">
        <v>410</v>
      </c>
      <c r="J5282" t="s">
        <v>9426</v>
      </c>
    </row>
    <row r="5283" spans="1:10" x14ac:dyDescent="0.25">
      <c r="A5283" t="s">
        <v>19491</v>
      </c>
      <c r="B5283">
        <v>4.4000000000000004</v>
      </c>
      <c r="C5283" t="s">
        <v>19492</v>
      </c>
      <c r="D5283" t="s">
        <v>4794</v>
      </c>
      <c r="E5283" t="s">
        <v>19487</v>
      </c>
      <c r="F5283" t="s">
        <v>7672</v>
      </c>
      <c r="G5283" t="s">
        <v>19488</v>
      </c>
      <c r="H5283" t="s">
        <v>11496</v>
      </c>
      <c r="I5283" t="s">
        <v>410</v>
      </c>
      <c r="J5283" t="s">
        <v>10862</v>
      </c>
    </row>
    <row r="5284" spans="1:10" x14ac:dyDescent="0.25">
      <c r="A5284" t="s">
        <v>19493</v>
      </c>
      <c r="B5284">
        <v>4.4000000000000004</v>
      </c>
      <c r="C5284" t="s">
        <v>19494</v>
      </c>
      <c r="D5284" t="s">
        <v>2364</v>
      </c>
      <c r="E5284" t="s">
        <v>19487</v>
      </c>
      <c r="F5284" t="s">
        <v>7672</v>
      </c>
      <c r="G5284" t="s">
        <v>19488</v>
      </c>
      <c r="H5284" t="s">
        <v>11496</v>
      </c>
      <c r="I5284" t="s">
        <v>410</v>
      </c>
      <c r="J5284" t="s">
        <v>13084</v>
      </c>
    </row>
    <row r="5285" spans="1:10" x14ac:dyDescent="0.25">
      <c r="A5285" t="s">
        <v>19495</v>
      </c>
      <c r="B5285">
        <v>4.4000000000000004</v>
      </c>
      <c r="C5285" t="s">
        <v>19496</v>
      </c>
      <c r="D5285" t="s">
        <v>11566</v>
      </c>
      <c r="E5285" t="s">
        <v>19487</v>
      </c>
      <c r="F5285" t="s">
        <v>7672</v>
      </c>
      <c r="G5285" t="s">
        <v>19488</v>
      </c>
      <c r="H5285" t="s">
        <v>11496</v>
      </c>
      <c r="I5285" t="s">
        <v>410</v>
      </c>
      <c r="J5285" t="s">
        <v>11767</v>
      </c>
    </row>
    <row r="5286" spans="1:10" x14ac:dyDescent="0.25">
      <c r="A5286" t="s">
        <v>19497</v>
      </c>
      <c r="B5286">
        <v>4.4000000000000004</v>
      </c>
      <c r="C5286" t="s">
        <v>19498</v>
      </c>
      <c r="D5286" t="s">
        <v>2381</v>
      </c>
      <c r="E5286" t="s">
        <v>19487</v>
      </c>
      <c r="F5286" t="s">
        <v>7672</v>
      </c>
      <c r="G5286" t="s">
        <v>19488</v>
      </c>
      <c r="H5286" t="s">
        <v>11496</v>
      </c>
      <c r="I5286" t="s">
        <v>410</v>
      </c>
      <c r="J5286" t="s">
        <v>11582</v>
      </c>
    </row>
    <row r="5287" spans="1:10" x14ac:dyDescent="0.25">
      <c r="A5287" t="s">
        <v>19499</v>
      </c>
      <c r="B5287">
        <v>4.4000000000000004</v>
      </c>
      <c r="C5287" t="s">
        <v>19500</v>
      </c>
      <c r="D5287" t="s">
        <v>870</v>
      </c>
      <c r="E5287" t="s">
        <v>19487</v>
      </c>
      <c r="F5287" t="s">
        <v>7672</v>
      </c>
      <c r="G5287" t="s">
        <v>19488</v>
      </c>
      <c r="H5287" t="s">
        <v>11496</v>
      </c>
      <c r="I5287" t="s">
        <v>410</v>
      </c>
      <c r="J5287" t="s">
        <v>11585</v>
      </c>
    </row>
    <row r="5288" spans="1:10" x14ac:dyDescent="0.25">
      <c r="A5288" t="s">
        <v>5087</v>
      </c>
      <c r="B5288">
        <v>7.6000000000000014</v>
      </c>
      <c r="C5288" t="s">
        <v>5089</v>
      </c>
      <c r="D5288" t="s">
        <v>659</v>
      </c>
      <c r="E5288" t="s">
        <v>5090</v>
      </c>
      <c r="F5288" t="s">
        <v>7672</v>
      </c>
      <c r="G5288" t="s">
        <v>19501</v>
      </c>
      <c r="H5288" t="s">
        <v>11496</v>
      </c>
      <c r="I5288" t="s">
        <v>18020</v>
      </c>
      <c r="J5288" t="s">
        <v>9423</v>
      </c>
    </row>
    <row r="5289" spans="1:10" x14ac:dyDescent="0.25">
      <c r="A5289" t="s">
        <v>5093</v>
      </c>
      <c r="B5289">
        <v>7.6000000000000014</v>
      </c>
      <c r="C5289" t="s">
        <v>5095</v>
      </c>
      <c r="D5289" t="s">
        <v>2376</v>
      </c>
      <c r="E5289" t="s">
        <v>5090</v>
      </c>
      <c r="F5289" t="s">
        <v>7672</v>
      </c>
      <c r="G5289" t="s">
        <v>19501</v>
      </c>
      <c r="H5289" t="s">
        <v>11496</v>
      </c>
      <c r="I5289" t="s">
        <v>18020</v>
      </c>
      <c r="J5289" t="s">
        <v>10862</v>
      </c>
    </row>
    <row r="5290" spans="1:10" x14ac:dyDescent="0.25">
      <c r="A5290" t="s">
        <v>5097</v>
      </c>
      <c r="B5290">
        <v>7.6000000000000014</v>
      </c>
      <c r="C5290" t="s">
        <v>5099</v>
      </c>
      <c r="D5290" t="s">
        <v>4127</v>
      </c>
      <c r="E5290" t="s">
        <v>5090</v>
      </c>
      <c r="F5290" t="s">
        <v>7672</v>
      </c>
      <c r="G5290" t="s">
        <v>19501</v>
      </c>
      <c r="H5290" t="s">
        <v>11496</v>
      </c>
      <c r="I5290" t="s">
        <v>18020</v>
      </c>
      <c r="J5290" t="s">
        <v>9426</v>
      </c>
    </row>
    <row r="5291" spans="1:10" x14ac:dyDescent="0.25">
      <c r="A5291" t="s">
        <v>5101</v>
      </c>
      <c r="B5291">
        <v>7.6000000000000014</v>
      </c>
      <c r="C5291" t="s">
        <v>5103</v>
      </c>
      <c r="D5291" t="s">
        <v>5105</v>
      </c>
      <c r="E5291" t="s">
        <v>5090</v>
      </c>
      <c r="F5291" t="s">
        <v>7672</v>
      </c>
      <c r="G5291" t="s">
        <v>19501</v>
      </c>
      <c r="H5291" t="s">
        <v>11496</v>
      </c>
      <c r="I5291" t="s">
        <v>18020</v>
      </c>
      <c r="J5291" t="s">
        <v>13084</v>
      </c>
    </row>
    <row r="5292" spans="1:10" x14ac:dyDescent="0.25">
      <c r="A5292" t="s">
        <v>5106</v>
      </c>
      <c r="B5292">
        <v>7.6000000000000014</v>
      </c>
      <c r="C5292" t="s">
        <v>5108</v>
      </c>
      <c r="D5292" t="s">
        <v>5110</v>
      </c>
      <c r="E5292" t="s">
        <v>5090</v>
      </c>
      <c r="F5292" t="s">
        <v>7672</v>
      </c>
      <c r="G5292" t="s">
        <v>19501</v>
      </c>
      <c r="H5292" t="s">
        <v>11496</v>
      </c>
      <c r="I5292" t="s">
        <v>18020</v>
      </c>
      <c r="J5292" t="s">
        <v>11767</v>
      </c>
    </row>
    <row r="5293" spans="1:10" x14ac:dyDescent="0.25">
      <c r="A5293" t="s">
        <v>5111</v>
      </c>
      <c r="B5293">
        <v>7.6000000000000014</v>
      </c>
      <c r="C5293" t="s">
        <v>5113</v>
      </c>
      <c r="D5293" t="s">
        <v>752</v>
      </c>
      <c r="E5293" t="s">
        <v>5090</v>
      </c>
      <c r="F5293" t="s">
        <v>7672</v>
      </c>
      <c r="G5293" t="s">
        <v>19501</v>
      </c>
      <c r="H5293" t="s">
        <v>11496</v>
      </c>
      <c r="I5293" t="s">
        <v>18020</v>
      </c>
      <c r="J5293" t="s">
        <v>11582</v>
      </c>
    </row>
    <row r="5294" spans="1:10" x14ac:dyDescent="0.25">
      <c r="A5294" t="s">
        <v>5115</v>
      </c>
      <c r="B5294">
        <v>7.6000000000000014</v>
      </c>
      <c r="C5294" t="s">
        <v>5117</v>
      </c>
      <c r="D5294" t="s">
        <v>5119</v>
      </c>
      <c r="E5294" t="s">
        <v>5090</v>
      </c>
      <c r="F5294" t="s">
        <v>7672</v>
      </c>
      <c r="G5294" t="s">
        <v>19501</v>
      </c>
      <c r="H5294" t="s">
        <v>11496</v>
      </c>
      <c r="I5294" t="s">
        <v>18020</v>
      </c>
      <c r="J5294" t="s">
        <v>11585</v>
      </c>
    </row>
    <row r="5295" spans="1:10" x14ac:dyDescent="0.25">
      <c r="A5295" t="s">
        <v>19502</v>
      </c>
      <c r="B5295">
        <v>1.5920000000000001</v>
      </c>
      <c r="C5295" t="s">
        <v>19503</v>
      </c>
      <c r="D5295" t="s">
        <v>2850</v>
      </c>
      <c r="E5295" t="s">
        <v>19504</v>
      </c>
      <c r="F5295" t="s">
        <v>7672</v>
      </c>
      <c r="G5295" t="s">
        <v>19505</v>
      </c>
      <c r="H5295" t="s">
        <v>10298</v>
      </c>
      <c r="I5295" t="s">
        <v>76</v>
      </c>
      <c r="J5295" t="s">
        <v>11702</v>
      </c>
    </row>
    <row r="5296" spans="1:10" x14ac:dyDescent="0.25">
      <c r="A5296" t="s">
        <v>19506</v>
      </c>
      <c r="B5296">
        <v>1.5920000000000001</v>
      </c>
      <c r="C5296" t="s">
        <v>19507</v>
      </c>
      <c r="D5296" t="s">
        <v>19508</v>
      </c>
      <c r="E5296" t="s">
        <v>19504</v>
      </c>
      <c r="F5296" t="s">
        <v>7672</v>
      </c>
      <c r="G5296" t="s">
        <v>19505</v>
      </c>
      <c r="H5296" t="s">
        <v>10298</v>
      </c>
      <c r="I5296" t="s">
        <v>278</v>
      </c>
      <c r="J5296" t="s">
        <v>11702</v>
      </c>
    </row>
    <row r="5297" spans="1:10" x14ac:dyDescent="0.25">
      <c r="A5297" t="s">
        <v>19509</v>
      </c>
      <c r="B5297">
        <v>1.5920000000000001</v>
      </c>
      <c r="C5297" t="s">
        <v>19510</v>
      </c>
      <c r="D5297" t="s">
        <v>7937</v>
      </c>
      <c r="E5297" t="s">
        <v>19504</v>
      </c>
      <c r="F5297" t="s">
        <v>7672</v>
      </c>
      <c r="G5297" t="s">
        <v>19505</v>
      </c>
      <c r="H5297" t="s">
        <v>10298</v>
      </c>
      <c r="I5297" t="s">
        <v>9116</v>
      </c>
      <c r="J5297" t="s">
        <v>11702</v>
      </c>
    </row>
    <row r="5298" spans="1:10" x14ac:dyDescent="0.25">
      <c r="A5298" t="s">
        <v>19511</v>
      </c>
      <c r="B5298">
        <v>8.3920000000000012</v>
      </c>
      <c r="C5298" t="s">
        <v>19512</v>
      </c>
      <c r="D5298" t="s">
        <v>1134</v>
      </c>
      <c r="E5298" t="s">
        <v>19513</v>
      </c>
      <c r="F5298" t="s">
        <v>7672</v>
      </c>
      <c r="G5298" t="s">
        <v>19514</v>
      </c>
      <c r="H5298" t="s">
        <v>7974</v>
      </c>
      <c r="I5298" t="s">
        <v>15532</v>
      </c>
      <c r="J5298" t="s">
        <v>9237</v>
      </c>
    </row>
    <row r="5299" spans="1:10" x14ac:dyDescent="0.25">
      <c r="A5299" t="s">
        <v>19515</v>
      </c>
      <c r="B5299">
        <v>8.3920000000000012</v>
      </c>
      <c r="C5299" t="s">
        <v>19516</v>
      </c>
      <c r="D5299" t="s">
        <v>1579</v>
      </c>
      <c r="E5299" t="s">
        <v>19513</v>
      </c>
      <c r="F5299" t="s">
        <v>7672</v>
      </c>
      <c r="G5299" t="s">
        <v>19514</v>
      </c>
      <c r="H5299" t="s">
        <v>7974</v>
      </c>
      <c r="I5299" t="s">
        <v>15532</v>
      </c>
      <c r="J5299" t="s">
        <v>8427</v>
      </c>
    </row>
    <row r="5300" spans="1:10" x14ac:dyDescent="0.25">
      <c r="A5300" t="s">
        <v>19517</v>
      </c>
      <c r="B5300">
        <v>8.3920000000000012</v>
      </c>
      <c r="C5300" t="s">
        <v>19518</v>
      </c>
      <c r="D5300" t="s">
        <v>1134</v>
      </c>
      <c r="E5300" t="s">
        <v>19513</v>
      </c>
      <c r="F5300" t="s">
        <v>7672</v>
      </c>
      <c r="G5300" t="s">
        <v>19514</v>
      </c>
      <c r="H5300" t="s">
        <v>7974</v>
      </c>
      <c r="I5300" t="s">
        <v>15532</v>
      </c>
      <c r="J5300" t="s">
        <v>8439</v>
      </c>
    </row>
    <row r="5301" spans="1:10" x14ac:dyDescent="0.25">
      <c r="A5301" t="s">
        <v>19519</v>
      </c>
      <c r="B5301">
        <v>14.4</v>
      </c>
      <c r="C5301" t="s">
        <v>19520</v>
      </c>
      <c r="D5301" t="s">
        <v>1386</v>
      </c>
      <c r="E5301" t="s">
        <v>19521</v>
      </c>
      <c r="F5301" t="s">
        <v>7672</v>
      </c>
      <c r="G5301" t="s">
        <v>19522</v>
      </c>
      <c r="H5301" t="s">
        <v>7965</v>
      </c>
      <c r="I5301" t="s">
        <v>3799</v>
      </c>
      <c r="J5301" t="s">
        <v>7981</v>
      </c>
    </row>
    <row r="5302" spans="1:10" x14ac:dyDescent="0.25">
      <c r="A5302" t="s">
        <v>19523</v>
      </c>
      <c r="B5302">
        <v>14.4</v>
      </c>
      <c r="C5302" t="s">
        <v>19524</v>
      </c>
      <c r="D5302" t="s">
        <v>131</v>
      </c>
      <c r="E5302" t="s">
        <v>19521</v>
      </c>
      <c r="F5302" t="s">
        <v>7672</v>
      </c>
      <c r="G5302" t="s">
        <v>19522</v>
      </c>
      <c r="H5302" t="s">
        <v>7965</v>
      </c>
      <c r="I5302" t="s">
        <v>76</v>
      </c>
      <c r="J5302" t="s">
        <v>7981</v>
      </c>
    </row>
    <row r="5303" spans="1:10" x14ac:dyDescent="0.25">
      <c r="A5303" t="s">
        <v>19525</v>
      </c>
      <c r="B5303">
        <v>14.4</v>
      </c>
      <c r="C5303" t="s">
        <v>19526</v>
      </c>
      <c r="D5303" t="s">
        <v>9648</v>
      </c>
      <c r="E5303" t="s">
        <v>19521</v>
      </c>
      <c r="F5303" t="s">
        <v>7672</v>
      </c>
      <c r="G5303" t="s">
        <v>19522</v>
      </c>
      <c r="H5303" t="s">
        <v>7965</v>
      </c>
      <c r="I5303" t="s">
        <v>3799</v>
      </c>
      <c r="J5303" t="s">
        <v>7984</v>
      </c>
    </row>
    <row r="5304" spans="1:10" x14ac:dyDescent="0.25">
      <c r="A5304" t="s">
        <v>19527</v>
      </c>
      <c r="B5304">
        <v>14.4</v>
      </c>
      <c r="C5304" t="s">
        <v>19528</v>
      </c>
      <c r="D5304" t="s">
        <v>870</v>
      </c>
      <c r="E5304" t="s">
        <v>19521</v>
      </c>
      <c r="F5304" t="s">
        <v>7672</v>
      </c>
      <c r="G5304" t="s">
        <v>19522</v>
      </c>
      <c r="H5304" t="s">
        <v>7965</v>
      </c>
      <c r="I5304" t="s">
        <v>76</v>
      </c>
      <c r="J5304" t="s">
        <v>7984</v>
      </c>
    </row>
    <row r="5305" spans="1:10" x14ac:dyDescent="0.25">
      <c r="A5305" t="s">
        <v>19529</v>
      </c>
      <c r="B5305">
        <v>14.4</v>
      </c>
      <c r="C5305" t="s">
        <v>19530</v>
      </c>
      <c r="D5305" t="s">
        <v>2248</v>
      </c>
      <c r="E5305" t="s">
        <v>19521</v>
      </c>
      <c r="F5305" t="s">
        <v>7672</v>
      </c>
      <c r="G5305" t="s">
        <v>19522</v>
      </c>
      <c r="H5305" t="s">
        <v>7965</v>
      </c>
      <c r="I5305" t="s">
        <v>3799</v>
      </c>
      <c r="J5305" t="s">
        <v>7987</v>
      </c>
    </row>
    <row r="5306" spans="1:10" x14ac:dyDescent="0.25">
      <c r="A5306" t="s">
        <v>19531</v>
      </c>
      <c r="B5306">
        <v>5</v>
      </c>
      <c r="C5306" t="s">
        <v>19532</v>
      </c>
      <c r="D5306" t="s">
        <v>16605</v>
      </c>
      <c r="E5306" t="s">
        <v>19533</v>
      </c>
      <c r="F5306" t="s">
        <v>7672</v>
      </c>
      <c r="G5306" t="s">
        <v>19534</v>
      </c>
      <c r="H5306" t="s">
        <v>7674</v>
      </c>
      <c r="I5306" t="s">
        <v>19535</v>
      </c>
      <c r="J5306" t="s">
        <v>15981</v>
      </c>
    </row>
    <row r="5307" spans="1:10" x14ac:dyDescent="0.25">
      <c r="A5307" t="s">
        <v>19536</v>
      </c>
      <c r="B5307">
        <v>5</v>
      </c>
      <c r="C5307" t="s">
        <v>19537</v>
      </c>
      <c r="D5307" t="s">
        <v>16150</v>
      </c>
      <c r="E5307" t="s">
        <v>19533</v>
      </c>
      <c r="F5307" t="s">
        <v>7672</v>
      </c>
      <c r="G5307" t="s">
        <v>19534</v>
      </c>
      <c r="H5307" t="s">
        <v>7674</v>
      </c>
      <c r="I5307" t="s">
        <v>19538</v>
      </c>
      <c r="J5307" t="s">
        <v>15981</v>
      </c>
    </row>
    <row r="5308" spans="1:10" x14ac:dyDescent="0.25">
      <c r="A5308" t="s">
        <v>19539</v>
      </c>
      <c r="B5308">
        <v>5</v>
      </c>
      <c r="C5308" t="s">
        <v>19540</v>
      </c>
      <c r="D5308" t="s">
        <v>3613</v>
      </c>
      <c r="E5308" t="s">
        <v>19533</v>
      </c>
      <c r="F5308" t="s">
        <v>7672</v>
      </c>
      <c r="G5308" t="s">
        <v>19534</v>
      </c>
      <c r="H5308" t="s">
        <v>7674</v>
      </c>
      <c r="I5308" t="s">
        <v>19541</v>
      </c>
      <c r="J5308" t="s">
        <v>15981</v>
      </c>
    </row>
    <row r="5309" spans="1:10" x14ac:dyDescent="0.25">
      <c r="A5309" t="s">
        <v>19542</v>
      </c>
      <c r="B5309">
        <v>5</v>
      </c>
      <c r="C5309" t="s">
        <v>19543</v>
      </c>
      <c r="D5309" t="s">
        <v>9800</v>
      </c>
      <c r="E5309" t="s">
        <v>19533</v>
      </c>
      <c r="F5309" t="s">
        <v>7672</v>
      </c>
      <c r="G5309" t="s">
        <v>19534</v>
      </c>
      <c r="H5309" t="s">
        <v>7674</v>
      </c>
      <c r="I5309" t="s">
        <v>19544</v>
      </c>
      <c r="J5309" t="s">
        <v>15981</v>
      </c>
    </row>
    <row r="5310" spans="1:10" x14ac:dyDescent="0.25">
      <c r="A5310" t="s">
        <v>19545</v>
      </c>
      <c r="B5310">
        <v>5</v>
      </c>
      <c r="C5310" t="s">
        <v>19546</v>
      </c>
      <c r="D5310" t="s">
        <v>1451</v>
      </c>
      <c r="E5310" t="s">
        <v>19533</v>
      </c>
      <c r="F5310" t="s">
        <v>7672</v>
      </c>
      <c r="G5310" t="s">
        <v>19534</v>
      </c>
      <c r="H5310" t="s">
        <v>7674</v>
      </c>
      <c r="I5310" t="s">
        <v>19547</v>
      </c>
      <c r="J5310" t="s">
        <v>15981</v>
      </c>
    </row>
    <row r="5311" spans="1:10" x14ac:dyDescent="0.25">
      <c r="A5311" t="s">
        <v>19548</v>
      </c>
      <c r="B5311">
        <v>5</v>
      </c>
      <c r="C5311" t="s">
        <v>19549</v>
      </c>
      <c r="D5311" t="s">
        <v>19550</v>
      </c>
      <c r="E5311" t="s">
        <v>19533</v>
      </c>
      <c r="F5311" t="s">
        <v>7672</v>
      </c>
      <c r="G5311" t="s">
        <v>19534</v>
      </c>
      <c r="H5311" t="s">
        <v>7674</v>
      </c>
      <c r="I5311" t="s">
        <v>19551</v>
      </c>
      <c r="J5311" t="s">
        <v>15981</v>
      </c>
    </row>
    <row r="5312" spans="1:10" x14ac:dyDescent="0.25">
      <c r="A5312" t="s">
        <v>19552</v>
      </c>
      <c r="B5312">
        <v>5</v>
      </c>
      <c r="C5312" t="s">
        <v>19553</v>
      </c>
      <c r="D5312" t="s">
        <v>7841</v>
      </c>
      <c r="E5312" t="s">
        <v>19533</v>
      </c>
      <c r="F5312" t="s">
        <v>7672</v>
      </c>
      <c r="G5312" t="s">
        <v>19534</v>
      </c>
      <c r="H5312" t="s">
        <v>7674</v>
      </c>
      <c r="I5312" t="s">
        <v>19554</v>
      </c>
      <c r="J5312" t="s">
        <v>15981</v>
      </c>
    </row>
    <row r="5313" spans="1:10" x14ac:dyDescent="0.25">
      <c r="A5313" t="s">
        <v>19555</v>
      </c>
      <c r="B5313">
        <v>5</v>
      </c>
      <c r="C5313" t="s">
        <v>19556</v>
      </c>
      <c r="D5313" t="s">
        <v>19557</v>
      </c>
      <c r="E5313" t="s">
        <v>19533</v>
      </c>
      <c r="F5313" t="s">
        <v>7672</v>
      </c>
      <c r="G5313" t="s">
        <v>19534</v>
      </c>
      <c r="H5313" t="s">
        <v>7674</v>
      </c>
      <c r="I5313" t="s">
        <v>10387</v>
      </c>
      <c r="J5313" t="s">
        <v>15981</v>
      </c>
    </row>
    <row r="5314" spans="1:10" x14ac:dyDescent="0.25">
      <c r="A5314" t="s">
        <v>19558</v>
      </c>
      <c r="B5314">
        <v>5</v>
      </c>
      <c r="C5314" t="s">
        <v>19559</v>
      </c>
      <c r="D5314" t="s">
        <v>8131</v>
      </c>
      <c r="E5314" t="s">
        <v>19533</v>
      </c>
      <c r="F5314" t="s">
        <v>7672</v>
      </c>
      <c r="G5314" t="s">
        <v>19534</v>
      </c>
      <c r="H5314" t="s">
        <v>7674</v>
      </c>
      <c r="I5314" t="s">
        <v>19560</v>
      </c>
      <c r="J5314" t="s">
        <v>15981</v>
      </c>
    </row>
    <row r="5315" spans="1:10" x14ac:dyDescent="0.25">
      <c r="A5315" t="s">
        <v>19561</v>
      </c>
      <c r="B5315">
        <v>5</v>
      </c>
      <c r="C5315" t="s">
        <v>19562</v>
      </c>
      <c r="D5315" t="s">
        <v>10933</v>
      </c>
      <c r="E5315" t="s">
        <v>19533</v>
      </c>
      <c r="F5315" t="s">
        <v>7672</v>
      </c>
      <c r="G5315" t="s">
        <v>19534</v>
      </c>
      <c r="H5315" t="s">
        <v>7674</v>
      </c>
      <c r="I5315" t="s">
        <v>19563</v>
      </c>
      <c r="J5315" t="s">
        <v>15981</v>
      </c>
    </row>
    <row r="5316" spans="1:10" x14ac:dyDescent="0.25">
      <c r="A5316" t="s">
        <v>19564</v>
      </c>
      <c r="B5316">
        <v>5</v>
      </c>
      <c r="C5316" t="s">
        <v>19565</v>
      </c>
      <c r="D5316" t="s">
        <v>1879</v>
      </c>
      <c r="E5316" t="s">
        <v>19533</v>
      </c>
      <c r="F5316" t="s">
        <v>7672</v>
      </c>
      <c r="G5316" t="s">
        <v>19534</v>
      </c>
      <c r="H5316" t="s">
        <v>7674</v>
      </c>
      <c r="I5316" t="s">
        <v>7762</v>
      </c>
      <c r="J5316" t="s">
        <v>15981</v>
      </c>
    </row>
    <row r="5317" spans="1:10" x14ac:dyDescent="0.25">
      <c r="A5317" t="s">
        <v>19566</v>
      </c>
      <c r="B5317">
        <v>5</v>
      </c>
      <c r="C5317" t="s">
        <v>19567</v>
      </c>
      <c r="D5317" t="s">
        <v>2845</v>
      </c>
      <c r="E5317" t="s">
        <v>19533</v>
      </c>
      <c r="F5317" t="s">
        <v>7672</v>
      </c>
      <c r="G5317" t="s">
        <v>19534</v>
      </c>
      <c r="H5317" t="s">
        <v>7674</v>
      </c>
      <c r="I5317" t="s">
        <v>19568</v>
      </c>
      <c r="J5317" t="s">
        <v>15981</v>
      </c>
    </row>
    <row r="5318" spans="1:10" x14ac:dyDescent="0.25">
      <c r="A5318" t="s">
        <v>19569</v>
      </c>
      <c r="B5318">
        <v>5</v>
      </c>
      <c r="C5318" t="s">
        <v>19570</v>
      </c>
      <c r="D5318" t="s">
        <v>3023</v>
      </c>
      <c r="E5318" t="s">
        <v>19533</v>
      </c>
      <c r="F5318" t="s">
        <v>7672</v>
      </c>
      <c r="G5318" t="s">
        <v>19534</v>
      </c>
      <c r="H5318" t="s">
        <v>7674</v>
      </c>
      <c r="I5318" t="s">
        <v>19571</v>
      </c>
      <c r="J5318" t="s">
        <v>15981</v>
      </c>
    </row>
    <row r="5319" spans="1:10" x14ac:dyDescent="0.25">
      <c r="A5319" t="s">
        <v>19572</v>
      </c>
      <c r="B5319">
        <v>5</v>
      </c>
      <c r="C5319" t="s">
        <v>19573</v>
      </c>
      <c r="D5319" t="s">
        <v>3999</v>
      </c>
      <c r="E5319" t="s">
        <v>19533</v>
      </c>
      <c r="F5319" t="s">
        <v>7672</v>
      </c>
      <c r="G5319" t="s">
        <v>19534</v>
      </c>
      <c r="H5319" t="s">
        <v>7674</v>
      </c>
      <c r="I5319" t="s">
        <v>19574</v>
      </c>
      <c r="J5319" t="s">
        <v>15981</v>
      </c>
    </row>
    <row r="5320" spans="1:10" x14ac:dyDescent="0.25">
      <c r="A5320" t="s">
        <v>19575</v>
      </c>
      <c r="B5320">
        <v>5</v>
      </c>
      <c r="C5320" t="s">
        <v>19576</v>
      </c>
      <c r="D5320" t="s">
        <v>8262</v>
      </c>
      <c r="E5320" t="s">
        <v>19533</v>
      </c>
      <c r="F5320" t="s">
        <v>7672</v>
      </c>
      <c r="G5320" t="s">
        <v>19534</v>
      </c>
      <c r="H5320" t="s">
        <v>7674</v>
      </c>
      <c r="I5320" t="s">
        <v>19577</v>
      </c>
      <c r="J5320" t="s">
        <v>15981</v>
      </c>
    </row>
    <row r="5321" spans="1:10" x14ac:dyDescent="0.25">
      <c r="A5321" t="s">
        <v>19578</v>
      </c>
      <c r="B5321">
        <v>5</v>
      </c>
      <c r="C5321" t="s">
        <v>19579</v>
      </c>
      <c r="D5321" t="s">
        <v>19580</v>
      </c>
      <c r="E5321" t="s">
        <v>19533</v>
      </c>
      <c r="F5321" t="s">
        <v>7672</v>
      </c>
      <c r="G5321" t="s">
        <v>19534</v>
      </c>
      <c r="H5321" t="s">
        <v>7674</v>
      </c>
      <c r="I5321" t="s">
        <v>19581</v>
      </c>
      <c r="J5321" t="s">
        <v>15981</v>
      </c>
    </row>
    <row r="5322" spans="1:10" x14ac:dyDescent="0.25">
      <c r="A5322" t="s">
        <v>19582</v>
      </c>
      <c r="B5322">
        <v>5</v>
      </c>
      <c r="C5322" t="s">
        <v>19583</v>
      </c>
      <c r="D5322" t="s">
        <v>4584</v>
      </c>
      <c r="E5322" t="s">
        <v>19533</v>
      </c>
      <c r="F5322" t="s">
        <v>7672</v>
      </c>
      <c r="G5322" t="s">
        <v>19534</v>
      </c>
      <c r="H5322" t="s">
        <v>7674</v>
      </c>
      <c r="I5322" t="s">
        <v>19581</v>
      </c>
      <c r="J5322" t="s">
        <v>7713</v>
      </c>
    </row>
    <row r="5323" spans="1:10" x14ac:dyDescent="0.25">
      <c r="A5323" t="s">
        <v>19584</v>
      </c>
      <c r="B5323">
        <v>10.792</v>
      </c>
      <c r="C5323" t="s">
        <v>19585</v>
      </c>
      <c r="D5323" t="s">
        <v>199</v>
      </c>
      <c r="E5323" t="s">
        <v>19586</v>
      </c>
      <c r="F5323" t="s">
        <v>7672</v>
      </c>
      <c r="G5323" t="s">
        <v>19587</v>
      </c>
      <c r="H5323" t="s">
        <v>10298</v>
      </c>
      <c r="I5323" t="s">
        <v>9807</v>
      </c>
      <c r="J5323" t="s">
        <v>106</v>
      </c>
    </row>
    <row r="5324" spans="1:10" x14ac:dyDescent="0.25">
      <c r="A5324" t="s">
        <v>19588</v>
      </c>
      <c r="B5324">
        <v>10.792</v>
      </c>
      <c r="C5324" t="s">
        <v>19589</v>
      </c>
      <c r="D5324" t="s">
        <v>95</v>
      </c>
      <c r="E5324" t="s">
        <v>19586</v>
      </c>
      <c r="F5324" t="s">
        <v>7672</v>
      </c>
      <c r="G5324" t="s">
        <v>19587</v>
      </c>
      <c r="H5324" t="s">
        <v>10298</v>
      </c>
      <c r="I5324" t="s">
        <v>9807</v>
      </c>
      <c r="J5324" t="s">
        <v>11421</v>
      </c>
    </row>
    <row r="5325" spans="1:10" x14ac:dyDescent="0.25">
      <c r="A5325" t="s">
        <v>19590</v>
      </c>
      <c r="B5325">
        <v>10.792</v>
      </c>
      <c r="C5325" t="s">
        <v>19591</v>
      </c>
      <c r="D5325" t="s">
        <v>582</v>
      </c>
      <c r="E5325" t="s">
        <v>19586</v>
      </c>
      <c r="F5325" t="s">
        <v>7672</v>
      </c>
      <c r="G5325" t="s">
        <v>19587</v>
      </c>
      <c r="H5325" t="s">
        <v>10298</v>
      </c>
      <c r="I5325" t="s">
        <v>9807</v>
      </c>
      <c r="J5325" t="s">
        <v>88</v>
      </c>
    </row>
    <row r="5326" spans="1:10" x14ac:dyDescent="0.25">
      <c r="A5326" t="s">
        <v>19592</v>
      </c>
      <c r="B5326">
        <v>10.792</v>
      </c>
      <c r="C5326" t="s">
        <v>19593</v>
      </c>
      <c r="D5326" t="s">
        <v>2022</v>
      </c>
      <c r="E5326" t="s">
        <v>19586</v>
      </c>
      <c r="F5326" t="s">
        <v>7672</v>
      </c>
      <c r="G5326" t="s">
        <v>19587</v>
      </c>
      <c r="H5326" t="s">
        <v>10298</v>
      </c>
      <c r="I5326" t="s">
        <v>9807</v>
      </c>
      <c r="J5326" t="s">
        <v>7966</v>
      </c>
    </row>
    <row r="5327" spans="1:10" x14ac:dyDescent="0.25">
      <c r="A5327" t="s">
        <v>19594</v>
      </c>
      <c r="B5327">
        <v>10.792</v>
      </c>
      <c r="C5327" t="s">
        <v>19595</v>
      </c>
      <c r="D5327" t="s">
        <v>306</v>
      </c>
      <c r="E5327" t="s">
        <v>19586</v>
      </c>
      <c r="F5327" t="s">
        <v>7672</v>
      </c>
      <c r="G5327" t="s">
        <v>19587</v>
      </c>
      <c r="H5327" t="s">
        <v>10298</v>
      </c>
      <c r="I5327" t="s">
        <v>9807</v>
      </c>
      <c r="J5327" t="s">
        <v>131</v>
      </c>
    </row>
    <row r="5328" spans="1:10" x14ac:dyDescent="0.25">
      <c r="A5328" t="s">
        <v>19596</v>
      </c>
      <c r="B5328">
        <v>10.792</v>
      </c>
      <c r="C5328" t="s">
        <v>19597</v>
      </c>
      <c r="D5328" t="s">
        <v>671</v>
      </c>
      <c r="E5328" t="s">
        <v>19586</v>
      </c>
      <c r="F5328" t="s">
        <v>7672</v>
      </c>
      <c r="G5328" t="s">
        <v>19587</v>
      </c>
      <c r="H5328" t="s">
        <v>10298</v>
      </c>
      <c r="I5328" t="s">
        <v>9807</v>
      </c>
      <c r="J5328" t="s">
        <v>7967</v>
      </c>
    </row>
    <row r="5329" spans="1:10" x14ac:dyDescent="0.25">
      <c r="A5329" t="s">
        <v>19598</v>
      </c>
      <c r="B5329">
        <v>10.792</v>
      </c>
      <c r="C5329" t="s">
        <v>19599</v>
      </c>
      <c r="D5329" t="s">
        <v>245</v>
      </c>
      <c r="E5329" t="s">
        <v>19586</v>
      </c>
      <c r="F5329" t="s">
        <v>7672</v>
      </c>
      <c r="G5329" t="s">
        <v>19587</v>
      </c>
      <c r="H5329" t="s">
        <v>10298</v>
      </c>
      <c r="I5329" t="s">
        <v>9807</v>
      </c>
      <c r="J5329" t="s">
        <v>269</v>
      </c>
    </row>
    <row r="5330" spans="1:10" x14ac:dyDescent="0.25">
      <c r="A5330" t="s">
        <v>19600</v>
      </c>
      <c r="B5330">
        <v>10.792</v>
      </c>
      <c r="C5330" t="s">
        <v>19601</v>
      </c>
      <c r="D5330" t="s">
        <v>2620</v>
      </c>
      <c r="E5330" t="s">
        <v>19586</v>
      </c>
      <c r="F5330" t="s">
        <v>7672</v>
      </c>
      <c r="G5330" t="s">
        <v>19587</v>
      </c>
      <c r="H5330" t="s">
        <v>10298</v>
      </c>
      <c r="I5330" t="s">
        <v>9807</v>
      </c>
      <c r="J5330" t="s">
        <v>7968</v>
      </c>
    </row>
    <row r="5331" spans="1:10" x14ac:dyDescent="0.25">
      <c r="A5331" t="s">
        <v>19602</v>
      </c>
      <c r="B5331">
        <v>10.792</v>
      </c>
      <c r="C5331" t="s">
        <v>19603</v>
      </c>
      <c r="D5331" t="s">
        <v>981</v>
      </c>
      <c r="E5331" t="s">
        <v>19586</v>
      </c>
      <c r="F5331" t="s">
        <v>7672</v>
      </c>
      <c r="G5331" t="s">
        <v>19587</v>
      </c>
      <c r="H5331" t="s">
        <v>10298</v>
      </c>
      <c r="I5331" t="s">
        <v>9807</v>
      </c>
      <c r="J5331" t="s">
        <v>576</v>
      </c>
    </row>
    <row r="5332" spans="1:10" x14ac:dyDescent="0.25">
      <c r="A5332" t="s">
        <v>19604</v>
      </c>
      <c r="B5332">
        <v>10.792</v>
      </c>
      <c r="C5332" t="s">
        <v>19605</v>
      </c>
      <c r="D5332" t="s">
        <v>4270</v>
      </c>
      <c r="E5332" t="s">
        <v>19586</v>
      </c>
      <c r="F5332" t="s">
        <v>7672</v>
      </c>
      <c r="G5332" t="s">
        <v>19587</v>
      </c>
      <c r="H5332" t="s">
        <v>10298</v>
      </c>
      <c r="I5332" t="s">
        <v>9807</v>
      </c>
      <c r="J5332" t="s">
        <v>7969</v>
      </c>
    </row>
    <row r="5333" spans="1:10" x14ac:dyDescent="0.25">
      <c r="A5333" t="s">
        <v>19606</v>
      </c>
      <c r="B5333">
        <v>10.792</v>
      </c>
      <c r="C5333" t="s">
        <v>19607</v>
      </c>
      <c r="D5333" t="s">
        <v>725</v>
      </c>
      <c r="E5333" t="s">
        <v>19586</v>
      </c>
      <c r="F5333" t="s">
        <v>7672</v>
      </c>
      <c r="G5333" t="s">
        <v>19587</v>
      </c>
      <c r="H5333" t="s">
        <v>10298</v>
      </c>
      <c r="I5333" t="s">
        <v>9807</v>
      </c>
      <c r="J5333" t="s">
        <v>255</v>
      </c>
    </row>
    <row r="5334" spans="1:10" x14ac:dyDescent="0.25">
      <c r="A5334" t="s">
        <v>19608</v>
      </c>
      <c r="B5334">
        <v>10.792</v>
      </c>
      <c r="C5334" t="s">
        <v>19609</v>
      </c>
      <c r="D5334" t="s">
        <v>277</v>
      </c>
      <c r="E5334" t="s">
        <v>19586</v>
      </c>
      <c r="F5334" t="s">
        <v>7672</v>
      </c>
      <c r="G5334" t="s">
        <v>19587</v>
      </c>
      <c r="H5334" t="s">
        <v>10298</v>
      </c>
      <c r="I5334" t="s">
        <v>9807</v>
      </c>
      <c r="J5334" t="s">
        <v>282</v>
      </c>
    </row>
    <row r="5335" spans="1:10" x14ac:dyDescent="0.25">
      <c r="A5335" t="s">
        <v>19610</v>
      </c>
      <c r="B5335">
        <v>5.2</v>
      </c>
      <c r="C5335" t="s">
        <v>19611</v>
      </c>
      <c r="D5335" t="s">
        <v>4799</v>
      </c>
      <c r="E5335" t="s">
        <v>19612</v>
      </c>
      <c r="F5335" t="s">
        <v>7672</v>
      </c>
      <c r="G5335" t="s">
        <v>19613</v>
      </c>
      <c r="H5335" t="s">
        <v>11496</v>
      </c>
      <c r="I5335" t="s">
        <v>2496</v>
      </c>
      <c r="J5335" t="s">
        <v>9423</v>
      </c>
    </row>
    <row r="5336" spans="1:10" x14ac:dyDescent="0.25">
      <c r="A5336" t="s">
        <v>19614</v>
      </c>
      <c r="B5336">
        <v>5.2</v>
      </c>
      <c r="C5336" t="s">
        <v>19615</v>
      </c>
      <c r="D5336" t="s">
        <v>2364</v>
      </c>
      <c r="E5336" t="s">
        <v>19612</v>
      </c>
      <c r="F5336" t="s">
        <v>7672</v>
      </c>
      <c r="G5336" t="s">
        <v>19613</v>
      </c>
      <c r="H5336" t="s">
        <v>11496</v>
      </c>
      <c r="I5336" t="s">
        <v>2496</v>
      </c>
      <c r="J5336" t="s">
        <v>10862</v>
      </c>
    </row>
    <row r="5337" spans="1:10" x14ac:dyDescent="0.25">
      <c r="A5337" t="s">
        <v>19616</v>
      </c>
      <c r="B5337">
        <v>5.2</v>
      </c>
      <c r="C5337" t="s">
        <v>19617</v>
      </c>
      <c r="D5337" t="s">
        <v>11430</v>
      </c>
      <c r="E5337" t="s">
        <v>19612</v>
      </c>
      <c r="F5337" t="s">
        <v>7672</v>
      </c>
      <c r="G5337" t="s">
        <v>19613</v>
      </c>
      <c r="H5337" t="s">
        <v>11496</v>
      </c>
      <c r="I5337" t="s">
        <v>2496</v>
      </c>
      <c r="J5337" t="s">
        <v>9426</v>
      </c>
    </row>
    <row r="5338" spans="1:10" x14ac:dyDescent="0.25">
      <c r="A5338" t="s">
        <v>19618</v>
      </c>
      <c r="B5338">
        <v>5.2</v>
      </c>
      <c r="C5338" t="s">
        <v>19619</v>
      </c>
      <c r="D5338" t="s">
        <v>4270</v>
      </c>
      <c r="E5338" t="s">
        <v>19612</v>
      </c>
      <c r="F5338" t="s">
        <v>7672</v>
      </c>
      <c r="G5338" t="s">
        <v>19613</v>
      </c>
      <c r="H5338" t="s">
        <v>11496</v>
      </c>
      <c r="I5338" t="s">
        <v>2496</v>
      </c>
      <c r="J5338" t="s">
        <v>13084</v>
      </c>
    </row>
    <row r="5339" spans="1:10" x14ac:dyDescent="0.25">
      <c r="A5339" t="s">
        <v>19620</v>
      </c>
      <c r="B5339">
        <v>2.7919999999999998</v>
      </c>
      <c r="C5339" t="s">
        <v>19621</v>
      </c>
      <c r="D5339" t="s">
        <v>240</v>
      </c>
      <c r="E5339" t="s">
        <v>19622</v>
      </c>
      <c r="F5339" t="s">
        <v>7672</v>
      </c>
      <c r="G5339" t="s">
        <v>19623</v>
      </c>
      <c r="H5339" t="s">
        <v>8515</v>
      </c>
      <c r="I5339" t="s">
        <v>19624</v>
      </c>
      <c r="J5339" t="s">
        <v>11767</v>
      </c>
    </row>
    <row r="5340" spans="1:10" x14ac:dyDescent="0.25">
      <c r="A5340" t="s">
        <v>5120</v>
      </c>
      <c r="B5340">
        <v>15.288</v>
      </c>
      <c r="C5340" t="s">
        <v>5122</v>
      </c>
      <c r="D5340" t="s">
        <v>849</v>
      </c>
      <c r="E5340" t="s">
        <v>5123</v>
      </c>
      <c r="F5340" t="s">
        <v>7672</v>
      </c>
      <c r="G5340" t="s">
        <v>19625</v>
      </c>
      <c r="H5340" t="s">
        <v>10970</v>
      </c>
      <c r="I5340" t="s">
        <v>19626</v>
      </c>
      <c r="J5340" t="s">
        <v>7675</v>
      </c>
    </row>
    <row r="5341" spans="1:10" x14ac:dyDescent="0.25">
      <c r="A5341" t="s">
        <v>5127</v>
      </c>
      <c r="B5341">
        <v>15.288</v>
      </c>
      <c r="C5341" t="s">
        <v>5129</v>
      </c>
      <c r="D5341" t="s">
        <v>352</v>
      </c>
      <c r="E5341" t="s">
        <v>5123</v>
      </c>
      <c r="F5341" t="s">
        <v>7672</v>
      </c>
      <c r="G5341" t="s">
        <v>19625</v>
      </c>
      <c r="H5341" t="s">
        <v>10970</v>
      </c>
      <c r="I5341" t="s">
        <v>19627</v>
      </c>
      <c r="J5341" t="s">
        <v>7675</v>
      </c>
    </row>
    <row r="5342" spans="1:10" x14ac:dyDescent="0.25">
      <c r="A5342" t="s">
        <v>19628</v>
      </c>
      <c r="B5342">
        <v>15.288</v>
      </c>
      <c r="C5342" t="s">
        <v>19629</v>
      </c>
      <c r="D5342" t="s">
        <v>742</v>
      </c>
      <c r="E5342" t="s">
        <v>5123</v>
      </c>
      <c r="F5342" t="s">
        <v>7672</v>
      </c>
      <c r="G5342" t="s">
        <v>19625</v>
      </c>
      <c r="H5342" t="s">
        <v>10970</v>
      </c>
      <c r="I5342" t="s">
        <v>19630</v>
      </c>
      <c r="J5342" t="s">
        <v>7675</v>
      </c>
    </row>
    <row r="5343" spans="1:10" x14ac:dyDescent="0.25">
      <c r="A5343" t="s">
        <v>19631</v>
      </c>
      <c r="B5343">
        <v>15.288</v>
      </c>
      <c r="C5343" t="s">
        <v>19632</v>
      </c>
      <c r="D5343" t="s">
        <v>269</v>
      </c>
      <c r="E5343" t="s">
        <v>5123</v>
      </c>
      <c r="F5343" t="s">
        <v>7672</v>
      </c>
      <c r="G5343" t="s">
        <v>19625</v>
      </c>
      <c r="H5343" t="s">
        <v>10970</v>
      </c>
      <c r="I5343" t="s">
        <v>9245</v>
      </c>
      <c r="J5343" t="s">
        <v>7675</v>
      </c>
    </row>
    <row r="5344" spans="1:10" x14ac:dyDescent="0.25">
      <c r="A5344" t="s">
        <v>19633</v>
      </c>
      <c r="B5344">
        <v>15.288</v>
      </c>
      <c r="C5344" t="s">
        <v>19634</v>
      </c>
      <c r="D5344" t="s">
        <v>95</v>
      </c>
      <c r="E5344" t="s">
        <v>5123</v>
      </c>
      <c r="F5344" t="s">
        <v>7672</v>
      </c>
      <c r="G5344" t="s">
        <v>19625</v>
      </c>
      <c r="H5344" t="s">
        <v>10970</v>
      </c>
      <c r="I5344" t="s">
        <v>19635</v>
      </c>
      <c r="J5344" t="s">
        <v>7675</v>
      </c>
    </row>
    <row r="5345" spans="1:10" x14ac:dyDescent="0.25">
      <c r="A5345" t="s">
        <v>5133</v>
      </c>
      <c r="B5345">
        <v>15.288</v>
      </c>
      <c r="C5345" t="s">
        <v>5135</v>
      </c>
      <c r="D5345" t="s">
        <v>582</v>
      </c>
      <c r="E5345" t="s">
        <v>5123</v>
      </c>
      <c r="F5345" t="s">
        <v>7672</v>
      </c>
      <c r="G5345" t="s">
        <v>19625</v>
      </c>
      <c r="H5345" t="s">
        <v>10970</v>
      </c>
      <c r="I5345" t="s">
        <v>19626</v>
      </c>
      <c r="J5345" t="s">
        <v>7686</v>
      </c>
    </row>
    <row r="5346" spans="1:10" x14ac:dyDescent="0.25">
      <c r="A5346" t="s">
        <v>5136</v>
      </c>
      <c r="B5346">
        <v>15.288</v>
      </c>
      <c r="C5346" t="s">
        <v>5138</v>
      </c>
      <c r="D5346" t="s">
        <v>698</v>
      </c>
      <c r="E5346" t="s">
        <v>5123</v>
      </c>
      <c r="F5346" t="s">
        <v>7672</v>
      </c>
      <c r="G5346" t="s">
        <v>19625</v>
      </c>
      <c r="H5346" t="s">
        <v>10970</v>
      </c>
      <c r="I5346" t="s">
        <v>19627</v>
      </c>
      <c r="J5346" t="s">
        <v>7686</v>
      </c>
    </row>
    <row r="5347" spans="1:10" x14ac:dyDescent="0.25">
      <c r="A5347" t="s">
        <v>19636</v>
      </c>
      <c r="B5347">
        <v>15.288</v>
      </c>
      <c r="C5347" t="s">
        <v>19637</v>
      </c>
      <c r="D5347" t="s">
        <v>60</v>
      </c>
      <c r="E5347" t="s">
        <v>5123</v>
      </c>
      <c r="F5347" t="s">
        <v>7672</v>
      </c>
      <c r="G5347" t="s">
        <v>19625</v>
      </c>
      <c r="H5347" t="s">
        <v>10970</v>
      </c>
      <c r="I5347" t="s">
        <v>9245</v>
      </c>
      <c r="J5347" t="s">
        <v>7686</v>
      </c>
    </row>
    <row r="5348" spans="1:10" x14ac:dyDescent="0.25">
      <c r="A5348" t="s">
        <v>19638</v>
      </c>
      <c r="B5348">
        <v>15.288</v>
      </c>
      <c r="C5348" t="s">
        <v>19639</v>
      </c>
      <c r="D5348" t="s">
        <v>1143</v>
      </c>
      <c r="E5348" t="s">
        <v>5123</v>
      </c>
      <c r="F5348" t="s">
        <v>7672</v>
      </c>
      <c r="G5348" t="s">
        <v>19625</v>
      </c>
      <c r="H5348" t="s">
        <v>10970</v>
      </c>
      <c r="I5348" t="s">
        <v>19630</v>
      </c>
      <c r="J5348" t="s">
        <v>7686</v>
      </c>
    </row>
    <row r="5349" spans="1:10" x14ac:dyDescent="0.25">
      <c r="A5349" t="s">
        <v>19640</v>
      </c>
      <c r="B5349">
        <v>15.288</v>
      </c>
      <c r="C5349" t="s">
        <v>19641</v>
      </c>
      <c r="D5349" t="s">
        <v>2253</v>
      </c>
      <c r="E5349" t="s">
        <v>5123</v>
      </c>
      <c r="F5349" t="s">
        <v>7672</v>
      </c>
      <c r="G5349" t="s">
        <v>19625</v>
      </c>
      <c r="H5349" t="s">
        <v>10970</v>
      </c>
      <c r="I5349" t="s">
        <v>19635</v>
      </c>
      <c r="J5349" t="s">
        <v>7686</v>
      </c>
    </row>
    <row r="5350" spans="1:10" x14ac:dyDescent="0.25">
      <c r="A5350" t="s">
        <v>5139</v>
      </c>
      <c r="B5350">
        <v>15.288</v>
      </c>
      <c r="C5350" t="s">
        <v>5141</v>
      </c>
      <c r="D5350" t="s">
        <v>2149</v>
      </c>
      <c r="E5350" t="s">
        <v>5123</v>
      </c>
      <c r="F5350" t="s">
        <v>7672</v>
      </c>
      <c r="G5350" t="s">
        <v>19625</v>
      </c>
      <c r="H5350" t="s">
        <v>10970</v>
      </c>
      <c r="I5350" t="s">
        <v>19626</v>
      </c>
      <c r="J5350" t="s">
        <v>7703</v>
      </c>
    </row>
    <row r="5351" spans="1:10" x14ac:dyDescent="0.25">
      <c r="A5351" t="s">
        <v>19642</v>
      </c>
      <c r="B5351">
        <v>15.288</v>
      </c>
      <c r="C5351" t="s">
        <v>19643</v>
      </c>
      <c r="D5351" t="s">
        <v>144</v>
      </c>
      <c r="E5351" t="s">
        <v>5123</v>
      </c>
      <c r="F5351" t="s">
        <v>7672</v>
      </c>
      <c r="G5351" t="s">
        <v>19625</v>
      </c>
      <c r="H5351" t="s">
        <v>10970</v>
      </c>
      <c r="I5351" t="s">
        <v>19630</v>
      </c>
      <c r="J5351" t="s">
        <v>7703</v>
      </c>
    </row>
    <row r="5352" spans="1:10" x14ac:dyDescent="0.25">
      <c r="A5352" t="s">
        <v>19644</v>
      </c>
      <c r="B5352">
        <v>15.288</v>
      </c>
      <c r="C5352" t="s">
        <v>19645</v>
      </c>
      <c r="D5352" t="s">
        <v>3086</v>
      </c>
      <c r="E5352" t="s">
        <v>5123</v>
      </c>
      <c r="F5352" t="s">
        <v>7672</v>
      </c>
      <c r="G5352" t="s">
        <v>19625</v>
      </c>
      <c r="H5352" t="s">
        <v>10970</v>
      </c>
      <c r="I5352" t="s">
        <v>19635</v>
      </c>
      <c r="J5352" t="s">
        <v>7703</v>
      </c>
    </row>
    <row r="5353" spans="1:10" x14ac:dyDescent="0.25">
      <c r="A5353" t="s">
        <v>5142</v>
      </c>
      <c r="B5353">
        <v>15.288</v>
      </c>
      <c r="C5353" t="s">
        <v>5144</v>
      </c>
      <c r="D5353" t="s">
        <v>5145</v>
      </c>
      <c r="E5353" t="s">
        <v>5123</v>
      </c>
      <c r="F5353" t="s">
        <v>7672</v>
      </c>
      <c r="G5353" t="s">
        <v>19625</v>
      </c>
      <c r="H5353" t="s">
        <v>10970</v>
      </c>
      <c r="I5353" t="s">
        <v>19627</v>
      </c>
      <c r="J5353" t="s">
        <v>7703</v>
      </c>
    </row>
    <row r="5354" spans="1:10" x14ac:dyDescent="0.25">
      <c r="A5354" t="s">
        <v>19646</v>
      </c>
      <c r="B5354">
        <v>15.288</v>
      </c>
      <c r="C5354" t="s">
        <v>19647</v>
      </c>
      <c r="D5354" t="s">
        <v>1579</v>
      </c>
      <c r="E5354" t="s">
        <v>5123</v>
      </c>
      <c r="F5354" t="s">
        <v>7672</v>
      </c>
      <c r="G5354" t="s">
        <v>19625</v>
      </c>
      <c r="H5354" t="s">
        <v>10970</v>
      </c>
      <c r="I5354" t="s">
        <v>19630</v>
      </c>
      <c r="J5354" t="s">
        <v>7713</v>
      </c>
    </row>
    <row r="5355" spans="1:10" x14ac:dyDescent="0.25">
      <c r="A5355" t="s">
        <v>5146</v>
      </c>
      <c r="B5355">
        <v>15.288</v>
      </c>
      <c r="C5355" t="s">
        <v>5148</v>
      </c>
      <c r="D5355" t="s">
        <v>4270</v>
      </c>
      <c r="E5355" t="s">
        <v>5123</v>
      </c>
      <c r="F5355" t="s">
        <v>7672</v>
      </c>
      <c r="G5355" t="s">
        <v>19625</v>
      </c>
      <c r="H5355" t="s">
        <v>10970</v>
      </c>
      <c r="I5355" t="s">
        <v>19626</v>
      </c>
      <c r="J5355" t="s">
        <v>7713</v>
      </c>
    </row>
    <row r="5356" spans="1:10" x14ac:dyDescent="0.25">
      <c r="A5356" t="s">
        <v>19648</v>
      </c>
      <c r="B5356">
        <v>15.288</v>
      </c>
      <c r="C5356" t="s">
        <v>19649</v>
      </c>
      <c r="D5356" t="s">
        <v>626</v>
      </c>
      <c r="E5356" t="s">
        <v>5123</v>
      </c>
      <c r="F5356" t="s">
        <v>7672</v>
      </c>
      <c r="G5356" t="s">
        <v>19625</v>
      </c>
      <c r="H5356" t="s">
        <v>10970</v>
      </c>
      <c r="I5356" t="s">
        <v>19635</v>
      </c>
      <c r="J5356" t="s">
        <v>7713</v>
      </c>
    </row>
    <row r="5357" spans="1:10" x14ac:dyDescent="0.25">
      <c r="A5357" t="s">
        <v>5149</v>
      </c>
      <c r="B5357">
        <v>15.288</v>
      </c>
      <c r="C5357" t="s">
        <v>5151</v>
      </c>
      <c r="D5357" t="s">
        <v>40</v>
      </c>
      <c r="E5357" t="s">
        <v>5123</v>
      </c>
      <c r="F5357" t="s">
        <v>7672</v>
      </c>
      <c r="G5357" t="s">
        <v>19625</v>
      </c>
      <c r="H5357" t="s">
        <v>10970</v>
      </c>
      <c r="I5357" t="s">
        <v>19627</v>
      </c>
      <c r="J5357" t="s">
        <v>7713</v>
      </c>
    </row>
    <row r="5358" spans="1:10" x14ac:dyDescent="0.25">
      <c r="A5358" t="s">
        <v>5152</v>
      </c>
      <c r="B5358">
        <v>15.288</v>
      </c>
      <c r="C5358" t="s">
        <v>5154</v>
      </c>
      <c r="D5358" t="s">
        <v>88</v>
      </c>
      <c r="E5358" t="s">
        <v>5123</v>
      </c>
      <c r="F5358" t="s">
        <v>7672</v>
      </c>
      <c r="G5358" t="s">
        <v>19625</v>
      </c>
      <c r="H5358" t="s">
        <v>10970</v>
      </c>
      <c r="I5358" t="s">
        <v>19626</v>
      </c>
      <c r="J5358" t="s">
        <v>7719</v>
      </c>
    </row>
    <row r="5359" spans="1:10" x14ac:dyDescent="0.25">
      <c r="A5359" t="s">
        <v>19650</v>
      </c>
      <c r="B5359">
        <v>15.288</v>
      </c>
      <c r="C5359" t="s">
        <v>19651</v>
      </c>
      <c r="D5359" t="s">
        <v>1134</v>
      </c>
      <c r="E5359" t="s">
        <v>5123</v>
      </c>
      <c r="F5359" t="s">
        <v>7672</v>
      </c>
      <c r="G5359" t="s">
        <v>19625</v>
      </c>
      <c r="H5359" t="s">
        <v>10970</v>
      </c>
      <c r="I5359" t="s">
        <v>19635</v>
      </c>
      <c r="J5359" t="s">
        <v>7719</v>
      </c>
    </row>
    <row r="5360" spans="1:10" x14ac:dyDescent="0.25">
      <c r="A5360" t="s">
        <v>5155</v>
      </c>
      <c r="B5360">
        <v>15.288</v>
      </c>
      <c r="C5360" t="s">
        <v>5157</v>
      </c>
      <c r="D5360" t="s">
        <v>311</v>
      </c>
      <c r="E5360" t="s">
        <v>5123</v>
      </c>
      <c r="F5360" t="s">
        <v>7672</v>
      </c>
      <c r="G5360" t="s">
        <v>19625</v>
      </c>
      <c r="H5360" t="s">
        <v>10970</v>
      </c>
      <c r="I5360" t="s">
        <v>19627</v>
      </c>
      <c r="J5360" t="s">
        <v>7719</v>
      </c>
    </row>
    <row r="5361" spans="1:10" x14ac:dyDescent="0.25">
      <c r="A5361" t="s">
        <v>19652</v>
      </c>
      <c r="B5361">
        <v>15.288</v>
      </c>
      <c r="C5361" t="s">
        <v>19653</v>
      </c>
      <c r="D5361" t="s">
        <v>436</v>
      </c>
      <c r="E5361" t="s">
        <v>5123</v>
      </c>
      <c r="F5361" t="s">
        <v>7672</v>
      </c>
      <c r="G5361" t="s">
        <v>19625</v>
      </c>
      <c r="H5361" t="s">
        <v>10970</v>
      </c>
      <c r="I5361" t="s">
        <v>19630</v>
      </c>
      <c r="J5361" t="s">
        <v>7719</v>
      </c>
    </row>
    <row r="5362" spans="1:10" x14ac:dyDescent="0.25">
      <c r="A5362" t="s">
        <v>19654</v>
      </c>
      <c r="B5362">
        <v>5.1920000000000002</v>
      </c>
      <c r="C5362" t="s">
        <v>19655</v>
      </c>
      <c r="D5362" t="s">
        <v>60</v>
      </c>
      <c r="E5362" t="s">
        <v>19656</v>
      </c>
      <c r="F5362" t="s">
        <v>7672</v>
      </c>
      <c r="G5362" t="s">
        <v>19657</v>
      </c>
      <c r="H5362" t="s">
        <v>8027</v>
      </c>
      <c r="I5362" t="s">
        <v>11206</v>
      </c>
      <c r="J5362" t="s">
        <v>8427</v>
      </c>
    </row>
    <row r="5363" spans="1:10" x14ac:dyDescent="0.25">
      <c r="A5363" t="s">
        <v>19658</v>
      </c>
      <c r="B5363">
        <v>5.1920000000000002</v>
      </c>
      <c r="C5363" t="s">
        <v>19659</v>
      </c>
      <c r="D5363" t="s">
        <v>385</v>
      </c>
      <c r="E5363" t="s">
        <v>19656</v>
      </c>
      <c r="F5363" t="s">
        <v>7672</v>
      </c>
      <c r="G5363" t="s">
        <v>19657</v>
      </c>
      <c r="H5363" t="s">
        <v>8027</v>
      </c>
      <c r="I5363" t="s">
        <v>19660</v>
      </c>
      <c r="J5363" t="s">
        <v>8439</v>
      </c>
    </row>
    <row r="5364" spans="1:10" x14ac:dyDescent="0.25">
      <c r="A5364" t="s">
        <v>19661</v>
      </c>
      <c r="B5364">
        <v>5.1920000000000002</v>
      </c>
      <c r="C5364" t="s">
        <v>19662</v>
      </c>
      <c r="D5364" t="s">
        <v>366</v>
      </c>
      <c r="E5364" t="s">
        <v>19656</v>
      </c>
      <c r="F5364" t="s">
        <v>7672</v>
      </c>
      <c r="G5364" t="s">
        <v>19657</v>
      </c>
      <c r="H5364" t="s">
        <v>8027</v>
      </c>
      <c r="I5364" t="s">
        <v>17261</v>
      </c>
      <c r="J5364" t="s">
        <v>8439</v>
      </c>
    </row>
    <row r="5365" spans="1:10" x14ac:dyDescent="0.25">
      <c r="A5365" t="s">
        <v>19663</v>
      </c>
      <c r="B5365">
        <v>5.1920000000000002</v>
      </c>
      <c r="C5365" t="s">
        <v>19664</v>
      </c>
      <c r="D5365" t="s">
        <v>2099</v>
      </c>
      <c r="E5365" t="s">
        <v>19656</v>
      </c>
      <c r="F5365" t="s">
        <v>7672</v>
      </c>
      <c r="G5365" t="s">
        <v>19657</v>
      </c>
      <c r="H5365" t="s">
        <v>8027</v>
      </c>
      <c r="I5365" t="s">
        <v>8158</v>
      </c>
      <c r="J5365" t="s">
        <v>8439</v>
      </c>
    </row>
    <row r="5366" spans="1:10" x14ac:dyDescent="0.25">
      <c r="A5366" t="s">
        <v>19665</v>
      </c>
      <c r="B5366">
        <v>5.1920000000000002</v>
      </c>
      <c r="C5366" t="s">
        <v>19666</v>
      </c>
      <c r="D5366" t="s">
        <v>301</v>
      </c>
      <c r="E5366" t="s">
        <v>19656</v>
      </c>
      <c r="F5366" t="s">
        <v>7672</v>
      </c>
      <c r="G5366" t="s">
        <v>19657</v>
      </c>
      <c r="H5366" t="s">
        <v>8027</v>
      </c>
      <c r="I5366" t="s">
        <v>17843</v>
      </c>
      <c r="J5366" t="s">
        <v>8439</v>
      </c>
    </row>
    <row r="5367" spans="1:10" x14ac:dyDescent="0.25">
      <c r="A5367" t="s">
        <v>19667</v>
      </c>
      <c r="B5367">
        <v>5.1920000000000002</v>
      </c>
      <c r="C5367" t="s">
        <v>19668</v>
      </c>
      <c r="D5367" t="s">
        <v>1097</v>
      </c>
      <c r="E5367" t="s">
        <v>19656</v>
      </c>
      <c r="F5367" t="s">
        <v>7672</v>
      </c>
      <c r="G5367" t="s">
        <v>19657</v>
      </c>
      <c r="H5367" t="s">
        <v>8027</v>
      </c>
      <c r="I5367" t="s">
        <v>11206</v>
      </c>
      <c r="J5367" t="s">
        <v>8439</v>
      </c>
    </row>
    <row r="5368" spans="1:10" x14ac:dyDescent="0.25">
      <c r="A5368" t="s">
        <v>19669</v>
      </c>
      <c r="B5368">
        <v>5.1920000000000002</v>
      </c>
      <c r="C5368" t="s">
        <v>19670</v>
      </c>
      <c r="D5368" t="s">
        <v>229</v>
      </c>
      <c r="E5368" t="s">
        <v>19656</v>
      </c>
      <c r="F5368" t="s">
        <v>7672</v>
      </c>
      <c r="G5368" t="s">
        <v>19657</v>
      </c>
      <c r="H5368" t="s">
        <v>8027</v>
      </c>
      <c r="I5368" t="s">
        <v>18599</v>
      </c>
      <c r="J5368" t="s">
        <v>8439</v>
      </c>
    </row>
    <row r="5369" spans="1:10" x14ac:dyDescent="0.25">
      <c r="A5369" t="s">
        <v>19671</v>
      </c>
      <c r="B5369">
        <v>5.1920000000000002</v>
      </c>
      <c r="C5369" t="s">
        <v>19672</v>
      </c>
      <c r="D5369" t="s">
        <v>352</v>
      </c>
      <c r="E5369" t="s">
        <v>19656</v>
      </c>
      <c r="F5369" t="s">
        <v>7672</v>
      </c>
      <c r="G5369" t="s">
        <v>19657</v>
      </c>
      <c r="H5369" t="s">
        <v>8027</v>
      </c>
      <c r="I5369" t="s">
        <v>18596</v>
      </c>
      <c r="J5369" t="s">
        <v>8439</v>
      </c>
    </row>
    <row r="5370" spans="1:10" x14ac:dyDescent="0.25">
      <c r="A5370" t="s">
        <v>19673</v>
      </c>
      <c r="B5370">
        <v>5.1920000000000002</v>
      </c>
      <c r="C5370" t="s">
        <v>19674</v>
      </c>
      <c r="D5370" t="s">
        <v>95</v>
      </c>
      <c r="E5370" t="s">
        <v>19656</v>
      </c>
      <c r="F5370" t="s">
        <v>7672</v>
      </c>
      <c r="G5370" t="s">
        <v>19657</v>
      </c>
      <c r="H5370" t="s">
        <v>8027</v>
      </c>
      <c r="I5370" t="s">
        <v>17843</v>
      </c>
      <c r="J5370" t="s">
        <v>8451</v>
      </c>
    </row>
    <row r="5371" spans="1:10" x14ac:dyDescent="0.25">
      <c r="A5371" t="s">
        <v>19675</v>
      </c>
      <c r="B5371">
        <v>5.1920000000000002</v>
      </c>
      <c r="C5371" t="s">
        <v>19676</v>
      </c>
      <c r="D5371" t="s">
        <v>269</v>
      </c>
      <c r="E5371" t="s">
        <v>19656</v>
      </c>
      <c r="F5371" t="s">
        <v>7672</v>
      </c>
      <c r="G5371" t="s">
        <v>19657</v>
      </c>
      <c r="H5371" t="s">
        <v>8027</v>
      </c>
      <c r="I5371" t="s">
        <v>19660</v>
      </c>
      <c r="J5371" t="s">
        <v>8451</v>
      </c>
    </row>
    <row r="5372" spans="1:10" x14ac:dyDescent="0.25">
      <c r="A5372" t="s">
        <v>19677</v>
      </c>
      <c r="B5372">
        <v>5.1920000000000002</v>
      </c>
      <c r="C5372" t="s">
        <v>19678</v>
      </c>
      <c r="D5372" t="s">
        <v>255</v>
      </c>
      <c r="E5372" t="s">
        <v>19656</v>
      </c>
      <c r="F5372" t="s">
        <v>7672</v>
      </c>
      <c r="G5372" t="s">
        <v>19657</v>
      </c>
      <c r="H5372" t="s">
        <v>8027</v>
      </c>
      <c r="I5372" t="s">
        <v>17261</v>
      </c>
      <c r="J5372" t="s">
        <v>8451</v>
      </c>
    </row>
    <row r="5373" spans="1:10" x14ac:dyDescent="0.25">
      <c r="A5373" t="s">
        <v>19679</v>
      </c>
      <c r="B5373">
        <v>5.1920000000000002</v>
      </c>
      <c r="C5373" t="s">
        <v>19680</v>
      </c>
      <c r="D5373" t="s">
        <v>95</v>
      </c>
      <c r="E5373" t="s">
        <v>19656</v>
      </c>
      <c r="F5373" t="s">
        <v>7672</v>
      </c>
      <c r="G5373" t="s">
        <v>19657</v>
      </c>
      <c r="H5373" t="s">
        <v>8027</v>
      </c>
      <c r="I5373" t="s">
        <v>8158</v>
      </c>
      <c r="J5373" t="s">
        <v>8451</v>
      </c>
    </row>
    <row r="5374" spans="1:10" x14ac:dyDescent="0.25">
      <c r="A5374" t="s">
        <v>19681</v>
      </c>
      <c r="B5374">
        <v>5.1920000000000002</v>
      </c>
      <c r="C5374" t="s">
        <v>19682</v>
      </c>
      <c r="D5374" t="s">
        <v>849</v>
      </c>
      <c r="E5374" t="s">
        <v>19656</v>
      </c>
      <c r="F5374" t="s">
        <v>7672</v>
      </c>
      <c r="G5374" t="s">
        <v>19657</v>
      </c>
      <c r="H5374" t="s">
        <v>8027</v>
      </c>
      <c r="I5374" t="s">
        <v>11206</v>
      </c>
      <c r="J5374" t="s">
        <v>8451</v>
      </c>
    </row>
    <row r="5375" spans="1:10" x14ac:dyDescent="0.25">
      <c r="A5375" t="s">
        <v>19683</v>
      </c>
      <c r="B5375">
        <v>5.1920000000000002</v>
      </c>
      <c r="C5375" t="s">
        <v>19684</v>
      </c>
      <c r="D5375" t="s">
        <v>95</v>
      </c>
      <c r="E5375" t="s">
        <v>19656</v>
      </c>
      <c r="F5375" t="s">
        <v>7672</v>
      </c>
      <c r="G5375" t="s">
        <v>19657</v>
      </c>
      <c r="H5375" t="s">
        <v>8027</v>
      </c>
      <c r="I5375" t="s">
        <v>18599</v>
      </c>
      <c r="J5375" t="s">
        <v>8451</v>
      </c>
    </row>
    <row r="5376" spans="1:10" x14ac:dyDescent="0.25">
      <c r="A5376" t="s">
        <v>19685</v>
      </c>
      <c r="B5376">
        <v>5.1920000000000002</v>
      </c>
      <c r="C5376" t="s">
        <v>19686</v>
      </c>
      <c r="D5376" t="s">
        <v>100</v>
      </c>
      <c r="E5376" t="s">
        <v>19656</v>
      </c>
      <c r="F5376" t="s">
        <v>7672</v>
      </c>
      <c r="G5376" t="s">
        <v>19657</v>
      </c>
      <c r="H5376" t="s">
        <v>8027</v>
      </c>
      <c r="I5376" t="s">
        <v>18596</v>
      </c>
      <c r="J5376" t="s">
        <v>8451</v>
      </c>
    </row>
    <row r="5377" spans="1:10" x14ac:dyDescent="0.25">
      <c r="A5377" t="s">
        <v>19687</v>
      </c>
      <c r="B5377">
        <v>13.2</v>
      </c>
      <c r="C5377" t="s">
        <v>19688</v>
      </c>
      <c r="D5377" t="s">
        <v>843</v>
      </c>
      <c r="E5377" t="s">
        <v>19689</v>
      </c>
      <c r="F5377" t="s">
        <v>7672</v>
      </c>
      <c r="G5377" t="s">
        <v>19690</v>
      </c>
      <c r="H5377" t="s">
        <v>16463</v>
      </c>
      <c r="I5377" t="s">
        <v>19691</v>
      </c>
      <c r="J5377" t="s">
        <v>9023</v>
      </c>
    </row>
    <row r="5378" spans="1:10" x14ac:dyDescent="0.25">
      <c r="A5378" t="s">
        <v>19692</v>
      </c>
      <c r="B5378">
        <v>13.2</v>
      </c>
      <c r="C5378" t="s">
        <v>19693</v>
      </c>
      <c r="D5378" t="s">
        <v>1536</v>
      </c>
      <c r="E5378" t="s">
        <v>19689</v>
      </c>
      <c r="F5378" t="s">
        <v>7672</v>
      </c>
      <c r="G5378" t="s">
        <v>19690</v>
      </c>
      <c r="H5378" t="s">
        <v>16463</v>
      </c>
      <c r="I5378" t="s">
        <v>19694</v>
      </c>
      <c r="J5378" t="s">
        <v>9023</v>
      </c>
    </row>
    <row r="5379" spans="1:10" x14ac:dyDescent="0.25">
      <c r="A5379" t="s">
        <v>19695</v>
      </c>
      <c r="B5379">
        <v>13.2</v>
      </c>
      <c r="C5379" t="s">
        <v>19696</v>
      </c>
      <c r="D5379" t="s">
        <v>870</v>
      </c>
      <c r="E5379" t="s">
        <v>19689</v>
      </c>
      <c r="F5379" t="s">
        <v>7672</v>
      </c>
      <c r="G5379" t="s">
        <v>19690</v>
      </c>
      <c r="H5379" t="s">
        <v>16463</v>
      </c>
      <c r="I5379" t="s">
        <v>19697</v>
      </c>
      <c r="J5379" t="s">
        <v>9023</v>
      </c>
    </row>
    <row r="5380" spans="1:10" x14ac:dyDescent="0.25">
      <c r="A5380" t="s">
        <v>19698</v>
      </c>
      <c r="B5380">
        <v>13.2</v>
      </c>
      <c r="C5380" t="s">
        <v>19699</v>
      </c>
      <c r="D5380" t="s">
        <v>3378</v>
      </c>
      <c r="E5380" t="s">
        <v>19689</v>
      </c>
      <c r="F5380" t="s">
        <v>7672</v>
      </c>
      <c r="G5380" t="s">
        <v>19690</v>
      </c>
      <c r="H5380" t="s">
        <v>16463</v>
      </c>
      <c r="I5380" t="s">
        <v>19700</v>
      </c>
      <c r="J5380" t="s">
        <v>9023</v>
      </c>
    </row>
    <row r="5381" spans="1:10" x14ac:dyDescent="0.25">
      <c r="A5381" t="s">
        <v>19701</v>
      </c>
      <c r="B5381">
        <v>13.2</v>
      </c>
      <c r="C5381" t="s">
        <v>19702</v>
      </c>
      <c r="D5381" t="s">
        <v>626</v>
      </c>
      <c r="E5381" t="s">
        <v>19689</v>
      </c>
      <c r="F5381" t="s">
        <v>7672</v>
      </c>
      <c r="G5381" t="s">
        <v>19690</v>
      </c>
      <c r="H5381" t="s">
        <v>16463</v>
      </c>
      <c r="I5381" t="s">
        <v>19703</v>
      </c>
      <c r="J5381" t="s">
        <v>9023</v>
      </c>
    </row>
    <row r="5382" spans="1:10" x14ac:dyDescent="0.25">
      <c r="A5382" t="s">
        <v>19704</v>
      </c>
      <c r="B5382">
        <v>13.2</v>
      </c>
      <c r="C5382" t="s">
        <v>19705</v>
      </c>
      <c r="D5382" t="s">
        <v>1097</v>
      </c>
      <c r="E5382" t="s">
        <v>19689</v>
      </c>
      <c r="F5382" t="s">
        <v>7672</v>
      </c>
      <c r="G5382" t="s">
        <v>19690</v>
      </c>
      <c r="H5382" t="s">
        <v>16463</v>
      </c>
      <c r="I5382" t="s">
        <v>19706</v>
      </c>
      <c r="J5382" t="s">
        <v>9023</v>
      </c>
    </row>
    <row r="5383" spans="1:10" x14ac:dyDescent="0.25">
      <c r="A5383" t="s">
        <v>19707</v>
      </c>
      <c r="B5383">
        <v>13.2</v>
      </c>
      <c r="C5383" t="s">
        <v>19708</v>
      </c>
      <c r="D5383" t="s">
        <v>301</v>
      </c>
      <c r="E5383" t="s">
        <v>19689</v>
      </c>
      <c r="F5383" t="s">
        <v>7672</v>
      </c>
      <c r="G5383" t="s">
        <v>19690</v>
      </c>
      <c r="H5383" t="s">
        <v>16463</v>
      </c>
      <c r="I5383" t="s">
        <v>19709</v>
      </c>
      <c r="J5383" t="s">
        <v>9023</v>
      </c>
    </row>
    <row r="5384" spans="1:10" x14ac:dyDescent="0.25">
      <c r="A5384" t="s">
        <v>19710</v>
      </c>
      <c r="B5384">
        <v>13.2</v>
      </c>
      <c r="C5384" t="s">
        <v>19711</v>
      </c>
      <c r="D5384" t="s">
        <v>875</v>
      </c>
      <c r="E5384" t="s">
        <v>19689</v>
      </c>
      <c r="F5384" t="s">
        <v>7672</v>
      </c>
      <c r="G5384" t="s">
        <v>19690</v>
      </c>
      <c r="H5384" t="s">
        <v>16463</v>
      </c>
      <c r="I5384" t="s">
        <v>19691</v>
      </c>
      <c r="J5384" t="s">
        <v>8883</v>
      </c>
    </row>
    <row r="5385" spans="1:10" x14ac:dyDescent="0.25">
      <c r="A5385" t="s">
        <v>19712</v>
      </c>
      <c r="B5385">
        <v>13.2</v>
      </c>
      <c r="C5385" t="s">
        <v>19713</v>
      </c>
      <c r="D5385" t="s">
        <v>164</v>
      </c>
      <c r="E5385" t="s">
        <v>19689</v>
      </c>
      <c r="F5385" t="s">
        <v>7672</v>
      </c>
      <c r="G5385" t="s">
        <v>19690</v>
      </c>
      <c r="H5385" t="s">
        <v>16463</v>
      </c>
      <c r="I5385" t="s">
        <v>19694</v>
      </c>
      <c r="J5385" t="s">
        <v>8883</v>
      </c>
    </row>
    <row r="5386" spans="1:10" x14ac:dyDescent="0.25">
      <c r="A5386" t="s">
        <v>19714</v>
      </c>
      <c r="B5386">
        <v>13.2</v>
      </c>
      <c r="C5386" t="s">
        <v>19715</v>
      </c>
      <c r="D5386" t="s">
        <v>352</v>
      </c>
      <c r="E5386" t="s">
        <v>19689</v>
      </c>
      <c r="F5386" t="s">
        <v>7672</v>
      </c>
      <c r="G5386" t="s">
        <v>19690</v>
      </c>
      <c r="H5386" t="s">
        <v>16463</v>
      </c>
      <c r="I5386" t="s">
        <v>19703</v>
      </c>
      <c r="J5386" t="s">
        <v>8883</v>
      </c>
    </row>
    <row r="5387" spans="1:10" x14ac:dyDescent="0.25">
      <c r="A5387" t="s">
        <v>19716</v>
      </c>
      <c r="B5387">
        <v>13.2</v>
      </c>
      <c r="C5387" t="s">
        <v>19717</v>
      </c>
      <c r="D5387" t="s">
        <v>53</v>
      </c>
      <c r="E5387" t="s">
        <v>19689</v>
      </c>
      <c r="F5387" t="s">
        <v>7672</v>
      </c>
      <c r="G5387" t="s">
        <v>19690</v>
      </c>
      <c r="H5387" t="s">
        <v>16463</v>
      </c>
      <c r="I5387" t="s">
        <v>19697</v>
      </c>
      <c r="J5387" t="s">
        <v>8883</v>
      </c>
    </row>
    <row r="5388" spans="1:10" x14ac:dyDescent="0.25">
      <c r="A5388" t="s">
        <v>19718</v>
      </c>
      <c r="B5388">
        <v>13.2</v>
      </c>
      <c r="C5388" t="s">
        <v>19719</v>
      </c>
      <c r="D5388" t="s">
        <v>113</v>
      </c>
      <c r="E5388" t="s">
        <v>19689</v>
      </c>
      <c r="F5388" t="s">
        <v>7672</v>
      </c>
      <c r="G5388" t="s">
        <v>19690</v>
      </c>
      <c r="H5388" t="s">
        <v>16463</v>
      </c>
      <c r="I5388" t="s">
        <v>19709</v>
      </c>
      <c r="J5388" t="s">
        <v>8883</v>
      </c>
    </row>
    <row r="5389" spans="1:10" x14ac:dyDescent="0.25">
      <c r="A5389" t="s">
        <v>19720</v>
      </c>
      <c r="B5389">
        <v>13.2</v>
      </c>
      <c r="C5389" t="s">
        <v>19721</v>
      </c>
      <c r="D5389" t="s">
        <v>301</v>
      </c>
      <c r="E5389" t="s">
        <v>19689</v>
      </c>
      <c r="F5389" t="s">
        <v>7672</v>
      </c>
      <c r="G5389" t="s">
        <v>19690</v>
      </c>
      <c r="H5389" t="s">
        <v>16463</v>
      </c>
      <c r="I5389" t="s">
        <v>19697</v>
      </c>
      <c r="J5389" t="s">
        <v>9061</v>
      </c>
    </row>
    <row r="5390" spans="1:10" x14ac:dyDescent="0.25">
      <c r="A5390" t="s">
        <v>19722</v>
      </c>
      <c r="B5390">
        <v>13.2</v>
      </c>
      <c r="C5390" t="s">
        <v>19723</v>
      </c>
      <c r="D5390" t="s">
        <v>245</v>
      </c>
      <c r="E5390" t="s">
        <v>19689</v>
      </c>
      <c r="F5390" t="s">
        <v>7672</v>
      </c>
      <c r="G5390" t="s">
        <v>19690</v>
      </c>
      <c r="H5390" t="s">
        <v>16463</v>
      </c>
      <c r="I5390" t="s">
        <v>19691</v>
      </c>
      <c r="J5390" t="s">
        <v>9061</v>
      </c>
    </row>
    <row r="5391" spans="1:10" x14ac:dyDescent="0.25">
      <c r="A5391" t="s">
        <v>19724</v>
      </c>
      <c r="B5391">
        <v>13.2</v>
      </c>
      <c r="C5391" t="s">
        <v>19725</v>
      </c>
      <c r="D5391" t="s">
        <v>95</v>
      </c>
      <c r="E5391" t="s">
        <v>19689</v>
      </c>
      <c r="F5391" t="s">
        <v>7672</v>
      </c>
      <c r="G5391" t="s">
        <v>19690</v>
      </c>
      <c r="H5391" t="s">
        <v>16463</v>
      </c>
      <c r="I5391" t="s">
        <v>19700</v>
      </c>
      <c r="J5391" t="s">
        <v>9061</v>
      </c>
    </row>
    <row r="5392" spans="1:10" x14ac:dyDescent="0.25">
      <c r="A5392" t="s">
        <v>19726</v>
      </c>
      <c r="B5392">
        <v>13.2</v>
      </c>
      <c r="C5392" t="s">
        <v>19727</v>
      </c>
      <c r="D5392" t="s">
        <v>255</v>
      </c>
      <c r="E5392" t="s">
        <v>19689</v>
      </c>
      <c r="F5392" t="s">
        <v>7672</v>
      </c>
      <c r="G5392" t="s">
        <v>19690</v>
      </c>
      <c r="H5392" t="s">
        <v>16463</v>
      </c>
      <c r="I5392" t="s">
        <v>19694</v>
      </c>
      <c r="J5392" t="s">
        <v>9061</v>
      </c>
    </row>
    <row r="5393" spans="1:10" x14ac:dyDescent="0.25">
      <c r="A5393" t="s">
        <v>19728</v>
      </c>
      <c r="B5393">
        <v>4.68</v>
      </c>
      <c r="C5393" t="s">
        <v>19729</v>
      </c>
      <c r="D5393" t="s">
        <v>2697</v>
      </c>
      <c r="E5393" t="s">
        <v>19730</v>
      </c>
      <c r="F5393" t="s">
        <v>7672</v>
      </c>
      <c r="G5393" t="s">
        <v>19731</v>
      </c>
      <c r="H5393" t="s">
        <v>16293</v>
      </c>
      <c r="I5393" t="s">
        <v>76</v>
      </c>
      <c r="J5393" t="s">
        <v>7942</v>
      </c>
    </row>
    <row r="5394" spans="1:10" x14ac:dyDescent="0.25">
      <c r="A5394" t="s">
        <v>19732</v>
      </c>
      <c r="B5394">
        <v>4.68</v>
      </c>
      <c r="C5394" t="s">
        <v>19733</v>
      </c>
      <c r="D5394" t="s">
        <v>875</v>
      </c>
      <c r="E5394" t="s">
        <v>19730</v>
      </c>
      <c r="F5394" t="s">
        <v>7672</v>
      </c>
      <c r="G5394" t="s">
        <v>19731</v>
      </c>
      <c r="H5394" t="s">
        <v>16293</v>
      </c>
      <c r="I5394" t="s">
        <v>16298</v>
      </c>
      <c r="J5394" t="s">
        <v>7987</v>
      </c>
    </row>
    <row r="5395" spans="1:10" x14ac:dyDescent="0.25">
      <c r="A5395" t="s">
        <v>19734</v>
      </c>
      <c r="B5395">
        <v>4.68</v>
      </c>
      <c r="C5395" t="s">
        <v>19735</v>
      </c>
      <c r="D5395" t="s">
        <v>286</v>
      </c>
      <c r="E5395" t="s">
        <v>19730</v>
      </c>
      <c r="F5395" t="s">
        <v>7672</v>
      </c>
      <c r="G5395" t="s">
        <v>19731</v>
      </c>
      <c r="H5395" t="s">
        <v>16293</v>
      </c>
      <c r="I5395" t="s">
        <v>76</v>
      </c>
      <c r="J5395" t="s">
        <v>7987</v>
      </c>
    </row>
    <row r="5396" spans="1:10" x14ac:dyDescent="0.25">
      <c r="A5396" t="s">
        <v>5158</v>
      </c>
      <c r="B5396">
        <v>6.9920000000000009</v>
      </c>
      <c r="C5396" t="s">
        <v>5160</v>
      </c>
      <c r="D5396" t="s">
        <v>1949</v>
      </c>
      <c r="E5396" t="s">
        <v>5161</v>
      </c>
      <c r="F5396" t="s">
        <v>7672</v>
      </c>
      <c r="G5396" t="s">
        <v>19736</v>
      </c>
      <c r="H5396" t="s">
        <v>8078</v>
      </c>
      <c r="I5396" t="s">
        <v>19737</v>
      </c>
      <c r="J5396" t="s">
        <v>7942</v>
      </c>
    </row>
    <row r="5397" spans="1:10" x14ac:dyDescent="0.25">
      <c r="A5397" t="s">
        <v>19738</v>
      </c>
      <c r="B5397">
        <v>6.4</v>
      </c>
      <c r="C5397" t="s">
        <v>19739</v>
      </c>
      <c r="D5397" t="s">
        <v>720</v>
      </c>
      <c r="E5397" t="s">
        <v>19740</v>
      </c>
      <c r="F5397" t="s">
        <v>7672</v>
      </c>
      <c r="G5397" t="s">
        <v>19741</v>
      </c>
      <c r="H5397" t="s">
        <v>11496</v>
      </c>
      <c r="I5397" t="s">
        <v>10802</v>
      </c>
      <c r="J5397" t="s">
        <v>10369</v>
      </c>
    </row>
    <row r="5398" spans="1:10" x14ac:dyDescent="0.25">
      <c r="A5398" t="s">
        <v>19742</v>
      </c>
      <c r="B5398">
        <v>6.4</v>
      </c>
      <c r="C5398" t="s">
        <v>19743</v>
      </c>
      <c r="D5398" t="s">
        <v>3665</v>
      </c>
      <c r="E5398" t="s">
        <v>19740</v>
      </c>
      <c r="F5398" t="s">
        <v>7672</v>
      </c>
      <c r="G5398" t="s">
        <v>19741</v>
      </c>
      <c r="H5398" t="s">
        <v>11496</v>
      </c>
      <c r="I5398" t="s">
        <v>10802</v>
      </c>
      <c r="J5398" t="s">
        <v>11590</v>
      </c>
    </row>
    <row r="5399" spans="1:10" x14ac:dyDescent="0.25">
      <c r="A5399" t="s">
        <v>19744</v>
      </c>
      <c r="B5399">
        <v>6.4</v>
      </c>
      <c r="C5399" t="s">
        <v>19745</v>
      </c>
      <c r="D5399" t="s">
        <v>74</v>
      </c>
      <c r="E5399" t="s">
        <v>19740</v>
      </c>
      <c r="F5399" t="s">
        <v>7672</v>
      </c>
      <c r="G5399" t="s">
        <v>19741</v>
      </c>
      <c r="H5399" t="s">
        <v>11496</v>
      </c>
      <c r="I5399" t="s">
        <v>10802</v>
      </c>
      <c r="J5399" t="s">
        <v>11593</v>
      </c>
    </row>
    <row r="5400" spans="1:10" x14ac:dyDescent="0.25">
      <c r="A5400" t="s">
        <v>19746</v>
      </c>
      <c r="B5400">
        <v>6.4</v>
      </c>
      <c r="C5400" t="s">
        <v>19747</v>
      </c>
      <c r="D5400" t="s">
        <v>2787</v>
      </c>
      <c r="E5400" t="s">
        <v>19740</v>
      </c>
      <c r="F5400" t="s">
        <v>7672</v>
      </c>
      <c r="G5400" t="s">
        <v>19741</v>
      </c>
      <c r="H5400" t="s">
        <v>11496</v>
      </c>
      <c r="I5400" t="s">
        <v>10802</v>
      </c>
      <c r="J5400" t="s">
        <v>11783</v>
      </c>
    </row>
    <row r="5401" spans="1:10" x14ac:dyDescent="0.25">
      <c r="A5401" t="s">
        <v>19748</v>
      </c>
      <c r="B5401">
        <v>12.592000000000001</v>
      </c>
      <c r="C5401" t="s">
        <v>19749</v>
      </c>
      <c r="D5401" t="s">
        <v>964</v>
      </c>
      <c r="E5401" t="s">
        <v>19750</v>
      </c>
      <c r="F5401" t="s">
        <v>7672</v>
      </c>
      <c r="G5401" t="s">
        <v>19751</v>
      </c>
      <c r="H5401" t="s">
        <v>7674</v>
      </c>
      <c r="I5401" t="s">
        <v>19752</v>
      </c>
      <c r="J5401" t="s">
        <v>16039</v>
      </c>
    </row>
    <row r="5402" spans="1:10" x14ac:dyDescent="0.25">
      <c r="A5402" t="s">
        <v>19753</v>
      </c>
      <c r="B5402">
        <v>12.592000000000001</v>
      </c>
      <c r="C5402" t="s">
        <v>19754</v>
      </c>
      <c r="D5402" t="s">
        <v>255</v>
      </c>
      <c r="E5402" t="s">
        <v>19750</v>
      </c>
      <c r="F5402" t="s">
        <v>7672</v>
      </c>
      <c r="G5402" t="s">
        <v>19751</v>
      </c>
      <c r="H5402" t="s">
        <v>7674</v>
      </c>
      <c r="I5402" t="s">
        <v>19755</v>
      </c>
      <c r="J5402" t="s">
        <v>16039</v>
      </c>
    </row>
    <row r="5403" spans="1:10" x14ac:dyDescent="0.25">
      <c r="A5403" t="s">
        <v>19756</v>
      </c>
      <c r="B5403">
        <v>12.592000000000001</v>
      </c>
      <c r="C5403" t="s">
        <v>19757</v>
      </c>
      <c r="D5403" t="s">
        <v>582</v>
      </c>
      <c r="E5403" t="s">
        <v>19750</v>
      </c>
      <c r="F5403" t="s">
        <v>7672</v>
      </c>
      <c r="G5403" t="s">
        <v>19751</v>
      </c>
      <c r="H5403" t="s">
        <v>7674</v>
      </c>
      <c r="I5403" t="s">
        <v>19752</v>
      </c>
      <c r="J5403" t="s">
        <v>16064</v>
      </c>
    </row>
    <row r="5404" spans="1:10" x14ac:dyDescent="0.25">
      <c r="A5404" t="s">
        <v>19758</v>
      </c>
      <c r="B5404">
        <v>12.592000000000001</v>
      </c>
      <c r="C5404" t="s">
        <v>19759</v>
      </c>
      <c r="D5404" t="s">
        <v>588</v>
      </c>
      <c r="E5404" t="s">
        <v>19750</v>
      </c>
      <c r="F5404" t="s">
        <v>7672</v>
      </c>
      <c r="G5404" t="s">
        <v>19751</v>
      </c>
      <c r="H5404" t="s">
        <v>7674</v>
      </c>
      <c r="I5404" t="s">
        <v>19755</v>
      </c>
      <c r="J5404" t="s">
        <v>16064</v>
      </c>
    </row>
    <row r="5405" spans="1:10" x14ac:dyDescent="0.25">
      <c r="A5405" t="s">
        <v>19760</v>
      </c>
      <c r="B5405">
        <v>12.592000000000001</v>
      </c>
      <c r="C5405" t="s">
        <v>19761</v>
      </c>
      <c r="D5405" t="s">
        <v>269</v>
      </c>
      <c r="E5405" t="s">
        <v>19750</v>
      </c>
      <c r="F5405" t="s">
        <v>7672</v>
      </c>
      <c r="G5405" t="s">
        <v>19751</v>
      </c>
      <c r="H5405" t="s">
        <v>7674</v>
      </c>
      <c r="I5405" t="s">
        <v>19755</v>
      </c>
      <c r="J5405" t="s">
        <v>16089</v>
      </c>
    </row>
    <row r="5406" spans="1:10" x14ac:dyDescent="0.25">
      <c r="A5406" t="s">
        <v>19762</v>
      </c>
      <c r="B5406">
        <v>12.592000000000001</v>
      </c>
      <c r="C5406" t="s">
        <v>19763</v>
      </c>
      <c r="D5406" t="s">
        <v>385</v>
      </c>
      <c r="E5406" t="s">
        <v>19750</v>
      </c>
      <c r="F5406" t="s">
        <v>7672</v>
      </c>
      <c r="G5406" t="s">
        <v>19751</v>
      </c>
      <c r="H5406" t="s">
        <v>7674</v>
      </c>
      <c r="I5406" t="s">
        <v>19752</v>
      </c>
      <c r="J5406" t="s">
        <v>16089</v>
      </c>
    </row>
    <row r="5407" spans="1:10" x14ac:dyDescent="0.25">
      <c r="A5407" t="s">
        <v>19764</v>
      </c>
      <c r="B5407">
        <v>12.592000000000001</v>
      </c>
      <c r="C5407" t="s">
        <v>19765</v>
      </c>
      <c r="D5407" t="s">
        <v>1097</v>
      </c>
      <c r="E5407" t="s">
        <v>19750</v>
      </c>
      <c r="F5407" t="s">
        <v>7672</v>
      </c>
      <c r="G5407" t="s">
        <v>19751</v>
      </c>
      <c r="H5407" t="s">
        <v>7674</v>
      </c>
      <c r="I5407" t="s">
        <v>19755</v>
      </c>
      <c r="J5407" t="s">
        <v>16104</v>
      </c>
    </row>
    <row r="5408" spans="1:10" x14ac:dyDescent="0.25">
      <c r="A5408" t="s">
        <v>19766</v>
      </c>
      <c r="B5408">
        <v>12.592000000000001</v>
      </c>
      <c r="C5408" t="s">
        <v>19767</v>
      </c>
      <c r="D5408" t="s">
        <v>2253</v>
      </c>
      <c r="E5408" t="s">
        <v>19750</v>
      </c>
      <c r="F5408" t="s">
        <v>7672</v>
      </c>
      <c r="G5408" t="s">
        <v>19751</v>
      </c>
      <c r="H5408" t="s">
        <v>7674</v>
      </c>
      <c r="I5408" t="s">
        <v>19752</v>
      </c>
      <c r="J5408" t="s">
        <v>16104</v>
      </c>
    </row>
    <row r="5409" spans="1:10" x14ac:dyDescent="0.25">
      <c r="A5409" t="s">
        <v>19768</v>
      </c>
      <c r="B5409">
        <v>12.592000000000001</v>
      </c>
      <c r="C5409" t="s">
        <v>19769</v>
      </c>
      <c r="D5409" t="s">
        <v>875</v>
      </c>
      <c r="E5409" t="s">
        <v>19750</v>
      </c>
      <c r="F5409" t="s">
        <v>7672</v>
      </c>
      <c r="G5409" t="s">
        <v>19751</v>
      </c>
      <c r="H5409" t="s">
        <v>7674</v>
      </c>
      <c r="I5409" t="s">
        <v>19755</v>
      </c>
      <c r="J5409" t="s">
        <v>16125</v>
      </c>
    </row>
    <row r="5410" spans="1:10" x14ac:dyDescent="0.25">
      <c r="A5410" t="s">
        <v>19770</v>
      </c>
      <c r="B5410">
        <v>12.592000000000001</v>
      </c>
      <c r="C5410" t="s">
        <v>19771</v>
      </c>
      <c r="D5410" t="s">
        <v>88</v>
      </c>
      <c r="E5410" t="s">
        <v>19750</v>
      </c>
      <c r="F5410" t="s">
        <v>7672</v>
      </c>
      <c r="G5410" t="s">
        <v>19751</v>
      </c>
      <c r="H5410" t="s">
        <v>7674</v>
      </c>
      <c r="I5410" t="s">
        <v>19772</v>
      </c>
      <c r="J5410" t="s">
        <v>16125</v>
      </c>
    </row>
    <row r="5411" spans="1:10" x14ac:dyDescent="0.25">
      <c r="A5411" t="s">
        <v>19773</v>
      </c>
      <c r="B5411">
        <v>12.592000000000001</v>
      </c>
      <c r="C5411" t="s">
        <v>19774</v>
      </c>
      <c r="D5411" t="s">
        <v>698</v>
      </c>
      <c r="E5411" t="s">
        <v>19750</v>
      </c>
      <c r="F5411" t="s">
        <v>7672</v>
      </c>
      <c r="G5411" t="s">
        <v>19751</v>
      </c>
      <c r="H5411" t="s">
        <v>7674</v>
      </c>
      <c r="I5411" t="s">
        <v>19752</v>
      </c>
      <c r="J5411" t="s">
        <v>16125</v>
      </c>
    </row>
    <row r="5412" spans="1:10" x14ac:dyDescent="0.25">
      <c r="A5412" t="s">
        <v>5165</v>
      </c>
      <c r="B5412">
        <v>6.8000000000000007</v>
      </c>
      <c r="C5412" t="s">
        <v>5167</v>
      </c>
      <c r="D5412" t="s">
        <v>74</v>
      </c>
      <c r="E5412" t="s">
        <v>5168</v>
      </c>
      <c r="F5412" t="s">
        <v>7672</v>
      </c>
      <c r="G5412" t="s">
        <v>19775</v>
      </c>
      <c r="H5412" t="s">
        <v>11496</v>
      </c>
      <c r="I5412" t="s">
        <v>894</v>
      </c>
      <c r="J5412" t="s">
        <v>9423</v>
      </c>
    </row>
    <row r="5413" spans="1:10" x14ac:dyDescent="0.25">
      <c r="A5413" t="s">
        <v>5171</v>
      </c>
      <c r="B5413">
        <v>6.8000000000000007</v>
      </c>
      <c r="C5413" t="s">
        <v>5173</v>
      </c>
      <c r="D5413" t="s">
        <v>3399</v>
      </c>
      <c r="E5413" t="s">
        <v>5168</v>
      </c>
      <c r="F5413" t="s">
        <v>7672</v>
      </c>
      <c r="G5413" t="s">
        <v>19775</v>
      </c>
      <c r="H5413" t="s">
        <v>11496</v>
      </c>
      <c r="I5413" t="s">
        <v>894</v>
      </c>
      <c r="J5413" t="s">
        <v>10862</v>
      </c>
    </row>
    <row r="5414" spans="1:10" x14ac:dyDescent="0.25">
      <c r="A5414" t="s">
        <v>5175</v>
      </c>
      <c r="B5414">
        <v>6.8000000000000007</v>
      </c>
      <c r="C5414" t="s">
        <v>5177</v>
      </c>
      <c r="D5414" t="s">
        <v>5179</v>
      </c>
      <c r="E5414" t="s">
        <v>5168</v>
      </c>
      <c r="F5414" t="s">
        <v>7672</v>
      </c>
      <c r="G5414" t="s">
        <v>19775</v>
      </c>
      <c r="H5414" t="s">
        <v>11496</v>
      </c>
      <c r="I5414" t="s">
        <v>894</v>
      </c>
      <c r="J5414" t="s">
        <v>9426</v>
      </c>
    </row>
    <row r="5415" spans="1:10" x14ac:dyDescent="0.25">
      <c r="A5415" t="s">
        <v>5181</v>
      </c>
      <c r="B5415">
        <v>6.8000000000000007</v>
      </c>
      <c r="C5415" t="s">
        <v>5183</v>
      </c>
      <c r="D5415" t="s">
        <v>5185</v>
      </c>
      <c r="E5415" t="s">
        <v>5168</v>
      </c>
      <c r="F5415" t="s">
        <v>7672</v>
      </c>
      <c r="G5415" t="s">
        <v>19775</v>
      </c>
      <c r="H5415" t="s">
        <v>11496</v>
      </c>
      <c r="I5415" t="s">
        <v>894</v>
      </c>
      <c r="J5415" t="s">
        <v>13084</v>
      </c>
    </row>
    <row r="5416" spans="1:10" x14ac:dyDescent="0.25">
      <c r="A5416" t="s">
        <v>5186</v>
      </c>
      <c r="B5416">
        <v>6.8000000000000007</v>
      </c>
      <c r="C5416" t="s">
        <v>5188</v>
      </c>
      <c r="D5416" t="s">
        <v>5190</v>
      </c>
      <c r="E5416" t="s">
        <v>5168</v>
      </c>
      <c r="F5416" t="s">
        <v>7672</v>
      </c>
      <c r="G5416" t="s">
        <v>19775</v>
      </c>
      <c r="H5416" t="s">
        <v>11496</v>
      </c>
      <c r="I5416" t="s">
        <v>894</v>
      </c>
      <c r="J5416" t="s">
        <v>11767</v>
      </c>
    </row>
    <row r="5417" spans="1:10" x14ac:dyDescent="0.25">
      <c r="A5417" t="s">
        <v>5192</v>
      </c>
      <c r="B5417">
        <v>6.8000000000000007</v>
      </c>
      <c r="C5417" t="s">
        <v>5194</v>
      </c>
      <c r="D5417" t="s">
        <v>5196</v>
      </c>
      <c r="E5417" t="s">
        <v>5168</v>
      </c>
      <c r="F5417" t="s">
        <v>7672</v>
      </c>
      <c r="G5417" t="s">
        <v>19775</v>
      </c>
      <c r="H5417" t="s">
        <v>11496</v>
      </c>
      <c r="I5417" t="s">
        <v>894</v>
      </c>
      <c r="J5417" t="s">
        <v>11582</v>
      </c>
    </row>
    <row r="5418" spans="1:10" x14ac:dyDescent="0.25">
      <c r="A5418" t="s">
        <v>5197</v>
      </c>
      <c r="B5418">
        <v>6.8000000000000007</v>
      </c>
      <c r="C5418" t="s">
        <v>5199</v>
      </c>
      <c r="D5418" t="s">
        <v>5201</v>
      </c>
      <c r="E5418" t="s">
        <v>5168</v>
      </c>
      <c r="F5418" t="s">
        <v>7672</v>
      </c>
      <c r="G5418" t="s">
        <v>19775</v>
      </c>
      <c r="H5418" t="s">
        <v>11496</v>
      </c>
      <c r="I5418" t="s">
        <v>894</v>
      </c>
      <c r="J5418" t="s">
        <v>11585</v>
      </c>
    </row>
    <row r="5419" spans="1:10" x14ac:dyDescent="0.25">
      <c r="A5419" t="s">
        <v>19776</v>
      </c>
      <c r="B5419">
        <v>6.5920000000000014</v>
      </c>
      <c r="C5419" t="s">
        <v>19777</v>
      </c>
      <c r="D5419" t="s">
        <v>2022</v>
      </c>
      <c r="E5419" t="s">
        <v>19778</v>
      </c>
      <c r="F5419" t="s">
        <v>7672</v>
      </c>
      <c r="G5419" t="s">
        <v>19779</v>
      </c>
      <c r="H5419" t="s">
        <v>8515</v>
      </c>
      <c r="I5419" t="s">
        <v>76</v>
      </c>
      <c r="J5419" t="s">
        <v>11498</v>
      </c>
    </row>
    <row r="5420" spans="1:10" x14ac:dyDescent="0.25">
      <c r="A5420" t="s">
        <v>19780</v>
      </c>
      <c r="B5420">
        <v>6.5920000000000014</v>
      </c>
      <c r="C5420" t="s">
        <v>19781</v>
      </c>
      <c r="D5420" t="s">
        <v>19782</v>
      </c>
      <c r="E5420" t="s">
        <v>19778</v>
      </c>
      <c r="F5420" t="s">
        <v>7672</v>
      </c>
      <c r="G5420" t="s">
        <v>19779</v>
      </c>
      <c r="H5420" t="s">
        <v>8515</v>
      </c>
      <c r="I5420" t="s">
        <v>76</v>
      </c>
      <c r="J5420" t="s">
        <v>11501</v>
      </c>
    </row>
    <row r="5421" spans="1:10" x14ac:dyDescent="0.25">
      <c r="A5421" t="s">
        <v>19783</v>
      </c>
      <c r="B5421">
        <v>6.5920000000000014</v>
      </c>
      <c r="C5421" t="s">
        <v>19784</v>
      </c>
      <c r="D5421" t="s">
        <v>19785</v>
      </c>
      <c r="E5421" t="s">
        <v>19778</v>
      </c>
      <c r="F5421" t="s">
        <v>7672</v>
      </c>
      <c r="G5421" t="s">
        <v>19779</v>
      </c>
      <c r="H5421" t="s">
        <v>8515</v>
      </c>
      <c r="I5421" t="s">
        <v>76</v>
      </c>
      <c r="J5421" t="s">
        <v>11503</v>
      </c>
    </row>
    <row r="5422" spans="1:10" x14ac:dyDescent="0.25">
      <c r="A5422" t="s">
        <v>19786</v>
      </c>
      <c r="B5422">
        <v>6.5920000000000014</v>
      </c>
      <c r="C5422" t="s">
        <v>19787</v>
      </c>
      <c r="D5422" t="s">
        <v>19788</v>
      </c>
      <c r="E5422" t="s">
        <v>19778</v>
      </c>
      <c r="F5422" t="s">
        <v>7672</v>
      </c>
      <c r="G5422" t="s">
        <v>19779</v>
      </c>
      <c r="H5422" t="s">
        <v>8515</v>
      </c>
      <c r="I5422" t="s">
        <v>76</v>
      </c>
      <c r="J5422" t="s">
        <v>282</v>
      </c>
    </row>
    <row r="5423" spans="1:10" x14ac:dyDescent="0.25">
      <c r="A5423" t="s">
        <v>5203</v>
      </c>
      <c r="B5423">
        <v>8.4</v>
      </c>
      <c r="C5423" t="s">
        <v>5205</v>
      </c>
      <c r="D5423" t="s">
        <v>1837</v>
      </c>
      <c r="E5423" t="s">
        <v>5206</v>
      </c>
      <c r="F5423" t="s">
        <v>7672</v>
      </c>
      <c r="G5423" t="s">
        <v>19789</v>
      </c>
      <c r="H5423" t="s">
        <v>7954</v>
      </c>
      <c r="I5423" t="s">
        <v>273</v>
      </c>
      <c r="J5423" t="s">
        <v>19790</v>
      </c>
    </row>
    <row r="5424" spans="1:10" x14ac:dyDescent="0.25">
      <c r="A5424" t="s">
        <v>5209</v>
      </c>
      <c r="B5424">
        <v>8.4</v>
      </c>
      <c r="C5424" t="s">
        <v>5211</v>
      </c>
      <c r="D5424" t="s">
        <v>1832</v>
      </c>
      <c r="E5424" t="s">
        <v>5206</v>
      </c>
      <c r="F5424" t="s">
        <v>7672</v>
      </c>
      <c r="G5424" t="s">
        <v>19789</v>
      </c>
      <c r="H5424" t="s">
        <v>7954</v>
      </c>
      <c r="I5424" t="s">
        <v>273</v>
      </c>
      <c r="J5424" t="s">
        <v>19791</v>
      </c>
    </row>
    <row r="5425" spans="1:10" x14ac:dyDescent="0.25">
      <c r="A5425" t="s">
        <v>5213</v>
      </c>
      <c r="B5425">
        <v>8.4</v>
      </c>
      <c r="C5425" t="s">
        <v>5215</v>
      </c>
      <c r="D5425" t="s">
        <v>164</v>
      </c>
      <c r="E5425" t="s">
        <v>5206</v>
      </c>
      <c r="F5425" t="s">
        <v>7672</v>
      </c>
      <c r="G5425" t="s">
        <v>19789</v>
      </c>
      <c r="H5425" t="s">
        <v>7954</v>
      </c>
      <c r="I5425" t="s">
        <v>273</v>
      </c>
      <c r="J5425" t="s">
        <v>19792</v>
      </c>
    </row>
    <row r="5426" spans="1:10" x14ac:dyDescent="0.25">
      <c r="A5426" t="s">
        <v>5217</v>
      </c>
      <c r="B5426">
        <v>8.4</v>
      </c>
      <c r="C5426" t="s">
        <v>5219</v>
      </c>
      <c r="D5426" t="s">
        <v>2879</v>
      </c>
      <c r="E5426" t="s">
        <v>5206</v>
      </c>
      <c r="F5426" t="s">
        <v>7672</v>
      </c>
      <c r="G5426" t="s">
        <v>19789</v>
      </c>
      <c r="H5426" t="s">
        <v>7954</v>
      </c>
      <c r="I5426" t="s">
        <v>273</v>
      </c>
      <c r="J5426" t="s">
        <v>19793</v>
      </c>
    </row>
    <row r="5427" spans="1:10" x14ac:dyDescent="0.25">
      <c r="A5427" t="s">
        <v>5221</v>
      </c>
      <c r="B5427">
        <v>8.4</v>
      </c>
      <c r="C5427" t="s">
        <v>5223</v>
      </c>
      <c r="D5427" t="s">
        <v>352</v>
      </c>
      <c r="E5427" t="s">
        <v>5206</v>
      </c>
      <c r="F5427" t="s">
        <v>7672</v>
      </c>
      <c r="G5427" t="s">
        <v>19789</v>
      </c>
      <c r="H5427" t="s">
        <v>7954</v>
      </c>
      <c r="I5427" t="s">
        <v>273</v>
      </c>
      <c r="J5427" t="s">
        <v>19794</v>
      </c>
    </row>
    <row r="5428" spans="1:10" x14ac:dyDescent="0.25">
      <c r="A5428" t="s">
        <v>5225</v>
      </c>
      <c r="B5428">
        <v>8.4</v>
      </c>
      <c r="C5428" t="s">
        <v>5227</v>
      </c>
      <c r="D5428" t="s">
        <v>1795</v>
      </c>
      <c r="E5428" t="s">
        <v>5206</v>
      </c>
      <c r="F5428" t="s">
        <v>7672</v>
      </c>
      <c r="G5428" t="s">
        <v>19789</v>
      </c>
      <c r="H5428" t="s">
        <v>7954</v>
      </c>
      <c r="I5428" t="s">
        <v>273</v>
      </c>
      <c r="J5428" t="s">
        <v>19795</v>
      </c>
    </row>
    <row r="5429" spans="1:10" x14ac:dyDescent="0.25">
      <c r="A5429" t="s">
        <v>5229</v>
      </c>
      <c r="B5429">
        <v>8.4</v>
      </c>
      <c r="C5429" t="s">
        <v>5231</v>
      </c>
      <c r="D5429" t="s">
        <v>290</v>
      </c>
      <c r="E5429" t="s">
        <v>5206</v>
      </c>
      <c r="F5429" t="s">
        <v>7672</v>
      </c>
      <c r="G5429" t="s">
        <v>19789</v>
      </c>
      <c r="H5429" t="s">
        <v>7954</v>
      </c>
      <c r="I5429" t="s">
        <v>76</v>
      </c>
      <c r="J5429" t="s">
        <v>19794</v>
      </c>
    </row>
    <row r="5430" spans="1:10" x14ac:dyDescent="0.25">
      <c r="A5430" t="s">
        <v>5233</v>
      </c>
      <c r="B5430">
        <v>8.4</v>
      </c>
      <c r="C5430" t="s">
        <v>5235</v>
      </c>
      <c r="D5430" t="s">
        <v>199</v>
      </c>
      <c r="E5430" t="s">
        <v>5206</v>
      </c>
      <c r="F5430" t="s">
        <v>7672</v>
      </c>
      <c r="G5430" t="s">
        <v>19789</v>
      </c>
      <c r="H5430" t="s">
        <v>7954</v>
      </c>
      <c r="I5430" t="s">
        <v>278</v>
      </c>
      <c r="J5430" t="s">
        <v>19794</v>
      </c>
    </row>
    <row r="5431" spans="1:10" x14ac:dyDescent="0.25">
      <c r="A5431" t="s">
        <v>5237</v>
      </c>
      <c r="B5431">
        <v>8.4</v>
      </c>
      <c r="C5431" t="s">
        <v>5239</v>
      </c>
      <c r="D5431" t="s">
        <v>3378</v>
      </c>
      <c r="E5431" t="s">
        <v>5206</v>
      </c>
      <c r="F5431" t="s">
        <v>7672</v>
      </c>
      <c r="G5431" t="s">
        <v>19789</v>
      </c>
      <c r="H5431" t="s">
        <v>7954</v>
      </c>
      <c r="I5431" t="s">
        <v>278</v>
      </c>
      <c r="J5431" t="s">
        <v>19793</v>
      </c>
    </row>
    <row r="5432" spans="1:10" x14ac:dyDescent="0.25">
      <c r="A5432" t="s">
        <v>5241</v>
      </c>
      <c r="B5432">
        <v>8.4</v>
      </c>
      <c r="C5432" t="s">
        <v>5243</v>
      </c>
      <c r="D5432" t="s">
        <v>671</v>
      </c>
      <c r="E5432" t="s">
        <v>5206</v>
      </c>
      <c r="F5432" t="s">
        <v>7672</v>
      </c>
      <c r="G5432" t="s">
        <v>19789</v>
      </c>
      <c r="H5432" t="s">
        <v>7954</v>
      </c>
      <c r="I5432" t="s">
        <v>76</v>
      </c>
      <c r="J5432" t="s">
        <v>19793</v>
      </c>
    </row>
    <row r="5433" spans="1:10" x14ac:dyDescent="0.25">
      <c r="A5433" t="s">
        <v>5245</v>
      </c>
      <c r="B5433">
        <v>8.4</v>
      </c>
      <c r="C5433" t="s">
        <v>5247</v>
      </c>
      <c r="D5433" t="s">
        <v>4327</v>
      </c>
      <c r="E5433" t="s">
        <v>5206</v>
      </c>
      <c r="F5433" t="s">
        <v>7672</v>
      </c>
      <c r="G5433" t="s">
        <v>19789</v>
      </c>
      <c r="H5433" t="s">
        <v>7954</v>
      </c>
      <c r="I5433" t="s">
        <v>76</v>
      </c>
      <c r="J5433" t="s">
        <v>19795</v>
      </c>
    </row>
    <row r="5434" spans="1:10" x14ac:dyDescent="0.25">
      <c r="A5434" t="s">
        <v>5249</v>
      </c>
      <c r="B5434">
        <v>8.4</v>
      </c>
      <c r="C5434" t="s">
        <v>5251</v>
      </c>
      <c r="D5434" t="s">
        <v>316</v>
      </c>
      <c r="E5434" t="s">
        <v>5206</v>
      </c>
      <c r="F5434" t="s">
        <v>7672</v>
      </c>
      <c r="G5434" t="s">
        <v>19789</v>
      </c>
      <c r="H5434" t="s">
        <v>7954</v>
      </c>
      <c r="I5434" t="s">
        <v>278</v>
      </c>
      <c r="J5434" t="s">
        <v>19795</v>
      </c>
    </row>
    <row r="5435" spans="1:10" x14ac:dyDescent="0.25">
      <c r="A5435" t="s">
        <v>5253</v>
      </c>
      <c r="B5435">
        <v>8.4</v>
      </c>
      <c r="C5435" t="s">
        <v>5255</v>
      </c>
      <c r="D5435" t="s">
        <v>2804</v>
      </c>
      <c r="E5435" t="s">
        <v>5206</v>
      </c>
      <c r="F5435" t="s">
        <v>7672</v>
      </c>
      <c r="G5435" t="s">
        <v>19789</v>
      </c>
      <c r="H5435" t="s">
        <v>7954</v>
      </c>
      <c r="I5435" t="s">
        <v>278</v>
      </c>
      <c r="J5435" t="s">
        <v>19790</v>
      </c>
    </row>
    <row r="5436" spans="1:10" x14ac:dyDescent="0.25">
      <c r="A5436" t="s">
        <v>5257</v>
      </c>
      <c r="B5436">
        <v>8.4</v>
      </c>
      <c r="C5436" t="s">
        <v>5259</v>
      </c>
      <c r="D5436" t="s">
        <v>40</v>
      </c>
      <c r="E5436" t="s">
        <v>5206</v>
      </c>
      <c r="F5436" t="s">
        <v>7672</v>
      </c>
      <c r="G5436" t="s">
        <v>19789</v>
      </c>
      <c r="H5436" t="s">
        <v>7954</v>
      </c>
      <c r="I5436" t="s">
        <v>76</v>
      </c>
      <c r="J5436" t="s">
        <v>19791</v>
      </c>
    </row>
    <row r="5437" spans="1:10" x14ac:dyDescent="0.25">
      <c r="A5437" t="s">
        <v>5261</v>
      </c>
      <c r="B5437">
        <v>8.4</v>
      </c>
      <c r="C5437" t="s">
        <v>5263</v>
      </c>
      <c r="D5437" t="s">
        <v>3409</v>
      </c>
      <c r="E5437" t="s">
        <v>5206</v>
      </c>
      <c r="F5437" t="s">
        <v>7672</v>
      </c>
      <c r="G5437" t="s">
        <v>19789</v>
      </c>
      <c r="H5437" t="s">
        <v>7954</v>
      </c>
      <c r="I5437" t="s">
        <v>278</v>
      </c>
      <c r="J5437" t="s">
        <v>19791</v>
      </c>
    </row>
    <row r="5438" spans="1:10" x14ac:dyDescent="0.25">
      <c r="A5438" t="s">
        <v>19796</v>
      </c>
      <c r="B5438">
        <v>8.6639999999999997</v>
      </c>
      <c r="C5438" t="s">
        <v>19797</v>
      </c>
      <c r="D5438" t="s">
        <v>301</v>
      </c>
      <c r="E5438" t="s">
        <v>19798</v>
      </c>
      <c r="F5438" t="s">
        <v>7672</v>
      </c>
      <c r="G5438" t="s">
        <v>19799</v>
      </c>
      <c r="H5438" t="s">
        <v>13897</v>
      </c>
      <c r="I5438" t="s">
        <v>19800</v>
      </c>
      <c r="J5438" t="s">
        <v>9423</v>
      </c>
    </row>
    <row r="5439" spans="1:10" x14ac:dyDescent="0.25">
      <c r="A5439" t="s">
        <v>19801</v>
      </c>
      <c r="B5439">
        <v>8.6639999999999997</v>
      </c>
      <c r="C5439" t="s">
        <v>19802</v>
      </c>
      <c r="D5439" t="s">
        <v>245</v>
      </c>
      <c r="E5439" t="s">
        <v>19798</v>
      </c>
      <c r="F5439" t="s">
        <v>7672</v>
      </c>
      <c r="G5439" t="s">
        <v>19799</v>
      </c>
      <c r="H5439" t="s">
        <v>13897</v>
      </c>
      <c r="I5439" t="s">
        <v>19800</v>
      </c>
      <c r="J5439" t="s">
        <v>10862</v>
      </c>
    </row>
    <row r="5440" spans="1:10" x14ac:dyDescent="0.25">
      <c r="A5440" t="s">
        <v>19803</v>
      </c>
      <c r="B5440">
        <v>8.6639999999999997</v>
      </c>
      <c r="C5440" t="s">
        <v>19804</v>
      </c>
      <c r="D5440" t="s">
        <v>516</v>
      </c>
      <c r="E5440" t="s">
        <v>19798</v>
      </c>
      <c r="F5440" t="s">
        <v>7672</v>
      </c>
      <c r="G5440" t="s">
        <v>19799</v>
      </c>
      <c r="H5440" t="s">
        <v>13897</v>
      </c>
      <c r="I5440" t="s">
        <v>19800</v>
      </c>
      <c r="J5440" t="s">
        <v>9426</v>
      </c>
    </row>
    <row r="5441" spans="1:10" x14ac:dyDescent="0.25">
      <c r="A5441" t="s">
        <v>19805</v>
      </c>
      <c r="B5441">
        <v>8.6639999999999997</v>
      </c>
      <c r="C5441" t="s">
        <v>19806</v>
      </c>
      <c r="D5441" t="s">
        <v>781</v>
      </c>
      <c r="E5441" t="s">
        <v>19798</v>
      </c>
      <c r="F5441" t="s">
        <v>7672</v>
      </c>
      <c r="G5441" t="s">
        <v>19799</v>
      </c>
      <c r="H5441" t="s">
        <v>13897</v>
      </c>
      <c r="I5441" t="s">
        <v>19800</v>
      </c>
      <c r="J5441" t="s">
        <v>13084</v>
      </c>
    </row>
    <row r="5442" spans="1:10" x14ac:dyDescent="0.25">
      <c r="A5442" t="s">
        <v>19807</v>
      </c>
      <c r="B5442">
        <v>8.6639999999999997</v>
      </c>
      <c r="C5442" t="s">
        <v>19808</v>
      </c>
      <c r="D5442" t="s">
        <v>3184</v>
      </c>
      <c r="E5442" t="s">
        <v>19798</v>
      </c>
      <c r="F5442" t="s">
        <v>7672</v>
      </c>
      <c r="G5442" t="s">
        <v>19799</v>
      </c>
      <c r="H5442" t="s">
        <v>13897</v>
      </c>
      <c r="I5442" t="s">
        <v>19800</v>
      </c>
      <c r="J5442" t="s">
        <v>11767</v>
      </c>
    </row>
    <row r="5443" spans="1:10" x14ac:dyDescent="0.25">
      <c r="A5443" t="s">
        <v>19809</v>
      </c>
      <c r="B5443">
        <v>8.6639999999999997</v>
      </c>
      <c r="C5443" t="s">
        <v>19810</v>
      </c>
      <c r="D5443" t="s">
        <v>588</v>
      </c>
      <c r="E5443" t="s">
        <v>19798</v>
      </c>
      <c r="F5443" t="s">
        <v>7672</v>
      </c>
      <c r="G5443" t="s">
        <v>19799</v>
      </c>
      <c r="H5443" t="s">
        <v>13897</v>
      </c>
      <c r="I5443" t="s">
        <v>19800</v>
      </c>
      <c r="J5443" t="s">
        <v>11582</v>
      </c>
    </row>
    <row r="5444" spans="1:10" x14ac:dyDescent="0.25">
      <c r="A5444" t="s">
        <v>19811</v>
      </c>
      <c r="B5444">
        <v>8.6639999999999997</v>
      </c>
      <c r="C5444" t="s">
        <v>19812</v>
      </c>
      <c r="D5444" t="s">
        <v>286</v>
      </c>
      <c r="E5444" t="s">
        <v>19798</v>
      </c>
      <c r="F5444" t="s">
        <v>7672</v>
      </c>
      <c r="G5444" t="s">
        <v>19799</v>
      </c>
      <c r="H5444" t="s">
        <v>13897</v>
      </c>
      <c r="I5444" t="s">
        <v>19800</v>
      </c>
      <c r="J5444" t="s">
        <v>11585</v>
      </c>
    </row>
    <row r="5445" spans="1:10" x14ac:dyDescent="0.25">
      <c r="A5445" t="s">
        <v>19813</v>
      </c>
      <c r="B5445">
        <v>6</v>
      </c>
      <c r="C5445" t="s">
        <v>19814</v>
      </c>
      <c r="D5445" t="s">
        <v>5119</v>
      </c>
      <c r="E5445" t="s">
        <v>19815</v>
      </c>
      <c r="F5445" t="s">
        <v>7672</v>
      </c>
      <c r="G5445" t="s">
        <v>19816</v>
      </c>
      <c r="H5445" t="s">
        <v>11496</v>
      </c>
      <c r="I5445" t="s">
        <v>1490</v>
      </c>
      <c r="J5445" t="s">
        <v>9423</v>
      </c>
    </row>
    <row r="5446" spans="1:10" x14ac:dyDescent="0.25">
      <c r="A5446" t="s">
        <v>19817</v>
      </c>
      <c r="B5446">
        <v>6</v>
      </c>
      <c r="C5446" t="s">
        <v>19818</v>
      </c>
      <c r="D5446" t="s">
        <v>2587</v>
      </c>
      <c r="E5446" t="s">
        <v>19815</v>
      </c>
      <c r="F5446" t="s">
        <v>7672</v>
      </c>
      <c r="G5446" t="s">
        <v>19816</v>
      </c>
      <c r="H5446" t="s">
        <v>11496</v>
      </c>
      <c r="I5446" t="s">
        <v>1490</v>
      </c>
      <c r="J5446" t="s">
        <v>9426</v>
      </c>
    </row>
    <row r="5447" spans="1:10" x14ac:dyDescent="0.25">
      <c r="A5447" t="s">
        <v>5265</v>
      </c>
      <c r="B5447">
        <v>54</v>
      </c>
      <c r="C5447" t="s">
        <v>5267</v>
      </c>
      <c r="D5447" t="s">
        <v>296</v>
      </c>
      <c r="E5447" t="s">
        <v>5268</v>
      </c>
      <c r="F5447" t="s">
        <v>7672</v>
      </c>
      <c r="G5447" t="s">
        <v>19819</v>
      </c>
      <c r="H5447" t="s">
        <v>12423</v>
      </c>
      <c r="I5447" t="s">
        <v>76</v>
      </c>
      <c r="J5447" t="s">
        <v>7981</v>
      </c>
    </row>
    <row r="5448" spans="1:10" x14ac:dyDescent="0.25">
      <c r="A5448" t="s">
        <v>5271</v>
      </c>
      <c r="B5448">
        <v>54</v>
      </c>
      <c r="C5448" t="s">
        <v>5273</v>
      </c>
      <c r="D5448" t="s">
        <v>3378</v>
      </c>
      <c r="E5448" t="s">
        <v>5268</v>
      </c>
      <c r="F5448" t="s">
        <v>7672</v>
      </c>
      <c r="G5448" t="s">
        <v>19819</v>
      </c>
      <c r="H5448" t="s">
        <v>12423</v>
      </c>
      <c r="I5448" t="s">
        <v>1490</v>
      </c>
      <c r="J5448" t="s">
        <v>7981</v>
      </c>
    </row>
    <row r="5449" spans="1:10" x14ac:dyDescent="0.25">
      <c r="A5449" t="s">
        <v>5276</v>
      </c>
      <c r="B5449">
        <v>54</v>
      </c>
      <c r="C5449" t="s">
        <v>5278</v>
      </c>
      <c r="D5449" t="s">
        <v>3827</v>
      </c>
      <c r="E5449" t="s">
        <v>5268</v>
      </c>
      <c r="F5449" t="s">
        <v>7672</v>
      </c>
      <c r="G5449" t="s">
        <v>19819</v>
      </c>
      <c r="H5449" t="s">
        <v>12423</v>
      </c>
      <c r="I5449" t="s">
        <v>76</v>
      </c>
      <c r="J5449" t="s">
        <v>7984</v>
      </c>
    </row>
    <row r="5450" spans="1:10" x14ac:dyDescent="0.25">
      <c r="A5450" t="s">
        <v>5280</v>
      </c>
      <c r="B5450">
        <v>54</v>
      </c>
      <c r="C5450" t="s">
        <v>5282</v>
      </c>
      <c r="D5450" t="s">
        <v>5283</v>
      </c>
      <c r="E5450" t="s">
        <v>5268</v>
      </c>
      <c r="F5450" t="s">
        <v>7672</v>
      </c>
      <c r="G5450" t="s">
        <v>19819</v>
      </c>
      <c r="H5450" t="s">
        <v>12423</v>
      </c>
      <c r="I5450" t="s">
        <v>1490</v>
      </c>
      <c r="J5450" t="s">
        <v>7984</v>
      </c>
    </row>
    <row r="5451" spans="1:10" x14ac:dyDescent="0.25">
      <c r="A5451" t="s">
        <v>5285</v>
      </c>
      <c r="B5451">
        <v>54</v>
      </c>
      <c r="C5451" t="s">
        <v>5287</v>
      </c>
      <c r="D5451" t="s">
        <v>3604</v>
      </c>
      <c r="E5451" t="s">
        <v>5268</v>
      </c>
      <c r="F5451" t="s">
        <v>7672</v>
      </c>
      <c r="G5451" t="s">
        <v>19819</v>
      </c>
      <c r="H5451" t="s">
        <v>12423</v>
      </c>
      <c r="I5451" t="s">
        <v>1490</v>
      </c>
      <c r="J5451" t="s">
        <v>7987</v>
      </c>
    </row>
    <row r="5452" spans="1:10" x14ac:dyDescent="0.25">
      <c r="A5452" t="s">
        <v>5289</v>
      </c>
      <c r="B5452">
        <v>54</v>
      </c>
      <c r="C5452" t="s">
        <v>5291</v>
      </c>
      <c r="D5452" t="s">
        <v>2652</v>
      </c>
      <c r="E5452" t="s">
        <v>5268</v>
      </c>
      <c r="F5452" t="s">
        <v>7672</v>
      </c>
      <c r="G5452" t="s">
        <v>19819</v>
      </c>
      <c r="H5452" t="s">
        <v>12423</v>
      </c>
      <c r="I5452" t="s">
        <v>76</v>
      </c>
      <c r="J5452" t="s">
        <v>7987</v>
      </c>
    </row>
    <row r="5453" spans="1:10" x14ac:dyDescent="0.25">
      <c r="A5453" t="s">
        <v>5293</v>
      </c>
      <c r="B5453">
        <v>54</v>
      </c>
      <c r="C5453" t="s">
        <v>5295</v>
      </c>
      <c r="D5453" t="s">
        <v>164</v>
      </c>
      <c r="E5453" t="s">
        <v>5268</v>
      </c>
      <c r="F5453" t="s">
        <v>7672</v>
      </c>
      <c r="G5453" t="s">
        <v>19819</v>
      </c>
      <c r="H5453" t="s">
        <v>12423</v>
      </c>
      <c r="I5453" t="s">
        <v>1490</v>
      </c>
      <c r="J5453" t="s">
        <v>8001</v>
      </c>
    </row>
    <row r="5454" spans="1:10" x14ac:dyDescent="0.25">
      <c r="A5454" t="s">
        <v>19820</v>
      </c>
      <c r="B5454">
        <v>8.36</v>
      </c>
      <c r="C5454" t="s">
        <v>19821</v>
      </c>
      <c r="D5454" t="s">
        <v>301</v>
      </c>
      <c r="E5454" t="s">
        <v>19822</v>
      </c>
      <c r="F5454" t="s">
        <v>7672</v>
      </c>
      <c r="G5454" t="s">
        <v>19823</v>
      </c>
      <c r="H5454" t="s">
        <v>13951</v>
      </c>
      <c r="I5454" t="s">
        <v>497</v>
      </c>
      <c r="J5454" t="s">
        <v>100</v>
      </c>
    </row>
    <row r="5455" spans="1:10" x14ac:dyDescent="0.25">
      <c r="A5455" t="s">
        <v>19824</v>
      </c>
      <c r="B5455">
        <v>8.36</v>
      </c>
      <c r="C5455" t="s">
        <v>19825</v>
      </c>
      <c r="D5455" t="s">
        <v>1567</v>
      </c>
      <c r="E5455" t="s">
        <v>19822</v>
      </c>
      <c r="F5455" t="s">
        <v>7672</v>
      </c>
      <c r="G5455" t="s">
        <v>19823</v>
      </c>
      <c r="H5455" t="s">
        <v>13951</v>
      </c>
      <c r="I5455" t="s">
        <v>497</v>
      </c>
      <c r="J5455" t="s">
        <v>88</v>
      </c>
    </row>
    <row r="5456" spans="1:10" x14ac:dyDescent="0.25">
      <c r="A5456" t="s">
        <v>19826</v>
      </c>
      <c r="B5456">
        <v>8.36</v>
      </c>
      <c r="C5456" t="s">
        <v>19827</v>
      </c>
      <c r="D5456" t="s">
        <v>2371</v>
      </c>
      <c r="E5456" t="s">
        <v>19822</v>
      </c>
      <c r="F5456" t="s">
        <v>7672</v>
      </c>
      <c r="G5456" t="s">
        <v>19823</v>
      </c>
      <c r="H5456" t="s">
        <v>13951</v>
      </c>
      <c r="I5456" t="s">
        <v>497</v>
      </c>
      <c r="J5456" t="s">
        <v>269</v>
      </c>
    </row>
    <row r="5457" spans="1:10" x14ac:dyDescent="0.25">
      <c r="A5457" t="s">
        <v>19828</v>
      </c>
      <c r="B5457">
        <v>4.8000000000000007</v>
      </c>
      <c r="C5457" t="s">
        <v>19829</v>
      </c>
      <c r="D5457" t="s">
        <v>3244</v>
      </c>
      <c r="E5457" t="s">
        <v>19830</v>
      </c>
      <c r="F5457" t="s">
        <v>7672</v>
      </c>
      <c r="G5457" t="s">
        <v>19831</v>
      </c>
      <c r="H5457" t="s">
        <v>10298</v>
      </c>
      <c r="I5457" t="s">
        <v>19832</v>
      </c>
      <c r="J5457" t="s">
        <v>11696</v>
      </c>
    </row>
    <row r="5458" spans="1:10" x14ac:dyDescent="0.25">
      <c r="A5458" t="s">
        <v>19833</v>
      </c>
      <c r="B5458">
        <v>4.8000000000000007</v>
      </c>
      <c r="C5458" t="s">
        <v>19834</v>
      </c>
      <c r="D5458" t="s">
        <v>9240</v>
      </c>
      <c r="E5458" t="s">
        <v>19830</v>
      </c>
      <c r="F5458" t="s">
        <v>7672</v>
      </c>
      <c r="G5458" t="s">
        <v>19831</v>
      </c>
      <c r="H5458" t="s">
        <v>10298</v>
      </c>
      <c r="I5458" t="s">
        <v>19835</v>
      </c>
      <c r="J5458" t="s">
        <v>11696</v>
      </c>
    </row>
    <row r="5459" spans="1:10" x14ac:dyDescent="0.25">
      <c r="A5459" t="s">
        <v>19836</v>
      </c>
      <c r="B5459">
        <v>4.8000000000000007</v>
      </c>
      <c r="C5459" t="s">
        <v>19837</v>
      </c>
      <c r="D5459" t="s">
        <v>9810</v>
      </c>
      <c r="E5459" t="s">
        <v>19830</v>
      </c>
      <c r="F5459" t="s">
        <v>7672</v>
      </c>
      <c r="G5459" t="s">
        <v>19831</v>
      </c>
      <c r="H5459" t="s">
        <v>10298</v>
      </c>
      <c r="I5459" t="s">
        <v>19838</v>
      </c>
      <c r="J5459" t="s">
        <v>11696</v>
      </c>
    </row>
    <row r="5460" spans="1:10" x14ac:dyDescent="0.25">
      <c r="A5460" t="s">
        <v>19839</v>
      </c>
      <c r="B5460">
        <v>4.8000000000000007</v>
      </c>
      <c r="C5460" t="s">
        <v>19840</v>
      </c>
      <c r="D5460" t="s">
        <v>2138</v>
      </c>
      <c r="E5460" t="s">
        <v>19830</v>
      </c>
      <c r="F5460" t="s">
        <v>7672</v>
      </c>
      <c r="G5460" t="s">
        <v>19831</v>
      </c>
      <c r="H5460" t="s">
        <v>10298</v>
      </c>
      <c r="I5460" t="s">
        <v>19832</v>
      </c>
      <c r="J5460" t="s">
        <v>11702</v>
      </c>
    </row>
    <row r="5461" spans="1:10" x14ac:dyDescent="0.25">
      <c r="A5461" t="s">
        <v>19841</v>
      </c>
      <c r="B5461">
        <v>4.8000000000000007</v>
      </c>
      <c r="C5461" t="s">
        <v>19842</v>
      </c>
      <c r="D5461" t="s">
        <v>9653</v>
      </c>
      <c r="E5461" t="s">
        <v>19830</v>
      </c>
      <c r="F5461" t="s">
        <v>7672</v>
      </c>
      <c r="G5461" t="s">
        <v>19831</v>
      </c>
      <c r="H5461" t="s">
        <v>10298</v>
      </c>
      <c r="I5461" t="s">
        <v>19838</v>
      </c>
      <c r="J5461" t="s">
        <v>11702</v>
      </c>
    </row>
    <row r="5462" spans="1:10" x14ac:dyDescent="0.25">
      <c r="A5462" t="s">
        <v>19843</v>
      </c>
      <c r="B5462">
        <v>4.8000000000000007</v>
      </c>
      <c r="C5462" t="s">
        <v>19844</v>
      </c>
      <c r="D5462" t="s">
        <v>19845</v>
      </c>
      <c r="E5462" t="s">
        <v>19830</v>
      </c>
      <c r="F5462" t="s">
        <v>7672</v>
      </c>
      <c r="G5462" t="s">
        <v>19831</v>
      </c>
      <c r="H5462" t="s">
        <v>10298</v>
      </c>
      <c r="I5462" t="s">
        <v>19835</v>
      </c>
      <c r="J5462" t="s">
        <v>11710</v>
      </c>
    </row>
    <row r="5463" spans="1:10" x14ac:dyDescent="0.25">
      <c r="A5463" t="s">
        <v>19846</v>
      </c>
      <c r="B5463">
        <v>4.8000000000000007</v>
      </c>
      <c r="C5463" t="s">
        <v>19847</v>
      </c>
      <c r="D5463" t="s">
        <v>19848</v>
      </c>
      <c r="E5463" t="s">
        <v>19830</v>
      </c>
      <c r="F5463" t="s">
        <v>7672</v>
      </c>
      <c r="G5463" t="s">
        <v>19831</v>
      </c>
      <c r="H5463" t="s">
        <v>10298</v>
      </c>
      <c r="I5463" t="s">
        <v>19832</v>
      </c>
      <c r="J5463" t="s">
        <v>11710</v>
      </c>
    </row>
    <row r="5464" spans="1:10" x14ac:dyDescent="0.25">
      <c r="A5464" t="s">
        <v>19849</v>
      </c>
      <c r="B5464">
        <v>4.8000000000000007</v>
      </c>
      <c r="C5464" t="s">
        <v>19850</v>
      </c>
      <c r="D5464" t="s">
        <v>19851</v>
      </c>
      <c r="E5464" t="s">
        <v>19830</v>
      </c>
      <c r="F5464" t="s">
        <v>7672</v>
      </c>
      <c r="G5464" t="s">
        <v>19831</v>
      </c>
      <c r="H5464" t="s">
        <v>10298</v>
      </c>
      <c r="I5464" t="s">
        <v>19838</v>
      </c>
      <c r="J5464" t="s">
        <v>11710</v>
      </c>
    </row>
    <row r="5465" spans="1:10" x14ac:dyDescent="0.25">
      <c r="A5465" t="s">
        <v>19852</v>
      </c>
      <c r="B5465">
        <v>4.8000000000000007</v>
      </c>
      <c r="C5465" t="s">
        <v>19853</v>
      </c>
      <c r="D5465" t="s">
        <v>19854</v>
      </c>
      <c r="E5465" t="s">
        <v>19830</v>
      </c>
      <c r="F5465" t="s">
        <v>7672</v>
      </c>
      <c r="G5465" t="s">
        <v>19831</v>
      </c>
      <c r="H5465" t="s">
        <v>10298</v>
      </c>
      <c r="I5465" t="s">
        <v>19835</v>
      </c>
      <c r="J5465" t="s">
        <v>12182</v>
      </c>
    </row>
    <row r="5466" spans="1:10" x14ac:dyDescent="0.25">
      <c r="A5466" t="s">
        <v>19855</v>
      </c>
      <c r="B5466">
        <v>4.8000000000000007</v>
      </c>
      <c r="C5466" t="s">
        <v>19856</v>
      </c>
      <c r="D5466" t="s">
        <v>16150</v>
      </c>
      <c r="E5466" t="s">
        <v>19830</v>
      </c>
      <c r="F5466" t="s">
        <v>7672</v>
      </c>
      <c r="G5466" t="s">
        <v>19831</v>
      </c>
      <c r="H5466" t="s">
        <v>10298</v>
      </c>
      <c r="I5466" t="s">
        <v>19832</v>
      </c>
      <c r="J5466" t="s">
        <v>12182</v>
      </c>
    </row>
    <row r="5467" spans="1:10" x14ac:dyDescent="0.25">
      <c r="A5467" t="s">
        <v>19857</v>
      </c>
      <c r="B5467">
        <v>4.8000000000000007</v>
      </c>
      <c r="C5467" t="s">
        <v>19858</v>
      </c>
      <c r="D5467" t="s">
        <v>19859</v>
      </c>
      <c r="E5467" t="s">
        <v>19830</v>
      </c>
      <c r="F5467" t="s">
        <v>7672</v>
      </c>
      <c r="G5467" t="s">
        <v>19831</v>
      </c>
      <c r="H5467" t="s">
        <v>10298</v>
      </c>
      <c r="I5467" t="s">
        <v>19838</v>
      </c>
      <c r="J5467" t="s">
        <v>12182</v>
      </c>
    </row>
    <row r="5468" spans="1:10" x14ac:dyDescent="0.25">
      <c r="A5468" t="s">
        <v>19860</v>
      </c>
      <c r="B5468">
        <v>4.8000000000000007</v>
      </c>
      <c r="C5468" t="s">
        <v>19861</v>
      </c>
      <c r="D5468" t="s">
        <v>12553</v>
      </c>
      <c r="E5468" t="s">
        <v>19830</v>
      </c>
      <c r="F5468" t="s">
        <v>7672</v>
      </c>
      <c r="G5468" t="s">
        <v>19831</v>
      </c>
      <c r="H5468" t="s">
        <v>10298</v>
      </c>
      <c r="I5468" t="s">
        <v>19835</v>
      </c>
      <c r="J5468" t="s">
        <v>10150</v>
      </c>
    </row>
    <row r="5469" spans="1:10" x14ac:dyDescent="0.25">
      <c r="A5469" t="s">
        <v>19862</v>
      </c>
      <c r="B5469">
        <v>4.8000000000000007</v>
      </c>
      <c r="C5469" t="s">
        <v>19863</v>
      </c>
      <c r="D5469" t="s">
        <v>7882</v>
      </c>
      <c r="E5469" t="s">
        <v>19830</v>
      </c>
      <c r="F5469" t="s">
        <v>7672</v>
      </c>
      <c r="G5469" t="s">
        <v>19831</v>
      </c>
      <c r="H5469" t="s">
        <v>10298</v>
      </c>
      <c r="I5469" t="s">
        <v>19838</v>
      </c>
      <c r="J5469" t="s">
        <v>10150</v>
      </c>
    </row>
    <row r="5470" spans="1:10" x14ac:dyDescent="0.25">
      <c r="A5470" t="s">
        <v>19864</v>
      </c>
      <c r="B5470">
        <v>4.8000000000000007</v>
      </c>
      <c r="C5470" t="s">
        <v>19865</v>
      </c>
      <c r="D5470" t="s">
        <v>12358</v>
      </c>
      <c r="E5470" t="s">
        <v>19830</v>
      </c>
      <c r="F5470" t="s">
        <v>7672</v>
      </c>
      <c r="G5470" t="s">
        <v>19831</v>
      </c>
      <c r="H5470" t="s">
        <v>10298</v>
      </c>
      <c r="I5470" t="s">
        <v>19832</v>
      </c>
      <c r="J5470" t="s">
        <v>10150</v>
      </c>
    </row>
    <row r="5471" spans="1:10" x14ac:dyDescent="0.25">
      <c r="A5471" t="s">
        <v>19866</v>
      </c>
      <c r="B5471">
        <v>4.8000000000000007</v>
      </c>
      <c r="C5471" t="s">
        <v>19867</v>
      </c>
      <c r="D5471" t="s">
        <v>131</v>
      </c>
      <c r="E5471" t="s">
        <v>19830</v>
      </c>
      <c r="F5471" t="s">
        <v>7672</v>
      </c>
      <c r="G5471" t="s">
        <v>19831</v>
      </c>
      <c r="H5471" t="s">
        <v>10298</v>
      </c>
      <c r="I5471" t="s">
        <v>19838</v>
      </c>
      <c r="J5471" t="s">
        <v>15238</v>
      </c>
    </row>
    <row r="5472" spans="1:10" x14ac:dyDescent="0.25">
      <c r="A5472" t="s">
        <v>19868</v>
      </c>
      <c r="B5472">
        <v>4.8000000000000007</v>
      </c>
      <c r="C5472" t="s">
        <v>19869</v>
      </c>
      <c r="D5472" t="s">
        <v>131</v>
      </c>
      <c r="E5472" t="s">
        <v>19830</v>
      </c>
      <c r="F5472" t="s">
        <v>7672</v>
      </c>
      <c r="G5472" t="s">
        <v>19831</v>
      </c>
      <c r="H5472" t="s">
        <v>10298</v>
      </c>
      <c r="I5472" t="s">
        <v>19832</v>
      </c>
      <c r="J5472" t="s">
        <v>15238</v>
      </c>
    </row>
    <row r="5473" spans="1:10" x14ac:dyDescent="0.25">
      <c r="A5473" t="s">
        <v>19870</v>
      </c>
      <c r="B5473">
        <v>4.8000000000000007</v>
      </c>
      <c r="C5473" t="s">
        <v>19871</v>
      </c>
      <c r="D5473" t="s">
        <v>576</v>
      </c>
      <c r="E5473" t="s">
        <v>19830</v>
      </c>
      <c r="F5473" t="s">
        <v>7672</v>
      </c>
      <c r="G5473" t="s">
        <v>19831</v>
      </c>
      <c r="H5473" t="s">
        <v>10298</v>
      </c>
      <c r="I5473" t="s">
        <v>19835</v>
      </c>
      <c r="J5473" t="s">
        <v>15238</v>
      </c>
    </row>
    <row r="5474" spans="1:10" x14ac:dyDescent="0.25">
      <c r="A5474" t="s">
        <v>19872</v>
      </c>
      <c r="B5474">
        <v>4.8000000000000007</v>
      </c>
      <c r="C5474" t="s">
        <v>19873</v>
      </c>
      <c r="D5474" t="s">
        <v>131</v>
      </c>
      <c r="E5474" t="s">
        <v>19830</v>
      </c>
      <c r="F5474" t="s">
        <v>7672</v>
      </c>
      <c r="G5474" t="s">
        <v>19831</v>
      </c>
      <c r="H5474" t="s">
        <v>10298</v>
      </c>
      <c r="I5474" t="s">
        <v>19835</v>
      </c>
      <c r="J5474" t="s">
        <v>15070</v>
      </c>
    </row>
    <row r="5475" spans="1:10" x14ac:dyDescent="0.25">
      <c r="A5475" t="s">
        <v>19874</v>
      </c>
      <c r="B5475">
        <v>4.8000000000000007</v>
      </c>
      <c r="C5475" t="s">
        <v>19875</v>
      </c>
      <c r="D5475" t="s">
        <v>282</v>
      </c>
      <c r="E5475" t="s">
        <v>19830</v>
      </c>
      <c r="F5475" t="s">
        <v>7672</v>
      </c>
      <c r="G5475" t="s">
        <v>19831</v>
      </c>
      <c r="H5475" t="s">
        <v>10298</v>
      </c>
      <c r="I5475" t="s">
        <v>19838</v>
      </c>
      <c r="J5475" t="s">
        <v>15070</v>
      </c>
    </row>
    <row r="5476" spans="1:10" x14ac:dyDescent="0.25">
      <c r="A5476" t="s">
        <v>19876</v>
      </c>
      <c r="B5476">
        <v>4.8000000000000007</v>
      </c>
      <c r="C5476" t="s">
        <v>19877</v>
      </c>
      <c r="D5476" t="s">
        <v>53</v>
      </c>
      <c r="E5476" t="s">
        <v>19830</v>
      </c>
      <c r="F5476" t="s">
        <v>7672</v>
      </c>
      <c r="G5476" t="s">
        <v>19831</v>
      </c>
      <c r="H5476" t="s">
        <v>10298</v>
      </c>
      <c r="I5476" t="s">
        <v>19832</v>
      </c>
      <c r="J5476" t="s">
        <v>15070</v>
      </c>
    </row>
    <row r="5477" spans="1:10" x14ac:dyDescent="0.25">
      <c r="A5477" t="s">
        <v>19878</v>
      </c>
      <c r="B5477">
        <v>4.8000000000000007</v>
      </c>
      <c r="C5477" t="s">
        <v>19879</v>
      </c>
      <c r="D5477" t="s">
        <v>959</v>
      </c>
      <c r="E5477" t="s">
        <v>19830</v>
      </c>
      <c r="F5477" t="s">
        <v>7672</v>
      </c>
      <c r="G5477" t="s">
        <v>19831</v>
      </c>
      <c r="H5477" t="s">
        <v>10298</v>
      </c>
      <c r="I5477" t="s">
        <v>19835</v>
      </c>
      <c r="J5477" t="s">
        <v>15073</v>
      </c>
    </row>
    <row r="5478" spans="1:10" x14ac:dyDescent="0.25">
      <c r="A5478" t="s">
        <v>19880</v>
      </c>
      <c r="B5478">
        <v>4.8000000000000007</v>
      </c>
      <c r="C5478" t="s">
        <v>19881</v>
      </c>
      <c r="D5478" t="s">
        <v>742</v>
      </c>
      <c r="E5478" t="s">
        <v>19830</v>
      </c>
      <c r="F5478" t="s">
        <v>7672</v>
      </c>
      <c r="G5478" t="s">
        <v>19831</v>
      </c>
      <c r="H5478" t="s">
        <v>10298</v>
      </c>
      <c r="I5478" t="s">
        <v>19838</v>
      </c>
      <c r="J5478" t="s">
        <v>15073</v>
      </c>
    </row>
    <row r="5479" spans="1:10" x14ac:dyDescent="0.25">
      <c r="A5479" t="s">
        <v>19882</v>
      </c>
      <c r="B5479">
        <v>4.8000000000000007</v>
      </c>
      <c r="C5479" t="s">
        <v>19883</v>
      </c>
      <c r="D5479" t="s">
        <v>269</v>
      </c>
      <c r="E5479" t="s">
        <v>19830</v>
      </c>
      <c r="F5479" t="s">
        <v>7672</v>
      </c>
      <c r="G5479" t="s">
        <v>19831</v>
      </c>
      <c r="H5479" t="s">
        <v>10298</v>
      </c>
      <c r="I5479" t="s">
        <v>19832</v>
      </c>
      <c r="J5479" t="s">
        <v>15073</v>
      </c>
    </row>
    <row r="5480" spans="1:10" x14ac:dyDescent="0.25">
      <c r="A5480" t="s">
        <v>19884</v>
      </c>
      <c r="B5480">
        <v>4.8000000000000007</v>
      </c>
      <c r="C5480" t="s">
        <v>19885</v>
      </c>
      <c r="D5480" t="s">
        <v>1134</v>
      </c>
      <c r="E5480" t="s">
        <v>19830</v>
      </c>
      <c r="F5480" t="s">
        <v>7672</v>
      </c>
      <c r="G5480" t="s">
        <v>19831</v>
      </c>
      <c r="H5480" t="s">
        <v>10298</v>
      </c>
      <c r="I5480" t="s">
        <v>19835</v>
      </c>
      <c r="J5480" t="s">
        <v>15076</v>
      </c>
    </row>
    <row r="5481" spans="1:10" x14ac:dyDescent="0.25">
      <c r="A5481" t="s">
        <v>19886</v>
      </c>
      <c r="B5481">
        <v>4.8000000000000007</v>
      </c>
      <c r="C5481" t="s">
        <v>19887</v>
      </c>
      <c r="D5481" t="s">
        <v>250</v>
      </c>
      <c r="E5481" t="s">
        <v>19830</v>
      </c>
      <c r="F5481" t="s">
        <v>7672</v>
      </c>
      <c r="G5481" t="s">
        <v>19831</v>
      </c>
      <c r="H5481" t="s">
        <v>10298</v>
      </c>
      <c r="I5481" t="s">
        <v>19838</v>
      </c>
      <c r="J5481" t="s">
        <v>15076</v>
      </c>
    </row>
    <row r="5482" spans="1:10" x14ac:dyDescent="0.25">
      <c r="A5482" t="s">
        <v>19888</v>
      </c>
      <c r="B5482">
        <v>4.8000000000000007</v>
      </c>
      <c r="C5482" t="s">
        <v>19889</v>
      </c>
      <c r="D5482" t="s">
        <v>95</v>
      </c>
      <c r="E5482" t="s">
        <v>19830</v>
      </c>
      <c r="F5482" t="s">
        <v>7672</v>
      </c>
      <c r="G5482" t="s">
        <v>19831</v>
      </c>
      <c r="H5482" t="s">
        <v>10298</v>
      </c>
      <c r="I5482" t="s">
        <v>19832</v>
      </c>
      <c r="J5482" t="s">
        <v>15076</v>
      </c>
    </row>
    <row r="5483" spans="1:10" x14ac:dyDescent="0.25">
      <c r="A5483" t="s">
        <v>19890</v>
      </c>
      <c r="B5483">
        <v>4.8000000000000007</v>
      </c>
      <c r="C5483" t="s">
        <v>19891</v>
      </c>
      <c r="D5483" t="s">
        <v>2022</v>
      </c>
      <c r="E5483" t="s">
        <v>19830</v>
      </c>
      <c r="F5483" t="s">
        <v>7672</v>
      </c>
      <c r="G5483" t="s">
        <v>19831</v>
      </c>
      <c r="H5483" t="s">
        <v>10298</v>
      </c>
      <c r="I5483" t="s">
        <v>19835</v>
      </c>
      <c r="J5483" t="s">
        <v>15079</v>
      </c>
    </row>
    <row r="5484" spans="1:10" x14ac:dyDescent="0.25">
      <c r="A5484" t="s">
        <v>19892</v>
      </c>
      <c r="B5484">
        <v>4.8000000000000007</v>
      </c>
      <c r="C5484" t="s">
        <v>19893</v>
      </c>
      <c r="D5484" t="s">
        <v>843</v>
      </c>
      <c r="E5484" t="s">
        <v>19830</v>
      </c>
      <c r="F5484" t="s">
        <v>7672</v>
      </c>
      <c r="G5484" t="s">
        <v>19831</v>
      </c>
      <c r="H5484" t="s">
        <v>10298</v>
      </c>
      <c r="I5484" t="s">
        <v>19838</v>
      </c>
      <c r="J5484" t="s">
        <v>15079</v>
      </c>
    </row>
    <row r="5485" spans="1:10" x14ac:dyDescent="0.25">
      <c r="A5485" t="s">
        <v>19894</v>
      </c>
      <c r="B5485">
        <v>4.8000000000000007</v>
      </c>
      <c r="C5485" t="s">
        <v>19895</v>
      </c>
      <c r="D5485" t="s">
        <v>781</v>
      </c>
      <c r="E5485" t="s">
        <v>19830</v>
      </c>
      <c r="F5485" t="s">
        <v>7672</v>
      </c>
      <c r="G5485" t="s">
        <v>19831</v>
      </c>
      <c r="H5485" t="s">
        <v>10298</v>
      </c>
      <c r="I5485" t="s">
        <v>19832</v>
      </c>
      <c r="J5485" t="s">
        <v>15079</v>
      </c>
    </row>
    <row r="5486" spans="1:10" x14ac:dyDescent="0.25">
      <c r="A5486" t="s">
        <v>19896</v>
      </c>
      <c r="B5486">
        <v>9</v>
      </c>
      <c r="C5486" t="s">
        <v>19897</v>
      </c>
      <c r="D5486" t="s">
        <v>1134</v>
      </c>
      <c r="E5486" t="s">
        <v>19898</v>
      </c>
      <c r="F5486" t="s">
        <v>7672</v>
      </c>
      <c r="G5486" t="s">
        <v>16976</v>
      </c>
      <c r="H5486" t="s">
        <v>16977</v>
      </c>
      <c r="I5486" t="s">
        <v>16978</v>
      </c>
      <c r="J5486" t="s">
        <v>19899</v>
      </c>
    </row>
    <row r="5487" spans="1:10" x14ac:dyDescent="0.25">
      <c r="A5487" t="s">
        <v>19900</v>
      </c>
      <c r="B5487">
        <v>9</v>
      </c>
      <c r="C5487" t="s">
        <v>19901</v>
      </c>
      <c r="D5487" t="s">
        <v>3060</v>
      </c>
      <c r="E5487" t="s">
        <v>19898</v>
      </c>
      <c r="F5487" t="s">
        <v>7672</v>
      </c>
      <c r="G5487" t="s">
        <v>16976</v>
      </c>
      <c r="H5487" t="s">
        <v>16977</v>
      </c>
      <c r="I5487" t="s">
        <v>16978</v>
      </c>
      <c r="J5487" t="s">
        <v>19902</v>
      </c>
    </row>
    <row r="5488" spans="1:10" x14ac:dyDescent="0.25">
      <c r="A5488" t="s">
        <v>19903</v>
      </c>
      <c r="B5488">
        <v>9</v>
      </c>
      <c r="C5488" t="s">
        <v>19904</v>
      </c>
      <c r="D5488" t="s">
        <v>3378</v>
      </c>
      <c r="E5488" t="s">
        <v>19898</v>
      </c>
      <c r="F5488" t="s">
        <v>7672</v>
      </c>
      <c r="G5488" t="s">
        <v>16976</v>
      </c>
      <c r="H5488" t="s">
        <v>16977</v>
      </c>
      <c r="I5488" t="s">
        <v>16978</v>
      </c>
      <c r="J5488" t="s">
        <v>19905</v>
      </c>
    </row>
    <row r="5489" spans="1:10" x14ac:dyDescent="0.25">
      <c r="A5489" t="s">
        <v>19906</v>
      </c>
      <c r="B5489">
        <v>150</v>
      </c>
      <c r="C5489" t="s">
        <v>19907</v>
      </c>
      <c r="D5489" t="s">
        <v>926</v>
      </c>
      <c r="E5489" t="s">
        <v>19908</v>
      </c>
      <c r="F5489" t="s">
        <v>7672</v>
      </c>
      <c r="G5489" t="s">
        <v>19909</v>
      </c>
      <c r="H5489" t="s">
        <v>19910</v>
      </c>
      <c r="I5489" t="s">
        <v>19911</v>
      </c>
      <c r="J5489" t="s">
        <v>9694</v>
      </c>
    </row>
    <row r="5490" spans="1:10" x14ac:dyDescent="0.25">
      <c r="A5490" t="s">
        <v>5297</v>
      </c>
      <c r="B5490">
        <v>17</v>
      </c>
      <c r="C5490" t="s">
        <v>5299</v>
      </c>
      <c r="D5490" t="s">
        <v>698</v>
      </c>
      <c r="E5490" t="s">
        <v>5300</v>
      </c>
      <c r="F5490" t="s">
        <v>7672</v>
      </c>
      <c r="G5490" t="s">
        <v>19912</v>
      </c>
      <c r="H5490" t="s">
        <v>7947</v>
      </c>
      <c r="I5490" t="s">
        <v>18589</v>
      </c>
      <c r="J5490" t="s">
        <v>9426</v>
      </c>
    </row>
    <row r="5491" spans="1:10" x14ac:dyDescent="0.25">
      <c r="A5491" t="s">
        <v>5303</v>
      </c>
      <c r="B5491">
        <v>17</v>
      </c>
      <c r="C5491" t="s">
        <v>5305</v>
      </c>
      <c r="D5491" t="s">
        <v>199</v>
      </c>
      <c r="E5491" t="s">
        <v>5300</v>
      </c>
      <c r="F5491" t="s">
        <v>7672</v>
      </c>
      <c r="G5491" t="s">
        <v>19912</v>
      </c>
      <c r="H5491" t="s">
        <v>7947</v>
      </c>
      <c r="I5491" t="s">
        <v>19913</v>
      </c>
      <c r="J5491" t="s">
        <v>9426</v>
      </c>
    </row>
    <row r="5492" spans="1:10" x14ac:dyDescent="0.25">
      <c r="A5492" t="s">
        <v>19914</v>
      </c>
      <c r="B5492">
        <v>7.2</v>
      </c>
      <c r="C5492" t="s">
        <v>19915</v>
      </c>
      <c r="D5492" t="s">
        <v>1143</v>
      </c>
      <c r="E5492" t="s">
        <v>19916</v>
      </c>
      <c r="F5492" t="s">
        <v>7672</v>
      </c>
      <c r="G5492" t="s">
        <v>19917</v>
      </c>
      <c r="H5492" t="s">
        <v>11381</v>
      </c>
      <c r="I5492" t="s">
        <v>9116</v>
      </c>
      <c r="J5492" t="s">
        <v>9023</v>
      </c>
    </row>
    <row r="5493" spans="1:10" x14ac:dyDescent="0.25">
      <c r="A5493" t="s">
        <v>19918</v>
      </c>
      <c r="B5493">
        <v>7.2</v>
      </c>
      <c r="C5493" t="s">
        <v>19919</v>
      </c>
      <c r="D5493" t="s">
        <v>277</v>
      </c>
      <c r="E5493" t="s">
        <v>19916</v>
      </c>
      <c r="F5493" t="s">
        <v>7672</v>
      </c>
      <c r="G5493" t="s">
        <v>19917</v>
      </c>
      <c r="H5493" t="s">
        <v>11381</v>
      </c>
      <c r="I5493" t="s">
        <v>1490</v>
      </c>
      <c r="J5493" t="s">
        <v>9023</v>
      </c>
    </row>
    <row r="5494" spans="1:10" x14ac:dyDescent="0.25">
      <c r="A5494" t="s">
        <v>19920</v>
      </c>
      <c r="B5494">
        <v>7.2</v>
      </c>
      <c r="C5494" t="s">
        <v>19921</v>
      </c>
      <c r="D5494" t="s">
        <v>95</v>
      </c>
      <c r="E5494" t="s">
        <v>19916</v>
      </c>
      <c r="F5494" t="s">
        <v>7672</v>
      </c>
      <c r="G5494" t="s">
        <v>19917</v>
      </c>
      <c r="H5494" t="s">
        <v>11381</v>
      </c>
      <c r="I5494" t="s">
        <v>76</v>
      </c>
      <c r="J5494" t="s">
        <v>9023</v>
      </c>
    </row>
    <row r="5495" spans="1:10" x14ac:dyDescent="0.25">
      <c r="A5495" t="s">
        <v>19922</v>
      </c>
      <c r="B5495">
        <v>7.2</v>
      </c>
      <c r="C5495" t="s">
        <v>19923</v>
      </c>
      <c r="D5495" t="s">
        <v>301</v>
      </c>
      <c r="E5495" t="s">
        <v>19916</v>
      </c>
      <c r="F5495" t="s">
        <v>7672</v>
      </c>
      <c r="G5495" t="s">
        <v>19917</v>
      </c>
      <c r="H5495" t="s">
        <v>11381</v>
      </c>
      <c r="I5495" t="s">
        <v>8357</v>
      </c>
      <c r="J5495" t="s">
        <v>9023</v>
      </c>
    </row>
    <row r="5496" spans="1:10" x14ac:dyDescent="0.25">
      <c r="A5496" t="s">
        <v>19924</v>
      </c>
      <c r="B5496">
        <v>7.2</v>
      </c>
      <c r="C5496" t="s">
        <v>19925</v>
      </c>
      <c r="D5496" t="s">
        <v>582</v>
      </c>
      <c r="E5496" t="s">
        <v>19916</v>
      </c>
      <c r="F5496" t="s">
        <v>7672</v>
      </c>
      <c r="G5496" t="s">
        <v>19917</v>
      </c>
      <c r="H5496" t="s">
        <v>11381</v>
      </c>
      <c r="I5496" t="s">
        <v>8357</v>
      </c>
      <c r="J5496" t="s">
        <v>8883</v>
      </c>
    </row>
    <row r="5497" spans="1:10" x14ac:dyDescent="0.25">
      <c r="A5497" t="s">
        <v>19926</v>
      </c>
      <c r="B5497">
        <v>7.2</v>
      </c>
      <c r="C5497" t="s">
        <v>19927</v>
      </c>
      <c r="D5497" t="s">
        <v>1097</v>
      </c>
      <c r="E5497" t="s">
        <v>19916</v>
      </c>
      <c r="F5497" t="s">
        <v>7672</v>
      </c>
      <c r="G5497" t="s">
        <v>19917</v>
      </c>
      <c r="H5497" t="s">
        <v>11381</v>
      </c>
      <c r="I5497" t="s">
        <v>9116</v>
      </c>
      <c r="J5497" t="s">
        <v>8883</v>
      </c>
    </row>
    <row r="5498" spans="1:10" x14ac:dyDescent="0.25">
      <c r="A5498" t="s">
        <v>19928</v>
      </c>
      <c r="B5498">
        <v>7.2</v>
      </c>
      <c r="C5498" t="s">
        <v>19929</v>
      </c>
      <c r="D5498" t="s">
        <v>2879</v>
      </c>
      <c r="E5498" t="s">
        <v>19916</v>
      </c>
      <c r="F5498" t="s">
        <v>7672</v>
      </c>
      <c r="G5498" t="s">
        <v>19917</v>
      </c>
      <c r="H5498" t="s">
        <v>11381</v>
      </c>
      <c r="I5498" t="s">
        <v>1490</v>
      </c>
      <c r="J5498" t="s">
        <v>8883</v>
      </c>
    </row>
    <row r="5499" spans="1:10" x14ac:dyDescent="0.25">
      <c r="A5499" t="s">
        <v>19930</v>
      </c>
      <c r="B5499">
        <v>7.2</v>
      </c>
      <c r="C5499" t="s">
        <v>19931</v>
      </c>
      <c r="D5499" t="s">
        <v>229</v>
      </c>
      <c r="E5499" t="s">
        <v>19916</v>
      </c>
      <c r="F5499" t="s">
        <v>7672</v>
      </c>
      <c r="G5499" t="s">
        <v>19917</v>
      </c>
      <c r="H5499" t="s">
        <v>11381</v>
      </c>
      <c r="I5499" t="s">
        <v>76</v>
      </c>
      <c r="J5499" t="s">
        <v>8883</v>
      </c>
    </row>
    <row r="5500" spans="1:10" x14ac:dyDescent="0.25">
      <c r="A5500" t="s">
        <v>19932</v>
      </c>
      <c r="B5500">
        <v>7.2</v>
      </c>
      <c r="C5500" t="s">
        <v>19933</v>
      </c>
      <c r="D5500" t="s">
        <v>164</v>
      </c>
      <c r="E5500" t="s">
        <v>19916</v>
      </c>
      <c r="F5500" t="s">
        <v>7672</v>
      </c>
      <c r="G5500" t="s">
        <v>19917</v>
      </c>
      <c r="H5500" t="s">
        <v>11381</v>
      </c>
      <c r="I5500" t="s">
        <v>8357</v>
      </c>
      <c r="J5500" t="s">
        <v>10908</v>
      </c>
    </row>
    <row r="5501" spans="1:10" x14ac:dyDescent="0.25">
      <c r="A5501" t="s">
        <v>19934</v>
      </c>
      <c r="B5501">
        <v>7.2</v>
      </c>
      <c r="C5501" t="s">
        <v>19935</v>
      </c>
      <c r="D5501" t="s">
        <v>352</v>
      </c>
      <c r="E5501" t="s">
        <v>19916</v>
      </c>
      <c r="F5501" t="s">
        <v>7672</v>
      </c>
      <c r="G5501" t="s">
        <v>19917</v>
      </c>
      <c r="H5501" t="s">
        <v>11381</v>
      </c>
      <c r="I5501" t="s">
        <v>9116</v>
      </c>
      <c r="J5501" t="s">
        <v>10908</v>
      </c>
    </row>
    <row r="5502" spans="1:10" x14ac:dyDescent="0.25">
      <c r="A5502" t="s">
        <v>19936</v>
      </c>
      <c r="B5502">
        <v>7.2</v>
      </c>
      <c r="C5502" t="s">
        <v>19937</v>
      </c>
      <c r="D5502" t="s">
        <v>269</v>
      </c>
      <c r="E5502" t="s">
        <v>19916</v>
      </c>
      <c r="F5502" t="s">
        <v>7672</v>
      </c>
      <c r="G5502" t="s">
        <v>19917</v>
      </c>
      <c r="H5502" t="s">
        <v>11381</v>
      </c>
      <c r="I5502" t="s">
        <v>1490</v>
      </c>
      <c r="J5502" t="s">
        <v>10908</v>
      </c>
    </row>
    <row r="5503" spans="1:10" x14ac:dyDescent="0.25">
      <c r="A5503" t="s">
        <v>19938</v>
      </c>
      <c r="B5503">
        <v>7.2</v>
      </c>
      <c r="C5503" t="s">
        <v>19939</v>
      </c>
      <c r="D5503" t="s">
        <v>269</v>
      </c>
      <c r="E5503" t="s">
        <v>19916</v>
      </c>
      <c r="F5503" t="s">
        <v>7672</v>
      </c>
      <c r="G5503" t="s">
        <v>19917</v>
      </c>
      <c r="H5503" t="s">
        <v>11381</v>
      </c>
      <c r="I5503" t="s">
        <v>76</v>
      </c>
      <c r="J5503" t="s">
        <v>10908</v>
      </c>
    </row>
    <row r="5504" spans="1:10" x14ac:dyDescent="0.25">
      <c r="A5504" t="s">
        <v>19940</v>
      </c>
      <c r="B5504">
        <v>7.2</v>
      </c>
      <c r="C5504" t="s">
        <v>19941</v>
      </c>
      <c r="D5504" t="s">
        <v>849</v>
      </c>
      <c r="E5504" t="s">
        <v>19916</v>
      </c>
      <c r="F5504" t="s">
        <v>7672</v>
      </c>
      <c r="G5504" t="s">
        <v>19917</v>
      </c>
      <c r="H5504" t="s">
        <v>11381</v>
      </c>
      <c r="I5504" t="s">
        <v>8357</v>
      </c>
      <c r="J5504" t="s">
        <v>8885</v>
      </c>
    </row>
    <row r="5505" spans="1:10" x14ac:dyDescent="0.25">
      <c r="A5505" t="s">
        <v>19942</v>
      </c>
      <c r="B5505">
        <v>7.2</v>
      </c>
      <c r="C5505" t="s">
        <v>19943</v>
      </c>
      <c r="D5505" t="s">
        <v>385</v>
      </c>
      <c r="E5505" t="s">
        <v>19916</v>
      </c>
      <c r="F5505" t="s">
        <v>7672</v>
      </c>
      <c r="G5505" t="s">
        <v>19917</v>
      </c>
      <c r="H5505" t="s">
        <v>11381</v>
      </c>
      <c r="I5505" t="s">
        <v>9116</v>
      </c>
      <c r="J5505" t="s">
        <v>8885</v>
      </c>
    </row>
    <row r="5506" spans="1:10" x14ac:dyDescent="0.25">
      <c r="A5506" t="s">
        <v>19944</v>
      </c>
      <c r="B5506">
        <v>7.2</v>
      </c>
      <c r="C5506" t="s">
        <v>19945</v>
      </c>
      <c r="D5506" t="s">
        <v>164</v>
      </c>
      <c r="E5506" t="s">
        <v>19916</v>
      </c>
      <c r="F5506" t="s">
        <v>7672</v>
      </c>
      <c r="G5506" t="s">
        <v>19917</v>
      </c>
      <c r="H5506" t="s">
        <v>11381</v>
      </c>
      <c r="I5506" t="s">
        <v>1490</v>
      </c>
      <c r="J5506" t="s">
        <v>8885</v>
      </c>
    </row>
    <row r="5507" spans="1:10" x14ac:dyDescent="0.25">
      <c r="A5507" t="s">
        <v>19946</v>
      </c>
      <c r="B5507">
        <v>7.2</v>
      </c>
      <c r="C5507" t="s">
        <v>19947</v>
      </c>
      <c r="D5507" t="s">
        <v>255</v>
      </c>
      <c r="E5507" t="s">
        <v>19916</v>
      </c>
      <c r="F5507" t="s">
        <v>7672</v>
      </c>
      <c r="G5507" t="s">
        <v>19917</v>
      </c>
      <c r="H5507" t="s">
        <v>11381</v>
      </c>
      <c r="I5507" t="s">
        <v>76</v>
      </c>
      <c r="J5507" t="s">
        <v>8885</v>
      </c>
    </row>
    <row r="5508" spans="1:10" x14ac:dyDescent="0.25">
      <c r="A5508" t="s">
        <v>19948</v>
      </c>
      <c r="B5508">
        <v>7.2</v>
      </c>
      <c r="C5508" t="s">
        <v>19949</v>
      </c>
      <c r="D5508" t="s">
        <v>849</v>
      </c>
      <c r="E5508" t="s">
        <v>19916</v>
      </c>
      <c r="F5508" t="s">
        <v>7672</v>
      </c>
      <c r="G5508" t="s">
        <v>19917</v>
      </c>
      <c r="H5508" t="s">
        <v>11381</v>
      </c>
      <c r="I5508" t="s">
        <v>76</v>
      </c>
      <c r="J5508" t="s">
        <v>10926</v>
      </c>
    </row>
    <row r="5509" spans="1:10" x14ac:dyDescent="0.25">
      <c r="A5509" t="s">
        <v>19950</v>
      </c>
      <c r="B5509">
        <v>7.2</v>
      </c>
      <c r="C5509" t="s">
        <v>19951</v>
      </c>
      <c r="D5509" t="s">
        <v>849</v>
      </c>
      <c r="E5509" t="s">
        <v>19916</v>
      </c>
      <c r="F5509" t="s">
        <v>7672</v>
      </c>
      <c r="G5509" t="s">
        <v>19917</v>
      </c>
      <c r="H5509" t="s">
        <v>11381</v>
      </c>
      <c r="I5509" t="s">
        <v>8357</v>
      </c>
      <c r="J5509" t="s">
        <v>10926</v>
      </c>
    </row>
    <row r="5510" spans="1:10" x14ac:dyDescent="0.25">
      <c r="A5510" t="s">
        <v>19952</v>
      </c>
      <c r="B5510">
        <v>7.2</v>
      </c>
      <c r="C5510" t="s">
        <v>19953</v>
      </c>
      <c r="D5510" t="s">
        <v>301</v>
      </c>
      <c r="E5510" t="s">
        <v>19916</v>
      </c>
      <c r="F5510" t="s">
        <v>7672</v>
      </c>
      <c r="G5510" t="s">
        <v>19917</v>
      </c>
      <c r="H5510" t="s">
        <v>11381</v>
      </c>
      <c r="I5510" t="s">
        <v>9116</v>
      </c>
      <c r="J5510" t="s">
        <v>10926</v>
      </c>
    </row>
    <row r="5511" spans="1:10" x14ac:dyDescent="0.25">
      <c r="A5511" t="s">
        <v>19954</v>
      </c>
      <c r="B5511">
        <v>7.2</v>
      </c>
      <c r="C5511" t="s">
        <v>19955</v>
      </c>
      <c r="D5511" t="s">
        <v>436</v>
      </c>
      <c r="E5511" t="s">
        <v>19916</v>
      </c>
      <c r="F5511" t="s">
        <v>7672</v>
      </c>
      <c r="G5511" t="s">
        <v>19917</v>
      </c>
      <c r="H5511" t="s">
        <v>11381</v>
      </c>
      <c r="I5511" t="s">
        <v>1490</v>
      </c>
      <c r="J5511" t="s">
        <v>10926</v>
      </c>
    </row>
    <row r="5512" spans="1:10" x14ac:dyDescent="0.25">
      <c r="A5512" t="s">
        <v>19956</v>
      </c>
      <c r="B5512">
        <v>7.2</v>
      </c>
      <c r="C5512" t="s">
        <v>19957</v>
      </c>
      <c r="D5512" t="s">
        <v>282</v>
      </c>
      <c r="E5512" t="s">
        <v>19916</v>
      </c>
      <c r="F5512" t="s">
        <v>7672</v>
      </c>
      <c r="G5512" t="s">
        <v>19917</v>
      </c>
      <c r="H5512" t="s">
        <v>11381</v>
      </c>
      <c r="I5512" t="s">
        <v>8357</v>
      </c>
      <c r="J5512" t="s">
        <v>10918</v>
      </c>
    </row>
    <row r="5513" spans="1:10" x14ac:dyDescent="0.25">
      <c r="A5513" t="s">
        <v>19958</v>
      </c>
      <c r="B5513">
        <v>7.2</v>
      </c>
      <c r="C5513" t="s">
        <v>19959</v>
      </c>
      <c r="D5513" t="s">
        <v>742</v>
      </c>
      <c r="E5513" t="s">
        <v>19916</v>
      </c>
      <c r="F5513" t="s">
        <v>7672</v>
      </c>
      <c r="G5513" t="s">
        <v>19917</v>
      </c>
      <c r="H5513" t="s">
        <v>11381</v>
      </c>
      <c r="I5513" t="s">
        <v>9116</v>
      </c>
      <c r="J5513" t="s">
        <v>10918</v>
      </c>
    </row>
    <row r="5514" spans="1:10" x14ac:dyDescent="0.25">
      <c r="A5514" t="s">
        <v>19960</v>
      </c>
      <c r="B5514">
        <v>7.2</v>
      </c>
      <c r="C5514" t="s">
        <v>19961</v>
      </c>
      <c r="D5514" t="s">
        <v>131</v>
      </c>
      <c r="E5514" t="s">
        <v>19916</v>
      </c>
      <c r="F5514" t="s">
        <v>7672</v>
      </c>
      <c r="G5514" t="s">
        <v>19917</v>
      </c>
      <c r="H5514" t="s">
        <v>11381</v>
      </c>
      <c r="I5514" t="s">
        <v>1490</v>
      </c>
      <c r="J5514" t="s">
        <v>10918</v>
      </c>
    </row>
    <row r="5515" spans="1:10" x14ac:dyDescent="0.25">
      <c r="A5515" t="s">
        <v>19962</v>
      </c>
      <c r="B5515">
        <v>7.2</v>
      </c>
      <c r="C5515" t="s">
        <v>19963</v>
      </c>
      <c r="D5515" t="s">
        <v>88</v>
      </c>
      <c r="E5515" t="s">
        <v>19916</v>
      </c>
      <c r="F5515" t="s">
        <v>7672</v>
      </c>
      <c r="G5515" t="s">
        <v>19917</v>
      </c>
      <c r="H5515" t="s">
        <v>11381</v>
      </c>
      <c r="I5515" t="s">
        <v>76</v>
      </c>
      <c r="J5515" t="s">
        <v>10918</v>
      </c>
    </row>
    <row r="5516" spans="1:10" x14ac:dyDescent="0.25">
      <c r="A5516" t="s">
        <v>19964</v>
      </c>
      <c r="B5516">
        <v>7.2</v>
      </c>
      <c r="C5516" t="s">
        <v>19965</v>
      </c>
      <c r="D5516" t="s">
        <v>106</v>
      </c>
      <c r="E5516" t="s">
        <v>19916</v>
      </c>
      <c r="F5516" t="s">
        <v>7672</v>
      </c>
      <c r="G5516" t="s">
        <v>19917</v>
      </c>
      <c r="H5516" t="s">
        <v>11381</v>
      </c>
      <c r="I5516" t="s">
        <v>8357</v>
      </c>
      <c r="J5516" t="s">
        <v>9061</v>
      </c>
    </row>
    <row r="5517" spans="1:10" x14ac:dyDescent="0.25">
      <c r="A5517" t="s">
        <v>19966</v>
      </c>
      <c r="B5517">
        <v>7.2</v>
      </c>
      <c r="C5517" t="s">
        <v>19967</v>
      </c>
      <c r="D5517" t="s">
        <v>88</v>
      </c>
      <c r="E5517" t="s">
        <v>19916</v>
      </c>
      <c r="F5517" t="s">
        <v>7672</v>
      </c>
      <c r="G5517" t="s">
        <v>19917</v>
      </c>
      <c r="H5517" t="s">
        <v>11381</v>
      </c>
      <c r="I5517" t="s">
        <v>9116</v>
      </c>
      <c r="J5517" t="s">
        <v>9061</v>
      </c>
    </row>
    <row r="5518" spans="1:10" x14ac:dyDescent="0.25">
      <c r="A5518" t="s">
        <v>5309</v>
      </c>
      <c r="B5518">
        <v>7.4319999999999986</v>
      </c>
      <c r="C5518" t="s">
        <v>5311</v>
      </c>
      <c r="D5518" t="s">
        <v>1143</v>
      </c>
      <c r="E5518" t="s">
        <v>5312</v>
      </c>
      <c r="F5518" t="s">
        <v>7672</v>
      </c>
      <c r="G5518" t="s">
        <v>19968</v>
      </c>
      <c r="H5518" t="s">
        <v>17415</v>
      </c>
      <c r="I5518" t="s">
        <v>1490</v>
      </c>
      <c r="J5518" t="s">
        <v>11498</v>
      </c>
    </row>
    <row r="5519" spans="1:10" x14ac:dyDescent="0.25">
      <c r="A5519" t="s">
        <v>5316</v>
      </c>
      <c r="B5519">
        <v>7.4319999999999986</v>
      </c>
      <c r="C5519" t="s">
        <v>5318</v>
      </c>
      <c r="D5519" t="s">
        <v>106</v>
      </c>
      <c r="E5519" t="s">
        <v>5312</v>
      </c>
      <c r="F5519" t="s">
        <v>7672</v>
      </c>
      <c r="G5519" t="s">
        <v>19968</v>
      </c>
      <c r="H5519" t="s">
        <v>17415</v>
      </c>
      <c r="I5519" t="s">
        <v>1490</v>
      </c>
      <c r="J5519" t="s">
        <v>11499</v>
      </c>
    </row>
    <row r="5520" spans="1:10" x14ac:dyDescent="0.25">
      <c r="A5520" t="s">
        <v>5320</v>
      </c>
      <c r="B5520">
        <v>7.4319999999999986</v>
      </c>
      <c r="C5520" t="s">
        <v>5322</v>
      </c>
      <c r="D5520" t="s">
        <v>95</v>
      </c>
      <c r="E5520" t="s">
        <v>5312</v>
      </c>
      <c r="F5520" t="s">
        <v>7672</v>
      </c>
      <c r="G5520" t="s">
        <v>19968</v>
      </c>
      <c r="H5520" t="s">
        <v>17415</v>
      </c>
      <c r="I5520" t="s">
        <v>1490</v>
      </c>
      <c r="J5520" t="s">
        <v>11500</v>
      </c>
    </row>
    <row r="5521" spans="1:10" x14ac:dyDescent="0.25">
      <c r="A5521" t="s">
        <v>5326</v>
      </c>
      <c r="B5521">
        <v>9.0960000000000001</v>
      </c>
      <c r="C5521" t="s">
        <v>5328</v>
      </c>
      <c r="D5521" t="s">
        <v>5331</v>
      </c>
      <c r="E5521" t="s">
        <v>5329</v>
      </c>
      <c r="F5521" t="s">
        <v>7672</v>
      </c>
      <c r="G5521" t="s">
        <v>19969</v>
      </c>
      <c r="H5521" t="s">
        <v>19970</v>
      </c>
      <c r="I5521" t="s">
        <v>497</v>
      </c>
      <c r="J5521" t="s">
        <v>9694</v>
      </c>
    </row>
    <row r="5522" spans="1:10" x14ac:dyDescent="0.25">
      <c r="A5522" t="s">
        <v>19971</v>
      </c>
      <c r="B5522">
        <v>16.792000000000002</v>
      </c>
      <c r="C5522" t="s">
        <v>19972</v>
      </c>
      <c r="D5522" t="s">
        <v>282</v>
      </c>
      <c r="E5522" t="s">
        <v>19973</v>
      </c>
      <c r="F5522" t="s">
        <v>7672</v>
      </c>
      <c r="G5522" t="s">
        <v>19974</v>
      </c>
      <c r="H5522" t="s">
        <v>9127</v>
      </c>
      <c r="I5522" t="s">
        <v>76</v>
      </c>
      <c r="J5522" t="s">
        <v>7942</v>
      </c>
    </row>
    <row r="5523" spans="1:10" x14ac:dyDescent="0.25">
      <c r="A5523" t="s">
        <v>19975</v>
      </c>
      <c r="B5523">
        <v>16.792000000000002</v>
      </c>
      <c r="C5523" t="s">
        <v>19976</v>
      </c>
      <c r="D5523" t="s">
        <v>3258</v>
      </c>
      <c r="E5523" t="s">
        <v>19973</v>
      </c>
      <c r="F5523" t="s">
        <v>7672</v>
      </c>
      <c r="G5523" t="s">
        <v>19974</v>
      </c>
      <c r="H5523" t="s">
        <v>9127</v>
      </c>
      <c r="I5523" t="s">
        <v>76</v>
      </c>
      <c r="J5523" t="s">
        <v>7981</v>
      </c>
    </row>
    <row r="5524" spans="1:10" x14ac:dyDescent="0.25">
      <c r="A5524" t="s">
        <v>19977</v>
      </c>
      <c r="B5524">
        <v>16.792000000000002</v>
      </c>
      <c r="C5524" t="s">
        <v>19978</v>
      </c>
      <c r="D5524" t="s">
        <v>3815</v>
      </c>
      <c r="E5524" t="s">
        <v>19973</v>
      </c>
      <c r="F5524" t="s">
        <v>7672</v>
      </c>
      <c r="G5524" t="s">
        <v>19974</v>
      </c>
      <c r="H5524" t="s">
        <v>9127</v>
      </c>
      <c r="I5524" t="s">
        <v>76</v>
      </c>
      <c r="J5524" t="s">
        <v>7984</v>
      </c>
    </row>
    <row r="5525" spans="1:10" x14ac:dyDescent="0.25">
      <c r="A5525" t="s">
        <v>19979</v>
      </c>
      <c r="B5525">
        <v>16.792000000000002</v>
      </c>
      <c r="C5525" t="s">
        <v>19980</v>
      </c>
      <c r="D5525" t="s">
        <v>3060</v>
      </c>
      <c r="E5525" t="s">
        <v>19973</v>
      </c>
      <c r="F5525" t="s">
        <v>7672</v>
      </c>
      <c r="G5525" t="s">
        <v>19974</v>
      </c>
      <c r="H5525" t="s">
        <v>9127</v>
      </c>
      <c r="I5525" t="s">
        <v>76</v>
      </c>
      <c r="J5525" t="s">
        <v>7987</v>
      </c>
    </row>
    <row r="5526" spans="1:10" x14ac:dyDescent="0.25">
      <c r="A5526" t="s">
        <v>19981</v>
      </c>
      <c r="B5526">
        <v>16.792000000000002</v>
      </c>
      <c r="C5526" t="s">
        <v>19982</v>
      </c>
      <c r="D5526" t="s">
        <v>10774</v>
      </c>
      <c r="E5526" t="s">
        <v>19973</v>
      </c>
      <c r="F5526" t="s">
        <v>7672</v>
      </c>
      <c r="G5526" t="s">
        <v>19974</v>
      </c>
      <c r="H5526" t="s">
        <v>9127</v>
      </c>
      <c r="I5526" t="s">
        <v>76</v>
      </c>
      <c r="J5526" t="s">
        <v>8001</v>
      </c>
    </row>
    <row r="5527" spans="1:10" x14ac:dyDescent="0.25">
      <c r="A5527" t="s">
        <v>19983</v>
      </c>
      <c r="B5527">
        <v>16.792000000000002</v>
      </c>
      <c r="C5527" t="s">
        <v>19984</v>
      </c>
      <c r="D5527" t="s">
        <v>725</v>
      </c>
      <c r="E5527" t="s">
        <v>19973</v>
      </c>
      <c r="F5527" t="s">
        <v>7672</v>
      </c>
      <c r="G5527" t="s">
        <v>19974</v>
      </c>
      <c r="H5527" t="s">
        <v>9127</v>
      </c>
      <c r="I5527" t="s">
        <v>76</v>
      </c>
      <c r="J5527" t="s">
        <v>8013</v>
      </c>
    </row>
    <row r="5528" spans="1:10" x14ac:dyDescent="0.25">
      <c r="A5528" t="s">
        <v>19985</v>
      </c>
      <c r="B5528">
        <v>9.6000000000000014</v>
      </c>
      <c r="C5528" t="s">
        <v>19986</v>
      </c>
      <c r="D5528" t="s">
        <v>613</v>
      </c>
      <c r="E5528" t="s">
        <v>19987</v>
      </c>
      <c r="F5528" t="s">
        <v>7672</v>
      </c>
      <c r="G5528" t="s">
        <v>19988</v>
      </c>
      <c r="H5528" t="s">
        <v>10298</v>
      </c>
      <c r="I5528" t="s">
        <v>9733</v>
      </c>
      <c r="J5528" t="s">
        <v>10150</v>
      </c>
    </row>
    <row r="5529" spans="1:10" x14ac:dyDescent="0.25">
      <c r="A5529" t="s">
        <v>19989</v>
      </c>
      <c r="B5529">
        <v>48</v>
      </c>
      <c r="C5529" t="s">
        <v>19990</v>
      </c>
      <c r="D5529" t="s">
        <v>330</v>
      </c>
      <c r="E5529" t="s">
        <v>19991</v>
      </c>
      <c r="F5529" t="s">
        <v>7672</v>
      </c>
      <c r="G5529" t="s">
        <v>19992</v>
      </c>
      <c r="H5529" t="s">
        <v>19910</v>
      </c>
      <c r="I5529" t="s">
        <v>18323</v>
      </c>
      <c r="J5529" t="s">
        <v>9694</v>
      </c>
    </row>
    <row r="5530" spans="1:10" x14ac:dyDescent="0.25">
      <c r="A5530" t="s">
        <v>5333</v>
      </c>
      <c r="B5530">
        <v>24</v>
      </c>
      <c r="C5530" t="s">
        <v>5335</v>
      </c>
      <c r="D5530" t="s">
        <v>113</v>
      </c>
      <c r="E5530" t="s">
        <v>5336</v>
      </c>
      <c r="F5530" t="s">
        <v>7672</v>
      </c>
      <c r="G5530" t="s">
        <v>19993</v>
      </c>
      <c r="H5530" t="s">
        <v>9232</v>
      </c>
      <c r="I5530" t="s">
        <v>19994</v>
      </c>
      <c r="J5530" t="s">
        <v>7981</v>
      </c>
    </row>
    <row r="5531" spans="1:10" x14ac:dyDescent="0.25">
      <c r="A5531" t="s">
        <v>5340</v>
      </c>
      <c r="B5531">
        <v>24</v>
      </c>
      <c r="C5531" t="s">
        <v>5342</v>
      </c>
      <c r="D5531" t="s">
        <v>4270</v>
      </c>
      <c r="E5531" t="s">
        <v>5336</v>
      </c>
      <c r="F5531" t="s">
        <v>7672</v>
      </c>
      <c r="G5531" t="s">
        <v>19993</v>
      </c>
      <c r="H5531" t="s">
        <v>9232</v>
      </c>
      <c r="I5531" t="s">
        <v>19994</v>
      </c>
      <c r="J5531" t="s">
        <v>7984</v>
      </c>
    </row>
    <row r="5532" spans="1:10" x14ac:dyDescent="0.25">
      <c r="A5532" t="s">
        <v>5344</v>
      </c>
      <c r="B5532">
        <v>24</v>
      </c>
      <c r="C5532" t="s">
        <v>5346</v>
      </c>
      <c r="D5532" t="s">
        <v>835</v>
      </c>
      <c r="E5532" t="s">
        <v>5336</v>
      </c>
      <c r="F5532" t="s">
        <v>7672</v>
      </c>
      <c r="G5532" t="s">
        <v>19993</v>
      </c>
      <c r="H5532" t="s">
        <v>9232</v>
      </c>
      <c r="I5532" t="s">
        <v>19994</v>
      </c>
      <c r="J5532" t="s">
        <v>7987</v>
      </c>
    </row>
    <row r="5533" spans="1:10" x14ac:dyDescent="0.25">
      <c r="A5533" t="s">
        <v>5348</v>
      </c>
      <c r="B5533">
        <v>24</v>
      </c>
      <c r="C5533" t="s">
        <v>5350</v>
      </c>
      <c r="D5533" t="s">
        <v>964</v>
      </c>
      <c r="E5533" t="s">
        <v>5336</v>
      </c>
      <c r="F5533" t="s">
        <v>7672</v>
      </c>
      <c r="G5533" t="s">
        <v>19993</v>
      </c>
      <c r="H5533" t="s">
        <v>9232</v>
      </c>
      <c r="I5533" t="s">
        <v>19994</v>
      </c>
      <c r="J5533" t="s">
        <v>8001</v>
      </c>
    </row>
    <row r="5534" spans="1:10" x14ac:dyDescent="0.25">
      <c r="A5534" t="s">
        <v>19995</v>
      </c>
      <c r="B5534">
        <v>9.36</v>
      </c>
      <c r="C5534" t="s">
        <v>19996</v>
      </c>
      <c r="D5534" t="s">
        <v>250</v>
      </c>
      <c r="E5534" t="s">
        <v>19997</v>
      </c>
      <c r="F5534" t="s">
        <v>7672</v>
      </c>
      <c r="G5534" t="s">
        <v>19998</v>
      </c>
      <c r="H5534" t="s">
        <v>12519</v>
      </c>
      <c r="I5534" t="s">
        <v>1243</v>
      </c>
      <c r="J5534" t="s">
        <v>7981</v>
      </c>
    </row>
    <row r="5535" spans="1:10" x14ac:dyDescent="0.25">
      <c r="A5535" t="s">
        <v>19999</v>
      </c>
      <c r="B5535">
        <v>9.36</v>
      </c>
      <c r="C5535" t="s">
        <v>20000</v>
      </c>
      <c r="D5535" t="s">
        <v>100</v>
      </c>
      <c r="E5535" t="s">
        <v>19997</v>
      </c>
      <c r="F5535" t="s">
        <v>7672</v>
      </c>
      <c r="G5535" t="s">
        <v>19998</v>
      </c>
      <c r="H5535" t="s">
        <v>12519</v>
      </c>
      <c r="I5535" t="s">
        <v>76</v>
      </c>
      <c r="J5535" t="s">
        <v>7981</v>
      </c>
    </row>
    <row r="5536" spans="1:10" x14ac:dyDescent="0.25">
      <c r="A5536" t="s">
        <v>20001</v>
      </c>
      <c r="B5536">
        <v>9.36</v>
      </c>
      <c r="C5536" t="s">
        <v>20002</v>
      </c>
      <c r="D5536" t="s">
        <v>3153</v>
      </c>
      <c r="E5536" t="s">
        <v>19997</v>
      </c>
      <c r="F5536" t="s">
        <v>7672</v>
      </c>
      <c r="G5536" t="s">
        <v>19998</v>
      </c>
      <c r="H5536" t="s">
        <v>12519</v>
      </c>
      <c r="I5536" t="s">
        <v>1243</v>
      </c>
      <c r="J5536" t="s">
        <v>7984</v>
      </c>
    </row>
    <row r="5537" spans="1:10" x14ac:dyDescent="0.25">
      <c r="A5537" t="s">
        <v>20003</v>
      </c>
      <c r="B5537">
        <v>9.36</v>
      </c>
      <c r="C5537" t="s">
        <v>20004</v>
      </c>
      <c r="D5537" t="s">
        <v>1386</v>
      </c>
      <c r="E5537" t="s">
        <v>19997</v>
      </c>
      <c r="F5537" t="s">
        <v>7672</v>
      </c>
      <c r="G5537" t="s">
        <v>19998</v>
      </c>
      <c r="H5537" t="s">
        <v>12519</v>
      </c>
      <c r="I5537" t="s">
        <v>1243</v>
      </c>
      <c r="J5537" t="s">
        <v>7987</v>
      </c>
    </row>
    <row r="5538" spans="1:10" x14ac:dyDescent="0.25">
      <c r="A5538" t="s">
        <v>20005</v>
      </c>
      <c r="B5538">
        <v>9.36</v>
      </c>
      <c r="C5538" t="s">
        <v>20006</v>
      </c>
      <c r="D5538" t="s">
        <v>53</v>
      </c>
      <c r="E5538" t="s">
        <v>19997</v>
      </c>
      <c r="F5538" t="s">
        <v>7672</v>
      </c>
      <c r="G5538" t="s">
        <v>19998</v>
      </c>
      <c r="H5538" t="s">
        <v>12519</v>
      </c>
      <c r="I5538" t="s">
        <v>76</v>
      </c>
      <c r="J5538" t="s">
        <v>7987</v>
      </c>
    </row>
    <row r="5539" spans="1:10" x14ac:dyDescent="0.25">
      <c r="A5539" t="s">
        <v>20007</v>
      </c>
      <c r="B5539">
        <v>6</v>
      </c>
      <c r="C5539" t="s">
        <v>20008</v>
      </c>
      <c r="D5539" t="s">
        <v>9294</v>
      </c>
      <c r="E5539" t="s">
        <v>20009</v>
      </c>
      <c r="F5539" t="s">
        <v>7672</v>
      </c>
      <c r="G5539" t="s">
        <v>20010</v>
      </c>
      <c r="H5539" t="s">
        <v>11496</v>
      </c>
      <c r="I5539" t="s">
        <v>20011</v>
      </c>
      <c r="J5539" t="s">
        <v>9423</v>
      </c>
    </row>
    <row r="5540" spans="1:10" x14ac:dyDescent="0.25">
      <c r="A5540" t="s">
        <v>20012</v>
      </c>
      <c r="B5540">
        <v>6</v>
      </c>
      <c r="C5540" t="s">
        <v>20013</v>
      </c>
      <c r="D5540" t="s">
        <v>2587</v>
      </c>
      <c r="E5540" t="s">
        <v>20009</v>
      </c>
      <c r="F5540" t="s">
        <v>7672</v>
      </c>
      <c r="G5540" t="s">
        <v>20010</v>
      </c>
      <c r="H5540" t="s">
        <v>11496</v>
      </c>
      <c r="I5540" t="s">
        <v>20011</v>
      </c>
      <c r="J5540" t="s">
        <v>9426</v>
      </c>
    </row>
    <row r="5541" spans="1:10" x14ac:dyDescent="0.25">
      <c r="A5541" t="s">
        <v>20014</v>
      </c>
      <c r="B5541">
        <v>5.7600000000000007</v>
      </c>
      <c r="C5541" t="s">
        <v>20015</v>
      </c>
      <c r="D5541" t="s">
        <v>588</v>
      </c>
      <c r="E5541" t="s">
        <v>20016</v>
      </c>
      <c r="F5541" t="s">
        <v>7672</v>
      </c>
      <c r="G5541" t="s">
        <v>20017</v>
      </c>
      <c r="H5541" t="s">
        <v>20018</v>
      </c>
      <c r="I5541" t="s">
        <v>11508</v>
      </c>
      <c r="J5541" t="s">
        <v>7984</v>
      </c>
    </row>
    <row r="5542" spans="1:10" x14ac:dyDescent="0.25">
      <c r="A5542" t="s">
        <v>20019</v>
      </c>
      <c r="B5542">
        <v>5.7600000000000007</v>
      </c>
      <c r="C5542" t="s">
        <v>20020</v>
      </c>
      <c r="D5542" t="s">
        <v>88</v>
      </c>
      <c r="E5542" t="s">
        <v>20016</v>
      </c>
      <c r="F5542" t="s">
        <v>7672</v>
      </c>
      <c r="G5542" t="s">
        <v>20017</v>
      </c>
      <c r="H5542" t="s">
        <v>20018</v>
      </c>
      <c r="I5542" t="s">
        <v>4821</v>
      </c>
      <c r="J5542" t="s">
        <v>7984</v>
      </c>
    </row>
    <row r="5543" spans="1:10" x14ac:dyDescent="0.25">
      <c r="A5543" t="s">
        <v>20021</v>
      </c>
      <c r="B5543">
        <v>5.7600000000000007</v>
      </c>
      <c r="C5543" t="s">
        <v>20022</v>
      </c>
      <c r="D5543" t="s">
        <v>359</v>
      </c>
      <c r="E5543" t="s">
        <v>20016</v>
      </c>
      <c r="F5543" t="s">
        <v>7672</v>
      </c>
      <c r="G5543" t="s">
        <v>20017</v>
      </c>
      <c r="H5543" t="s">
        <v>20018</v>
      </c>
      <c r="I5543" t="s">
        <v>410</v>
      </c>
      <c r="J5543" t="s">
        <v>7984</v>
      </c>
    </row>
    <row r="5544" spans="1:10" x14ac:dyDescent="0.25">
      <c r="A5544" t="s">
        <v>20023</v>
      </c>
      <c r="B5544">
        <v>5.7600000000000007</v>
      </c>
      <c r="C5544" t="s">
        <v>20024</v>
      </c>
      <c r="D5544" t="s">
        <v>282</v>
      </c>
      <c r="E5544" t="s">
        <v>20016</v>
      </c>
      <c r="F5544" t="s">
        <v>7672</v>
      </c>
      <c r="G5544" t="s">
        <v>20017</v>
      </c>
      <c r="H5544" t="s">
        <v>20018</v>
      </c>
      <c r="I5544" t="s">
        <v>76</v>
      </c>
      <c r="J5544" t="s">
        <v>7984</v>
      </c>
    </row>
    <row r="5545" spans="1:10" x14ac:dyDescent="0.25">
      <c r="A5545" t="s">
        <v>20025</v>
      </c>
      <c r="B5545">
        <v>5.7600000000000007</v>
      </c>
      <c r="C5545" t="s">
        <v>20026</v>
      </c>
      <c r="D5545" t="s">
        <v>2022</v>
      </c>
      <c r="E5545" t="s">
        <v>20016</v>
      </c>
      <c r="F5545" t="s">
        <v>7672</v>
      </c>
      <c r="G5545" t="s">
        <v>20017</v>
      </c>
      <c r="H5545" t="s">
        <v>20018</v>
      </c>
      <c r="I5545" t="s">
        <v>4821</v>
      </c>
      <c r="J5545" t="s">
        <v>7987</v>
      </c>
    </row>
    <row r="5546" spans="1:10" x14ac:dyDescent="0.25">
      <c r="A5546" t="s">
        <v>20027</v>
      </c>
      <c r="B5546">
        <v>5.7600000000000007</v>
      </c>
      <c r="C5546" t="s">
        <v>20028</v>
      </c>
      <c r="D5546" t="s">
        <v>964</v>
      </c>
      <c r="E5546" t="s">
        <v>20016</v>
      </c>
      <c r="F5546" t="s">
        <v>7672</v>
      </c>
      <c r="G5546" t="s">
        <v>20017</v>
      </c>
      <c r="H5546" t="s">
        <v>20018</v>
      </c>
      <c r="I5546" t="s">
        <v>410</v>
      </c>
      <c r="J5546" t="s">
        <v>7987</v>
      </c>
    </row>
    <row r="5547" spans="1:10" x14ac:dyDescent="0.25">
      <c r="A5547" t="s">
        <v>20029</v>
      </c>
      <c r="B5547">
        <v>5.7600000000000007</v>
      </c>
      <c r="C5547" t="s">
        <v>20030</v>
      </c>
      <c r="D5547" t="s">
        <v>229</v>
      </c>
      <c r="E5547" t="s">
        <v>20016</v>
      </c>
      <c r="F5547" t="s">
        <v>7672</v>
      </c>
      <c r="G5547" t="s">
        <v>20017</v>
      </c>
      <c r="H5547" t="s">
        <v>20018</v>
      </c>
      <c r="I5547" t="s">
        <v>76</v>
      </c>
      <c r="J5547" t="s">
        <v>7987</v>
      </c>
    </row>
    <row r="5548" spans="1:10" x14ac:dyDescent="0.25">
      <c r="A5548" t="s">
        <v>20031</v>
      </c>
      <c r="B5548">
        <v>5.7600000000000007</v>
      </c>
      <c r="C5548" t="s">
        <v>20032</v>
      </c>
      <c r="D5548" t="s">
        <v>964</v>
      </c>
      <c r="E5548" t="s">
        <v>20016</v>
      </c>
      <c r="F5548" t="s">
        <v>7672</v>
      </c>
      <c r="G5548" t="s">
        <v>20017</v>
      </c>
      <c r="H5548" t="s">
        <v>20018</v>
      </c>
      <c r="I5548" t="s">
        <v>1243</v>
      </c>
      <c r="J5548" t="s">
        <v>7987</v>
      </c>
    </row>
    <row r="5549" spans="1:10" x14ac:dyDescent="0.25">
      <c r="A5549" t="s">
        <v>20033</v>
      </c>
      <c r="B5549">
        <v>5.7600000000000007</v>
      </c>
      <c r="C5549" t="s">
        <v>20034</v>
      </c>
      <c r="D5549" t="s">
        <v>2022</v>
      </c>
      <c r="E5549" t="s">
        <v>20016</v>
      </c>
      <c r="F5549" t="s">
        <v>7672</v>
      </c>
      <c r="G5549" t="s">
        <v>20017</v>
      </c>
      <c r="H5549" t="s">
        <v>20018</v>
      </c>
      <c r="I5549" t="s">
        <v>11508</v>
      </c>
      <c r="J5549" t="s">
        <v>7987</v>
      </c>
    </row>
    <row r="5550" spans="1:10" x14ac:dyDescent="0.25">
      <c r="A5550" t="s">
        <v>20035</v>
      </c>
      <c r="B5550">
        <v>5.7600000000000007</v>
      </c>
      <c r="C5550" t="s">
        <v>20036</v>
      </c>
      <c r="D5550" t="s">
        <v>60</v>
      </c>
      <c r="E5550" t="s">
        <v>20016</v>
      </c>
      <c r="F5550" t="s">
        <v>7672</v>
      </c>
      <c r="G5550" t="s">
        <v>20017</v>
      </c>
      <c r="H5550" t="s">
        <v>20018</v>
      </c>
      <c r="I5550" t="s">
        <v>410</v>
      </c>
      <c r="J5550" t="s">
        <v>8001</v>
      </c>
    </row>
    <row r="5551" spans="1:10" x14ac:dyDescent="0.25">
      <c r="A5551" t="s">
        <v>20037</v>
      </c>
      <c r="B5551">
        <v>5.7600000000000007</v>
      </c>
      <c r="C5551" t="s">
        <v>20038</v>
      </c>
      <c r="D5551" t="s">
        <v>342</v>
      </c>
      <c r="E5551" t="s">
        <v>20016</v>
      </c>
      <c r="F5551" t="s">
        <v>7672</v>
      </c>
      <c r="G5551" t="s">
        <v>20017</v>
      </c>
      <c r="H5551" t="s">
        <v>20018</v>
      </c>
      <c r="I5551" t="s">
        <v>76</v>
      </c>
      <c r="J5551" t="s">
        <v>8001</v>
      </c>
    </row>
    <row r="5552" spans="1:10" x14ac:dyDescent="0.25">
      <c r="A5552" t="s">
        <v>20039</v>
      </c>
      <c r="B5552">
        <v>5.7600000000000007</v>
      </c>
      <c r="C5552" t="s">
        <v>20040</v>
      </c>
      <c r="D5552" t="s">
        <v>352</v>
      </c>
      <c r="E5552" t="s">
        <v>20016</v>
      </c>
      <c r="F5552" t="s">
        <v>7672</v>
      </c>
      <c r="G5552" t="s">
        <v>20017</v>
      </c>
      <c r="H5552" t="s">
        <v>20018</v>
      </c>
      <c r="I5552" t="s">
        <v>4821</v>
      </c>
      <c r="J5552" t="s">
        <v>8001</v>
      </c>
    </row>
    <row r="5553" spans="1:10" x14ac:dyDescent="0.25">
      <c r="A5553" t="s">
        <v>20041</v>
      </c>
      <c r="B5553">
        <v>5.7600000000000007</v>
      </c>
      <c r="C5553" t="s">
        <v>20042</v>
      </c>
      <c r="D5553" t="s">
        <v>301</v>
      </c>
      <c r="E5553" t="s">
        <v>20016</v>
      </c>
      <c r="F5553" t="s">
        <v>7672</v>
      </c>
      <c r="G5553" t="s">
        <v>20017</v>
      </c>
      <c r="H5553" t="s">
        <v>20018</v>
      </c>
      <c r="I5553" t="s">
        <v>11508</v>
      </c>
      <c r="J5553" t="s">
        <v>8001</v>
      </c>
    </row>
    <row r="5554" spans="1:10" x14ac:dyDescent="0.25">
      <c r="A5554" t="s">
        <v>20043</v>
      </c>
      <c r="B5554">
        <v>16.015999999999998</v>
      </c>
      <c r="C5554" t="s">
        <v>20044</v>
      </c>
      <c r="D5554" t="s">
        <v>290</v>
      </c>
      <c r="E5554" t="s">
        <v>20045</v>
      </c>
      <c r="F5554" t="s">
        <v>7672</v>
      </c>
      <c r="G5554" t="s">
        <v>20046</v>
      </c>
      <c r="H5554" t="s">
        <v>16164</v>
      </c>
      <c r="I5554" t="s">
        <v>16483</v>
      </c>
      <c r="J5554" t="s">
        <v>100</v>
      </c>
    </row>
    <row r="5555" spans="1:10" x14ac:dyDescent="0.25">
      <c r="A5555" t="s">
        <v>20047</v>
      </c>
      <c r="B5555">
        <v>16.015999999999998</v>
      </c>
      <c r="C5555" t="s">
        <v>20048</v>
      </c>
      <c r="D5555" t="s">
        <v>131</v>
      </c>
      <c r="E5555" t="s">
        <v>20045</v>
      </c>
      <c r="F5555" t="s">
        <v>7672</v>
      </c>
      <c r="G5555" t="s">
        <v>20046</v>
      </c>
      <c r="H5555" t="s">
        <v>16164</v>
      </c>
      <c r="I5555" t="s">
        <v>4659</v>
      </c>
      <c r="J5555" t="s">
        <v>100</v>
      </c>
    </row>
    <row r="5556" spans="1:10" x14ac:dyDescent="0.25">
      <c r="A5556" t="s">
        <v>20049</v>
      </c>
      <c r="B5556">
        <v>16.015999999999998</v>
      </c>
      <c r="C5556" t="s">
        <v>20050</v>
      </c>
      <c r="D5556" t="s">
        <v>436</v>
      </c>
      <c r="E5556" t="s">
        <v>20045</v>
      </c>
      <c r="F5556" t="s">
        <v>7672</v>
      </c>
      <c r="G5556" t="s">
        <v>20046</v>
      </c>
      <c r="H5556" t="s">
        <v>16164</v>
      </c>
      <c r="I5556" t="s">
        <v>4659</v>
      </c>
      <c r="J5556" t="s">
        <v>20051</v>
      </c>
    </row>
    <row r="5557" spans="1:10" x14ac:dyDescent="0.25">
      <c r="A5557" t="s">
        <v>20052</v>
      </c>
      <c r="B5557">
        <v>16.015999999999998</v>
      </c>
      <c r="C5557" t="s">
        <v>20053</v>
      </c>
      <c r="D5557" t="s">
        <v>959</v>
      </c>
      <c r="E5557" t="s">
        <v>20045</v>
      </c>
      <c r="F5557" t="s">
        <v>7672</v>
      </c>
      <c r="G5557" t="s">
        <v>20046</v>
      </c>
      <c r="H5557" t="s">
        <v>16164</v>
      </c>
      <c r="I5557" t="s">
        <v>16483</v>
      </c>
      <c r="J5557" t="s">
        <v>20051</v>
      </c>
    </row>
    <row r="5558" spans="1:10" x14ac:dyDescent="0.25">
      <c r="A5558" t="s">
        <v>20054</v>
      </c>
      <c r="B5558">
        <v>16.015999999999998</v>
      </c>
      <c r="C5558" t="s">
        <v>20055</v>
      </c>
      <c r="D5558" t="s">
        <v>60</v>
      </c>
      <c r="E5558" t="s">
        <v>20045</v>
      </c>
      <c r="F5558" t="s">
        <v>7672</v>
      </c>
      <c r="G5558" t="s">
        <v>20046</v>
      </c>
      <c r="H5558" t="s">
        <v>16164</v>
      </c>
      <c r="I5558" t="s">
        <v>4659</v>
      </c>
      <c r="J5558" t="s">
        <v>8804</v>
      </c>
    </row>
    <row r="5559" spans="1:10" x14ac:dyDescent="0.25">
      <c r="A5559" t="s">
        <v>20056</v>
      </c>
      <c r="B5559">
        <v>16.015999999999998</v>
      </c>
      <c r="C5559" t="s">
        <v>20057</v>
      </c>
      <c r="D5559" t="s">
        <v>301</v>
      </c>
      <c r="E5559" t="s">
        <v>20045</v>
      </c>
      <c r="F5559" t="s">
        <v>7672</v>
      </c>
      <c r="G5559" t="s">
        <v>20046</v>
      </c>
      <c r="H5559" t="s">
        <v>16164</v>
      </c>
      <c r="I5559" t="s">
        <v>4659</v>
      </c>
      <c r="J5559" t="s">
        <v>164</v>
      </c>
    </row>
    <row r="5560" spans="1:10" x14ac:dyDescent="0.25">
      <c r="A5560" t="s">
        <v>20058</v>
      </c>
      <c r="B5560">
        <v>16.015999999999998</v>
      </c>
      <c r="C5560" t="s">
        <v>20059</v>
      </c>
      <c r="D5560" t="s">
        <v>255</v>
      </c>
      <c r="E5560" t="s">
        <v>20045</v>
      </c>
      <c r="F5560" t="s">
        <v>7672</v>
      </c>
      <c r="G5560" t="s">
        <v>20046</v>
      </c>
      <c r="H5560" t="s">
        <v>16164</v>
      </c>
      <c r="I5560" t="s">
        <v>16483</v>
      </c>
      <c r="J5560" t="s">
        <v>164</v>
      </c>
    </row>
    <row r="5561" spans="1:10" x14ac:dyDescent="0.25">
      <c r="A5561" t="s">
        <v>20060</v>
      </c>
      <c r="B5561">
        <v>10</v>
      </c>
      <c r="C5561" t="s">
        <v>20061</v>
      </c>
      <c r="D5561" t="s">
        <v>240</v>
      </c>
      <c r="E5561" t="s">
        <v>20062</v>
      </c>
      <c r="F5561" t="s">
        <v>7672</v>
      </c>
      <c r="G5561" t="s">
        <v>20063</v>
      </c>
      <c r="H5561" t="s">
        <v>8779</v>
      </c>
      <c r="I5561" t="s">
        <v>17434</v>
      </c>
      <c r="J5561" t="s">
        <v>7981</v>
      </c>
    </row>
    <row r="5562" spans="1:10" x14ac:dyDescent="0.25">
      <c r="A5562" t="s">
        <v>20064</v>
      </c>
      <c r="B5562">
        <v>10</v>
      </c>
      <c r="C5562" t="s">
        <v>20065</v>
      </c>
      <c r="D5562" t="s">
        <v>1236</v>
      </c>
      <c r="E5562" t="s">
        <v>20062</v>
      </c>
      <c r="F5562" t="s">
        <v>7672</v>
      </c>
      <c r="G5562" t="s">
        <v>20063</v>
      </c>
      <c r="H5562" t="s">
        <v>8779</v>
      </c>
      <c r="I5562" t="s">
        <v>20066</v>
      </c>
      <c r="J5562" t="s">
        <v>7981</v>
      </c>
    </row>
    <row r="5563" spans="1:10" x14ac:dyDescent="0.25">
      <c r="A5563" t="s">
        <v>20067</v>
      </c>
      <c r="B5563">
        <v>10</v>
      </c>
      <c r="C5563" t="s">
        <v>20068</v>
      </c>
      <c r="D5563" t="s">
        <v>1621</v>
      </c>
      <c r="E5563" t="s">
        <v>20062</v>
      </c>
      <c r="F5563" t="s">
        <v>7672</v>
      </c>
      <c r="G5563" t="s">
        <v>20063</v>
      </c>
      <c r="H5563" t="s">
        <v>8779</v>
      </c>
      <c r="I5563" t="s">
        <v>76</v>
      </c>
      <c r="J5563" t="s">
        <v>7981</v>
      </c>
    </row>
    <row r="5564" spans="1:10" x14ac:dyDescent="0.25">
      <c r="A5564" t="s">
        <v>20069</v>
      </c>
      <c r="B5564">
        <v>10</v>
      </c>
      <c r="C5564" t="s">
        <v>20070</v>
      </c>
      <c r="D5564" t="s">
        <v>3815</v>
      </c>
      <c r="E5564" t="s">
        <v>20062</v>
      </c>
      <c r="F5564" t="s">
        <v>7672</v>
      </c>
      <c r="G5564" t="s">
        <v>20063</v>
      </c>
      <c r="H5564" t="s">
        <v>8779</v>
      </c>
      <c r="I5564" t="s">
        <v>20066</v>
      </c>
      <c r="J5564" t="s">
        <v>7984</v>
      </c>
    </row>
    <row r="5565" spans="1:10" x14ac:dyDescent="0.25">
      <c r="A5565" t="s">
        <v>20071</v>
      </c>
      <c r="B5565">
        <v>10</v>
      </c>
      <c r="C5565" t="s">
        <v>20072</v>
      </c>
      <c r="D5565" t="s">
        <v>3944</v>
      </c>
      <c r="E5565" t="s">
        <v>20062</v>
      </c>
      <c r="F5565" t="s">
        <v>7672</v>
      </c>
      <c r="G5565" t="s">
        <v>20063</v>
      </c>
      <c r="H5565" t="s">
        <v>8779</v>
      </c>
      <c r="I5565" t="s">
        <v>17434</v>
      </c>
      <c r="J5565" t="s">
        <v>7984</v>
      </c>
    </row>
    <row r="5566" spans="1:10" x14ac:dyDescent="0.25">
      <c r="A5566" t="s">
        <v>20073</v>
      </c>
      <c r="B5566">
        <v>10</v>
      </c>
      <c r="C5566" t="s">
        <v>20074</v>
      </c>
      <c r="D5566" t="s">
        <v>1710</v>
      </c>
      <c r="E5566" t="s">
        <v>20062</v>
      </c>
      <c r="F5566" t="s">
        <v>7672</v>
      </c>
      <c r="G5566" t="s">
        <v>20063</v>
      </c>
      <c r="H5566" t="s">
        <v>8779</v>
      </c>
      <c r="I5566" t="s">
        <v>76</v>
      </c>
      <c r="J5566" t="s">
        <v>7984</v>
      </c>
    </row>
    <row r="5567" spans="1:10" x14ac:dyDescent="0.25">
      <c r="A5567" t="s">
        <v>20075</v>
      </c>
      <c r="B5567">
        <v>10</v>
      </c>
      <c r="C5567" t="s">
        <v>20076</v>
      </c>
      <c r="D5567" t="s">
        <v>5592</v>
      </c>
      <c r="E5567" t="s">
        <v>20062</v>
      </c>
      <c r="F5567" t="s">
        <v>7672</v>
      </c>
      <c r="G5567" t="s">
        <v>20063</v>
      </c>
      <c r="H5567" t="s">
        <v>8779</v>
      </c>
      <c r="I5567" t="s">
        <v>20066</v>
      </c>
      <c r="J5567" t="s">
        <v>7987</v>
      </c>
    </row>
    <row r="5568" spans="1:10" x14ac:dyDescent="0.25">
      <c r="A5568" t="s">
        <v>20077</v>
      </c>
      <c r="B5568">
        <v>10</v>
      </c>
      <c r="C5568" t="s">
        <v>20078</v>
      </c>
      <c r="D5568" t="s">
        <v>2262</v>
      </c>
      <c r="E5568" t="s">
        <v>20062</v>
      </c>
      <c r="F5568" t="s">
        <v>7672</v>
      </c>
      <c r="G5568" t="s">
        <v>20063</v>
      </c>
      <c r="H5568" t="s">
        <v>8779</v>
      </c>
      <c r="I5568" t="s">
        <v>17434</v>
      </c>
      <c r="J5568" t="s">
        <v>7987</v>
      </c>
    </row>
    <row r="5569" spans="1:10" x14ac:dyDescent="0.25">
      <c r="A5569" t="s">
        <v>20079</v>
      </c>
      <c r="B5569">
        <v>10</v>
      </c>
      <c r="C5569" t="s">
        <v>20080</v>
      </c>
      <c r="D5569" t="s">
        <v>1847</v>
      </c>
      <c r="E5569" t="s">
        <v>20062</v>
      </c>
      <c r="F5569" t="s">
        <v>7672</v>
      </c>
      <c r="G5569" t="s">
        <v>20063</v>
      </c>
      <c r="H5569" t="s">
        <v>8779</v>
      </c>
      <c r="I5569" t="s">
        <v>76</v>
      </c>
      <c r="J5569" t="s">
        <v>7987</v>
      </c>
    </row>
    <row r="5570" spans="1:10" x14ac:dyDescent="0.25">
      <c r="A5570" t="s">
        <v>20081</v>
      </c>
      <c r="B5570">
        <v>10</v>
      </c>
      <c r="C5570" t="s">
        <v>20082</v>
      </c>
      <c r="D5570" t="s">
        <v>229</v>
      </c>
      <c r="E5570" t="s">
        <v>20062</v>
      </c>
      <c r="F5570" t="s">
        <v>7672</v>
      </c>
      <c r="G5570" t="s">
        <v>20063</v>
      </c>
      <c r="H5570" t="s">
        <v>8779</v>
      </c>
      <c r="I5570" t="s">
        <v>20066</v>
      </c>
      <c r="J5570" t="s">
        <v>8001</v>
      </c>
    </row>
    <row r="5571" spans="1:10" x14ac:dyDescent="0.25">
      <c r="A5571" t="s">
        <v>20083</v>
      </c>
      <c r="B5571">
        <v>10</v>
      </c>
      <c r="C5571" t="s">
        <v>20084</v>
      </c>
      <c r="D5571" t="s">
        <v>1852</v>
      </c>
      <c r="E5571" t="s">
        <v>20062</v>
      </c>
      <c r="F5571" t="s">
        <v>7672</v>
      </c>
      <c r="G5571" t="s">
        <v>20063</v>
      </c>
      <c r="H5571" t="s">
        <v>8779</v>
      </c>
      <c r="I5571" t="s">
        <v>17434</v>
      </c>
      <c r="J5571" t="s">
        <v>8001</v>
      </c>
    </row>
    <row r="5572" spans="1:10" x14ac:dyDescent="0.25">
      <c r="A5572" t="s">
        <v>20085</v>
      </c>
      <c r="B5572">
        <v>10</v>
      </c>
      <c r="C5572" t="s">
        <v>20086</v>
      </c>
      <c r="D5572" t="s">
        <v>843</v>
      </c>
      <c r="E5572" t="s">
        <v>20062</v>
      </c>
      <c r="F5572" t="s">
        <v>7672</v>
      </c>
      <c r="G5572" t="s">
        <v>20063</v>
      </c>
      <c r="H5572" t="s">
        <v>8779</v>
      </c>
      <c r="I5572" t="s">
        <v>76</v>
      </c>
      <c r="J5572" t="s">
        <v>8001</v>
      </c>
    </row>
    <row r="5573" spans="1:10" x14ac:dyDescent="0.25">
      <c r="A5573" t="s">
        <v>20087</v>
      </c>
      <c r="B5573">
        <v>10</v>
      </c>
      <c r="C5573" t="s">
        <v>20088</v>
      </c>
      <c r="D5573" t="s">
        <v>301</v>
      </c>
      <c r="E5573" t="s">
        <v>20062</v>
      </c>
      <c r="F5573" t="s">
        <v>7672</v>
      </c>
      <c r="G5573" t="s">
        <v>20063</v>
      </c>
      <c r="H5573" t="s">
        <v>8779</v>
      </c>
      <c r="I5573" t="s">
        <v>17434</v>
      </c>
      <c r="J5573" t="s">
        <v>8013</v>
      </c>
    </row>
    <row r="5574" spans="1:10" x14ac:dyDescent="0.25">
      <c r="A5574" t="s">
        <v>20089</v>
      </c>
      <c r="B5574">
        <v>5.44</v>
      </c>
      <c r="C5574" t="s">
        <v>20090</v>
      </c>
      <c r="D5574" t="s">
        <v>4136</v>
      </c>
      <c r="E5574" t="s">
        <v>20091</v>
      </c>
      <c r="F5574" t="s">
        <v>7672</v>
      </c>
      <c r="G5574" t="s">
        <v>20092</v>
      </c>
      <c r="H5574" t="s">
        <v>7674</v>
      </c>
      <c r="I5574" t="s">
        <v>935</v>
      </c>
      <c r="J5574" t="s">
        <v>8891</v>
      </c>
    </row>
    <row r="5575" spans="1:10" x14ac:dyDescent="0.25">
      <c r="A5575" t="s">
        <v>20093</v>
      </c>
      <c r="B5575">
        <v>5.44</v>
      </c>
      <c r="C5575" t="s">
        <v>20094</v>
      </c>
      <c r="D5575" t="s">
        <v>4100</v>
      </c>
      <c r="E5575" t="s">
        <v>20091</v>
      </c>
      <c r="F5575" t="s">
        <v>7672</v>
      </c>
      <c r="G5575" t="s">
        <v>20092</v>
      </c>
      <c r="H5575" t="s">
        <v>7674</v>
      </c>
      <c r="I5575" t="s">
        <v>3567</v>
      </c>
      <c r="J5575" t="s">
        <v>8891</v>
      </c>
    </row>
    <row r="5576" spans="1:10" x14ac:dyDescent="0.25">
      <c r="A5576" t="s">
        <v>20095</v>
      </c>
      <c r="B5576">
        <v>5.44</v>
      </c>
      <c r="C5576" t="s">
        <v>20096</v>
      </c>
      <c r="D5576" t="s">
        <v>20097</v>
      </c>
      <c r="E5576" t="s">
        <v>20091</v>
      </c>
      <c r="F5576" t="s">
        <v>7672</v>
      </c>
      <c r="G5576" t="s">
        <v>20092</v>
      </c>
      <c r="H5576" t="s">
        <v>7674</v>
      </c>
      <c r="I5576" t="s">
        <v>935</v>
      </c>
      <c r="J5576" t="s">
        <v>8896</v>
      </c>
    </row>
    <row r="5577" spans="1:10" x14ac:dyDescent="0.25">
      <c r="A5577" t="s">
        <v>20098</v>
      </c>
      <c r="B5577">
        <v>5.44</v>
      </c>
      <c r="C5577" t="s">
        <v>20099</v>
      </c>
      <c r="D5577" t="s">
        <v>9615</v>
      </c>
      <c r="E5577" t="s">
        <v>20091</v>
      </c>
      <c r="F5577" t="s">
        <v>7672</v>
      </c>
      <c r="G5577" t="s">
        <v>20092</v>
      </c>
      <c r="H5577" t="s">
        <v>7674</v>
      </c>
      <c r="I5577" t="s">
        <v>3567</v>
      </c>
      <c r="J5577" t="s">
        <v>8896</v>
      </c>
    </row>
    <row r="5578" spans="1:10" x14ac:dyDescent="0.25">
      <c r="A5578" t="s">
        <v>20100</v>
      </c>
      <c r="B5578">
        <v>5.44</v>
      </c>
      <c r="C5578" t="s">
        <v>20101</v>
      </c>
      <c r="D5578" t="s">
        <v>10457</v>
      </c>
      <c r="E5578" t="s">
        <v>20091</v>
      </c>
      <c r="F5578" t="s">
        <v>7672</v>
      </c>
      <c r="G5578" t="s">
        <v>20092</v>
      </c>
      <c r="H5578" t="s">
        <v>7674</v>
      </c>
      <c r="I5578" t="s">
        <v>935</v>
      </c>
      <c r="J5578" t="s">
        <v>9400</v>
      </c>
    </row>
    <row r="5579" spans="1:10" x14ac:dyDescent="0.25">
      <c r="A5579" t="s">
        <v>20102</v>
      </c>
      <c r="B5579">
        <v>5.44</v>
      </c>
      <c r="C5579" t="s">
        <v>20103</v>
      </c>
      <c r="D5579" t="s">
        <v>20104</v>
      </c>
      <c r="E5579" t="s">
        <v>20091</v>
      </c>
      <c r="F5579" t="s">
        <v>7672</v>
      </c>
      <c r="G5579" t="s">
        <v>20092</v>
      </c>
      <c r="H5579" t="s">
        <v>7674</v>
      </c>
      <c r="I5579" t="s">
        <v>3567</v>
      </c>
      <c r="J5579" t="s">
        <v>9400</v>
      </c>
    </row>
    <row r="5580" spans="1:10" x14ac:dyDescent="0.25">
      <c r="A5580" t="s">
        <v>20105</v>
      </c>
      <c r="B5580">
        <v>5.44</v>
      </c>
      <c r="C5580" t="s">
        <v>20106</v>
      </c>
      <c r="D5580" t="s">
        <v>7934</v>
      </c>
      <c r="E5580" t="s">
        <v>20091</v>
      </c>
      <c r="F5580" t="s">
        <v>7672</v>
      </c>
      <c r="G5580" t="s">
        <v>20092</v>
      </c>
      <c r="H5580" t="s">
        <v>7674</v>
      </c>
      <c r="I5580" t="s">
        <v>935</v>
      </c>
      <c r="J5580" t="s">
        <v>9405</v>
      </c>
    </row>
    <row r="5581" spans="1:10" x14ac:dyDescent="0.25">
      <c r="A5581" t="s">
        <v>20107</v>
      </c>
      <c r="B5581">
        <v>5.44</v>
      </c>
      <c r="C5581" t="s">
        <v>20108</v>
      </c>
      <c r="D5581" t="s">
        <v>4794</v>
      </c>
      <c r="E5581" t="s">
        <v>20091</v>
      </c>
      <c r="F5581" t="s">
        <v>7672</v>
      </c>
      <c r="G5581" t="s">
        <v>20092</v>
      </c>
      <c r="H5581" t="s">
        <v>7674</v>
      </c>
      <c r="I5581" t="s">
        <v>3567</v>
      </c>
      <c r="J5581" t="s">
        <v>9405</v>
      </c>
    </row>
    <row r="5582" spans="1:10" x14ac:dyDescent="0.25">
      <c r="A5582" t="s">
        <v>5352</v>
      </c>
      <c r="B5582">
        <v>5</v>
      </c>
      <c r="C5582" t="s">
        <v>5354</v>
      </c>
      <c r="D5582" t="s">
        <v>5105</v>
      </c>
      <c r="E5582" t="s">
        <v>5355</v>
      </c>
      <c r="F5582" t="s">
        <v>7672</v>
      </c>
      <c r="G5582" t="s">
        <v>20109</v>
      </c>
      <c r="H5582" t="s">
        <v>7947</v>
      </c>
      <c r="I5582" t="s">
        <v>20110</v>
      </c>
      <c r="J5582" t="s">
        <v>20111</v>
      </c>
    </row>
    <row r="5583" spans="1:10" x14ac:dyDescent="0.25">
      <c r="A5583" t="s">
        <v>20112</v>
      </c>
      <c r="B5583">
        <v>5</v>
      </c>
      <c r="C5583" t="s">
        <v>20113</v>
      </c>
      <c r="D5583" t="s">
        <v>118</v>
      </c>
      <c r="E5583" t="s">
        <v>5355</v>
      </c>
      <c r="F5583" t="s">
        <v>7672</v>
      </c>
      <c r="G5583" t="s">
        <v>20109</v>
      </c>
      <c r="H5583" t="s">
        <v>7947</v>
      </c>
      <c r="I5583" t="s">
        <v>19913</v>
      </c>
      <c r="J5583" t="s">
        <v>20114</v>
      </c>
    </row>
    <row r="5584" spans="1:10" x14ac:dyDescent="0.25">
      <c r="A5584" t="s">
        <v>20115</v>
      </c>
      <c r="B5584">
        <v>5</v>
      </c>
      <c r="C5584" t="s">
        <v>20116</v>
      </c>
      <c r="D5584" t="s">
        <v>10070</v>
      </c>
      <c r="E5584" t="s">
        <v>5355</v>
      </c>
      <c r="F5584" t="s">
        <v>7672</v>
      </c>
      <c r="G5584" t="s">
        <v>20109</v>
      </c>
      <c r="H5584" t="s">
        <v>7947</v>
      </c>
      <c r="I5584" t="s">
        <v>145</v>
      </c>
      <c r="J5584" t="s">
        <v>20117</v>
      </c>
    </row>
    <row r="5585" spans="1:10" x14ac:dyDescent="0.25">
      <c r="A5585" t="s">
        <v>20118</v>
      </c>
      <c r="B5585">
        <v>5.2</v>
      </c>
      <c r="C5585" t="s">
        <v>20119</v>
      </c>
      <c r="D5585" t="s">
        <v>8450</v>
      </c>
      <c r="E5585" t="s">
        <v>20120</v>
      </c>
      <c r="F5585" t="s">
        <v>7672</v>
      </c>
      <c r="G5585" t="s">
        <v>20121</v>
      </c>
      <c r="H5585" t="s">
        <v>11496</v>
      </c>
      <c r="I5585" t="s">
        <v>935</v>
      </c>
      <c r="J5585" t="s">
        <v>9423</v>
      </c>
    </row>
    <row r="5586" spans="1:10" x14ac:dyDescent="0.25">
      <c r="A5586" t="s">
        <v>20122</v>
      </c>
      <c r="B5586">
        <v>5.2</v>
      </c>
      <c r="C5586" t="s">
        <v>20123</v>
      </c>
      <c r="D5586" t="s">
        <v>1864</v>
      </c>
      <c r="E5586" t="s">
        <v>20120</v>
      </c>
      <c r="F5586" t="s">
        <v>7672</v>
      </c>
      <c r="G5586" t="s">
        <v>20121</v>
      </c>
      <c r="H5586" t="s">
        <v>11496</v>
      </c>
      <c r="I5586" t="s">
        <v>935</v>
      </c>
      <c r="J5586" t="s">
        <v>10862</v>
      </c>
    </row>
    <row r="5587" spans="1:10" x14ac:dyDescent="0.25">
      <c r="A5587" t="s">
        <v>20124</v>
      </c>
      <c r="B5587">
        <v>5.2</v>
      </c>
      <c r="C5587" t="s">
        <v>20125</v>
      </c>
      <c r="D5587" t="s">
        <v>20126</v>
      </c>
      <c r="E5587" t="s">
        <v>20120</v>
      </c>
      <c r="F5587" t="s">
        <v>7672</v>
      </c>
      <c r="G5587" t="s">
        <v>20121</v>
      </c>
      <c r="H5587" t="s">
        <v>11496</v>
      </c>
      <c r="I5587" t="s">
        <v>935</v>
      </c>
      <c r="J5587" t="s">
        <v>9426</v>
      </c>
    </row>
    <row r="5588" spans="1:10" x14ac:dyDescent="0.25">
      <c r="A5588" t="s">
        <v>20127</v>
      </c>
      <c r="B5588">
        <v>5.2</v>
      </c>
      <c r="C5588" t="s">
        <v>20128</v>
      </c>
      <c r="D5588" t="s">
        <v>664</v>
      </c>
      <c r="E5588" t="s">
        <v>20120</v>
      </c>
      <c r="F5588" t="s">
        <v>7672</v>
      </c>
      <c r="G5588" t="s">
        <v>20121</v>
      </c>
      <c r="H5588" t="s">
        <v>11496</v>
      </c>
      <c r="I5588" t="s">
        <v>935</v>
      </c>
      <c r="J5588" t="s">
        <v>13084</v>
      </c>
    </row>
    <row r="5589" spans="1:10" x14ac:dyDescent="0.25">
      <c r="A5589" t="s">
        <v>20129</v>
      </c>
      <c r="B5589">
        <v>13.2</v>
      </c>
      <c r="C5589" t="s">
        <v>20130</v>
      </c>
      <c r="D5589" t="s">
        <v>385</v>
      </c>
      <c r="E5589" t="s">
        <v>20131</v>
      </c>
      <c r="F5589" t="s">
        <v>7672</v>
      </c>
      <c r="G5589" t="s">
        <v>20132</v>
      </c>
      <c r="H5589" t="s">
        <v>11622</v>
      </c>
      <c r="I5589" t="s">
        <v>20133</v>
      </c>
      <c r="J5589" t="s">
        <v>7675</v>
      </c>
    </row>
    <row r="5590" spans="1:10" x14ac:dyDescent="0.25">
      <c r="A5590" t="s">
        <v>20134</v>
      </c>
      <c r="B5590">
        <v>13.2</v>
      </c>
      <c r="C5590" t="s">
        <v>20135</v>
      </c>
      <c r="D5590" t="s">
        <v>2879</v>
      </c>
      <c r="E5590" t="s">
        <v>20131</v>
      </c>
      <c r="F5590" t="s">
        <v>7672</v>
      </c>
      <c r="G5590" t="s">
        <v>20132</v>
      </c>
      <c r="H5590" t="s">
        <v>11622</v>
      </c>
      <c r="I5590" t="s">
        <v>20136</v>
      </c>
      <c r="J5590" t="s">
        <v>7675</v>
      </c>
    </row>
    <row r="5591" spans="1:10" x14ac:dyDescent="0.25">
      <c r="A5591" t="s">
        <v>20137</v>
      </c>
      <c r="B5591">
        <v>13.2</v>
      </c>
      <c r="C5591" t="s">
        <v>20138</v>
      </c>
      <c r="D5591" t="s">
        <v>3153</v>
      </c>
      <c r="E5591" t="s">
        <v>20131</v>
      </c>
      <c r="F5591" t="s">
        <v>7672</v>
      </c>
      <c r="G5591" t="s">
        <v>20132</v>
      </c>
      <c r="H5591" t="s">
        <v>11622</v>
      </c>
      <c r="I5591" t="s">
        <v>20133</v>
      </c>
      <c r="J5591" t="s">
        <v>7686</v>
      </c>
    </row>
    <row r="5592" spans="1:10" x14ac:dyDescent="0.25">
      <c r="A5592" t="s">
        <v>20139</v>
      </c>
      <c r="B5592">
        <v>13.2</v>
      </c>
      <c r="C5592" t="s">
        <v>20140</v>
      </c>
      <c r="D5592" t="s">
        <v>2022</v>
      </c>
      <c r="E5592" t="s">
        <v>20131</v>
      </c>
      <c r="F5592" t="s">
        <v>7672</v>
      </c>
      <c r="G5592" t="s">
        <v>20132</v>
      </c>
      <c r="H5592" t="s">
        <v>11622</v>
      </c>
      <c r="I5592" t="s">
        <v>20136</v>
      </c>
      <c r="J5592" t="s">
        <v>7686</v>
      </c>
    </row>
    <row r="5593" spans="1:10" x14ac:dyDescent="0.25">
      <c r="A5593" t="s">
        <v>20141</v>
      </c>
      <c r="B5593">
        <v>13.2</v>
      </c>
      <c r="C5593" t="s">
        <v>20142</v>
      </c>
      <c r="D5593" t="s">
        <v>245</v>
      </c>
      <c r="E5593" t="s">
        <v>20131</v>
      </c>
      <c r="F5593" t="s">
        <v>7672</v>
      </c>
      <c r="G5593" t="s">
        <v>20132</v>
      </c>
      <c r="H5593" t="s">
        <v>11622</v>
      </c>
      <c r="I5593" t="s">
        <v>20136</v>
      </c>
      <c r="J5593" t="s">
        <v>7703</v>
      </c>
    </row>
    <row r="5594" spans="1:10" x14ac:dyDescent="0.25">
      <c r="A5594" t="s">
        <v>20143</v>
      </c>
      <c r="B5594">
        <v>13.2</v>
      </c>
      <c r="C5594" t="s">
        <v>20144</v>
      </c>
      <c r="D5594" t="s">
        <v>865</v>
      </c>
      <c r="E5594" t="s">
        <v>20131</v>
      </c>
      <c r="F5594" t="s">
        <v>7672</v>
      </c>
      <c r="G5594" t="s">
        <v>20132</v>
      </c>
      <c r="H5594" t="s">
        <v>11622</v>
      </c>
      <c r="I5594" t="s">
        <v>20133</v>
      </c>
      <c r="J5594" t="s">
        <v>7703</v>
      </c>
    </row>
    <row r="5595" spans="1:10" x14ac:dyDescent="0.25">
      <c r="A5595" t="s">
        <v>20145</v>
      </c>
      <c r="B5595">
        <v>13.2</v>
      </c>
      <c r="C5595" t="s">
        <v>20146</v>
      </c>
      <c r="D5595" t="s">
        <v>1134</v>
      </c>
      <c r="E5595" t="s">
        <v>20131</v>
      </c>
      <c r="F5595" t="s">
        <v>7672</v>
      </c>
      <c r="G5595" t="s">
        <v>20132</v>
      </c>
      <c r="H5595" t="s">
        <v>11622</v>
      </c>
      <c r="I5595" t="s">
        <v>20136</v>
      </c>
      <c r="J5595" t="s">
        <v>7713</v>
      </c>
    </row>
    <row r="5596" spans="1:10" x14ac:dyDescent="0.25">
      <c r="A5596" t="s">
        <v>20147</v>
      </c>
      <c r="B5596">
        <v>13.2</v>
      </c>
      <c r="C5596" t="s">
        <v>20148</v>
      </c>
      <c r="D5596" t="s">
        <v>516</v>
      </c>
      <c r="E5596" t="s">
        <v>20131</v>
      </c>
      <c r="F5596" t="s">
        <v>7672</v>
      </c>
      <c r="G5596" t="s">
        <v>20132</v>
      </c>
      <c r="H5596" t="s">
        <v>11622</v>
      </c>
      <c r="I5596" t="s">
        <v>20133</v>
      </c>
      <c r="J5596" t="s">
        <v>7713</v>
      </c>
    </row>
    <row r="5597" spans="1:10" x14ac:dyDescent="0.25">
      <c r="A5597" t="s">
        <v>20149</v>
      </c>
      <c r="B5597">
        <v>13.2</v>
      </c>
      <c r="C5597" t="s">
        <v>20150</v>
      </c>
      <c r="D5597" t="s">
        <v>118</v>
      </c>
      <c r="E5597" t="s">
        <v>20131</v>
      </c>
      <c r="F5597" t="s">
        <v>7672</v>
      </c>
      <c r="G5597" t="s">
        <v>20132</v>
      </c>
      <c r="H5597" t="s">
        <v>11622</v>
      </c>
      <c r="I5597" t="s">
        <v>20136</v>
      </c>
      <c r="J5597" t="s">
        <v>7719</v>
      </c>
    </row>
    <row r="5598" spans="1:10" x14ac:dyDescent="0.25">
      <c r="A5598" t="s">
        <v>20151</v>
      </c>
      <c r="B5598">
        <v>13.2</v>
      </c>
      <c r="C5598" t="s">
        <v>20152</v>
      </c>
      <c r="D5598" t="s">
        <v>311</v>
      </c>
      <c r="E5598" t="s">
        <v>20131</v>
      </c>
      <c r="F5598" t="s">
        <v>7672</v>
      </c>
      <c r="G5598" t="s">
        <v>20132</v>
      </c>
      <c r="H5598" t="s">
        <v>11622</v>
      </c>
      <c r="I5598" t="s">
        <v>20133</v>
      </c>
      <c r="J5598" t="s">
        <v>7719</v>
      </c>
    </row>
    <row r="5599" spans="1:10" x14ac:dyDescent="0.25">
      <c r="A5599" t="s">
        <v>20153</v>
      </c>
      <c r="B5599">
        <v>19.600000000000001</v>
      </c>
      <c r="C5599" t="s">
        <v>20154</v>
      </c>
      <c r="D5599" t="s">
        <v>626</v>
      </c>
      <c r="E5599" t="s">
        <v>20155</v>
      </c>
      <c r="F5599" t="s">
        <v>7672</v>
      </c>
      <c r="G5599" t="s">
        <v>20156</v>
      </c>
      <c r="H5599" t="s">
        <v>7947</v>
      </c>
      <c r="I5599" t="s">
        <v>410</v>
      </c>
      <c r="J5599" t="s">
        <v>8427</v>
      </c>
    </row>
    <row r="5600" spans="1:10" x14ac:dyDescent="0.25">
      <c r="A5600" t="s">
        <v>20157</v>
      </c>
      <c r="B5600">
        <v>19.600000000000001</v>
      </c>
      <c r="C5600" t="s">
        <v>20158</v>
      </c>
      <c r="D5600" t="s">
        <v>720</v>
      </c>
      <c r="E5600" t="s">
        <v>20155</v>
      </c>
      <c r="F5600" t="s">
        <v>7672</v>
      </c>
      <c r="G5600" t="s">
        <v>20156</v>
      </c>
      <c r="H5600" t="s">
        <v>7947</v>
      </c>
      <c r="I5600" t="s">
        <v>410</v>
      </c>
      <c r="J5600" t="s">
        <v>8439</v>
      </c>
    </row>
    <row r="5601" spans="1:10" x14ac:dyDescent="0.25">
      <c r="A5601" t="s">
        <v>20159</v>
      </c>
      <c r="B5601">
        <v>19.600000000000001</v>
      </c>
      <c r="C5601" t="s">
        <v>20160</v>
      </c>
      <c r="D5601" t="s">
        <v>3153</v>
      </c>
      <c r="E5601" t="s">
        <v>20155</v>
      </c>
      <c r="F5601" t="s">
        <v>7672</v>
      </c>
      <c r="G5601" t="s">
        <v>20156</v>
      </c>
      <c r="H5601" t="s">
        <v>7947</v>
      </c>
      <c r="I5601" t="s">
        <v>410</v>
      </c>
      <c r="J5601" t="s">
        <v>8451</v>
      </c>
    </row>
    <row r="5602" spans="1:10" x14ac:dyDescent="0.25">
      <c r="A5602" t="s">
        <v>20161</v>
      </c>
      <c r="B5602">
        <v>9.36</v>
      </c>
      <c r="C5602" t="s">
        <v>20162</v>
      </c>
      <c r="D5602" t="s">
        <v>40</v>
      </c>
      <c r="E5602" t="s">
        <v>20163</v>
      </c>
      <c r="F5602" t="s">
        <v>7672</v>
      </c>
      <c r="G5602" t="s">
        <v>20164</v>
      </c>
      <c r="H5602" t="s">
        <v>8081</v>
      </c>
      <c r="I5602" t="s">
        <v>20165</v>
      </c>
      <c r="J5602" t="s">
        <v>7987</v>
      </c>
    </row>
    <row r="5603" spans="1:10" x14ac:dyDescent="0.25">
      <c r="A5603" t="s">
        <v>20166</v>
      </c>
      <c r="B5603">
        <v>9.36</v>
      </c>
      <c r="C5603" t="s">
        <v>20167</v>
      </c>
      <c r="D5603" t="s">
        <v>40</v>
      </c>
      <c r="E5603" t="s">
        <v>20163</v>
      </c>
      <c r="F5603" t="s">
        <v>7672</v>
      </c>
      <c r="G5603" t="s">
        <v>20164</v>
      </c>
      <c r="H5603" t="s">
        <v>8081</v>
      </c>
      <c r="I5603" t="s">
        <v>20168</v>
      </c>
      <c r="J5603" t="s">
        <v>7987</v>
      </c>
    </row>
    <row r="5604" spans="1:10" x14ac:dyDescent="0.25">
      <c r="A5604" t="s">
        <v>20169</v>
      </c>
      <c r="B5604">
        <v>9.36</v>
      </c>
      <c r="C5604" t="s">
        <v>20170</v>
      </c>
      <c r="D5604" t="s">
        <v>659</v>
      </c>
      <c r="E5604" t="s">
        <v>20163</v>
      </c>
      <c r="F5604" t="s">
        <v>7672</v>
      </c>
      <c r="G5604" t="s">
        <v>20164</v>
      </c>
      <c r="H5604" t="s">
        <v>8081</v>
      </c>
      <c r="I5604" t="s">
        <v>20168</v>
      </c>
      <c r="J5604" t="s">
        <v>8001</v>
      </c>
    </row>
    <row r="5605" spans="1:10" x14ac:dyDescent="0.25">
      <c r="A5605" t="s">
        <v>20171</v>
      </c>
      <c r="B5605">
        <v>9.36</v>
      </c>
      <c r="C5605" t="s">
        <v>20172</v>
      </c>
      <c r="D5605" t="s">
        <v>277</v>
      </c>
      <c r="E5605" t="s">
        <v>20163</v>
      </c>
      <c r="F5605" t="s">
        <v>7672</v>
      </c>
      <c r="G5605" t="s">
        <v>20164</v>
      </c>
      <c r="H5605" t="s">
        <v>8081</v>
      </c>
      <c r="I5605" t="s">
        <v>20165</v>
      </c>
      <c r="J5605" t="s">
        <v>8001</v>
      </c>
    </row>
    <row r="5606" spans="1:10" x14ac:dyDescent="0.25">
      <c r="A5606" t="s">
        <v>20173</v>
      </c>
      <c r="B5606">
        <v>10.8</v>
      </c>
      <c r="C5606" t="s">
        <v>20174</v>
      </c>
      <c r="D5606" t="s">
        <v>644</v>
      </c>
      <c r="E5606" t="s">
        <v>20175</v>
      </c>
      <c r="F5606" t="s">
        <v>7672</v>
      </c>
      <c r="G5606" t="s">
        <v>20176</v>
      </c>
      <c r="H5606" t="s">
        <v>13951</v>
      </c>
      <c r="I5606" t="s">
        <v>20177</v>
      </c>
      <c r="J5606" t="s">
        <v>7686</v>
      </c>
    </row>
    <row r="5607" spans="1:10" x14ac:dyDescent="0.25">
      <c r="A5607" t="s">
        <v>20178</v>
      </c>
      <c r="B5607">
        <v>10.8</v>
      </c>
      <c r="C5607" t="s">
        <v>20179</v>
      </c>
      <c r="D5607" t="s">
        <v>5661</v>
      </c>
      <c r="E5607" t="s">
        <v>20175</v>
      </c>
      <c r="F5607" t="s">
        <v>7672</v>
      </c>
      <c r="G5607" t="s">
        <v>20176</v>
      </c>
      <c r="H5607" t="s">
        <v>13951</v>
      </c>
      <c r="I5607" t="s">
        <v>20177</v>
      </c>
      <c r="J5607" t="s">
        <v>7703</v>
      </c>
    </row>
    <row r="5608" spans="1:10" x14ac:dyDescent="0.25">
      <c r="A5608" t="s">
        <v>20180</v>
      </c>
      <c r="B5608">
        <v>10.8</v>
      </c>
      <c r="C5608" t="s">
        <v>20181</v>
      </c>
      <c r="D5608" t="s">
        <v>8816</v>
      </c>
      <c r="E5608" t="s">
        <v>20175</v>
      </c>
      <c r="F5608" t="s">
        <v>7672</v>
      </c>
      <c r="G5608" t="s">
        <v>20176</v>
      </c>
      <c r="H5608" t="s">
        <v>13951</v>
      </c>
      <c r="I5608" t="s">
        <v>20177</v>
      </c>
      <c r="J5608" t="s">
        <v>7713</v>
      </c>
    </row>
    <row r="5609" spans="1:10" x14ac:dyDescent="0.25">
      <c r="A5609" t="s">
        <v>20182</v>
      </c>
      <c r="B5609">
        <v>10.8</v>
      </c>
      <c r="C5609" t="s">
        <v>20183</v>
      </c>
      <c r="D5609" t="s">
        <v>870</v>
      </c>
      <c r="E5609" t="s">
        <v>20175</v>
      </c>
      <c r="F5609" t="s">
        <v>7672</v>
      </c>
      <c r="G5609" t="s">
        <v>20176</v>
      </c>
      <c r="H5609" t="s">
        <v>13951</v>
      </c>
      <c r="I5609" t="s">
        <v>20177</v>
      </c>
      <c r="J5609" t="s">
        <v>7719</v>
      </c>
    </row>
    <row r="5610" spans="1:10" x14ac:dyDescent="0.25">
      <c r="A5610" t="s">
        <v>20184</v>
      </c>
      <c r="B5610">
        <v>16.8</v>
      </c>
      <c r="C5610" t="s">
        <v>20185</v>
      </c>
      <c r="D5610" t="s">
        <v>290</v>
      </c>
      <c r="E5610" t="s">
        <v>20186</v>
      </c>
      <c r="F5610" t="s">
        <v>7672</v>
      </c>
      <c r="G5610" t="s">
        <v>20187</v>
      </c>
      <c r="H5610" t="s">
        <v>7974</v>
      </c>
      <c r="I5610" t="s">
        <v>19197</v>
      </c>
      <c r="J5610" t="s">
        <v>7942</v>
      </c>
    </row>
    <row r="5611" spans="1:10" x14ac:dyDescent="0.25">
      <c r="A5611" t="s">
        <v>20188</v>
      </c>
      <c r="B5611">
        <v>16.8</v>
      </c>
      <c r="C5611" t="s">
        <v>20189</v>
      </c>
      <c r="D5611" t="s">
        <v>1621</v>
      </c>
      <c r="E5611" t="s">
        <v>20186</v>
      </c>
      <c r="F5611" t="s">
        <v>7672</v>
      </c>
      <c r="G5611" t="s">
        <v>20187</v>
      </c>
      <c r="H5611" t="s">
        <v>7974</v>
      </c>
      <c r="I5611" t="s">
        <v>19197</v>
      </c>
      <c r="J5611" t="s">
        <v>7981</v>
      </c>
    </row>
    <row r="5612" spans="1:10" x14ac:dyDescent="0.25">
      <c r="A5612" t="s">
        <v>20190</v>
      </c>
      <c r="B5612">
        <v>16.8</v>
      </c>
      <c r="C5612" t="s">
        <v>20191</v>
      </c>
      <c r="D5612" t="s">
        <v>1852</v>
      </c>
      <c r="E5612" t="s">
        <v>20186</v>
      </c>
      <c r="F5612" t="s">
        <v>7672</v>
      </c>
      <c r="G5612" t="s">
        <v>20187</v>
      </c>
      <c r="H5612" t="s">
        <v>7974</v>
      </c>
      <c r="I5612" t="s">
        <v>19197</v>
      </c>
      <c r="J5612" t="s">
        <v>7984</v>
      </c>
    </row>
    <row r="5613" spans="1:10" x14ac:dyDescent="0.25">
      <c r="A5613" t="s">
        <v>20192</v>
      </c>
      <c r="B5613">
        <v>16.8</v>
      </c>
      <c r="C5613" t="s">
        <v>20193</v>
      </c>
      <c r="D5613" t="s">
        <v>5145</v>
      </c>
      <c r="E5613" t="s">
        <v>20186</v>
      </c>
      <c r="F5613" t="s">
        <v>7672</v>
      </c>
      <c r="G5613" t="s">
        <v>20187</v>
      </c>
      <c r="H5613" t="s">
        <v>7974</v>
      </c>
      <c r="I5613" t="s">
        <v>19197</v>
      </c>
      <c r="J5613" t="s">
        <v>7987</v>
      </c>
    </row>
    <row r="5614" spans="1:10" x14ac:dyDescent="0.25">
      <c r="A5614" t="s">
        <v>20194</v>
      </c>
      <c r="B5614">
        <v>16.8</v>
      </c>
      <c r="C5614" t="s">
        <v>20195</v>
      </c>
      <c r="D5614" t="s">
        <v>975</v>
      </c>
      <c r="E5614" t="s">
        <v>20186</v>
      </c>
      <c r="F5614" t="s">
        <v>7672</v>
      </c>
      <c r="G5614" t="s">
        <v>20187</v>
      </c>
      <c r="H5614" t="s">
        <v>7974</v>
      </c>
      <c r="I5614" t="s">
        <v>19197</v>
      </c>
      <c r="J5614" t="s">
        <v>8001</v>
      </c>
    </row>
    <row r="5615" spans="1:10" x14ac:dyDescent="0.25">
      <c r="A5615" t="s">
        <v>20196</v>
      </c>
      <c r="B5615">
        <v>16.8</v>
      </c>
      <c r="C5615" t="s">
        <v>20197</v>
      </c>
      <c r="D5615" t="s">
        <v>981</v>
      </c>
      <c r="E5615" t="s">
        <v>20186</v>
      </c>
      <c r="F5615" t="s">
        <v>7672</v>
      </c>
      <c r="G5615" t="s">
        <v>20187</v>
      </c>
      <c r="H5615" t="s">
        <v>7974</v>
      </c>
      <c r="I5615" t="s">
        <v>19197</v>
      </c>
      <c r="J5615" t="s">
        <v>8013</v>
      </c>
    </row>
    <row r="5616" spans="1:10" x14ac:dyDescent="0.25">
      <c r="A5616" t="s">
        <v>20198</v>
      </c>
      <c r="B5616">
        <v>18.192</v>
      </c>
      <c r="C5616" t="s">
        <v>20199</v>
      </c>
      <c r="D5616" t="s">
        <v>290</v>
      </c>
      <c r="E5616" t="s">
        <v>20200</v>
      </c>
      <c r="F5616" t="s">
        <v>7672</v>
      </c>
      <c r="G5616" t="s">
        <v>20201</v>
      </c>
      <c r="H5616" t="s">
        <v>9127</v>
      </c>
      <c r="I5616" t="s">
        <v>20202</v>
      </c>
      <c r="J5616" t="s">
        <v>7942</v>
      </c>
    </row>
    <row r="5617" spans="1:10" x14ac:dyDescent="0.25">
      <c r="A5617" t="s">
        <v>20203</v>
      </c>
      <c r="B5617">
        <v>18.192</v>
      </c>
      <c r="C5617" t="s">
        <v>20204</v>
      </c>
      <c r="D5617" t="s">
        <v>2697</v>
      </c>
      <c r="E5617" t="s">
        <v>20200</v>
      </c>
      <c r="F5617" t="s">
        <v>7672</v>
      </c>
      <c r="G5617" t="s">
        <v>20201</v>
      </c>
      <c r="H5617" t="s">
        <v>9127</v>
      </c>
      <c r="I5617" t="s">
        <v>20202</v>
      </c>
      <c r="J5617" t="s">
        <v>7981</v>
      </c>
    </row>
    <row r="5618" spans="1:10" x14ac:dyDescent="0.25">
      <c r="A5618" t="s">
        <v>20205</v>
      </c>
      <c r="B5618">
        <v>18.192</v>
      </c>
      <c r="C5618" t="s">
        <v>20206</v>
      </c>
      <c r="D5618" t="s">
        <v>633</v>
      </c>
      <c r="E5618" t="s">
        <v>20200</v>
      </c>
      <c r="F5618" t="s">
        <v>7672</v>
      </c>
      <c r="G5618" t="s">
        <v>20201</v>
      </c>
      <c r="H5618" t="s">
        <v>9127</v>
      </c>
      <c r="I5618" t="s">
        <v>20202</v>
      </c>
      <c r="J5618" t="s">
        <v>7984</v>
      </c>
    </row>
    <row r="5619" spans="1:10" x14ac:dyDescent="0.25">
      <c r="A5619" t="s">
        <v>20207</v>
      </c>
      <c r="B5619">
        <v>18.192</v>
      </c>
      <c r="C5619" t="s">
        <v>20208</v>
      </c>
      <c r="D5619" t="s">
        <v>1644</v>
      </c>
      <c r="E5619" t="s">
        <v>20200</v>
      </c>
      <c r="F5619" t="s">
        <v>7672</v>
      </c>
      <c r="G5619" t="s">
        <v>20201</v>
      </c>
      <c r="H5619" t="s">
        <v>9127</v>
      </c>
      <c r="I5619" t="s">
        <v>20202</v>
      </c>
      <c r="J5619" t="s">
        <v>7987</v>
      </c>
    </row>
    <row r="5620" spans="1:10" x14ac:dyDescent="0.25">
      <c r="A5620" t="s">
        <v>20209</v>
      </c>
      <c r="B5620">
        <v>18.192</v>
      </c>
      <c r="C5620" t="s">
        <v>20210</v>
      </c>
      <c r="D5620" t="s">
        <v>1536</v>
      </c>
      <c r="E5620" t="s">
        <v>20200</v>
      </c>
      <c r="F5620" t="s">
        <v>7672</v>
      </c>
      <c r="G5620" t="s">
        <v>20201</v>
      </c>
      <c r="H5620" t="s">
        <v>9127</v>
      </c>
      <c r="I5620" t="s">
        <v>20202</v>
      </c>
      <c r="J5620" t="s">
        <v>8001</v>
      </c>
    </row>
    <row r="5621" spans="1:10" x14ac:dyDescent="0.25">
      <c r="A5621" t="s">
        <v>20211</v>
      </c>
      <c r="B5621">
        <v>18.192</v>
      </c>
      <c r="C5621" t="s">
        <v>20212</v>
      </c>
      <c r="D5621" t="s">
        <v>1621</v>
      </c>
      <c r="E5621" t="s">
        <v>20200</v>
      </c>
      <c r="F5621" t="s">
        <v>7672</v>
      </c>
      <c r="G5621" t="s">
        <v>20201</v>
      </c>
      <c r="H5621" t="s">
        <v>9127</v>
      </c>
      <c r="I5621" t="s">
        <v>20202</v>
      </c>
      <c r="J5621" t="s">
        <v>8013</v>
      </c>
    </row>
    <row r="5622" spans="1:10" x14ac:dyDescent="0.25">
      <c r="A5622" t="s">
        <v>20213</v>
      </c>
      <c r="B5622">
        <v>5.7200000000000006</v>
      </c>
      <c r="C5622" t="s">
        <v>20214</v>
      </c>
      <c r="D5622" t="s">
        <v>576</v>
      </c>
      <c r="E5622" t="s">
        <v>20215</v>
      </c>
      <c r="F5622" t="s">
        <v>7672</v>
      </c>
      <c r="G5622" t="s">
        <v>20216</v>
      </c>
      <c r="H5622" t="s">
        <v>7965</v>
      </c>
      <c r="I5622" t="s">
        <v>20217</v>
      </c>
      <c r="J5622" t="s">
        <v>7987</v>
      </c>
    </row>
    <row r="5623" spans="1:10" x14ac:dyDescent="0.25">
      <c r="A5623" t="s">
        <v>20218</v>
      </c>
      <c r="B5623">
        <v>12</v>
      </c>
      <c r="C5623" t="s">
        <v>20219</v>
      </c>
      <c r="D5623" t="s">
        <v>2879</v>
      </c>
      <c r="E5623" t="s">
        <v>20220</v>
      </c>
      <c r="F5623" t="s">
        <v>7672</v>
      </c>
      <c r="G5623" t="s">
        <v>20221</v>
      </c>
      <c r="H5623" t="s">
        <v>7674</v>
      </c>
      <c r="I5623" t="s">
        <v>19547</v>
      </c>
      <c r="J5623" t="s">
        <v>9023</v>
      </c>
    </row>
    <row r="5624" spans="1:10" x14ac:dyDescent="0.25">
      <c r="A5624" t="s">
        <v>20222</v>
      </c>
      <c r="B5624">
        <v>12</v>
      </c>
      <c r="C5624" t="s">
        <v>20223</v>
      </c>
      <c r="D5624" t="s">
        <v>698</v>
      </c>
      <c r="E5624" t="s">
        <v>20220</v>
      </c>
      <c r="F5624" t="s">
        <v>7672</v>
      </c>
      <c r="G5624" t="s">
        <v>20221</v>
      </c>
      <c r="H5624" t="s">
        <v>7674</v>
      </c>
      <c r="I5624" t="s">
        <v>20224</v>
      </c>
      <c r="J5624" t="s">
        <v>9023</v>
      </c>
    </row>
    <row r="5625" spans="1:10" x14ac:dyDescent="0.25">
      <c r="A5625" t="s">
        <v>20225</v>
      </c>
      <c r="B5625">
        <v>12</v>
      </c>
      <c r="C5625" t="s">
        <v>20226</v>
      </c>
      <c r="D5625" t="s">
        <v>250</v>
      </c>
      <c r="E5625" t="s">
        <v>20220</v>
      </c>
      <c r="F5625" t="s">
        <v>7672</v>
      </c>
      <c r="G5625" t="s">
        <v>20221</v>
      </c>
      <c r="H5625" t="s">
        <v>7674</v>
      </c>
      <c r="I5625" t="s">
        <v>19547</v>
      </c>
      <c r="J5625" t="s">
        <v>8883</v>
      </c>
    </row>
    <row r="5626" spans="1:10" x14ac:dyDescent="0.25">
      <c r="A5626" t="s">
        <v>20227</v>
      </c>
      <c r="B5626">
        <v>12</v>
      </c>
      <c r="C5626" t="s">
        <v>20228</v>
      </c>
      <c r="D5626" t="s">
        <v>664</v>
      </c>
      <c r="E5626" t="s">
        <v>20220</v>
      </c>
      <c r="F5626" t="s">
        <v>7672</v>
      </c>
      <c r="G5626" t="s">
        <v>20221</v>
      </c>
      <c r="H5626" t="s">
        <v>7674</v>
      </c>
      <c r="I5626" t="s">
        <v>20224</v>
      </c>
      <c r="J5626" t="s">
        <v>8883</v>
      </c>
    </row>
    <row r="5627" spans="1:10" x14ac:dyDescent="0.25">
      <c r="A5627" t="s">
        <v>20229</v>
      </c>
      <c r="B5627">
        <v>12</v>
      </c>
      <c r="C5627" t="s">
        <v>20230</v>
      </c>
      <c r="D5627" t="s">
        <v>342</v>
      </c>
      <c r="E5627" t="s">
        <v>20220</v>
      </c>
      <c r="F5627" t="s">
        <v>7672</v>
      </c>
      <c r="G5627" t="s">
        <v>20221</v>
      </c>
      <c r="H5627" t="s">
        <v>7674</v>
      </c>
      <c r="I5627" t="s">
        <v>19547</v>
      </c>
      <c r="J5627" t="s">
        <v>8885</v>
      </c>
    </row>
    <row r="5628" spans="1:10" x14ac:dyDescent="0.25">
      <c r="A5628" t="s">
        <v>20231</v>
      </c>
      <c r="B5628">
        <v>12</v>
      </c>
      <c r="C5628" t="s">
        <v>20232</v>
      </c>
      <c r="D5628" t="s">
        <v>870</v>
      </c>
      <c r="E5628" t="s">
        <v>20220</v>
      </c>
      <c r="F5628" t="s">
        <v>7672</v>
      </c>
      <c r="G5628" t="s">
        <v>20221</v>
      </c>
      <c r="H5628" t="s">
        <v>7674</v>
      </c>
      <c r="I5628" t="s">
        <v>20224</v>
      </c>
      <c r="J5628" t="s">
        <v>8885</v>
      </c>
    </row>
    <row r="5629" spans="1:10" x14ac:dyDescent="0.25">
      <c r="A5629" t="s">
        <v>20233</v>
      </c>
      <c r="B5629">
        <v>12</v>
      </c>
      <c r="C5629" t="s">
        <v>20234</v>
      </c>
      <c r="D5629" t="s">
        <v>379</v>
      </c>
      <c r="E5629" t="s">
        <v>20220</v>
      </c>
      <c r="F5629" t="s">
        <v>7672</v>
      </c>
      <c r="G5629" t="s">
        <v>20221</v>
      </c>
      <c r="H5629" t="s">
        <v>7674</v>
      </c>
      <c r="I5629" t="s">
        <v>20224</v>
      </c>
      <c r="J5629" t="s">
        <v>10908</v>
      </c>
    </row>
    <row r="5630" spans="1:10" x14ac:dyDescent="0.25">
      <c r="A5630" t="s">
        <v>20235</v>
      </c>
      <c r="B5630">
        <v>12</v>
      </c>
      <c r="C5630" t="s">
        <v>20236</v>
      </c>
      <c r="D5630" t="s">
        <v>95</v>
      </c>
      <c r="E5630" t="s">
        <v>20220</v>
      </c>
      <c r="F5630" t="s">
        <v>7672</v>
      </c>
      <c r="G5630" t="s">
        <v>20221</v>
      </c>
      <c r="H5630" t="s">
        <v>7674</v>
      </c>
      <c r="I5630" t="s">
        <v>20237</v>
      </c>
      <c r="J5630" t="s">
        <v>10908</v>
      </c>
    </row>
    <row r="5631" spans="1:10" x14ac:dyDescent="0.25">
      <c r="A5631" t="s">
        <v>20238</v>
      </c>
      <c r="B5631">
        <v>12</v>
      </c>
      <c r="C5631" t="s">
        <v>20239</v>
      </c>
      <c r="D5631" t="s">
        <v>959</v>
      </c>
      <c r="E5631" t="s">
        <v>20220</v>
      </c>
      <c r="F5631" t="s">
        <v>7672</v>
      </c>
      <c r="G5631" t="s">
        <v>20221</v>
      </c>
      <c r="H5631" t="s">
        <v>7674</v>
      </c>
      <c r="I5631" t="s">
        <v>19547</v>
      </c>
      <c r="J5631" t="s">
        <v>10908</v>
      </c>
    </row>
    <row r="5632" spans="1:10" x14ac:dyDescent="0.25">
      <c r="A5632" t="s">
        <v>20240</v>
      </c>
      <c r="B5632">
        <v>12</v>
      </c>
      <c r="C5632" t="s">
        <v>20241</v>
      </c>
      <c r="D5632" t="s">
        <v>234</v>
      </c>
      <c r="E5632" t="s">
        <v>20220</v>
      </c>
      <c r="F5632" t="s">
        <v>7672</v>
      </c>
      <c r="G5632" t="s">
        <v>20221</v>
      </c>
      <c r="H5632" t="s">
        <v>7674</v>
      </c>
      <c r="I5632" t="s">
        <v>20224</v>
      </c>
      <c r="J5632" t="s">
        <v>10918</v>
      </c>
    </row>
    <row r="5633" spans="1:10" x14ac:dyDescent="0.25">
      <c r="A5633" t="s">
        <v>20242</v>
      </c>
      <c r="B5633">
        <v>12</v>
      </c>
      <c r="C5633" t="s">
        <v>20243</v>
      </c>
      <c r="D5633" t="s">
        <v>321</v>
      </c>
      <c r="E5633" t="s">
        <v>20220</v>
      </c>
      <c r="F5633" t="s">
        <v>7672</v>
      </c>
      <c r="G5633" t="s">
        <v>20221</v>
      </c>
      <c r="H5633" t="s">
        <v>7674</v>
      </c>
      <c r="I5633" t="s">
        <v>20224</v>
      </c>
      <c r="J5633" t="s">
        <v>10926</v>
      </c>
    </row>
    <row r="5634" spans="1:10" x14ac:dyDescent="0.25">
      <c r="A5634" t="s">
        <v>20244</v>
      </c>
      <c r="B5634">
        <v>12</v>
      </c>
      <c r="C5634" t="s">
        <v>20245</v>
      </c>
      <c r="D5634" t="s">
        <v>835</v>
      </c>
      <c r="E5634" t="s">
        <v>20220</v>
      </c>
      <c r="F5634" t="s">
        <v>7672</v>
      </c>
      <c r="G5634" t="s">
        <v>20221</v>
      </c>
      <c r="H5634" t="s">
        <v>7674</v>
      </c>
      <c r="I5634" t="s">
        <v>20237</v>
      </c>
      <c r="J5634" t="s">
        <v>10926</v>
      </c>
    </row>
    <row r="5635" spans="1:10" x14ac:dyDescent="0.25">
      <c r="A5635" t="s">
        <v>20246</v>
      </c>
      <c r="B5635">
        <v>12</v>
      </c>
      <c r="C5635" t="s">
        <v>20247</v>
      </c>
      <c r="D5635" t="s">
        <v>199</v>
      </c>
      <c r="E5635" t="s">
        <v>20220</v>
      </c>
      <c r="F5635" t="s">
        <v>7672</v>
      </c>
      <c r="G5635" t="s">
        <v>20221</v>
      </c>
      <c r="H5635" t="s">
        <v>7674</v>
      </c>
      <c r="I5635" t="s">
        <v>19547</v>
      </c>
      <c r="J5635" t="s">
        <v>10926</v>
      </c>
    </row>
    <row r="5636" spans="1:10" x14ac:dyDescent="0.25">
      <c r="A5636" t="s">
        <v>20248</v>
      </c>
      <c r="B5636">
        <v>12</v>
      </c>
      <c r="C5636" t="s">
        <v>20249</v>
      </c>
      <c r="D5636" t="s">
        <v>2253</v>
      </c>
      <c r="E5636" t="s">
        <v>20220</v>
      </c>
      <c r="F5636" t="s">
        <v>7672</v>
      </c>
      <c r="G5636" t="s">
        <v>20221</v>
      </c>
      <c r="H5636" t="s">
        <v>7674</v>
      </c>
      <c r="I5636" t="s">
        <v>20224</v>
      </c>
      <c r="J5636" t="s">
        <v>9061</v>
      </c>
    </row>
    <row r="5637" spans="1:10" x14ac:dyDescent="0.25">
      <c r="A5637" t="s">
        <v>20250</v>
      </c>
      <c r="B5637">
        <v>12</v>
      </c>
      <c r="C5637" t="s">
        <v>20251</v>
      </c>
      <c r="D5637" t="s">
        <v>240</v>
      </c>
      <c r="E5637" t="s">
        <v>20220</v>
      </c>
      <c r="F5637" t="s">
        <v>7672</v>
      </c>
      <c r="G5637" t="s">
        <v>20221</v>
      </c>
      <c r="H5637" t="s">
        <v>7674</v>
      </c>
      <c r="I5637" t="s">
        <v>20237</v>
      </c>
      <c r="J5637" t="s">
        <v>9061</v>
      </c>
    </row>
    <row r="5638" spans="1:10" x14ac:dyDescent="0.25">
      <c r="A5638" t="s">
        <v>20252</v>
      </c>
      <c r="B5638">
        <v>12</v>
      </c>
      <c r="C5638" t="s">
        <v>20253</v>
      </c>
      <c r="D5638" t="s">
        <v>742</v>
      </c>
      <c r="E5638" t="s">
        <v>20220</v>
      </c>
      <c r="F5638" t="s">
        <v>7672</v>
      </c>
      <c r="G5638" t="s">
        <v>20221</v>
      </c>
      <c r="H5638" t="s">
        <v>7674</v>
      </c>
      <c r="I5638" t="s">
        <v>19547</v>
      </c>
      <c r="J5638" t="s">
        <v>9061</v>
      </c>
    </row>
    <row r="5639" spans="1:10" x14ac:dyDescent="0.25">
      <c r="A5639" t="s">
        <v>5358</v>
      </c>
      <c r="B5639">
        <v>36</v>
      </c>
      <c r="C5639" t="s">
        <v>5360</v>
      </c>
      <c r="D5639" t="s">
        <v>255</v>
      </c>
      <c r="E5639" t="s">
        <v>5361</v>
      </c>
      <c r="F5639" t="s">
        <v>7672</v>
      </c>
      <c r="G5639" t="s">
        <v>20254</v>
      </c>
      <c r="H5639" t="s">
        <v>10970</v>
      </c>
      <c r="I5639" t="s">
        <v>76</v>
      </c>
      <c r="J5639" t="s">
        <v>7981</v>
      </c>
    </row>
    <row r="5640" spans="1:10" x14ac:dyDescent="0.25">
      <c r="A5640" t="s">
        <v>5365</v>
      </c>
      <c r="B5640">
        <v>36</v>
      </c>
      <c r="C5640" t="s">
        <v>5367</v>
      </c>
      <c r="D5640" t="s">
        <v>379</v>
      </c>
      <c r="E5640" t="s">
        <v>5361</v>
      </c>
      <c r="F5640" t="s">
        <v>7672</v>
      </c>
      <c r="G5640" t="s">
        <v>20254</v>
      </c>
      <c r="H5640" t="s">
        <v>10970</v>
      </c>
      <c r="I5640" t="s">
        <v>235</v>
      </c>
      <c r="J5640" t="s">
        <v>7981</v>
      </c>
    </row>
    <row r="5641" spans="1:10" x14ac:dyDescent="0.25">
      <c r="A5641" t="s">
        <v>5371</v>
      </c>
      <c r="B5641">
        <v>36</v>
      </c>
      <c r="C5641" t="s">
        <v>5373</v>
      </c>
      <c r="D5641" t="s">
        <v>1254</v>
      </c>
      <c r="E5641" t="s">
        <v>5361</v>
      </c>
      <c r="F5641" t="s">
        <v>7672</v>
      </c>
      <c r="G5641" t="s">
        <v>20254</v>
      </c>
      <c r="H5641" t="s">
        <v>10970</v>
      </c>
      <c r="I5641" t="s">
        <v>235</v>
      </c>
      <c r="J5641" t="s">
        <v>7984</v>
      </c>
    </row>
    <row r="5642" spans="1:10" x14ac:dyDescent="0.25">
      <c r="A5642" t="s">
        <v>5376</v>
      </c>
      <c r="B5642">
        <v>36</v>
      </c>
      <c r="C5642" t="s">
        <v>5378</v>
      </c>
      <c r="D5642" t="s">
        <v>582</v>
      </c>
      <c r="E5642" t="s">
        <v>5361</v>
      </c>
      <c r="F5642" t="s">
        <v>7672</v>
      </c>
      <c r="G5642" t="s">
        <v>20254</v>
      </c>
      <c r="H5642" t="s">
        <v>10970</v>
      </c>
      <c r="I5642" t="s">
        <v>76</v>
      </c>
      <c r="J5642" t="s">
        <v>7984</v>
      </c>
    </row>
    <row r="5643" spans="1:10" x14ac:dyDescent="0.25">
      <c r="A5643" t="s">
        <v>5381</v>
      </c>
      <c r="B5643">
        <v>36</v>
      </c>
      <c r="C5643" t="s">
        <v>5383</v>
      </c>
      <c r="D5643" t="s">
        <v>4270</v>
      </c>
      <c r="E5643" t="s">
        <v>5361</v>
      </c>
      <c r="F5643" t="s">
        <v>7672</v>
      </c>
      <c r="G5643" t="s">
        <v>20254</v>
      </c>
      <c r="H5643" t="s">
        <v>10970</v>
      </c>
      <c r="I5643" t="s">
        <v>235</v>
      </c>
      <c r="J5643" t="s">
        <v>7987</v>
      </c>
    </row>
    <row r="5644" spans="1:10" x14ac:dyDescent="0.25">
      <c r="A5644" t="s">
        <v>5386</v>
      </c>
      <c r="B5644">
        <v>36</v>
      </c>
      <c r="C5644" t="s">
        <v>5388</v>
      </c>
      <c r="D5644" t="s">
        <v>843</v>
      </c>
      <c r="E5644" t="s">
        <v>5361</v>
      </c>
      <c r="F5644" t="s">
        <v>7672</v>
      </c>
      <c r="G5644" t="s">
        <v>20254</v>
      </c>
      <c r="H5644" t="s">
        <v>10970</v>
      </c>
      <c r="I5644" t="s">
        <v>76</v>
      </c>
      <c r="J5644" t="s">
        <v>7987</v>
      </c>
    </row>
    <row r="5645" spans="1:10" x14ac:dyDescent="0.25">
      <c r="A5645" t="s">
        <v>20255</v>
      </c>
      <c r="B5645">
        <v>15.6</v>
      </c>
      <c r="C5645" t="s">
        <v>20256</v>
      </c>
      <c r="D5645" t="s">
        <v>1143</v>
      </c>
      <c r="E5645" t="s">
        <v>20257</v>
      </c>
      <c r="F5645" t="s">
        <v>7672</v>
      </c>
      <c r="G5645" t="s">
        <v>20258</v>
      </c>
      <c r="H5645" t="s">
        <v>10321</v>
      </c>
      <c r="I5645" t="s">
        <v>1243</v>
      </c>
      <c r="J5645" t="s">
        <v>8427</v>
      </c>
    </row>
    <row r="5646" spans="1:10" x14ac:dyDescent="0.25">
      <c r="A5646" t="s">
        <v>20259</v>
      </c>
      <c r="B5646">
        <v>15.6</v>
      </c>
      <c r="C5646" t="s">
        <v>20260</v>
      </c>
      <c r="D5646" t="s">
        <v>2072</v>
      </c>
      <c r="E5646" t="s">
        <v>20257</v>
      </c>
      <c r="F5646" t="s">
        <v>7672</v>
      </c>
      <c r="G5646" t="s">
        <v>20258</v>
      </c>
      <c r="H5646" t="s">
        <v>10321</v>
      </c>
      <c r="I5646" t="s">
        <v>145</v>
      </c>
      <c r="J5646" t="s">
        <v>8427</v>
      </c>
    </row>
    <row r="5647" spans="1:10" x14ac:dyDescent="0.25">
      <c r="A5647" t="s">
        <v>20261</v>
      </c>
      <c r="B5647">
        <v>15.6</v>
      </c>
      <c r="C5647" t="s">
        <v>20262</v>
      </c>
      <c r="D5647" t="s">
        <v>118</v>
      </c>
      <c r="E5647" t="s">
        <v>20257</v>
      </c>
      <c r="F5647" t="s">
        <v>7672</v>
      </c>
      <c r="G5647" t="s">
        <v>20258</v>
      </c>
      <c r="H5647" t="s">
        <v>10321</v>
      </c>
      <c r="I5647" t="s">
        <v>1243</v>
      </c>
      <c r="J5647" t="s">
        <v>8439</v>
      </c>
    </row>
    <row r="5648" spans="1:10" x14ac:dyDescent="0.25">
      <c r="A5648" t="s">
        <v>20263</v>
      </c>
      <c r="B5648">
        <v>15.6</v>
      </c>
      <c r="C5648" t="s">
        <v>20264</v>
      </c>
      <c r="D5648" t="s">
        <v>296</v>
      </c>
      <c r="E5648" t="s">
        <v>20257</v>
      </c>
      <c r="F5648" t="s">
        <v>7672</v>
      </c>
      <c r="G5648" t="s">
        <v>20258</v>
      </c>
      <c r="H5648" t="s">
        <v>10321</v>
      </c>
      <c r="I5648" t="s">
        <v>145</v>
      </c>
      <c r="J5648" t="s">
        <v>8439</v>
      </c>
    </row>
    <row r="5649" spans="1:10" x14ac:dyDescent="0.25">
      <c r="A5649" t="s">
        <v>20265</v>
      </c>
      <c r="B5649">
        <v>15.6</v>
      </c>
      <c r="C5649" t="s">
        <v>20266</v>
      </c>
      <c r="D5649" t="s">
        <v>1536</v>
      </c>
      <c r="E5649" t="s">
        <v>20257</v>
      </c>
      <c r="F5649" t="s">
        <v>7672</v>
      </c>
      <c r="G5649" t="s">
        <v>20258</v>
      </c>
      <c r="H5649" t="s">
        <v>10321</v>
      </c>
      <c r="I5649" t="s">
        <v>145</v>
      </c>
      <c r="J5649" t="s">
        <v>8451</v>
      </c>
    </row>
    <row r="5650" spans="1:10" x14ac:dyDescent="0.25">
      <c r="A5650" t="s">
        <v>20267</v>
      </c>
      <c r="B5650">
        <v>15.6</v>
      </c>
      <c r="C5650" t="s">
        <v>20268</v>
      </c>
      <c r="D5650" t="s">
        <v>3378</v>
      </c>
      <c r="E5650" t="s">
        <v>20257</v>
      </c>
      <c r="F5650" t="s">
        <v>7672</v>
      </c>
      <c r="G5650" t="s">
        <v>20258</v>
      </c>
      <c r="H5650" t="s">
        <v>10321</v>
      </c>
      <c r="I5650" t="s">
        <v>1243</v>
      </c>
      <c r="J5650" t="s">
        <v>8451</v>
      </c>
    </row>
    <row r="5651" spans="1:10" x14ac:dyDescent="0.25">
      <c r="A5651" t="s">
        <v>20269</v>
      </c>
      <c r="B5651">
        <v>5.7600000000000007</v>
      </c>
      <c r="C5651" t="s">
        <v>20270</v>
      </c>
      <c r="D5651" t="s">
        <v>8786</v>
      </c>
      <c r="E5651" t="s">
        <v>20271</v>
      </c>
      <c r="F5651" t="s">
        <v>7672</v>
      </c>
      <c r="G5651" t="s">
        <v>20272</v>
      </c>
      <c r="H5651" t="s">
        <v>11381</v>
      </c>
      <c r="I5651" t="s">
        <v>76</v>
      </c>
      <c r="J5651" t="s">
        <v>7984</v>
      </c>
    </row>
    <row r="5652" spans="1:10" x14ac:dyDescent="0.25">
      <c r="A5652" t="s">
        <v>20273</v>
      </c>
      <c r="B5652">
        <v>5.7600000000000007</v>
      </c>
      <c r="C5652" t="s">
        <v>20274</v>
      </c>
      <c r="D5652" t="s">
        <v>4327</v>
      </c>
      <c r="E5652" t="s">
        <v>20271</v>
      </c>
      <c r="F5652" t="s">
        <v>7672</v>
      </c>
      <c r="G5652" t="s">
        <v>20272</v>
      </c>
      <c r="H5652" t="s">
        <v>11381</v>
      </c>
      <c r="I5652" t="s">
        <v>9116</v>
      </c>
      <c r="J5652" t="s">
        <v>7984</v>
      </c>
    </row>
    <row r="5653" spans="1:10" x14ac:dyDescent="0.25">
      <c r="A5653" t="s">
        <v>20275</v>
      </c>
      <c r="B5653">
        <v>5.7600000000000007</v>
      </c>
      <c r="C5653" t="s">
        <v>20276</v>
      </c>
      <c r="D5653" t="s">
        <v>2248</v>
      </c>
      <c r="E5653" t="s">
        <v>20271</v>
      </c>
      <c r="F5653" t="s">
        <v>7672</v>
      </c>
      <c r="G5653" t="s">
        <v>20272</v>
      </c>
      <c r="H5653" t="s">
        <v>11381</v>
      </c>
      <c r="I5653" t="s">
        <v>5679</v>
      </c>
      <c r="J5653" t="s">
        <v>7984</v>
      </c>
    </row>
    <row r="5654" spans="1:10" x14ac:dyDescent="0.25">
      <c r="A5654" t="s">
        <v>20277</v>
      </c>
      <c r="B5654">
        <v>5.7600000000000007</v>
      </c>
      <c r="C5654" t="s">
        <v>20278</v>
      </c>
      <c r="D5654" t="s">
        <v>1811</v>
      </c>
      <c r="E5654" t="s">
        <v>20271</v>
      </c>
      <c r="F5654" t="s">
        <v>7672</v>
      </c>
      <c r="G5654" t="s">
        <v>20272</v>
      </c>
      <c r="H5654" t="s">
        <v>11381</v>
      </c>
      <c r="I5654" t="s">
        <v>9116</v>
      </c>
      <c r="J5654" t="s">
        <v>7987</v>
      </c>
    </row>
    <row r="5655" spans="1:10" x14ac:dyDescent="0.25">
      <c r="A5655" t="s">
        <v>20279</v>
      </c>
      <c r="B5655">
        <v>5.7600000000000007</v>
      </c>
      <c r="C5655" t="s">
        <v>20280</v>
      </c>
      <c r="D5655" t="s">
        <v>5283</v>
      </c>
      <c r="E5655" t="s">
        <v>20271</v>
      </c>
      <c r="F5655" t="s">
        <v>7672</v>
      </c>
      <c r="G5655" t="s">
        <v>20272</v>
      </c>
      <c r="H5655" t="s">
        <v>11381</v>
      </c>
      <c r="I5655" t="s">
        <v>5679</v>
      </c>
      <c r="J5655" t="s">
        <v>7987</v>
      </c>
    </row>
    <row r="5656" spans="1:10" x14ac:dyDescent="0.25">
      <c r="A5656" t="s">
        <v>20281</v>
      </c>
      <c r="B5656">
        <v>3.24</v>
      </c>
      <c r="C5656" t="s">
        <v>20282</v>
      </c>
      <c r="D5656" t="s">
        <v>10449</v>
      </c>
      <c r="E5656" t="s">
        <v>20283</v>
      </c>
      <c r="F5656" t="s">
        <v>7672</v>
      </c>
      <c r="G5656" t="s">
        <v>20284</v>
      </c>
      <c r="H5656" t="s">
        <v>10298</v>
      </c>
      <c r="I5656" t="s">
        <v>8158</v>
      </c>
      <c r="J5656" t="s">
        <v>7942</v>
      </c>
    </row>
    <row r="5657" spans="1:10" x14ac:dyDescent="0.25">
      <c r="A5657" t="s">
        <v>20285</v>
      </c>
      <c r="B5657">
        <v>3.24</v>
      </c>
      <c r="C5657" t="s">
        <v>20286</v>
      </c>
      <c r="D5657" t="s">
        <v>12349</v>
      </c>
      <c r="E5657" t="s">
        <v>20283</v>
      </c>
      <c r="F5657" t="s">
        <v>7672</v>
      </c>
      <c r="G5657" t="s">
        <v>20284</v>
      </c>
      <c r="H5657" t="s">
        <v>10298</v>
      </c>
      <c r="I5657" t="s">
        <v>278</v>
      </c>
      <c r="J5657" t="s">
        <v>7942</v>
      </c>
    </row>
    <row r="5658" spans="1:10" x14ac:dyDescent="0.25">
      <c r="A5658" t="s">
        <v>20287</v>
      </c>
      <c r="B5658">
        <v>3.24</v>
      </c>
      <c r="C5658" t="s">
        <v>20288</v>
      </c>
      <c r="D5658" t="s">
        <v>20289</v>
      </c>
      <c r="E5658" t="s">
        <v>20283</v>
      </c>
      <c r="F5658" t="s">
        <v>7672</v>
      </c>
      <c r="G5658" t="s">
        <v>20284</v>
      </c>
      <c r="H5658" t="s">
        <v>10298</v>
      </c>
      <c r="I5658" t="s">
        <v>8158</v>
      </c>
      <c r="J5658" t="s">
        <v>7981</v>
      </c>
    </row>
    <row r="5659" spans="1:10" x14ac:dyDescent="0.25">
      <c r="A5659" t="s">
        <v>20290</v>
      </c>
      <c r="B5659">
        <v>3.24</v>
      </c>
      <c r="C5659" t="s">
        <v>20291</v>
      </c>
      <c r="D5659" t="s">
        <v>13257</v>
      </c>
      <c r="E5659" t="s">
        <v>20283</v>
      </c>
      <c r="F5659" t="s">
        <v>7672</v>
      </c>
      <c r="G5659" t="s">
        <v>20284</v>
      </c>
      <c r="H5659" t="s">
        <v>10298</v>
      </c>
      <c r="I5659" t="s">
        <v>278</v>
      </c>
      <c r="J5659" t="s">
        <v>7981</v>
      </c>
    </row>
    <row r="5660" spans="1:10" x14ac:dyDescent="0.25">
      <c r="A5660" t="s">
        <v>20292</v>
      </c>
      <c r="B5660">
        <v>3.24</v>
      </c>
      <c r="C5660" t="s">
        <v>20293</v>
      </c>
      <c r="D5660" t="s">
        <v>15774</v>
      </c>
      <c r="E5660" t="s">
        <v>20283</v>
      </c>
      <c r="F5660" t="s">
        <v>7672</v>
      </c>
      <c r="G5660" t="s">
        <v>20284</v>
      </c>
      <c r="H5660" t="s">
        <v>10298</v>
      </c>
      <c r="I5660" t="s">
        <v>8158</v>
      </c>
      <c r="J5660" t="s">
        <v>7984</v>
      </c>
    </row>
    <row r="5661" spans="1:10" x14ac:dyDescent="0.25">
      <c r="A5661" t="s">
        <v>20294</v>
      </c>
      <c r="B5661">
        <v>3.24</v>
      </c>
      <c r="C5661" t="s">
        <v>20295</v>
      </c>
      <c r="D5661" t="s">
        <v>16067</v>
      </c>
      <c r="E5661" t="s">
        <v>20283</v>
      </c>
      <c r="F5661" t="s">
        <v>7672</v>
      </c>
      <c r="G5661" t="s">
        <v>20284</v>
      </c>
      <c r="H5661" t="s">
        <v>10298</v>
      </c>
      <c r="I5661" t="s">
        <v>278</v>
      </c>
      <c r="J5661" t="s">
        <v>7984</v>
      </c>
    </row>
    <row r="5662" spans="1:10" x14ac:dyDescent="0.25">
      <c r="A5662" t="s">
        <v>20296</v>
      </c>
      <c r="B5662">
        <v>3.24</v>
      </c>
      <c r="C5662" t="s">
        <v>20297</v>
      </c>
      <c r="D5662" t="s">
        <v>3399</v>
      </c>
      <c r="E5662" t="s">
        <v>20283</v>
      </c>
      <c r="F5662" t="s">
        <v>7672</v>
      </c>
      <c r="G5662" t="s">
        <v>20284</v>
      </c>
      <c r="H5662" t="s">
        <v>10298</v>
      </c>
      <c r="I5662" t="s">
        <v>8158</v>
      </c>
      <c r="J5662" t="s">
        <v>7987</v>
      </c>
    </row>
    <row r="5663" spans="1:10" x14ac:dyDescent="0.25">
      <c r="A5663" t="s">
        <v>20298</v>
      </c>
      <c r="B5663">
        <v>3.24</v>
      </c>
      <c r="C5663" t="s">
        <v>20299</v>
      </c>
      <c r="D5663" t="s">
        <v>20300</v>
      </c>
      <c r="E5663" t="s">
        <v>20283</v>
      </c>
      <c r="F5663" t="s">
        <v>7672</v>
      </c>
      <c r="G5663" t="s">
        <v>20284</v>
      </c>
      <c r="H5663" t="s">
        <v>10298</v>
      </c>
      <c r="I5663" t="s">
        <v>278</v>
      </c>
      <c r="J5663" t="s">
        <v>7987</v>
      </c>
    </row>
    <row r="5664" spans="1:10" x14ac:dyDescent="0.25">
      <c r="A5664" t="s">
        <v>20301</v>
      </c>
      <c r="B5664">
        <v>3.24</v>
      </c>
      <c r="C5664" t="s">
        <v>20302</v>
      </c>
      <c r="D5664" t="s">
        <v>20289</v>
      </c>
      <c r="E5664" t="s">
        <v>20283</v>
      </c>
      <c r="F5664" t="s">
        <v>7672</v>
      </c>
      <c r="G5664" t="s">
        <v>20284</v>
      </c>
      <c r="H5664" t="s">
        <v>10298</v>
      </c>
      <c r="I5664" t="s">
        <v>8158</v>
      </c>
      <c r="J5664" t="s">
        <v>8001</v>
      </c>
    </row>
    <row r="5665" spans="1:10" x14ac:dyDescent="0.25">
      <c r="A5665" t="s">
        <v>20303</v>
      </c>
      <c r="B5665">
        <v>3.24</v>
      </c>
      <c r="C5665" t="s">
        <v>20304</v>
      </c>
      <c r="D5665" t="s">
        <v>7798</v>
      </c>
      <c r="E5665" t="s">
        <v>20283</v>
      </c>
      <c r="F5665" t="s">
        <v>7672</v>
      </c>
      <c r="G5665" t="s">
        <v>20284</v>
      </c>
      <c r="H5665" t="s">
        <v>10298</v>
      </c>
      <c r="I5665" t="s">
        <v>278</v>
      </c>
      <c r="J5665" t="s">
        <v>8001</v>
      </c>
    </row>
    <row r="5666" spans="1:10" x14ac:dyDescent="0.25">
      <c r="A5666" t="s">
        <v>20305</v>
      </c>
      <c r="B5666">
        <v>3.24</v>
      </c>
      <c r="C5666" t="s">
        <v>20306</v>
      </c>
      <c r="D5666" t="s">
        <v>593</v>
      </c>
      <c r="E5666" t="s">
        <v>20283</v>
      </c>
      <c r="F5666" t="s">
        <v>7672</v>
      </c>
      <c r="G5666" t="s">
        <v>20284</v>
      </c>
      <c r="H5666" t="s">
        <v>10298</v>
      </c>
      <c r="I5666" t="s">
        <v>8158</v>
      </c>
      <c r="J5666" t="s">
        <v>8013</v>
      </c>
    </row>
    <row r="5667" spans="1:10" x14ac:dyDescent="0.25">
      <c r="A5667" t="s">
        <v>20307</v>
      </c>
      <c r="B5667">
        <v>3.24</v>
      </c>
      <c r="C5667" t="s">
        <v>20308</v>
      </c>
      <c r="D5667" t="s">
        <v>11146</v>
      </c>
      <c r="E5667" t="s">
        <v>20283</v>
      </c>
      <c r="F5667" t="s">
        <v>7672</v>
      </c>
      <c r="G5667" t="s">
        <v>20284</v>
      </c>
      <c r="H5667" t="s">
        <v>10298</v>
      </c>
      <c r="I5667" t="s">
        <v>278</v>
      </c>
      <c r="J5667" t="s">
        <v>8013</v>
      </c>
    </row>
    <row r="5668" spans="1:10" x14ac:dyDescent="0.25">
      <c r="A5668" t="s">
        <v>20309</v>
      </c>
      <c r="B5668">
        <v>3.52</v>
      </c>
      <c r="C5668" t="s">
        <v>20310</v>
      </c>
      <c r="D5668" t="s">
        <v>7712</v>
      </c>
      <c r="E5668" t="s">
        <v>20311</v>
      </c>
      <c r="F5668" t="s">
        <v>7672</v>
      </c>
      <c r="G5668" t="s">
        <v>20312</v>
      </c>
      <c r="H5668" t="s">
        <v>10298</v>
      </c>
      <c r="I5668" t="s">
        <v>497</v>
      </c>
      <c r="J5668" t="s">
        <v>7981</v>
      </c>
    </row>
    <row r="5669" spans="1:10" x14ac:dyDescent="0.25">
      <c r="A5669" t="s">
        <v>20313</v>
      </c>
      <c r="B5669">
        <v>5.120000000000001</v>
      </c>
      <c r="C5669" t="s">
        <v>20314</v>
      </c>
      <c r="D5669" t="s">
        <v>2855</v>
      </c>
      <c r="E5669" t="s">
        <v>20315</v>
      </c>
      <c r="F5669" t="s">
        <v>7672</v>
      </c>
      <c r="G5669" t="s">
        <v>20316</v>
      </c>
      <c r="H5669" t="s">
        <v>11496</v>
      </c>
      <c r="I5669" t="s">
        <v>12606</v>
      </c>
      <c r="J5669" t="s">
        <v>9423</v>
      </c>
    </row>
    <row r="5670" spans="1:10" x14ac:dyDescent="0.25">
      <c r="A5670" t="s">
        <v>20317</v>
      </c>
      <c r="B5670">
        <v>5.120000000000001</v>
      </c>
      <c r="C5670" t="s">
        <v>20318</v>
      </c>
      <c r="D5670" t="s">
        <v>5179</v>
      </c>
      <c r="E5670" t="s">
        <v>20315</v>
      </c>
      <c r="F5670" t="s">
        <v>7672</v>
      </c>
      <c r="G5670" t="s">
        <v>20316</v>
      </c>
      <c r="H5670" t="s">
        <v>11496</v>
      </c>
      <c r="I5670" t="s">
        <v>12606</v>
      </c>
      <c r="J5670" t="s">
        <v>9426</v>
      </c>
    </row>
    <row r="5671" spans="1:10" x14ac:dyDescent="0.25">
      <c r="A5671" t="s">
        <v>20319</v>
      </c>
      <c r="B5671">
        <v>5.120000000000001</v>
      </c>
      <c r="C5671" t="s">
        <v>20320</v>
      </c>
      <c r="D5671" t="s">
        <v>12553</v>
      </c>
      <c r="E5671" t="s">
        <v>20315</v>
      </c>
      <c r="F5671" t="s">
        <v>7672</v>
      </c>
      <c r="G5671" t="s">
        <v>20316</v>
      </c>
      <c r="H5671" t="s">
        <v>11496</v>
      </c>
      <c r="I5671" t="s">
        <v>12606</v>
      </c>
      <c r="J5671" t="s">
        <v>10862</v>
      </c>
    </row>
    <row r="5672" spans="1:10" x14ac:dyDescent="0.25">
      <c r="A5672" t="s">
        <v>20321</v>
      </c>
      <c r="B5672">
        <v>5.120000000000001</v>
      </c>
      <c r="C5672" t="s">
        <v>20322</v>
      </c>
      <c r="D5672" t="s">
        <v>11239</v>
      </c>
      <c r="E5672" t="s">
        <v>20315</v>
      </c>
      <c r="F5672" t="s">
        <v>7672</v>
      </c>
      <c r="G5672" t="s">
        <v>20316</v>
      </c>
      <c r="H5672" t="s">
        <v>11496</v>
      </c>
      <c r="I5672" t="s">
        <v>12606</v>
      </c>
      <c r="J5672" t="s">
        <v>13084</v>
      </c>
    </row>
    <row r="5673" spans="1:10" x14ac:dyDescent="0.25">
      <c r="A5673" t="s">
        <v>20323</v>
      </c>
      <c r="B5673">
        <v>5.120000000000001</v>
      </c>
      <c r="C5673" t="s">
        <v>20324</v>
      </c>
      <c r="D5673" t="s">
        <v>2596</v>
      </c>
      <c r="E5673" t="s">
        <v>20315</v>
      </c>
      <c r="F5673" t="s">
        <v>7672</v>
      </c>
      <c r="G5673" t="s">
        <v>20316</v>
      </c>
      <c r="H5673" t="s">
        <v>11496</v>
      </c>
      <c r="I5673" t="s">
        <v>12606</v>
      </c>
      <c r="J5673" t="s">
        <v>11767</v>
      </c>
    </row>
    <row r="5674" spans="1:10" x14ac:dyDescent="0.25">
      <c r="A5674" t="s">
        <v>20325</v>
      </c>
      <c r="B5674">
        <v>5.120000000000001</v>
      </c>
      <c r="C5674" t="s">
        <v>20326</v>
      </c>
      <c r="D5674" t="s">
        <v>74</v>
      </c>
      <c r="E5674" t="s">
        <v>20315</v>
      </c>
      <c r="F5674" t="s">
        <v>7672</v>
      </c>
      <c r="G5674" t="s">
        <v>20316</v>
      </c>
      <c r="H5674" t="s">
        <v>11496</v>
      </c>
      <c r="I5674" t="s">
        <v>12606</v>
      </c>
      <c r="J5674" t="s">
        <v>11582</v>
      </c>
    </row>
    <row r="5675" spans="1:10" x14ac:dyDescent="0.25">
      <c r="A5675" t="s">
        <v>20327</v>
      </c>
      <c r="B5675">
        <v>7.8000000000000007</v>
      </c>
      <c r="C5675" t="s">
        <v>20328</v>
      </c>
      <c r="D5675" t="s">
        <v>250</v>
      </c>
      <c r="E5675" t="s">
        <v>20329</v>
      </c>
      <c r="F5675" t="s">
        <v>7672</v>
      </c>
      <c r="G5675" t="s">
        <v>20330</v>
      </c>
      <c r="H5675" t="s">
        <v>8027</v>
      </c>
      <c r="I5675" t="s">
        <v>20331</v>
      </c>
      <c r="J5675" t="s">
        <v>8891</v>
      </c>
    </row>
    <row r="5676" spans="1:10" x14ac:dyDescent="0.25">
      <c r="A5676" t="s">
        <v>20332</v>
      </c>
      <c r="B5676">
        <v>7.8000000000000007</v>
      </c>
      <c r="C5676" t="s">
        <v>20333</v>
      </c>
      <c r="D5676" t="s">
        <v>13346</v>
      </c>
      <c r="E5676" t="s">
        <v>20329</v>
      </c>
      <c r="F5676" t="s">
        <v>7672</v>
      </c>
      <c r="G5676" t="s">
        <v>20330</v>
      </c>
      <c r="H5676" t="s">
        <v>8027</v>
      </c>
      <c r="I5676" t="s">
        <v>8158</v>
      </c>
      <c r="J5676" t="s">
        <v>8891</v>
      </c>
    </row>
    <row r="5677" spans="1:10" x14ac:dyDescent="0.25">
      <c r="A5677" t="s">
        <v>20334</v>
      </c>
      <c r="B5677">
        <v>7.8000000000000007</v>
      </c>
      <c r="C5677" t="s">
        <v>20335</v>
      </c>
      <c r="D5677" t="s">
        <v>2652</v>
      </c>
      <c r="E5677" t="s">
        <v>20329</v>
      </c>
      <c r="F5677" t="s">
        <v>7672</v>
      </c>
      <c r="G5677" t="s">
        <v>20330</v>
      </c>
      <c r="H5677" t="s">
        <v>8027</v>
      </c>
      <c r="I5677" t="s">
        <v>20336</v>
      </c>
      <c r="J5677" t="s">
        <v>8891</v>
      </c>
    </row>
    <row r="5678" spans="1:10" x14ac:dyDescent="0.25">
      <c r="A5678" t="s">
        <v>20337</v>
      </c>
      <c r="B5678">
        <v>7.8000000000000007</v>
      </c>
      <c r="C5678" t="s">
        <v>20338</v>
      </c>
      <c r="D5678" t="s">
        <v>2910</v>
      </c>
      <c r="E5678" t="s">
        <v>20329</v>
      </c>
      <c r="F5678" t="s">
        <v>7672</v>
      </c>
      <c r="G5678" t="s">
        <v>20330</v>
      </c>
      <c r="H5678" t="s">
        <v>8027</v>
      </c>
      <c r="I5678" t="s">
        <v>20339</v>
      </c>
      <c r="J5678" t="s">
        <v>8891</v>
      </c>
    </row>
    <row r="5679" spans="1:10" x14ac:dyDescent="0.25">
      <c r="A5679" t="s">
        <v>20340</v>
      </c>
      <c r="B5679">
        <v>7.8000000000000007</v>
      </c>
      <c r="C5679" t="s">
        <v>20341</v>
      </c>
      <c r="D5679" t="s">
        <v>290</v>
      </c>
      <c r="E5679" t="s">
        <v>20329</v>
      </c>
      <c r="F5679" t="s">
        <v>7672</v>
      </c>
      <c r="G5679" t="s">
        <v>20330</v>
      </c>
      <c r="H5679" t="s">
        <v>8027</v>
      </c>
      <c r="I5679" t="s">
        <v>20331</v>
      </c>
      <c r="J5679" t="s">
        <v>8896</v>
      </c>
    </row>
    <row r="5680" spans="1:10" x14ac:dyDescent="0.25">
      <c r="A5680" t="s">
        <v>20342</v>
      </c>
      <c r="B5680">
        <v>7.8000000000000007</v>
      </c>
      <c r="C5680" t="s">
        <v>20343</v>
      </c>
      <c r="D5680" t="s">
        <v>151</v>
      </c>
      <c r="E5680" t="s">
        <v>20329</v>
      </c>
      <c r="F5680" t="s">
        <v>7672</v>
      </c>
      <c r="G5680" t="s">
        <v>20330</v>
      </c>
      <c r="H5680" t="s">
        <v>8027</v>
      </c>
      <c r="I5680" t="s">
        <v>20336</v>
      </c>
      <c r="J5680" t="s">
        <v>8896</v>
      </c>
    </row>
    <row r="5681" spans="1:10" x14ac:dyDescent="0.25">
      <c r="A5681" t="s">
        <v>20344</v>
      </c>
      <c r="B5681">
        <v>7.8000000000000007</v>
      </c>
      <c r="C5681" t="s">
        <v>20345</v>
      </c>
      <c r="D5681" t="s">
        <v>7926</v>
      </c>
      <c r="E5681" t="s">
        <v>20329</v>
      </c>
      <c r="F5681" t="s">
        <v>7672</v>
      </c>
      <c r="G5681" t="s">
        <v>20330</v>
      </c>
      <c r="H5681" t="s">
        <v>8027</v>
      </c>
      <c r="I5681" t="s">
        <v>8158</v>
      </c>
      <c r="J5681" t="s">
        <v>8896</v>
      </c>
    </row>
    <row r="5682" spans="1:10" x14ac:dyDescent="0.25">
      <c r="A5682" t="s">
        <v>20346</v>
      </c>
      <c r="B5682">
        <v>7.8000000000000007</v>
      </c>
      <c r="C5682" t="s">
        <v>20347</v>
      </c>
      <c r="D5682" t="s">
        <v>781</v>
      </c>
      <c r="E5682" t="s">
        <v>20329</v>
      </c>
      <c r="F5682" t="s">
        <v>7672</v>
      </c>
      <c r="G5682" t="s">
        <v>20330</v>
      </c>
      <c r="H5682" t="s">
        <v>8027</v>
      </c>
      <c r="I5682" t="s">
        <v>20339</v>
      </c>
      <c r="J5682" t="s">
        <v>8896</v>
      </c>
    </row>
    <row r="5683" spans="1:10" x14ac:dyDescent="0.25">
      <c r="A5683" t="s">
        <v>20348</v>
      </c>
      <c r="B5683">
        <v>7.8000000000000007</v>
      </c>
      <c r="C5683" t="s">
        <v>20349</v>
      </c>
      <c r="D5683" t="s">
        <v>2072</v>
      </c>
      <c r="E5683" t="s">
        <v>20329</v>
      </c>
      <c r="F5683" t="s">
        <v>7672</v>
      </c>
      <c r="G5683" t="s">
        <v>20330</v>
      </c>
      <c r="H5683" t="s">
        <v>8027</v>
      </c>
      <c r="I5683" t="s">
        <v>20331</v>
      </c>
      <c r="J5683" t="s">
        <v>9400</v>
      </c>
    </row>
    <row r="5684" spans="1:10" x14ac:dyDescent="0.25">
      <c r="A5684" t="s">
        <v>20350</v>
      </c>
      <c r="B5684">
        <v>7.8000000000000007</v>
      </c>
      <c r="C5684" t="s">
        <v>20351</v>
      </c>
      <c r="D5684" t="s">
        <v>158</v>
      </c>
      <c r="E5684" t="s">
        <v>20329</v>
      </c>
      <c r="F5684" t="s">
        <v>7672</v>
      </c>
      <c r="G5684" t="s">
        <v>20330</v>
      </c>
      <c r="H5684" t="s">
        <v>8027</v>
      </c>
      <c r="I5684" t="s">
        <v>20336</v>
      </c>
      <c r="J5684" t="s">
        <v>9400</v>
      </c>
    </row>
    <row r="5685" spans="1:10" x14ac:dyDescent="0.25">
      <c r="A5685" t="s">
        <v>20352</v>
      </c>
      <c r="B5685">
        <v>7.8000000000000007</v>
      </c>
      <c r="C5685" t="s">
        <v>20353</v>
      </c>
      <c r="D5685" t="s">
        <v>633</v>
      </c>
      <c r="E5685" t="s">
        <v>20329</v>
      </c>
      <c r="F5685" t="s">
        <v>7672</v>
      </c>
      <c r="G5685" t="s">
        <v>20330</v>
      </c>
      <c r="H5685" t="s">
        <v>8027</v>
      </c>
      <c r="I5685" t="s">
        <v>20339</v>
      </c>
      <c r="J5685" t="s">
        <v>9400</v>
      </c>
    </row>
    <row r="5686" spans="1:10" x14ac:dyDescent="0.25">
      <c r="A5686" t="s">
        <v>20354</v>
      </c>
      <c r="B5686">
        <v>7.8000000000000007</v>
      </c>
      <c r="C5686" t="s">
        <v>20355</v>
      </c>
      <c r="D5686" t="s">
        <v>8881</v>
      </c>
      <c r="E5686" t="s">
        <v>20329</v>
      </c>
      <c r="F5686" t="s">
        <v>7672</v>
      </c>
      <c r="G5686" t="s">
        <v>20330</v>
      </c>
      <c r="H5686" t="s">
        <v>8027</v>
      </c>
      <c r="I5686" t="s">
        <v>8158</v>
      </c>
      <c r="J5686" t="s">
        <v>9400</v>
      </c>
    </row>
    <row r="5687" spans="1:10" x14ac:dyDescent="0.25">
      <c r="A5687" t="s">
        <v>20356</v>
      </c>
      <c r="B5687">
        <v>7.8000000000000007</v>
      </c>
      <c r="C5687" t="s">
        <v>20357</v>
      </c>
      <c r="D5687" t="s">
        <v>9312</v>
      </c>
      <c r="E5687" t="s">
        <v>20329</v>
      </c>
      <c r="F5687" t="s">
        <v>7672</v>
      </c>
      <c r="G5687" t="s">
        <v>20330</v>
      </c>
      <c r="H5687" t="s">
        <v>8027</v>
      </c>
      <c r="I5687" t="s">
        <v>20336</v>
      </c>
      <c r="J5687" t="s">
        <v>9405</v>
      </c>
    </row>
    <row r="5688" spans="1:10" x14ac:dyDescent="0.25">
      <c r="A5688" t="s">
        <v>20358</v>
      </c>
      <c r="B5688">
        <v>7.8000000000000007</v>
      </c>
      <c r="C5688" t="s">
        <v>20359</v>
      </c>
      <c r="D5688" t="s">
        <v>843</v>
      </c>
      <c r="E5688" t="s">
        <v>20329</v>
      </c>
      <c r="F5688" t="s">
        <v>7672</v>
      </c>
      <c r="G5688" t="s">
        <v>20330</v>
      </c>
      <c r="H5688" t="s">
        <v>8027</v>
      </c>
      <c r="I5688" t="s">
        <v>20331</v>
      </c>
      <c r="J5688" t="s">
        <v>9405</v>
      </c>
    </row>
    <row r="5689" spans="1:10" x14ac:dyDescent="0.25">
      <c r="A5689" t="s">
        <v>20360</v>
      </c>
      <c r="B5689">
        <v>7.8000000000000007</v>
      </c>
      <c r="C5689" t="s">
        <v>20361</v>
      </c>
      <c r="D5689" t="s">
        <v>1847</v>
      </c>
      <c r="E5689" t="s">
        <v>20329</v>
      </c>
      <c r="F5689" t="s">
        <v>7672</v>
      </c>
      <c r="G5689" t="s">
        <v>20330</v>
      </c>
      <c r="H5689" t="s">
        <v>8027</v>
      </c>
      <c r="I5689" t="s">
        <v>8158</v>
      </c>
      <c r="J5689" t="s">
        <v>9405</v>
      </c>
    </row>
    <row r="5690" spans="1:10" x14ac:dyDescent="0.25">
      <c r="A5690" t="s">
        <v>20362</v>
      </c>
      <c r="B5690">
        <v>7.8000000000000007</v>
      </c>
      <c r="C5690" t="s">
        <v>20363</v>
      </c>
      <c r="D5690" t="s">
        <v>379</v>
      </c>
      <c r="E5690" t="s">
        <v>20329</v>
      </c>
      <c r="F5690" t="s">
        <v>7672</v>
      </c>
      <c r="G5690" t="s">
        <v>20330</v>
      </c>
      <c r="H5690" t="s">
        <v>8027</v>
      </c>
      <c r="I5690" t="s">
        <v>20339</v>
      </c>
      <c r="J5690" t="s">
        <v>9405</v>
      </c>
    </row>
    <row r="5691" spans="1:10" x14ac:dyDescent="0.25">
      <c r="A5691" t="s">
        <v>20364</v>
      </c>
      <c r="B5691">
        <v>18</v>
      </c>
      <c r="C5691" t="s">
        <v>20365</v>
      </c>
      <c r="D5691" t="s">
        <v>60</v>
      </c>
      <c r="E5691" t="s">
        <v>20366</v>
      </c>
      <c r="F5691" t="s">
        <v>7672</v>
      </c>
      <c r="G5691" t="s">
        <v>20367</v>
      </c>
      <c r="H5691" t="s">
        <v>8087</v>
      </c>
      <c r="I5691" t="s">
        <v>18985</v>
      </c>
      <c r="J5691" t="s">
        <v>10262</v>
      </c>
    </row>
    <row r="5692" spans="1:10" x14ac:dyDescent="0.25">
      <c r="A5692" t="s">
        <v>20368</v>
      </c>
      <c r="B5692">
        <v>18</v>
      </c>
      <c r="C5692" t="s">
        <v>20369</v>
      </c>
      <c r="D5692" t="s">
        <v>282</v>
      </c>
      <c r="E5692" t="s">
        <v>20366</v>
      </c>
      <c r="F5692" t="s">
        <v>7672</v>
      </c>
      <c r="G5692" t="s">
        <v>20367</v>
      </c>
      <c r="H5692" t="s">
        <v>8087</v>
      </c>
      <c r="I5692" t="s">
        <v>18985</v>
      </c>
      <c r="J5692" t="s">
        <v>10292</v>
      </c>
    </row>
    <row r="5693" spans="1:10" x14ac:dyDescent="0.25">
      <c r="A5693" t="s">
        <v>5391</v>
      </c>
      <c r="B5693">
        <v>20</v>
      </c>
      <c r="C5693" t="s">
        <v>5393</v>
      </c>
      <c r="D5693" t="s">
        <v>964</v>
      </c>
      <c r="E5693" t="s">
        <v>5394</v>
      </c>
      <c r="F5693" t="s">
        <v>7672</v>
      </c>
      <c r="G5693" t="s">
        <v>20370</v>
      </c>
      <c r="H5693" t="s">
        <v>9232</v>
      </c>
      <c r="I5693" t="s">
        <v>2924</v>
      </c>
      <c r="J5693" t="s">
        <v>7984</v>
      </c>
    </row>
    <row r="5694" spans="1:10" x14ac:dyDescent="0.25">
      <c r="A5694" t="s">
        <v>5397</v>
      </c>
      <c r="B5694">
        <v>20</v>
      </c>
      <c r="C5694" t="s">
        <v>5399</v>
      </c>
      <c r="D5694" t="s">
        <v>1097</v>
      </c>
      <c r="E5694" t="s">
        <v>5394</v>
      </c>
      <c r="F5694" t="s">
        <v>7672</v>
      </c>
      <c r="G5694" t="s">
        <v>20370</v>
      </c>
      <c r="H5694" t="s">
        <v>9232</v>
      </c>
      <c r="I5694" t="s">
        <v>5401</v>
      </c>
      <c r="J5694" t="s">
        <v>7984</v>
      </c>
    </row>
    <row r="5695" spans="1:10" x14ac:dyDescent="0.25">
      <c r="A5695" t="s">
        <v>5402</v>
      </c>
      <c r="B5695">
        <v>20</v>
      </c>
      <c r="C5695" t="s">
        <v>5404</v>
      </c>
      <c r="D5695" t="s">
        <v>366</v>
      </c>
      <c r="E5695" t="s">
        <v>5394</v>
      </c>
      <c r="F5695" t="s">
        <v>7672</v>
      </c>
      <c r="G5695" t="s">
        <v>20370</v>
      </c>
      <c r="H5695" t="s">
        <v>9232</v>
      </c>
      <c r="I5695" t="s">
        <v>5401</v>
      </c>
      <c r="J5695" t="s">
        <v>7987</v>
      </c>
    </row>
    <row r="5696" spans="1:10" x14ac:dyDescent="0.25">
      <c r="A5696" t="s">
        <v>5406</v>
      </c>
      <c r="B5696">
        <v>20</v>
      </c>
      <c r="C5696" t="s">
        <v>5408</v>
      </c>
      <c r="D5696" t="s">
        <v>199</v>
      </c>
      <c r="E5696" t="s">
        <v>5394</v>
      </c>
      <c r="F5696" t="s">
        <v>7672</v>
      </c>
      <c r="G5696" t="s">
        <v>20370</v>
      </c>
      <c r="H5696" t="s">
        <v>9232</v>
      </c>
      <c r="I5696" t="s">
        <v>2924</v>
      </c>
      <c r="J5696" t="s">
        <v>8001</v>
      </c>
    </row>
    <row r="5697" spans="1:10" x14ac:dyDescent="0.25">
      <c r="A5697" t="s">
        <v>5410</v>
      </c>
      <c r="B5697">
        <v>20</v>
      </c>
      <c r="C5697" t="s">
        <v>5412</v>
      </c>
      <c r="D5697" t="s">
        <v>366</v>
      </c>
      <c r="E5697" t="s">
        <v>5394</v>
      </c>
      <c r="F5697" t="s">
        <v>7672</v>
      </c>
      <c r="G5697" t="s">
        <v>20370</v>
      </c>
      <c r="H5697" t="s">
        <v>9232</v>
      </c>
      <c r="I5697" t="s">
        <v>5401</v>
      </c>
      <c r="J5697" t="s">
        <v>8001</v>
      </c>
    </row>
    <row r="5698" spans="1:10" x14ac:dyDescent="0.25">
      <c r="A5698" t="s">
        <v>20371</v>
      </c>
      <c r="B5698">
        <v>4.4000000000000004</v>
      </c>
      <c r="C5698" t="s">
        <v>20372</v>
      </c>
      <c r="D5698" t="s">
        <v>626</v>
      </c>
      <c r="E5698" t="s">
        <v>5417</v>
      </c>
      <c r="F5698" t="s">
        <v>7672</v>
      </c>
      <c r="G5698" t="s">
        <v>20373</v>
      </c>
      <c r="H5698" t="s">
        <v>8081</v>
      </c>
      <c r="I5698" t="s">
        <v>76</v>
      </c>
      <c r="J5698" t="s">
        <v>7984</v>
      </c>
    </row>
    <row r="5699" spans="1:10" x14ac:dyDescent="0.25">
      <c r="A5699" t="s">
        <v>5414</v>
      </c>
      <c r="B5699">
        <v>4.4000000000000004</v>
      </c>
      <c r="C5699" t="s">
        <v>5416</v>
      </c>
      <c r="D5699" t="s">
        <v>1579</v>
      </c>
      <c r="E5699" t="s">
        <v>5417</v>
      </c>
      <c r="F5699" t="s">
        <v>7672</v>
      </c>
      <c r="G5699" t="s">
        <v>20373</v>
      </c>
      <c r="H5699" t="s">
        <v>8081</v>
      </c>
      <c r="I5699" t="s">
        <v>20374</v>
      </c>
      <c r="J5699" t="s">
        <v>7987</v>
      </c>
    </row>
    <row r="5700" spans="1:10" x14ac:dyDescent="0.25">
      <c r="A5700" t="s">
        <v>5420</v>
      </c>
      <c r="B5700">
        <v>4.4000000000000004</v>
      </c>
      <c r="C5700" t="s">
        <v>5422</v>
      </c>
      <c r="D5700" t="s">
        <v>576</v>
      </c>
      <c r="E5700" t="s">
        <v>5417</v>
      </c>
      <c r="F5700" t="s">
        <v>7672</v>
      </c>
      <c r="G5700" t="s">
        <v>20373</v>
      </c>
      <c r="H5700" t="s">
        <v>8081</v>
      </c>
      <c r="I5700" t="s">
        <v>20375</v>
      </c>
      <c r="J5700" t="s">
        <v>7987</v>
      </c>
    </row>
    <row r="5701" spans="1:10" x14ac:dyDescent="0.25">
      <c r="A5701" t="s">
        <v>5424</v>
      </c>
      <c r="B5701">
        <v>4.4000000000000004</v>
      </c>
      <c r="C5701" t="s">
        <v>5426</v>
      </c>
      <c r="D5701" t="s">
        <v>1536</v>
      </c>
      <c r="E5701" t="s">
        <v>5417</v>
      </c>
      <c r="F5701" t="s">
        <v>7672</v>
      </c>
      <c r="G5701" t="s">
        <v>20373</v>
      </c>
      <c r="H5701" t="s">
        <v>8081</v>
      </c>
      <c r="I5701" t="s">
        <v>20376</v>
      </c>
      <c r="J5701" t="s">
        <v>7987</v>
      </c>
    </row>
    <row r="5702" spans="1:10" x14ac:dyDescent="0.25">
      <c r="A5702" t="s">
        <v>20377</v>
      </c>
      <c r="B5702">
        <v>4.4000000000000004</v>
      </c>
      <c r="C5702" t="s">
        <v>20378</v>
      </c>
      <c r="D5702" t="s">
        <v>4584</v>
      </c>
      <c r="E5702" t="s">
        <v>5417</v>
      </c>
      <c r="F5702" t="s">
        <v>7672</v>
      </c>
      <c r="G5702" t="s">
        <v>20373</v>
      </c>
      <c r="H5702" t="s">
        <v>8081</v>
      </c>
      <c r="I5702" t="s">
        <v>76</v>
      </c>
      <c r="J5702" t="s">
        <v>7987</v>
      </c>
    </row>
    <row r="5703" spans="1:10" x14ac:dyDescent="0.25">
      <c r="A5703" t="s">
        <v>20379</v>
      </c>
      <c r="B5703">
        <v>4.4000000000000004</v>
      </c>
      <c r="C5703" t="s">
        <v>20380</v>
      </c>
      <c r="D5703" t="s">
        <v>255</v>
      </c>
      <c r="E5703" t="s">
        <v>5417</v>
      </c>
      <c r="F5703" t="s">
        <v>7672</v>
      </c>
      <c r="G5703" t="s">
        <v>20373</v>
      </c>
      <c r="H5703" t="s">
        <v>8081</v>
      </c>
      <c r="I5703" t="s">
        <v>14532</v>
      </c>
      <c r="J5703" t="s">
        <v>7987</v>
      </c>
    </row>
    <row r="5704" spans="1:10" x14ac:dyDescent="0.25">
      <c r="A5704" t="s">
        <v>20381</v>
      </c>
      <c r="B5704">
        <v>4.4000000000000004</v>
      </c>
      <c r="C5704" t="s">
        <v>20382</v>
      </c>
      <c r="D5704" t="s">
        <v>4136</v>
      </c>
      <c r="E5704" t="s">
        <v>5417</v>
      </c>
      <c r="F5704" t="s">
        <v>7672</v>
      </c>
      <c r="G5704" t="s">
        <v>20373</v>
      </c>
      <c r="H5704" t="s">
        <v>8081</v>
      </c>
      <c r="I5704" t="s">
        <v>20376</v>
      </c>
      <c r="J5704" t="s">
        <v>8001</v>
      </c>
    </row>
    <row r="5705" spans="1:10" x14ac:dyDescent="0.25">
      <c r="A5705" t="s">
        <v>20383</v>
      </c>
      <c r="B5705">
        <v>4.4000000000000004</v>
      </c>
      <c r="C5705" t="s">
        <v>20384</v>
      </c>
      <c r="D5705" t="s">
        <v>3175</v>
      </c>
      <c r="E5705" t="s">
        <v>5417</v>
      </c>
      <c r="F5705" t="s">
        <v>7672</v>
      </c>
      <c r="G5705" t="s">
        <v>20373</v>
      </c>
      <c r="H5705" t="s">
        <v>8081</v>
      </c>
      <c r="I5705" t="s">
        <v>20374</v>
      </c>
      <c r="J5705" t="s">
        <v>8001</v>
      </c>
    </row>
    <row r="5706" spans="1:10" x14ac:dyDescent="0.25">
      <c r="A5706" t="s">
        <v>20385</v>
      </c>
      <c r="B5706">
        <v>4.4000000000000004</v>
      </c>
      <c r="C5706" t="s">
        <v>20386</v>
      </c>
      <c r="D5706" t="s">
        <v>95</v>
      </c>
      <c r="E5706" t="s">
        <v>5417</v>
      </c>
      <c r="F5706" t="s">
        <v>7672</v>
      </c>
      <c r="G5706" t="s">
        <v>20373</v>
      </c>
      <c r="H5706" t="s">
        <v>8081</v>
      </c>
      <c r="I5706" t="s">
        <v>14532</v>
      </c>
      <c r="J5706" t="s">
        <v>8001</v>
      </c>
    </row>
    <row r="5707" spans="1:10" x14ac:dyDescent="0.25">
      <c r="A5707" t="s">
        <v>20387</v>
      </c>
      <c r="B5707">
        <v>4.4000000000000004</v>
      </c>
      <c r="C5707" t="s">
        <v>20388</v>
      </c>
      <c r="D5707" t="s">
        <v>2347</v>
      </c>
      <c r="E5707" t="s">
        <v>5417</v>
      </c>
      <c r="F5707" t="s">
        <v>7672</v>
      </c>
      <c r="G5707" t="s">
        <v>20373</v>
      </c>
      <c r="H5707" t="s">
        <v>8081</v>
      </c>
      <c r="I5707" t="s">
        <v>76</v>
      </c>
      <c r="J5707" t="s">
        <v>8001</v>
      </c>
    </row>
    <row r="5708" spans="1:10" x14ac:dyDescent="0.25">
      <c r="A5708" t="s">
        <v>20389</v>
      </c>
      <c r="B5708">
        <v>7.4960000000000004</v>
      </c>
      <c r="C5708" t="s">
        <v>20390</v>
      </c>
      <c r="D5708" t="s">
        <v>8336</v>
      </c>
      <c r="E5708" t="s">
        <v>20391</v>
      </c>
      <c r="F5708" t="s">
        <v>7672</v>
      </c>
      <c r="G5708" t="s">
        <v>20392</v>
      </c>
      <c r="H5708" t="s">
        <v>7674</v>
      </c>
      <c r="I5708" t="s">
        <v>20393</v>
      </c>
      <c r="J5708" t="s">
        <v>131</v>
      </c>
    </row>
    <row r="5709" spans="1:10" x14ac:dyDescent="0.25">
      <c r="A5709" t="s">
        <v>20394</v>
      </c>
      <c r="B5709">
        <v>7.4960000000000004</v>
      </c>
      <c r="C5709" t="s">
        <v>20395</v>
      </c>
      <c r="D5709" t="s">
        <v>10771</v>
      </c>
      <c r="E5709" t="s">
        <v>20391</v>
      </c>
      <c r="F5709" t="s">
        <v>7672</v>
      </c>
      <c r="G5709" t="s">
        <v>20392</v>
      </c>
      <c r="H5709" t="s">
        <v>7674</v>
      </c>
      <c r="I5709" t="s">
        <v>7945</v>
      </c>
      <c r="J5709" t="s">
        <v>131</v>
      </c>
    </row>
    <row r="5710" spans="1:10" x14ac:dyDescent="0.25">
      <c r="A5710" t="s">
        <v>20396</v>
      </c>
      <c r="B5710">
        <v>7.4960000000000004</v>
      </c>
      <c r="C5710" t="s">
        <v>20397</v>
      </c>
      <c r="D5710" t="s">
        <v>20398</v>
      </c>
      <c r="E5710" t="s">
        <v>20391</v>
      </c>
      <c r="F5710" t="s">
        <v>7672</v>
      </c>
      <c r="G5710" t="s">
        <v>20392</v>
      </c>
      <c r="H5710" t="s">
        <v>7674</v>
      </c>
      <c r="I5710" t="s">
        <v>9245</v>
      </c>
      <c r="J5710" t="s">
        <v>131</v>
      </c>
    </row>
    <row r="5711" spans="1:10" x14ac:dyDescent="0.25">
      <c r="A5711" t="s">
        <v>20399</v>
      </c>
      <c r="B5711">
        <v>7.4960000000000004</v>
      </c>
      <c r="C5711" t="s">
        <v>20400</v>
      </c>
      <c r="D5711" t="s">
        <v>8767</v>
      </c>
      <c r="E5711" t="s">
        <v>20391</v>
      </c>
      <c r="F5711" t="s">
        <v>7672</v>
      </c>
      <c r="G5711" t="s">
        <v>20392</v>
      </c>
      <c r="H5711" t="s">
        <v>7674</v>
      </c>
      <c r="I5711" t="s">
        <v>20393</v>
      </c>
      <c r="J5711" t="s">
        <v>269</v>
      </c>
    </row>
    <row r="5712" spans="1:10" x14ac:dyDescent="0.25">
      <c r="A5712" t="s">
        <v>20401</v>
      </c>
      <c r="B5712">
        <v>7.4960000000000004</v>
      </c>
      <c r="C5712" t="s">
        <v>20402</v>
      </c>
      <c r="D5712" t="s">
        <v>3850</v>
      </c>
      <c r="E5712" t="s">
        <v>20391</v>
      </c>
      <c r="F5712" t="s">
        <v>7672</v>
      </c>
      <c r="G5712" t="s">
        <v>20392</v>
      </c>
      <c r="H5712" t="s">
        <v>7674</v>
      </c>
      <c r="I5712" t="s">
        <v>7945</v>
      </c>
      <c r="J5712" t="s">
        <v>269</v>
      </c>
    </row>
    <row r="5713" spans="1:10" x14ac:dyDescent="0.25">
      <c r="A5713" t="s">
        <v>20403</v>
      </c>
      <c r="B5713">
        <v>7.4960000000000004</v>
      </c>
      <c r="C5713" t="s">
        <v>20404</v>
      </c>
      <c r="D5713" t="s">
        <v>17708</v>
      </c>
      <c r="E5713" t="s">
        <v>20391</v>
      </c>
      <c r="F5713" t="s">
        <v>7672</v>
      </c>
      <c r="G5713" t="s">
        <v>20392</v>
      </c>
      <c r="H5713" t="s">
        <v>7674</v>
      </c>
      <c r="I5713" t="s">
        <v>9245</v>
      </c>
      <c r="J5713" t="s">
        <v>269</v>
      </c>
    </row>
    <row r="5714" spans="1:10" x14ac:dyDescent="0.25">
      <c r="A5714" t="s">
        <v>20405</v>
      </c>
      <c r="B5714">
        <v>7.4960000000000004</v>
      </c>
      <c r="C5714" t="s">
        <v>20406</v>
      </c>
      <c r="D5714" t="s">
        <v>3577</v>
      </c>
      <c r="E5714" t="s">
        <v>20391</v>
      </c>
      <c r="F5714" t="s">
        <v>7672</v>
      </c>
      <c r="G5714" t="s">
        <v>20392</v>
      </c>
      <c r="H5714" t="s">
        <v>7674</v>
      </c>
      <c r="I5714" t="s">
        <v>20393</v>
      </c>
      <c r="J5714" t="s">
        <v>255</v>
      </c>
    </row>
    <row r="5715" spans="1:10" x14ac:dyDescent="0.25">
      <c r="A5715" t="s">
        <v>20407</v>
      </c>
      <c r="B5715">
        <v>7.4960000000000004</v>
      </c>
      <c r="C5715" t="s">
        <v>20408</v>
      </c>
      <c r="D5715" t="s">
        <v>296</v>
      </c>
      <c r="E5715" t="s">
        <v>20391</v>
      </c>
      <c r="F5715" t="s">
        <v>7672</v>
      </c>
      <c r="G5715" t="s">
        <v>20392</v>
      </c>
      <c r="H5715" t="s">
        <v>7674</v>
      </c>
      <c r="I5715" t="s">
        <v>7945</v>
      </c>
      <c r="J5715" t="s">
        <v>255</v>
      </c>
    </row>
    <row r="5716" spans="1:10" x14ac:dyDescent="0.25">
      <c r="A5716" t="s">
        <v>20409</v>
      </c>
      <c r="B5716">
        <v>7.4960000000000004</v>
      </c>
      <c r="C5716" t="s">
        <v>20410</v>
      </c>
      <c r="D5716" t="s">
        <v>8432</v>
      </c>
      <c r="E5716" t="s">
        <v>20391</v>
      </c>
      <c r="F5716" t="s">
        <v>7672</v>
      </c>
      <c r="G5716" t="s">
        <v>20392</v>
      </c>
      <c r="H5716" t="s">
        <v>7674</v>
      </c>
      <c r="I5716" t="s">
        <v>9245</v>
      </c>
      <c r="J5716" t="s">
        <v>95</v>
      </c>
    </row>
    <row r="5717" spans="1:10" x14ac:dyDescent="0.25">
      <c r="A5717" t="s">
        <v>20411</v>
      </c>
      <c r="B5717">
        <v>7.4960000000000004</v>
      </c>
      <c r="C5717" t="s">
        <v>20412</v>
      </c>
      <c r="D5717" t="s">
        <v>3258</v>
      </c>
      <c r="E5717" t="s">
        <v>20391</v>
      </c>
      <c r="F5717" t="s">
        <v>7672</v>
      </c>
      <c r="G5717" t="s">
        <v>20392</v>
      </c>
      <c r="H5717" t="s">
        <v>7674</v>
      </c>
      <c r="I5717" t="s">
        <v>7945</v>
      </c>
      <c r="J5717" t="s">
        <v>95</v>
      </c>
    </row>
    <row r="5718" spans="1:10" x14ac:dyDescent="0.25">
      <c r="A5718" t="s">
        <v>20413</v>
      </c>
      <c r="B5718">
        <v>7.4960000000000004</v>
      </c>
      <c r="C5718" t="s">
        <v>20414</v>
      </c>
      <c r="D5718" t="s">
        <v>3470</v>
      </c>
      <c r="E5718" t="s">
        <v>20391</v>
      </c>
      <c r="F5718" t="s">
        <v>7672</v>
      </c>
      <c r="G5718" t="s">
        <v>20392</v>
      </c>
      <c r="H5718" t="s">
        <v>7674</v>
      </c>
      <c r="I5718" t="s">
        <v>20393</v>
      </c>
      <c r="J5718" t="s">
        <v>95</v>
      </c>
    </row>
    <row r="5719" spans="1:10" x14ac:dyDescent="0.25">
      <c r="A5719" t="s">
        <v>20415</v>
      </c>
      <c r="B5719">
        <v>7.4960000000000004</v>
      </c>
      <c r="C5719" t="s">
        <v>20416</v>
      </c>
      <c r="D5719" t="s">
        <v>926</v>
      </c>
      <c r="E5719" t="s">
        <v>20391</v>
      </c>
      <c r="F5719" t="s">
        <v>7672</v>
      </c>
      <c r="G5719" t="s">
        <v>20392</v>
      </c>
      <c r="H5719" t="s">
        <v>7674</v>
      </c>
      <c r="I5719" t="s">
        <v>9245</v>
      </c>
      <c r="J5719" t="s">
        <v>9183</v>
      </c>
    </row>
    <row r="5720" spans="1:10" x14ac:dyDescent="0.25">
      <c r="A5720" t="s">
        <v>20417</v>
      </c>
      <c r="B5720">
        <v>7.4960000000000004</v>
      </c>
      <c r="C5720" t="s">
        <v>20418</v>
      </c>
      <c r="D5720" t="s">
        <v>67</v>
      </c>
      <c r="E5720" t="s">
        <v>20391</v>
      </c>
      <c r="F5720" t="s">
        <v>7672</v>
      </c>
      <c r="G5720" t="s">
        <v>20392</v>
      </c>
      <c r="H5720" t="s">
        <v>7674</v>
      </c>
      <c r="I5720" t="s">
        <v>20393</v>
      </c>
      <c r="J5720" t="s">
        <v>9183</v>
      </c>
    </row>
    <row r="5721" spans="1:10" x14ac:dyDescent="0.25">
      <c r="A5721" t="s">
        <v>20419</v>
      </c>
      <c r="B5721">
        <v>7.4960000000000004</v>
      </c>
      <c r="C5721" t="s">
        <v>20420</v>
      </c>
      <c r="D5721" t="s">
        <v>1536</v>
      </c>
      <c r="E5721" t="s">
        <v>20391</v>
      </c>
      <c r="F5721" t="s">
        <v>7672</v>
      </c>
      <c r="G5721" t="s">
        <v>20392</v>
      </c>
      <c r="H5721" t="s">
        <v>7674</v>
      </c>
      <c r="I5721" t="s">
        <v>7945</v>
      </c>
      <c r="J5721" t="s">
        <v>9183</v>
      </c>
    </row>
    <row r="5722" spans="1:10" x14ac:dyDescent="0.25">
      <c r="A5722" t="s">
        <v>20421</v>
      </c>
      <c r="B5722">
        <v>7.4960000000000004</v>
      </c>
      <c r="C5722" t="s">
        <v>20422</v>
      </c>
      <c r="D5722" t="s">
        <v>2697</v>
      </c>
      <c r="E5722" t="s">
        <v>20391</v>
      </c>
      <c r="F5722" t="s">
        <v>7672</v>
      </c>
      <c r="G5722" t="s">
        <v>20392</v>
      </c>
      <c r="H5722" t="s">
        <v>7674</v>
      </c>
      <c r="I5722" t="s">
        <v>7945</v>
      </c>
      <c r="J5722" t="s">
        <v>9194</v>
      </c>
    </row>
    <row r="5723" spans="1:10" x14ac:dyDescent="0.25">
      <c r="A5723" t="s">
        <v>20423</v>
      </c>
      <c r="B5723">
        <v>7.4960000000000004</v>
      </c>
      <c r="C5723" t="s">
        <v>20424</v>
      </c>
      <c r="D5723" t="s">
        <v>698</v>
      </c>
      <c r="E5723" t="s">
        <v>20391</v>
      </c>
      <c r="F5723" t="s">
        <v>7672</v>
      </c>
      <c r="G5723" t="s">
        <v>20392</v>
      </c>
      <c r="H5723" t="s">
        <v>7674</v>
      </c>
      <c r="I5723" t="s">
        <v>20393</v>
      </c>
      <c r="J5723" t="s">
        <v>9194</v>
      </c>
    </row>
    <row r="5724" spans="1:10" x14ac:dyDescent="0.25">
      <c r="A5724" t="s">
        <v>20425</v>
      </c>
      <c r="B5724">
        <v>7.4960000000000004</v>
      </c>
      <c r="C5724" t="s">
        <v>20426</v>
      </c>
      <c r="D5724" t="s">
        <v>250</v>
      </c>
      <c r="E5724" t="s">
        <v>20391</v>
      </c>
      <c r="F5724" t="s">
        <v>7672</v>
      </c>
      <c r="G5724" t="s">
        <v>20392</v>
      </c>
      <c r="H5724" t="s">
        <v>7674</v>
      </c>
      <c r="I5724" t="s">
        <v>7945</v>
      </c>
      <c r="J5724" t="s">
        <v>9222</v>
      </c>
    </row>
    <row r="5725" spans="1:10" x14ac:dyDescent="0.25">
      <c r="A5725" t="s">
        <v>20427</v>
      </c>
      <c r="B5725">
        <v>7.4960000000000004</v>
      </c>
      <c r="C5725" t="s">
        <v>20428</v>
      </c>
      <c r="D5725" t="s">
        <v>903</v>
      </c>
      <c r="E5725" t="s">
        <v>20391</v>
      </c>
      <c r="F5725" t="s">
        <v>7672</v>
      </c>
      <c r="G5725" t="s">
        <v>20392</v>
      </c>
      <c r="H5725" t="s">
        <v>7674</v>
      </c>
      <c r="I5725" t="s">
        <v>20393</v>
      </c>
      <c r="J5725" t="s">
        <v>9222</v>
      </c>
    </row>
    <row r="5726" spans="1:10" x14ac:dyDescent="0.25">
      <c r="A5726" t="s">
        <v>20429</v>
      </c>
      <c r="B5726">
        <v>7.4960000000000004</v>
      </c>
      <c r="C5726" t="s">
        <v>20430</v>
      </c>
      <c r="D5726" t="s">
        <v>781</v>
      </c>
      <c r="E5726" t="s">
        <v>20391</v>
      </c>
      <c r="F5726" t="s">
        <v>7672</v>
      </c>
      <c r="G5726" t="s">
        <v>20392</v>
      </c>
      <c r="H5726" t="s">
        <v>7674</v>
      </c>
      <c r="I5726" t="s">
        <v>7945</v>
      </c>
      <c r="J5726" t="s">
        <v>9229</v>
      </c>
    </row>
    <row r="5727" spans="1:10" x14ac:dyDescent="0.25">
      <c r="A5727" t="s">
        <v>20431</v>
      </c>
      <c r="B5727">
        <v>7.4960000000000004</v>
      </c>
      <c r="C5727" t="s">
        <v>20432</v>
      </c>
      <c r="D5727" t="s">
        <v>2376</v>
      </c>
      <c r="E5727" t="s">
        <v>20391</v>
      </c>
      <c r="F5727" t="s">
        <v>7672</v>
      </c>
      <c r="G5727" t="s">
        <v>20392</v>
      </c>
      <c r="H5727" t="s">
        <v>7674</v>
      </c>
      <c r="I5727" t="s">
        <v>20393</v>
      </c>
      <c r="J5727" t="s">
        <v>9229</v>
      </c>
    </row>
    <row r="5728" spans="1:10" x14ac:dyDescent="0.25">
      <c r="A5728" t="s">
        <v>20433</v>
      </c>
      <c r="B5728">
        <v>2.7919999999999998</v>
      </c>
      <c r="C5728" t="s">
        <v>20434</v>
      </c>
      <c r="D5728" t="s">
        <v>991</v>
      </c>
      <c r="E5728" t="s">
        <v>20435</v>
      </c>
      <c r="F5728" t="s">
        <v>7672</v>
      </c>
      <c r="G5728" t="s">
        <v>20436</v>
      </c>
      <c r="H5728" t="s">
        <v>8515</v>
      </c>
      <c r="I5728" t="s">
        <v>20437</v>
      </c>
      <c r="J5728" t="s">
        <v>11767</v>
      </c>
    </row>
    <row r="5729" spans="1:10" x14ac:dyDescent="0.25">
      <c r="A5729" t="s">
        <v>20438</v>
      </c>
      <c r="B5729">
        <v>2.7919999999999998</v>
      </c>
      <c r="C5729" t="s">
        <v>20439</v>
      </c>
      <c r="D5729" t="s">
        <v>959</v>
      </c>
      <c r="E5729" t="s">
        <v>20435</v>
      </c>
      <c r="F5729" t="s">
        <v>7672</v>
      </c>
      <c r="G5729" t="s">
        <v>20436</v>
      </c>
      <c r="H5729" t="s">
        <v>8515</v>
      </c>
      <c r="I5729" t="s">
        <v>20437</v>
      </c>
      <c r="J5729" t="s">
        <v>11582</v>
      </c>
    </row>
    <row r="5730" spans="1:10" x14ac:dyDescent="0.25">
      <c r="A5730" t="s">
        <v>20440</v>
      </c>
      <c r="B5730">
        <v>2.7919999999999998</v>
      </c>
      <c r="C5730" t="s">
        <v>20441</v>
      </c>
      <c r="D5730" t="s">
        <v>1811</v>
      </c>
      <c r="E5730" t="s">
        <v>20435</v>
      </c>
      <c r="F5730" t="s">
        <v>7672</v>
      </c>
      <c r="G5730" t="s">
        <v>20436</v>
      </c>
      <c r="H5730" t="s">
        <v>8515</v>
      </c>
      <c r="I5730" t="s">
        <v>20437</v>
      </c>
      <c r="J5730" t="s">
        <v>10369</v>
      </c>
    </row>
    <row r="5731" spans="1:10" x14ac:dyDescent="0.25">
      <c r="A5731" t="s">
        <v>20442</v>
      </c>
      <c r="B5731">
        <v>5</v>
      </c>
      <c r="C5731" t="s">
        <v>20443</v>
      </c>
      <c r="D5731" t="s">
        <v>9653</v>
      </c>
      <c r="E5731" t="s">
        <v>20444</v>
      </c>
      <c r="F5731" t="s">
        <v>7672</v>
      </c>
      <c r="G5731" t="s">
        <v>20445</v>
      </c>
      <c r="H5731" t="s">
        <v>7947</v>
      </c>
      <c r="I5731" t="s">
        <v>20446</v>
      </c>
      <c r="J5731" t="s">
        <v>20114</v>
      </c>
    </row>
    <row r="5732" spans="1:10" x14ac:dyDescent="0.25">
      <c r="A5732" t="s">
        <v>20447</v>
      </c>
      <c r="B5732">
        <v>8.3920000000000012</v>
      </c>
      <c r="C5732" t="s">
        <v>20448</v>
      </c>
      <c r="D5732" t="s">
        <v>2797</v>
      </c>
      <c r="E5732" t="s">
        <v>20449</v>
      </c>
      <c r="F5732" t="s">
        <v>7672</v>
      </c>
      <c r="G5732" t="s">
        <v>12656</v>
      </c>
      <c r="H5732" t="s">
        <v>7674</v>
      </c>
      <c r="I5732" t="s">
        <v>12675</v>
      </c>
      <c r="J5732" t="s">
        <v>12657</v>
      </c>
    </row>
    <row r="5733" spans="1:10" x14ac:dyDescent="0.25">
      <c r="A5733" t="s">
        <v>20450</v>
      </c>
      <c r="B5733">
        <v>8.3920000000000012</v>
      </c>
      <c r="C5733" t="s">
        <v>20451</v>
      </c>
      <c r="D5733" t="s">
        <v>1805</v>
      </c>
      <c r="E5733" t="s">
        <v>20449</v>
      </c>
      <c r="F5733" t="s">
        <v>7672</v>
      </c>
      <c r="G5733" t="s">
        <v>12656</v>
      </c>
      <c r="H5733" t="s">
        <v>7674</v>
      </c>
      <c r="I5733" t="s">
        <v>7945</v>
      </c>
      <c r="J5733" t="s">
        <v>12657</v>
      </c>
    </row>
    <row r="5734" spans="1:10" x14ac:dyDescent="0.25">
      <c r="A5734" t="s">
        <v>20452</v>
      </c>
      <c r="B5734">
        <v>8.3920000000000012</v>
      </c>
      <c r="C5734" t="s">
        <v>20453</v>
      </c>
      <c r="D5734" t="s">
        <v>2381</v>
      </c>
      <c r="E5734" t="s">
        <v>20449</v>
      </c>
      <c r="F5734" t="s">
        <v>7672</v>
      </c>
      <c r="G5734" t="s">
        <v>12656</v>
      </c>
      <c r="H5734" t="s">
        <v>7674</v>
      </c>
      <c r="I5734" t="s">
        <v>7945</v>
      </c>
      <c r="J5734" t="s">
        <v>12669</v>
      </c>
    </row>
    <row r="5735" spans="1:10" x14ac:dyDescent="0.25">
      <c r="A5735" t="s">
        <v>20454</v>
      </c>
      <c r="B5735">
        <v>8.3920000000000012</v>
      </c>
      <c r="C5735" t="s">
        <v>20455</v>
      </c>
      <c r="D5735" t="s">
        <v>926</v>
      </c>
      <c r="E5735" t="s">
        <v>20449</v>
      </c>
      <c r="F5735" t="s">
        <v>7672</v>
      </c>
      <c r="G5735" t="s">
        <v>12656</v>
      </c>
      <c r="H5735" t="s">
        <v>7674</v>
      </c>
      <c r="I5735" t="s">
        <v>12675</v>
      </c>
      <c r="J5735" t="s">
        <v>12669</v>
      </c>
    </row>
    <row r="5736" spans="1:10" x14ac:dyDescent="0.25">
      <c r="A5736" t="s">
        <v>20456</v>
      </c>
      <c r="B5736">
        <v>8.3920000000000012</v>
      </c>
      <c r="C5736" t="s">
        <v>20457</v>
      </c>
      <c r="D5736" t="s">
        <v>986</v>
      </c>
      <c r="E5736" t="s">
        <v>20449</v>
      </c>
      <c r="F5736" t="s">
        <v>7672</v>
      </c>
      <c r="G5736" t="s">
        <v>12656</v>
      </c>
      <c r="H5736" t="s">
        <v>7674</v>
      </c>
      <c r="I5736" t="s">
        <v>7945</v>
      </c>
      <c r="J5736" t="s">
        <v>12676</v>
      </c>
    </row>
    <row r="5737" spans="1:10" x14ac:dyDescent="0.25">
      <c r="A5737" t="s">
        <v>20458</v>
      </c>
      <c r="B5737">
        <v>8.3920000000000012</v>
      </c>
      <c r="C5737" t="s">
        <v>20459</v>
      </c>
      <c r="D5737" t="s">
        <v>2056</v>
      </c>
      <c r="E5737" t="s">
        <v>20449</v>
      </c>
      <c r="F5737" t="s">
        <v>7672</v>
      </c>
      <c r="G5737" t="s">
        <v>12656</v>
      </c>
      <c r="H5737" t="s">
        <v>7674</v>
      </c>
      <c r="I5737" t="s">
        <v>12675</v>
      </c>
      <c r="J5737" t="s">
        <v>12688</v>
      </c>
    </row>
    <row r="5738" spans="1:10" x14ac:dyDescent="0.25">
      <c r="A5738" t="s">
        <v>20460</v>
      </c>
      <c r="B5738">
        <v>8.3920000000000012</v>
      </c>
      <c r="C5738" t="s">
        <v>20461</v>
      </c>
      <c r="D5738" t="s">
        <v>144</v>
      </c>
      <c r="E5738" t="s">
        <v>20449</v>
      </c>
      <c r="F5738" t="s">
        <v>7672</v>
      </c>
      <c r="G5738" t="s">
        <v>12656</v>
      </c>
      <c r="H5738" t="s">
        <v>7674</v>
      </c>
      <c r="I5738" t="s">
        <v>7945</v>
      </c>
      <c r="J5738" t="s">
        <v>12688</v>
      </c>
    </row>
    <row r="5739" spans="1:10" x14ac:dyDescent="0.25">
      <c r="A5739" t="s">
        <v>20462</v>
      </c>
      <c r="B5739">
        <v>8.3920000000000012</v>
      </c>
      <c r="C5739" t="s">
        <v>20463</v>
      </c>
      <c r="D5739" t="s">
        <v>725</v>
      </c>
      <c r="E5739" t="s">
        <v>20449</v>
      </c>
      <c r="F5739" t="s">
        <v>7672</v>
      </c>
      <c r="G5739" t="s">
        <v>12656</v>
      </c>
      <c r="H5739" t="s">
        <v>7674</v>
      </c>
      <c r="I5739" t="s">
        <v>7945</v>
      </c>
      <c r="J5739" t="s">
        <v>12695</v>
      </c>
    </row>
    <row r="5740" spans="1:10" x14ac:dyDescent="0.25">
      <c r="A5740" t="s">
        <v>20464</v>
      </c>
      <c r="B5740">
        <v>8.3920000000000012</v>
      </c>
      <c r="C5740" t="s">
        <v>20465</v>
      </c>
      <c r="D5740" t="s">
        <v>301</v>
      </c>
      <c r="E5740" t="s">
        <v>20449</v>
      </c>
      <c r="F5740" t="s">
        <v>7672</v>
      </c>
      <c r="G5740" t="s">
        <v>12656</v>
      </c>
      <c r="H5740" t="s">
        <v>7674</v>
      </c>
      <c r="I5740" t="s">
        <v>12675</v>
      </c>
      <c r="J5740" t="s">
        <v>12695</v>
      </c>
    </row>
    <row r="5741" spans="1:10" x14ac:dyDescent="0.25">
      <c r="A5741" t="s">
        <v>20466</v>
      </c>
      <c r="B5741">
        <v>8.3920000000000012</v>
      </c>
      <c r="C5741" t="s">
        <v>20467</v>
      </c>
      <c r="D5741" t="s">
        <v>849</v>
      </c>
      <c r="E5741" t="s">
        <v>20449</v>
      </c>
      <c r="F5741" t="s">
        <v>7672</v>
      </c>
      <c r="G5741" t="s">
        <v>12656</v>
      </c>
      <c r="H5741" t="s">
        <v>7674</v>
      </c>
      <c r="I5741" t="s">
        <v>7945</v>
      </c>
      <c r="J5741" t="s">
        <v>12752</v>
      </c>
    </row>
    <row r="5742" spans="1:10" x14ac:dyDescent="0.25">
      <c r="A5742" t="s">
        <v>20468</v>
      </c>
      <c r="B5742">
        <v>8.3920000000000012</v>
      </c>
      <c r="C5742" t="s">
        <v>20469</v>
      </c>
      <c r="D5742" t="s">
        <v>118</v>
      </c>
      <c r="E5742" t="s">
        <v>20449</v>
      </c>
      <c r="F5742" t="s">
        <v>7672</v>
      </c>
      <c r="G5742" t="s">
        <v>12656</v>
      </c>
      <c r="H5742" t="s">
        <v>7674</v>
      </c>
      <c r="I5742" t="s">
        <v>12675</v>
      </c>
      <c r="J5742" t="s">
        <v>12752</v>
      </c>
    </row>
    <row r="5743" spans="1:10" x14ac:dyDescent="0.25">
      <c r="A5743" t="s">
        <v>20470</v>
      </c>
      <c r="B5743">
        <v>8.3920000000000012</v>
      </c>
      <c r="C5743" t="s">
        <v>20471</v>
      </c>
      <c r="D5743" t="s">
        <v>240</v>
      </c>
      <c r="E5743" t="s">
        <v>20449</v>
      </c>
      <c r="F5743" t="s">
        <v>7672</v>
      </c>
      <c r="G5743" t="s">
        <v>12656</v>
      </c>
      <c r="H5743" t="s">
        <v>7674</v>
      </c>
      <c r="I5743" t="s">
        <v>12675</v>
      </c>
      <c r="J5743" t="s">
        <v>12758</v>
      </c>
    </row>
    <row r="5744" spans="1:10" x14ac:dyDescent="0.25">
      <c r="A5744" t="s">
        <v>20472</v>
      </c>
      <c r="B5744">
        <v>8.3920000000000012</v>
      </c>
      <c r="C5744" t="s">
        <v>20473</v>
      </c>
      <c r="D5744" t="s">
        <v>255</v>
      </c>
      <c r="E5744" t="s">
        <v>20449</v>
      </c>
      <c r="F5744" t="s">
        <v>7672</v>
      </c>
      <c r="G5744" t="s">
        <v>12656</v>
      </c>
      <c r="H5744" t="s">
        <v>7674</v>
      </c>
      <c r="I5744" t="s">
        <v>12675</v>
      </c>
      <c r="J5744" t="s">
        <v>12768</v>
      </c>
    </row>
    <row r="5745" spans="1:10" x14ac:dyDescent="0.25">
      <c r="A5745" t="s">
        <v>20474</v>
      </c>
      <c r="B5745">
        <v>8.3920000000000012</v>
      </c>
      <c r="C5745" t="s">
        <v>20475</v>
      </c>
      <c r="D5745" t="s">
        <v>12795</v>
      </c>
      <c r="E5745" t="s">
        <v>20449</v>
      </c>
      <c r="F5745" t="s">
        <v>7672</v>
      </c>
      <c r="G5745" t="s">
        <v>12656</v>
      </c>
      <c r="H5745" t="s">
        <v>7674</v>
      </c>
      <c r="I5745" t="s">
        <v>7945</v>
      </c>
      <c r="J5745" t="s">
        <v>12773</v>
      </c>
    </row>
    <row r="5746" spans="1:10" x14ac:dyDescent="0.25">
      <c r="A5746" t="s">
        <v>20476</v>
      </c>
      <c r="B5746">
        <v>8.3920000000000012</v>
      </c>
      <c r="C5746" t="s">
        <v>20477</v>
      </c>
      <c r="D5746" t="s">
        <v>9254</v>
      </c>
      <c r="E5746" t="s">
        <v>20449</v>
      </c>
      <c r="F5746" t="s">
        <v>7672</v>
      </c>
      <c r="G5746" t="s">
        <v>12656</v>
      </c>
      <c r="H5746" t="s">
        <v>7674</v>
      </c>
      <c r="I5746" t="s">
        <v>12675</v>
      </c>
      <c r="J5746" t="s">
        <v>12773</v>
      </c>
    </row>
    <row r="5747" spans="1:10" x14ac:dyDescent="0.25">
      <c r="A5747" t="s">
        <v>20478</v>
      </c>
      <c r="B5747">
        <v>7.8000000000000007</v>
      </c>
      <c r="C5747" t="s">
        <v>20479</v>
      </c>
      <c r="D5747" t="s">
        <v>88</v>
      </c>
      <c r="E5747" t="s">
        <v>20480</v>
      </c>
      <c r="F5747" t="s">
        <v>7672</v>
      </c>
      <c r="G5747" t="s">
        <v>20481</v>
      </c>
      <c r="H5747" t="s">
        <v>7965</v>
      </c>
      <c r="I5747" t="s">
        <v>3799</v>
      </c>
      <c r="J5747" t="s">
        <v>7981</v>
      </c>
    </row>
    <row r="5748" spans="1:10" x14ac:dyDescent="0.25">
      <c r="A5748" t="s">
        <v>20482</v>
      </c>
      <c r="B5748">
        <v>7.8000000000000007</v>
      </c>
      <c r="C5748" t="s">
        <v>20483</v>
      </c>
      <c r="D5748" t="s">
        <v>786</v>
      </c>
      <c r="E5748" t="s">
        <v>20480</v>
      </c>
      <c r="F5748" t="s">
        <v>7672</v>
      </c>
      <c r="G5748" t="s">
        <v>20481</v>
      </c>
      <c r="H5748" t="s">
        <v>7965</v>
      </c>
      <c r="I5748" t="s">
        <v>3799</v>
      </c>
      <c r="J5748" t="s">
        <v>7984</v>
      </c>
    </row>
    <row r="5749" spans="1:10" x14ac:dyDescent="0.25">
      <c r="A5749" t="s">
        <v>20484</v>
      </c>
      <c r="B5749">
        <v>7.8000000000000007</v>
      </c>
      <c r="C5749" t="s">
        <v>20485</v>
      </c>
      <c r="D5749" t="s">
        <v>8530</v>
      </c>
      <c r="E5749" t="s">
        <v>20480</v>
      </c>
      <c r="F5749" t="s">
        <v>7672</v>
      </c>
      <c r="G5749" t="s">
        <v>20481</v>
      </c>
      <c r="H5749" t="s">
        <v>7965</v>
      </c>
      <c r="I5749" t="s">
        <v>3799</v>
      </c>
      <c r="J5749" t="s">
        <v>7987</v>
      </c>
    </row>
    <row r="5750" spans="1:10" x14ac:dyDescent="0.25">
      <c r="A5750" t="s">
        <v>20486</v>
      </c>
      <c r="B5750">
        <v>7.8000000000000007</v>
      </c>
      <c r="C5750" t="s">
        <v>20487</v>
      </c>
      <c r="D5750" t="s">
        <v>1924</v>
      </c>
      <c r="E5750" t="s">
        <v>20480</v>
      </c>
      <c r="F5750" t="s">
        <v>7672</v>
      </c>
      <c r="G5750" t="s">
        <v>20481</v>
      </c>
      <c r="H5750" t="s">
        <v>7965</v>
      </c>
      <c r="I5750" t="s">
        <v>3799</v>
      </c>
      <c r="J5750" t="s">
        <v>8001</v>
      </c>
    </row>
    <row r="5751" spans="1:10" x14ac:dyDescent="0.25">
      <c r="A5751" t="s">
        <v>20488</v>
      </c>
      <c r="B5751">
        <v>4.7920000000000007</v>
      </c>
      <c r="C5751" t="s">
        <v>20489</v>
      </c>
      <c r="D5751" t="s">
        <v>16072</v>
      </c>
      <c r="E5751" t="s">
        <v>20490</v>
      </c>
      <c r="F5751" t="s">
        <v>7672</v>
      </c>
      <c r="G5751" t="s">
        <v>20491</v>
      </c>
      <c r="H5751" t="s">
        <v>20492</v>
      </c>
      <c r="I5751" t="s">
        <v>19131</v>
      </c>
      <c r="J5751" t="s">
        <v>9694</v>
      </c>
    </row>
    <row r="5752" spans="1:10" x14ac:dyDescent="0.25">
      <c r="A5752" t="s">
        <v>20493</v>
      </c>
      <c r="B5752">
        <v>4.16</v>
      </c>
      <c r="C5752" t="s">
        <v>20494</v>
      </c>
      <c r="D5752" t="s">
        <v>903</v>
      </c>
      <c r="E5752" t="s">
        <v>20495</v>
      </c>
      <c r="F5752" t="s">
        <v>7672</v>
      </c>
      <c r="G5752" t="s">
        <v>20496</v>
      </c>
      <c r="H5752" t="s">
        <v>11496</v>
      </c>
      <c r="I5752" t="s">
        <v>145</v>
      </c>
      <c r="J5752" t="s">
        <v>9423</v>
      </c>
    </row>
    <row r="5753" spans="1:10" x14ac:dyDescent="0.25">
      <c r="A5753" t="s">
        <v>20497</v>
      </c>
      <c r="B5753">
        <v>4.16</v>
      </c>
      <c r="C5753" t="s">
        <v>20498</v>
      </c>
      <c r="D5753" t="s">
        <v>2149</v>
      </c>
      <c r="E5753" t="s">
        <v>20495</v>
      </c>
      <c r="F5753" t="s">
        <v>7672</v>
      </c>
      <c r="G5753" t="s">
        <v>20496</v>
      </c>
      <c r="H5753" t="s">
        <v>11496</v>
      </c>
      <c r="I5753" t="s">
        <v>145</v>
      </c>
      <c r="J5753" t="s">
        <v>9426</v>
      </c>
    </row>
    <row r="5754" spans="1:10" x14ac:dyDescent="0.25">
      <c r="A5754" t="s">
        <v>20499</v>
      </c>
      <c r="B5754">
        <v>4.8000000000000007</v>
      </c>
      <c r="C5754" t="s">
        <v>20500</v>
      </c>
      <c r="D5754" t="s">
        <v>2022</v>
      </c>
      <c r="E5754" t="s">
        <v>20501</v>
      </c>
      <c r="F5754" t="s">
        <v>7672</v>
      </c>
      <c r="G5754" t="s">
        <v>20502</v>
      </c>
      <c r="H5754" t="s">
        <v>11496</v>
      </c>
      <c r="I5754" t="s">
        <v>20503</v>
      </c>
      <c r="J5754" t="s">
        <v>9423</v>
      </c>
    </row>
    <row r="5755" spans="1:10" x14ac:dyDescent="0.25">
      <c r="A5755" t="s">
        <v>20504</v>
      </c>
      <c r="B5755">
        <v>4.8000000000000007</v>
      </c>
      <c r="C5755" t="s">
        <v>20505</v>
      </c>
      <c r="D5755" t="s">
        <v>865</v>
      </c>
      <c r="E5755" t="s">
        <v>20501</v>
      </c>
      <c r="F5755" t="s">
        <v>7672</v>
      </c>
      <c r="G5755" t="s">
        <v>20502</v>
      </c>
      <c r="H5755" t="s">
        <v>11496</v>
      </c>
      <c r="I5755" t="s">
        <v>20503</v>
      </c>
      <c r="J5755" t="s">
        <v>9426</v>
      </c>
    </row>
    <row r="5756" spans="1:10" x14ac:dyDescent="0.25">
      <c r="A5756" t="s">
        <v>20506</v>
      </c>
      <c r="B5756">
        <v>4.8000000000000007</v>
      </c>
      <c r="C5756" t="s">
        <v>20507</v>
      </c>
      <c r="D5756" t="s">
        <v>269</v>
      </c>
      <c r="E5756" t="s">
        <v>20501</v>
      </c>
      <c r="F5756" t="s">
        <v>7672</v>
      </c>
      <c r="G5756" t="s">
        <v>20502</v>
      </c>
      <c r="H5756" t="s">
        <v>11496</v>
      </c>
      <c r="I5756" t="s">
        <v>20503</v>
      </c>
      <c r="J5756" t="s">
        <v>10862</v>
      </c>
    </row>
    <row r="5757" spans="1:10" x14ac:dyDescent="0.25">
      <c r="A5757" t="s">
        <v>20508</v>
      </c>
      <c r="B5757">
        <v>5.7600000000000007</v>
      </c>
      <c r="C5757" t="s">
        <v>20509</v>
      </c>
      <c r="D5757" t="s">
        <v>725</v>
      </c>
      <c r="E5757" t="s">
        <v>20510</v>
      </c>
      <c r="F5757" t="s">
        <v>7672</v>
      </c>
      <c r="G5757" t="s">
        <v>20511</v>
      </c>
      <c r="H5757" t="s">
        <v>11496</v>
      </c>
      <c r="I5757" t="s">
        <v>235</v>
      </c>
      <c r="J5757" t="s">
        <v>9423</v>
      </c>
    </row>
    <row r="5758" spans="1:10" x14ac:dyDescent="0.25">
      <c r="A5758" t="s">
        <v>20512</v>
      </c>
      <c r="B5758">
        <v>5.7600000000000007</v>
      </c>
      <c r="C5758" t="s">
        <v>20513</v>
      </c>
      <c r="D5758" t="s">
        <v>3070</v>
      </c>
      <c r="E5758" t="s">
        <v>20510</v>
      </c>
      <c r="F5758" t="s">
        <v>7672</v>
      </c>
      <c r="G5758" t="s">
        <v>20511</v>
      </c>
      <c r="H5758" t="s">
        <v>11496</v>
      </c>
      <c r="I5758" t="s">
        <v>235</v>
      </c>
      <c r="J5758" t="s">
        <v>10862</v>
      </c>
    </row>
    <row r="5759" spans="1:10" x14ac:dyDescent="0.25">
      <c r="A5759" t="s">
        <v>20514</v>
      </c>
      <c r="B5759">
        <v>5.7600000000000007</v>
      </c>
      <c r="C5759" t="s">
        <v>20515</v>
      </c>
      <c r="D5759" t="s">
        <v>3999</v>
      </c>
      <c r="E5759" t="s">
        <v>20510</v>
      </c>
      <c r="F5759" t="s">
        <v>7672</v>
      </c>
      <c r="G5759" t="s">
        <v>20511</v>
      </c>
      <c r="H5759" t="s">
        <v>11496</v>
      </c>
      <c r="I5759" t="s">
        <v>235</v>
      </c>
      <c r="J5759" t="s">
        <v>9426</v>
      </c>
    </row>
    <row r="5760" spans="1:10" x14ac:dyDescent="0.25">
      <c r="A5760" t="s">
        <v>20516</v>
      </c>
      <c r="B5760">
        <v>5.7600000000000007</v>
      </c>
      <c r="C5760" t="s">
        <v>20517</v>
      </c>
      <c r="D5760" t="s">
        <v>626</v>
      </c>
      <c r="E5760" t="s">
        <v>20510</v>
      </c>
      <c r="F5760" t="s">
        <v>7672</v>
      </c>
      <c r="G5760" t="s">
        <v>20511</v>
      </c>
      <c r="H5760" t="s">
        <v>11496</v>
      </c>
      <c r="I5760" t="s">
        <v>235</v>
      </c>
      <c r="J5760" t="s">
        <v>13084</v>
      </c>
    </row>
    <row r="5761" spans="1:10" x14ac:dyDescent="0.25">
      <c r="A5761" t="s">
        <v>5428</v>
      </c>
      <c r="B5761">
        <v>12</v>
      </c>
      <c r="C5761" t="s">
        <v>5430</v>
      </c>
      <c r="D5761" t="s">
        <v>959</v>
      </c>
      <c r="E5761" t="s">
        <v>5431</v>
      </c>
      <c r="F5761" t="s">
        <v>7672</v>
      </c>
      <c r="G5761" t="s">
        <v>20518</v>
      </c>
      <c r="H5761" t="s">
        <v>10321</v>
      </c>
      <c r="I5761" t="s">
        <v>20519</v>
      </c>
      <c r="J5761" t="s">
        <v>8427</v>
      </c>
    </row>
    <row r="5762" spans="1:10" x14ac:dyDescent="0.25">
      <c r="A5762" t="s">
        <v>20520</v>
      </c>
      <c r="B5762">
        <v>12</v>
      </c>
      <c r="C5762" t="s">
        <v>20521</v>
      </c>
      <c r="D5762" t="s">
        <v>436</v>
      </c>
      <c r="E5762" t="s">
        <v>5431</v>
      </c>
      <c r="F5762" t="s">
        <v>7672</v>
      </c>
      <c r="G5762" t="s">
        <v>20518</v>
      </c>
      <c r="H5762" t="s">
        <v>10321</v>
      </c>
      <c r="I5762" t="s">
        <v>20522</v>
      </c>
      <c r="J5762" t="s">
        <v>8427</v>
      </c>
    </row>
    <row r="5763" spans="1:10" x14ac:dyDescent="0.25">
      <c r="A5763" t="s">
        <v>5433</v>
      </c>
      <c r="B5763">
        <v>12</v>
      </c>
      <c r="C5763" t="s">
        <v>5435</v>
      </c>
      <c r="D5763" t="s">
        <v>282</v>
      </c>
      <c r="E5763" t="s">
        <v>5431</v>
      </c>
      <c r="F5763" t="s">
        <v>7672</v>
      </c>
      <c r="G5763" t="s">
        <v>20518</v>
      </c>
      <c r="H5763" t="s">
        <v>10321</v>
      </c>
      <c r="I5763" t="s">
        <v>20522</v>
      </c>
      <c r="J5763" t="s">
        <v>8439</v>
      </c>
    </row>
    <row r="5764" spans="1:10" x14ac:dyDescent="0.25">
      <c r="A5764" t="s">
        <v>20523</v>
      </c>
      <c r="B5764">
        <v>12</v>
      </c>
      <c r="C5764" t="s">
        <v>20524</v>
      </c>
      <c r="D5764" t="s">
        <v>60</v>
      </c>
      <c r="E5764" t="s">
        <v>5431</v>
      </c>
      <c r="F5764" t="s">
        <v>7672</v>
      </c>
      <c r="G5764" t="s">
        <v>20518</v>
      </c>
      <c r="H5764" t="s">
        <v>10321</v>
      </c>
      <c r="I5764" t="s">
        <v>20519</v>
      </c>
      <c r="J5764" t="s">
        <v>8439</v>
      </c>
    </row>
    <row r="5765" spans="1:10" x14ac:dyDescent="0.25">
      <c r="A5765" t="s">
        <v>20525</v>
      </c>
      <c r="B5765">
        <v>2.88</v>
      </c>
      <c r="C5765" t="s">
        <v>20526</v>
      </c>
      <c r="D5765" t="s">
        <v>3070</v>
      </c>
      <c r="E5765" t="s">
        <v>20527</v>
      </c>
      <c r="F5765" t="s">
        <v>7672</v>
      </c>
      <c r="G5765" t="s">
        <v>20528</v>
      </c>
      <c r="H5765" t="s">
        <v>7674</v>
      </c>
      <c r="I5765" t="s">
        <v>20529</v>
      </c>
      <c r="J5765" t="s">
        <v>15981</v>
      </c>
    </row>
    <row r="5766" spans="1:10" x14ac:dyDescent="0.25">
      <c r="A5766" t="s">
        <v>20530</v>
      </c>
      <c r="B5766">
        <v>2.88</v>
      </c>
      <c r="C5766" t="s">
        <v>20531</v>
      </c>
      <c r="D5766" t="s">
        <v>8131</v>
      </c>
      <c r="E5766" t="s">
        <v>20527</v>
      </c>
      <c r="F5766" t="s">
        <v>7672</v>
      </c>
      <c r="G5766" t="s">
        <v>20528</v>
      </c>
      <c r="H5766" t="s">
        <v>7674</v>
      </c>
      <c r="I5766" t="s">
        <v>5740</v>
      </c>
      <c r="J5766" t="s">
        <v>15981</v>
      </c>
    </row>
    <row r="5767" spans="1:10" x14ac:dyDescent="0.25">
      <c r="A5767" t="s">
        <v>20532</v>
      </c>
      <c r="B5767">
        <v>3.6</v>
      </c>
      <c r="C5767" t="s">
        <v>20533</v>
      </c>
      <c r="D5767" t="s">
        <v>3841</v>
      </c>
      <c r="E5767" t="s">
        <v>20527</v>
      </c>
      <c r="F5767" t="s">
        <v>7672</v>
      </c>
      <c r="G5767" t="s">
        <v>20528</v>
      </c>
      <c r="H5767" t="s">
        <v>7674</v>
      </c>
      <c r="I5767" t="s">
        <v>20534</v>
      </c>
      <c r="J5767" t="s">
        <v>15981</v>
      </c>
    </row>
    <row r="5768" spans="1:10" x14ac:dyDescent="0.25">
      <c r="A5768" t="s">
        <v>20535</v>
      </c>
      <c r="B5768">
        <v>10.352</v>
      </c>
      <c r="C5768" t="s">
        <v>20536</v>
      </c>
      <c r="D5768" t="s">
        <v>436</v>
      </c>
      <c r="E5768" t="s">
        <v>20537</v>
      </c>
      <c r="F5768" t="s">
        <v>7672</v>
      </c>
      <c r="G5768" t="s">
        <v>20538</v>
      </c>
      <c r="H5768" t="s">
        <v>9127</v>
      </c>
      <c r="I5768" t="s">
        <v>18501</v>
      </c>
      <c r="J5768" t="s">
        <v>15894</v>
      </c>
    </row>
    <row r="5769" spans="1:10" x14ac:dyDescent="0.25">
      <c r="A5769" t="s">
        <v>20539</v>
      </c>
      <c r="B5769">
        <v>10.352</v>
      </c>
      <c r="C5769" t="s">
        <v>20540</v>
      </c>
      <c r="D5769" t="s">
        <v>352</v>
      </c>
      <c r="E5769" t="s">
        <v>20537</v>
      </c>
      <c r="F5769" t="s">
        <v>7672</v>
      </c>
      <c r="G5769" t="s">
        <v>20538</v>
      </c>
      <c r="H5769" t="s">
        <v>9127</v>
      </c>
      <c r="I5769" t="s">
        <v>76</v>
      </c>
      <c r="J5769" t="s">
        <v>15894</v>
      </c>
    </row>
    <row r="5770" spans="1:10" x14ac:dyDescent="0.25">
      <c r="A5770" t="s">
        <v>20541</v>
      </c>
      <c r="B5770">
        <v>10.352</v>
      </c>
      <c r="C5770" t="s">
        <v>20542</v>
      </c>
      <c r="D5770" t="s">
        <v>330</v>
      </c>
      <c r="E5770" t="s">
        <v>20537</v>
      </c>
      <c r="F5770" t="s">
        <v>7672</v>
      </c>
      <c r="G5770" t="s">
        <v>20538</v>
      </c>
      <c r="H5770" t="s">
        <v>9127</v>
      </c>
      <c r="I5770" t="s">
        <v>18496</v>
      </c>
      <c r="J5770" t="s">
        <v>15894</v>
      </c>
    </row>
    <row r="5771" spans="1:10" x14ac:dyDescent="0.25">
      <c r="A5771" t="s">
        <v>20543</v>
      </c>
      <c r="B5771">
        <v>10.352</v>
      </c>
      <c r="C5771" t="s">
        <v>20544</v>
      </c>
      <c r="D5771" t="s">
        <v>330</v>
      </c>
      <c r="E5771" t="s">
        <v>20537</v>
      </c>
      <c r="F5771" t="s">
        <v>7672</v>
      </c>
      <c r="G5771" t="s">
        <v>20538</v>
      </c>
      <c r="H5771" t="s">
        <v>9127</v>
      </c>
      <c r="I5771" t="s">
        <v>11348</v>
      </c>
      <c r="J5771" t="s">
        <v>15894</v>
      </c>
    </row>
    <row r="5772" spans="1:10" x14ac:dyDescent="0.25">
      <c r="A5772" t="s">
        <v>20545</v>
      </c>
      <c r="B5772">
        <v>10.352</v>
      </c>
      <c r="C5772" t="s">
        <v>20546</v>
      </c>
      <c r="D5772" t="s">
        <v>385</v>
      </c>
      <c r="E5772" t="s">
        <v>20537</v>
      </c>
      <c r="F5772" t="s">
        <v>7672</v>
      </c>
      <c r="G5772" t="s">
        <v>20538</v>
      </c>
      <c r="H5772" t="s">
        <v>9127</v>
      </c>
      <c r="I5772" t="s">
        <v>11348</v>
      </c>
      <c r="J5772" t="s">
        <v>7942</v>
      </c>
    </row>
    <row r="5773" spans="1:10" x14ac:dyDescent="0.25">
      <c r="A5773" t="s">
        <v>20547</v>
      </c>
      <c r="B5773">
        <v>10.352</v>
      </c>
      <c r="C5773" t="s">
        <v>20548</v>
      </c>
      <c r="D5773" t="s">
        <v>286</v>
      </c>
      <c r="E5773" t="s">
        <v>20537</v>
      </c>
      <c r="F5773" t="s">
        <v>7672</v>
      </c>
      <c r="G5773" t="s">
        <v>20538</v>
      </c>
      <c r="H5773" t="s">
        <v>9127</v>
      </c>
      <c r="I5773" t="s">
        <v>18496</v>
      </c>
      <c r="J5773" t="s">
        <v>7942</v>
      </c>
    </row>
    <row r="5774" spans="1:10" x14ac:dyDescent="0.25">
      <c r="A5774" t="s">
        <v>20549</v>
      </c>
      <c r="B5774">
        <v>10.352</v>
      </c>
      <c r="C5774" t="s">
        <v>20550</v>
      </c>
      <c r="D5774" t="s">
        <v>849</v>
      </c>
      <c r="E5774" t="s">
        <v>20537</v>
      </c>
      <c r="F5774" t="s">
        <v>7672</v>
      </c>
      <c r="G5774" t="s">
        <v>20538</v>
      </c>
      <c r="H5774" t="s">
        <v>9127</v>
      </c>
      <c r="I5774" t="s">
        <v>76</v>
      </c>
      <c r="J5774" t="s">
        <v>7942</v>
      </c>
    </row>
    <row r="5775" spans="1:10" x14ac:dyDescent="0.25">
      <c r="A5775" t="s">
        <v>20551</v>
      </c>
      <c r="B5775">
        <v>10.352</v>
      </c>
      <c r="C5775" t="s">
        <v>20552</v>
      </c>
      <c r="D5775" t="s">
        <v>88</v>
      </c>
      <c r="E5775" t="s">
        <v>20537</v>
      </c>
      <c r="F5775" t="s">
        <v>7672</v>
      </c>
      <c r="G5775" t="s">
        <v>20538</v>
      </c>
      <c r="H5775" t="s">
        <v>9127</v>
      </c>
      <c r="I5775" t="s">
        <v>18501</v>
      </c>
      <c r="J5775" t="s">
        <v>7942</v>
      </c>
    </row>
    <row r="5776" spans="1:10" x14ac:dyDescent="0.25">
      <c r="A5776" t="s">
        <v>20553</v>
      </c>
      <c r="B5776">
        <v>10.352</v>
      </c>
      <c r="C5776" t="s">
        <v>20554</v>
      </c>
      <c r="D5776" t="s">
        <v>199</v>
      </c>
      <c r="E5776" t="s">
        <v>20537</v>
      </c>
      <c r="F5776" t="s">
        <v>7672</v>
      </c>
      <c r="G5776" t="s">
        <v>20538</v>
      </c>
      <c r="H5776" t="s">
        <v>9127</v>
      </c>
      <c r="I5776" t="s">
        <v>18501</v>
      </c>
      <c r="J5776" t="s">
        <v>8603</v>
      </c>
    </row>
    <row r="5777" spans="1:10" x14ac:dyDescent="0.25">
      <c r="A5777" t="s">
        <v>20555</v>
      </c>
      <c r="B5777">
        <v>10.352</v>
      </c>
      <c r="C5777" t="s">
        <v>20556</v>
      </c>
      <c r="D5777" t="s">
        <v>290</v>
      </c>
      <c r="E5777" t="s">
        <v>20537</v>
      </c>
      <c r="F5777" t="s">
        <v>7672</v>
      </c>
      <c r="G5777" t="s">
        <v>20538</v>
      </c>
      <c r="H5777" t="s">
        <v>9127</v>
      </c>
      <c r="I5777" t="s">
        <v>11348</v>
      </c>
      <c r="J5777" t="s">
        <v>8603</v>
      </c>
    </row>
    <row r="5778" spans="1:10" x14ac:dyDescent="0.25">
      <c r="A5778" t="s">
        <v>20557</v>
      </c>
      <c r="B5778">
        <v>10.352</v>
      </c>
      <c r="C5778" t="s">
        <v>20558</v>
      </c>
      <c r="D5778" t="s">
        <v>576</v>
      </c>
      <c r="E5778" t="s">
        <v>20537</v>
      </c>
      <c r="F5778" t="s">
        <v>7672</v>
      </c>
      <c r="G5778" t="s">
        <v>20538</v>
      </c>
      <c r="H5778" t="s">
        <v>9127</v>
      </c>
      <c r="I5778" t="s">
        <v>76</v>
      </c>
      <c r="J5778" t="s">
        <v>8603</v>
      </c>
    </row>
    <row r="5779" spans="1:10" x14ac:dyDescent="0.25">
      <c r="A5779" t="s">
        <v>20559</v>
      </c>
      <c r="B5779">
        <v>10.352</v>
      </c>
      <c r="C5779" t="s">
        <v>20560</v>
      </c>
      <c r="D5779" t="s">
        <v>164</v>
      </c>
      <c r="E5779" t="s">
        <v>20537</v>
      </c>
      <c r="F5779" t="s">
        <v>7672</v>
      </c>
      <c r="G5779" t="s">
        <v>20538</v>
      </c>
      <c r="H5779" t="s">
        <v>9127</v>
      </c>
      <c r="I5779" t="s">
        <v>18496</v>
      </c>
      <c r="J5779" t="s">
        <v>8603</v>
      </c>
    </row>
    <row r="5780" spans="1:10" x14ac:dyDescent="0.25">
      <c r="A5780" t="s">
        <v>20561</v>
      </c>
      <c r="B5780">
        <v>10.352</v>
      </c>
      <c r="C5780" t="s">
        <v>20562</v>
      </c>
      <c r="D5780" t="s">
        <v>576</v>
      </c>
      <c r="E5780" t="s">
        <v>20537</v>
      </c>
      <c r="F5780" t="s">
        <v>7672</v>
      </c>
      <c r="G5780" t="s">
        <v>20538</v>
      </c>
      <c r="H5780" t="s">
        <v>9127</v>
      </c>
      <c r="I5780" t="s">
        <v>18501</v>
      </c>
      <c r="J5780" t="s">
        <v>18510</v>
      </c>
    </row>
    <row r="5781" spans="1:10" x14ac:dyDescent="0.25">
      <c r="A5781" t="s">
        <v>20563</v>
      </c>
      <c r="B5781">
        <v>10.352</v>
      </c>
      <c r="C5781" t="s">
        <v>20564</v>
      </c>
      <c r="D5781" t="s">
        <v>255</v>
      </c>
      <c r="E5781" t="s">
        <v>20537</v>
      </c>
      <c r="F5781" t="s">
        <v>7672</v>
      </c>
      <c r="G5781" t="s">
        <v>20538</v>
      </c>
      <c r="H5781" t="s">
        <v>9127</v>
      </c>
      <c r="I5781" t="s">
        <v>76</v>
      </c>
      <c r="J5781" t="s">
        <v>18510</v>
      </c>
    </row>
    <row r="5782" spans="1:10" x14ac:dyDescent="0.25">
      <c r="A5782" t="s">
        <v>20565</v>
      </c>
      <c r="B5782">
        <v>10.352</v>
      </c>
      <c r="C5782" t="s">
        <v>20566</v>
      </c>
      <c r="D5782" t="s">
        <v>342</v>
      </c>
      <c r="E5782" t="s">
        <v>20537</v>
      </c>
      <c r="F5782" t="s">
        <v>7672</v>
      </c>
      <c r="G5782" t="s">
        <v>20538</v>
      </c>
      <c r="H5782" t="s">
        <v>9127</v>
      </c>
      <c r="I5782" t="s">
        <v>11348</v>
      </c>
      <c r="J5782" t="s">
        <v>18510</v>
      </c>
    </row>
    <row r="5783" spans="1:10" x14ac:dyDescent="0.25">
      <c r="A5783" t="s">
        <v>20567</v>
      </c>
      <c r="B5783">
        <v>10.352</v>
      </c>
      <c r="C5783" t="s">
        <v>20568</v>
      </c>
      <c r="D5783" t="s">
        <v>698</v>
      </c>
      <c r="E5783" t="s">
        <v>20537</v>
      </c>
      <c r="F5783" t="s">
        <v>7672</v>
      </c>
      <c r="G5783" t="s">
        <v>20538</v>
      </c>
      <c r="H5783" t="s">
        <v>9127</v>
      </c>
      <c r="I5783" t="s">
        <v>11348</v>
      </c>
      <c r="J5783" t="s">
        <v>7981</v>
      </c>
    </row>
    <row r="5784" spans="1:10" x14ac:dyDescent="0.25">
      <c r="A5784" t="s">
        <v>20569</v>
      </c>
      <c r="B5784">
        <v>10.352</v>
      </c>
      <c r="C5784" t="s">
        <v>20570</v>
      </c>
      <c r="D5784" t="s">
        <v>705</v>
      </c>
      <c r="E5784" t="s">
        <v>20537</v>
      </c>
      <c r="F5784" t="s">
        <v>7672</v>
      </c>
      <c r="G5784" t="s">
        <v>20538</v>
      </c>
      <c r="H5784" t="s">
        <v>9127</v>
      </c>
      <c r="I5784" t="s">
        <v>18496</v>
      </c>
      <c r="J5784" t="s">
        <v>7981</v>
      </c>
    </row>
    <row r="5785" spans="1:10" x14ac:dyDescent="0.25">
      <c r="A5785" t="s">
        <v>20571</v>
      </c>
      <c r="B5785">
        <v>10.352</v>
      </c>
      <c r="C5785" t="s">
        <v>20572</v>
      </c>
      <c r="D5785" t="s">
        <v>53</v>
      </c>
      <c r="E5785" t="s">
        <v>20537</v>
      </c>
      <c r="F5785" t="s">
        <v>7672</v>
      </c>
      <c r="G5785" t="s">
        <v>20538</v>
      </c>
      <c r="H5785" t="s">
        <v>9127</v>
      </c>
      <c r="I5785" t="s">
        <v>76</v>
      </c>
      <c r="J5785" t="s">
        <v>7981</v>
      </c>
    </row>
    <row r="5786" spans="1:10" x14ac:dyDescent="0.25">
      <c r="A5786" t="s">
        <v>20573</v>
      </c>
      <c r="B5786">
        <v>10.352</v>
      </c>
      <c r="C5786" t="s">
        <v>20574</v>
      </c>
      <c r="D5786" t="s">
        <v>330</v>
      </c>
      <c r="E5786" t="s">
        <v>20537</v>
      </c>
      <c r="F5786" t="s">
        <v>7672</v>
      </c>
      <c r="G5786" t="s">
        <v>20538</v>
      </c>
      <c r="H5786" t="s">
        <v>9127</v>
      </c>
      <c r="I5786" t="s">
        <v>11348</v>
      </c>
      <c r="J5786" t="s">
        <v>8615</v>
      </c>
    </row>
    <row r="5787" spans="1:10" x14ac:dyDescent="0.25">
      <c r="A5787" t="s">
        <v>20575</v>
      </c>
      <c r="B5787">
        <v>10.352</v>
      </c>
      <c r="C5787" t="s">
        <v>20576</v>
      </c>
      <c r="D5787" t="s">
        <v>290</v>
      </c>
      <c r="E5787" t="s">
        <v>20537</v>
      </c>
      <c r="F5787" t="s">
        <v>7672</v>
      </c>
      <c r="G5787" t="s">
        <v>20538</v>
      </c>
      <c r="H5787" t="s">
        <v>9127</v>
      </c>
      <c r="I5787" t="s">
        <v>18501</v>
      </c>
      <c r="J5787" t="s">
        <v>8615</v>
      </c>
    </row>
    <row r="5788" spans="1:10" x14ac:dyDescent="0.25">
      <c r="A5788" t="s">
        <v>20577</v>
      </c>
      <c r="B5788">
        <v>10.352</v>
      </c>
      <c r="C5788" t="s">
        <v>20578</v>
      </c>
      <c r="D5788" t="s">
        <v>964</v>
      </c>
      <c r="E5788" t="s">
        <v>20537</v>
      </c>
      <c r="F5788" t="s">
        <v>7672</v>
      </c>
      <c r="G5788" t="s">
        <v>20538</v>
      </c>
      <c r="H5788" t="s">
        <v>9127</v>
      </c>
      <c r="I5788" t="s">
        <v>18496</v>
      </c>
      <c r="J5788" t="s">
        <v>8615</v>
      </c>
    </row>
    <row r="5789" spans="1:10" x14ac:dyDescent="0.25">
      <c r="A5789" t="s">
        <v>20579</v>
      </c>
      <c r="B5789">
        <v>12</v>
      </c>
      <c r="C5789" t="s">
        <v>20580</v>
      </c>
      <c r="D5789" t="s">
        <v>7993</v>
      </c>
      <c r="E5789" t="s">
        <v>20581</v>
      </c>
      <c r="F5789" t="s">
        <v>7672</v>
      </c>
      <c r="G5789" t="s">
        <v>20582</v>
      </c>
      <c r="H5789" t="s">
        <v>7965</v>
      </c>
      <c r="I5789" t="s">
        <v>76</v>
      </c>
      <c r="J5789" t="s">
        <v>7981</v>
      </c>
    </row>
    <row r="5790" spans="1:10" x14ac:dyDescent="0.25">
      <c r="A5790" t="s">
        <v>20583</v>
      </c>
      <c r="B5790">
        <v>12</v>
      </c>
      <c r="C5790" t="s">
        <v>20584</v>
      </c>
      <c r="D5790" t="s">
        <v>11690</v>
      </c>
      <c r="E5790" t="s">
        <v>20581</v>
      </c>
      <c r="F5790" t="s">
        <v>7672</v>
      </c>
      <c r="G5790" t="s">
        <v>20582</v>
      </c>
      <c r="H5790" t="s">
        <v>7965</v>
      </c>
      <c r="I5790" t="s">
        <v>76</v>
      </c>
      <c r="J5790" t="s">
        <v>7984</v>
      </c>
    </row>
    <row r="5791" spans="1:10" x14ac:dyDescent="0.25">
      <c r="A5791" t="s">
        <v>20585</v>
      </c>
      <c r="B5791">
        <v>12</v>
      </c>
      <c r="C5791" t="s">
        <v>20586</v>
      </c>
      <c r="D5791" t="s">
        <v>15974</v>
      </c>
      <c r="E5791" t="s">
        <v>20581</v>
      </c>
      <c r="F5791" t="s">
        <v>7672</v>
      </c>
      <c r="G5791" t="s">
        <v>20582</v>
      </c>
      <c r="H5791" t="s">
        <v>7965</v>
      </c>
      <c r="I5791" t="s">
        <v>76</v>
      </c>
      <c r="J5791" t="s">
        <v>7987</v>
      </c>
    </row>
    <row r="5792" spans="1:10" x14ac:dyDescent="0.25">
      <c r="A5792" t="s">
        <v>20587</v>
      </c>
      <c r="B5792">
        <v>12</v>
      </c>
      <c r="C5792" t="s">
        <v>20588</v>
      </c>
      <c r="D5792" t="s">
        <v>659</v>
      </c>
      <c r="E5792" t="s">
        <v>20581</v>
      </c>
      <c r="F5792" t="s">
        <v>7672</v>
      </c>
      <c r="G5792" t="s">
        <v>20582</v>
      </c>
      <c r="H5792" t="s">
        <v>7965</v>
      </c>
      <c r="I5792" t="s">
        <v>76</v>
      </c>
      <c r="J5792" t="s">
        <v>8001</v>
      </c>
    </row>
    <row r="5793" spans="1:10" x14ac:dyDescent="0.25">
      <c r="A5793" t="s">
        <v>20589</v>
      </c>
      <c r="B5793">
        <v>8.32</v>
      </c>
      <c r="C5793" t="s">
        <v>20590</v>
      </c>
      <c r="D5793" t="s">
        <v>2238</v>
      </c>
      <c r="E5793" t="s">
        <v>20591</v>
      </c>
      <c r="F5793" t="s">
        <v>7672</v>
      </c>
      <c r="G5793" t="s">
        <v>20592</v>
      </c>
      <c r="H5793" t="s">
        <v>15122</v>
      </c>
      <c r="I5793" t="s">
        <v>76</v>
      </c>
      <c r="J5793" t="s">
        <v>11767</v>
      </c>
    </row>
    <row r="5794" spans="1:10" x14ac:dyDescent="0.25">
      <c r="A5794" t="s">
        <v>20593</v>
      </c>
      <c r="B5794">
        <v>8.32</v>
      </c>
      <c r="C5794" t="s">
        <v>20594</v>
      </c>
      <c r="D5794" t="s">
        <v>3604</v>
      </c>
      <c r="E5794" t="s">
        <v>20591</v>
      </c>
      <c r="F5794" t="s">
        <v>7672</v>
      </c>
      <c r="G5794" t="s">
        <v>20592</v>
      </c>
      <c r="H5794" t="s">
        <v>15122</v>
      </c>
      <c r="I5794" t="s">
        <v>76</v>
      </c>
      <c r="J5794" t="s">
        <v>11582</v>
      </c>
    </row>
    <row r="5795" spans="1:10" x14ac:dyDescent="0.25">
      <c r="A5795" t="s">
        <v>20595</v>
      </c>
      <c r="B5795">
        <v>8.32</v>
      </c>
      <c r="C5795" t="s">
        <v>20596</v>
      </c>
      <c r="D5795" t="s">
        <v>8193</v>
      </c>
      <c r="E5795" t="s">
        <v>20591</v>
      </c>
      <c r="F5795" t="s">
        <v>7672</v>
      </c>
      <c r="G5795" t="s">
        <v>20592</v>
      </c>
      <c r="H5795" t="s">
        <v>15122</v>
      </c>
      <c r="I5795" t="s">
        <v>76</v>
      </c>
      <c r="J5795" t="s">
        <v>11585</v>
      </c>
    </row>
    <row r="5796" spans="1:10" x14ac:dyDescent="0.25">
      <c r="A5796" t="s">
        <v>20597</v>
      </c>
      <c r="B5796">
        <v>8.32</v>
      </c>
      <c r="C5796" t="s">
        <v>20598</v>
      </c>
      <c r="D5796" t="s">
        <v>5966</v>
      </c>
      <c r="E5796" t="s">
        <v>20591</v>
      </c>
      <c r="F5796" t="s">
        <v>7672</v>
      </c>
      <c r="G5796" t="s">
        <v>20592</v>
      </c>
      <c r="H5796" t="s">
        <v>15122</v>
      </c>
      <c r="I5796" t="s">
        <v>76</v>
      </c>
      <c r="J5796" t="s">
        <v>10369</v>
      </c>
    </row>
    <row r="5797" spans="1:10" x14ac:dyDescent="0.25">
      <c r="A5797" t="s">
        <v>20599</v>
      </c>
      <c r="B5797">
        <v>8.32</v>
      </c>
      <c r="C5797" t="s">
        <v>20600</v>
      </c>
      <c r="D5797" t="s">
        <v>9671</v>
      </c>
      <c r="E5797" t="s">
        <v>20591</v>
      </c>
      <c r="F5797" t="s">
        <v>7672</v>
      </c>
      <c r="G5797" t="s">
        <v>20592</v>
      </c>
      <c r="H5797" t="s">
        <v>15122</v>
      </c>
      <c r="I5797" t="s">
        <v>76</v>
      </c>
      <c r="J5797" t="s">
        <v>11590</v>
      </c>
    </row>
    <row r="5798" spans="1:10" x14ac:dyDescent="0.25">
      <c r="A5798" t="s">
        <v>20601</v>
      </c>
      <c r="B5798">
        <v>8.32</v>
      </c>
      <c r="C5798" t="s">
        <v>20602</v>
      </c>
      <c r="D5798" t="s">
        <v>715</v>
      </c>
      <c r="E5798" t="s">
        <v>20591</v>
      </c>
      <c r="F5798" t="s">
        <v>7672</v>
      </c>
      <c r="G5798" t="s">
        <v>20592</v>
      </c>
      <c r="H5798" t="s">
        <v>15122</v>
      </c>
      <c r="I5798" t="s">
        <v>76</v>
      </c>
      <c r="J5798" t="s">
        <v>11593</v>
      </c>
    </row>
    <row r="5799" spans="1:10" x14ac:dyDescent="0.25">
      <c r="A5799" t="s">
        <v>20603</v>
      </c>
      <c r="B5799">
        <v>7.2</v>
      </c>
      <c r="C5799" t="s">
        <v>20604</v>
      </c>
      <c r="D5799" t="s">
        <v>4270</v>
      </c>
      <c r="E5799" t="s">
        <v>20605</v>
      </c>
      <c r="F5799" t="s">
        <v>7672</v>
      </c>
      <c r="G5799" t="s">
        <v>20606</v>
      </c>
      <c r="H5799" t="s">
        <v>11496</v>
      </c>
      <c r="I5799" t="s">
        <v>20607</v>
      </c>
      <c r="J5799" t="s">
        <v>9423</v>
      </c>
    </row>
    <row r="5800" spans="1:10" x14ac:dyDescent="0.25">
      <c r="A5800" t="s">
        <v>20608</v>
      </c>
      <c r="B5800">
        <v>7.2</v>
      </c>
      <c r="C5800" t="s">
        <v>20609</v>
      </c>
      <c r="D5800" t="s">
        <v>843</v>
      </c>
      <c r="E5800" t="s">
        <v>20605</v>
      </c>
      <c r="F5800" t="s">
        <v>7672</v>
      </c>
      <c r="G5800" t="s">
        <v>20606</v>
      </c>
      <c r="H5800" t="s">
        <v>11496</v>
      </c>
      <c r="I5800" t="s">
        <v>20607</v>
      </c>
      <c r="J5800" t="s">
        <v>10862</v>
      </c>
    </row>
    <row r="5801" spans="1:10" x14ac:dyDescent="0.25">
      <c r="A5801" t="s">
        <v>20610</v>
      </c>
      <c r="B5801">
        <v>7.2</v>
      </c>
      <c r="C5801" t="s">
        <v>20611</v>
      </c>
      <c r="D5801" t="s">
        <v>705</v>
      </c>
      <c r="E5801" t="s">
        <v>20605</v>
      </c>
      <c r="F5801" t="s">
        <v>7672</v>
      </c>
      <c r="G5801" t="s">
        <v>20606</v>
      </c>
      <c r="H5801" t="s">
        <v>11496</v>
      </c>
      <c r="I5801" t="s">
        <v>20607</v>
      </c>
      <c r="J5801" t="s">
        <v>9426</v>
      </c>
    </row>
    <row r="5802" spans="1:10" x14ac:dyDescent="0.25">
      <c r="A5802" t="s">
        <v>20612</v>
      </c>
      <c r="B5802">
        <v>7.2</v>
      </c>
      <c r="C5802" t="s">
        <v>20613</v>
      </c>
      <c r="D5802" t="s">
        <v>725</v>
      </c>
      <c r="E5802" t="s">
        <v>20605</v>
      </c>
      <c r="F5802" t="s">
        <v>7672</v>
      </c>
      <c r="G5802" t="s">
        <v>20606</v>
      </c>
      <c r="H5802" t="s">
        <v>11496</v>
      </c>
      <c r="I5802" t="s">
        <v>20607</v>
      </c>
      <c r="J5802" t="s">
        <v>13084</v>
      </c>
    </row>
    <row r="5803" spans="1:10" x14ac:dyDescent="0.25">
      <c r="A5803" t="s">
        <v>20614</v>
      </c>
      <c r="B5803">
        <v>7.2</v>
      </c>
      <c r="C5803" t="s">
        <v>20615</v>
      </c>
      <c r="D5803" t="s">
        <v>843</v>
      </c>
      <c r="E5803" t="s">
        <v>20605</v>
      </c>
      <c r="F5803" t="s">
        <v>7672</v>
      </c>
      <c r="G5803" t="s">
        <v>20606</v>
      </c>
      <c r="H5803" t="s">
        <v>11496</v>
      </c>
      <c r="I5803" t="s">
        <v>20607</v>
      </c>
      <c r="J5803" t="s">
        <v>11767</v>
      </c>
    </row>
    <row r="5804" spans="1:10" x14ac:dyDescent="0.25">
      <c r="A5804" t="s">
        <v>20616</v>
      </c>
      <c r="B5804">
        <v>7.2</v>
      </c>
      <c r="C5804" t="s">
        <v>20617</v>
      </c>
      <c r="D5804" t="s">
        <v>2787</v>
      </c>
      <c r="E5804" t="s">
        <v>20605</v>
      </c>
      <c r="F5804" t="s">
        <v>7672</v>
      </c>
      <c r="G5804" t="s">
        <v>20606</v>
      </c>
      <c r="H5804" t="s">
        <v>11496</v>
      </c>
      <c r="I5804" t="s">
        <v>20607</v>
      </c>
      <c r="J5804" t="s">
        <v>11582</v>
      </c>
    </row>
    <row r="5805" spans="1:10" x14ac:dyDescent="0.25">
      <c r="A5805" t="s">
        <v>20618</v>
      </c>
      <c r="B5805">
        <v>4.4960000000000004</v>
      </c>
      <c r="C5805" t="s">
        <v>20619</v>
      </c>
      <c r="D5805" t="s">
        <v>2652</v>
      </c>
      <c r="E5805" t="s">
        <v>20620</v>
      </c>
      <c r="F5805" t="s">
        <v>7672</v>
      </c>
      <c r="G5805" t="s">
        <v>20621</v>
      </c>
      <c r="H5805" t="s">
        <v>7674</v>
      </c>
      <c r="I5805" t="s">
        <v>20622</v>
      </c>
      <c r="J5805" t="s">
        <v>7942</v>
      </c>
    </row>
    <row r="5806" spans="1:10" x14ac:dyDescent="0.25">
      <c r="A5806" t="s">
        <v>20623</v>
      </c>
      <c r="B5806">
        <v>4.4960000000000004</v>
      </c>
      <c r="C5806" t="s">
        <v>20624</v>
      </c>
      <c r="D5806" t="s">
        <v>234</v>
      </c>
      <c r="E5806" t="s">
        <v>20620</v>
      </c>
      <c r="F5806" t="s">
        <v>7672</v>
      </c>
      <c r="G5806" t="s">
        <v>20621</v>
      </c>
      <c r="H5806" t="s">
        <v>7674</v>
      </c>
      <c r="I5806" t="s">
        <v>20625</v>
      </c>
      <c r="J5806" t="s">
        <v>7942</v>
      </c>
    </row>
    <row r="5807" spans="1:10" x14ac:dyDescent="0.25">
      <c r="A5807" t="s">
        <v>20626</v>
      </c>
      <c r="B5807">
        <v>4.4960000000000004</v>
      </c>
      <c r="C5807" t="s">
        <v>20627</v>
      </c>
      <c r="D5807" t="s">
        <v>3060</v>
      </c>
      <c r="E5807" t="s">
        <v>20620</v>
      </c>
      <c r="F5807" t="s">
        <v>7672</v>
      </c>
      <c r="G5807" t="s">
        <v>20621</v>
      </c>
      <c r="H5807" t="s">
        <v>7674</v>
      </c>
      <c r="I5807" t="s">
        <v>20628</v>
      </c>
      <c r="J5807" t="s">
        <v>7942</v>
      </c>
    </row>
    <row r="5808" spans="1:10" x14ac:dyDescent="0.25">
      <c r="A5808" t="s">
        <v>20629</v>
      </c>
      <c r="B5808">
        <v>8.9920000000000009</v>
      </c>
      <c r="C5808" t="s">
        <v>20630</v>
      </c>
      <c r="D5808" t="s">
        <v>20631</v>
      </c>
      <c r="E5808" t="s">
        <v>20632</v>
      </c>
      <c r="F5808" t="s">
        <v>7672</v>
      </c>
      <c r="G5808" t="s">
        <v>20633</v>
      </c>
      <c r="H5808" t="s">
        <v>10298</v>
      </c>
      <c r="I5808" t="s">
        <v>76</v>
      </c>
      <c r="J5808" t="s">
        <v>53</v>
      </c>
    </row>
    <row r="5809" spans="1:10" x14ac:dyDescent="0.25">
      <c r="A5809" t="s">
        <v>20634</v>
      </c>
      <c r="B5809">
        <v>8.9920000000000009</v>
      </c>
      <c r="C5809" t="s">
        <v>20635</v>
      </c>
      <c r="D5809" t="s">
        <v>3444</v>
      </c>
      <c r="E5809" t="s">
        <v>20632</v>
      </c>
      <c r="F5809" t="s">
        <v>7672</v>
      </c>
      <c r="G5809" t="s">
        <v>20633</v>
      </c>
      <c r="H5809" t="s">
        <v>10298</v>
      </c>
      <c r="I5809" t="s">
        <v>76</v>
      </c>
      <c r="J5809" t="s">
        <v>60</v>
      </c>
    </row>
    <row r="5810" spans="1:10" x14ac:dyDescent="0.25">
      <c r="A5810" t="s">
        <v>20636</v>
      </c>
      <c r="B5810">
        <v>8.9920000000000009</v>
      </c>
      <c r="C5810" t="s">
        <v>20637</v>
      </c>
      <c r="D5810" t="s">
        <v>9354</v>
      </c>
      <c r="E5810" t="s">
        <v>20632</v>
      </c>
      <c r="F5810" t="s">
        <v>7672</v>
      </c>
      <c r="G5810" t="s">
        <v>20633</v>
      </c>
      <c r="H5810" t="s">
        <v>10298</v>
      </c>
      <c r="I5810" t="s">
        <v>76</v>
      </c>
      <c r="J5810" t="s">
        <v>342</v>
      </c>
    </row>
    <row r="5811" spans="1:10" x14ac:dyDescent="0.25">
      <c r="A5811" t="s">
        <v>20638</v>
      </c>
      <c r="B5811">
        <v>8.9920000000000009</v>
      </c>
      <c r="C5811" t="s">
        <v>20639</v>
      </c>
      <c r="D5811" t="s">
        <v>8762</v>
      </c>
      <c r="E5811" t="s">
        <v>20632</v>
      </c>
      <c r="F5811" t="s">
        <v>7672</v>
      </c>
      <c r="G5811" t="s">
        <v>20633</v>
      </c>
      <c r="H5811" t="s">
        <v>10298</v>
      </c>
      <c r="I5811" t="s">
        <v>76</v>
      </c>
      <c r="J5811" t="s">
        <v>100</v>
      </c>
    </row>
    <row r="5812" spans="1:10" x14ac:dyDescent="0.25">
      <c r="A5812" t="s">
        <v>5438</v>
      </c>
      <c r="B5812">
        <v>15.6</v>
      </c>
      <c r="C5812" t="s">
        <v>5440</v>
      </c>
      <c r="D5812" t="s">
        <v>88</v>
      </c>
      <c r="E5812" t="s">
        <v>5441</v>
      </c>
      <c r="F5812" t="s">
        <v>7672</v>
      </c>
      <c r="G5812" t="s">
        <v>20640</v>
      </c>
      <c r="H5812" t="s">
        <v>7954</v>
      </c>
      <c r="I5812" t="s">
        <v>7955</v>
      </c>
      <c r="J5812" t="s">
        <v>7675</v>
      </c>
    </row>
    <row r="5813" spans="1:10" x14ac:dyDescent="0.25">
      <c r="A5813" t="s">
        <v>5445</v>
      </c>
      <c r="B5813">
        <v>15.6</v>
      </c>
      <c r="C5813" t="s">
        <v>5447</v>
      </c>
      <c r="D5813" t="s">
        <v>1254</v>
      </c>
      <c r="E5813" t="s">
        <v>5441</v>
      </c>
      <c r="F5813" t="s">
        <v>7672</v>
      </c>
      <c r="G5813" t="s">
        <v>20640</v>
      </c>
      <c r="H5813" t="s">
        <v>7954</v>
      </c>
      <c r="I5813" t="s">
        <v>7955</v>
      </c>
      <c r="J5813" t="s">
        <v>7719</v>
      </c>
    </row>
    <row r="5814" spans="1:10" x14ac:dyDescent="0.25">
      <c r="A5814" t="s">
        <v>5449</v>
      </c>
      <c r="B5814">
        <v>18</v>
      </c>
      <c r="C5814" t="s">
        <v>5451</v>
      </c>
      <c r="D5814" t="s">
        <v>240</v>
      </c>
      <c r="E5814" t="s">
        <v>5441</v>
      </c>
      <c r="F5814" t="s">
        <v>7672</v>
      </c>
      <c r="G5814" t="s">
        <v>20640</v>
      </c>
      <c r="H5814" t="s">
        <v>7954</v>
      </c>
      <c r="I5814" t="s">
        <v>7948</v>
      </c>
      <c r="J5814" t="s">
        <v>7719</v>
      </c>
    </row>
    <row r="5815" spans="1:10" x14ac:dyDescent="0.25">
      <c r="A5815" t="s">
        <v>5453</v>
      </c>
      <c r="B5815">
        <v>9</v>
      </c>
      <c r="C5815" t="s">
        <v>5455</v>
      </c>
      <c r="D5815" t="s">
        <v>255</v>
      </c>
      <c r="E5815" t="s">
        <v>5456</v>
      </c>
      <c r="F5815" t="s">
        <v>7672</v>
      </c>
      <c r="G5815" t="s">
        <v>20641</v>
      </c>
      <c r="H5815" t="s">
        <v>8078</v>
      </c>
      <c r="I5815" t="s">
        <v>20642</v>
      </c>
      <c r="J5815" t="s">
        <v>7981</v>
      </c>
    </row>
    <row r="5816" spans="1:10" x14ac:dyDescent="0.25">
      <c r="A5816" t="s">
        <v>5460</v>
      </c>
      <c r="B5816">
        <v>9</v>
      </c>
      <c r="C5816" t="s">
        <v>5462</v>
      </c>
      <c r="D5816" t="s">
        <v>366</v>
      </c>
      <c r="E5816" t="s">
        <v>5456</v>
      </c>
      <c r="F5816" t="s">
        <v>7672</v>
      </c>
      <c r="G5816" t="s">
        <v>20641</v>
      </c>
      <c r="H5816" t="s">
        <v>8078</v>
      </c>
      <c r="I5816" t="s">
        <v>20642</v>
      </c>
      <c r="J5816" t="s">
        <v>7984</v>
      </c>
    </row>
    <row r="5817" spans="1:10" x14ac:dyDescent="0.25">
      <c r="A5817" t="s">
        <v>5464</v>
      </c>
      <c r="B5817">
        <v>9</v>
      </c>
      <c r="C5817" t="s">
        <v>5466</v>
      </c>
      <c r="D5817" t="s">
        <v>352</v>
      </c>
      <c r="E5817" t="s">
        <v>5456</v>
      </c>
      <c r="F5817" t="s">
        <v>7672</v>
      </c>
      <c r="G5817" t="s">
        <v>20641</v>
      </c>
      <c r="H5817" t="s">
        <v>8078</v>
      </c>
      <c r="I5817" t="s">
        <v>20642</v>
      </c>
      <c r="J5817" t="s">
        <v>7987</v>
      </c>
    </row>
    <row r="5818" spans="1:10" x14ac:dyDescent="0.25">
      <c r="A5818" t="s">
        <v>20643</v>
      </c>
      <c r="B5818">
        <v>15.6</v>
      </c>
      <c r="C5818" t="s">
        <v>20644</v>
      </c>
      <c r="D5818" t="s">
        <v>282</v>
      </c>
      <c r="E5818" t="s">
        <v>20645</v>
      </c>
      <c r="F5818" t="s">
        <v>7672</v>
      </c>
      <c r="G5818" t="s">
        <v>20646</v>
      </c>
      <c r="H5818" t="s">
        <v>8087</v>
      </c>
      <c r="I5818" t="s">
        <v>4045</v>
      </c>
      <c r="J5818" t="s">
        <v>240</v>
      </c>
    </row>
    <row r="5819" spans="1:10" x14ac:dyDescent="0.25">
      <c r="A5819" t="s">
        <v>20647</v>
      </c>
      <c r="B5819">
        <v>15.6</v>
      </c>
      <c r="C5819" t="s">
        <v>20648</v>
      </c>
      <c r="D5819" t="s">
        <v>95</v>
      </c>
      <c r="E5819" t="s">
        <v>20645</v>
      </c>
      <c r="F5819" t="s">
        <v>7672</v>
      </c>
      <c r="G5819" t="s">
        <v>20646</v>
      </c>
      <c r="H5819" t="s">
        <v>8087</v>
      </c>
      <c r="I5819" t="s">
        <v>20649</v>
      </c>
      <c r="J5819" t="s">
        <v>240</v>
      </c>
    </row>
    <row r="5820" spans="1:10" x14ac:dyDescent="0.25">
      <c r="A5820" t="s">
        <v>20650</v>
      </c>
      <c r="B5820">
        <v>15.6</v>
      </c>
      <c r="C5820" t="s">
        <v>20651</v>
      </c>
      <c r="D5820" t="s">
        <v>436</v>
      </c>
      <c r="E5820" t="s">
        <v>20645</v>
      </c>
      <c r="F5820" t="s">
        <v>7672</v>
      </c>
      <c r="G5820" t="s">
        <v>20646</v>
      </c>
      <c r="H5820" t="s">
        <v>8087</v>
      </c>
      <c r="I5820" t="s">
        <v>20652</v>
      </c>
      <c r="J5820" t="s">
        <v>240</v>
      </c>
    </row>
    <row r="5821" spans="1:10" x14ac:dyDescent="0.25">
      <c r="A5821" t="s">
        <v>20653</v>
      </c>
      <c r="B5821">
        <v>15.6</v>
      </c>
      <c r="C5821" t="s">
        <v>20654</v>
      </c>
      <c r="D5821" t="s">
        <v>269</v>
      </c>
      <c r="E5821" t="s">
        <v>20645</v>
      </c>
      <c r="F5821" t="s">
        <v>7672</v>
      </c>
      <c r="G5821" t="s">
        <v>20646</v>
      </c>
      <c r="H5821" t="s">
        <v>8087</v>
      </c>
      <c r="I5821" t="s">
        <v>20649</v>
      </c>
      <c r="J5821" t="s">
        <v>835</v>
      </c>
    </row>
    <row r="5822" spans="1:10" x14ac:dyDescent="0.25">
      <c r="A5822" t="s">
        <v>20655</v>
      </c>
      <c r="B5822">
        <v>15.6</v>
      </c>
      <c r="C5822" t="s">
        <v>20656</v>
      </c>
      <c r="D5822" t="s">
        <v>199</v>
      </c>
      <c r="E5822" t="s">
        <v>20645</v>
      </c>
      <c r="F5822" t="s">
        <v>7672</v>
      </c>
      <c r="G5822" t="s">
        <v>20646</v>
      </c>
      <c r="H5822" t="s">
        <v>8087</v>
      </c>
      <c r="I5822" t="s">
        <v>20652</v>
      </c>
      <c r="J5822" t="s">
        <v>250</v>
      </c>
    </row>
    <row r="5823" spans="1:10" x14ac:dyDescent="0.25">
      <c r="A5823" t="s">
        <v>20657</v>
      </c>
      <c r="B5823">
        <v>15.6</v>
      </c>
      <c r="C5823" t="s">
        <v>20658</v>
      </c>
      <c r="D5823" t="s">
        <v>352</v>
      </c>
      <c r="E5823" t="s">
        <v>20645</v>
      </c>
      <c r="F5823" t="s">
        <v>7672</v>
      </c>
      <c r="G5823" t="s">
        <v>20646</v>
      </c>
      <c r="H5823" t="s">
        <v>8087</v>
      </c>
      <c r="I5823" t="s">
        <v>4045</v>
      </c>
      <c r="J5823" t="s">
        <v>250</v>
      </c>
    </row>
    <row r="5824" spans="1:10" x14ac:dyDescent="0.25">
      <c r="A5824" t="s">
        <v>20659</v>
      </c>
      <c r="B5824">
        <v>15.6</v>
      </c>
      <c r="C5824" t="s">
        <v>20660</v>
      </c>
      <c r="D5824" t="s">
        <v>240</v>
      </c>
      <c r="E5824" t="s">
        <v>20645</v>
      </c>
      <c r="F5824" t="s">
        <v>7672</v>
      </c>
      <c r="G5824" t="s">
        <v>20646</v>
      </c>
      <c r="H5824" t="s">
        <v>8087</v>
      </c>
      <c r="I5824" t="s">
        <v>20649</v>
      </c>
      <c r="J5824" t="s">
        <v>250</v>
      </c>
    </row>
    <row r="5825" spans="1:10" x14ac:dyDescent="0.25">
      <c r="A5825" t="s">
        <v>20661</v>
      </c>
      <c r="B5825">
        <v>15.6</v>
      </c>
      <c r="C5825" t="s">
        <v>20662</v>
      </c>
      <c r="D5825" t="s">
        <v>255</v>
      </c>
      <c r="E5825" t="s">
        <v>20645</v>
      </c>
      <c r="F5825" t="s">
        <v>7672</v>
      </c>
      <c r="G5825" t="s">
        <v>20646</v>
      </c>
      <c r="H5825" t="s">
        <v>8087</v>
      </c>
      <c r="I5825" t="s">
        <v>20649</v>
      </c>
      <c r="J5825" t="s">
        <v>229</v>
      </c>
    </row>
    <row r="5826" spans="1:10" x14ac:dyDescent="0.25">
      <c r="A5826" t="s">
        <v>20663</v>
      </c>
      <c r="B5826">
        <v>15.6</v>
      </c>
      <c r="C5826" t="s">
        <v>20664</v>
      </c>
      <c r="D5826" t="s">
        <v>255</v>
      </c>
      <c r="E5826" t="s">
        <v>20645</v>
      </c>
      <c r="F5826" t="s">
        <v>7672</v>
      </c>
      <c r="G5826" t="s">
        <v>20646</v>
      </c>
      <c r="H5826" t="s">
        <v>8087</v>
      </c>
      <c r="I5826" t="s">
        <v>20652</v>
      </c>
      <c r="J5826" t="s">
        <v>875</v>
      </c>
    </row>
    <row r="5827" spans="1:10" x14ac:dyDescent="0.25">
      <c r="A5827" t="s">
        <v>20665</v>
      </c>
      <c r="B5827">
        <v>15.6</v>
      </c>
      <c r="C5827" t="s">
        <v>20666</v>
      </c>
      <c r="D5827" t="s">
        <v>330</v>
      </c>
      <c r="E5827" t="s">
        <v>20645</v>
      </c>
      <c r="F5827" t="s">
        <v>7672</v>
      </c>
      <c r="G5827" t="s">
        <v>20646</v>
      </c>
      <c r="H5827" t="s">
        <v>8087</v>
      </c>
      <c r="I5827" t="s">
        <v>20649</v>
      </c>
      <c r="J5827" t="s">
        <v>875</v>
      </c>
    </row>
    <row r="5828" spans="1:10" x14ac:dyDescent="0.25">
      <c r="A5828" t="s">
        <v>20667</v>
      </c>
      <c r="B5828">
        <v>15.6</v>
      </c>
      <c r="C5828" t="s">
        <v>20668</v>
      </c>
      <c r="D5828" t="s">
        <v>282</v>
      </c>
      <c r="E5828" t="s">
        <v>20645</v>
      </c>
      <c r="F5828" t="s">
        <v>7672</v>
      </c>
      <c r="G5828" t="s">
        <v>20646</v>
      </c>
      <c r="H5828" t="s">
        <v>8087</v>
      </c>
      <c r="I5828" t="s">
        <v>20652</v>
      </c>
      <c r="J5828" t="s">
        <v>582</v>
      </c>
    </row>
    <row r="5829" spans="1:10" x14ac:dyDescent="0.25">
      <c r="A5829" t="s">
        <v>20669</v>
      </c>
      <c r="B5829">
        <v>15.6</v>
      </c>
      <c r="C5829" t="s">
        <v>20670</v>
      </c>
      <c r="D5829" t="s">
        <v>60</v>
      </c>
      <c r="E5829" t="s">
        <v>20645</v>
      </c>
      <c r="F5829" t="s">
        <v>7672</v>
      </c>
      <c r="G5829" t="s">
        <v>20646</v>
      </c>
      <c r="H5829" t="s">
        <v>8087</v>
      </c>
      <c r="I5829" t="s">
        <v>4045</v>
      </c>
      <c r="J5829" t="s">
        <v>582</v>
      </c>
    </row>
    <row r="5830" spans="1:10" x14ac:dyDescent="0.25">
      <c r="A5830" t="s">
        <v>20671</v>
      </c>
      <c r="B5830">
        <v>15.6</v>
      </c>
      <c r="C5830" t="s">
        <v>20672</v>
      </c>
      <c r="D5830" t="s">
        <v>576</v>
      </c>
      <c r="E5830" t="s">
        <v>20645</v>
      </c>
      <c r="F5830" t="s">
        <v>7672</v>
      </c>
      <c r="G5830" t="s">
        <v>20646</v>
      </c>
      <c r="H5830" t="s">
        <v>8087</v>
      </c>
      <c r="I5830" t="s">
        <v>20649</v>
      </c>
      <c r="J5830" t="s">
        <v>582</v>
      </c>
    </row>
    <row r="5831" spans="1:10" x14ac:dyDescent="0.25">
      <c r="A5831" t="s">
        <v>20673</v>
      </c>
      <c r="B5831">
        <v>48</v>
      </c>
      <c r="C5831" t="s">
        <v>20674</v>
      </c>
      <c r="D5831" t="s">
        <v>20675</v>
      </c>
      <c r="E5831" t="s">
        <v>20676</v>
      </c>
      <c r="F5831" t="s">
        <v>7672</v>
      </c>
      <c r="G5831" t="s">
        <v>20677</v>
      </c>
      <c r="H5831" t="s">
        <v>9693</v>
      </c>
      <c r="I5831" t="s">
        <v>18323</v>
      </c>
      <c r="J5831" t="s">
        <v>9694</v>
      </c>
    </row>
    <row r="5832" spans="1:10" x14ac:dyDescent="0.25">
      <c r="A5832" t="s">
        <v>20678</v>
      </c>
      <c r="B5832">
        <v>4.9920000000000009</v>
      </c>
      <c r="C5832" t="s">
        <v>20679</v>
      </c>
      <c r="D5832" t="s">
        <v>199</v>
      </c>
      <c r="E5832" t="s">
        <v>20680</v>
      </c>
      <c r="F5832" t="s">
        <v>7672</v>
      </c>
      <c r="G5832" t="s">
        <v>20681</v>
      </c>
      <c r="H5832" t="s">
        <v>7974</v>
      </c>
      <c r="I5832" t="s">
        <v>8158</v>
      </c>
      <c r="J5832" t="s">
        <v>9107</v>
      </c>
    </row>
    <row r="5833" spans="1:10" x14ac:dyDescent="0.25">
      <c r="A5833" t="s">
        <v>20682</v>
      </c>
      <c r="B5833">
        <v>4.9920000000000009</v>
      </c>
      <c r="C5833" t="s">
        <v>20683</v>
      </c>
      <c r="D5833" t="s">
        <v>2697</v>
      </c>
      <c r="E5833" t="s">
        <v>20680</v>
      </c>
      <c r="F5833" t="s">
        <v>7672</v>
      </c>
      <c r="G5833" t="s">
        <v>20681</v>
      </c>
      <c r="H5833" t="s">
        <v>7974</v>
      </c>
      <c r="I5833" t="s">
        <v>8158</v>
      </c>
      <c r="J5833" t="s">
        <v>9110</v>
      </c>
    </row>
    <row r="5834" spans="1:10" x14ac:dyDescent="0.25">
      <c r="A5834" t="s">
        <v>20684</v>
      </c>
      <c r="B5834">
        <v>11.192</v>
      </c>
      <c r="C5834" t="s">
        <v>20685</v>
      </c>
      <c r="D5834" t="s">
        <v>255</v>
      </c>
      <c r="E5834" t="s">
        <v>20686</v>
      </c>
      <c r="F5834" t="s">
        <v>7672</v>
      </c>
      <c r="G5834" t="s">
        <v>20687</v>
      </c>
      <c r="H5834" t="s">
        <v>7674</v>
      </c>
      <c r="I5834" t="s">
        <v>20688</v>
      </c>
      <c r="J5834" t="s">
        <v>16039</v>
      </c>
    </row>
    <row r="5835" spans="1:10" x14ac:dyDescent="0.25">
      <c r="A5835" t="s">
        <v>20689</v>
      </c>
      <c r="B5835">
        <v>11.192</v>
      </c>
      <c r="C5835" t="s">
        <v>20690</v>
      </c>
      <c r="D5835" t="s">
        <v>277</v>
      </c>
      <c r="E5835" t="s">
        <v>20686</v>
      </c>
      <c r="F5835" t="s">
        <v>7672</v>
      </c>
      <c r="G5835" t="s">
        <v>20687</v>
      </c>
      <c r="H5835" t="s">
        <v>7674</v>
      </c>
      <c r="I5835" t="s">
        <v>20691</v>
      </c>
      <c r="J5835" t="s">
        <v>16039</v>
      </c>
    </row>
    <row r="5836" spans="1:10" x14ac:dyDescent="0.25">
      <c r="A5836" t="s">
        <v>20692</v>
      </c>
      <c r="B5836">
        <v>11.192</v>
      </c>
      <c r="C5836" t="s">
        <v>20693</v>
      </c>
      <c r="D5836" t="s">
        <v>240</v>
      </c>
      <c r="E5836" t="s">
        <v>20686</v>
      </c>
      <c r="F5836" t="s">
        <v>7672</v>
      </c>
      <c r="G5836" t="s">
        <v>20687</v>
      </c>
      <c r="H5836" t="s">
        <v>7674</v>
      </c>
      <c r="I5836" t="s">
        <v>16061</v>
      </c>
      <c r="J5836" t="s">
        <v>16039</v>
      </c>
    </row>
    <row r="5837" spans="1:10" x14ac:dyDescent="0.25">
      <c r="A5837" t="s">
        <v>20694</v>
      </c>
      <c r="B5837">
        <v>11.192</v>
      </c>
      <c r="C5837" t="s">
        <v>20695</v>
      </c>
      <c r="D5837" t="s">
        <v>964</v>
      </c>
      <c r="E5837" t="s">
        <v>20686</v>
      </c>
      <c r="F5837" t="s">
        <v>7672</v>
      </c>
      <c r="G5837" t="s">
        <v>20687</v>
      </c>
      <c r="H5837" t="s">
        <v>7674</v>
      </c>
      <c r="I5837" t="s">
        <v>20688</v>
      </c>
      <c r="J5837" t="s">
        <v>16064</v>
      </c>
    </row>
    <row r="5838" spans="1:10" x14ac:dyDescent="0.25">
      <c r="A5838" t="s">
        <v>20696</v>
      </c>
      <c r="B5838">
        <v>11.192</v>
      </c>
      <c r="C5838" t="s">
        <v>20697</v>
      </c>
      <c r="D5838" t="s">
        <v>849</v>
      </c>
      <c r="E5838" t="s">
        <v>20686</v>
      </c>
      <c r="F5838" t="s">
        <v>7672</v>
      </c>
      <c r="G5838" t="s">
        <v>20687</v>
      </c>
      <c r="H5838" t="s">
        <v>7674</v>
      </c>
      <c r="I5838" t="s">
        <v>20691</v>
      </c>
      <c r="J5838" t="s">
        <v>16064</v>
      </c>
    </row>
    <row r="5839" spans="1:10" x14ac:dyDescent="0.25">
      <c r="A5839" t="s">
        <v>20698</v>
      </c>
      <c r="B5839">
        <v>11.192</v>
      </c>
      <c r="C5839" t="s">
        <v>20699</v>
      </c>
      <c r="D5839" t="s">
        <v>124</v>
      </c>
      <c r="E5839" t="s">
        <v>20686</v>
      </c>
      <c r="F5839" t="s">
        <v>7672</v>
      </c>
      <c r="G5839" t="s">
        <v>20687</v>
      </c>
      <c r="H5839" t="s">
        <v>7674</v>
      </c>
      <c r="I5839" t="s">
        <v>16061</v>
      </c>
      <c r="J5839" t="s">
        <v>16064</v>
      </c>
    </row>
    <row r="5840" spans="1:10" x14ac:dyDescent="0.25">
      <c r="A5840" t="s">
        <v>20700</v>
      </c>
      <c r="B5840">
        <v>11.192</v>
      </c>
      <c r="C5840" t="s">
        <v>20701</v>
      </c>
      <c r="D5840" t="s">
        <v>4270</v>
      </c>
      <c r="E5840" t="s">
        <v>20686</v>
      </c>
      <c r="F5840" t="s">
        <v>7672</v>
      </c>
      <c r="G5840" t="s">
        <v>20687</v>
      </c>
      <c r="H5840" t="s">
        <v>7674</v>
      </c>
      <c r="I5840" t="s">
        <v>16061</v>
      </c>
      <c r="J5840" t="s">
        <v>16089</v>
      </c>
    </row>
    <row r="5841" spans="1:10" x14ac:dyDescent="0.25">
      <c r="A5841" t="s">
        <v>20702</v>
      </c>
      <c r="B5841">
        <v>11.192</v>
      </c>
      <c r="C5841" t="s">
        <v>20703</v>
      </c>
      <c r="D5841" t="s">
        <v>776</v>
      </c>
      <c r="E5841" t="s">
        <v>20686</v>
      </c>
      <c r="F5841" t="s">
        <v>7672</v>
      </c>
      <c r="G5841" t="s">
        <v>20687</v>
      </c>
      <c r="H5841" t="s">
        <v>7674</v>
      </c>
      <c r="I5841" t="s">
        <v>16061</v>
      </c>
      <c r="J5841" t="s">
        <v>16104</v>
      </c>
    </row>
    <row r="5842" spans="1:10" x14ac:dyDescent="0.25">
      <c r="A5842" t="s">
        <v>20704</v>
      </c>
      <c r="B5842">
        <v>11.192</v>
      </c>
      <c r="C5842" t="s">
        <v>20705</v>
      </c>
      <c r="D5842" t="s">
        <v>286</v>
      </c>
      <c r="E5842" t="s">
        <v>20686</v>
      </c>
      <c r="F5842" t="s">
        <v>7672</v>
      </c>
      <c r="G5842" t="s">
        <v>20687</v>
      </c>
      <c r="H5842" t="s">
        <v>7674</v>
      </c>
      <c r="I5842" t="s">
        <v>16061</v>
      </c>
      <c r="J5842" t="s">
        <v>16125</v>
      </c>
    </row>
    <row r="5843" spans="1:10" x14ac:dyDescent="0.25">
      <c r="A5843" t="s">
        <v>20706</v>
      </c>
      <c r="B5843">
        <v>11.192</v>
      </c>
      <c r="C5843" t="s">
        <v>20707</v>
      </c>
      <c r="D5843" t="s">
        <v>131</v>
      </c>
      <c r="E5843" t="s">
        <v>20686</v>
      </c>
      <c r="F5843" t="s">
        <v>7672</v>
      </c>
      <c r="G5843" t="s">
        <v>20687</v>
      </c>
      <c r="H5843" t="s">
        <v>7674</v>
      </c>
      <c r="I5843" t="s">
        <v>16061</v>
      </c>
      <c r="J5843" t="s">
        <v>16143</v>
      </c>
    </row>
    <row r="5844" spans="1:10" x14ac:dyDescent="0.25">
      <c r="A5844" t="s">
        <v>20708</v>
      </c>
      <c r="B5844">
        <v>11.192</v>
      </c>
      <c r="C5844" t="s">
        <v>20709</v>
      </c>
      <c r="D5844" t="s">
        <v>269</v>
      </c>
      <c r="E5844" t="s">
        <v>20710</v>
      </c>
      <c r="F5844" t="s">
        <v>7672</v>
      </c>
      <c r="G5844" t="s">
        <v>20711</v>
      </c>
      <c r="H5844" t="s">
        <v>9127</v>
      </c>
      <c r="I5844" t="s">
        <v>76</v>
      </c>
      <c r="J5844" t="s">
        <v>8451</v>
      </c>
    </row>
    <row r="5845" spans="1:10" x14ac:dyDescent="0.25">
      <c r="A5845" t="s">
        <v>20712</v>
      </c>
      <c r="B5845">
        <v>11.192</v>
      </c>
      <c r="C5845" t="s">
        <v>20713</v>
      </c>
      <c r="D5845" t="s">
        <v>88</v>
      </c>
      <c r="E5845" t="s">
        <v>20710</v>
      </c>
      <c r="F5845" t="s">
        <v>7672</v>
      </c>
      <c r="G5845" t="s">
        <v>20711</v>
      </c>
      <c r="H5845" t="s">
        <v>9127</v>
      </c>
      <c r="I5845" t="s">
        <v>16192</v>
      </c>
      <c r="J5845" t="s">
        <v>8451</v>
      </c>
    </row>
    <row r="5846" spans="1:10" x14ac:dyDescent="0.25">
      <c r="A5846" t="s">
        <v>20714</v>
      </c>
      <c r="B5846">
        <v>11.192</v>
      </c>
      <c r="C5846" t="s">
        <v>20715</v>
      </c>
      <c r="D5846" t="s">
        <v>576</v>
      </c>
      <c r="E5846" t="s">
        <v>20710</v>
      </c>
      <c r="F5846" t="s">
        <v>7672</v>
      </c>
      <c r="G5846" t="s">
        <v>20711</v>
      </c>
      <c r="H5846" t="s">
        <v>9127</v>
      </c>
      <c r="I5846" t="s">
        <v>76</v>
      </c>
      <c r="J5846" t="s">
        <v>8462</v>
      </c>
    </row>
    <row r="5847" spans="1:10" x14ac:dyDescent="0.25">
      <c r="A5847" t="s">
        <v>20716</v>
      </c>
      <c r="B5847">
        <v>11.192</v>
      </c>
      <c r="C5847" t="s">
        <v>20717</v>
      </c>
      <c r="D5847" t="s">
        <v>277</v>
      </c>
      <c r="E5847" t="s">
        <v>20710</v>
      </c>
      <c r="F5847" t="s">
        <v>7672</v>
      </c>
      <c r="G5847" t="s">
        <v>20711</v>
      </c>
      <c r="H5847" t="s">
        <v>9127</v>
      </c>
      <c r="I5847" t="s">
        <v>16192</v>
      </c>
      <c r="J5847" t="s">
        <v>8462</v>
      </c>
    </row>
    <row r="5848" spans="1:10" x14ac:dyDescent="0.25">
      <c r="A5848" t="s">
        <v>20718</v>
      </c>
      <c r="B5848">
        <v>9.7920000000000016</v>
      </c>
      <c r="C5848" t="s">
        <v>20719</v>
      </c>
      <c r="D5848" t="s">
        <v>199</v>
      </c>
      <c r="E5848" t="s">
        <v>20720</v>
      </c>
      <c r="F5848" t="s">
        <v>7672</v>
      </c>
      <c r="G5848" t="s">
        <v>20721</v>
      </c>
      <c r="H5848" t="s">
        <v>10298</v>
      </c>
      <c r="I5848" t="s">
        <v>20722</v>
      </c>
      <c r="J5848" t="s">
        <v>7987</v>
      </c>
    </row>
    <row r="5849" spans="1:10" x14ac:dyDescent="0.25">
      <c r="A5849" t="s">
        <v>20723</v>
      </c>
      <c r="B5849">
        <v>11.192</v>
      </c>
      <c r="C5849" t="s">
        <v>20724</v>
      </c>
      <c r="D5849" t="s">
        <v>705</v>
      </c>
      <c r="E5849" t="s">
        <v>20720</v>
      </c>
      <c r="F5849" t="s">
        <v>7672</v>
      </c>
      <c r="G5849" t="s">
        <v>20721</v>
      </c>
      <c r="H5849" t="s">
        <v>10298</v>
      </c>
      <c r="I5849" t="s">
        <v>20725</v>
      </c>
      <c r="J5849" t="s">
        <v>8001</v>
      </c>
    </row>
    <row r="5850" spans="1:10" x14ac:dyDescent="0.25">
      <c r="A5850" t="s">
        <v>20726</v>
      </c>
      <c r="B5850">
        <v>9.7920000000000016</v>
      </c>
      <c r="C5850" t="s">
        <v>20727</v>
      </c>
      <c r="D5850" t="s">
        <v>975</v>
      </c>
      <c r="E5850" t="s">
        <v>20720</v>
      </c>
      <c r="F5850" t="s">
        <v>7672</v>
      </c>
      <c r="G5850" t="s">
        <v>20721</v>
      </c>
      <c r="H5850" t="s">
        <v>10298</v>
      </c>
      <c r="I5850" t="s">
        <v>20722</v>
      </c>
      <c r="J5850" t="s">
        <v>8001</v>
      </c>
    </row>
    <row r="5851" spans="1:10" x14ac:dyDescent="0.25">
      <c r="A5851" t="s">
        <v>20728</v>
      </c>
      <c r="B5851">
        <v>9.7920000000000016</v>
      </c>
      <c r="C5851" t="s">
        <v>20729</v>
      </c>
      <c r="D5851" t="s">
        <v>342</v>
      </c>
      <c r="E5851" t="s">
        <v>20720</v>
      </c>
      <c r="F5851" t="s">
        <v>7672</v>
      </c>
      <c r="G5851" t="s">
        <v>20721</v>
      </c>
      <c r="H5851" t="s">
        <v>10298</v>
      </c>
      <c r="I5851" t="s">
        <v>20722</v>
      </c>
      <c r="J5851" t="s">
        <v>18520</v>
      </c>
    </row>
    <row r="5852" spans="1:10" x14ac:dyDescent="0.25">
      <c r="A5852" t="s">
        <v>20730</v>
      </c>
      <c r="B5852">
        <v>8</v>
      </c>
      <c r="C5852" t="s">
        <v>20731</v>
      </c>
      <c r="D5852" t="s">
        <v>282</v>
      </c>
      <c r="E5852" t="s">
        <v>20732</v>
      </c>
      <c r="F5852" t="s">
        <v>7672</v>
      </c>
      <c r="G5852" t="s">
        <v>20733</v>
      </c>
      <c r="H5852" t="s">
        <v>11496</v>
      </c>
      <c r="I5852" t="s">
        <v>20011</v>
      </c>
      <c r="J5852" t="s">
        <v>131</v>
      </c>
    </row>
    <row r="5853" spans="1:10" x14ac:dyDescent="0.25">
      <c r="A5853" t="s">
        <v>20734</v>
      </c>
      <c r="B5853">
        <v>11.192</v>
      </c>
      <c r="C5853" t="s">
        <v>20735</v>
      </c>
      <c r="D5853" t="s">
        <v>835</v>
      </c>
      <c r="E5853" t="s">
        <v>20736</v>
      </c>
      <c r="F5853" t="s">
        <v>7672</v>
      </c>
      <c r="G5853" t="s">
        <v>20737</v>
      </c>
      <c r="H5853" t="s">
        <v>10298</v>
      </c>
      <c r="I5853" t="s">
        <v>16930</v>
      </c>
      <c r="J5853" t="s">
        <v>8980</v>
      </c>
    </row>
    <row r="5854" spans="1:10" x14ac:dyDescent="0.25">
      <c r="A5854" t="s">
        <v>20738</v>
      </c>
      <c r="B5854">
        <v>11.192</v>
      </c>
      <c r="C5854" t="s">
        <v>20739</v>
      </c>
      <c r="D5854" t="s">
        <v>2697</v>
      </c>
      <c r="E5854" t="s">
        <v>20736</v>
      </c>
      <c r="F5854" t="s">
        <v>7672</v>
      </c>
      <c r="G5854" t="s">
        <v>20737</v>
      </c>
      <c r="H5854" t="s">
        <v>10298</v>
      </c>
      <c r="I5854" t="s">
        <v>20740</v>
      </c>
      <c r="J5854" t="s">
        <v>8980</v>
      </c>
    </row>
    <row r="5855" spans="1:10" x14ac:dyDescent="0.25">
      <c r="A5855" t="s">
        <v>20741</v>
      </c>
      <c r="B5855">
        <v>11.192</v>
      </c>
      <c r="C5855" t="s">
        <v>20742</v>
      </c>
      <c r="D5855" t="s">
        <v>385</v>
      </c>
      <c r="E5855" t="s">
        <v>20736</v>
      </c>
      <c r="F5855" t="s">
        <v>7672</v>
      </c>
      <c r="G5855" t="s">
        <v>20737</v>
      </c>
      <c r="H5855" t="s">
        <v>10298</v>
      </c>
      <c r="I5855" t="s">
        <v>16930</v>
      </c>
      <c r="J5855" t="s">
        <v>53</v>
      </c>
    </row>
    <row r="5856" spans="1:10" x14ac:dyDescent="0.25">
      <c r="A5856" t="s">
        <v>20743</v>
      </c>
      <c r="B5856">
        <v>11.192</v>
      </c>
      <c r="C5856" t="s">
        <v>20744</v>
      </c>
      <c r="D5856" t="s">
        <v>385</v>
      </c>
      <c r="E5856" t="s">
        <v>20736</v>
      </c>
      <c r="F5856" t="s">
        <v>7672</v>
      </c>
      <c r="G5856" t="s">
        <v>20737</v>
      </c>
      <c r="H5856" t="s">
        <v>10298</v>
      </c>
      <c r="I5856" t="s">
        <v>16930</v>
      </c>
      <c r="J5856" t="s">
        <v>342</v>
      </c>
    </row>
    <row r="5857" spans="1:10" x14ac:dyDescent="0.25">
      <c r="A5857" t="s">
        <v>20745</v>
      </c>
      <c r="B5857">
        <v>11.192</v>
      </c>
      <c r="C5857" t="s">
        <v>20746</v>
      </c>
      <c r="D5857" t="s">
        <v>342</v>
      </c>
      <c r="E5857" t="s">
        <v>20736</v>
      </c>
      <c r="F5857" t="s">
        <v>7672</v>
      </c>
      <c r="G5857" t="s">
        <v>20737</v>
      </c>
      <c r="H5857" t="s">
        <v>10298</v>
      </c>
      <c r="I5857" t="s">
        <v>20740</v>
      </c>
      <c r="J5857" t="s">
        <v>106</v>
      </c>
    </row>
    <row r="5858" spans="1:10" x14ac:dyDescent="0.25">
      <c r="A5858" t="s">
        <v>20747</v>
      </c>
      <c r="B5858">
        <v>11.192</v>
      </c>
      <c r="C5858" t="s">
        <v>20748</v>
      </c>
      <c r="D5858" t="s">
        <v>781</v>
      </c>
      <c r="E5858" t="s">
        <v>20736</v>
      </c>
      <c r="F5858" t="s">
        <v>7672</v>
      </c>
      <c r="G5858" t="s">
        <v>20737</v>
      </c>
      <c r="H5858" t="s">
        <v>10298</v>
      </c>
      <c r="I5858" t="s">
        <v>16930</v>
      </c>
      <c r="J5858" t="s">
        <v>106</v>
      </c>
    </row>
    <row r="5859" spans="1:10" x14ac:dyDescent="0.25">
      <c r="A5859" t="s">
        <v>20749</v>
      </c>
      <c r="B5859">
        <v>11.192</v>
      </c>
      <c r="C5859" t="s">
        <v>20750</v>
      </c>
      <c r="D5859" t="s">
        <v>106</v>
      </c>
      <c r="E5859" t="s">
        <v>20736</v>
      </c>
      <c r="F5859" t="s">
        <v>7672</v>
      </c>
      <c r="G5859" t="s">
        <v>20737</v>
      </c>
      <c r="H5859" t="s">
        <v>10298</v>
      </c>
      <c r="I5859" t="s">
        <v>16930</v>
      </c>
      <c r="J5859" t="s">
        <v>131</v>
      </c>
    </row>
    <row r="5860" spans="1:10" x14ac:dyDescent="0.25">
      <c r="A5860" t="s">
        <v>20751</v>
      </c>
      <c r="B5860">
        <v>11.192</v>
      </c>
      <c r="C5860" t="s">
        <v>20752</v>
      </c>
      <c r="D5860" t="s">
        <v>60</v>
      </c>
      <c r="E5860" t="s">
        <v>20736</v>
      </c>
      <c r="F5860" t="s">
        <v>7672</v>
      </c>
      <c r="G5860" t="s">
        <v>20737</v>
      </c>
      <c r="H5860" t="s">
        <v>10298</v>
      </c>
      <c r="I5860" t="s">
        <v>20740</v>
      </c>
      <c r="J5860" t="s">
        <v>576</v>
      </c>
    </row>
    <row r="5861" spans="1:10" x14ac:dyDescent="0.25">
      <c r="A5861" t="s">
        <v>20753</v>
      </c>
      <c r="B5861">
        <v>11.192</v>
      </c>
      <c r="C5861" t="s">
        <v>20754</v>
      </c>
      <c r="D5861" t="s">
        <v>2697</v>
      </c>
      <c r="E5861" t="s">
        <v>20736</v>
      </c>
      <c r="F5861" t="s">
        <v>7672</v>
      </c>
      <c r="G5861" t="s">
        <v>20737</v>
      </c>
      <c r="H5861" t="s">
        <v>10298</v>
      </c>
      <c r="I5861" t="s">
        <v>16930</v>
      </c>
      <c r="J5861" t="s">
        <v>576</v>
      </c>
    </row>
    <row r="5862" spans="1:10" x14ac:dyDescent="0.25">
      <c r="A5862" t="s">
        <v>20755</v>
      </c>
      <c r="B5862">
        <v>11.192</v>
      </c>
      <c r="C5862" t="s">
        <v>20756</v>
      </c>
      <c r="D5862" t="s">
        <v>118</v>
      </c>
      <c r="E5862" t="s">
        <v>20757</v>
      </c>
      <c r="F5862" t="s">
        <v>7672</v>
      </c>
      <c r="G5862" t="s">
        <v>20758</v>
      </c>
      <c r="H5862" t="s">
        <v>10298</v>
      </c>
      <c r="I5862" t="s">
        <v>20759</v>
      </c>
      <c r="J5862" t="s">
        <v>7984</v>
      </c>
    </row>
    <row r="5863" spans="1:10" x14ac:dyDescent="0.25">
      <c r="A5863" t="s">
        <v>20760</v>
      </c>
      <c r="B5863">
        <v>11.192</v>
      </c>
      <c r="C5863" t="s">
        <v>20761</v>
      </c>
      <c r="D5863" t="s">
        <v>5105</v>
      </c>
      <c r="E5863" t="s">
        <v>20757</v>
      </c>
      <c r="F5863" t="s">
        <v>7672</v>
      </c>
      <c r="G5863" t="s">
        <v>20758</v>
      </c>
      <c r="H5863" t="s">
        <v>10298</v>
      </c>
      <c r="I5863" t="s">
        <v>11652</v>
      </c>
      <c r="J5863" t="s">
        <v>7987</v>
      </c>
    </row>
    <row r="5864" spans="1:10" x14ac:dyDescent="0.25">
      <c r="A5864" t="s">
        <v>20762</v>
      </c>
      <c r="B5864">
        <v>11.192</v>
      </c>
      <c r="C5864" t="s">
        <v>20763</v>
      </c>
      <c r="D5864" t="s">
        <v>2262</v>
      </c>
      <c r="E5864" t="s">
        <v>20757</v>
      </c>
      <c r="F5864" t="s">
        <v>7672</v>
      </c>
      <c r="G5864" t="s">
        <v>20758</v>
      </c>
      <c r="H5864" t="s">
        <v>10298</v>
      </c>
      <c r="I5864" t="s">
        <v>20759</v>
      </c>
      <c r="J5864" t="s">
        <v>7987</v>
      </c>
    </row>
    <row r="5865" spans="1:10" x14ac:dyDescent="0.25">
      <c r="A5865" t="s">
        <v>20764</v>
      </c>
      <c r="B5865">
        <v>11.192</v>
      </c>
      <c r="C5865" t="s">
        <v>20765</v>
      </c>
      <c r="D5865" t="s">
        <v>8744</v>
      </c>
      <c r="E5865" t="s">
        <v>20757</v>
      </c>
      <c r="F5865" t="s">
        <v>7672</v>
      </c>
      <c r="G5865" t="s">
        <v>20758</v>
      </c>
      <c r="H5865" t="s">
        <v>10298</v>
      </c>
      <c r="I5865" t="s">
        <v>20759</v>
      </c>
      <c r="J5865" t="s">
        <v>8001</v>
      </c>
    </row>
    <row r="5866" spans="1:10" x14ac:dyDescent="0.25">
      <c r="A5866" t="s">
        <v>20766</v>
      </c>
      <c r="B5866">
        <v>11.192</v>
      </c>
      <c r="C5866" t="s">
        <v>20767</v>
      </c>
      <c r="D5866" t="s">
        <v>12277</v>
      </c>
      <c r="E5866" t="s">
        <v>20757</v>
      </c>
      <c r="F5866" t="s">
        <v>7672</v>
      </c>
      <c r="G5866" t="s">
        <v>20758</v>
      </c>
      <c r="H5866" t="s">
        <v>10298</v>
      </c>
      <c r="I5866" t="s">
        <v>11652</v>
      </c>
      <c r="J5866" t="s">
        <v>8001</v>
      </c>
    </row>
    <row r="5867" spans="1:10" x14ac:dyDescent="0.25">
      <c r="A5867" t="s">
        <v>20768</v>
      </c>
      <c r="B5867">
        <v>11.192</v>
      </c>
      <c r="C5867" t="s">
        <v>20769</v>
      </c>
      <c r="D5867" t="s">
        <v>255</v>
      </c>
      <c r="E5867" t="s">
        <v>20757</v>
      </c>
      <c r="F5867" t="s">
        <v>7672</v>
      </c>
      <c r="G5867" t="s">
        <v>20758</v>
      </c>
      <c r="H5867" t="s">
        <v>10298</v>
      </c>
      <c r="I5867" t="s">
        <v>20759</v>
      </c>
      <c r="J5867" t="s">
        <v>18517</v>
      </c>
    </row>
    <row r="5868" spans="1:10" x14ac:dyDescent="0.25">
      <c r="A5868" t="s">
        <v>20770</v>
      </c>
      <c r="B5868">
        <v>11.192</v>
      </c>
      <c r="C5868" t="s">
        <v>20771</v>
      </c>
      <c r="D5868" t="s">
        <v>436</v>
      </c>
      <c r="E5868" t="s">
        <v>20757</v>
      </c>
      <c r="F5868" t="s">
        <v>7672</v>
      </c>
      <c r="G5868" t="s">
        <v>20758</v>
      </c>
      <c r="H5868" t="s">
        <v>10298</v>
      </c>
      <c r="I5868" t="s">
        <v>20759</v>
      </c>
      <c r="J5868" t="s">
        <v>18525</v>
      </c>
    </row>
    <row r="5869" spans="1:10" x14ac:dyDescent="0.25">
      <c r="A5869" t="s">
        <v>20772</v>
      </c>
      <c r="B5869">
        <v>11.192</v>
      </c>
      <c r="C5869" t="s">
        <v>20773</v>
      </c>
      <c r="D5869" t="s">
        <v>330</v>
      </c>
      <c r="E5869" t="s">
        <v>20757</v>
      </c>
      <c r="F5869" t="s">
        <v>7672</v>
      </c>
      <c r="G5869" t="s">
        <v>20758</v>
      </c>
      <c r="H5869" t="s">
        <v>10298</v>
      </c>
      <c r="I5869" t="s">
        <v>20759</v>
      </c>
      <c r="J5869" t="s">
        <v>8603</v>
      </c>
    </row>
    <row r="5870" spans="1:10" x14ac:dyDescent="0.25">
      <c r="A5870" t="s">
        <v>20774</v>
      </c>
      <c r="B5870">
        <v>11.192</v>
      </c>
      <c r="C5870" t="s">
        <v>20775</v>
      </c>
      <c r="D5870" t="s">
        <v>53</v>
      </c>
      <c r="E5870" t="s">
        <v>20757</v>
      </c>
      <c r="F5870" t="s">
        <v>7672</v>
      </c>
      <c r="G5870" t="s">
        <v>20758</v>
      </c>
      <c r="H5870" t="s">
        <v>10298</v>
      </c>
      <c r="I5870" t="s">
        <v>20759</v>
      </c>
      <c r="J5870" t="s">
        <v>8615</v>
      </c>
    </row>
    <row r="5871" spans="1:10" x14ac:dyDescent="0.25">
      <c r="A5871" t="s">
        <v>20776</v>
      </c>
      <c r="B5871">
        <v>11.192</v>
      </c>
      <c r="C5871" t="s">
        <v>20777</v>
      </c>
      <c r="D5871" t="s">
        <v>255</v>
      </c>
      <c r="E5871" t="s">
        <v>20757</v>
      </c>
      <c r="F5871" t="s">
        <v>7672</v>
      </c>
      <c r="G5871" t="s">
        <v>20758</v>
      </c>
      <c r="H5871" t="s">
        <v>10298</v>
      </c>
      <c r="I5871" t="s">
        <v>20759</v>
      </c>
      <c r="J5871" t="s">
        <v>8625</v>
      </c>
    </row>
    <row r="5872" spans="1:10" x14ac:dyDescent="0.25">
      <c r="A5872" t="s">
        <v>20778</v>
      </c>
      <c r="B5872">
        <v>11.192</v>
      </c>
      <c r="C5872" t="s">
        <v>20779</v>
      </c>
      <c r="D5872" t="s">
        <v>106</v>
      </c>
      <c r="E5872" t="s">
        <v>20757</v>
      </c>
      <c r="F5872" t="s">
        <v>7672</v>
      </c>
      <c r="G5872" t="s">
        <v>20758</v>
      </c>
      <c r="H5872" t="s">
        <v>10298</v>
      </c>
      <c r="I5872" t="s">
        <v>20759</v>
      </c>
      <c r="J5872" t="s">
        <v>8636</v>
      </c>
    </row>
    <row r="5873" spans="1:10" x14ac:dyDescent="0.25">
      <c r="A5873" t="s">
        <v>20780</v>
      </c>
      <c r="B5873">
        <v>7.9200000000000008</v>
      </c>
      <c r="C5873" t="s">
        <v>20781</v>
      </c>
      <c r="D5873" t="s">
        <v>352</v>
      </c>
      <c r="E5873" t="s">
        <v>20782</v>
      </c>
      <c r="F5873" t="s">
        <v>7672</v>
      </c>
      <c r="G5873" t="s">
        <v>20783</v>
      </c>
      <c r="H5873" t="s">
        <v>7674</v>
      </c>
      <c r="I5873" t="s">
        <v>8158</v>
      </c>
      <c r="J5873" t="s">
        <v>11312</v>
      </c>
    </row>
    <row r="5874" spans="1:10" x14ac:dyDescent="0.25">
      <c r="A5874" t="s">
        <v>20784</v>
      </c>
      <c r="B5874">
        <v>7.9200000000000008</v>
      </c>
      <c r="C5874" t="s">
        <v>20785</v>
      </c>
      <c r="D5874" t="s">
        <v>53</v>
      </c>
      <c r="E5874" t="s">
        <v>20782</v>
      </c>
      <c r="F5874" t="s">
        <v>7672</v>
      </c>
      <c r="G5874" t="s">
        <v>20783</v>
      </c>
      <c r="H5874" t="s">
        <v>7674</v>
      </c>
      <c r="I5874" t="s">
        <v>8158</v>
      </c>
      <c r="J5874" t="s">
        <v>9753</v>
      </c>
    </row>
    <row r="5875" spans="1:10" x14ac:dyDescent="0.25">
      <c r="A5875" t="s">
        <v>20786</v>
      </c>
      <c r="B5875">
        <v>7.9200000000000008</v>
      </c>
      <c r="C5875" t="s">
        <v>20787</v>
      </c>
      <c r="D5875" t="s">
        <v>106</v>
      </c>
      <c r="E5875" t="s">
        <v>20782</v>
      </c>
      <c r="F5875" t="s">
        <v>7672</v>
      </c>
      <c r="G5875" t="s">
        <v>20783</v>
      </c>
      <c r="H5875" t="s">
        <v>7674</v>
      </c>
      <c r="I5875" t="s">
        <v>8158</v>
      </c>
      <c r="J5875" t="s">
        <v>9760</v>
      </c>
    </row>
    <row r="5876" spans="1:10" x14ac:dyDescent="0.25">
      <c r="A5876" t="s">
        <v>20788</v>
      </c>
      <c r="B5876">
        <v>7.9200000000000008</v>
      </c>
      <c r="C5876" t="s">
        <v>20789</v>
      </c>
      <c r="D5876" t="s">
        <v>12639</v>
      </c>
      <c r="E5876" t="s">
        <v>20782</v>
      </c>
      <c r="F5876" t="s">
        <v>7672</v>
      </c>
      <c r="G5876" t="s">
        <v>20783</v>
      </c>
      <c r="H5876" t="s">
        <v>7674</v>
      </c>
      <c r="I5876" t="s">
        <v>8158</v>
      </c>
      <c r="J5876" t="s">
        <v>9770</v>
      </c>
    </row>
    <row r="5877" spans="1:10" x14ac:dyDescent="0.25">
      <c r="A5877" t="s">
        <v>20790</v>
      </c>
      <c r="B5877">
        <v>6.4</v>
      </c>
      <c r="C5877" t="s">
        <v>20791</v>
      </c>
      <c r="D5877" t="s">
        <v>342</v>
      </c>
      <c r="E5877" t="s">
        <v>20792</v>
      </c>
      <c r="F5877" t="s">
        <v>7672</v>
      </c>
      <c r="G5877" t="s">
        <v>20793</v>
      </c>
      <c r="H5877" t="s">
        <v>11496</v>
      </c>
      <c r="I5877" t="s">
        <v>18427</v>
      </c>
      <c r="J5877" t="s">
        <v>9423</v>
      </c>
    </row>
    <row r="5878" spans="1:10" x14ac:dyDescent="0.25">
      <c r="A5878" t="s">
        <v>20794</v>
      </c>
      <c r="B5878">
        <v>6.4</v>
      </c>
      <c r="C5878" t="s">
        <v>20795</v>
      </c>
      <c r="D5878" t="s">
        <v>67</v>
      </c>
      <c r="E5878" t="s">
        <v>20792</v>
      </c>
      <c r="F5878" t="s">
        <v>7672</v>
      </c>
      <c r="G5878" t="s">
        <v>20793</v>
      </c>
      <c r="H5878" t="s">
        <v>11496</v>
      </c>
      <c r="I5878" t="s">
        <v>18427</v>
      </c>
      <c r="J5878" t="s">
        <v>10862</v>
      </c>
    </row>
    <row r="5879" spans="1:10" x14ac:dyDescent="0.25">
      <c r="A5879" t="s">
        <v>20796</v>
      </c>
      <c r="B5879">
        <v>6.4</v>
      </c>
      <c r="C5879" t="s">
        <v>20797</v>
      </c>
      <c r="D5879" t="s">
        <v>4924</v>
      </c>
      <c r="E5879" t="s">
        <v>20792</v>
      </c>
      <c r="F5879" t="s">
        <v>7672</v>
      </c>
      <c r="G5879" t="s">
        <v>20793</v>
      </c>
      <c r="H5879" t="s">
        <v>11496</v>
      </c>
      <c r="I5879" t="s">
        <v>18427</v>
      </c>
      <c r="J5879" t="s">
        <v>9426</v>
      </c>
    </row>
    <row r="5880" spans="1:10" x14ac:dyDescent="0.25">
      <c r="A5880" t="s">
        <v>20798</v>
      </c>
      <c r="B5880">
        <v>6.4</v>
      </c>
      <c r="C5880" t="s">
        <v>20799</v>
      </c>
      <c r="D5880" t="s">
        <v>2804</v>
      </c>
      <c r="E5880" t="s">
        <v>20792</v>
      </c>
      <c r="F5880" t="s">
        <v>7672</v>
      </c>
      <c r="G5880" t="s">
        <v>20793</v>
      </c>
      <c r="H5880" t="s">
        <v>11496</v>
      </c>
      <c r="I5880" t="s">
        <v>18427</v>
      </c>
      <c r="J5880" t="s">
        <v>13084</v>
      </c>
    </row>
    <row r="5881" spans="1:10" x14ac:dyDescent="0.25">
      <c r="A5881" t="s">
        <v>20800</v>
      </c>
      <c r="B5881">
        <v>6.4</v>
      </c>
      <c r="C5881" t="s">
        <v>20801</v>
      </c>
      <c r="D5881" t="s">
        <v>2243</v>
      </c>
      <c r="E5881" t="s">
        <v>20792</v>
      </c>
      <c r="F5881" t="s">
        <v>7672</v>
      </c>
      <c r="G5881" t="s">
        <v>20793</v>
      </c>
      <c r="H5881" t="s">
        <v>11496</v>
      </c>
      <c r="I5881" t="s">
        <v>18427</v>
      </c>
      <c r="J5881" t="s">
        <v>11767</v>
      </c>
    </row>
    <row r="5882" spans="1:10" x14ac:dyDescent="0.25">
      <c r="A5882" t="s">
        <v>20802</v>
      </c>
      <c r="B5882">
        <v>6.4</v>
      </c>
      <c r="C5882" t="s">
        <v>20803</v>
      </c>
      <c r="D5882" t="s">
        <v>3841</v>
      </c>
      <c r="E5882" t="s">
        <v>20792</v>
      </c>
      <c r="F5882" t="s">
        <v>7672</v>
      </c>
      <c r="G5882" t="s">
        <v>20793</v>
      </c>
      <c r="H5882" t="s">
        <v>11496</v>
      </c>
      <c r="I5882" t="s">
        <v>18427</v>
      </c>
      <c r="J5882" t="s">
        <v>11582</v>
      </c>
    </row>
    <row r="5883" spans="1:10" x14ac:dyDescent="0.25">
      <c r="A5883" t="s">
        <v>20804</v>
      </c>
      <c r="B5883">
        <v>6.4</v>
      </c>
      <c r="C5883" t="s">
        <v>20805</v>
      </c>
      <c r="D5883" t="s">
        <v>1965</v>
      </c>
      <c r="E5883" t="s">
        <v>20792</v>
      </c>
      <c r="F5883" t="s">
        <v>7672</v>
      </c>
      <c r="G5883" t="s">
        <v>20793</v>
      </c>
      <c r="H5883" t="s">
        <v>11496</v>
      </c>
      <c r="I5883" t="s">
        <v>18427</v>
      </c>
      <c r="J5883" t="s">
        <v>11585</v>
      </c>
    </row>
    <row r="5884" spans="1:10" x14ac:dyDescent="0.25">
      <c r="A5884" t="s">
        <v>20806</v>
      </c>
      <c r="B5884">
        <v>5.6000000000000014</v>
      </c>
      <c r="C5884" t="s">
        <v>20807</v>
      </c>
      <c r="D5884" t="s">
        <v>742</v>
      </c>
      <c r="E5884" t="s">
        <v>20808</v>
      </c>
      <c r="F5884" t="s">
        <v>7672</v>
      </c>
      <c r="G5884" t="s">
        <v>20809</v>
      </c>
      <c r="H5884" t="s">
        <v>11496</v>
      </c>
      <c r="I5884" t="s">
        <v>145</v>
      </c>
      <c r="J5884" t="s">
        <v>9423</v>
      </c>
    </row>
    <row r="5885" spans="1:10" x14ac:dyDescent="0.25">
      <c r="A5885" t="s">
        <v>20810</v>
      </c>
      <c r="B5885">
        <v>5.6000000000000014</v>
      </c>
      <c r="C5885" t="s">
        <v>20811</v>
      </c>
      <c r="D5885" t="s">
        <v>2697</v>
      </c>
      <c r="E5885" t="s">
        <v>20808</v>
      </c>
      <c r="F5885" t="s">
        <v>7672</v>
      </c>
      <c r="G5885" t="s">
        <v>20809</v>
      </c>
      <c r="H5885" t="s">
        <v>11496</v>
      </c>
      <c r="I5885" t="s">
        <v>145</v>
      </c>
      <c r="J5885" t="s">
        <v>9426</v>
      </c>
    </row>
    <row r="5886" spans="1:10" x14ac:dyDescent="0.25">
      <c r="A5886" t="s">
        <v>20812</v>
      </c>
      <c r="B5886">
        <v>5.6000000000000014</v>
      </c>
      <c r="C5886" t="s">
        <v>20813</v>
      </c>
      <c r="D5886" t="s">
        <v>2198</v>
      </c>
      <c r="E5886" t="s">
        <v>20808</v>
      </c>
      <c r="F5886" t="s">
        <v>7672</v>
      </c>
      <c r="G5886" t="s">
        <v>20809</v>
      </c>
      <c r="H5886" t="s">
        <v>11496</v>
      </c>
      <c r="I5886" t="s">
        <v>145</v>
      </c>
      <c r="J5886" t="s">
        <v>13084</v>
      </c>
    </row>
    <row r="5887" spans="1:10" x14ac:dyDescent="0.25">
      <c r="A5887" t="s">
        <v>20814</v>
      </c>
      <c r="B5887">
        <v>5.6000000000000014</v>
      </c>
      <c r="C5887" t="s">
        <v>20815</v>
      </c>
      <c r="D5887" t="s">
        <v>4794</v>
      </c>
      <c r="E5887" t="s">
        <v>20808</v>
      </c>
      <c r="F5887" t="s">
        <v>7672</v>
      </c>
      <c r="G5887" t="s">
        <v>20809</v>
      </c>
      <c r="H5887" t="s">
        <v>11496</v>
      </c>
      <c r="I5887" t="s">
        <v>145</v>
      </c>
      <c r="J5887" t="s">
        <v>11767</v>
      </c>
    </row>
    <row r="5888" spans="1:10" x14ac:dyDescent="0.25">
      <c r="A5888" t="s">
        <v>20816</v>
      </c>
      <c r="B5888">
        <v>5.6000000000000014</v>
      </c>
      <c r="C5888" t="s">
        <v>20817</v>
      </c>
      <c r="D5888" t="s">
        <v>321</v>
      </c>
      <c r="E5888" t="s">
        <v>20808</v>
      </c>
      <c r="F5888" t="s">
        <v>7672</v>
      </c>
      <c r="G5888" t="s">
        <v>20809</v>
      </c>
      <c r="H5888" t="s">
        <v>11496</v>
      </c>
      <c r="I5888" t="s">
        <v>145</v>
      </c>
      <c r="J5888" t="s">
        <v>11582</v>
      </c>
    </row>
    <row r="5889" spans="1:10" x14ac:dyDescent="0.25">
      <c r="A5889" t="s">
        <v>20818</v>
      </c>
      <c r="B5889">
        <v>8.3920000000000012</v>
      </c>
      <c r="C5889" t="s">
        <v>20819</v>
      </c>
      <c r="D5889" t="s">
        <v>2879</v>
      </c>
      <c r="E5889" t="s">
        <v>20820</v>
      </c>
      <c r="F5889" t="s">
        <v>7672</v>
      </c>
      <c r="G5889" t="s">
        <v>20821</v>
      </c>
      <c r="H5889" t="s">
        <v>11598</v>
      </c>
      <c r="I5889" t="s">
        <v>20822</v>
      </c>
      <c r="J5889" t="s">
        <v>7942</v>
      </c>
    </row>
    <row r="5890" spans="1:10" x14ac:dyDescent="0.25">
      <c r="A5890" t="s">
        <v>20823</v>
      </c>
      <c r="B5890">
        <v>8.3920000000000012</v>
      </c>
      <c r="C5890" t="s">
        <v>20824</v>
      </c>
      <c r="D5890" t="s">
        <v>379</v>
      </c>
      <c r="E5890" t="s">
        <v>20820</v>
      </c>
      <c r="F5890" t="s">
        <v>7672</v>
      </c>
      <c r="G5890" t="s">
        <v>20821</v>
      </c>
      <c r="H5890" t="s">
        <v>11598</v>
      </c>
      <c r="I5890" t="s">
        <v>20822</v>
      </c>
      <c r="J5890" t="s">
        <v>7981</v>
      </c>
    </row>
    <row r="5891" spans="1:10" x14ac:dyDescent="0.25">
      <c r="A5891" t="s">
        <v>20825</v>
      </c>
      <c r="B5891">
        <v>8.3920000000000012</v>
      </c>
      <c r="C5891" t="s">
        <v>20826</v>
      </c>
      <c r="D5891" t="s">
        <v>613</v>
      </c>
      <c r="E5891" t="s">
        <v>20820</v>
      </c>
      <c r="F5891" t="s">
        <v>7672</v>
      </c>
      <c r="G5891" t="s">
        <v>20821</v>
      </c>
      <c r="H5891" t="s">
        <v>11598</v>
      </c>
      <c r="I5891" t="s">
        <v>20822</v>
      </c>
      <c r="J5891" t="s">
        <v>7984</v>
      </c>
    </row>
    <row r="5892" spans="1:10" x14ac:dyDescent="0.25">
      <c r="A5892" t="s">
        <v>20827</v>
      </c>
      <c r="B5892">
        <v>8.3920000000000012</v>
      </c>
      <c r="C5892" t="s">
        <v>20828</v>
      </c>
      <c r="D5892" t="s">
        <v>352</v>
      </c>
      <c r="E5892" t="s">
        <v>20820</v>
      </c>
      <c r="F5892" t="s">
        <v>7672</v>
      </c>
      <c r="G5892" t="s">
        <v>20821</v>
      </c>
      <c r="H5892" t="s">
        <v>11598</v>
      </c>
      <c r="I5892" t="s">
        <v>20829</v>
      </c>
      <c r="J5892" t="s">
        <v>8001</v>
      </c>
    </row>
    <row r="5893" spans="1:10" x14ac:dyDescent="0.25">
      <c r="A5893" t="s">
        <v>20830</v>
      </c>
      <c r="B5893">
        <v>8.3920000000000012</v>
      </c>
      <c r="C5893" t="s">
        <v>20831</v>
      </c>
      <c r="D5893" t="s">
        <v>131</v>
      </c>
      <c r="E5893" t="s">
        <v>20820</v>
      </c>
      <c r="F5893" t="s">
        <v>7672</v>
      </c>
      <c r="G5893" t="s">
        <v>20821</v>
      </c>
      <c r="H5893" t="s">
        <v>11598</v>
      </c>
      <c r="I5893" t="s">
        <v>20822</v>
      </c>
      <c r="J5893" t="s">
        <v>8001</v>
      </c>
    </row>
    <row r="5894" spans="1:10" x14ac:dyDescent="0.25">
      <c r="A5894" t="s">
        <v>20832</v>
      </c>
      <c r="B5894">
        <v>8.3920000000000012</v>
      </c>
      <c r="C5894" t="s">
        <v>20833</v>
      </c>
      <c r="D5894" t="s">
        <v>2036</v>
      </c>
      <c r="E5894" t="s">
        <v>20820</v>
      </c>
      <c r="F5894" t="s">
        <v>7672</v>
      </c>
      <c r="G5894" t="s">
        <v>20821</v>
      </c>
      <c r="H5894" t="s">
        <v>11598</v>
      </c>
      <c r="I5894" t="s">
        <v>20829</v>
      </c>
      <c r="J5894" t="s">
        <v>8013</v>
      </c>
    </row>
    <row r="5895" spans="1:10" x14ac:dyDescent="0.25">
      <c r="A5895" t="s">
        <v>20834</v>
      </c>
      <c r="B5895">
        <v>8.3920000000000012</v>
      </c>
      <c r="C5895" t="s">
        <v>20835</v>
      </c>
      <c r="D5895" t="s">
        <v>776</v>
      </c>
      <c r="E5895" t="s">
        <v>20820</v>
      </c>
      <c r="F5895" t="s">
        <v>7672</v>
      </c>
      <c r="G5895" t="s">
        <v>20821</v>
      </c>
      <c r="H5895" t="s">
        <v>11598</v>
      </c>
      <c r="I5895" t="s">
        <v>20822</v>
      </c>
      <c r="J5895" t="s">
        <v>8013</v>
      </c>
    </row>
    <row r="5896" spans="1:10" x14ac:dyDescent="0.25">
      <c r="A5896" t="s">
        <v>20836</v>
      </c>
      <c r="B5896">
        <v>7</v>
      </c>
      <c r="C5896" t="s">
        <v>20837</v>
      </c>
      <c r="D5896" t="s">
        <v>20838</v>
      </c>
      <c r="E5896" t="s">
        <v>20839</v>
      </c>
      <c r="F5896" t="s">
        <v>7672</v>
      </c>
      <c r="G5896" t="s">
        <v>10654</v>
      </c>
      <c r="H5896" t="s">
        <v>8027</v>
      </c>
      <c r="I5896" t="s">
        <v>12810</v>
      </c>
      <c r="J5896" t="s">
        <v>7675</v>
      </c>
    </row>
    <row r="5897" spans="1:10" x14ac:dyDescent="0.25">
      <c r="A5897" t="s">
        <v>20840</v>
      </c>
      <c r="B5897">
        <v>7</v>
      </c>
      <c r="C5897" t="s">
        <v>20841</v>
      </c>
      <c r="D5897" t="s">
        <v>20842</v>
      </c>
      <c r="E5897" t="s">
        <v>20839</v>
      </c>
      <c r="F5897" t="s">
        <v>7672</v>
      </c>
      <c r="G5897" t="s">
        <v>10654</v>
      </c>
      <c r="H5897" t="s">
        <v>8027</v>
      </c>
      <c r="I5897" t="s">
        <v>12810</v>
      </c>
      <c r="J5897" t="s">
        <v>7686</v>
      </c>
    </row>
    <row r="5898" spans="1:10" x14ac:dyDescent="0.25">
      <c r="A5898" t="s">
        <v>5468</v>
      </c>
      <c r="B5898">
        <v>7.5439999999999996</v>
      </c>
      <c r="C5898" t="s">
        <v>5470</v>
      </c>
      <c r="D5898" t="s">
        <v>366</v>
      </c>
      <c r="E5898" t="s">
        <v>5471</v>
      </c>
      <c r="F5898" t="s">
        <v>7672</v>
      </c>
      <c r="G5898" t="s">
        <v>20843</v>
      </c>
      <c r="H5898" t="s">
        <v>13897</v>
      </c>
      <c r="I5898" t="s">
        <v>13965</v>
      </c>
      <c r="J5898" t="s">
        <v>10862</v>
      </c>
    </row>
    <row r="5899" spans="1:10" x14ac:dyDescent="0.25">
      <c r="A5899" t="s">
        <v>5475</v>
      </c>
      <c r="B5899">
        <v>7.5439999999999996</v>
      </c>
      <c r="C5899" t="s">
        <v>5477</v>
      </c>
      <c r="D5899" t="s">
        <v>835</v>
      </c>
      <c r="E5899" t="s">
        <v>5471</v>
      </c>
      <c r="F5899" t="s">
        <v>7672</v>
      </c>
      <c r="G5899" t="s">
        <v>20843</v>
      </c>
      <c r="H5899" t="s">
        <v>13897</v>
      </c>
      <c r="I5899" t="s">
        <v>13965</v>
      </c>
      <c r="J5899" t="s">
        <v>13084</v>
      </c>
    </row>
    <row r="5900" spans="1:10" x14ac:dyDescent="0.25">
      <c r="A5900" t="s">
        <v>5479</v>
      </c>
      <c r="B5900">
        <v>7.5439999999999996</v>
      </c>
      <c r="C5900" t="s">
        <v>5481</v>
      </c>
      <c r="D5900" t="s">
        <v>2022</v>
      </c>
      <c r="E5900" t="s">
        <v>5471</v>
      </c>
      <c r="F5900" t="s">
        <v>7672</v>
      </c>
      <c r="G5900" t="s">
        <v>20843</v>
      </c>
      <c r="H5900" t="s">
        <v>13897</v>
      </c>
      <c r="I5900" t="s">
        <v>13965</v>
      </c>
      <c r="J5900" t="s">
        <v>11767</v>
      </c>
    </row>
    <row r="5901" spans="1:10" x14ac:dyDescent="0.25">
      <c r="A5901" t="s">
        <v>5483</v>
      </c>
      <c r="B5901">
        <v>7.5439999999999996</v>
      </c>
      <c r="C5901" t="s">
        <v>5485</v>
      </c>
      <c r="D5901" t="s">
        <v>705</v>
      </c>
      <c r="E5901" t="s">
        <v>5471</v>
      </c>
      <c r="F5901" t="s">
        <v>7672</v>
      </c>
      <c r="G5901" t="s">
        <v>20843</v>
      </c>
      <c r="H5901" t="s">
        <v>13897</v>
      </c>
      <c r="I5901" t="s">
        <v>13965</v>
      </c>
      <c r="J5901" t="s">
        <v>11582</v>
      </c>
    </row>
    <row r="5902" spans="1:10" x14ac:dyDescent="0.25">
      <c r="A5902" t="s">
        <v>5487</v>
      </c>
      <c r="B5902">
        <v>7.5439999999999996</v>
      </c>
      <c r="C5902" t="s">
        <v>5489</v>
      </c>
      <c r="D5902" t="s">
        <v>396</v>
      </c>
      <c r="E5902" t="s">
        <v>5471</v>
      </c>
      <c r="F5902" t="s">
        <v>7672</v>
      </c>
      <c r="G5902" t="s">
        <v>20843</v>
      </c>
      <c r="H5902" t="s">
        <v>13897</v>
      </c>
      <c r="I5902" t="s">
        <v>13965</v>
      </c>
      <c r="J5902" t="s">
        <v>11585</v>
      </c>
    </row>
    <row r="5903" spans="1:10" x14ac:dyDescent="0.25">
      <c r="A5903" t="s">
        <v>5491</v>
      </c>
      <c r="B5903">
        <v>4.84</v>
      </c>
      <c r="C5903" t="s">
        <v>5493</v>
      </c>
      <c r="D5903" t="s">
        <v>698</v>
      </c>
      <c r="E5903" t="s">
        <v>5494</v>
      </c>
      <c r="F5903" t="s">
        <v>7672</v>
      </c>
      <c r="G5903" t="s">
        <v>20844</v>
      </c>
      <c r="H5903" t="s">
        <v>13891</v>
      </c>
      <c r="I5903" t="s">
        <v>5497</v>
      </c>
      <c r="J5903" t="s">
        <v>100</v>
      </c>
    </row>
    <row r="5904" spans="1:10" x14ac:dyDescent="0.25">
      <c r="A5904" t="s">
        <v>20845</v>
      </c>
      <c r="B5904">
        <v>7.7920000000000007</v>
      </c>
      <c r="C5904" t="s">
        <v>20846</v>
      </c>
      <c r="D5904" t="s">
        <v>106</v>
      </c>
      <c r="E5904" t="s">
        <v>20847</v>
      </c>
      <c r="F5904" t="s">
        <v>7672</v>
      </c>
      <c r="G5904" t="s">
        <v>20848</v>
      </c>
      <c r="H5904" t="s">
        <v>8027</v>
      </c>
      <c r="I5904" t="s">
        <v>20849</v>
      </c>
      <c r="J5904" t="s">
        <v>20850</v>
      </c>
    </row>
    <row r="5905" spans="1:10" x14ac:dyDescent="0.25">
      <c r="A5905" t="s">
        <v>20851</v>
      </c>
      <c r="B5905">
        <v>7.7920000000000007</v>
      </c>
      <c r="C5905" t="s">
        <v>20852</v>
      </c>
      <c r="D5905" t="s">
        <v>199</v>
      </c>
      <c r="E5905" t="s">
        <v>20847</v>
      </c>
      <c r="F5905" t="s">
        <v>7672</v>
      </c>
      <c r="G5905" t="s">
        <v>20848</v>
      </c>
      <c r="H5905" t="s">
        <v>8027</v>
      </c>
      <c r="I5905" t="s">
        <v>20853</v>
      </c>
      <c r="J5905" t="s">
        <v>20850</v>
      </c>
    </row>
    <row r="5906" spans="1:10" x14ac:dyDescent="0.25">
      <c r="A5906" t="s">
        <v>20854</v>
      </c>
      <c r="B5906">
        <v>7.7920000000000007</v>
      </c>
      <c r="C5906" t="s">
        <v>20855</v>
      </c>
      <c r="D5906" t="s">
        <v>352</v>
      </c>
      <c r="E5906" t="s">
        <v>20847</v>
      </c>
      <c r="F5906" t="s">
        <v>7672</v>
      </c>
      <c r="G5906" t="s">
        <v>20848</v>
      </c>
      <c r="H5906" t="s">
        <v>8027</v>
      </c>
      <c r="I5906" t="s">
        <v>20853</v>
      </c>
      <c r="J5906" t="s">
        <v>20856</v>
      </c>
    </row>
    <row r="5907" spans="1:10" x14ac:dyDescent="0.25">
      <c r="A5907" t="s">
        <v>20857</v>
      </c>
      <c r="B5907">
        <v>7.7920000000000007</v>
      </c>
      <c r="C5907" t="s">
        <v>20858</v>
      </c>
      <c r="D5907" t="s">
        <v>269</v>
      </c>
      <c r="E5907" t="s">
        <v>20847</v>
      </c>
      <c r="F5907" t="s">
        <v>7672</v>
      </c>
      <c r="G5907" t="s">
        <v>20848</v>
      </c>
      <c r="H5907" t="s">
        <v>8027</v>
      </c>
      <c r="I5907" t="s">
        <v>20853</v>
      </c>
      <c r="J5907" t="s">
        <v>20859</v>
      </c>
    </row>
    <row r="5908" spans="1:10" x14ac:dyDescent="0.25">
      <c r="A5908" t="s">
        <v>20860</v>
      </c>
      <c r="B5908">
        <v>11.992000000000001</v>
      </c>
      <c r="C5908" t="s">
        <v>20861</v>
      </c>
      <c r="D5908" t="s">
        <v>366</v>
      </c>
      <c r="E5908" t="s">
        <v>20862</v>
      </c>
      <c r="F5908" t="s">
        <v>7672</v>
      </c>
      <c r="G5908" t="s">
        <v>20863</v>
      </c>
      <c r="H5908" t="s">
        <v>9127</v>
      </c>
      <c r="I5908" t="s">
        <v>20864</v>
      </c>
      <c r="J5908" t="s">
        <v>7942</v>
      </c>
    </row>
    <row r="5909" spans="1:10" x14ac:dyDescent="0.25">
      <c r="A5909" t="s">
        <v>20865</v>
      </c>
      <c r="B5909">
        <v>11.992000000000001</v>
      </c>
      <c r="C5909" t="s">
        <v>20866</v>
      </c>
      <c r="D5909" t="s">
        <v>113</v>
      </c>
      <c r="E5909" t="s">
        <v>20862</v>
      </c>
      <c r="F5909" t="s">
        <v>7672</v>
      </c>
      <c r="G5909" t="s">
        <v>20863</v>
      </c>
      <c r="H5909" t="s">
        <v>9127</v>
      </c>
      <c r="I5909" t="s">
        <v>20867</v>
      </c>
      <c r="J5909" t="s">
        <v>7942</v>
      </c>
    </row>
    <row r="5910" spans="1:10" x14ac:dyDescent="0.25">
      <c r="A5910" t="s">
        <v>20868</v>
      </c>
      <c r="B5910">
        <v>11.992000000000001</v>
      </c>
      <c r="C5910" t="s">
        <v>20869</v>
      </c>
      <c r="D5910" t="s">
        <v>342</v>
      </c>
      <c r="E5910" t="s">
        <v>20862</v>
      </c>
      <c r="F5910" t="s">
        <v>7672</v>
      </c>
      <c r="G5910" t="s">
        <v>20863</v>
      </c>
      <c r="H5910" t="s">
        <v>9127</v>
      </c>
      <c r="I5910" t="s">
        <v>20870</v>
      </c>
      <c r="J5910" t="s">
        <v>7942</v>
      </c>
    </row>
    <row r="5911" spans="1:10" x14ac:dyDescent="0.25">
      <c r="A5911" t="s">
        <v>20871</v>
      </c>
      <c r="B5911">
        <v>11.992000000000001</v>
      </c>
      <c r="C5911" t="s">
        <v>20872</v>
      </c>
      <c r="D5911" t="s">
        <v>843</v>
      </c>
      <c r="E5911" t="s">
        <v>20862</v>
      </c>
      <c r="F5911" t="s">
        <v>7672</v>
      </c>
      <c r="G5911" t="s">
        <v>20863</v>
      </c>
      <c r="H5911" t="s">
        <v>9127</v>
      </c>
      <c r="I5911" t="s">
        <v>20867</v>
      </c>
      <c r="J5911" t="s">
        <v>7981</v>
      </c>
    </row>
    <row r="5912" spans="1:10" x14ac:dyDescent="0.25">
      <c r="A5912" t="s">
        <v>20873</v>
      </c>
      <c r="B5912">
        <v>11.992000000000001</v>
      </c>
      <c r="C5912" t="s">
        <v>20874</v>
      </c>
      <c r="D5912" t="s">
        <v>131</v>
      </c>
      <c r="E5912" t="s">
        <v>20862</v>
      </c>
      <c r="F5912" t="s">
        <v>7672</v>
      </c>
      <c r="G5912" t="s">
        <v>20863</v>
      </c>
      <c r="H5912" t="s">
        <v>9127</v>
      </c>
      <c r="I5912" t="s">
        <v>20864</v>
      </c>
      <c r="J5912" t="s">
        <v>7981</v>
      </c>
    </row>
    <row r="5913" spans="1:10" x14ac:dyDescent="0.25">
      <c r="A5913" t="s">
        <v>20875</v>
      </c>
      <c r="B5913">
        <v>11.992000000000001</v>
      </c>
      <c r="C5913" t="s">
        <v>20876</v>
      </c>
      <c r="D5913" t="s">
        <v>100</v>
      </c>
      <c r="E5913" t="s">
        <v>20862</v>
      </c>
      <c r="F5913" t="s">
        <v>7672</v>
      </c>
      <c r="G5913" t="s">
        <v>20863</v>
      </c>
      <c r="H5913" t="s">
        <v>9127</v>
      </c>
      <c r="I5913" t="s">
        <v>20870</v>
      </c>
      <c r="J5913" t="s">
        <v>7981</v>
      </c>
    </row>
    <row r="5914" spans="1:10" x14ac:dyDescent="0.25">
      <c r="A5914" t="s">
        <v>20877</v>
      </c>
      <c r="B5914">
        <v>11.992000000000001</v>
      </c>
      <c r="C5914" t="s">
        <v>20878</v>
      </c>
      <c r="D5914" t="s">
        <v>282</v>
      </c>
      <c r="E5914" t="s">
        <v>20862</v>
      </c>
      <c r="F5914" t="s">
        <v>7672</v>
      </c>
      <c r="G5914" t="s">
        <v>20863</v>
      </c>
      <c r="H5914" t="s">
        <v>9127</v>
      </c>
      <c r="I5914" t="s">
        <v>20870</v>
      </c>
      <c r="J5914" t="s">
        <v>7984</v>
      </c>
    </row>
    <row r="5915" spans="1:10" x14ac:dyDescent="0.25">
      <c r="A5915" t="s">
        <v>20879</v>
      </c>
      <c r="B5915">
        <v>11.992000000000001</v>
      </c>
      <c r="C5915" t="s">
        <v>20880</v>
      </c>
      <c r="D5915" t="s">
        <v>450</v>
      </c>
      <c r="E5915" t="s">
        <v>20862</v>
      </c>
      <c r="F5915" t="s">
        <v>7672</v>
      </c>
      <c r="G5915" t="s">
        <v>20863</v>
      </c>
      <c r="H5915" t="s">
        <v>9127</v>
      </c>
      <c r="I5915" t="s">
        <v>20864</v>
      </c>
      <c r="J5915" t="s">
        <v>7984</v>
      </c>
    </row>
    <row r="5916" spans="1:10" x14ac:dyDescent="0.25">
      <c r="A5916" t="s">
        <v>20881</v>
      </c>
      <c r="B5916">
        <v>11.992000000000001</v>
      </c>
      <c r="C5916" t="s">
        <v>20882</v>
      </c>
      <c r="D5916" t="s">
        <v>144</v>
      </c>
      <c r="E5916" t="s">
        <v>20862</v>
      </c>
      <c r="F5916" t="s">
        <v>7672</v>
      </c>
      <c r="G5916" t="s">
        <v>20863</v>
      </c>
      <c r="H5916" t="s">
        <v>9127</v>
      </c>
      <c r="I5916" t="s">
        <v>20867</v>
      </c>
      <c r="J5916" t="s">
        <v>7984</v>
      </c>
    </row>
    <row r="5917" spans="1:10" x14ac:dyDescent="0.25">
      <c r="A5917" t="s">
        <v>20883</v>
      </c>
      <c r="B5917">
        <v>11.992000000000001</v>
      </c>
      <c r="C5917" t="s">
        <v>20884</v>
      </c>
      <c r="D5917" t="s">
        <v>903</v>
      </c>
      <c r="E5917" t="s">
        <v>20862</v>
      </c>
      <c r="F5917" t="s">
        <v>7672</v>
      </c>
      <c r="G5917" t="s">
        <v>20863</v>
      </c>
      <c r="H5917" t="s">
        <v>9127</v>
      </c>
      <c r="I5917" t="s">
        <v>20867</v>
      </c>
      <c r="J5917" t="s">
        <v>7987</v>
      </c>
    </row>
    <row r="5918" spans="1:10" x14ac:dyDescent="0.25">
      <c r="A5918" t="s">
        <v>20885</v>
      </c>
      <c r="B5918">
        <v>11.992000000000001</v>
      </c>
      <c r="C5918" t="s">
        <v>20886</v>
      </c>
      <c r="D5918" t="s">
        <v>286</v>
      </c>
      <c r="E5918" t="s">
        <v>20862</v>
      </c>
      <c r="F5918" t="s">
        <v>7672</v>
      </c>
      <c r="G5918" t="s">
        <v>20863</v>
      </c>
      <c r="H5918" t="s">
        <v>9127</v>
      </c>
      <c r="I5918" t="s">
        <v>20870</v>
      </c>
      <c r="J5918" t="s">
        <v>7987</v>
      </c>
    </row>
    <row r="5919" spans="1:10" x14ac:dyDescent="0.25">
      <c r="A5919" t="s">
        <v>20887</v>
      </c>
      <c r="B5919">
        <v>11.992000000000001</v>
      </c>
      <c r="C5919" t="s">
        <v>20888</v>
      </c>
      <c r="D5919" t="s">
        <v>776</v>
      </c>
      <c r="E5919" t="s">
        <v>20862</v>
      </c>
      <c r="F5919" t="s">
        <v>7672</v>
      </c>
      <c r="G5919" t="s">
        <v>20863</v>
      </c>
      <c r="H5919" t="s">
        <v>9127</v>
      </c>
      <c r="I5919" t="s">
        <v>20864</v>
      </c>
      <c r="J5919" t="s">
        <v>7987</v>
      </c>
    </row>
    <row r="5920" spans="1:10" x14ac:dyDescent="0.25">
      <c r="A5920" t="s">
        <v>20889</v>
      </c>
      <c r="B5920">
        <v>11.992000000000001</v>
      </c>
      <c r="C5920" t="s">
        <v>20890</v>
      </c>
      <c r="D5920" t="s">
        <v>588</v>
      </c>
      <c r="E5920" t="s">
        <v>20862</v>
      </c>
      <c r="F5920" t="s">
        <v>7672</v>
      </c>
      <c r="G5920" t="s">
        <v>20863</v>
      </c>
      <c r="H5920" t="s">
        <v>9127</v>
      </c>
      <c r="I5920" t="s">
        <v>20870</v>
      </c>
      <c r="J5920" t="s">
        <v>8001</v>
      </c>
    </row>
    <row r="5921" spans="1:10" x14ac:dyDescent="0.25">
      <c r="A5921" t="s">
        <v>20891</v>
      </c>
      <c r="B5921">
        <v>11.992000000000001</v>
      </c>
      <c r="C5921" t="s">
        <v>20892</v>
      </c>
      <c r="D5921" t="s">
        <v>2620</v>
      </c>
      <c r="E5921" t="s">
        <v>20862</v>
      </c>
      <c r="F5921" t="s">
        <v>7672</v>
      </c>
      <c r="G5921" t="s">
        <v>20863</v>
      </c>
      <c r="H5921" t="s">
        <v>9127</v>
      </c>
      <c r="I5921" t="s">
        <v>20867</v>
      </c>
      <c r="J5921" t="s">
        <v>8001</v>
      </c>
    </row>
    <row r="5922" spans="1:10" x14ac:dyDescent="0.25">
      <c r="A5922" t="s">
        <v>20893</v>
      </c>
      <c r="B5922">
        <v>11.992000000000001</v>
      </c>
      <c r="C5922" t="s">
        <v>20894</v>
      </c>
      <c r="D5922" t="s">
        <v>2910</v>
      </c>
      <c r="E5922" t="s">
        <v>20862</v>
      </c>
      <c r="F5922" t="s">
        <v>7672</v>
      </c>
      <c r="G5922" t="s">
        <v>20863</v>
      </c>
      <c r="H5922" t="s">
        <v>9127</v>
      </c>
      <c r="I5922" t="s">
        <v>20864</v>
      </c>
      <c r="J5922" t="s">
        <v>8001</v>
      </c>
    </row>
    <row r="5923" spans="1:10" x14ac:dyDescent="0.25">
      <c r="A5923" t="s">
        <v>20895</v>
      </c>
      <c r="B5923">
        <v>11.992000000000001</v>
      </c>
      <c r="C5923" t="s">
        <v>20896</v>
      </c>
      <c r="D5923" t="s">
        <v>301</v>
      </c>
      <c r="E5923" t="s">
        <v>20862</v>
      </c>
      <c r="F5923" t="s">
        <v>7672</v>
      </c>
      <c r="G5923" t="s">
        <v>20863</v>
      </c>
      <c r="H5923" t="s">
        <v>9127</v>
      </c>
      <c r="I5923" t="s">
        <v>20864</v>
      </c>
      <c r="J5923" t="s">
        <v>8013</v>
      </c>
    </row>
    <row r="5924" spans="1:10" x14ac:dyDescent="0.25">
      <c r="A5924" t="s">
        <v>20897</v>
      </c>
      <c r="B5924">
        <v>11.992000000000001</v>
      </c>
      <c r="C5924" t="s">
        <v>20898</v>
      </c>
      <c r="D5924" t="s">
        <v>240</v>
      </c>
      <c r="E5924" t="s">
        <v>20862</v>
      </c>
      <c r="F5924" t="s">
        <v>7672</v>
      </c>
      <c r="G5924" t="s">
        <v>20863</v>
      </c>
      <c r="H5924" t="s">
        <v>9127</v>
      </c>
      <c r="I5924" t="s">
        <v>20867</v>
      </c>
      <c r="J5924" t="s">
        <v>8013</v>
      </c>
    </row>
    <row r="5925" spans="1:10" x14ac:dyDescent="0.25">
      <c r="A5925" t="s">
        <v>20899</v>
      </c>
      <c r="B5925">
        <v>11.192</v>
      </c>
      <c r="C5925" t="s">
        <v>20900</v>
      </c>
      <c r="D5925" t="s">
        <v>131</v>
      </c>
      <c r="E5925" t="s">
        <v>20901</v>
      </c>
      <c r="F5925" t="s">
        <v>7672</v>
      </c>
      <c r="G5925" t="s">
        <v>20902</v>
      </c>
      <c r="H5925" t="s">
        <v>10298</v>
      </c>
      <c r="I5925" t="s">
        <v>20903</v>
      </c>
      <c r="J5925" t="s">
        <v>7987</v>
      </c>
    </row>
    <row r="5926" spans="1:10" x14ac:dyDescent="0.25">
      <c r="A5926" t="s">
        <v>20904</v>
      </c>
      <c r="B5926">
        <v>11.192</v>
      </c>
      <c r="C5926" t="s">
        <v>20905</v>
      </c>
      <c r="D5926" t="s">
        <v>53</v>
      </c>
      <c r="E5926" t="s">
        <v>20901</v>
      </c>
      <c r="F5926" t="s">
        <v>7672</v>
      </c>
      <c r="G5926" t="s">
        <v>20902</v>
      </c>
      <c r="H5926" t="s">
        <v>10298</v>
      </c>
      <c r="I5926" t="s">
        <v>20903</v>
      </c>
      <c r="J5926" t="s">
        <v>8001</v>
      </c>
    </row>
    <row r="5927" spans="1:10" x14ac:dyDescent="0.25">
      <c r="A5927" t="s">
        <v>5498</v>
      </c>
      <c r="B5927">
        <v>11.391999999999999</v>
      </c>
      <c r="C5927" t="s">
        <v>5500</v>
      </c>
      <c r="D5927" t="s">
        <v>5503</v>
      </c>
      <c r="E5927" t="s">
        <v>5501</v>
      </c>
      <c r="F5927" t="s">
        <v>7672</v>
      </c>
      <c r="G5927" t="s">
        <v>20906</v>
      </c>
      <c r="H5927" t="s">
        <v>20907</v>
      </c>
      <c r="I5927" t="s">
        <v>497</v>
      </c>
      <c r="J5927" t="s">
        <v>9694</v>
      </c>
    </row>
    <row r="5928" spans="1:10" x14ac:dyDescent="0.25">
      <c r="A5928" t="s">
        <v>20908</v>
      </c>
      <c r="B5928">
        <v>5.032</v>
      </c>
      <c r="C5928" t="s">
        <v>20909</v>
      </c>
      <c r="D5928" t="s">
        <v>1236</v>
      </c>
      <c r="E5928" t="s">
        <v>20910</v>
      </c>
      <c r="F5928" t="s">
        <v>7672</v>
      </c>
      <c r="G5928" t="s">
        <v>20911</v>
      </c>
      <c r="H5928" t="s">
        <v>10298</v>
      </c>
      <c r="I5928" t="s">
        <v>20912</v>
      </c>
      <c r="J5928" t="s">
        <v>7942</v>
      </c>
    </row>
    <row r="5929" spans="1:10" x14ac:dyDescent="0.25">
      <c r="A5929" t="s">
        <v>20913</v>
      </c>
      <c r="B5929">
        <v>5.032</v>
      </c>
      <c r="C5929" t="s">
        <v>20914</v>
      </c>
      <c r="D5929" t="s">
        <v>131</v>
      </c>
      <c r="E5929" t="s">
        <v>20910</v>
      </c>
      <c r="F5929" t="s">
        <v>7672</v>
      </c>
      <c r="G5929" t="s">
        <v>20911</v>
      </c>
      <c r="H5929" t="s">
        <v>10298</v>
      </c>
      <c r="I5929" t="s">
        <v>20915</v>
      </c>
      <c r="J5929" t="s">
        <v>7981</v>
      </c>
    </row>
    <row r="5930" spans="1:10" x14ac:dyDescent="0.25">
      <c r="A5930" t="s">
        <v>20916</v>
      </c>
      <c r="B5930">
        <v>5.032</v>
      </c>
      <c r="C5930" t="s">
        <v>20917</v>
      </c>
      <c r="D5930" t="s">
        <v>7315</v>
      </c>
      <c r="E5930" t="s">
        <v>20910</v>
      </c>
      <c r="F5930" t="s">
        <v>7672</v>
      </c>
      <c r="G5930" t="s">
        <v>20911</v>
      </c>
      <c r="H5930" t="s">
        <v>10298</v>
      </c>
      <c r="I5930" t="s">
        <v>20912</v>
      </c>
      <c r="J5930" t="s">
        <v>7981</v>
      </c>
    </row>
    <row r="5931" spans="1:10" x14ac:dyDescent="0.25">
      <c r="A5931" t="s">
        <v>20918</v>
      </c>
      <c r="B5931">
        <v>5.032</v>
      </c>
      <c r="C5931" t="s">
        <v>20919</v>
      </c>
      <c r="D5931" t="s">
        <v>20920</v>
      </c>
      <c r="E5931" t="s">
        <v>20910</v>
      </c>
      <c r="F5931" t="s">
        <v>7672</v>
      </c>
      <c r="G5931" t="s">
        <v>20911</v>
      </c>
      <c r="H5931" t="s">
        <v>10298</v>
      </c>
      <c r="I5931" t="s">
        <v>20912</v>
      </c>
      <c r="J5931" t="s">
        <v>7984</v>
      </c>
    </row>
    <row r="5932" spans="1:10" x14ac:dyDescent="0.25">
      <c r="A5932" t="s">
        <v>20921</v>
      </c>
      <c r="B5932">
        <v>5.032</v>
      </c>
      <c r="C5932" t="s">
        <v>20922</v>
      </c>
      <c r="D5932" t="s">
        <v>18320</v>
      </c>
      <c r="E5932" t="s">
        <v>20910</v>
      </c>
      <c r="F5932" t="s">
        <v>7672</v>
      </c>
      <c r="G5932" t="s">
        <v>20911</v>
      </c>
      <c r="H5932" t="s">
        <v>10298</v>
      </c>
      <c r="I5932" t="s">
        <v>20912</v>
      </c>
      <c r="J5932" t="s">
        <v>7987</v>
      </c>
    </row>
    <row r="5933" spans="1:10" x14ac:dyDescent="0.25">
      <c r="A5933" t="s">
        <v>20923</v>
      </c>
      <c r="B5933">
        <v>5.032</v>
      </c>
      <c r="C5933" t="s">
        <v>20924</v>
      </c>
      <c r="D5933" t="s">
        <v>8111</v>
      </c>
      <c r="E5933" t="s">
        <v>20910</v>
      </c>
      <c r="F5933" t="s">
        <v>7672</v>
      </c>
      <c r="G5933" t="s">
        <v>20911</v>
      </c>
      <c r="H5933" t="s">
        <v>10298</v>
      </c>
      <c r="I5933" t="s">
        <v>20912</v>
      </c>
      <c r="J5933" t="s">
        <v>8001</v>
      </c>
    </row>
    <row r="5934" spans="1:10" x14ac:dyDescent="0.25">
      <c r="A5934" t="s">
        <v>20925</v>
      </c>
      <c r="B5934">
        <v>5.7200000000000006</v>
      </c>
      <c r="C5934" t="s">
        <v>20926</v>
      </c>
      <c r="D5934" t="s">
        <v>742</v>
      </c>
      <c r="E5934" t="s">
        <v>20927</v>
      </c>
      <c r="F5934" t="s">
        <v>7672</v>
      </c>
      <c r="G5934" t="s">
        <v>20928</v>
      </c>
      <c r="H5934" t="s">
        <v>7965</v>
      </c>
      <c r="I5934" t="s">
        <v>9586</v>
      </c>
      <c r="J5934" t="s">
        <v>7987</v>
      </c>
    </row>
    <row r="5935" spans="1:10" x14ac:dyDescent="0.25">
      <c r="A5935" t="s">
        <v>20929</v>
      </c>
      <c r="B5935">
        <v>5.7200000000000006</v>
      </c>
      <c r="C5935" t="s">
        <v>20930</v>
      </c>
      <c r="D5935" t="s">
        <v>742</v>
      </c>
      <c r="E5935" t="s">
        <v>20927</v>
      </c>
      <c r="F5935" t="s">
        <v>7672</v>
      </c>
      <c r="G5935" t="s">
        <v>20928</v>
      </c>
      <c r="H5935" t="s">
        <v>7965</v>
      </c>
      <c r="I5935" t="s">
        <v>9586</v>
      </c>
      <c r="J5935" t="s">
        <v>8001</v>
      </c>
    </row>
    <row r="5936" spans="1:10" x14ac:dyDescent="0.25">
      <c r="A5936" t="s">
        <v>5506</v>
      </c>
      <c r="B5936">
        <v>18.2</v>
      </c>
      <c r="C5936" t="s">
        <v>5508</v>
      </c>
      <c r="D5936" t="s">
        <v>269</v>
      </c>
      <c r="E5936" t="s">
        <v>5509</v>
      </c>
      <c r="F5936" t="s">
        <v>7672</v>
      </c>
      <c r="G5936" t="s">
        <v>20931</v>
      </c>
      <c r="H5936" t="s">
        <v>7954</v>
      </c>
      <c r="I5936" t="s">
        <v>76</v>
      </c>
      <c r="J5936" t="s">
        <v>7675</v>
      </c>
    </row>
    <row r="5937" spans="1:10" x14ac:dyDescent="0.25">
      <c r="A5937" t="s">
        <v>5512</v>
      </c>
      <c r="B5937">
        <v>18.2</v>
      </c>
      <c r="C5937" t="s">
        <v>5514</v>
      </c>
      <c r="D5937" t="s">
        <v>2787</v>
      </c>
      <c r="E5937" t="s">
        <v>5509</v>
      </c>
      <c r="F5937" t="s">
        <v>7672</v>
      </c>
      <c r="G5937" t="s">
        <v>20931</v>
      </c>
      <c r="H5937" t="s">
        <v>7954</v>
      </c>
      <c r="I5937" t="s">
        <v>76</v>
      </c>
      <c r="J5937" t="s">
        <v>7686</v>
      </c>
    </row>
    <row r="5938" spans="1:10" x14ac:dyDescent="0.25">
      <c r="A5938" t="s">
        <v>5516</v>
      </c>
      <c r="B5938">
        <v>18.2</v>
      </c>
      <c r="C5938" t="s">
        <v>5518</v>
      </c>
      <c r="D5938" t="s">
        <v>4270</v>
      </c>
      <c r="E5938" t="s">
        <v>5509</v>
      </c>
      <c r="F5938" t="s">
        <v>7672</v>
      </c>
      <c r="G5938" t="s">
        <v>20931</v>
      </c>
      <c r="H5938" t="s">
        <v>7954</v>
      </c>
      <c r="I5938" t="s">
        <v>76</v>
      </c>
      <c r="J5938" t="s">
        <v>7703</v>
      </c>
    </row>
    <row r="5939" spans="1:10" x14ac:dyDescent="0.25">
      <c r="A5939" t="s">
        <v>5520</v>
      </c>
      <c r="B5939">
        <v>18.2</v>
      </c>
      <c r="C5939" t="s">
        <v>5522</v>
      </c>
      <c r="D5939" t="s">
        <v>1644</v>
      </c>
      <c r="E5939" t="s">
        <v>5509</v>
      </c>
      <c r="F5939" t="s">
        <v>7672</v>
      </c>
      <c r="G5939" t="s">
        <v>20931</v>
      </c>
      <c r="H5939" t="s">
        <v>7954</v>
      </c>
      <c r="I5939" t="s">
        <v>76</v>
      </c>
      <c r="J5939" t="s">
        <v>7713</v>
      </c>
    </row>
    <row r="5940" spans="1:10" x14ac:dyDescent="0.25">
      <c r="A5940" t="s">
        <v>5524</v>
      </c>
      <c r="B5940">
        <v>16.792000000000002</v>
      </c>
      <c r="C5940" t="s">
        <v>5526</v>
      </c>
      <c r="D5940" t="s">
        <v>576</v>
      </c>
      <c r="E5940" t="s">
        <v>5527</v>
      </c>
      <c r="F5940" t="s">
        <v>7672</v>
      </c>
      <c r="G5940" t="s">
        <v>20932</v>
      </c>
      <c r="H5940" t="s">
        <v>17415</v>
      </c>
      <c r="I5940" t="s">
        <v>76</v>
      </c>
      <c r="J5940" t="s">
        <v>53</v>
      </c>
    </row>
    <row r="5941" spans="1:10" x14ac:dyDescent="0.25">
      <c r="A5941" t="s">
        <v>5530</v>
      </c>
      <c r="B5941">
        <v>16.792000000000002</v>
      </c>
      <c r="C5941" t="s">
        <v>5532</v>
      </c>
      <c r="D5941" t="s">
        <v>60</v>
      </c>
      <c r="E5941" t="s">
        <v>5527</v>
      </c>
      <c r="F5941" t="s">
        <v>7672</v>
      </c>
      <c r="G5941" t="s">
        <v>20932</v>
      </c>
      <c r="H5941" t="s">
        <v>17415</v>
      </c>
      <c r="I5941" t="s">
        <v>76</v>
      </c>
      <c r="J5941" t="s">
        <v>60</v>
      </c>
    </row>
    <row r="5942" spans="1:10" x14ac:dyDescent="0.25">
      <c r="A5942" t="s">
        <v>5534</v>
      </c>
      <c r="B5942">
        <v>16.792000000000002</v>
      </c>
      <c r="C5942" t="s">
        <v>5536</v>
      </c>
      <c r="D5942" t="s">
        <v>53</v>
      </c>
      <c r="E5942" t="s">
        <v>5527</v>
      </c>
      <c r="F5942" t="s">
        <v>7672</v>
      </c>
      <c r="G5942" t="s">
        <v>20932</v>
      </c>
      <c r="H5942" t="s">
        <v>17415</v>
      </c>
      <c r="I5942" t="s">
        <v>76</v>
      </c>
      <c r="J5942" t="s">
        <v>100</v>
      </c>
    </row>
    <row r="5943" spans="1:10" x14ac:dyDescent="0.25">
      <c r="A5943" t="s">
        <v>20933</v>
      </c>
      <c r="B5943">
        <v>4.7920000000000007</v>
      </c>
      <c r="C5943" t="s">
        <v>20934</v>
      </c>
      <c r="D5943" t="s">
        <v>588</v>
      </c>
      <c r="E5943" t="s">
        <v>20935</v>
      </c>
      <c r="F5943" t="s">
        <v>7672</v>
      </c>
      <c r="G5943" t="s">
        <v>20936</v>
      </c>
      <c r="H5943" t="s">
        <v>10298</v>
      </c>
      <c r="I5943" t="s">
        <v>1413</v>
      </c>
      <c r="J5943" t="s">
        <v>290</v>
      </c>
    </row>
    <row r="5944" spans="1:10" x14ac:dyDescent="0.25">
      <c r="A5944" t="s">
        <v>20937</v>
      </c>
      <c r="B5944">
        <v>4.7920000000000007</v>
      </c>
      <c r="C5944" t="s">
        <v>20938</v>
      </c>
      <c r="D5944" t="s">
        <v>3577</v>
      </c>
      <c r="E5944" t="s">
        <v>20935</v>
      </c>
      <c r="F5944" t="s">
        <v>7672</v>
      </c>
      <c r="G5944" t="s">
        <v>20936</v>
      </c>
      <c r="H5944" t="s">
        <v>10298</v>
      </c>
      <c r="I5944" t="s">
        <v>1413</v>
      </c>
      <c r="J5944" t="s">
        <v>255</v>
      </c>
    </row>
    <row r="5945" spans="1:10" x14ac:dyDescent="0.25">
      <c r="A5945" t="s">
        <v>5538</v>
      </c>
      <c r="B5945">
        <v>6.76</v>
      </c>
      <c r="C5945" t="s">
        <v>5540</v>
      </c>
      <c r="D5945" t="s">
        <v>781</v>
      </c>
      <c r="E5945" t="s">
        <v>5541</v>
      </c>
      <c r="F5945" t="s">
        <v>7672</v>
      </c>
      <c r="G5945" t="s">
        <v>20939</v>
      </c>
      <c r="H5945" t="s">
        <v>12519</v>
      </c>
      <c r="I5945" t="s">
        <v>76</v>
      </c>
      <c r="J5945" t="s">
        <v>7987</v>
      </c>
    </row>
    <row r="5946" spans="1:10" x14ac:dyDescent="0.25">
      <c r="A5946" t="s">
        <v>20940</v>
      </c>
      <c r="B5946">
        <v>10.792</v>
      </c>
      <c r="C5946" t="s">
        <v>20941</v>
      </c>
      <c r="D5946" t="s">
        <v>106</v>
      </c>
      <c r="E5946" t="s">
        <v>20942</v>
      </c>
      <c r="F5946" t="s">
        <v>7672</v>
      </c>
      <c r="G5946" t="s">
        <v>20943</v>
      </c>
      <c r="H5946" t="s">
        <v>10298</v>
      </c>
      <c r="I5946" t="s">
        <v>20944</v>
      </c>
      <c r="J5946" t="s">
        <v>106</v>
      </c>
    </row>
    <row r="5947" spans="1:10" x14ac:dyDescent="0.25">
      <c r="A5947" t="s">
        <v>20945</v>
      </c>
      <c r="B5947">
        <v>10.792</v>
      </c>
      <c r="C5947" t="s">
        <v>20946</v>
      </c>
      <c r="D5947" t="s">
        <v>106</v>
      </c>
      <c r="E5947" t="s">
        <v>20942</v>
      </c>
      <c r="F5947" t="s">
        <v>7672</v>
      </c>
      <c r="G5947" t="s">
        <v>20943</v>
      </c>
      <c r="H5947" t="s">
        <v>10298</v>
      </c>
      <c r="I5947" t="s">
        <v>20947</v>
      </c>
      <c r="J5947" t="s">
        <v>106</v>
      </c>
    </row>
    <row r="5948" spans="1:10" x14ac:dyDescent="0.25">
      <c r="A5948" t="s">
        <v>20948</v>
      </c>
      <c r="B5948">
        <v>10.792</v>
      </c>
      <c r="C5948" t="s">
        <v>20949</v>
      </c>
      <c r="D5948" t="s">
        <v>576</v>
      </c>
      <c r="E5948" t="s">
        <v>20942</v>
      </c>
      <c r="F5948" t="s">
        <v>7672</v>
      </c>
      <c r="G5948" t="s">
        <v>20943</v>
      </c>
      <c r="H5948" t="s">
        <v>10298</v>
      </c>
      <c r="I5948" t="s">
        <v>497</v>
      </c>
      <c r="J5948" t="s">
        <v>11421</v>
      </c>
    </row>
    <row r="5949" spans="1:10" x14ac:dyDescent="0.25">
      <c r="A5949" t="s">
        <v>20950</v>
      </c>
      <c r="B5949">
        <v>10.792</v>
      </c>
      <c r="C5949" t="s">
        <v>20951</v>
      </c>
      <c r="D5949" t="s">
        <v>436</v>
      </c>
      <c r="E5949" t="s">
        <v>20942</v>
      </c>
      <c r="F5949" t="s">
        <v>7672</v>
      </c>
      <c r="G5949" t="s">
        <v>20943</v>
      </c>
      <c r="H5949" t="s">
        <v>10298</v>
      </c>
      <c r="I5949" t="s">
        <v>20944</v>
      </c>
      <c r="J5949" t="s">
        <v>11421</v>
      </c>
    </row>
    <row r="5950" spans="1:10" x14ac:dyDescent="0.25">
      <c r="A5950" t="s">
        <v>20952</v>
      </c>
      <c r="B5950">
        <v>10.792</v>
      </c>
      <c r="C5950" t="s">
        <v>20953</v>
      </c>
      <c r="D5950" t="s">
        <v>290</v>
      </c>
      <c r="E5950" t="s">
        <v>20942</v>
      </c>
      <c r="F5950" t="s">
        <v>7672</v>
      </c>
      <c r="G5950" t="s">
        <v>20943</v>
      </c>
      <c r="H5950" t="s">
        <v>10298</v>
      </c>
      <c r="I5950" t="s">
        <v>20947</v>
      </c>
      <c r="J5950" t="s">
        <v>11421</v>
      </c>
    </row>
    <row r="5951" spans="1:10" x14ac:dyDescent="0.25">
      <c r="A5951" t="s">
        <v>20954</v>
      </c>
      <c r="B5951">
        <v>10.792</v>
      </c>
      <c r="C5951" t="s">
        <v>20955</v>
      </c>
      <c r="D5951" t="s">
        <v>282</v>
      </c>
      <c r="E5951" t="s">
        <v>20942</v>
      </c>
      <c r="F5951" t="s">
        <v>7672</v>
      </c>
      <c r="G5951" t="s">
        <v>20943</v>
      </c>
      <c r="H5951" t="s">
        <v>10298</v>
      </c>
      <c r="I5951" t="s">
        <v>497</v>
      </c>
      <c r="J5951" t="s">
        <v>88</v>
      </c>
    </row>
    <row r="5952" spans="1:10" x14ac:dyDescent="0.25">
      <c r="A5952" t="s">
        <v>20956</v>
      </c>
      <c r="B5952">
        <v>10.792</v>
      </c>
      <c r="C5952" t="s">
        <v>20957</v>
      </c>
      <c r="D5952" t="s">
        <v>240</v>
      </c>
      <c r="E5952" t="s">
        <v>20942</v>
      </c>
      <c r="F5952" t="s">
        <v>7672</v>
      </c>
      <c r="G5952" t="s">
        <v>20943</v>
      </c>
      <c r="H5952" t="s">
        <v>10298</v>
      </c>
      <c r="I5952" t="s">
        <v>20947</v>
      </c>
      <c r="J5952" t="s">
        <v>88</v>
      </c>
    </row>
    <row r="5953" spans="1:10" x14ac:dyDescent="0.25">
      <c r="A5953" t="s">
        <v>20958</v>
      </c>
      <c r="B5953">
        <v>10.792</v>
      </c>
      <c r="C5953" t="s">
        <v>20959</v>
      </c>
      <c r="D5953" t="s">
        <v>330</v>
      </c>
      <c r="E5953" t="s">
        <v>20942</v>
      </c>
      <c r="F5953" t="s">
        <v>7672</v>
      </c>
      <c r="G5953" t="s">
        <v>20943</v>
      </c>
      <c r="H5953" t="s">
        <v>10298</v>
      </c>
      <c r="I5953" t="s">
        <v>497</v>
      </c>
      <c r="J5953" t="s">
        <v>7966</v>
      </c>
    </row>
    <row r="5954" spans="1:10" x14ac:dyDescent="0.25">
      <c r="A5954" t="s">
        <v>20960</v>
      </c>
      <c r="B5954">
        <v>10.792</v>
      </c>
      <c r="C5954" t="s">
        <v>20961</v>
      </c>
      <c r="D5954" t="s">
        <v>436</v>
      </c>
      <c r="E5954" t="s">
        <v>20942</v>
      </c>
      <c r="F5954" t="s">
        <v>7672</v>
      </c>
      <c r="G5954" t="s">
        <v>20943</v>
      </c>
      <c r="H5954" t="s">
        <v>10298</v>
      </c>
      <c r="I5954" t="s">
        <v>20947</v>
      </c>
      <c r="J5954" t="s">
        <v>7966</v>
      </c>
    </row>
    <row r="5955" spans="1:10" x14ac:dyDescent="0.25">
      <c r="A5955" t="s">
        <v>20962</v>
      </c>
      <c r="B5955">
        <v>10.792</v>
      </c>
      <c r="C5955" t="s">
        <v>20963</v>
      </c>
      <c r="D5955" t="s">
        <v>1236</v>
      </c>
      <c r="E5955" t="s">
        <v>20942</v>
      </c>
      <c r="F5955" t="s">
        <v>7672</v>
      </c>
      <c r="G5955" t="s">
        <v>20943</v>
      </c>
      <c r="H5955" t="s">
        <v>10298</v>
      </c>
      <c r="I5955" t="s">
        <v>20947</v>
      </c>
      <c r="J5955" t="s">
        <v>131</v>
      </c>
    </row>
    <row r="5956" spans="1:10" x14ac:dyDescent="0.25">
      <c r="A5956" t="s">
        <v>20964</v>
      </c>
      <c r="B5956">
        <v>10.792</v>
      </c>
      <c r="C5956" t="s">
        <v>20965</v>
      </c>
      <c r="D5956" t="s">
        <v>352</v>
      </c>
      <c r="E5956" t="s">
        <v>20942</v>
      </c>
      <c r="F5956" t="s">
        <v>7672</v>
      </c>
      <c r="G5956" t="s">
        <v>20943</v>
      </c>
      <c r="H5956" t="s">
        <v>10298</v>
      </c>
      <c r="I5956" t="s">
        <v>20944</v>
      </c>
      <c r="J5956" t="s">
        <v>7967</v>
      </c>
    </row>
    <row r="5957" spans="1:10" x14ac:dyDescent="0.25">
      <c r="A5957" t="s">
        <v>20966</v>
      </c>
      <c r="B5957">
        <v>10.792</v>
      </c>
      <c r="C5957" t="s">
        <v>20967</v>
      </c>
      <c r="D5957" t="s">
        <v>3184</v>
      </c>
      <c r="E5957" t="s">
        <v>20942</v>
      </c>
      <c r="F5957" t="s">
        <v>7672</v>
      </c>
      <c r="G5957" t="s">
        <v>20943</v>
      </c>
      <c r="H5957" t="s">
        <v>10298</v>
      </c>
      <c r="I5957" t="s">
        <v>497</v>
      </c>
      <c r="J5957" t="s">
        <v>7967</v>
      </c>
    </row>
    <row r="5958" spans="1:10" x14ac:dyDescent="0.25">
      <c r="A5958" t="s">
        <v>20968</v>
      </c>
      <c r="B5958">
        <v>10.792</v>
      </c>
      <c r="C5958" t="s">
        <v>20969</v>
      </c>
      <c r="D5958" t="s">
        <v>301</v>
      </c>
      <c r="E5958" t="s">
        <v>20942</v>
      </c>
      <c r="F5958" t="s">
        <v>7672</v>
      </c>
      <c r="G5958" t="s">
        <v>20943</v>
      </c>
      <c r="H5958" t="s">
        <v>10298</v>
      </c>
      <c r="I5958" t="s">
        <v>20947</v>
      </c>
      <c r="J5958" t="s">
        <v>7967</v>
      </c>
    </row>
    <row r="5959" spans="1:10" x14ac:dyDescent="0.25">
      <c r="A5959" t="s">
        <v>20970</v>
      </c>
      <c r="B5959">
        <v>10.792</v>
      </c>
      <c r="C5959" t="s">
        <v>20971</v>
      </c>
      <c r="D5959" t="s">
        <v>255</v>
      </c>
      <c r="E5959" t="s">
        <v>20942</v>
      </c>
      <c r="F5959" t="s">
        <v>7672</v>
      </c>
      <c r="G5959" t="s">
        <v>20943</v>
      </c>
      <c r="H5959" t="s">
        <v>10298</v>
      </c>
      <c r="I5959" t="s">
        <v>497</v>
      </c>
      <c r="J5959" t="s">
        <v>269</v>
      </c>
    </row>
    <row r="5960" spans="1:10" x14ac:dyDescent="0.25">
      <c r="A5960" t="s">
        <v>20972</v>
      </c>
      <c r="B5960">
        <v>10.792</v>
      </c>
      <c r="C5960" t="s">
        <v>20973</v>
      </c>
      <c r="D5960" t="s">
        <v>385</v>
      </c>
      <c r="E5960" t="s">
        <v>20942</v>
      </c>
      <c r="F5960" t="s">
        <v>7672</v>
      </c>
      <c r="G5960" t="s">
        <v>20943</v>
      </c>
      <c r="H5960" t="s">
        <v>10298</v>
      </c>
      <c r="I5960" t="s">
        <v>497</v>
      </c>
      <c r="J5960" t="s">
        <v>7968</v>
      </c>
    </row>
    <row r="5961" spans="1:10" x14ac:dyDescent="0.25">
      <c r="A5961" t="s">
        <v>20974</v>
      </c>
      <c r="B5961">
        <v>10.792</v>
      </c>
      <c r="C5961" t="s">
        <v>20975</v>
      </c>
      <c r="D5961" t="s">
        <v>60</v>
      </c>
      <c r="E5961" t="s">
        <v>20942</v>
      </c>
      <c r="F5961" t="s">
        <v>7672</v>
      </c>
      <c r="G5961" t="s">
        <v>20943</v>
      </c>
      <c r="H5961" t="s">
        <v>10298</v>
      </c>
      <c r="I5961" t="s">
        <v>497</v>
      </c>
      <c r="J5961" t="s">
        <v>576</v>
      </c>
    </row>
    <row r="5962" spans="1:10" x14ac:dyDescent="0.25">
      <c r="A5962" t="s">
        <v>20976</v>
      </c>
      <c r="B5962">
        <v>10.792</v>
      </c>
      <c r="C5962" t="s">
        <v>20977</v>
      </c>
      <c r="D5962" t="s">
        <v>2697</v>
      </c>
      <c r="E5962" t="s">
        <v>20942</v>
      </c>
      <c r="F5962" t="s">
        <v>7672</v>
      </c>
      <c r="G5962" t="s">
        <v>20943</v>
      </c>
      <c r="H5962" t="s">
        <v>10298</v>
      </c>
      <c r="I5962" t="s">
        <v>497</v>
      </c>
      <c r="J5962" t="s">
        <v>7969</v>
      </c>
    </row>
    <row r="5963" spans="1:10" x14ac:dyDescent="0.25">
      <c r="A5963" t="s">
        <v>20978</v>
      </c>
      <c r="B5963">
        <v>3.6320000000000001</v>
      </c>
      <c r="C5963" t="s">
        <v>20979</v>
      </c>
      <c r="D5963" t="s">
        <v>250</v>
      </c>
      <c r="E5963" t="s">
        <v>20980</v>
      </c>
      <c r="F5963" t="s">
        <v>7672</v>
      </c>
      <c r="G5963" t="s">
        <v>20981</v>
      </c>
      <c r="H5963" t="s">
        <v>8515</v>
      </c>
      <c r="I5963" t="s">
        <v>20982</v>
      </c>
      <c r="J5963" t="s">
        <v>277</v>
      </c>
    </row>
    <row r="5964" spans="1:10" x14ac:dyDescent="0.25">
      <c r="A5964" t="s">
        <v>5544</v>
      </c>
      <c r="B5964">
        <v>7.48</v>
      </c>
      <c r="C5964" t="s">
        <v>5546</v>
      </c>
      <c r="D5964" t="s">
        <v>88</v>
      </c>
      <c r="E5964" t="s">
        <v>5547</v>
      </c>
      <c r="F5964" t="s">
        <v>7672</v>
      </c>
      <c r="G5964" t="s">
        <v>20983</v>
      </c>
      <c r="H5964" t="s">
        <v>7965</v>
      </c>
      <c r="I5964" t="s">
        <v>20984</v>
      </c>
      <c r="J5964" t="s">
        <v>7675</v>
      </c>
    </row>
    <row r="5965" spans="1:10" x14ac:dyDescent="0.25">
      <c r="A5965" t="s">
        <v>20985</v>
      </c>
      <c r="B5965">
        <v>7.48</v>
      </c>
      <c r="C5965" t="s">
        <v>20986</v>
      </c>
      <c r="D5965" t="s">
        <v>282</v>
      </c>
      <c r="E5965" t="s">
        <v>5547</v>
      </c>
      <c r="F5965" t="s">
        <v>7672</v>
      </c>
      <c r="G5965" t="s">
        <v>20983</v>
      </c>
      <c r="H5965" t="s">
        <v>7965</v>
      </c>
      <c r="I5965" t="s">
        <v>9117</v>
      </c>
      <c r="J5965" t="s">
        <v>7675</v>
      </c>
    </row>
    <row r="5966" spans="1:10" x14ac:dyDescent="0.25">
      <c r="A5966" t="s">
        <v>20987</v>
      </c>
      <c r="B5966">
        <v>17.36</v>
      </c>
      <c r="C5966" t="s">
        <v>20988</v>
      </c>
      <c r="D5966" t="s">
        <v>286</v>
      </c>
      <c r="E5966" t="s">
        <v>20989</v>
      </c>
      <c r="F5966" t="s">
        <v>7672</v>
      </c>
      <c r="G5966" t="s">
        <v>20990</v>
      </c>
      <c r="H5966" t="s">
        <v>8087</v>
      </c>
      <c r="I5966" t="s">
        <v>551</v>
      </c>
      <c r="J5966" t="s">
        <v>7942</v>
      </c>
    </row>
    <row r="5967" spans="1:10" x14ac:dyDescent="0.25">
      <c r="A5967" t="s">
        <v>20991</v>
      </c>
      <c r="B5967">
        <v>17.36</v>
      </c>
      <c r="C5967" t="s">
        <v>20992</v>
      </c>
      <c r="D5967" t="s">
        <v>95</v>
      </c>
      <c r="E5967" t="s">
        <v>20989</v>
      </c>
      <c r="F5967" t="s">
        <v>7672</v>
      </c>
      <c r="G5967" t="s">
        <v>20990</v>
      </c>
      <c r="H5967" t="s">
        <v>8087</v>
      </c>
      <c r="I5967" t="s">
        <v>551</v>
      </c>
      <c r="J5967" t="s">
        <v>7981</v>
      </c>
    </row>
    <row r="5968" spans="1:10" x14ac:dyDescent="0.25">
      <c r="A5968" t="s">
        <v>20993</v>
      </c>
      <c r="B5968">
        <v>17.36</v>
      </c>
      <c r="C5968" t="s">
        <v>20994</v>
      </c>
      <c r="D5968" t="s">
        <v>1143</v>
      </c>
      <c r="E5968" t="s">
        <v>20989</v>
      </c>
      <c r="F5968" t="s">
        <v>7672</v>
      </c>
      <c r="G5968" t="s">
        <v>20990</v>
      </c>
      <c r="H5968" t="s">
        <v>8087</v>
      </c>
      <c r="I5968" t="s">
        <v>551</v>
      </c>
      <c r="J5968" t="s">
        <v>7984</v>
      </c>
    </row>
    <row r="5969" spans="1:10" x14ac:dyDescent="0.25">
      <c r="A5969" t="s">
        <v>20995</v>
      </c>
      <c r="B5969">
        <v>17.36</v>
      </c>
      <c r="C5969" t="s">
        <v>20996</v>
      </c>
      <c r="D5969" t="s">
        <v>613</v>
      </c>
      <c r="E5969" t="s">
        <v>20989</v>
      </c>
      <c r="F5969" t="s">
        <v>7672</v>
      </c>
      <c r="G5969" t="s">
        <v>20990</v>
      </c>
      <c r="H5969" t="s">
        <v>8087</v>
      </c>
      <c r="I5969" t="s">
        <v>551</v>
      </c>
      <c r="J5969" t="s">
        <v>7987</v>
      </c>
    </row>
    <row r="5970" spans="1:10" x14ac:dyDescent="0.25">
      <c r="A5970" t="s">
        <v>20997</v>
      </c>
      <c r="B5970">
        <v>17.36</v>
      </c>
      <c r="C5970" t="s">
        <v>20998</v>
      </c>
      <c r="D5970" t="s">
        <v>269</v>
      </c>
      <c r="E5970" t="s">
        <v>20989</v>
      </c>
      <c r="F5970" t="s">
        <v>7672</v>
      </c>
      <c r="G5970" t="s">
        <v>20990</v>
      </c>
      <c r="H5970" t="s">
        <v>8087</v>
      </c>
      <c r="I5970" t="s">
        <v>551</v>
      </c>
      <c r="J5970" t="s">
        <v>8001</v>
      </c>
    </row>
    <row r="5971" spans="1:10" x14ac:dyDescent="0.25">
      <c r="A5971" t="s">
        <v>20999</v>
      </c>
      <c r="B5971">
        <v>10.4</v>
      </c>
      <c r="C5971" t="s">
        <v>21000</v>
      </c>
      <c r="D5971" t="s">
        <v>366</v>
      </c>
      <c r="E5971" t="s">
        <v>21001</v>
      </c>
      <c r="F5971" t="s">
        <v>7672</v>
      </c>
      <c r="G5971" t="s">
        <v>21002</v>
      </c>
      <c r="H5971" t="s">
        <v>8027</v>
      </c>
      <c r="I5971" t="s">
        <v>21003</v>
      </c>
      <c r="J5971" t="s">
        <v>8001</v>
      </c>
    </row>
    <row r="5972" spans="1:10" x14ac:dyDescent="0.25">
      <c r="A5972" t="s">
        <v>21004</v>
      </c>
      <c r="B5972">
        <v>10.4</v>
      </c>
      <c r="C5972" t="s">
        <v>21005</v>
      </c>
      <c r="D5972" t="s">
        <v>959</v>
      </c>
      <c r="E5972" t="s">
        <v>21001</v>
      </c>
      <c r="F5972" t="s">
        <v>7672</v>
      </c>
      <c r="G5972" t="s">
        <v>21002</v>
      </c>
      <c r="H5972" t="s">
        <v>8027</v>
      </c>
      <c r="I5972" t="s">
        <v>10655</v>
      </c>
      <c r="J5972" t="s">
        <v>8001</v>
      </c>
    </row>
    <row r="5973" spans="1:10" x14ac:dyDescent="0.25">
      <c r="A5973" t="s">
        <v>21006</v>
      </c>
      <c r="B5973">
        <v>10.4</v>
      </c>
      <c r="C5973" t="s">
        <v>21007</v>
      </c>
      <c r="D5973" t="s">
        <v>959</v>
      </c>
      <c r="E5973" t="s">
        <v>21001</v>
      </c>
      <c r="F5973" t="s">
        <v>7672</v>
      </c>
      <c r="G5973" t="s">
        <v>21002</v>
      </c>
      <c r="H5973" t="s">
        <v>8027</v>
      </c>
      <c r="I5973" t="s">
        <v>21008</v>
      </c>
      <c r="J5973" t="s">
        <v>8001</v>
      </c>
    </row>
    <row r="5974" spans="1:10" x14ac:dyDescent="0.25">
      <c r="A5974" t="s">
        <v>21009</v>
      </c>
      <c r="B5974">
        <v>10.4</v>
      </c>
      <c r="C5974" t="s">
        <v>21010</v>
      </c>
      <c r="D5974" t="s">
        <v>849</v>
      </c>
      <c r="E5974" t="s">
        <v>21001</v>
      </c>
      <c r="F5974" t="s">
        <v>7672</v>
      </c>
      <c r="G5974" t="s">
        <v>21002</v>
      </c>
      <c r="H5974" t="s">
        <v>8027</v>
      </c>
      <c r="I5974" t="s">
        <v>21011</v>
      </c>
      <c r="J5974" t="s">
        <v>8001</v>
      </c>
    </row>
    <row r="5975" spans="1:10" x14ac:dyDescent="0.25">
      <c r="A5975" t="s">
        <v>21012</v>
      </c>
      <c r="B5975">
        <v>10.4</v>
      </c>
      <c r="C5975" t="s">
        <v>21013</v>
      </c>
      <c r="D5975" t="s">
        <v>277</v>
      </c>
      <c r="E5975" t="s">
        <v>21001</v>
      </c>
      <c r="F5975" t="s">
        <v>7672</v>
      </c>
      <c r="G5975" t="s">
        <v>21002</v>
      </c>
      <c r="H5975" t="s">
        <v>8027</v>
      </c>
      <c r="I5975" t="s">
        <v>21003</v>
      </c>
      <c r="J5975" t="s">
        <v>8013</v>
      </c>
    </row>
    <row r="5976" spans="1:10" x14ac:dyDescent="0.25">
      <c r="A5976" t="s">
        <v>21014</v>
      </c>
      <c r="B5976">
        <v>10.4</v>
      </c>
      <c r="C5976" t="s">
        <v>21015</v>
      </c>
      <c r="D5976" t="s">
        <v>199</v>
      </c>
      <c r="E5976" t="s">
        <v>21001</v>
      </c>
      <c r="F5976" t="s">
        <v>7672</v>
      </c>
      <c r="G5976" t="s">
        <v>21002</v>
      </c>
      <c r="H5976" t="s">
        <v>8027</v>
      </c>
      <c r="I5976" t="s">
        <v>10655</v>
      </c>
      <c r="J5976" t="s">
        <v>8013</v>
      </c>
    </row>
    <row r="5977" spans="1:10" x14ac:dyDescent="0.25">
      <c r="A5977" t="s">
        <v>21016</v>
      </c>
      <c r="B5977">
        <v>10.4</v>
      </c>
      <c r="C5977" t="s">
        <v>21017</v>
      </c>
      <c r="D5977" t="s">
        <v>366</v>
      </c>
      <c r="E5977" t="s">
        <v>21001</v>
      </c>
      <c r="F5977" t="s">
        <v>7672</v>
      </c>
      <c r="G5977" t="s">
        <v>21002</v>
      </c>
      <c r="H5977" t="s">
        <v>8027</v>
      </c>
      <c r="I5977" t="s">
        <v>21011</v>
      </c>
      <c r="J5977" t="s">
        <v>8013</v>
      </c>
    </row>
    <row r="5978" spans="1:10" x14ac:dyDescent="0.25">
      <c r="A5978" t="s">
        <v>21018</v>
      </c>
      <c r="B5978">
        <v>10.4</v>
      </c>
      <c r="C5978" t="s">
        <v>21019</v>
      </c>
      <c r="D5978" t="s">
        <v>240</v>
      </c>
      <c r="E5978" t="s">
        <v>21001</v>
      </c>
      <c r="F5978" t="s">
        <v>7672</v>
      </c>
      <c r="G5978" t="s">
        <v>21002</v>
      </c>
      <c r="H5978" t="s">
        <v>8027</v>
      </c>
      <c r="I5978" t="s">
        <v>21008</v>
      </c>
      <c r="J5978" t="s">
        <v>8013</v>
      </c>
    </row>
    <row r="5979" spans="1:10" x14ac:dyDescent="0.25">
      <c r="A5979" t="s">
        <v>21020</v>
      </c>
      <c r="B5979">
        <v>3.6320000000000001</v>
      </c>
      <c r="C5979" t="s">
        <v>21021</v>
      </c>
      <c r="D5979" t="s">
        <v>234</v>
      </c>
      <c r="E5979" t="s">
        <v>21022</v>
      </c>
      <c r="F5979" t="s">
        <v>7672</v>
      </c>
      <c r="G5979" t="s">
        <v>21023</v>
      </c>
      <c r="H5979" t="s">
        <v>8515</v>
      </c>
      <c r="I5979" t="s">
        <v>21024</v>
      </c>
      <c r="J5979" t="s">
        <v>131</v>
      </c>
    </row>
    <row r="5980" spans="1:10" x14ac:dyDescent="0.25">
      <c r="A5980" t="s">
        <v>21025</v>
      </c>
      <c r="B5980">
        <v>3.6320000000000001</v>
      </c>
      <c r="C5980" t="s">
        <v>21026</v>
      </c>
      <c r="D5980" t="s">
        <v>1621</v>
      </c>
      <c r="E5980" t="s">
        <v>21022</v>
      </c>
      <c r="F5980" t="s">
        <v>7672</v>
      </c>
      <c r="G5980" t="s">
        <v>21023</v>
      </c>
      <c r="H5980" t="s">
        <v>8515</v>
      </c>
      <c r="I5980" t="s">
        <v>21024</v>
      </c>
      <c r="J5980" t="s">
        <v>255</v>
      </c>
    </row>
    <row r="5981" spans="1:10" x14ac:dyDescent="0.25">
      <c r="A5981" t="s">
        <v>21027</v>
      </c>
      <c r="B5981">
        <v>3.6320000000000001</v>
      </c>
      <c r="C5981" t="s">
        <v>21028</v>
      </c>
      <c r="D5981" t="s">
        <v>3577</v>
      </c>
      <c r="E5981" t="s">
        <v>21022</v>
      </c>
      <c r="F5981" t="s">
        <v>7672</v>
      </c>
      <c r="G5981" t="s">
        <v>21023</v>
      </c>
      <c r="H5981" t="s">
        <v>8515</v>
      </c>
      <c r="I5981" t="s">
        <v>21024</v>
      </c>
      <c r="J5981" t="s">
        <v>277</v>
      </c>
    </row>
    <row r="5982" spans="1:10" x14ac:dyDescent="0.25">
      <c r="A5982" t="s">
        <v>5550</v>
      </c>
      <c r="B5982">
        <v>8.32</v>
      </c>
      <c r="C5982" t="s">
        <v>5552</v>
      </c>
      <c r="D5982" t="s">
        <v>1134</v>
      </c>
      <c r="E5982" t="s">
        <v>5553</v>
      </c>
      <c r="F5982" t="s">
        <v>7672</v>
      </c>
      <c r="G5982" t="s">
        <v>21029</v>
      </c>
      <c r="H5982" t="s">
        <v>8078</v>
      </c>
      <c r="I5982" t="s">
        <v>673</v>
      </c>
      <c r="J5982" t="s">
        <v>7981</v>
      </c>
    </row>
    <row r="5983" spans="1:10" x14ac:dyDescent="0.25">
      <c r="A5983" t="s">
        <v>5557</v>
      </c>
      <c r="B5983">
        <v>8.32</v>
      </c>
      <c r="C5983" t="s">
        <v>5559</v>
      </c>
      <c r="D5983" t="s">
        <v>2001</v>
      </c>
      <c r="E5983" t="s">
        <v>5553</v>
      </c>
      <c r="F5983" t="s">
        <v>7672</v>
      </c>
      <c r="G5983" t="s">
        <v>21029</v>
      </c>
      <c r="H5983" t="s">
        <v>8078</v>
      </c>
      <c r="I5983" t="s">
        <v>673</v>
      </c>
      <c r="J5983" t="s">
        <v>7984</v>
      </c>
    </row>
    <row r="5984" spans="1:10" x14ac:dyDescent="0.25">
      <c r="A5984" t="s">
        <v>5561</v>
      </c>
      <c r="B5984">
        <v>8.32</v>
      </c>
      <c r="C5984" t="s">
        <v>5563</v>
      </c>
      <c r="D5984" t="s">
        <v>5565</v>
      </c>
      <c r="E5984" t="s">
        <v>5553</v>
      </c>
      <c r="F5984" t="s">
        <v>7672</v>
      </c>
      <c r="G5984" t="s">
        <v>21029</v>
      </c>
      <c r="H5984" t="s">
        <v>8078</v>
      </c>
      <c r="I5984" t="s">
        <v>673</v>
      </c>
      <c r="J5984" t="s">
        <v>7987</v>
      </c>
    </row>
    <row r="5985" spans="1:10" x14ac:dyDescent="0.25">
      <c r="A5985" t="s">
        <v>5566</v>
      </c>
      <c r="B5985">
        <v>8.32</v>
      </c>
      <c r="C5985" t="s">
        <v>5568</v>
      </c>
      <c r="D5985" t="s">
        <v>321</v>
      </c>
      <c r="E5985" t="s">
        <v>5553</v>
      </c>
      <c r="F5985" t="s">
        <v>7672</v>
      </c>
      <c r="G5985" t="s">
        <v>21029</v>
      </c>
      <c r="H5985" t="s">
        <v>8078</v>
      </c>
      <c r="I5985" t="s">
        <v>673</v>
      </c>
      <c r="J5985" t="s">
        <v>8001</v>
      </c>
    </row>
    <row r="5986" spans="1:10" x14ac:dyDescent="0.25">
      <c r="A5986" t="s">
        <v>21030</v>
      </c>
      <c r="B5986">
        <v>6.7200000000000006</v>
      </c>
      <c r="C5986" t="s">
        <v>21031</v>
      </c>
      <c r="D5986" t="s">
        <v>742</v>
      </c>
      <c r="E5986" t="s">
        <v>21032</v>
      </c>
      <c r="F5986" t="s">
        <v>7672</v>
      </c>
      <c r="G5986" t="s">
        <v>21033</v>
      </c>
      <c r="H5986" t="s">
        <v>11496</v>
      </c>
      <c r="I5986" t="s">
        <v>410</v>
      </c>
      <c r="J5986" t="s">
        <v>10369</v>
      </c>
    </row>
    <row r="5987" spans="1:10" x14ac:dyDescent="0.25">
      <c r="A5987" t="s">
        <v>21034</v>
      </c>
      <c r="B5987">
        <v>6.7200000000000006</v>
      </c>
      <c r="C5987" t="s">
        <v>21035</v>
      </c>
      <c r="D5987" t="s">
        <v>875</v>
      </c>
      <c r="E5987" t="s">
        <v>21032</v>
      </c>
      <c r="F5987" t="s">
        <v>7672</v>
      </c>
      <c r="G5987" t="s">
        <v>21033</v>
      </c>
      <c r="H5987" t="s">
        <v>11496</v>
      </c>
      <c r="I5987" t="s">
        <v>410</v>
      </c>
      <c r="J5987" t="s">
        <v>11590</v>
      </c>
    </row>
    <row r="5988" spans="1:10" x14ac:dyDescent="0.25">
      <c r="A5988" t="s">
        <v>21036</v>
      </c>
      <c r="B5988">
        <v>6.7200000000000006</v>
      </c>
      <c r="C5988" t="s">
        <v>21037</v>
      </c>
      <c r="D5988" t="s">
        <v>359</v>
      </c>
      <c r="E5988" t="s">
        <v>21032</v>
      </c>
      <c r="F5988" t="s">
        <v>7672</v>
      </c>
      <c r="G5988" t="s">
        <v>21033</v>
      </c>
      <c r="H5988" t="s">
        <v>11496</v>
      </c>
      <c r="I5988" t="s">
        <v>410</v>
      </c>
      <c r="J5988" t="s">
        <v>11593</v>
      </c>
    </row>
    <row r="5989" spans="1:10" x14ac:dyDescent="0.25">
      <c r="A5989" t="s">
        <v>21038</v>
      </c>
      <c r="B5989">
        <v>6.7200000000000006</v>
      </c>
      <c r="C5989" t="s">
        <v>21039</v>
      </c>
      <c r="D5989" t="s">
        <v>3184</v>
      </c>
      <c r="E5989" t="s">
        <v>21032</v>
      </c>
      <c r="F5989" t="s">
        <v>7672</v>
      </c>
      <c r="G5989" t="s">
        <v>21033</v>
      </c>
      <c r="H5989" t="s">
        <v>11496</v>
      </c>
      <c r="I5989" t="s">
        <v>410</v>
      </c>
      <c r="J5989" t="s">
        <v>11783</v>
      </c>
    </row>
    <row r="5990" spans="1:10" x14ac:dyDescent="0.25">
      <c r="A5990" t="s">
        <v>21040</v>
      </c>
      <c r="B5990">
        <v>5.2</v>
      </c>
      <c r="C5990" t="s">
        <v>21041</v>
      </c>
      <c r="D5990" t="s">
        <v>144</v>
      </c>
      <c r="E5990" t="s">
        <v>21042</v>
      </c>
      <c r="F5990" t="s">
        <v>7672</v>
      </c>
      <c r="G5990" t="s">
        <v>21043</v>
      </c>
      <c r="H5990" t="s">
        <v>8331</v>
      </c>
      <c r="I5990" t="s">
        <v>438</v>
      </c>
      <c r="J5990" t="s">
        <v>7981</v>
      </c>
    </row>
    <row r="5991" spans="1:10" x14ac:dyDescent="0.25">
      <c r="A5991" t="s">
        <v>21044</v>
      </c>
      <c r="B5991">
        <v>5.2</v>
      </c>
      <c r="C5991" t="s">
        <v>21045</v>
      </c>
      <c r="D5991" t="s">
        <v>2347</v>
      </c>
      <c r="E5991" t="s">
        <v>21042</v>
      </c>
      <c r="F5991" t="s">
        <v>7672</v>
      </c>
      <c r="G5991" t="s">
        <v>21043</v>
      </c>
      <c r="H5991" t="s">
        <v>8331</v>
      </c>
      <c r="I5991" t="s">
        <v>14410</v>
      </c>
      <c r="J5991" t="s">
        <v>7981</v>
      </c>
    </row>
    <row r="5992" spans="1:10" x14ac:dyDescent="0.25">
      <c r="A5992" t="s">
        <v>21046</v>
      </c>
      <c r="B5992">
        <v>5.2</v>
      </c>
      <c r="C5992" t="s">
        <v>21047</v>
      </c>
      <c r="D5992" t="s">
        <v>2587</v>
      </c>
      <c r="E5992" t="s">
        <v>21042</v>
      </c>
      <c r="F5992" t="s">
        <v>7672</v>
      </c>
      <c r="G5992" t="s">
        <v>21043</v>
      </c>
      <c r="H5992" t="s">
        <v>8331</v>
      </c>
      <c r="I5992" t="s">
        <v>438</v>
      </c>
      <c r="J5992" t="s">
        <v>7984</v>
      </c>
    </row>
    <row r="5993" spans="1:10" x14ac:dyDescent="0.25">
      <c r="A5993" t="s">
        <v>21048</v>
      </c>
      <c r="B5993">
        <v>5.2</v>
      </c>
      <c r="C5993" t="s">
        <v>21049</v>
      </c>
      <c r="D5993" t="s">
        <v>2001</v>
      </c>
      <c r="E5993" t="s">
        <v>21042</v>
      </c>
      <c r="F5993" t="s">
        <v>7672</v>
      </c>
      <c r="G5993" t="s">
        <v>21043</v>
      </c>
      <c r="H5993" t="s">
        <v>8331</v>
      </c>
      <c r="I5993" t="s">
        <v>14410</v>
      </c>
      <c r="J5993" t="s">
        <v>7984</v>
      </c>
    </row>
    <row r="5994" spans="1:10" x14ac:dyDescent="0.25">
      <c r="A5994" t="s">
        <v>21050</v>
      </c>
      <c r="B5994">
        <v>5.2</v>
      </c>
      <c r="C5994" t="s">
        <v>21051</v>
      </c>
      <c r="D5994" t="s">
        <v>2652</v>
      </c>
      <c r="E5994" t="s">
        <v>21042</v>
      </c>
      <c r="F5994" t="s">
        <v>7672</v>
      </c>
      <c r="G5994" t="s">
        <v>21043</v>
      </c>
      <c r="H5994" t="s">
        <v>8331</v>
      </c>
      <c r="I5994" t="s">
        <v>438</v>
      </c>
      <c r="J5994" t="s">
        <v>7987</v>
      </c>
    </row>
    <row r="5995" spans="1:10" x14ac:dyDescent="0.25">
      <c r="A5995" t="s">
        <v>21052</v>
      </c>
      <c r="B5995">
        <v>5.2</v>
      </c>
      <c r="C5995" t="s">
        <v>21053</v>
      </c>
      <c r="D5995" t="s">
        <v>5565</v>
      </c>
      <c r="E5995" t="s">
        <v>21042</v>
      </c>
      <c r="F5995" t="s">
        <v>7672</v>
      </c>
      <c r="G5995" t="s">
        <v>21043</v>
      </c>
      <c r="H5995" t="s">
        <v>8331</v>
      </c>
      <c r="I5995" t="s">
        <v>14410</v>
      </c>
      <c r="J5995" t="s">
        <v>7987</v>
      </c>
    </row>
    <row r="5996" spans="1:10" x14ac:dyDescent="0.25">
      <c r="A5996" t="s">
        <v>5570</v>
      </c>
      <c r="B5996">
        <v>13</v>
      </c>
      <c r="C5996" t="s">
        <v>5572</v>
      </c>
      <c r="D5996" t="s">
        <v>981</v>
      </c>
      <c r="E5996" t="s">
        <v>5573</v>
      </c>
      <c r="F5996" t="s">
        <v>7672</v>
      </c>
      <c r="G5996" t="s">
        <v>21054</v>
      </c>
      <c r="H5996" t="s">
        <v>9535</v>
      </c>
      <c r="I5996" t="s">
        <v>5576</v>
      </c>
      <c r="J5996" t="s">
        <v>8687</v>
      </c>
    </row>
    <row r="5997" spans="1:10" x14ac:dyDescent="0.25">
      <c r="A5997" t="s">
        <v>5577</v>
      </c>
      <c r="B5997">
        <v>13</v>
      </c>
      <c r="C5997" t="s">
        <v>5579</v>
      </c>
      <c r="D5997" t="s">
        <v>352</v>
      </c>
      <c r="E5997" t="s">
        <v>5573</v>
      </c>
      <c r="F5997" t="s">
        <v>7672</v>
      </c>
      <c r="G5997" t="s">
        <v>21054</v>
      </c>
      <c r="H5997" t="s">
        <v>9535</v>
      </c>
      <c r="I5997" t="s">
        <v>5582</v>
      </c>
      <c r="J5997" t="s">
        <v>9540</v>
      </c>
    </row>
    <row r="5998" spans="1:10" x14ac:dyDescent="0.25">
      <c r="A5998" t="s">
        <v>21055</v>
      </c>
      <c r="B5998">
        <v>13</v>
      </c>
      <c r="C5998" t="s">
        <v>21056</v>
      </c>
      <c r="D5998" t="s">
        <v>282</v>
      </c>
      <c r="E5998" t="s">
        <v>5573</v>
      </c>
      <c r="F5998" t="s">
        <v>7672</v>
      </c>
      <c r="G5998" t="s">
        <v>21054</v>
      </c>
      <c r="H5998" t="s">
        <v>9535</v>
      </c>
      <c r="I5998" t="s">
        <v>21057</v>
      </c>
      <c r="J5998" t="s">
        <v>9540</v>
      </c>
    </row>
    <row r="5999" spans="1:10" x14ac:dyDescent="0.25">
      <c r="A5999" t="s">
        <v>21058</v>
      </c>
      <c r="B5999">
        <v>13</v>
      </c>
      <c r="C5999" t="s">
        <v>21059</v>
      </c>
      <c r="D5999" t="s">
        <v>3086</v>
      </c>
      <c r="E5999" t="s">
        <v>5573</v>
      </c>
      <c r="F5999" t="s">
        <v>7672</v>
      </c>
      <c r="G5999" t="s">
        <v>21054</v>
      </c>
      <c r="H5999" t="s">
        <v>9535</v>
      </c>
      <c r="I5999" t="s">
        <v>18604</v>
      </c>
      <c r="J5999" t="s">
        <v>9540</v>
      </c>
    </row>
    <row r="6000" spans="1:10" x14ac:dyDescent="0.25">
      <c r="A6000" t="s">
        <v>21060</v>
      </c>
      <c r="B6000">
        <v>13</v>
      </c>
      <c r="C6000" t="s">
        <v>21061</v>
      </c>
      <c r="D6000" t="s">
        <v>106</v>
      </c>
      <c r="E6000" t="s">
        <v>5573</v>
      </c>
      <c r="F6000" t="s">
        <v>7672</v>
      </c>
      <c r="G6000" t="s">
        <v>21054</v>
      </c>
      <c r="H6000" t="s">
        <v>9535</v>
      </c>
      <c r="I6000" t="s">
        <v>21062</v>
      </c>
      <c r="J6000" t="s">
        <v>9540</v>
      </c>
    </row>
    <row r="6001" spans="1:10" x14ac:dyDescent="0.25">
      <c r="A6001" t="s">
        <v>21063</v>
      </c>
      <c r="B6001">
        <v>13</v>
      </c>
      <c r="C6001" t="s">
        <v>21064</v>
      </c>
      <c r="D6001" t="s">
        <v>436</v>
      </c>
      <c r="E6001" t="s">
        <v>5573</v>
      </c>
      <c r="F6001" t="s">
        <v>7672</v>
      </c>
      <c r="G6001" t="s">
        <v>21054</v>
      </c>
      <c r="H6001" t="s">
        <v>9535</v>
      </c>
      <c r="I6001" t="s">
        <v>12181</v>
      </c>
      <c r="J6001" t="s">
        <v>9540</v>
      </c>
    </row>
    <row r="6002" spans="1:10" x14ac:dyDescent="0.25">
      <c r="A6002" t="s">
        <v>21065</v>
      </c>
      <c r="B6002">
        <v>13</v>
      </c>
      <c r="C6002" t="s">
        <v>21066</v>
      </c>
      <c r="D6002" t="s">
        <v>113</v>
      </c>
      <c r="E6002" t="s">
        <v>5573</v>
      </c>
      <c r="F6002" t="s">
        <v>7672</v>
      </c>
      <c r="G6002" t="s">
        <v>21054</v>
      </c>
      <c r="H6002" t="s">
        <v>9535</v>
      </c>
      <c r="I6002" t="s">
        <v>21067</v>
      </c>
      <c r="J6002" t="s">
        <v>9540</v>
      </c>
    </row>
    <row r="6003" spans="1:10" x14ac:dyDescent="0.25">
      <c r="A6003" t="s">
        <v>21068</v>
      </c>
      <c r="B6003">
        <v>13</v>
      </c>
      <c r="C6003" t="s">
        <v>21069</v>
      </c>
      <c r="D6003" t="s">
        <v>53</v>
      </c>
      <c r="E6003" t="s">
        <v>5573</v>
      </c>
      <c r="F6003" t="s">
        <v>7672</v>
      </c>
      <c r="G6003" t="s">
        <v>21054</v>
      </c>
      <c r="H6003" t="s">
        <v>9535</v>
      </c>
      <c r="I6003" t="s">
        <v>21070</v>
      </c>
      <c r="J6003" t="s">
        <v>9540</v>
      </c>
    </row>
    <row r="6004" spans="1:10" x14ac:dyDescent="0.25">
      <c r="A6004" t="s">
        <v>21071</v>
      </c>
      <c r="B6004">
        <v>13</v>
      </c>
      <c r="C6004" t="s">
        <v>21072</v>
      </c>
      <c r="D6004" t="s">
        <v>2371</v>
      </c>
      <c r="E6004" t="s">
        <v>5573</v>
      </c>
      <c r="F6004" t="s">
        <v>7672</v>
      </c>
      <c r="G6004" t="s">
        <v>21054</v>
      </c>
      <c r="H6004" t="s">
        <v>9535</v>
      </c>
      <c r="I6004" t="s">
        <v>5576</v>
      </c>
      <c r="J6004" t="s">
        <v>9540</v>
      </c>
    </row>
    <row r="6005" spans="1:10" x14ac:dyDescent="0.25">
      <c r="A6005" t="s">
        <v>5583</v>
      </c>
      <c r="B6005">
        <v>13</v>
      </c>
      <c r="C6005" t="s">
        <v>5585</v>
      </c>
      <c r="D6005" t="s">
        <v>1143</v>
      </c>
      <c r="E6005" t="s">
        <v>5573</v>
      </c>
      <c r="F6005" t="s">
        <v>7672</v>
      </c>
      <c r="G6005" t="s">
        <v>21054</v>
      </c>
      <c r="H6005" t="s">
        <v>9535</v>
      </c>
      <c r="I6005" t="s">
        <v>5582</v>
      </c>
      <c r="J6005" t="s">
        <v>9547</v>
      </c>
    </row>
    <row r="6006" spans="1:10" x14ac:dyDescent="0.25">
      <c r="A6006" t="s">
        <v>21073</v>
      </c>
      <c r="B6006">
        <v>13</v>
      </c>
      <c r="C6006" t="s">
        <v>21074</v>
      </c>
      <c r="D6006" t="s">
        <v>781</v>
      </c>
      <c r="E6006" t="s">
        <v>5573</v>
      </c>
      <c r="F6006" t="s">
        <v>7672</v>
      </c>
      <c r="G6006" t="s">
        <v>21054</v>
      </c>
      <c r="H6006" t="s">
        <v>9535</v>
      </c>
      <c r="I6006" t="s">
        <v>21057</v>
      </c>
      <c r="J6006" t="s">
        <v>9547</v>
      </c>
    </row>
    <row r="6007" spans="1:10" x14ac:dyDescent="0.25">
      <c r="A6007" t="s">
        <v>21075</v>
      </c>
      <c r="B6007">
        <v>13</v>
      </c>
      <c r="C6007" t="s">
        <v>21076</v>
      </c>
      <c r="D6007" t="s">
        <v>1965</v>
      </c>
      <c r="E6007" t="s">
        <v>5573</v>
      </c>
      <c r="F6007" t="s">
        <v>7672</v>
      </c>
      <c r="G6007" t="s">
        <v>21054</v>
      </c>
      <c r="H6007" t="s">
        <v>9535</v>
      </c>
      <c r="I6007" t="s">
        <v>18604</v>
      </c>
      <c r="J6007" t="s">
        <v>9547</v>
      </c>
    </row>
    <row r="6008" spans="1:10" x14ac:dyDescent="0.25">
      <c r="A6008" t="s">
        <v>21077</v>
      </c>
      <c r="B6008">
        <v>13</v>
      </c>
      <c r="C6008" t="s">
        <v>21078</v>
      </c>
      <c r="D6008" t="s">
        <v>959</v>
      </c>
      <c r="E6008" t="s">
        <v>5573</v>
      </c>
      <c r="F6008" t="s">
        <v>7672</v>
      </c>
      <c r="G6008" t="s">
        <v>21054</v>
      </c>
      <c r="H6008" t="s">
        <v>9535</v>
      </c>
      <c r="I6008" t="s">
        <v>21062</v>
      </c>
      <c r="J6008" t="s">
        <v>9547</v>
      </c>
    </row>
    <row r="6009" spans="1:10" x14ac:dyDescent="0.25">
      <c r="A6009" t="s">
        <v>21079</v>
      </c>
      <c r="B6009">
        <v>13</v>
      </c>
      <c r="C6009" t="s">
        <v>21080</v>
      </c>
      <c r="D6009" t="s">
        <v>593</v>
      </c>
      <c r="E6009" t="s">
        <v>5573</v>
      </c>
      <c r="F6009" t="s">
        <v>7672</v>
      </c>
      <c r="G6009" t="s">
        <v>21054</v>
      </c>
      <c r="H6009" t="s">
        <v>9535</v>
      </c>
      <c r="I6009" t="s">
        <v>5576</v>
      </c>
      <c r="J6009" t="s">
        <v>9547</v>
      </c>
    </row>
    <row r="6010" spans="1:10" x14ac:dyDescent="0.25">
      <c r="A6010" t="s">
        <v>21081</v>
      </c>
      <c r="B6010">
        <v>13</v>
      </c>
      <c r="C6010" t="s">
        <v>21082</v>
      </c>
      <c r="D6010" t="s">
        <v>849</v>
      </c>
      <c r="E6010" t="s">
        <v>5573</v>
      </c>
      <c r="F6010" t="s">
        <v>7672</v>
      </c>
      <c r="G6010" t="s">
        <v>21054</v>
      </c>
      <c r="H6010" t="s">
        <v>9535</v>
      </c>
      <c r="I6010" t="s">
        <v>12181</v>
      </c>
      <c r="J6010" t="s">
        <v>9547</v>
      </c>
    </row>
    <row r="6011" spans="1:10" x14ac:dyDescent="0.25">
      <c r="A6011" t="s">
        <v>21083</v>
      </c>
      <c r="B6011">
        <v>13</v>
      </c>
      <c r="C6011" t="s">
        <v>21084</v>
      </c>
      <c r="D6011" t="s">
        <v>613</v>
      </c>
      <c r="E6011" t="s">
        <v>5573</v>
      </c>
      <c r="F6011" t="s">
        <v>7672</v>
      </c>
      <c r="G6011" t="s">
        <v>21054</v>
      </c>
      <c r="H6011" t="s">
        <v>9535</v>
      </c>
      <c r="I6011" t="s">
        <v>21067</v>
      </c>
      <c r="J6011" t="s">
        <v>9547</v>
      </c>
    </row>
    <row r="6012" spans="1:10" x14ac:dyDescent="0.25">
      <c r="A6012" t="s">
        <v>21085</v>
      </c>
      <c r="B6012">
        <v>10.8</v>
      </c>
      <c r="C6012" t="s">
        <v>21086</v>
      </c>
      <c r="D6012" t="s">
        <v>1949</v>
      </c>
      <c r="E6012" t="s">
        <v>5590</v>
      </c>
      <c r="F6012" t="s">
        <v>7672</v>
      </c>
      <c r="G6012" t="s">
        <v>21087</v>
      </c>
      <c r="H6012" t="s">
        <v>8301</v>
      </c>
      <c r="I6012" t="s">
        <v>21088</v>
      </c>
      <c r="J6012" t="s">
        <v>8427</v>
      </c>
    </row>
    <row r="6013" spans="1:10" x14ac:dyDescent="0.25">
      <c r="A6013" t="s">
        <v>21089</v>
      </c>
      <c r="B6013">
        <v>10.8</v>
      </c>
      <c r="C6013" t="s">
        <v>21090</v>
      </c>
      <c r="D6013" t="s">
        <v>2910</v>
      </c>
      <c r="E6013" t="s">
        <v>5590</v>
      </c>
      <c r="F6013" t="s">
        <v>7672</v>
      </c>
      <c r="G6013" t="s">
        <v>21087</v>
      </c>
      <c r="H6013" t="s">
        <v>8301</v>
      </c>
      <c r="I6013" t="s">
        <v>21088</v>
      </c>
      <c r="J6013" t="s">
        <v>8439</v>
      </c>
    </row>
    <row r="6014" spans="1:10" x14ac:dyDescent="0.25">
      <c r="A6014" t="s">
        <v>5587</v>
      </c>
      <c r="B6014">
        <v>10.8</v>
      </c>
      <c r="C6014" t="s">
        <v>5589</v>
      </c>
      <c r="D6014" t="s">
        <v>5592</v>
      </c>
      <c r="E6014" t="s">
        <v>5590</v>
      </c>
      <c r="F6014" t="s">
        <v>7672</v>
      </c>
      <c r="G6014" t="s">
        <v>21087</v>
      </c>
      <c r="H6014" t="s">
        <v>8301</v>
      </c>
      <c r="I6014" t="s">
        <v>76</v>
      </c>
      <c r="J6014" t="s">
        <v>8451</v>
      </c>
    </row>
    <row r="6015" spans="1:10" x14ac:dyDescent="0.25">
      <c r="A6015" t="s">
        <v>21091</v>
      </c>
      <c r="B6015">
        <v>10.8</v>
      </c>
      <c r="C6015" t="s">
        <v>21092</v>
      </c>
      <c r="D6015" t="s">
        <v>1536</v>
      </c>
      <c r="E6015" t="s">
        <v>5590</v>
      </c>
      <c r="F6015" t="s">
        <v>7672</v>
      </c>
      <c r="G6015" t="s">
        <v>21087</v>
      </c>
      <c r="H6015" t="s">
        <v>8301</v>
      </c>
      <c r="I6015" t="s">
        <v>21088</v>
      </c>
      <c r="J6015" t="s">
        <v>8451</v>
      </c>
    </row>
    <row r="6016" spans="1:10" x14ac:dyDescent="0.25">
      <c r="A6016" t="s">
        <v>5593</v>
      </c>
      <c r="B6016">
        <v>10.8</v>
      </c>
      <c r="C6016" t="s">
        <v>5595</v>
      </c>
      <c r="D6016" t="s">
        <v>296</v>
      </c>
      <c r="E6016" t="s">
        <v>5590</v>
      </c>
      <c r="F6016" t="s">
        <v>7672</v>
      </c>
      <c r="G6016" t="s">
        <v>21087</v>
      </c>
      <c r="H6016" t="s">
        <v>8301</v>
      </c>
      <c r="I6016" t="s">
        <v>76</v>
      </c>
      <c r="J6016" t="s">
        <v>8462</v>
      </c>
    </row>
    <row r="6017" spans="1:10" x14ac:dyDescent="0.25">
      <c r="A6017" t="s">
        <v>21093</v>
      </c>
      <c r="B6017">
        <v>10.8</v>
      </c>
      <c r="C6017" t="s">
        <v>21094</v>
      </c>
      <c r="D6017" t="s">
        <v>2253</v>
      </c>
      <c r="E6017" t="s">
        <v>5590</v>
      </c>
      <c r="F6017" t="s">
        <v>7672</v>
      </c>
      <c r="G6017" t="s">
        <v>21087</v>
      </c>
      <c r="H6017" t="s">
        <v>8301</v>
      </c>
      <c r="I6017" t="s">
        <v>21088</v>
      </c>
      <c r="J6017" t="s">
        <v>8462</v>
      </c>
    </row>
    <row r="6018" spans="1:10" x14ac:dyDescent="0.25">
      <c r="A6018" t="s">
        <v>5597</v>
      </c>
      <c r="B6018">
        <v>79.992000000000004</v>
      </c>
      <c r="C6018" t="s">
        <v>5599</v>
      </c>
      <c r="D6018" t="s">
        <v>1567</v>
      </c>
      <c r="E6018" t="s">
        <v>5600</v>
      </c>
      <c r="F6018" t="s">
        <v>7672</v>
      </c>
      <c r="G6018" t="s">
        <v>8330</v>
      </c>
      <c r="H6018" t="s">
        <v>8331</v>
      </c>
      <c r="I6018" t="s">
        <v>438</v>
      </c>
      <c r="J6018" t="s">
        <v>106</v>
      </c>
    </row>
    <row r="6019" spans="1:10" x14ac:dyDescent="0.25">
      <c r="A6019" t="s">
        <v>5603</v>
      </c>
      <c r="B6019">
        <v>79.992000000000004</v>
      </c>
      <c r="C6019" t="s">
        <v>5605</v>
      </c>
      <c r="D6019" t="s">
        <v>5145</v>
      </c>
      <c r="E6019" t="s">
        <v>5600</v>
      </c>
      <c r="F6019" t="s">
        <v>7672</v>
      </c>
      <c r="G6019" t="s">
        <v>8330</v>
      </c>
      <c r="H6019" t="s">
        <v>8331</v>
      </c>
      <c r="I6019" t="s">
        <v>76</v>
      </c>
      <c r="J6019" t="s">
        <v>106</v>
      </c>
    </row>
    <row r="6020" spans="1:10" x14ac:dyDescent="0.25">
      <c r="A6020" t="s">
        <v>5607</v>
      </c>
      <c r="B6020">
        <v>79.992000000000004</v>
      </c>
      <c r="C6020" t="s">
        <v>5609</v>
      </c>
      <c r="D6020" t="s">
        <v>5611</v>
      </c>
      <c r="E6020" t="s">
        <v>5600</v>
      </c>
      <c r="F6020" t="s">
        <v>7672</v>
      </c>
      <c r="G6020" t="s">
        <v>8330</v>
      </c>
      <c r="H6020" t="s">
        <v>8331</v>
      </c>
      <c r="I6020" t="s">
        <v>76</v>
      </c>
      <c r="J6020" t="s">
        <v>88</v>
      </c>
    </row>
    <row r="6021" spans="1:10" x14ac:dyDescent="0.25">
      <c r="A6021" t="s">
        <v>5612</v>
      </c>
      <c r="B6021">
        <v>79.992000000000004</v>
      </c>
      <c r="C6021" t="s">
        <v>5614</v>
      </c>
      <c r="D6021" t="s">
        <v>5616</v>
      </c>
      <c r="E6021" t="s">
        <v>5600</v>
      </c>
      <c r="F6021" t="s">
        <v>7672</v>
      </c>
      <c r="G6021" t="s">
        <v>8330</v>
      </c>
      <c r="H6021" t="s">
        <v>8331</v>
      </c>
      <c r="I6021" t="s">
        <v>438</v>
      </c>
      <c r="J6021" t="s">
        <v>88</v>
      </c>
    </row>
    <row r="6022" spans="1:10" x14ac:dyDescent="0.25">
      <c r="A6022" t="s">
        <v>5617</v>
      </c>
      <c r="B6022">
        <v>79.992000000000004</v>
      </c>
      <c r="C6022" t="s">
        <v>5619</v>
      </c>
      <c r="D6022" t="s">
        <v>5621</v>
      </c>
      <c r="E6022" t="s">
        <v>5600</v>
      </c>
      <c r="F6022" t="s">
        <v>7672</v>
      </c>
      <c r="G6022" t="s">
        <v>8330</v>
      </c>
      <c r="H6022" t="s">
        <v>8331</v>
      </c>
      <c r="I6022" t="s">
        <v>76</v>
      </c>
      <c r="J6022" t="s">
        <v>131</v>
      </c>
    </row>
    <row r="6023" spans="1:10" x14ac:dyDescent="0.25">
      <c r="A6023" t="s">
        <v>5622</v>
      </c>
      <c r="B6023">
        <v>79.992000000000004</v>
      </c>
      <c r="C6023" t="s">
        <v>5624</v>
      </c>
      <c r="D6023" t="s">
        <v>5626</v>
      </c>
      <c r="E6023" t="s">
        <v>5600</v>
      </c>
      <c r="F6023" t="s">
        <v>7672</v>
      </c>
      <c r="G6023" t="s">
        <v>8330</v>
      </c>
      <c r="H6023" t="s">
        <v>8331</v>
      </c>
      <c r="I6023" t="s">
        <v>438</v>
      </c>
      <c r="J6023" t="s">
        <v>131</v>
      </c>
    </row>
    <row r="6024" spans="1:10" x14ac:dyDescent="0.25">
      <c r="A6024" t="s">
        <v>5627</v>
      </c>
      <c r="B6024">
        <v>79.992000000000004</v>
      </c>
      <c r="C6024" t="s">
        <v>5629</v>
      </c>
      <c r="D6024" t="s">
        <v>5631</v>
      </c>
      <c r="E6024" t="s">
        <v>5600</v>
      </c>
      <c r="F6024" t="s">
        <v>7672</v>
      </c>
      <c r="G6024" t="s">
        <v>8330</v>
      </c>
      <c r="H6024" t="s">
        <v>8331</v>
      </c>
      <c r="I6024" t="s">
        <v>438</v>
      </c>
      <c r="J6024" t="s">
        <v>269</v>
      </c>
    </row>
    <row r="6025" spans="1:10" x14ac:dyDescent="0.25">
      <c r="A6025" t="s">
        <v>5632</v>
      </c>
      <c r="B6025">
        <v>79.992000000000004</v>
      </c>
      <c r="C6025" t="s">
        <v>5634</v>
      </c>
      <c r="D6025" t="s">
        <v>5636</v>
      </c>
      <c r="E6025" t="s">
        <v>5600</v>
      </c>
      <c r="F6025" t="s">
        <v>7672</v>
      </c>
      <c r="G6025" t="s">
        <v>8330</v>
      </c>
      <c r="H6025" t="s">
        <v>8331</v>
      </c>
      <c r="I6025" t="s">
        <v>76</v>
      </c>
      <c r="J6025" t="s">
        <v>269</v>
      </c>
    </row>
    <row r="6026" spans="1:10" x14ac:dyDescent="0.25">
      <c r="A6026" t="s">
        <v>5637</v>
      </c>
      <c r="B6026">
        <v>79.992000000000004</v>
      </c>
      <c r="C6026" t="s">
        <v>5639</v>
      </c>
      <c r="D6026" t="s">
        <v>5641</v>
      </c>
      <c r="E6026" t="s">
        <v>5600</v>
      </c>
      <c r="F6026" t="s">
        <v>7672</v>
      </c>
      <c r="G6026" t="s">
        <v>8330</v>
      </c>
      <c r="H6026" t="s">
        <v>8331</v>
      </c>
      <c r="I6026" t="s">
        <v>438</v>
      </c>
      <c r="J6026" t="s">
        <v>576</v>
      </c>
    </row>
    <row r="6027" spans="1:10" x14ac:dyDescent="0.25">
      <c r="A6027" t="s">
        <v>5642</v>
      </c>
      <c r="B6027">
        <v>79.992000000000004</v>
      </c>
      <c r="C6027" t="s">
        <v>5644</v>
      </c>
      <c r="D6027" t="s">
        <v>5646</v>
      </c>
      <c r="E6027" t="s">
        <v>5600</v>
      </c>
      <c r="F6027" t="s">
        <v>7672</v>
      </c>
      <c r="G6027" t="s">
        <v>8330</v>
      </c>
      <c r="H6027" t="s">
        <v>8331</v>
      </c>
      <c r="I6027" t="s">
        <v>76</v>
      </c>
      <c r="J6027" t="s">
        <v>576</v>
      </c>
    </row>
    <row r="6028" spans="1:10" x14ac:dyDescent="0.25">
      <c r="A6028" t="s">
        <v>5647</v>
      </c>
      <c r="B6028">
        <v>79.992000000000004</v>
      </c>
      <c r="C6028" t="s">
        <v>5649</v>
      </c>
      <c r="D6028" t="s">
        <v>5651</v>
      </c>
      <c r="E6028" t="s">
        <v>5600</v>
      </c>
      <c r="F6028" t="s">
        <v>7672</v>
      </c>
      <c r="G6028" t="s">
        <v>8330</v>
      </c>
      <c r="H6028" t="s">
        <v>8331</v>
      </c>
      <c r="I6028" t="s">
        <v>438</v>
      </c>
      <c r="J6028" t="s">
        <v>255</v>
      </c>
    </row>
    <row r="6029" spans="1:10" x14ac:dyDescent="0.25">
      <c r="A6029" t="s">
        <v>5652</v>
      </c>
      <c r="B6029">
        <v>79.992000000000004</v>
      </c>
      <c r="C6029" t="s">
        <v>5654</v>
      </c>
      <c r="D6029" t="s">
        <v>5656</v>
      </c>
      <c r="E6029" t="s">
        <v>5600</v>
      </c>
      <c r="F6029" t="s">
        <v>7672</v>
      </c>
      <c r="G6029" t="s">
        <v>8330</v>
      </c>
      <c r="H6029" t="s">
        <v>8331</v>
      </c>
      <c r="I6029" t="s">
        <v>76</v>
      </c>
      <c r="J6029" t="s">
        <v>255</v>
      </c>
    </row>
    <row r="6030" spans="1:10" x14ac:dyDescent="0.25">
      <c r="A6030" t="s">
        <v>5657</v>
      </c>
      <c r="B6030">
        <v>79.992000000000004</v>
      </c>
      <c r="C6030" t="s">
        <v>5659</v>
      </c>
      <c r="D6030" t="s">
        <v>5661</v>
      </c>
      <c r="E6030" t="s">
        <v>5600</v>
      </c>
      <c r="F6030" t="s">
        <v>7672</v>
      </c>
      <c r="G6030" t="s">
        <v>8330</v>
      </c>
      <c r="H6030" t="s">
        <v>8331</v>
      </c>
      <c r="I6030" t="s">
        <v>438</v>
      </c>
      <c r="J6030" t="s">
        <v>282</v>
      </c>
    </row>
    <row r="6031" spans="1:10" x14ac:dyDescent="0.25">
      <c r="A6031" t="s">
        <v>5662</v>
      </c>
      <c r="B6031">
        <v>79.992000000000004</v>
      </c>
      <c r="C6031" t="s">
        <v>5664</v>
      </c>
      <c r="D6031" t="s">
        <v>2850</v>
      </c>
      <c r="E6031" t="s">
        <v>5600</v>
      </c>
      <c r="F6031" t="s">
        <v>7672</v>
      </c>
      <c r="G6031" t="s">
        <v>8330</v>
      </c>
      <c r="H6031" t="s">
        <v>8331</v>
      </c>
      <c r="I6031" t="s">
        <v>76</v>
      </c>
      <c r="J6031" t="s">
        <v>282</v>
      </c>
    </row>
    <row r="6032" spans="1:10" x14ac:dyDescent="0.25">
      <c r="A6032" t="s">
        <v>21095</v>
      </c>
      <c r="B6032">
        <v>7</v>
      </c>
      <c r="C6032" t="s">
        <v>21096</v>
      </c>
      <c r="D6032" t="s">
        <v>698</v>
      </c>
      <c r="E6032" t="s">
        <v>21097</v>
      </c>
      <c r="F6032" t="s">
        <v>7672</v>
      </c>
      <c r="G6032" t="s">
        <v>21098</v>
      </c>
      <c r="H6032" t="s">
        <v>10298</v>
      </c>
      <c r="I6032" t="s">
        <v>21099</v>
      </c>
      <c r="J6032" t="s">
        <v>12182</v>
      </c>
    </row>
    <row r="6033" spans="1:10" x14ac:dyDescent="0.25">
      <c r="A6033" t="s">
        <v>21100</v>
      </c>
      <c r="B6033">
        <v>7</v>
      </c>
      <c r="C6033" t="s">
        <v>21101</v>
      </c>
      <c r="D6033" t="s">
        <v>2253</v>
      </c>
      <c r="E6033" t="s">
        <v>21097</v>
      </c>
      <c r="F6033" t="s">
        <v>7672</v>
      </c>
      <c r="G6033" t="s">
        <v>21098</v>
      </c>
      <c r="H6033" t="s">
        <v>10298</v>
      </c>
      <c r="I6033" t="s">
        <v>21099</v>
      </c>
      <c r="J6033" t="s">
        <v>10150</v>
      </c>
    </row>
    <row r="6034" spans="1:10" x14ac:dyDescent="0.25">
      <c r="A6034" t="s">
        <v>5666</v>
      </c>
      <c r="B6034">
        <v>12.48</v>
      </c>
      <c r="C6034" t="s">
        <v>5668</v>
      </c>
      <c r="D6034" t="s">
        <v>3815</v>
      </c>
      <c r="E6034" t="s">
        <v>5669</v>
      </c>
      <c r="F6034" t="s">
        <v>7672</v>
      </c>
      <c r="G6034" t="s">
        <v>21102</v>
      </c>
      <c r="H6034" t="s">
        <v>8078</v>
      </c>
      <c r="I6034" t="s">
        <v>1622</v>
      </c>
      <c r="J6034" t="s">
        <v>7981</v>
      </c>
    </row>
    <row r="6035" spans="1:10" x14ac:dyDescent="0.25">
      <c r="A6035" t="s">
        <v>21103</v>
      </c>
      <c r="B6035">
        <v>6.8000000000000007</v>
      </c>
      <c r="C6035" t="s">
        <v>21104</v>
      </c>
      <c r="D6035" t="s">
        <v>1621</v>
      </c>
      <c r="E6035" t="s">
        <v>21105</v>
      </c>
      <c r="F6035" t="s">
        <v>7672</v>
      </c>
      <c r="G6035" t="s">
        <v>21106</v>
      </c>
      <c r="H6035" t="s">
        <v>16993</v>
      </c>
      <c r="I6035" t="s">
        <v>21107</v>
      </c>
      <c r="J6035" t="s">
        <v>9423</v>
      </c>
    </row>
    <row r="6036" spans="1:10" x14ac:dyDescent="0.25">
      <c r="A6036" t="s">
        <v>21108</v>
      </c>
      <c r="B6036">
        <v>6.8000000000000007</v>
      </c>
      <c r="C6036" t="s">
        <v>21109</v>
      </c>
      <c r="D6036" t="s">
        <v>2099</v>
      </c>
      <c r="E6036" t="s">
        <v>21105</v>
      </c>
      <c r="F6036" t="s">
        <v>7672</v>
      </c>
      <c r="G6036" t="s">
        <v>21106</v>
      </c>
      <c r="H6036" t="s">
        <v>16993</v>
      </c>
      <c r="I6036" t="s">
        <v>21110</v>
      </c>
      <c r="J6036" t="s">
        <v>9423</v>
      </c>
    </row>
    <row r="6037" spans="1:10" x14ac:dyDescent="0.25">
      <c r="A6037" t="s">
        <v>21111</v>
      </c>
      <c r="B6037">
        <v>6.8000000000000007</v>
      </c>
      <c r="C6037" t="s">
        <v>21112</v>
      </c>
      <c r="D6037" t="s">
        <v>2253</v>
      </c>
      <c r="E6037" t="s">
        <v>21105</v>
      </c>
      <c r="F6037" t="s">
        <v>7672</v>
      </c>
      <c r="G6037" t="s">
        <v>21106</v>
      </c>
      <c r="H6037" t="s">
        <v>16993</v>
      </c>
      <c r="I6037" t="s">
        <v>21107</v>
      </c>
      <c r="J6037" t="s">
        <v>9426</v>
      </c>
    </row>
    <row r="6038" spans="1:10" x14ac:dyDescent="0.25">
      <c r="A6038" t="s">
        <v>21113</v>
      </c>
      <c r="B6038">
        <v>6.8000000000000007</v>
      </c>
      <c r="C6038" t="s">
        <v>21114</v>
      </c>
      <c r="D6038" t="s">
        <v>2910</v>
      </c>
      <c r="E6038" t="s">
        <v>21105</v>
      </c>
      <c r="F6038" t="s">
        <v>7672</v>
      </c>
      <c r="G6038" t="s">
        <v>21106</v>
      </c>
      <c r="H6038" t="s">
        <v>16993</v>
      </c>
      <c r="I6038" t="s">
        <v>21110</v>
      </c>
      <c r="J6038" t="s">
        <v>9426</v>
      </c>
    </row>
    <row r="6039" spans="1:10" x14ac:dyDescent="0.25">
      <c r="A6039" t="s">
        <v>21115</v>
      </c>
      <c r="B6039">
        <v>6.8000000000000007</v>
      </c>
      <c r="C6039" t="s">
        <v>21116</v>
      </c>
      <c r="D6039" t="s">
        <v>311</v>
      </c>
      <c r="E6039" t="s">
        <v>21105</v>
      </c>
      <c r="F6039" t="s">
        <v>7672</v>
      </c>
      <c r="G6039" t="s">
        <v>21106</v>
      </c>
      <c r="H6039" t="s">
        <v>16993</v>
      </c>
      <c r="I6039" t="s">
        <v>21107</v>
      </c>
      <c r="J6039" t="s">
        <v>10862</v>
      </c>
    </row>
    <row r="6040" spans="1:10" x14ac:dyDescent="0.25">
      <c r="A6040" t="s">
        <v>21117</v>
      </c>
      <c r="B6040">
        <v>6.8000000000000007</v>
      </c>
      <c r="C6040" t="s">
        <v>21118</v>
      </c>
      <c r="D6040" t="s">
        <v>2099</v>
      </c>
      <c r="E6040" t="s">
        <v>21105</v>
      </c>
      <c r="F6040" t="s">
        <v>7672</v>
      </c>
      <c r="G6040" t="s">
        <v>21106</v>
      </c>
      <c r="H6040" t="s">
        <v>16993</v>
      </c>
      <c r="I6040" t="s">
        <v>21110</v>
      </c>
      <c r="J6040" t="s">
        <v>10862</v>
      </c>
    </row>
    <row r="6041" spans="1:10" x14ac:dyDescent="0.25">
      <c r="A6041" t="s">
        <v>21119</v>
      </c>
      <c r="B6041">
        <v>6.8000000000000007</v>
      </c>
      <c r="C6041" t="s">
        <v>21120</v>
      </c>
      <c r="D6041" t="s">
        <v>1134</v>
      </c>
      <c r="E6041" t="s">
        <v>21105</v>
      </c>
      <c r="F6041" t="s">
        <v>7672</v>
      </c>
      <c r="G6041" t="s">
        <v>21106</v>
      </c>
      <c r="H6041" t="s">
        <v>16993</v>
      </c>
      <c r="I6041" t="s">
        <v>21107</v>
      </c>
      <c r="J6041" t="s">
        <v>13084</v>
      </c>
    </row>
    <row r="6042" spans="1:10" x14ac:dyDescent="0.25">
      <c r="A6042" t="s">
        <v>21121</v>
      </c>
      <c r="B6042">
        <v>6.8000000000000007</v>
      </c>
      <c r="C6042" t="s">
        <v>21122</v>
      </c>
      <c r="D6042" t="s">
        <v>633</v>
      </c>
      <c r="E6042" t="s">
        <v>21105</v>
      </c>
      <c r="F6042" t="s">
        <v>7672</v>
      </c>
      <c r="G6042" t="s">
        <v>21106</v>
      </c>
      <c r="H6042" t="s">
        <v>16993</v>
      </c>
      <c r="I6042" t="s">
        <v>21110</v>
      </c>
      <c r="J6042" t="s">
        <v>13084</v>
      </c>
    </row>
    <row r="6043" spans="1:10" x14ac:dyDescent="0.25">
      <c r="A6043" t="s">
        <v>21123</v>
      </c>
      <c r="B6043">
        <v>6.8000000000000007</v>
      </c>
      <c r="C6043" t="s">
        <v>21124</v>
      </c>
      <c r="D6043" t="s">
        <v>742</v>
      </c>
      <c r="E6043" t="s">
        <v>21105</v>
      </c>
      <c r="F6043" t="s">
        <v>7672</v>
      </c>
      <c r="G6043" t="s">
        <v>21106</v>
      </c>
      <c r="H6043" t="s">
        <v>16993</v>
      </c>
      <c r="I6043" t="s">
        <v>21107</v>
      </c>
      <c r="J6043" t="s">
        <v>11767</v>
      </c>
    </row>
    <row r="6044" spans="1:10" x14ac:dyDescent="0.25">
      <c r="A6044" t="s">
        <v>21125</v>
      </c>
      <c r="B6044">
        <v>6.8000000000000007</v>
      </c>
      <c r="C6044" t="s">
        <v>21126</v>
      </c>
      <c r="D6044" t="s">
        <v>1852</v>
      </c>
      <c r="E6044" t="s">
        <v>21105</v>
      </c>
      <c r="F6044" t="s">
        <v>7672</v>
      </c>
      <c r="G6044" t="s">
        <v>21106</v>
      </c>
      <c r="H6044" t="s">
        <v>16993</v>
      </c>
      <c r="I6044" t="s">
        <v>21110</v>
      </c>
      <c r="J6044" t="s">
        <v>11767</v>
      </c>
    </row>
    <row r="6045" spans="1:10" x14ac:dyDescent="0.25">
      <c r="A6045" t="s">
        <v>21127</v>
      </c>
      <c r="B6045">
        <v>6.8000000000000007</v>
      </c>
      <c r="C6045" t="s">
        <v>21128</v>
      </c>
      <c r="D6045" t="s">
        <v>698</v>
      </c>
      <c r="E6045" t="s">
        <v>21105</v>
      </c>
      <c r="F6045" t="s">
        <v>7672</v>
      </c>
      <c r="G6045" t="s">
        <v>21106</v>
      </c>
      <c r="H6045" t="s">
        <v>16993</v>
      </c>
      <c r="I6045" t="s">
        <v>21107</v>
      </c>
      <c r="J6045" t="s">
        <v>11582</v>
      </c>
    </row>
    <row r="6046" spans="1:10" x14ac:dyDescent="0.25">
      <c r="A6046" t="s">
        <v>21129</v>
      </c>
      <c r="B6046">
        <v>6.8000000000000007</v>
      </c>
      <c r="C6046" t="s">
        <v>21130</v>
      </c>
      <c r="D6046" t="s">
        <v>1579</v>
      </c>
      <c r="E6046" t="s">
        <v>21105</v>
      </c>
      <c r="F6046" t="s">
        <v>7672</v>
      </c>
      <c r="G6046" t="s">
        <v>21106</v>
      </c>
      <c r="H6046" t="s">
        <v>16993</v>
      </c>
      <c r="I6046" t="s">
        <v>21110</v>
      </c>
      <c r="J6046" t="s">
        <v>11582</v>
      </c>
    </row>
    <row r="6047" spans="1:10" x14ac:dyDescent="0.25">
      <c r="A6047" t="s">
        <v>21131</v>
      </c>
      <c r="B6047">
        <v>6.8000000000000007</v>
      </c>
      <c r="C6047" t="s">
        <v>21132</v>
      </c>
      <c r="D6047" t="s">
        <v>301</v>
      </c>
      <c r="E6047" t="s">
        <v>21105</v>
      </c>
      <c r="F6047" t="s">
        <v>7672</v>
      </c>
      <c r="G6047" t="s">
        <v>21106</v>
      </c>
      <c r="H6047" t="s">
        <v>16993</v>
      </c>
      <c r="I6047" t="s">
        <v>21107</v>
      </c>
      <c r="J6047" t="s">
        <v>11585</v>
      </c>
    </row>
    <row r="6048" spans="1:10" x14ac:dyDescent="0.25">
      <c r="A6048" t="s">
        <v>21133</v>
      </c>
      <c r="B6048">
        <v>6.8000000000000007</v>
      </c>
      <c r="C6048" t="s">
        <v>21134</v>
      </c>
      <c r="D6048" t="s">
        <v>2879</v>
      </c>
      <c r="E6048" t="s">
        <v>21105</v>
      </c>
      <c r="F6048" t="s">
        <v>7672</v>
      </c>
      <c r="G6048" t="s">
        <v>21106</v>
      </c>
      <c r="H6048" t="s">
        <v>16993</v>
      </c>
      <c r="I6048" t="s">
        <v>21110</v>
      </c>
      <c r="J6048" t="s">
        <v>11585</v>
      </c>
    </row>
    <row r="6049" spans="1:10" x14ac:dyDescent="0.25">
      <c r="A6049" t="s">
        <v>21135</v>
      </c>
      <c r="B6049">
        <v>7.2</v>
      </c>
      <c r="C6049" t="s">
        <v>21136</v>
      </c>
      <c r="D6049" t="s">
        <v>849</v>
      </c>
      <c r="E6049" t="s">
        <v>21137</v>
      </c>
      <c r="F6049" t="s">
        <v>7672</v>
      </c>
      <c r="G6049" t="s">
        <v>21138</v>
      </c>
      <c r="H6049" t="s">
        <v>7674</v>
      </c>
      <c r="I6049" t="s">
        <v>21139</v>
      </c>
      <c r="J6049" t="s">
        <v>7675</v>
      </c>
    </row>
    <row r="6050" spans="1:10" x14ac:dyDescent="0.25">
      <c r="A6050" t="s">
        <v>21140</v>
      </c>
      <c r="B6050">
        <v>7.2</v>
      </c>
      <c r="C6050" t="s">
        <v>21141</v>
      </c>
      <c r="D6050" t="s">
        <v>4322</v>
      </c>
      <c r="E6050" t="s">
        <v>21137</v>
      </c>
      <c r="F6050" t="s">
        <v>7672</v>
      </c>
      <c r="G6050" t="s">
        <v>21138</v>
      </c>
      <c r="H6050" t="s">
        <v>7674</v>
      </c>
      <c r="I6050" t="s">
        <v>21142</v>
      </c>
      <c r="J6050" t="s">
        <v>7675</v>
      </c>
    </row>
    <row r="6051" spans="1:10" x14ac:dyDescent="0.25">
      <c r="A6051" t="s">
        <v>21143</v>
      </c>
      <c r="B6051">
        <v>7.2</v>
      </c>
      <c r="C6051" t="s">
        <v>21144</v>
      </c>
      <c r="D6051" t="s">
        <v>843</v>
      </c>
      <c r="E6051" t="s">
        <v>21137</v>
      </c>
      <c r="F6051" t="s">
        <v>7672</v>
      </c>
      <c r="G6051" t="s">
        <v>21138</v>
      </c>
      <c r="H6051" t="s">
        <v>7674</v>
      </c>
      <c r="I6051" t="s">
        <v>8966</v>
      </c>
      <c r="J6051" t="s">
        <v>7675</v>
      </c>
    </row>
    <row r="6052" spans="1:10" x14ac:dyDescent="0.25">
      <c r="A6052" t="s">
        <v>21145</v>
      </c>
      <c r="B6052">
        <v>7.2</v>
      </c>
      <c r="C6052" t="s">
        <v>21146</v>
      </c>
      <c r="D6052" t="s">
        <v>3572</v>
      </c>
      <c r="E6052" t="s">
        <v>21137</v>
      </c>
      <c r="F6052" t="s">
        <v>7672</v>
      </c>
      <c r="G6052" t="s">
        <v>21138</v>
      </c>
      <c r="H6052" t="s">
        <v>7674</v>
      </c>
      <c r="I6052" t="s">
        <v>21147</v>
      </c>
      <c r="J6052" t="s">
        <v>7675</v>
      </c>
    </row>
    <row r="6053" spans="1:10" x14ac:dyDescent="0.25">
      <c r="A6053" t="s">
        <v>21148</v>
      </c>
      <c r="B6053">
        <v>7.2</v>
      </c>
      <c r="C6053" t="s">
        <v>21149</v>
      </c>
      <c r="D6053" t="s">
        <v>1567</v>
      </c>
      <c r="E6053" t="s">
        <v>21137</v>
      </c>
      <c r="F6053" t="s">
        <v>7672</v>
      </c>
      <c r="G6053" t="s">
        <v>21138</v>
      </c>
      <c r="H6053" t="s">
        <v>7674</v>
      </c>
      <c r="I6053" t="s">
        <v>8966</v>
      </c>
      <c r="J6053" t="s">
        <v>7686</v>
      </c>
    </row>
    <row r="6054" spans="1:10" x14ac:dyDescent="0.25">
      <c r="A6054" t="s">
        <v>21150</v>
      </c>
      <c r="B6054">
        <v>7.2</v>
      </c>
      <c r="C6054" t="s">
        <v>21151</v>
      </c>
      <c r="D6054" t="s">
        <v>644</v>
      </c>
      <c r="E6054" t="s">
        <v>21137</v>
      </c>
      <c r="F6054" t="s">
        <v>7672</v>
      </c>
      <c r="G6054" t="s">
        <v>21138</v>
      </c>
      <c r="H6054" t="s">
        <v>7674</v>
      </c>
      <c r="I6054" t="s">
        <v>21142</v>
      </c>
      <c r="J6054" t="s">
        <v>7686</v>
      </c>
    </row>
    <row r="6055" spans="1:10" x14ac:dyDescent="0.25">
      <c r="A6055" t="s">
        <v>21152</v>
      </c>
      <c r="B6055">
        <v>7.2</v>
      </c>
      <c r="C6055" t="s">
        <v>21153</v>
      </c>
      <c r="D6055" t="s">
        <v>2371</v>
      </c>
      <c r="E6055" t="s">
        <v>21137</v>
      </c>
      <c r="F6055" t="s">
        <v>7672</v>
      </c>
      <c r="G6055" t="s">
        <v>21138</v>
      </c>
      <c r="H6055" t="s">
        <v>7674</v>
      </c>
      <c r="I6055" t="s">
        <v>21147</v>
      </c>
      <c r="J6055" t="s">
        <v>7686</v>
      </c>
    </row>
    <row r="6056" spans="1:10" x14ac:dyDescent="0.25">
      <c r="A6056" t="s">
        <v>21154</v>
      </c>
      <c r="B6056">
        <v>7.2</v>
      </c>
      <c r="C6056" t="s">
        <v>21155</v>
      </c>
      <c r="D6056" t="s">
        <v>1822</v>
      </c>
      <c r="E6056" t="s">
        <v>21137</v>
      </c>
      <c r="F6056" t="s">
        <v>7672</v>
      </c>
      <c r="G6056" t="s">
        <v>21138</v>
      </c>
      <c r="H6056" t="s">
        <v>7674</v>
      </c>
      <c r="I6056" t="s">
        <v>8966</v>
      </c>
      <c r="J6056" t="s">
        <v>7703</v>
      </c>
    </row>
    <row r="6057" spans="1:10" x14ac:dyDescent="0.25">
      <c r="A6057" t="s">
        <v>21156</v>
      </c>
      <c r="B6057">
        <v>7.2</v>
      </c>
      <c r="C6057" t="s">
        <v>21157</v>
      </c>
      <c r="D6057" t="s">
        <v>964</v>
      </c>
      <c r="E6057" t="s">
        <v>21137</v>
      </c>
      <c r="F6057" t="s">
        <v>7672</v>
      </c>
      <c r="G6057" t="s">
        <v>21138</v>
      </c>
      <c r="H6057" t="s">
        <v>7674</v>
      </c>
      <c r="I6057" t="s">
        <v>21142</v>
      </c>
      <c r="J6057" t="s">
        <v>7703</v>
      </c>
    </row>
    <row r="6058" spans="1:10" x14ac:dyDescent="0.25">
      <c r="A6058" t="s">
        <v>21158</v>
      </c>
      <c r="B6058">
        <v>7.2</v>
      </c>
      <c r="C6058" t="s">
        <v>21159</v>
      </c>
      <c r="D6058" t="s">
        <v>593</v>
      </c>
      <c r="E6058" t="s">
        <v>21137</v>
      </c>
      <c r="F6058" t="s">
        <v>7672</v>
      </c>
      <c r="G6058" t="s">
        <v>21138</v>
      </c>
      <c r="H6058" t="s">
        <v>7674</v>
      </c>
      <c r="I6058" t="s">
        <v>8966</v>
      </c>
      <c r="J6058" t="s">
        <v>7713</v>
      </c>
    </row>
    <row r="6059" spans="1:10" x14ac:dyDescent="0.25">
      <c r="A6059" t="s">
        <v>21160</v>
      </c>
      <c r="B6059">
        <v>7.2</v>
      </c>
      <c r="C6059" t="s">
        <v>21161</v>
      </c>
      <c r="D6059" t="s">
        <v>306</v>
      </c>
      <c r="E6059" t="s">
        <v>21137</v>
      </c>
      <c r="F6059" t="s">
        <v>7672</v>
      </c>
      <c r="G6059" t="s">
        <v>21138</v>
      </c>
      <c r="H6059" t="s">
        <v>7674</v>
      </c>
      <c r="I6059" t="s">
        <v>8966</v>
      </c>
      <c r="J6059" t="s">
        <v>7719</v>
      </c>
    </row>
    <row r="6060" spans="1:10" x14ac:dyDescent="0.25">
      <c r="A6060" t="s">
        <v>21162</v>
      </c>
      <c r="B6060">
        <v>2.7919999999999998</v>
      </c>
      <c r="C6060" t="s">
        <v>21163</v>
      </c>
      <c r="D6060" t="s">
        <v>3850</v>
      </c>
      <c r="E6060" t="s">
        <v>21164</v>
      </c>
      <c r="F6060" t="s">
        <v>7672</v>
      </c>
      <c r="G6060" t="s">
        <v>21165</v>
      </c>
      <c r="H6060" t="s">
        <v>7974</v>
      </c>
      <c r="I6060" t="s">
        <v>145</v>
      </c>
      <c r="J6060" t="s">
        <v>11376</v>
      </c>
    </row>
    <row r="6061" spans="1:10" x14ac:dyDescent="0.25">
      <c r="A6061" t="s">
        <v>21166</v>
      </c>
      <c r="B6061">
        <v>2.7919999999999998</v>
      </c>
      <c r="C6061" t="s">
        <v>21167</v>
      </c>
      <c r="D6061" t="s">
        <v>654</v>
      </c>
      <c r="E6061" t="s">
        <v>21164</v>
      </c>
      <c r="F6061" t="s">
        <v>7672</v>
      </c>
      <c r="G6061" t="s">
        <v>21165</v>
      </c>
      <c r="H6061" t="s">
        <v>7974</v>
      </c>
      <c r="I6061" t="s">
        <v>278</v>
      </c>
      <c r="J6061" t="s">
        <v>11376</v>
      </c>
    </row>
    <row r="6062" spans="1:10" x14ac:dyDescent="0.25">
      <c r="A6062" t="s">
        <v>21168</v>
      </c>
      <c r="B6062">
        <v>2.7919999999999998</v>
      </c>
      <c r="C6062" t="s">
        <v>21169</v>
      </c>
      <c r="D6062" t="s">
        <v>926</v>
      </c>
      <c r="E6062" t="s">
        <v>21164</v>
      </c>
      <c r="F6062" t="s">
        <v>7672</v>
      </c>
      <c r="G6062" t="s">
        <v>21165</v>
      </c>
      <c r="H6062" t="s">
        <v>7974</v>
      </c>
      <c r="I6062" t="s">
        <v>278</v>
      </c>
      <c r="J6062" t="s">
        <v>9114</v>
      </c>
    </row>
    <row r="6063" spans="1:10" x14ac:dyDescent="0.25">
      <c r="A6063" t="s">
        <v>21170</v>
      </c>
      <c r="B6063">
        <v>2.7919999999999998</v>
      </c>
      <c r="C6063" t="s">
        <v>21171</v>
      </c>
      <c r="D6063" t="s">
        <v>2056</v>
      </c>
      <c r="E6063" t="s">
        <v>21164</v>
      </c>
      <c r="F6063" t="s">
        <v>7672</v>
      </c>
      <c r="G6063" t="s">
        <v>21165</v>
      </c>
      <c r="H6063" t="s">
        <v>7974</v>
      </c>
      <c r="I6063" t="s">
        <v>145</v>
      </c>
      <c r="J6063" t="s">
        <v>9114</v>
      </c>
    </row>
    <row r="6064" spans="1:10" x14ac:dyDescent="0.25">
      <c r="A6064" t="s">
        <v>21172</v>
      </c>
      <c r="B6064">
        <v>2.7919999999999998</v>
      </c>
      <c r="C6064" t="s">
        <v>21173</v>
      </c>
      <c r="D6064" t="s">
        <v>1134</v>
      </c>
      <c r="E6064" t="s">
        <v>21164</v>
      </c>
      <c r="F6064" t="s">
        <v>7672</v>
      </c>
      <c r="G6064" t="s">
        <v>21165</v>
      </c>
      <c r="H6064" t="s">
        <v>7974</v>
      </c>
      <c r="I6064" t="s">
        <v>76</v>
      </c>
      <c r="J6064" t="s">
        <v>9114</v>
      </c>
    </row>
    <row r="6065" spans="1:10" x14ac:dyDescent="0.25">
      <c r="A6065" t="s">
        <v>21174</v>
      </c>
      <c r="B6065">
        <v>2.7919999999999998</v>
      </c>
      <c r="C6065" t="s">
        <v>21175</v>
      </c>
      <c r="D6065" t="s">
        <v>10432</v>
      </c>
      <c r="E6065" t="s">
        <v>21164</v>
      </c>
      <c r="F6065" t="s">
        <v>7672</v>
      </c>
      <c r="G6065" t="s">
        <v>21165</v>
      </c>
      <c r="H6065" t="s">
        <v>7974</v>
      </c>
      <c r="I6065" t="s">
        <v>278</v>
      </c>
      <c r="J6065" t="s">
        <v>9114</v>
      </c>
    </row>
    <row r="6066" spans="1:10" x14ac:dyDescent="0.25">
      <c r="A6066" t="s">
        <v>21176</v>
      </c>
      <c r="B6066">
        <v>9</v>
      </c>
      <c r="C6066" t="s">
        <v>21177</v>
      </c>
      <c r="D6066" t="s">
        <v>3974</v>
      </c>
      <c r="E6066" t="s">
        <v>21178</v>
      </c>
      <c r="F6066" t="s">
        <v>7672</v>
      </c>
      <c r="G6066" t="s">
        <v>21179</v>
      </c>
      <c r="H6066" t="s">
        <v>13951</v>
      </c>
      <c r="I6066" t="s">
        <v>2496</v>
      </c>
      <c r="J6066" t="s">
        <v>7675</v>
      </c>
    </row>
    <row r="6067" spans="1:10" x14ac:dyDescent="0.25">
      <c r="A6067" t="s">
        <v>21180</v>
      </c>
      <c r="B6067">
        <v>9</v>
      </c>
      <c r="C6067" t="s">
        <v>21181</v>
      </c>
      <c r="D6067" t="s">
        <v>7993</v>
      </c>
      <c r="E6067" t="s">
        <v>21178</v>
      </c>
      <c r="F6067" t="s">
        <v>7672</v>
      </c>
      <c r="G6067" t="s">
        <v>21179</v>
      </c>
      <c r="H6067" t="s">
        <v>13951</v>
      </c>
      <c r="I6067" t="s">
        <v>2496</v>
      </c>
      <c r="J6067" t="s">
        <v>7686</v>
      </c>
    </row>
    <row r="6068" spans="1:10" x14ac:dyDescent="0.25">
      <c r="A6068" t="s">
        <v>21182</v>
      </c>
      <c r="B6068">
        <v>9</v>
      </c>
      <c r="C6068" t="s">
        <v>21183</v>
      </c>
      <c r="D6068" t="s">
        <v>3954</v>
      </c>
      <c r="E6068" t="s">
        <v>21178</v>
      </c>
      <c r="F6068" t="s">
        <v>7672</v>
      </c>
      <c r="G6068" t="s">
        <v>21179</v>
      </c>
      <c r="H6068" t="s">
        <v>13951</v>
      </c>
      <c r="I6068" t="s">
        <v>2496</v>
      </c>
      <c r="J6068" t="s">
        <v>7703</v>
      </c>
    </row>
    <row r="6069" spans="1:10" x14ac:dyDescent="0.25">
      <c r="A6069" t="s">
        <v>21184</v>
      </c>
      <c r="B6069">
        <v>9</v>
      </c>
      <c r="C6069" t="s">
        <v>21185</v>
      </c>
      <c r="D6069" t="s">
        <v>8762</v>
      </c>
      <c r="E6069" t="s">
        <v>21178</v>
      </c>
      <c r="F6069" t="s">
        <v>7672</v>
      </c>
      <c r="G6069" t="s">
        <v>21179</v>
      </c>
      <c r="H6069" t="s">
        <v>13951</v>
      </c>
      <c r="I6069" t="s">
        <v>2496</v>
      </c>
      <c r="J6069" t="s">
        <v>7713</v>
      </c>
    </row>
    <row r="6070" spans="1:10" x14ac:dyDescent="0.25">
      <c r="A6070" t="s">
        <v>21186</v>
      </c>
      <c r="B6070">
        <v>9</v>
      </c>
      <c r="C6070" t="s">
        <v>21187</v>
      </c>
      <c r="D6070" t="s">
        <v>593</v>
      </c>
      <c r="E6070" t="s">
        <v>21178</v>
      </c>
      <c r="F6070" t="s">
        <v>7672</v>
      </c>
      <c r="G6070" t="s">
        <v>21179</v>
      </c>
      <c r="H6070" t="s">
        <v>13951</v>
      </c>
      <c r="I6070" t="s">
        <v>2496</v>
      </c>
      <c r="J6070" t="s">
        <v>7719</v>
      </c>
    </row>
    <row r="6071" spans="1:10" x14ac:dyDescent="0.25">
      <c r="A6071" t="s">
        <v>21188</v>
      </c>
      <c r="B6071">
        <v>3.6320000000000001</v>
      </c>
      <c r="C6071" t="s">
        <v>21189</v>
      </c>
      <c r="D6071" t="s">
        <v>7850</v>
      </c>
      <c r="E6071" t="s">
        <v>21190</v>
      </c>
      <c r="F6071" t="s">
        <v>7672</v>
      </c>
      <c r="G6071" t="s">
        <v>21191</v>
      </c>
      <c r="H6071" t="s">
        <v>8515</v>
      </c>
      <c r="I6071" t="s">
        <v>21192</v>
      </c>
      <c r="J6071" t="s">
        <v>106</v>
      </c>
    </row>
    <row r="6072" spans="1:10" x14ac:dyDescent="0.25">
      <c r="A6072" t="s">
        <v>21193</v>
      </c>
      <c r="B6072">
        <v>4.8000000000000007</v>
      </c>
      <c r="C6072" t="s">
        <v>21194</v>
      </c>
      <c r="D6072" t="s">
        <v>1965</v>
      </c>
      <c r="E6072" t="s">
        <v>21195</v>
      </c>
      <c r="F6072" t="s">
        <v>7672</v>
      </c>
      <c r="G6072" t="s">
        <v>21196</v>
      </c>
      <c r="H6072" t="s">
        <v>7674</v>
      </c>
      <c r="I6072" t="s">
        <v>21197</v>
      </c>
      <c r="J6072" t="s">
        <v>7713</v>
      </c>
    </row>
    <row r="6073" spans="1:10" x14ac:dyDescent="0.25">
      <c r="A6073" t="s">
        <v>21198</v>
      </c>
      <c r="B6073">
        <v>4.8000000000000007</v>
      </c>
      <c r="C6073" t="s">
        <v>21199</v>
      </c>
      <c r="D6073" t="s">
        <v>3988</v>
      </c>
      <c r="E6073" t="s">
        <v>21195</v>
      </c>
      <c r="F6073" t="s">
        <v>7672</v>
      </c>
      <c r="G6073" t="s">
        <v>21196</v>
      </c>
      <c r="H6073" t="s">
        <v>7674</v>
      </c>
      <c r="I6073" t="s">
        <v>21200</v>
      </c>
      <c r="J6073" t="s">
        <v>7719</v>
      </c>
    </row>
    <row r="6074" spans="1:10" x14ac:dyDescent="0.25">
      <c r="A6074" t="s">
        <v>21201</v>
      </c>
      <c r="B6074">
        <v>4.8000000000000007</v>
      </c>
      <c r="C6074" t="s">
        <v>21202</v>
      </c>
      <c r="D6074" t="s">
        <v>21203</v>
      </c>
      <c r="E6074" t="s">
        <v>21195</v>
      </c>
      <c r="F6074" t="s">
        <v>7672</v>
      </c>
      <c r="G6074" t="s">
        <v>21196</v>
      </c>
      <c r="H6074" t="s">
        <v>7674</v>
      </c>
      <c r="I6074" t="s">
        <v>6036</v>
      </c>
      <c r="J6074" t="s">
        <v>7719</v>
      </c>
    </row>
    <row r="6075" spans="1:10" x14ac:dyDescent="0.25">
      <c r="A6075" t="s">
        <v>21204</v>
      </c>
      <c r="B6075">
        <v>4.8000000000000007</v>
      </c>
      <c r="C6075" t="s">
        <v>21205</v>
      </c>
      <c r="D6075" t="s">
        <v>131</v>
      </c>
      <c r="E6075" t="s">
        <v>21195</v>
      </c>
      <c r="F6075" t="s">
        <v>7672</v>
      </c>
      <c r="G6075" t="s">
        <v>21196</v>
      </c>
      <c r="H6075" t="s">
        <v>7674</v>
      </c>
      <c r="I6075" t="s">
        <v>21206</v>
      </c>
      <c r="J6075" t="s">
        <v>7719</v>
      </c>
    </row>
    <row r="6076" spans="1:10" x14ac:dyDescent="0.25">
      <c r="A6076" t="s">
        <v>21207</v>
      </c>
      <c r="B6076">
        <v>4.8000000000000007</v>
      </c>
      <c r="C6076" t="s">
        <v>21208</v>
      </c>
      <c r="D6076" t="s">
        <v>21209</v>
      </c>
      <c r="E6076" t="s">
        <v>21195</v>
      </c>
      <c r="F6076" t="s">
        <v>7672</v>
      </c>
      <c r="G6076" t="s">
        <v>21196</v>
      </c>
      <c r="H6076" t="s">
        <v>7674</v>
      </c>
      <c r="I6076" t="s">
        <v>21210</v>
      </c>
      <c r="J6076" t="s">
        <v>7719</v>
      </c>
    </row>
    <row r="6077" spans="1:10" x14ac:dyDescent="0.25">
      <c r="A6077" t="s">
        <v>21211</v>
      </c>
      <c r="B6077">
        <v>4.8000000000000007</v>
      </c>
      <c r="C6077" t="s">
        <v>21212</v>
      </c>
      <c r="D6077" t="s">
        <v>20104</v>
      </c>
      <c r="E6077" t="s">
        <v>21195</v>
      </c>
      <c r="F6077" t="s">
        <v>7672</v>
      </c>
      <c r="G6077" t="s">
        <v>21196</v>
      </c>
      <c r="H6077" t="s">
        <v>7674</v>
      </c>
      <c r="I6077" t="s">
        <v>21213</v>
      </c>
      <c r="J6077" t="s">
        <v>7719</v>
      </c>
    </row>
    <row r="6078" spans="1:10" x14ac:dyDescent="0.25">
      <c r="A6078" t="s">
        <v>21214</v>
      </c>
      <c r="B6078">
        <v>4.8000000000000007</v>
      </c>
      <c r="C6078" t="s">
        <v>21215</v>
      </c>
      <c r="D6078" t="s">
        <v>21216</v>
      </c>
      <c r="E6078" t="s">
        <v>21195</v>
      </c>
      <c r="F6078" t="s">
        <v>7672</v>
      </c>
      <c r="G6078" t="s">
        <v>21196</v>
      </c>
      <c r="H6078" t="s">
        <v>7674</v>
      </c>
      <c r="I6078" t="s">
        <v>21217</v>
      </c>
      <c r="J6078" t="s">
        <v>7719</v>
      </c>
    </row>
    <row r="6079" spans="1:10" x14ac:dyDescent="0.25">
      <c r="A6079" t="s">
        <v>5673</v>
      </c>
      <c r="B6079">
        <v>45</v>
      </c>
      <c r="C6079" t="s">
        <v>5675</v>
      </c>
      <c r="D6079" t="s">
        <v>290</v>
      </c>
      <c r="E6079" t="s">
        <v>5676</v>
      </c>
      <c r="F6079" t="s">
        <v>7672</v>
      </c>
      <c r="G6079" t="s">
        <v>21218</v>
      </c>
      <c r="H6079" t="s">
        <v>21219</v>
      </c>
      <c r="I6079" t="s">
        <v>5679</v>
      </c>
      <c r="J6079" t="s">
        <v>7981</v>
      </c>
    </row>
    <row r="6080" spans="1:10" x14ac:dyDescent="0.25">
      <c r="A6080" t="s">
        <v>5680</v>
      </c>
      <c r="B6080">
        <v>45</v>
      </c>
      <c r="C6080" t="s">
        <v>5682</v>
      </c>
      <c r="D6080" t="s">
        <v>277</v>
      </c>
      <c r="E6080" t="s">
        <v>5676</v>
      </c>
      <c r="F6080" t="s">
        <v>7672</v>
      </c>
      <c r="G6080" t="s">
        <v>21218</v>
      </c>
      <c r="H6080" t="s">
        <v>21219</v>
      </c>
      <c r="I6080" t="s">
        <v>1490</v>
      </c>
      <c r="J6080" t="s">
        <v>7981</v>
      </c>
    </row>
    <row r="6081" spans="1:10" x14ac:dyDescent="0.25">
      <c r="A6081" t="s">
        <v>5684</v>
      </c>
      <c r="B6081">
        <v>45</v>
      </c>
      <c r="C6081" t="s">
        <v>5686</v>
      </c>
      <c r="D6081" t="s">
        <v>100</v>
      </c>
      <c r="E6081" t="s">
        <v>5676</v>
      </c>
      <c r="F6081" t="s">
        <v>7672</v>
      </c>
      <c r="G6081" t="s">
        <v>21218</v>
      </c>
      <c r="H6081" t="s">
        <v>21219</v>
      </c>
      <c r="I6081" t="s">
        <v>76</v>
      </c>
      <c r="J6081" t="s">
        <v>7984</v>
      </c>
    </row>
    <row r="6082" spans="1:10" x14ac:dyDescent="0.25">
      <c r="A6082" t="s">
        <v>21220</v>
      </c>
      <c r="B6082">
        <v>8.16</v>
      </c>
      <c r="C6082" t="s">
        <v>21221</v>
      </c>
      <c r="D6082" t="s">
        <v>3184</v>
      </c>
      <c r="E6082" t="s">
        <v>21222</v>
      </c>
      <c r="F6082" t="s">
        <v>7672</v>
      </c>
      <c r="G6082" t="s">
        <v>21223</v>
      </c>
      <c r="H6082" t="s">
        <v>11037</v>
      </c>
      <c r="I6082" t="s">
        <v>935</v>
      </c>
      <c r="J6082" t="s">
        <v>8427</v>
      </c>
    </row>
    <row r="6083" spans="1:10" x14ac:dyDescent="0.25">
      <c r="A6083" t="s">
        <v>21224</v>
      </c>
      <c r="B6083">
        <v>8.16</v>
      </c>
      <c r="C6083" t="s">
        <v>21225</v>
      </c>
      <c r="D6083" t="s">
        <v>106</v>
      </c>
      <c r="E6083" t="s">
        <v>21222</v>
      </c>
      <c r="F6083" t="s">
        <v>7672</v>
      </c>
      <c r="G6083" t="s">
        <v>21223</v>
      </c>
      <c r="H6083" t="s">
        <v>11037</v>
      </c>
      <c r="I6083" t="s">
        <v>935</v>
      </c>
      <c r="J6083" t="s">
        <v>8439</v>
      </c>
    </row>
    <row r="6084" spans="1:10" x14ac:dyDescent="0.25">
      <c r="A6084" t="s">
        <v>21226</v>
      </c>
      <c r="B6084">
        <v>8.16</v>
      </c>
      <c r="C6084" t="s">
        <v>21227</v>
      </c>
      <c r="D6084" t="s">
        <v>113</v>
      </c>
      <c r="E6084" t="s">
        <v>21222</v>
      </c>
      <c r="F6084" t="s">
        <v>7672</v>
      </c>
      <c r="G6084" t="s">
        <v>21223</v>
      </c>
      <c r="H6084" t="s">
        <v>11037</v>
      </c>
      <c r="I6084" t="s">
        <v>935</v>
      </c>
      <c r="J6084" t="s">
        <v>8451</v>
      </c>
    </row>
    <row r="6085" spans="1:10" x14ac:dyDescent="0.25">
      <c r="A6085" t="s">
        <v>21228</v>
      </c>
      <c r="B6085">
        <v>13.992000000000001</v>
      </c>
      <c r="C6085" t="s">
        <v>21229</v>
      </c>
      <c r="D6085" t="s">
        <v>88</v>
      </c>
      <c r="E6085" t="s">
        <v>21230</v>
      </c>
      <c r="F6085" t="s">
        <v>7672</v>
      </c>
      <c r="G6085" t="s">
        <v>21231</v>
      </c>
      <c r="H6085" t="s">
        <v>11598</v>
      </c>
      <c r="I6085" t="s">
        <v>14410</v>
      </c>
      <c r="J6085" t="s">
        <v>9237</v>
      </c>
    </row>
    <row r="6086" spans="1:10" x14ac:dyDescent="0.25">
      <c r="A6086" t="s">
        <v>21232</v>
      </c>
      <c r="B6086">
        <v>13.992000000000001</v>
      </c>
      <c r="C6086" t="s">
        <v>21233</v>
      </c>
      <c r="D6086" t="s">
        <v>60</v>
      </c>
      <c r="E6086" t="s">
        <v>21230</v>
      </c>
      <c r="F6086" t="s">
        <v>7672</v>
      </c>
      <c r="G6086" t="s">
        <v>21231</v>
      </c>
      <c r="H6086" t="s">
        <v>11598</v>
      </c>
      <c r="I6086" t="s">
        <v>12216</v>
      </c>
      <c r="J6086" t="s">
        <v>9237</v>
      </c>
    </row>
    <row r="6087" spans="1:10" x14ac:dyDescent="0.25">
      <c r="A6087" t="s">
        <v>21234</v>
      </c>
      <c r="B6087">
        <v>13.992000000000001</v>
      </c>
      <c r="C6087" t="s">
        <v>21235</v>
      </c>
      <c r="D6087" t="s">
        <v>131</v>
      </c>
      <c r="E6087" t="s">
        <v>21230</v>
      </c>
      <c r="F6087" t="s">
        <v>7672</v>
      </c>
      <c r="G6087" t="s">
        <v>21231</v>
      </c>
      <c r="H6087" t="s">
        <v>11598</v>
      </c>
      <c r="I6087" t="s">
        <v>14413</v>
      </c>
      <c r="J6087" t="s">
        <v>9237</v>
      </c>
    </row>
    <row r="6088" spans="1:10" x14ac:dyDescent="0.25">
      <c r="A6088" t="s">
        <v>21236</v>
      </c>
      <c r="B6088">
        <v>13.992000000000001</v>
      </c>
      <c r="C6088" t="s">
        <v>21237</v>
      </c>
      <c r="D6088" t="s">
        <v>277</v>
      </c>
      <c r="E6088" t="s">
        <v>21230</v>
      </c>
      <c r="F6088" t="s">
        <v>7672</v>
      </c>
      <c r="G6088" t="s">
        <v>21231</v>
      </c>
      <c r="H6088" t="s">
        <v>11598</v>
      </c>
      <c r="I6088" t="s">
        <v>14410</v>
      </c>
      <c r="J6088" t="s">
        <v>8427</v>
      </c>
    </row>
    <row r="6089" spans="1:10" x14ac:dyDescent="0.25">
      <c r="A6089" t="s">
        <v>21238</v>
      </c>
      <c r="B6089">
        <v>13.992000000000001</v>
      </c>
      <c r="C6089" t="s">
        <v>21239</v>
      </c>
      <c r="D6089" t="s">
        <v>849</v>
      </c>
      <c r="E6089" t="s">
        <v>21230</v>
      </c>
      <c r="F6089" t="s">
        <v>7672</v>
      </c>
      <c r="G6089" t="s">
        <v>21231</v>
      </c>
      <c r="H6089" t="s">
        <v>11598</v>
      </c>
      <c r="I6089" t="s">
        <v>14413</v>
      </c>
      <c r="J6089" t="s">
        <v>8427</v>
      </c>
    </row>
    <row r="6090" spans="1:10" x14ac:dyDescent="0.25">
      <c r="A6090" t="s">
        <v>21240</v>
      </c>
      <c r="B6090">
        <v>13.992000000000001</v>
      </c>
      <c r="C6090" t="s">
        <v>21241</v>
      </c>
      <c r="D6090" t="s">
        <v>436</v>
      </c>
      <c r="E6090" t="s">
        <v>21230</v>
      </c>
      <c r="F6090" t="s">
        <v>7672</v>
      </c>
      <c r="G6090" t="s">
        <v>21231</v>
      </c>
      <c r="H6090" t="s">
        <v>11598</v>
      </c>
      <c r="I6090" t="s">
        <v>12216</v>
      </c>
      <c r="J6090" t="s">
        <v>8427</v>
      </c>
    </row>
    <row r="6091" spans="1:10" x14ac:dyDescent="0.25">
      <c r="A6091" t="s">
        <v>21242</v>
      </c>
      <c r="B6091">
        <v>13.992000000000001</v>
      </c>
      <c r="C6091" t="s">
        <v>21243</v>
      </c>
      <c r="D6091" t="s">
        <v>2697</v>
      </c>
      <c r="E6091" t="s">
        <v>21230</v>
      </c>
      <c r="F6091" t="s">
        <v>7672</v>
      </c>
      <c r="G6091" t="s">
        <v>21231</v>
      </c>
      <c r="H6091" t="s">
        <v>11598</v>
      </c>
      <c r="I6091" t="s">
        <v>14410</v>
      </c>
      <c r="J6091" t="s">
        <v>8439</v>
      </c>
    </row>
    <row r="6092" spans="1:10" x14ac:dyDescent="0.25">
      <c r="A6092" t="s">
        <v>21244</v>
      </c>
      <c r="B6092">
        <v>13.992000000000001</v>
      </c>
      <c r="C6092" t="s">
        <v>21245</v>
      </c>
      <c r="D6092" t="s">
        <v>240</v>
      </c>
      <c r="E6092" t="s">
        <v>21230</v>
      </c>
      <c r="F6092" t="s">
        <v>7672</v>
      </c>
      <c r="G6092" t="s">
        <v>21231</v>
      </c>
      <c r="H6092" t="s">
        <v>11598</v>
      </c>
      <c r="I6092" t="s">
        <v>14413</v>
      </c>
      <c r="J6092" t="s">
        <v>8439</v>
      </c>
    </row>
    <row r="6093" spans="1:10" x14ac:dyDescent="0.25">
      <c r="A6093" t="s">
        <v>21246</v>
      </c>
      <c r="B6093">
        <v>13.992000000000001</v>
      </c>
      <c r="C6093" t="s">
        <v>21247</v>
      </c>
      <c r="D6093" t="s">
        <v>330</v>
      </c>
      <c r="E6093" t="s">
        <v>21230</v>
      </c>
      <c r="F6093" t="s">
        <v>7672</v>
      </c>
      <c r="G6093" t="s">
        <v>21231</v>
      </c>
      <c r="H6093" t="s">
        <v>11598</v>
      </c>
      <c r="I6093" t="s">
        <v>12216</v>
      </c>
      <c r="J6093" t="s">
        <v>8439</v>
      </c>
    </row>
    <row r="6094" spans="1:10" x14ac:dyDescent="0.25">
      <c r="A6094" t="s">
        <v>21248</v>
      </c>
      <c r="B6094">
        <v>13.992000000000001</v>
      </c>
      <c r="C6094" t="s">
        <v>21249</v>
      </c>
      <c r="D6094" t="s">
        <v>742</v>
      </c>
      <c r="E6094" t="s">
        <v>21230</v>
      </c>
      <c r="F6094" t="s">
        <v>7672</v>
      </c>
      <c r="G6094" t="s">
        <v>21231</v>
      </c>
      <c r="H6094" t="s">
        <v>11598</v>
      </c>
      <c r="I6094" t="s">
        <v>14413</v>
      </c>
      <c r="J6094" t="s">
        <v>8451</v>
      </c>
    </row>
    <row r="6095" spans="1:10" x14ac:dyDescent="0.25">
      <c r="A6095" t="s">
        <v>21250</v>
      </c>
      <c r="B6095">
        <v>13.992000000000001</v>
      </c>
      <c r="C6095" t="s">
        <v>21251</v>
      </c>
      <c r="D6095" t="s">
        <v>131</v>
      </c>
      <c r="E6095" t="s">
        <v>21230</v>
      </c>
      <c r="F6095" t="s">
        <v>7672</v>
      </c>
      <c r="G6095" t="s">
        <v>21231</v>
      </c>
      <c r="H6095" t="s">
        <v>11598</v>
      </c>
      <c r="I6095" t="s">
        <v>14410</v>
      </c>
      <c r="J6095" t="s">
        <v>8451</v>
      </c>
    </row>
    <row r="6096" spans="1:10" x14ac:dyDescent="0.25">
      <c r="A6096" t="s">
        <v>21252</v>
      </c>
      <c r="B6096">
        <v>13.992000000000001</v>
      </c>
      <c r="C6096" t="s">
        <v>21253</v>
      </c>
      <c r="D6096" t="s">
        <v>269</v>
      </c>
      <c r="E6096" t="s">
        <v>21230</v>
      </c>
      <c r="F6096" t="s">
        <v>7672</v>
      </c>
      <c r="G6096" t="s">
        <v>21231</v>
      </c>
      <c r="H6096" t="s">
        <v>11598</v>
      </c>
      <c r="I6096" t="s">
        <v>14413</v>
      </c>
      <c r="J6096" t="s">
        <v>8462</v>
      </c>
    </row>
    <row r="6097" spans="1:10" x14ac:dyDescent="0.25">
      <c r="A6097" t="s">
        <v>21254</v>
      </c>
      <c r="B6097">
        <v>13.2</v>
      </c>
      <c r="C6097" t="s">
        <v>21255</v>
      </c>
      <c r="D6097" t="s">
        <v>598</v>
      </c>
      <c r="E6097" t="s">
        <v>21256</v>
      </c>
      <c r="F6097" t="s">
        <v>7672</v>
      </c>
      <c r="G6097" t="s">
        <v>21257</v>
      </c>
      <c r="H6097" t="s">
        <v>17992</v>
      </c>
      <c r="I6097" t="s">
        <v>8158</v>
      </c>
      <c r="J6097" t="s">
        <v>7942</v>
      </c>
    </row>
    <row r="6098" spans="1:10" x14ac:dyDescent="0.25">
      <c r="A6098" t="s">
        <v>21258</v>
      </c>
      <c r="B6098">
        <v>13.2</v>
      </c>
      <c r="C6098" t="s">
        <v>21259</v>
      </c>
      <c r="D6098" t="s">
        <v>290</v>
      </c>
      <c r="E6098" t="s">
        <v>21256</v>
      </c>
      <c r="F6098" t="s">
        <v>7672</v>
      </c>
      <c r="G6098" t="s">
        <v>21257</v>
      </c>
      <c r="H6098" t="s">
        <v>17992</v>
      </c>
      <c r="I6098" t="s">
        <v>21260</v>
      </c>
      <c r="J6098" t="s">
        <v>7942</v>
      </c>
    </row>
    <row r="6099" spans="1:10" x14ac:dyDescent="0.25">
      <c r="A6099" t="s">
        <v>21261</v>
      </c>
      <c r="B6099">
        <v>13.2</v>
      </c>
      <c r="C6099" t="s">
        <v>21262</v>
      </c>
      <c r="D6099" t="s">
        <v>4794</v>
      </c>
      <c r="E6099" t="s">
        <v>21256</v>
      </c>
      <c r="F6099" t="s">
        <v>7672</v>
      </c>
      <c r="G6099" t="s">
        <v>21257</v>
      </c>
      <c r="H6099" t="s">
        <v>17992</v>
      </c>
      <c r="I6099" t="s">
        <v>8158</v>
      </c>
      <c r="J6099" t="s">
        <v>7981</v>
      </c>
    </row>
    <row r="6100" spans="1:10" x14ac:dyDescent="0.25">
      <c r="A6100" t="s">
        <v>21263</v>
      </c>
      <c r="B6100">
        <v>13.2</v>
      </c>
      <c r="C6100" t="s">
        <v>21264</v>
      </c>
      <c r="D6100" t="s">
        <v>776</v>
      </c>
      <c r="E6100" t="s">
        <v>21256</v>
      </c>
      <c r="F6100" t="s">
        <v>7672</v>
      </c>
      <c r="G6100" t="s">
        <v>21257</v>
      </c>
      <c r="H6100" t="s">
        <v>17992</v>
      </c>
      <c r="I6100" t="s">
        <v>21260</v>
      </c>
      <c r="J6100" t="s">
        <v>7981</v>
      </c>
    </row>
    <row r="6101" spans="1:10" x14ac:dyDescent="0.25">
      <c r="A6101" t="s">
        <v>21265</v>
      </c>
      <c r="B6101">
        <v>13.2</v>
      </c>
      <c r="C6101" t="s">
        <v>21266</v>
      </c>
      <c r="D6101" t="s">
        <v>786</v>
      </c>
      <c r="E6101" t="s">
        <v>21256</v>
      </c>
      <c r="F6101" t="s">
        <v>7672</v>
      </c>
      <c r="G6101" t="s">
        <v>21257</v>
      </c>
      <c r="H6101" t="s">
        <v>17992</v>
      </c>
      <c r="I6101" t="s">
        <v>21260</v>
      </c>
      <c r="J6101" t="s">
        <v>7984</v>
      </c>
    </row>
    <row r="6102" spans="1:10" x14ac:dyDescent="0.25">
      <c r="A6102" t="s">
        <v>21267</v>
      </c>
      <c r="B6102">
        <v>13.2</v>
      </c>
      <c r="C6102" t="s">
        <v>21268</v>
      </c>
      <c r="D6102" t="s">
        <v>1995</v>
      </c>
      <c r="E6102" t="s">
        <v>21256</v>
      </c>
      <c r="F6102" t="s">
        <v>7672</v>
      </c>
      <c r="G6102" t="s">
        <v>21257</v>
      </c>
      <c r="H6102" t="s">
        <v>17992</v>
      </c>
      <c r="I6102" t="s">
        <v>8158</v>
      </c>
      <c r="J6102" t="s">
        <v>7984</v>
      </c>
    </row>
    <row r="6103" spans="1:10" x14ac:dyDescent="0.25">
      <c r="A6103" t="s">
        <v>21269</v>
      </c>
      <c r="B6103">
        <v>13.2</v>
      </c>
      <c r="C6103" t="s">
        <v>21270</v>
      </c>
      <c r="D6103" t="s">
        <v>849</v>
      </c>
      <c r="E6103" t="s">
        <v>21256</v>
      </c>
      <c r="F6103" t="s">
        <v>7672</v>
      </c>
      <c r="G6103" t="s">
        <v>21257</v>
      </c>
      <c r="H6103" t="s">
        <v>17992</v>
      </c>
      <c r="I6103" t="s">
        <v>21271</v>
      </c>
      <c r="J6103" t="s">
        <v>7987</v>
      </c>
    </row>
    <row r="6104" spans="1:10" x14ac:dyDescent="0.25">
      <c r="A6104" t="s">
        <v>21272</v>
      </c>
      <c r="B6104">
        <v>13.2</v>
      </c>
      <c r="C6104" t="s">
        <v>21273</v>
      </c>
      <c r="D6104" t="s">
        <v>3944</v>
      </c>
      <c r="E6104" t="s">
        <v>21256</v>
      </c>
      <c r="F6104" t="s">
        <v>7672</v>
      </c>
      <c r="G6104" t="s">
        <v>21257</v>
      </c>
      <c r="H6104" t="s">
        <v>17992</v>
      </c>
      <c r="I6104" t="s">
        <v>21260</v>
      </c>
      <c r="J6104" t="s">
        <v>7987</v>
      </c>
    </row>
    <row r="6105" spans="1:10" x14ac:dyDescent="0.25">
      <c r="A6105" t="s">
        <v>21274</v>
      </c>
      <c r="B6105">
        <v>13.2</v>
      </c>
      <c r="C6105" t="s">
        <v>21275</v>
      </c>
      <c r="D6105" t="s">
        <v>8076</v>
      </c>
      <c r="E6105" t="s">
        <v>21256</v>
      </c>
      <c r="F6105" t="s">
        <v>7672</v>
      </c>
      <c r="G6105" t="s">
        <v>21257</v>
      </c>
      <c r="H6105" t="s">
        <v>17992</v>
      </c>
      <c r="I6105" t="s">
        <v>8158</v>
      </c>
      <c r="J6105" t="s">
        <v>7987</v>
      </c>
    </row>
    <row r="6106" spans="1:10" x14ac:dyDescent="0.25">
      <c r="A6106" t="s">
        <v>21276</v>
      </c>
      <c r="B6106">
        <v>13.2</v>
      </c>
      <c r="C6106" t="s">
        <v>21277</v>
      </c>
      <c r="D6106" t="s">
        <v>671</v>
      </c>
      <c r="E6106" t="s">
        <v>21256</v>
      </c>
      <c r="F6106" t="s">
        <v>7672</v>
      </c>
      <c r="G6106" t="s">
        <v>21257</v>
      </c>
      <c r="H6106" t="s">
        <v>17992</v>
      </c>
      <c r="I6106" t="s">
        <v>21271</v>
      </c>
      <c r="J6106" t="s">
        <v>8001</v>
      </c>
    </row>
    <row r="6107" spans="1:10" x14ac:dyDescent="0.25">
      <c r="A6107" t="s">
        <v>21278</v>
      </c>
      <c r="B6107">
        <v>13.2</v>
      </c>
      <c r="C6107" t="s">
        <v>21279</v>
      </c>
      <c r="D6107" t="s">
        <v>3572</v>
      </c>
      <c r="E6107" t="s">
        <v>21256</v>
      </c>
      <c r="F6107" t="s">
        <v>7672</v>
      </c>
      <c r="G6107" t="s">
        <v>21257</v>
      </c>
      <c r="H6107" t="s">
        <v>17992</v>
      </c>
      <c r="I6107" t="s">
        <v>21260</v>
      </c>
      <c r="J6107" t="s">
        <v>8001</v>
      </c>
    </row>
    <row r="6108" spans="1:10" x14ac:dyDescent="0.25">
      <c r="A6108" t="s">
        <v>21280</v>
      </c>
      <c r="B6108">
        <v>13.2</v>
      </c>
      <c r="C6108" t="s">
        <v>21281</v>
      </c>
      <c r="D6108" t="s">
        <v>12338</v>
      </c>
      <c r="E6108" t="s">
        <v>21256</v>
      </c>
      <c r="F6108" t="s">
        <v>7672</v>
      </c>
      <c r="G6108" t="s">
        <v>21257</v>
      </c>
      <c r="H6108" t="s">
        <v>17992</v>
      </c>
      <c r="I6108" t="s">
        <v>8158</v>
      </c>
      <c r="J6108" t="s">
        <v>8001</v>
      </c>
    </row>
    <row r="6109" spans="1:10" x14ac:dyDescent="0.25">
      <c r="A6109" t="s">
        <v>21282</v>
      </c>
      <c r="B6109">
        <v>13.2</v>
      </c>
      <c r="C6109" t="s">
        <v>21283</v>
      </c>
      <c r="D6109" t="s">
        <v>40</v>
      </c>
      <c r="E6109" t="s">
        <v>21256</v>
      </c>
      <c r="F6109" t="s">
        <v>7672</v>
      </c>
      <c r="G6109" t="s">
        <v>21257</v>
      </c>
      <c r="H6109" t="s">
        <v>17992</v>
      </c>
      <c r="I6109" t="s">
        <v>21260</v>
      </c>
      <c r="J6109" t="s">
        <v>8013</v>
      </c>
    </row>
    <row r="6110" spans="1:10" x14ac:dyDescent="0.25">
      <c r="A6110" t="s">
        <v>21284</v>
      </c>
      <c r="B6110">
        <v>13.2</v>
      </c>
      <c r="C6110" t="s">
        <v>21285</v>
      </c>
      <c r="D6110" t="s">
        <v>3572</v>
      </c>
      <c r="E6110" t="s">
        <v>21256</v>
      </c>
      <c r="F6110" t="s">
        <v>7672</v>
      </c>
      <c r="G6110" t="s">
        <v>21257</v>
      </c>
      <c r="H6110" t="s">
        <v>17992</v>
      </c>
      <c r="I6110" t="s">
        <v>8158</v>
      </c>
      <c r="J6110" t="s">
        <v>8013</v>
      </c>
    </row>
    <row r="6111" spans="1:10" x14ac:dyDescent="0.25">
      <c r="A6111" t="s">
        <v>21286</v>
      </c>
      <c r="B6111">
        <v>13.2</v>
      </c>
      <c r="C6111" t="s">
        <v>21287</v>
      </c>
      <c r="D6111" t="s">
        <v>835</v>
      </c>
      <c r="E6111" t="s">
        <v>21256</v>
      </c>
      <c r="F6111" t="s">
        <v>7672</v>
      </c>
      <c r="G6111" t="s">
        <v>21257</v>
      </c>
      <c r="H6111" t="s">
        <v>17992</v>
      </c>
      <c r="I6111" t="s">
        <v>21271</v>
      </c>
      <c r="J6111" t="s">
        <v>8013</v>
      </c>
    </row>
    <row r="6112" spans="1:10" x14ac:dyDescent="0.25">
      <c r="A6112" t="s">
        <v>5688</v>
      </c>
      <c r="B6112">
        <v>8.4</v>
      </c>
      <c r="C6112" t="s">
        <v>5690</v>
      </c>
      <c r="D6112" t="s">
        <v>385</v>
      </c>
      <c r="E6112" t="s">
        <v>5691</v>
      </c>
      <c r="F6112" t="s">
        <v>7672</v>
      </c>
      <c r="G6112" t="s">
        <v>21288</v>
      </c>
      <c r="H6112" t="s">
        <v>8078</v>
      </c>
      <c r="I6112" t="s">
        <v>7952</v>
      </c>
      <c r="J6112" t="s">
        <v>10369</v>
      </c>
    </row>
    <row r="6113" spans="1:10" x14ac:dyDescent="0.25">
      <c r="A6113" t="s">
        <v>5695</v>
      </c>
      <c r="B6113">
        <v>8.4</v>
      </c>
      <c r="C6113" t="s">
        <v>5697</v>
      </c>
      <c r="D6113" t="s">
        <v>1852</v>
      </c>
      <c r="E6113" t="s">
        <v>5691</v>
      </c>
      <c r="F6113" t="s">
        <v>7672</v>
      </c>
      <c r="G6113" t="s">
        <v>21288</v>
      </c>
      <c r="H6113" t="s">
        <v>8078</v>
      </c>
      <c r="I6113" t="s">
        <v>7952</v>
      </c>
      <c r="J6113" t="s">
        <v>11590</v>
      </c>
    </row>
    <row r="6114" spans="1:10" x14ac:dyDescent="0.25">
      <c r="A6114" t="s">
        <v>5698</v>
      </c>
      <c r="B6114">
        <v>8.4</v>
      </c>
      <c r="C6114" t="s">
        <v>5700</v>
      </c>
      <c r="D6114" t="s">
        <v>164</v>
      </c>
      <c r="E6114" t="s">
        <v>5691</v>
      </c>
      <c r="F6114" t="s">
        <v>7672</v>
      </c>
      <c r="G6114" t="s">
        <v>21288</v>
      </c>
      <c r="H6114" t="s">
        <v>8078</v>
      </c>
      <c r="I6114" t="s">
        <v>7952</v>
      </c>
      <c r="J6114" t="s">
        <v>11593</v>
      </c>
    </row>
    <row r="6115" spans="1:10" x14ac:dyDescent="0.25">
      <c r="A6115" t="s">
        <v>5701</v>
      </c>
      <c r="B6115">
        <v>8.6639999999999997</v>
      </c>
      <c r="C6115" t="s">
        <v>5703</v>
      </c>
      <c r="D6115" t="s">
        <v>1949</v>
      </c>
      <c r="E6115" t="s">
        <v>5704</v>
      </c>
      <c r="F6115" t="s">
        <v>7672</v>
      </c>
      <c r="G6115" t="s">
        <v>21289</v>
      </c>
      <c r="H6115" t="s">
        <v>13897</v>
      </c>
      <c r="I6115" t="s">
        <v>21290</v>
      </c>
      <c r="J6115" t="s">
        <v>9423</v>
      </c>
    </row>
    <row r="6116" spans="1:10" x14ac:dyDescent="0.25">
      <c r="A6116" t="s">
        <v>5708</v>
      </c>
      <c r="B6116">
        <v>8.6639999999999997</v>
      </c>
      <c r="C6116" t="s">
        <v>5710</v>
      </c>
      <c r="D6116" t="s">
        <v>1014</v>
      </c>
      <c r="E6116" t="s">
        <v>5704</v>
      </c>
      <c r="F6116" t="s">
        <v>7672</v>
      </c>
      <c r="G6116" t="s">
        <v>21289</v>
      </c>
      <c r="H6116" t="s">
        <v>13897</v>
      </c>
      <c r="I6116" t="s">
        <v>21290</v>
      </c>
      <c r="J6116" t="s">
        <v>10862</v>
      </c>
    </row>
    <row r="6117" spans="1:10" x14ac:dyDescent="0.25">
      <c r="A6117" t="s">
        <v>5712</v>
      </c>
      <c r="B6117">
        <v>8.6639999999999997</v>
      </c>
      <c r="C6117" t="s">
        <v>5714</v>
      </c>
      <c r="D6117" t="s">
        <v>5716</v>
      </c>
      <c r="E6117" t="s">
        <v>5704</v>
      </c>
      <c r="F6117" t="s">
        <v>7672</v>
      </c>
      <c r="G6117" t="s">
        <v>21289</v>
      </c>
      <c r="H6117" t="s">
        <v>13897</v>
      </c>
      <c r="I6117" t="s">
        <v>21290</v>
      </c>
      <c r="J6117" t="s">
        <v>9426</v>
      </c>
    </row>
    <row r="6118" spans="1:10" x14ac:dyDescent="0.25">
      <c r="A6118" t="s">
        <v>5717</v>
      </c>
      <c r="B6118">
        <v>8.6639999999999997</v>
      </c>
      <c r="C6118" t="s">
        <v>5719</v>
      </c>
      <c r="D6118" t="s">
        <v>4584</v>
      </c>
      <c r="E6118" t="s">
        <v>5704</v>
      </c>
      <c r="F6118" t="s">
        <v>7672</v>
      </c>
      <c r="G6118" t="s">
        <v>21289</v>
      </c>
      <c r="H6118" t="s">
        <v>13897</v>
      </c>
      <c r="I6118" t="s">
        <v>21290</v>
      </c>
      <c r="J6118" t="s">
        <v>13084</v>
      </c>
    </row>
    <row r="6119" spans="1:10" x14ac:dyDescent="0.25">
      <c r="A6119" t="s">
        <v>5721</v>
      </c>
      <c r="B6119">
        <v>8.6639999999999997</v>
      </c>
      <c r="C6119" t="s">
        <v>5723</v>
      </c>
      <c r="D6119" t="s">
        <v>3289</v>
      </c>
      <c r="E6119" t="s">
        <v>5704</v>
      </c>
      <c r="F6119" t="s">
        <v>7672</v>
      </c>
      <c r="G6119" t="s">
        <v>21289</v>
      </c>
      <c r="H6119" t="s">
        <v>13897</v>
      </c>
      <c r="I6119" t="s">
        <v>21290</v>
      </c>
      <c r="J6119" t="s">
        <v>11767</v>
      </c>
    </row>
    <row r="6120" spans="1:10" x14ac:dyDescent="0.25">
      <c r="A6120" t="s">
        <v>5725</v>
      </c>
      <c r="B6120">
        <v>8.6639999999999997</v>
      </c>
      <c r="C6120" t="s">
        <v>5727</v>
      </c>
      <c r="D6120" t="s">
        <v>2797</v>
      </c>
      <c r="E6120" t="s">
        <v>5704</v>
      </c>
      <c r="F6120" t="s">
        <v>7672</v>
      </c>
      <c r="G6120" t="s">
        <v>21289</v>
      </c>
      <c r="H6120" t="s">
        <v>13897</v>
      </c>
      <c r="I6120" t="s">
        <v>21290</v>
      </c>
      <c r="J6120" t="s">
        <v>11582</v>
      </c>
    </row>
    <row r="6121" spans="1:10" x14ac:dyDescent="0.25">
      <c r="A6121" t="s">
        <v>5729</v>
      </c>
      <c r="B6121">
        <v>8.6639999999999997</v>
      </c>
      <c r="C6121" t="s">
        <v>5731</v>
      </c>
      <c r="D6121" t="s">
        <v>2652</v>
      </c>
      <c r="E6121" t="s">
        <v>5704</v>
      </c>
      <c r="F6121" t="s">
        <v>7672</v>
      </c>
      <c r="G6121" t="s">
        <v>21289</v>
      </c>
      <c r="H6121" t="s">
        <v>13897</v>
      </c>
      <c r="I6121" t="s">
        <v>21290</v>
      </c>
      <c r="J6121" t="s">
        <v>11585</v>
      </c>
    </row>
    <row r="6122" spans="1:10" x14ac:dyDescent="0.25">
      <c r="A6122" t="s">
        <v>5733</v>
      </c>
      <c r="B6122">
        <v>5.1920000000000002</v>
      </c>
      <c r="C6122" t="s">
        <v>5735</v>
      </c>
      <c r="D6122" t="s">
        <v>5738</v>
      </c>
      <c r="E6122" t="s">
        <v>5736</v>
      </c>
      <c r="F6122" t="s">
        <v>7672</v>
      </c>
      <c r="G6122" t="s">
        <v>21291</v>
      </c>
      <c r="H6122" t="s">
        <v>20907</v>
      </c>
      <c r="I6122" t="s">
        <v>497</v>
      </c>
      <c r="J6122" t="s">
        <v>9694</v>
      </c>
    </row>
    <row r="6123" spans="1:10" x14ac:dyDescent="0.25">
      <c r="A6123" t="s">
        <v>21292</v>
      </c>
      <c r="B6123">
        <v>11.192</v>
      </c>
      <c r="C6123" t="s">
        <v>21293</v>
      </c>
      <c r="D6123" t="s">
        <v>352</v>
      </c>
      <c r="E6123" t="s">
        <v>21294</v>
      </c>
      <c r="F6123" t="s">
        <v>7672</v>
      </c>
      <c r="G6123" t="s">
        <v>21295</v>
      </c>
      <c r="H6123" t="s">
        <v>7674</v>
      </c>
      <c r="I6123" t="s">
        <v>21296</v>
      </c>
      <c r="J6123" t="s">
        <v>16039</v>
      </c>
    </row>
    <row r="6124" spans="1:10" x14ac:dyDescent="0.25">
      <c r="A6124" t="s">
        <v>21297</v>
      </c>
      <c r="B6124">
        <v>11.192</v>
      </c>
      <c r="C6124" t="s">
        <v>21298</v>
      </c>
      <c r="D6124" t="s">
        <v>1143</v>
      </c>
      <c r="E6124" t="s">
        <v>21294</v>
      </c>
      <c r="F6124" t="s">
        <v>7672</v>
      </c>
      <c r="G6124" t="s">
        <v>21295</v>
      </c>
      <c r="H6124" t="s">
        <v>7674</v>
      </c>
      <c r="I6124" t="s">
        <v>21299</v>
      </c>
      <c r="J6124" t="s">
        <v>16039</v>
      </c>
    </row>
    <row r="6125" spans="1:10" x14ac:dyDescent="0.25">
      <c r="A6125" t="s">
        <v>21300</v>
      </c>
      <c r="B6125">
        <v>11.192</v>
      </c>
      <c r="C6125" t="s">
        <v>21301</v>
      </c>
      <c r="D6125" t="s">
        <v>164</v>
      </c>
      <c r="E6125" t="s">
        <v>21294</v>
      </c>
      <c r="F6125" t="s">
        <v>7672</v>
      </c>
      <c r="G6125" t="s">
        <v>21295</v>
      </c>
      <c r="H6125" t="s">
        <v>7674</v>
      </c>
      <c r="I6125" t="s">
        <v>21296</v>
      </c>
      <c r="J6125" t="s">
        <v>16064</v>
      </c>
    </row>
    <row r="6126" spans="1:10" x14ac:dyDescent="0.25">
      <c r="A6126" t="s">
        <v>21302</v>
      </c>
      <c r="B6126">
        <v>11.192</v>
      </c>
      <c r="C6126" t="s">
        <v>21303</v>
      </c>
      <c r="D6126" t="s">
        <v>875</v>
      </c>
      <c r="E6126" t="s">
        <v>21294</v>
      </c>
      <c r="F6126" t="s">
        <v>7672</v>
      </c>
      <c r="G6126" t="s">
        <v>21295</v>
      </c>
      <c r="H6126" t="s">
        <v>7674</v>
      </c>
      <c r="I6126" t="s">
        <v>21299</v>
      </c>
      <c r="J6126" t="s">
        <v>16064</v>
      </c>
    </row>
    <row r="6127" spans="1:10" x14ac:dyDescent="0.25">
      <c r="A6127" t="s">
        <v>21304</v>
      </c>
      <c r="B6127">
        <v>11.192</v>
      </c>
      <c r="C6127" t="s">
        <v>21305</v>
      </c>
      <c r="D6127" t="s">
        <v>53</v>
      </c>
      <c r="E6127" t="s">
        <v>21294</v>
      </c>
      <c r="F6127" t="s">
        <v>7672</v>
      </c>
      <c r="G6127" t="s">
        <v>21295</v>
      </c>
      <c r="H6127" t="s">
        <v>7674</v>
      </c>
      <c r="I6127" t="s">
        <v>21296</v>
      </c>
      <c r="J6127" t="s">
        <v>16089</v>
      </c>
    </row>
    <row r="6128" spans="1:10" x14ac:dyDescent="0.25">
      <c r="A6128" t="s">
        <v>21306</v>
      </c>
      <c r="B6128">
        <v>11.192</v>
      </c>
      <c r="C6128" t="s">
        <v>21307</v>
      </c>
      <c r="D6128" t="s">
        <v>633</v>
      </c>
      <c r="E6128" t="s">
        <v>21294</v>
      </c>
      <c r="F6128" t="s">
        <v>7672</v>
      </c>
      <c r="G6128" t="s">
        <v>21295</v>
      </c>
      <c r="H6128" t="s">
        <v>7674</v>
      </c>
      <c r="I6128" t="s">
        <v>21299</v>
      </c>
      <c r="J6128" t="s">
        <v>16089</v>
      </c>
    </row>
    <row r="6129" spans="1:10" x14ac:dyDescent="0.25">
      <c r="A6129" t="s">
        <v>21308</v>
      </c>
      <c r="B6129">
        <v>11.192</v>
      </c>
      <c r="C6129" t="s">
        <v>21309</v>
      </c>
      <c r="D6129" t="s">
        <v>705</v>
      </c>
      <c r="E6129" t="s">
        <v>21294</v>
      </c>
      <c r="F6129" t="s">
        <v>7672</v>
      </c>
      <c r="G6129" t="s">
        <v>21295</v>
      </c>
      <c r="H6129" t="s">
        <v>7674</v>
      </c>
      <c r="I6129" t="s">
        <v>21299</v>
      </c>
      <c r="J6129" t="s">
        <v>16104</v>
      </c>
    </row>
    <row r="6130" spans="1:10" x14ac:dyDescent="0.25">
      <c r="A6130" t="s">
        <v>21310</v>
      </c>
      <c r="B6130">
        <v>11.192</v>
      </c>
      <c r="C6130" t="s">
        <v>21311</v>
      </c>
      <c r="D6130" t="s">
        <v>436</v>
      </c>
      <c r="E6130" t="s">
        <v>21294</v>
      </c>
      <c r="F6130" t="s">
        <v>7672</v>
      </c>
      <c r="G6130" t="s">
        <v>21295</v>
      </c>
      <c r="H6130" t="s">
        <v>7674</v>
      </c>
      <c r="I6130" t="s">
        <v>21296</v>
      </c>
      <c r="J6130" t="s">
        <v>16104</v>
      </c>
    </row>
    <row r="6131" spans="1:10" x14ac:dyDescent="0.25">
      <c r="A6131" t="s">
        <v>21312</v>
      </c>
      <c r="B6131">
        <v>11.192</v>
      </c>
      <c r="C6131" t="s">
        <v>21313</v>
      </c>
      <c r="D6131" t="s">
        <v>311</v>
      </c>
      <c r="E6131" t="s">
        <v>21294</v>
      </c>
      <c r="F6131" t="s">
        <v>7672</v>
      </c>
      <c r="G6131" t="s">
        <v>21295</v>
      </c>
      <c r="H6131" t="s">
        <v>7674</v>
      </c>
      <c r="I6131" t="s">
        <v>21299</v>
      </c>
      <c r="J6131" t="s">
        <v>16125</v>
      </c>
    </row>
    <row r="6132" spans="1:10" x14ac:dyDescent="0.25">
      <c r="A6132" t="s">
        <v>21314</v>
      </c>
      <c r="B6132">
        <v>11.192</v>
      </c>
      <c r="C6132" t="s">
        <v>21315</v>
      </c>
      <c r="D6132" t="s">
        <v>164</v>
      </c>
      <c r="E6132" t="s">
        <v>21294</v>
      </c>
      <c r="F6132" t="s">
        <v>7672</v>
      </c>
      <c r="G6132" t="s">
        <v>21295</v>
      </c>
      <c r="H6132" t="s">
        <v>7674</v>
      </c>
      <c r="I6132" t="s">
        <v>21296</v>
      </c>
      <c r="J6132" t="s">
        <v>16125</v>
      </c>
    </row>
    <row r="6133" spans="1:10" x14ac:dyDescent="0.25">
      <c r="A6133" t="s">
        <v>21316</v>
      </c>
      <c r="B6133">
        <v>11.192</v>
      </c>
      <c r="C6133" t="s">
        <v>21317</v>
      </c>
      <c r="D6133" t="s">
        <v>113</v>
      </c>
      <c r="E6133" t="s">
        <v>21294</v>
      </c>
      <c r="F6133" t="s">
        <v>7672</v>
      </c>
      <c r="G6133" t="s">
        <v>21295</v>
      </c>
      <c r="H6133" t="s">
        <v>7674</v>
      </c>
      <c r="I6133" t="s">
        <v>21296</v>
      </c>
      <c r="J6133" t="s">
        <v>16143</v>
      </c>
    </row>
    <row r="6134" spans="1:10" x14ac:dyDescent="0.25">
      <c r="A6134" t="s">
        <v>21318</v>
      </c>
      <c r="B6134">
        <v>11.192</v>
      </c>
      <c r="C6134" t="s">
        <v>21319</v>
      </c>
      <c r="D6134" t="s">
        <v>359</v>
      </c>
      <c r="E6134" t="s">
        <v>21294</v>
      </c>
      <c r="F6134" t="s">
        <v>7672</v>
      </c>
      <c r="G6134" t="s">
        <v>21295</v>
      </c>
      <c r="H6134" t="s">
        <v>7674</v>
      </c>
      <c r="I6134" t="s">
        <v>21299</v>
      </c>
      <c r="J6134" t="s">
        <v>16143</v>
      </c>
    </row>
    <row r="6135" spans="1:10" x14ac:dyDescent="0.25">
      <c r="A6135" t="s">
        <v>5741</v>
      </c>
      <c r="B6135">
        <v>12.504</v>
      </c>
      <c r="C6135" t="s">
        <v>5743</v>
      </c>
      <c r="D6135" t="s">
        <v>46</v>
      </c>
      <c r="E6135" t="s">
        <v>5744</v>
      </c>
      <c r="F6135" t="s">
        <v>7672</v>
      </c>
      <c r="G6135" t="s">
        <v>21320</v>
      </c>
      <c r="H6135" t="s">
        <v>10970</v>
      </c>
      <c r="I6135" t="s">
        <v>21321</v>
      </c>
      <c r="J6135" t="s">
        <v>21322</v>
      </c>
    </row>
    <row r="6136" spans="1:10" x14ac:dyDescent="0.25">
      <c r="A6136" t="s">
        <v>5748</v>
      </c>
      <c r="B6136">
        <v>6.2960000000000003</v>
      </c>
      <c r="C6136" t="s">
        <v>5750</v>
      </c>
      <c r="D6136" t="s">
        <v>164</v>
      </c>
      <c r="E6136" t="s">
        <v>5751</v>
      </c>
      <c r="F6136" t="s">
        <v>7672</v>
      </c>
      <c r="G6136" t="s">
        <v>21323</v>
      </c>
      <c r="H6136" t="s">
        <v>14756</v>
      </c>
      <c r="I6136" t="s">
        <v>76</v>
      </c>
      <c r="J6136" t="s">
        <v>7675</v>
      </c>
    </row>
    <row r="6137" spans="1:10" x14ac:dyDescent="0.25">
      <c r="A6137" t="s">
        <v>5754</v>
      </c>
      <c r="B6137">
        <v>6.2960000000000003</v>
      </c>
      <c r="C6137" t="s">
        <v>5756</v>
      </c>
      <c r="D6137" t="s">
        <v>100</v>
      </c>
      <c r="E6137" t="s">
        <v>5751</v>
      </c>
      <c r="F6137" t="s">
        <v>7672</v>
      </c>
      <c r="G6137" t="s">
        <v>21323</v>
      </c>
      <c r="H6137" t="s">
        <v>14756</v>
      </c>
      <c r="I6137" t="s">
        <v>76</v>
      </c>
      <c r="J6137" t="s">
        <v>7686</v>
      </c>
    </row>
    <row r="6138" spans="1:10" x14ac:dyDescent="0.25">
      <c r="A6138" t="s">
        <v>5758</v>
      </c>
      <c r="B6138">
        <v>6.2960000000000003</v>
      </c>
      <c r="C6138" t="s">
        <v>5760</v>
      </c>
      <c r="D6138" t="s">
        <v>330</v>
      </c>
      <c r="E6138" t="s">
        <v>5751</v>
      </c>
      <c r="F6138" t="s">
        <v>7672</v>
      </c>
      <c r="G6138" t="s">
        <v>21323</v>
      </c>
      <c r="H6138" t="s">
        <v>14756</v>
      </c>
      <c r="I6138" t="s">
        <v>278</v>
      </c>
      <c r="J6138" t="s">
        <v>7686</v>
      </c>
    </row>
    <row r="6139" spans="1:10" x14ac:dyDescent="0.25">
      <c r="A6139" t="s">
        <v>5763</v>
      </c>
      <c r="B6139">
        <v>6.2960000000000003</v>
      </c>
      <c r="C6139" t="s">
        <v>5765</v>
      </c>
      <c r="D6139" t="s">
        <v>88</v>
      </c>
      <c r="E6139" t="s">
        <v>5751</v>
      </c>
      <c r="F6139" t="s">
        <v>7672</v>
      </c>
      <c r="G6139" t="s">
        <v>21323</v>
      </c>
      <c r="H6139" t="s">
        <v>14756</v>
      </c>
      <c r="I6139" t="s">
        <v>278</v>
      </c>
      <c r="J6139" t="s">
        <v>7713</v>
      </c>
    </row>
    <row r="6140" spans="1:10" x14ac:dyDescent="0.25">
      <c r="A6140" t="s">
        <v>5767</v>
      </c>
      <c r="B6140">
        <v>6.2960000000000003</v>
      </c>
      <c r="C6140" t="s">
        <v>5769</v>
      </c>
      <c r="D6140" t="s">
        <v>60</v>
      </c>
      <c r="E6140" t="s">
        <v>5751</v>
      </c>
      <c r="F6140" t="s">
        <v>7672</v>
      </c>
      <c r="G6140" t="s">
        <v>21323</v>
      </c>
      <c r="H6140" t="s">
        <v>14756</v>
      </c>
      <c r="I6140" t="s">
        <v>278</v>
      </c>
      <c r="J6140" t="s">
        <v>7719</v>
      </c>
    </row>
    <row r="6141" spans="1:10" x14ac:dyDescent="0.25">
      <c r="A6141" t="s">
        <v>21324</v>
      </c>
      <c r="B6141">
        <v>10.4</v>
      </c>
      <c r="C6141" t="s">
        <v>21325</v>
      </c>
      <c r="D6141" t="s">
        <v>6194</v>
      </c>
      <c r="E6141" t="s">
        <v>21326</v>
      </c>
      <c r="F6141" t="s">
        <v>7672</v>
      </c>
      <c r="G6141" t="s">
        <v>21327</v>
      </c>
      <c r="H6141" t="s">
        <v>7954</v>
      </c>
      <c r="I6141" t="s">
        <v>14558</v>
      </c>
      <c r="J6141" t="s">
        <v>21328</v>
      </c>
    </row>
    <row r="6142" spans="1:10" x14ac:dyDescent="0.25">
      <c r="A6142" t="s">
        <v>21329</v>
      </c>
      <c r="B6142">
        <v>7.3599999999999994</v>
      </c>
      <c r="C6142" t="s">
        <v>21330</v>
      </c>
      <c r="D6142" t="s">
        <v>849</v>
      </c>
      <c r="E6142" t="s">
        <v>21331</v>
      </c>
      <c r="F6142" t="s">
        <v>7672</v>
      </c>
      <c r="G6142" t="s">
        <v>21332</v>
      </c>
      <c r="H6142" t="s">
        <v>11496</v>
      </c>
      <c r="I6142" t="s">
        <v>10387</v>
      </c>
      <c r="J6142" t="s">
        <v>9423</v>
      </c>
    </row>
    <row r="6143" spans="1:10" x14ac:dyDescent="0.25">
      <c r="A6143" t="s">
        <v>21333</v>
      </c>
      <c r="B6143">
        <v>7.3599999999999994</v>
      </c>
      <c r="C6143" t="s">
        <v>21334</v>
      </c>
      <c r="D6143" t="s">
        <v>3110</v>
      </c>
      <c r="E6143" t="s">
        <v>21331</v>
      </c>
      <c r="F6143" t="s">
        <v>7672</v>
      </c>
      <c r="G6143" t="s">
        <v>21332</v>
      </c>
      <c r="H6143" t="s">
        <v>11496</v>
      </c>
      <c r="I6143" t="s">
        <v>10387</v>
      </c>
      <c r="J6143" t="s">
        <v>10862</v>
      </c>
    </row>
    <row r="6144" spans="1:10" x14ac:dyDescent="0.25">
      <c r="A6144" t="s">
        <v>21335</v>
      </c>
      <c r="B6144">
        <v>7.3599999999999994</v>
      </c>
      <c r="C6144" t="s">
        <v>21336</v>
      </c>
      <c r="D6144" t="s">
        <v>3153</v>
      </c>
      <c r="E6144" t="s">
        <v>21331</v>
      </c>
      <c r="F6144" t="s">
        <v>7672</v>
      </c>
      <c r="G6144" t="s">
        <v>21332</v>
      </c>
      <c r="H6144" t="s">
        <v>11496</v>
      </c>
      <c r="I6144" t="s">
        <v>10387</v>
      </c>
      <c r="J6144" t="s">
        <v>9426</v>
      </c>
    </row>
    <row r="6145" spans="1:10" x14ac:dyDescent="0.25">
      <c r="A6145" t="s">
        <v>21337</v>
      </c>
      <c r="B6145">
        <v>7.3599999999999994</v>
      </c>
      <c r="C6145" t="s">
        <v>21338</v>
      </c>
      <c r="D6145" t="s">
        <v>5145</v>
      </c>
      <c r="E6145" t="s">
        <v>21331</v>
      </c>
      <c r="F6145" t="s">
        <v>7672</v>
      </c>
      <c r="G6145" t="s">
        <v>21332</v>
      </c>
      <c r="H6145" t="s">
        <v>11496</v>
      </c>
      <c r="I6145" t="s">
        <v>10387</v>
      </c>
      <c r="J6145" t="s">
        <v>13084</v>
      </c>
    </row>
    <row r="6146" spans="1:10" x14ac:dyDescent="0.25">
      <c r="A6146" t="s">
        <v>21339</v>
      </c>
      <c r="B6146">
        <v>7.3599999999999994</v>
      </c>
      <c r="C6146" t="s">
        <v>21340</v>
      </c>
      <c r="D6146" t="s">
        <v>4100</v>
      </c>
      <c r="E6146" t="s">
        <v>21331</v>
      </c>
      <c r="F6146" t="s">
        <v>7672</v>
      </c>
      <c r="G6146" t="s">
        <v>21332</v>
      </c>
      <c r="H6146" t="s">
        <v>11496</v>
      </c>
      <c r="I6146" t="s">
        <v>10387</v>
      </c>
      <c r="J6146" t="s">
        <v>11767</v>
      </c>
    </row>
    <row r="6147" spans="1:10" x14ac:dyDescent="0.25">
      <c r="A6147" t="s">
        <v>21341</v>
      </c>
      <c r="B6147">
        <v>7.3599999999999994</v>
      </c>
      <c r="C6147" t="s">
        <v>21342</v>
      </c>
      <c r="D6147" t="s">
        <v>7934</v>
      </c>
      <c r="E6147" t="s">
        <v>21331</v>
      </c>
      <c r="F6147" t="s">
        <v>7672</v>
      </c>
      <c r="G6147" t="s">
        <v>21332</v>
      </c>
      <c r="H6147" t="s">
        <v>11496</v>
      </c>
      <c r="I6147" t="s">
        <v>10387</v>
      </c>
      <c r="J6147" t="s">
        <v>11582</v>
      </c>
    </row>
    <row r="6148" spans="1:10" x14ac:dyDescent="0.25">
      <c r="A6148" t="s">
        <v>21343</v>
      </c>
      <c r="B6148">
        <v>7.3599999999999994</v>
      </c>
      <c r="C6148" t="s">
        <v>21344</v>
      </c>
      <c r="D6148" t="s">
        <v>2787</v>
      </c>
      <c r="E6148" t="s">
        <v>21331</v>
      </c>
      <c r="F6148" t="s">
        <v>7672</v>
      </c>
      <c r="G6148" t="s">
        <v>21332</v>
      </c>
      <c r="H6148" t="s">
        <v>11496</v>
      </c>
      <c r="I6148" t="s">
        <v>10387</v>
      </c>
      <c r="J6148" t="s">
        <v>11585</v>
      </c>
    </row>
    <row r="6149" spans="1:10" x14ac:dyDescent="0.25">
      <c r="A6149" t="s">
        <v>21345</v>
      </c>
      <c r="B6149">
        <v>11.992000000000001</v>
      </c>
      <c r="C6149" t="s">
        <v>21346</v>
      </c>
      <c r="D6149" t="s">
        <v>144</v>
      </c>
      <c r="E6149" t="s">
        <v>21347</v>
      </c>
      <c r="F6149" t="s">
        <v>7672</v>
      </c>
      <c r="G6149" t="s">
        <v>21348</v>
      </c>
      <c r="H6149" t="s">
        <v>7674</v>
      </c>
      <c r="I6149" t="s">
        <v>5202</v>
      </c>
      <c r="J6149" t="s">
        <v>9694</v>
      </c>
    </row>
    <row r="6150" spans="1:10" x14ac:dyDescent="0.25">
      <c r="A6150" t="s">
        <v>21349</v>
      </c>
      <c r="B6150">
        <v>8.4</v>
      </c>
      <c r="C6150" t="s">
        <v>21350</v>
      </c>
      <c r="D6150" t="s">
        <v>3841</v>
      </c>
      <c r="E6150" t="s">
        <v>21351</v>
      </c>
      <c r="F6150" t="s">
        <v>7672</v>
      </c>
      <c r="G6150" t="s">
        <v>21352</v>
      </c>
      <c r="H6150" t="s">
        <v>13951</v>
      </c>
      <c r="I6150" t="s">
        <v>10387</v>
      </c>
      <c r="J6150" t="s">
        <v>7686</v>
      </c>
    </row>
    <row r="6151" spans="1:10" x14ac:dyDescent="0.25">
      <c r="A6151" t="s">
        <v>21353</v>
      </c>
      <c r="B6151">
        <v>8.4</v>
      </c>
      <c r="C6151" t="s">
        <v>21354</v>
      </c>
      <c r="D6151" t="s">
        <v>3060</v>
      </c>
      <c r="E6151" t="s">
        <v>21351</v>
      </c>
      <c r="F6151" t="s">
        <v>7672</v>
      </c>
      <c r="G6151" t="s">
        <v>21352</v>
      </c>
      <c r="H6151" t="s">
        <v>13951</v>
      </c>
      <c r="I6151" t="s">
        <v>10387</v>
      </c>
      <c r="J6151" t="s">
        <v>7703</v>
      </c>
    </row>
    <row r="6152" spans="1:10" x14ac:dyDescent="0.25">
      <c r="A6152" t="s">
        <v>5771</v>
      </c>
      <c r="B6152">
        <v>13.6</v>
      </c>
      <c r="C6152" t="s">
        <v>5773</v>
      </c>
      <c r="D6152" t="s">
        <v>330</v>
      </c>
      <c r="E6152" t="s">
        <v>5774</v>
      </c>
      <c r="F6152" t="s">
        <v>7672</v>
      </c>
      <c r="G6152" t="s">
        <v>21355</v>
      </c>
      <c r="H6152" t="s">
        <v>15122</v>
      </c>
      <c r="I6152" t="s">
        <v>76</v>
      </c>
      <c r="J6152" t="s">
        <v>131</v>
      </c>
    </row>
    <row r="6153" spans="1:10" x14ac:dyDescent="0.25">
      <c r="A6153" t="s">
        <v>5776</v>
      </c>
      <c r="B6153">
        <v>13.6</v>
      </c>
      <c r="C6153" t="s">
        <v>5778</v>
      </c>
      <c r="D6153" t="s">
        <v>269</v>
      </c>
      <c r="E6153" t="s">
        <v>5774</v>
      </c>
      <c r="F6153" t="s">
        <v>7672</v>
      </c>
      <c r="G6153" t="s">
        <v>21355</v>
      </c>
      <c r="H6153" t="s">
        <v>15122</v>
      </c>
      <c r="I6153" t="s">
        <v>1243</v>
      </c>
      <c r="J6153" t="s">
        <v>131</v>
      </c>
    </row>
    <row r="6154" spans="1:10" x14ac:dyDescent="0.25">
      <c r="A6154" t="s">
        <v>5779</v>
      </c>
      <c r="B6154">
        <v>13.6</v>
      </c>
      <c r="C6154" t="s">
        <v>5781</v>
      </c>
      <c r="D6154" t="s">
        <v>118</v>
      </c>
      <c r="E6154" t="s">
        <v>5774</v>
      </c>
      <c r="F6154" t="s">
        <v>7672</v>
      </c>
      <c r="G6154" t="s">
        <v>21355</v>
      </c>
      <c r="H6154" t="s">
        <v>15122</v>
      </c>
      <c r="I6154" t="s">
        <v>76</v>
      </c>
      <c r="J6154" t="s">
        <v>269</v>
      </c>
    </row>
    <row r="6155" spans="1:10" x14ac:dyDescent="0.25">
      <c r="A6155" t="s">
        <v>5782</v>
      </c>
      <c r="B6155">
        <v>13.6</v>
      </c>
      <c r="C6155" t="s">
        <v>5784</v>
      </c>
      <c r="D6155" t="s">
        <v>290</v>
      </c>
      <c r="E6155" t="s">
        <v>5774</v>
      </c>
      <c r="F6155" t="s">
        <v>7672</v>
      </c>
      <c r="G6155" t="s">
        <v>21355</v>
      </c>
      <c r="H6155" t="s">
        <v>15122</v>
      </c>
      <c r="I6155" t="s">
        <v>1243</v>
      </c>
      <c r="J6155" t="s">
        <v>269</v>
      </c>
    </row>
    <row r="6156" spans="1:10" x14ac:dyDescent="0.25">
      <c r="A6156" t="s">
        <v>21356</v>
      </c>
      <c r="B6156">
        <v>13.2</v>
      </c>
      <c r="C6156" t="s">
        <v>21357</v>
      </c>
      <c r="D6156" t="s">
        <v>330</v>
      </c>
      <c r="E6156" t="s">
        <v>21358</v>
      </c>
      <c r="F6156" t="s">
        <v>7672</v>
      </c>
      <c r="G6156" t="s">
        <v>21359</v>
      </c>
      <c r="H6156" t="s">
        <v>18003</v>
      </c>
      <c r="I6156" t="s">
        <v>21360</v>
      </c>
      <c r="J6156" t="s">
        <v>100</v>
      </c>
    </row>
    <row r="6157" spans="1:10" x14ac:dyDescent="0.25">
      <c r="A6157" t="s">
        <v>21361</v>
      </c>
      <c r="B6157">
        <v>13.2</v>
      </c>
      <c r="C6157" t="s">
        <v>21362</v>
      </c>
      <c r="D6157" t="s">
        <v>3184</v>
      </c>
      <c r="E6157" t="s">
        <v>21358</v>
      </c>
      <c r="F6157" t="s">
        <v>7672</v>
      </c>
      <c r="G6157" t="s">
        <v>21359</v>
      </c>
      <c r="H6157" t="s">
        <v>18003</v>
      </c>
      <c r="I6157" t="s">
        <v>21360</v>
      </c>
      <c r="J6157" t="s">
        <v>106</v>
      </c>
    </row>
    <row r="6158" spans="1:10" x14ac:dyDescent="0.25">
      <c r="A6158" t="s">
        <v>21363</v>
      </c>
      <c r="B6158">
        <v>3.1120000000000001</v>
      </c>
      <c r="C6158" t="s">
        <v>21364</v>
      </c>
      <c r="D6158" t="s">
        <v>19550</v>
      </c>
      <c r="E6158" t="s">
        <v>21365</v>
      </c>
      <c r="F6158" t="s">
        <v>7672</v>
      </c>
      <c r="G6158" t="s">
        <v>21366</v>
      </c>
      <c r="H6158" t="s">
        <v>7674</v>
      </c>
      <c r="I6158" t="s">
        <v>8357</v>
      </c>
      <c r="J6158" t="s">
        <v>7984</v>
      </c>
    </row>
    <row r="6159" spans="1:10" x14ac:dyDescent="0.25">
      <c r="A6159" t="s">
        <v>21367</v>
      </c>
      <c r="B6159">
        <v>3.1120000000000001</v>
      </c>
      <c r="C6159" t="s">
        <v>21368</v>
      </c>
      <c r="D6159" t="s">
        <v>8144</v>
      </c>
      <c r="E6159" t="s">
        <v>21365</v>
      </c>
      <c r="F6159" t="s">
        <v>7672</v>
      </c>
      <c r="G6159" t="s">
        <v>21366</v>
      </c>
      <c r="H6159" t="s">
        <v>7674</v>
      </c>
      <c r="I6159" t="s">
        <v>5986</v>
      </c>
      <c r="J6159" t="s">
        <v>7984</v>
      </c>
    </row>
    <row r="6160" spans="1:10" x14ac:dyDescent="0.25">
      <c r="A6160" t="s">
        <v>21369</v>
      </c>
      <c r="B6160">
        <v>3.1120000000000001</v>
      </c>
      <c r="C6160" t="s">
        <v>21370</v>
      </c>
      <c r="D6160" t="s">
        <v>60</v>
      </c>
      <c r="E6160" t="s">
        <v>21365</v>
      </c>
      <c r="F6160" t="s">
        <v>7672</v>
      </c>
      <c r="G6160" t="s">
        <v>21366</v>
      </c>
      <c r="H6160" t="s">
        <v>7674</v>
      </c>
      <c r="I6160" t="s">
        <v>8357</v>
      </c>
      <c r="J6160" t="s">
        <v>7987</v>
      </c>
    </row>
    <row r="6161" spans="1:10" x14ac:dyDescent="0.25">
      <c r="A6161" t="s">
        <v>21371</v>
      </c>
      <c r="B6161">
        <v>3.1120000000000001</v>
      </c>
      <c r="C6161" t="s">
        <v>21372</v>
      </c>
      <c r="D6161" t="s">
        <v>3988</v>
      </c>
      <c r="E6161" t="s">
        <v>21365</v>
      </c>
      <c r="F6161" t="s">
        <v>7672</v>
      </c>
      <c r="G6161" t="s">
        <v>21366</v>
      </c>
      <c r="H6161" t="s">
        <v>7674</v>
      </c>
      <c r="I6161" t="s">
        <v>5986</v>
      </c>
      <c r="J6161" t="s">
        <v>7987</v>
      </c>
    </row>
    <row r="6162" spans="1:10" x14ac:dyDescent="0.25">
      <c r="A6162" t="s">
        <v>21373</v>
      </c>
      <c r="B6162">
        <v>4.6719999999999997</v>
      </c>
      <c r="C6162" t="s">
        <v>21374</v>
      </c>
      <c r="D6162" t="s">
        <v>21375</v>
      </c>
      <c r="E6162" t="s">
        <v>21376</v>
      </c>
      <c r="F6162" t="s">
        <v>7672</v>
      </c>
      <c r="G6162" t="s">
        <v>21377</v>
      </c>
      <c r="H6162" t="s">
        <v>21378</v>
      </c>
      <c r="I6162" t="s">
        <v>497</v>
      </c>
      <c r="J6162" t="s">
        <v>9694</v>
      </c>
    </row>
    <row r="6163" spans="1:10" x14ac:dyDescent="0.25">
      <c r="A6163" t="s">
        <v>21379</v>
      </c>
      <c r="B6163">
        <v>5.4</v>
      </c>
      <c r="C6163" t="s">
        <v>21380</v>
      </c>
      <c r="D6163" t="s">
        <v>926</v>
      </c>
      <c r="E6163" t="s">
        <v>21381</v>
      </c>
      <c r="F6163" t="s">
        <v>7672</v>
      </c>
      <c r="G6163" t="s">
        <v>21382</v>
      </c>
      <c r="H6163" t="s">
        <v>13951</v>
      </c>
      <c r="I6163" t="s">
        <v>497</v>
      </c>
      <c r="J6163" t="s">
        <v>9694</v>
      </c>
    </row>
    <row r="6164" spans="1:10" x14ac:dyDescent="0.25">
      <c r="A6164" t="s">
        <v>21383</v>
      </c>
      <c r="B6164">
        <v>7.2</v>
      </c>
      <c r="C6164" t="s">
        <v>21384</v>
      </c>
      <c r="D6164" t="s">
        <v>865</v>
      </c>
      <c r="E6164" t="s">
        <v>21385</v>
      </c>
      <c r="F6164" t="s">
        <v>7672</v>
      </c>
      <c r="G6164" t="s">
        <v>21386</v>
      </c>
      <c r="H6164" t="s">
        <v>14647</v>
      </c>
      <c r="I6164" t="s">
        <v>76</v>
      </c>
      <c r="J6164" t="s">
        <v>7981</v>
      </c>
    </row>
    <row r="6165" spans="1:10" x14ac:dyDescent="0.25">
      <c r="A6165" t="s">
        <v>21387</v>
      </c>
      <c r="B6165">
        <v>7.2</v>
      </c>
      <c r="C6165" t="s">
        <v>21388</v>
      </c>
      <c r="D6165" t="s">
        <v>311</v>
      </c>
      <c r="E6165" t="s">
        <v>21385</v>
      </c>
      <c r="F6165" t="s">
        <v>7672</v>
      </c>
      <c r="G6165" t="s">
        <v>21386</v>
      </c>
      <c r="H6165" t="s">
        <v>14647</v>
      </c>
      <c r="I6165" t="s">
        <v>11789</v>
      </c>
      <c r="J6165" t="s">
        <v>7981</v>
      </c>
    </row>
    <row r="6166" spans="1:10" x14ac:dyDescent="0.25">
      <c r="A6166" t="s">
        <v>21389</v>
      </c>
      <c r="B6166">
        <v>7.2</v>
      </c>
      <c r="C6166" t="s">
        <v>21390</v>
      </c>
      <c r="D6166" t="s">
        <v>301</v>
      </c>
      <c r="E6166" t="s">
        <v>21385</v>
      </c>
      <c r="F6166" t="s">
        <v>7672</v>
      </c>
      <c r="G6166" t="s">
        <v>21386</v>
      </c>
      <c r="H6166" t="s">
        <v>14647</v>
      </c>
      <c r="I6166" t="s">
        <v>14648</v>
      </c>
      <c r="J6166" t="s">
        <v>7981</v>
      </c>
    </row>
    <row r="6167" spans="1:10" x14ac:dyDescent="0.25">
      <c r="A6167" t="s">
        <v>21391</v>
      </c>
      <c r="B6167">
        <v>7.2</v>
      </c>
      <c r="C6167" t="s">
        <v>21392</v>
      </c>
      <c r="D6167" t="s">
        <v>124</v>
      </c>
      <c r="E6167" t="s">
        <v>21385</v>
      </c>
      <c r="F6167" t="s">
        <v>7672</v>
      </c>
      <c r="G6167" t="s">
        <v>21386</v>
      </c>
      <c r="H6167" t="s">
        <v>14647</v>
      </c>
      <c r="I6167" t="s">
        <v>14654</v>
      </c>
      <c r="J6167" t="s">
        <v>7981</v>
      </c>
    </row>
    <row r="6168" spans="1:10" x14ac:dyDescent="0.25">
      <c r="A6168" t="s">
        <v>21393</v>
      </c>
      <c r="B6168">
        <v>7.2</v>
      </c>
      <c r="C6168" t="s">
        <v>21394</v>
      </c>
      <c r="D6168" t="s">
        <v>229</v>
      </c>
      <c r="E6168" t="s">
        <v>21385</v>
      </c>
      <c r="F6168" t="s">
        <v>7672</v>
      </c>
      <c r="G6168" t="s">
        <v>21386</v>
      </c>
      <c r="H6168" t="s">
        <v>14647</v>
      </c>
      <c r="I6168" t="s">
        <v>19162</v>
      </c>
      <c r="J6168" t="s">
        <v>7981</v>
      </c>
    </row>
    <row r="6169" spans="1:10" x14ac:dyDescent="0.25">
      <c r="A6169" t="s">
        <v>21395</v>
      </c>
      <c r="B6169">
        <v>7.2</v>
      </c>
      <c r="C6169" t="s">
        <v>21396</v>
      </c>
      <c r="D6169" t="s">
        <v>240</v>
      </c>
      <c r="E6169" t="s">
        <v>21385</v>
      </c>
      <c r="F6169" t="s">
        <v>7672</v>
      </c>
      <c r="G6169" t="s">
        <v>21386</v>
      </c>
      <c r="H6169" t="s">
        <v>14647</v>
      </c>
      <c r="I6169" t="s">
        <v>14651</v>
      </c>
      <c r="J6169" t="s">
        <v>7981</v>
      </c>
    </row>
    <row r="6170" spans="1:10" x14ac:dyDescent="0.25">
      <c r="A6170" t="s">
        <v>21397</v>
      </c>
      <c r="B6170">
        <v>7.2</v>
      </c>
      <c r="C6170" t="s">
        <v>21398</v>
      </c>
      <c r="D6170" t="s">
        <v>8759</v>
      </c>
      <c r="E6170" t="s">
        <v>21385</v>
      </c>
      <c r="F6170" t="s">
        <v>7672</v>
      </c>
      <c r="G6170" t="s">
        <v>21386</v>
      </c>
      <c r="H6170" t="s">
        <v>14647</v>
      </c>
      <c r="I6170" t="s">
        <v>76</v>
      </c>
      <c r="J6170" t="s">
        <v>7984</v>
      </c>
    </row>
    <row r="6171" spans="1:10" x14ac:dyDescent="0.25">
      <c r="A6171" t="s">
        <v>21399</v>
      </c>
      <c r="B6171">
        <v>7.2</v>
      </c>
      <c r="C6171" t="s">
        <v>21400</v>
      </c>
      <c r="D6171" t="s">
        <v>664</v>
      </c>
      <c r="E6171" t="s">
        <v>21385</v>
      </c>
      <c r="F6171" t="s">
        <v>7672</v>
      </c>
      <c r="G6171" t="s">
        <v>21386</v>
      </c>
      <c r="H6171" t="s">
        <v>14647</v>
      </c>
      <c r="I6171" t="s">
        <v>14654</v>
      </c>
      <c r="J6171" t="s">
        <v>7984</v>
      </c>
    </row>
    <row r="6172" spans="1:10" x14ac:dyDescent="0.25">
      <c r="A6172" t="s">
        <v>21401</v>
      </c>
      <c r="B6172">
        <v>7.2</v>
      </c>
      <c r="C6172" t="s">
        <v>21402</v>
      </c>
      <c r="D6172" t="s">
        <v>975</v>
      </c>
      <c r="E6172" t="s">
        <v>21385</v>
      </c>
      <c r="F6172" t="s">
        <v>7672</v>
      </c>
      <c r="G6172" t="s">
        <v>21386</v>
      </c>
      <c r="H6172" t="s">
        <v>14647</v>
      </c>
      <c r="I6172" t="s">
        <v>19162</v>
      </c>
      <c r="J6172" t="s">
        <v>7984</v>
      </c>
    </row>
    <row r="6173" spans="1:10" x14ac:dyDescent="0.25">
      <c r="A6173" t="s">
        <v>21403</v>
      </c>
      <c r="B6173">
        <v>7.2</v>
      </c>
      <c r="C6173" t="s">
        <v>21404</v>
      </c>
      <c r="D6173" t="s">
        <v>2620</v>
      </c>
      <c r="E6173" t="s">
        <v>21385</v>
      </c>
      <c r="F6173" t="s">
        <v>7672</v>
      </c>
      <c r="G6173" t="s">
        <v>21386</v>
      </c>
      <c r="H6173" t="s">
        <v>14647</v>
      </c>
      <c r="I6173" t="s">
        <v>14648</v>
      </c>
      <c r="J6173" t="s">
        <v>7984</v>
      </c>
    </row>
    <row r="6174" spans="1:10" x14ac:dyDescent="0.25">
      <c r="A6174" t="s">
        <v>21405</v>
      </c>
      <c r="B6174">
        <v>7.2</v>
      </c>
      <c r="C6174" t="s">
        <v>21406</v>
      </c>
      <c r="D6174" t="s">
        <v>781</v>
      </c>
      <c r="E6174" t="s">
        <v>21385</v>
      </c>
      <c r="F6174" t="s">
        <v>7672</v>
      </c>
      <c r="G6174" t="s">
        <v>21386</v>
      </c>
      <c r="H6174" t="s">
        <v>14647</v>
      </c>
      <c r="I6174" t="s">
        <v>14651</v>
      </c>
      <c r="J6174" t="s">
        <v>7984</v>
      </c>
    </row>
    <row r="6175" spans="1:10" x14ac:dyDescent="0.25">
      <c r="A6175" t="s">
        <v>21407</v>
      </c>
      <c r="B6175">
        <v>7.2</v>
      </c>
      <c r="C6175" t="s">
        <v>21408</v>
      </c>
      <c r="D6175" t="s">
        <v>321</v>
      </c>
      <c r="E6175" t="s">
        <v>21385</v>
      </c>
      <c r="F6175" t="s">
        <v>7672</v>
      </c>
      <c r="G6175" t="s">
        <v>21386</v>
      </c>
      <c r="H6175" t="s">
        <v>14647</v>
      </c>
      <c r="I6175" t="s">
        <v>11789</v>
      </c>
      <c r="J6175" t="s">
        <v>7984</v>
      </c>
    </row>
    <row r="6176" spans="1:10" x14ac:dyDescent="0.25">
      <c r="A6176" t="s">
        <v>21409</v>
      </c>
      <c r="B6176">
        <v>7.2</v>
      </c>
      <c r="C6176" t="s">
        <v>21410</v>
      </c>
      <c r="D6176" t="s">
        <v>626</v>
      </c>
      <c r="E6176" t="s">
        <v>21385</v>
      </c>
      <c r="F6176" t="s">
        <v>7672</v>
      </c>
      <c r="G6176" t="s">
        <v>21386</v>
      </c>
      <c r="H6176" t="s">
        <v>14647</v>
      </c>
      <c r="I6176" t="s">
        <v>76</v>
      </c>
      <c r="J6176" t="s">
        <v>7987</v>
      </c>
    </row>
    <row r="6177" spans="1:10" x14ac:dyDescent="0.25">
      <c r="A6177" t="s">
        <v>21411</v>
      </c>
      <c r="B6177">
        <v>7.2</v>
      </c>
      <c r="C6177" t="s">
        <v>21412</v>
      </c>
      <c r="D6177" t="s">
        <v>450</v>
      </c>
      <c r="E6177" t="s">
        <v>21385</v>
      </c>
      <c r="F6177" t="s">
        <v>7672</v>
      </c>
      <c r="G6177" t="s">
        <v>21386</v>
      </c>
      <c r="H6177" t="s">
        <v>14647</v>
      </c>
      <c r="I6177" t="s">
        <v>14654</v>
      </c>
      <c r="J6177" t="s">
        <v>7987</v>
      </c>
    </row>
    <row r="6178" spans="1:10" x14ac:dyDescent="0.25">
      <c r="A6178" t="s">
        <v>21413</v>
      </c>
      <c r="B6178">
        <v>7.2</v>
      </c>
      <c r="C6178" t="s">
        <v>21414</v>
      </c>
      <c r="D6178" t="s">
        <v>870</v>
      </c>
      <c r="E6178" t="s">
        <v>21385</v>
      </c>
      <c r="F6178" t="s">
        <v>7672</v>
      </c>
      <c r="G6178" t="s">
        <v>21386</v>
      </c>
      <c r="H6178" t="s">
        <v>14647</v>
      </c>
      <c r="I6178" t="s">
        <v>11789</v>
      </c>
      <c r="J6178" t="s">
        <v>7987</v>
      </c>
    </row>
    <row r="6179" spans="1:10" x14ac:dyDescent="0.25">
      <c r="A6179" t="s">
        <v>21415</v>
      </c>
      <c r="B6179">
        <v>7.2</v>
      </c>
      <c r="C6179" t="s">
        <v>21416</v>
      </c>
      <c r="D6179" t="s">
        <v>698</v>
      </c>
      <c r="E6179" t="s">
        <v>21385</v>
      </c>
      <c r="F6179" t="s">
        <v>7672</v>
      </c>
      <c r="G6179" t="s">
        <v>21386</v>
      </c>
      <c r="H6179" t="s">
        <v>14647</v>
      </c>
      <c r="I6179" t="s">
        <v>14648</v>
      </c>
      <c r="J6179" t="s">
        <v>7987</v>
      </c>
    </row>
    <row r="6180" spans="1:10" x14ac:dyDescent="0.25">
      <c r="A6180" t="s">
        <v>21417</v>
      </c>
      <c r="B6180">
        <v>7.2</v>
      </c>
      <c r="C6180" t="s">
        <v>21418</v>
      </c>
      <c r="D6180" t="s">
        <v>1254</v>
      </c>
      <c r="E6180" t="s">
        <v>21385</v>
      </c>
      <c r="F6180" t="s">
        <v>7672</v>
      </c>
      <c r="G6180" t="s">
        <v>21386</v>
      </c>
      <c r="H6180" t="s">
        <v>14647</v>
      </c>
      <c r="I6180" t="s">
        <v>19162</v>
      </c>
      <c r="J6180" t="s">
        <v>7987</v>
      </c>
    </row>
    <row r="6181" spans="1:10" x14ac:dyDescent="0.25">
      <c r="A6181" t="s">
        <v>21419</v>
      </c>
      <c r="B6181">
        <v>7.2</v>
      </c>
      <c r="C6181" t="s">
        <v>21420</v>
      </c>
      <c r="D6181" t="s">
        <v>106</v>
      </c>
      <c r="E6181" t="s">
        <v>21385</v>
      </c>
      <c r="F6181" t="s">
        <v>7672</v>
      </c>
      <c r="G6181" t="s">
        <v>21386</v>
      </c>
      <c r="H6181" t="s">
        <v>14647</v>
      </c>
      <c r="I6181" t="s">
        <v>14651</v>
      </c>
      <c r="J6181" t="s">
        <v>7987</v>
      </c>
    </row>
    <row r="6182" spans="1:10" x14ac:dyDescent="0.25">
      <c r="A6182" t="s">
        <v>21421</v>
      </c>
      <c r="B6182">
        <v>7.2</v>
      </c>
      <c r="C6182" t="s">
        <v>21422</v>
      </c>
      <c r="D6182" t="s">
        <v>277</v>
      </c>
      <c r="E6182" t="s">
        <v>21385</v>
      </c>
      <c r="F6182" t="s">
        <v>7672</v>
      </c>
      <c r="G6182" t="s">
        <v>21386</v>
      </c>
      <c r="H6182" t="s">
        <v>14647</v>
      </c>
      <c r="I6182" t="s">
        <v>76</v>
      </c>
      <c r="J6182" t="s">
        <v>8001</v>
      </c>
    </row>
    <row r="6183" spans="1:10" x14ac:dyDescent="0.25">
      <c r="A6183" t="s">
        <v>21423</v>
      </c>
      <c r="B6183">
        <v>7.2</v>
      </c>
      <c r="C6183" t="s">
        <v>21424</v>
      </c>
      <c r="D6183" t="s">
        <v>903</v>
      </c>
      <c r="E6183" t="s">
        <v>21385</v>
      </c>
      <c r="F6183" t="s">
        <v>7672</v>
      </c>
      <c r="G6183" t="s">
        <v>21386</v>
      </c>
      <c r="H6183" t="s">
        <v>14647</v>
      </c>
      <c r="I6183" t="s">
        <v>11789</v>
      </c>
      <c r="J6183" t="s">
        <v>8001</v>
      </c>
    </row>
    <row r="6184" spans="1:10" x14ac:dyDescent="0.25">
      <c r="A6184" t="s">
        <v>21425</v>
      </c>
      <c r="B6184">
        <v>7.2</v>
      </c>
      <c r="C6184" t="s">
        <v>21426</v>
      </c>
      <c r="D6184" t="s">
        <v>3378</v>
      </c>
      <c r="E6184" t="s">
        <v>21385</v>
      </c>
      <c r="F6184" t="s">
        <v>7672</v>
      </c>
      <c r="G6184" t="s">
        <v>21386</v>
      </c>
      <c r="H6184" t="s">
        <v>14647</v>
      </c>
      <c r="I6184" t="s">
        <v>14654</v>
      </c>
      <c r="J6184" t="s">
        <v>8001</v>
      </c>
    </row>
    <row r="6185" spans="1:10" x14ac:dyDescent="0.25">
      <c r="A6185" t="s">
        <v>21427</v>
      </c>
      <c r="B6185">
        <v>7.2</v>
      </c>
      <c r="C6185" t="s">
        <v>21428</v>
      </c>
      <c r="D6185" t="s">
        <v>1852</v>
      </c>
      <c r="E6185" t="s">
        <v>21385</v>
      </c>
      <c r="F6185" t="s">
        <v>7672</v>
      </c>
      <c r="G6185" t="s">
        <v>21386</v>
      </c>
      <c r="H6185" t="s">
        <v>14647</v>
      </c>
      <c r="I6185" t="s">
        <v>19162</v>
      </c>
      <c r="J6185" t="s">
        <v>8001</v>
      </c>
    </row>
    <row r="6186" spans="1:10" x14ac:dyDescent="0.25">
      <c r="A6186" t="s">
        <v>21429</v>
      </c>
      <c r="B6186">
        <v>7.2</v>
      </c>
      <c r="C6186" t="s">
        <v>21430</v>
      </c>
      <c r="D6186" t="s">
        <v>113</v>
      </c>
      <c r="E6186" t="s">
        <v>21385</v>
      </c>
      <c r="F6186" t="s">
        <v>7672</v>
      </c>
      <c r="G6186" t="s">
        <v>21386</v>
      </c>
      <c r="H6186" t="s">
        <v>14647</v>
      </c>
      <c r="I6186" t="s">
        <v>14651</v>
      </c>
      <c r="J6186" t="s">
        <v>8001</v>
      </c>
    </row>
    <row r="6187" spans="1:10" x14ac:dyDescent="0.25">
      <c r="A6187" t="s">
        <v>21431</v>
      </c>
      <c r="B6187">
        <v>7.2</v>
      </c>
      <c r="C6187" t="s">
        <v>21432</v>
      </c>
      <c r="D6187" t="s">
        <v>3577</v>
      </c>
      <c r="E6187" t="s">
        <v>21385</v>
      </c>
      <c r="F6187" t="s">
        <v>7672</v>
      </c>
      <c r="G6187" t="s">
        <v>21386</v>
      </c>
      <c r="H6187" t="s">
        <v>14647</v>
      </c>
      <c r="I6187" t="s">
        <v>14648</v>
      </c>
      <c r="J6187" t="s">
        <v>8001</v>
      </c>
    </row>
    <row r="6188" spans="1:10" x14ac:dyDescent="0.25">
      <c r="A6188" t="s">
        <v>21433</v>
      </c>
      <c r="B6188">
        <v>6.4</v>
      </c>
      <c r="C6188" t="s">
        <v>21434</v>
      </c>
      <c r="D6188" t="s">
        <v>843</v>
      </c>
      <c r="E6188" t="s">
        <v>21435</v>
      </c>
      <c r="F6188" t="s">
        <v>7672</v>
      </c>
      <c r="G6188" t="s">
        <v>21436</v>
      </c>
      <c r="H6188" t="s">
        <v>11496</v>
      </c>
      <c r="I6188" t="s">
        <v>21437</v>
      </c>
      <c r="J6188" t="s">
        <v>11767</v>
      </c>
    </row>
    <row r="6189" spans="1:10" x14ac:dyDescent="0.25">
      <c r="A6189" t="s">
        <v>21438</v>
      </c>
      <c r="B6189">
        <v>13.992000000000001</v>
      </c>
      <c r="C6189" t="s">
        <v>21439</v>
      </c>
      <c r="D6189" t="s">
        <v>53</v>
      </c>
      <c r="E6189" t="s">
        <v>21440</v>
      </c>
      <c r="F6189" t="s">
        <v>7672</v>
      </c>
      <c r="G6189" t="s">
        <v>21441</v>
      </c>
      <c r="H6189" t="s">
        <v>7674</v>
      </c>
      <c r="I6189" t="s">
        <v>15424</v>
      </c>
      <c r="J6189" t="s">
        <v>8001</v>
      </c>
    </row>
    <row r="6190" spans="1:10" x14ac:dyDescent="0.25">
      <c r="A6190" t="s">
        <v>21442</v>
      </c>
      <c r="B6190">
        <v>13.992000000000001</v>
      </c>
      <c r="C6190" t="s">
        <v>21443</v>
      </c>
      <c r="D6190" t="s">
        <v>53</v>
      </c>
      <c r="E6190" t="s">
        <v>21440</v>
      </c>
      <c r="F6190" t="s">
        <v>7672</v>
      </c>
      <c r="G6190" t="s">
        <v>21441</v>
      </c>
      <c r="H6190" t="s">
        <v>7674</v>
      </c>
      <c r="I6190" t="s">
        <v>15427</v>
      </c>
      <c r="J6190" t="s">
        <v>8001</v>
      </c>
    </row>
    <row r="6191" spans="1:10" x14ac:dyDescent="0.25">
      <c r="A6191" t="s">
        <v>5785</v>
      </c>
      <c r="B6191">
        <v>10.8</v>
      </c>
      <c r="C6191" t="s">
        <v>5787</v>
      </c>
      <c r="D6191" t="s">
        <v>1097</v>
      </c>
      <c r="E6191" t="s">
        <v>5788</v>
      </c>
      <c r="F6191" t="s">
        <v>7672</v>
      </c>
      <c r="G6191" t="s">
        <v>21444</v>
      </c>
      <c r="H6191" t="s">
        <v>8078</v>
      </c>
      <c r="I6191" t="s">
        <v>76</v>
      </c>
      <c r="J6191" t="s">
        <v>8427</v>
      </c>
    </row>
    <row r="6192" spans="1:10" x14ac:dyDescent="0.25">
      <c r="A6192" t="s">
        <v>5791</v>
      </c>
      <c r="B6192">
        <v>10.8</v>
      </c>
      <c r="C6192" t="s">
        <v>5793</v>
      </c>
      <c r="D6192" t="s">
        <v>742</v>
      </c>
      <c r="E6192" t="s">
        <v>5788</v>
      </c>
      <c r="F6192" t="s">
        <v>7672</v>
      </c>
      <c r="G6192" t="s">
        <v>21444</v>
      </c>
      <c r="H6192" t="s">
        <v>8078</v>
      </c>
      <c r="I6192" t="s">
        <v>8982</v>
      </c>
      <c r="J6192" t="s">
        <v>8427</v>
      </c>
    </row>
    <row r="6193" spans="1:10" x14ac:dyDescent="0.25">
      <c r="A6193" t="s">
        <v>5795</v>
      </c>
      <c r="B6193">
        <v>10.8</v>
      </c>
      <c r="C6193" t="s">
        <v>5797</v>
      </c>
      <c r="D6193" t="s">
        <v>3023</v>
      </c>
      <c r="E6193" t="s">
        <v>5788</v>
      </c>
      <c r="F6193" t="s">
        <v>7672</v>
      </c>
      <c r="G6193" t="s">
        <v>21444</v>
      </c>
      <c r="H6193" t="s">
        <v>8078</v>
      </c>
      <c r="I6193" t="s">
        <v>76</v>
      </c>
      <c r="J6193" t="s">
        <v>8439</v>
      </c>
    </row>
    <row r="6194" spans="1:10" x14ac:dyDescent="0.25">
      <c r="A6194" t="s">
        <v>5799</v>
      </c>
      <c r="B6194">
        <v>10.8</v>
      </c>
      <c r="C6194" t="s">
        <v>5801</v>
      </c>
      <c r="D6194" t="s">
        <v>2787</v>
      </c>
      <c r="E6194" t="s">
        <v>5788</v>
      </c>
      <c r="F6194" t="s">
        <v>7672</v>
      </c>
      <c r="G6194" t="s">
        <v>21444</v>
      </c>
      <c r="H6194" t="s">
        <v>8078</v>
      </c>
      <c r="I6194" t="s">
        <v>8982</v>
      </c>
      <c r="J6194" t="s">
        <v>8439</v>
      </c>
    </row>
    <row r="6195" spans="1:10" x14ac:dyDescent="0.25">
      <c r="A6195" t="s">
        <v>5803</v>
      </c>
      <c r="B6195">
        <v>10.8</v>
      </c>
      <c r="C6195" t="s">
        <v>5805</v>
      </c>
      <c r="D6195" t="s">
        <v>3409</v>
      </c>
      <c r="E6195" t="s">
        <v>5788</v>
      </c>
      <c r="F6195" t="s">
        <v>7672</v>
      </c>
      <c r="G6195" t="s">
        <v>21444</v>
      </c>
      <c r="H6195" t="s">
        <v>8078</v>
      </c>
      <c r="I6195" t="s">
        <v>76</v>
      </c>
      <c r="J6195" t="s">
        <v>8451</v>
      </c>
    </row>
    <row r="6196" spans="1:10" x14ac:dyDescent="0.25">
      <c r="A6196" t="s">
        <v>5807</v>
      </c>
      <c r="B6196">
        <v>10.8</v>
      </c>
      <c r="C6196" t="s">
        <v>5809</v>
      </c>
      <c r="D6196" t="s">
        <v>975</v>
      </c>
      <c r="E6196" t="s">
        <v>5788</v>
      </c>
      <c r="F6196" t="s">
        <v>7672</v>
      </c>
      <c r="G6196" t="s">
        <v>21444</v>
      </c>
      <c r="H6196" t="s">
        <v>8078</v>
      </c>
      <c r="I6196" t="s">
        <v>8982</v>
      </c>
      <c r="J6196" t="s">
        <v>8451</v>
      </c>
    </row>
    <row r="6197" spans="1:10" x14ac:dyDescent="0.25">
      <c r="A6197" t="s">
        <v>21445</v>
      </c>
      <c r="B6197">
        <v>14.4</v>
      </c>
      <c r="C6197" t="s">
        <v>21446</v>
      </c>
      <c r="D6197" t="s">
        <v>843</v>
      </c>
      <c r="E6197" t="s">
        <v>21447</v>
      </c>
      <c r="F6197" t="s">
        <v>7672</v>
      </c>
      <c r="G6197" t="s">
        <v>21448</v>
      </c>
      <c r="H6197" t="s">
        <v>7965</v>
      </c>
      <c r="I6197" t="s">
        <v>5202</v>
      </c>
      <c r="J6197" t="s">
        <v>7981</v>
      </c>
    </row>
    <row r="6198" spans="1:10" x14ac:dyDescent="0.25">
      <c r="A6198" t="s">
        <v>21449</v>
      </c>
      <c r="B6198">
        <v>14.4</v>
      </c>
      <c r="C6198" t="s">
        <v>21450</v>
      </c>
      <c r="D6198" t="s">
        <v>516</v>
      </c>
      <c r="E6198" t="s">
        <v>21447</v>
      </c>
      <c r="F6198" t="s">
        <v>7672</v>
      </c>
      <c r="G6198" t="s">
        <v>21448</v>
      </c>
      <c r="H6198" t="s">
        <v>7965</v>
      </c>
      <c r="I6198" t="s">
        <v>5202</v>
      </c>
      <c r="J6198" t="s">
        <v>7984</v>
      </c>
    </row>
    <row r="6199" spans="1:10" x14ac:dyDescent="0.25">
      <c r="A6199" t="s">
        <v>21451</v>
      </c>
      <c r="B6199">
        <v>9.68</v>
      </c>
      <c r="C6199" t="s">
        <v>21452</v>
      </c>
      <c r="D6199" t="s">
        <v>1852</v>
      </c>
      <c r="E6199" t="s">
        <v>21453</v>
      </c>
      <c r="F6199" t="s">
        <v>7672</v>
      </c>
      <c r="G6199" t="s">
        <v>21454</v>
      </c>
      <c r="H6199" t="s">
        <v>10298</v>
      </c>
      <c r="I6199" t="s">
        <v>14835</v>
      </c>
      <c r="J6199" t="s">
        <v>8980</v>
      </c>
    </row>
    <row r="6200" spans="1:10" x14ac:dyDescent="0.25">
      <c r="A6200" t="s">
        <v>21455</v>
      </c>
      <c r="B6200">
        <v>9.68</v>
      </c>
      <c r="C6200" t="s">
        <v>21456</v>
      </c>
      <c r="D6200" t="s">
        <v>742</v>
      </c>
      <c r="E6200" t="s">
        <v>21453</v>
      </c>
      <c r="F6200" t="s">
        <v>7672</v>
      </c>
      <c r="G6200" t="s">
        <v>21454</v>
      </c>
      <c r="H6200" t="s">
        <v>10298</v>
      </c>
      <c r="I6200" t="s">
        <v>76</v>
      </c>
      <c r="J6200" t="s">
        <v>53</v>
      </c>
    </row>
    <row r="6201" spans="1:10" x14ac:dyDescent="0.25">
      <c r="A6201" t="s">
        <v>21457</v>
      </c>
      <c r="B6201">
        <v>9.68</v>
      </c>
      <c r="C6201" t="s">
        <v>21458</v>
      </c>
      <c r="D6201" t="s">
        <v>2099</v>
      </c>
      <c r="E6201" t="s">
        <v>21453</v>
      </c>
      <c r="F6201" t="s">
        <v>7672</v>
      </c>
      <c r="G6201" t="s">
        <v>21454</v>
      </c>
      <c r="H6201" t="s">
        <v>10298</v>
      </c>
      <c r="I6201" t="s">
        <v>14835</v>
      </c>
      <c r="J6201" t="s">
        <v>53</v>
      </c>
    </row>
    <row r="6202" spans="1:10" x14ac:dyDescent="0.25">
      <c r="A6202" t="s">
        <v>21459</v>
      </c>
      <c r="B6202">
        <v>9.68</v>
      </c>
      <c r="C6202" t="s">
        <v>21460</v>
      </c>
      <c r="D6202" t="s">
        <v>3470</v>
      </c>
      <c r="E6202" t="s">
        <v>21453</v>
      </c>
      <c r="F6202" t="s">
        <v>7672</v>
      </c>
      <c r="G6202" t="s">
        <v>21454</v>
      </c>
      <c r="H6202" t="s">
        <v>10298</v>
      </c>
      <c r="I6202" t="s">
        <v>76</v>
      </c>
      <c r="J6202" t="s">
        <v>342</v>
      </c>
    </row>
    <row r="6203" spans="1:10" x14ac:dyDescent="0.25">
      <c r="A6203" t="s">
        <v>21461</v>
      </c>
      <c r="B6203">
        <v>9.68</v>
      </c>
      <c r="C6203" t="s">
        <v>21462</v>
      </c>
      <c r="D6203" t="s">
        <v>306</v>
      </c>
      <c r="E6203" t="s">
        <v>21453</v>
      </c>
      <c r="F6203" t="s">
        <v>7672</v>
      </c>
      <c r="G6203" t="s">
        <v>21454</v>
      </c>
      <c r="H6203" t="s">
        <v>10298</v>
      </c>
      <c r="I6203" t="s">
        <v>14835</v>
      </c>
      <c r="J6203" t="s">
        <v>342</v>
      </c>
    </row>
    <row r="6204" spans="1:10" x14ac:dyDescent="0.25">
      <c r="A6204" t="s">
        <v>21463</v>
      </c>
      <c r="B6204">
        <v>9.68</v>
      </c>
      <c r="C6204" t="s">
        <v>21464</v>
      </c>
      <c r="D6204" t="s">
        <v>9951</v>
      </c>
      <c r="E6204" t="s">
        <v>21453</v>
      </c>
      <c r="F6204" t="s">
        <v>7672</v>
      </c>
      <c r="G6204" t="s">
        <v>21454</v>
      </c>
      <c r="H6204" t="s">
        <v>10298</v>
      </c>
      <c r="I6204" t="s">
        <v>76</v>
      </c>
      <c r="J6204" t="s">
        <v>106</v>
      </c>
    </row>
    <row r="6205" spans="1:10" x14ac:dyDescent="0.25">
      <c r="A6205" t="s">
        <v>21465</v>
      </c>
      <c r="B6205">
        <v>9.68</v>
      </c>
      <c r="C6205" t="s">
        <v>21466</v>
      </c>
      <c r="D6205" t="s">
        <v>582</v>
      </c>
      <c r="E6205" t="s">
        <v>21453</v>
      </c>
      <c r="F6205" t="s">
        <v>7672</v>
      </c>
      <c r="G6205" t="s">
        <v>21454</v>
      </c>
      <c r="H6205" t="s">
        <v>10298</v>
      </c>
      <c r="I6205" t="s">
        <v>14835</v>
      </c>
      <c r="J6205" t="s">
        <v>106</v>
      </c>
    </row>
    <row r="6206" spans="1:10" x14ac:dyDescent="0.25">
      <c r="A6206" t="s">
        <v>21467</v>
      </c>
      <c r="B6206">
        <v>9.68</v>
      </c>
      <c r="C6206" t="s">
        <v>21468</v>
      </c>
      <c r="D6206" t="s">
        <v>8816</v>
      </c>
      <c r="E6206" t="s">
        <v>21453</v>
      </c>
      <c r="F6206" t="s">
        <v>7672</v>
      </c>
      <c r="G6206" t="s">
        <v>21454</v>
      </c>
      <c r="H6206" t="s">
        <v>10298</v>
      </c>
      <c r="I6206" t="s">
        <v>76</v>
      </c>
      <c r="J6206" t="s">
        <v>131</v>
      </c>
    </row>
    <row r="6207" spans="1:10" x14ac:dyDescent="0.25">
      <c r="A6207" t="s">
        <v>21469</v>
      </c>
      <c r="B6207">
        <v>9.68</v>
      </c>
      <c r="C6207" t="s">
        <v>21470</v>
      </c>
      <c r="D6207" t="s">
        <v>2138</v>
      </c>
      <c r="E6207" t="s">
        <v>21453</v>
      </c>
      <c r="F6207" t="s">
        <v>7672</v>
      </c>
      <c r="G6207" t="s">
        <v>21454</v>
      </c>
      <c r="H6207" t="s">
        <v>10298</v>
      </c>
      <c r="I6207" t="s">
        <v>76</v>
      </c>
      <c r="J6207" t="s">
        <v>576</v>
      </c>
    </row>
    <row r="6208" spans="1:10" x14ac:dyDescent="0.25">
      <c r="A6208" t="s">
        <v>5811</v>
      </c>
      <c r="B6208">
        <v>21.6</v>
      </c>
      <c r="C6208" t="s">
        <v>5813</v>
      </c>
      <c r="D6208" t="s">
        <v>53</v>
      </c>
      <c r="E6208" t="s">
        <v>5814</v>
      </c>
      <c r="F6208" t="s">
        <v>7672</v>
      </c>
      <c r="G6208" t="s">
        <v>21471</v>
      </c>
      <c r="H6208" t="s">
        <v>10970</v>
      </c>
      <c r="I6208" t="s">
        <v>5817</v>
      </c>
      <c r="J6208" t="s">
        <v>7987</v>
      </c>
    </row>
    <row r="6209" spans="1:10" x14ac:dyDescent="0.25">
      <c r="A6209" t="s">
        <v>5818</v>
      </c>
      <c r="B6209">
        <v>21.6</v>
      </c>
      <c r="C6209" t="s">
        <v>5820</v>
      </c>
      <c r="D6209" t="s">
        <v>229</v>
      </c>
      <c r="E6209" t="s">
        <v>5814</v>
      </c>
      <c r="F6209" t="s">
        <v>7672</v>
      </c>
      <c r="G6209" t="s">
        <v>21471</v>
      </c>
      <c r="H6209" t="s">
        <v>10970</v>
      </c>
      <c r="I6209" t="s">
        <v>5817</v>
      </c>
      <c r="J6209" t="s">
        <v>8001</v>
      </c>
    </row>
    <row r="6210" spans="1:10" x14ac:dyDescent="0.25">
      <c r="A6210" t="s">
        <v>5822</v>
      </c>
      <c r="B6210">
        <v>11.992000000000001</v>
      </c>
      <c r="C6210" t="s">
        <v>5824</v>
      </c>
      <c r="D6210" t="s">
        <v>4799</v>
      </c>
      <c r="E6210" t="s">
        <v>5825</v>
      </c>
      <c r="F6210" t="s">
        <v>7672</v>
      </c>
      <c r="G6210" t="s">
        <v>21472</v>
      </c>
      <c r="H6210" t="s">
        <v>21473</v>
      </c>
      <c r="I6210" t="s">
        <v>76</v>
      </c>
      <c r="J6210" t="s">
        <v>9694</v>
      </c>
    </row>
    <row r="6211" spans="1:10" x14ac:dyDescent="0.25">
      <c r="A6211" t="s">
        <v>5827</v>
      </c>
      <c r="B6211">
        <v>7.6000000000000014</v>
      </c>
      <c r="C6211" t="s">
        <v>5829</v>
      </c>
      <c r="D6211" t="s">
        <v>5832</v>
      </c>
      <c r="E6211" t="s">
        <v>5830</v>
      </c>
      <c r="F6211" t="s">
        <v>7672</v>
      </c>
      <c r="G6211" t="s">
        <v>21474</v>
      </c>
      <c r="H6211" t="s">
        <v>11496</v>
      </c>
      <c r="I6211" t="s">
        <v>21475</v>
      </c>
      <c r="J6211" t="s">
        <v>11767</v>
      </c>
    </row>
    <row r="6212" spans="1:10" x14ac:dyDescent="0.25">
      <c r="A6212" t="s">
        <v>5834</v>
      </c>
      <c r="B6212">
        <v>7.6000000000000014</v>
      </c>
      <c r="C6212" t="s">
        <v>5836</v>
      </c>
      <c r="D6212" t="s">
        <v>3203</v>
      </c>
      <c r="E6212" t="s">
        <v>5830</v>
      </c>
      <c r="F6212" t="s">
        <v>7672</v>
      </c>
      <c r="G6212" t="s">
        <v>21474</v>
      </c>
      <c r="H6212" t="s">
        <v>11496</v>
      </c>
      <c r="I6212" t="s">
        <v>21475</v>
      </c>
      <c r="J6212" t="s">
        <v>11582</v>
      </c>
    </row>
    <row r="6213" spans="1:10" x14ac:dyDescent="0.25">
      <c r="A6213" t="s">
        <v>21476</v>
      </c>
      <c r="B6213">
        <v>5.032</v>
      </c>
      <c r="C6213" t="s">
        <v>21477</v>
      </c>
      <c r="D6213" t="s">
        <v>164</v>
      </c>
      <c r="E6213" t="s">
        <v>21478</v>
      </c>
      <c r="F6213" t="s">
        <v>7672</v>
      </c>
      <c r="G6213" t="s">
        <v>21479</v>
      </c>
      <c r="H6213" t="s">
        <v>7674</v>
      </c>
      <c r="I6213" t="s">
        <v>21480</v>
      </c>
      <c r="J6213" t="s">
        <v>16039</v>
      </c>
    </row>
    <row r="6214" spans="1:10" x14ac:dyDescent="0.25">
      <c r="A6214" t="s">
        <v>21481</v>
      </c>
      <c r="B6214">
        <v>5.032</v>
      </c>
      <c r="C6214" t="s">
        <v>21482</v>
      </c>
      <c r="D6214" t="s">
        <v>164</v>
      </c>
      <c r="E6214" t="s">
        <v>21478</v>
      </c>
      <c r="F6214" t="s">
        <v>7672</v>
      </c>
      <c r="G6214" t="s">
        <v>21479</v>
      </c>
      <c r="H6214" t="s">
        <v>7674</v>
      </c>
      <c r="I6214" t="s">
        <v>21483</v>
      </c>
      <c r="J6214" t="s">
        <v>16039</v>
      </c>
    </row>
    <row r="6215" spans="1:10" x14ac:dyDescent="0.25">
      <c r="A6215" t="s">
        <v>21484</v>
      </c>
      <c r="B6215">
        <v>5.032</v>
      </c>
      <c r="C6215" t="s">
        <v>21485</v>
      </c>
      <c r="D6215" t="s">
        <v>118</v>
      </c>
      <c r="E6215" t="s">
        <v>21478</v>
      </c>
      <c r="F6215" t="s">
        <v>7672</v>
      </c>
      <c r="G6215" t="s">
        <v>21479</v>
      </c>
      <c r="H6215" t="s">
        <v>7674</v>
      </c>
      <c r="I6215" t="s">
        <v>11082</v>
      </c>
      <c r="J6215" t="s">
        <v>16039</v>
      </c>
    </row>
    <row r="6216" spans="1:10" x14ac:dyDescent="0.25">
      <c r="A6216" t="s">
        <v>21486</v>
      </c>
      <c r="B6216">
        <v>5.032</v>
      </c>
      <c r="C6216" t="s">
        <v>21487</v>
      </c>
      <c r="D6216" t="s">
        <v>613</v>
      </c>
      <c r="E6216" t="s">
        <v>21478</v>
      </c>
      <c r="F6216" t="s">
        <v>7672</v>
      </c>
      <c r="G6216" t="s">
        <v>21479</v>
      </c>
      <c r="H6216" t="s">
        <v>7674</v>
      </c>
      <c r="I6216" t="s">
        <v>21480</v>
      </c>
      <c r="J6216" t="s">
        <v>16064</v>
      </c>
    </row>
    <row r="6217" spans="1:10" x14ac:dyDescent="0.25">
      <c r="A6217" t="s">
        <v>21488</v>
      </c>
      <c r="B6217">
        <v>5.032</v>
      </c>
      <c r="C6217" t="s">
        <v>21489</v>
      </c>
      <c r="D6217" t="s">
        <v>46</v>
      </c>
      <c r="E6217" t="s">
        <v>21478</v>
      </c>
      <c r="F6217" t="s">
        <v>7672</v>
      </c>
      <c r="G6217" t="s">
        <v>21479</v>
      </c>
      <c r="H6217" t="s">
        <v>7674</v>
      </c>
      <c r="I6217" t="s">
        <v>11082</v>
      </c>
      <c r="J6217" t="s">
        <v>16064</v>
      </c>
    </row>
    <row r="6218" spans="1:10" x14ac:dyDescent="0.25">
      <c r="A6218" t="s">
        <v>21490</v>
      </c>
      <c r="B6218">
        <v>5.032</v>
      </c>
      <c r="C6218" t="s">
        <v>21491</v>
      </c>
      <c r="D6218" t="s">
        <v>342</v>
      </c>
      <c r="E6218" t="s">
        <v>21478</v>
      </c>
      <c r="F6218" t="s">
        <v>7672</v>
      </c>
      <c r="G6218" t="s">
        <v>21479</v>
      </c>
      <c r="H6218" t="s">
        <v>7674</v>
      </c>
      <c r="I6218" t="s">
        <v>21483</v>
      </c>
      <c r="J6218" t="s">
        <v>16064</v>
      </c>
    </row>
    <row r="6219" spans="1:10" x14ac:dyDescent="0.25">
      <c r="A6219" t="s">
        <v>21492</v>
      </c>
      <c r="B6219">
        <v>5.032</v>
      </c>
      <c r="C6219" t="s">
        <v>21493</v>
      </c>
      <c r="D6219" t="s">
        <v>1143</v>
      </c>
      <c r="E6219" t="s">
        <v>21478</v>
      </c>
      <c r="F6219" t="s">
        <v>7672</v>
      </c>
      <c r="G6219" t="s">
        <v>21479</v>
      </c>
      <c r="H6219" t="s">
        <v>7674</v>
      </c>
      <c r="I6219" t="s">
        <v>21494</v>
      </c>
      <c r="J6219" t="s">
        <v>16064</v>
      </c>
    </row>
    <row r="6220" spans="1:10" x14ac:dyDescent="0.25">
      <c r="A6220" t="s">
        <v>21495</v>
      </c>
      <c r="B6220">
        <v>5.032</v>
      </c>
      <c r="C6220" t="s">
        <v>21496</v>
      </c>
      <c r="D6220" t="s">
        <v>366</v>
      </c>
      <c r="E6220" t="s">
        <v>21478</v>
      </c>
      <c r="F6220" t="s">
        <v>7672</v>
      </c>
      <c r="G6220" t="s">
        <v>21479</v>
      </c>
      <c r="H6220" t="s">
        <v>7674</v>
      </c>
      <c r="I6220" t="s">
        <v>21480</v>
      </c>
      <c r="J6220" t="s">
        <v>16089</v>
      </c>
    </row>
    <row r="6221" spans="1:10" x14ac:dyDescent="0.25">
      <c r="A6221" t="s">
        <v>21497</v>
      </c>
      <c r="B6221">
        <v>5.032</v>
      </c>
      <c r="C6221" t="s">
        <v>21498</v>
      </c>
      <c r="D6221" t="s">
        <v>1014</v>
      </c>
      <c r="E6221" t="s">
        <v>21478</v>
      </c>
      <c r="F6221" t="s">
        <v>7672</v>
      </c>
      <c r="G6221" t="s">
        <v>21479</v>
      </c>
      <c r="H6221" t="s">
        <v>7674</v>
      </c>
      <c r="I6221" t="s">
        <v>11082</v>
      </c>
      <c r="J6221" t="s">
        <v>16089</v>
      </c>
    </row>
    <row r="6222" spans="1:10" x14ac:dyDescent="0.25">
      <c r="A6222" t="s">
        <v>21499</v>
      </c>
      <c r="B6222">
        <v>5.032</v>
      </c>
      <c r="C6222" t="s">
        <v>21500</v>
      </c>
      <c r="D6222" t="s">
        <v>3110</v>
      </c>
      <c r="E6222" t="s">
        <v>21478</v>
      </c>
      <c r="F6222" t="s">
        <v>7672</v>
      </c>
      <c r="G6222" t="s">
        <v>21479</v>
      </c>
      <c r="H6222" t="s">
        <v>7674</v>
      </c>
      <c r="I6222" t="s">
        <v>11082</v>
      </c>
      <c r="J6222" t="s">
        <v>16104</v>
      </c>
    </row>
    <row r="6223" spans="1:10" x14ac:dyDescent="0.25">
      <c r="A6223" t="s">
        <v>21501</v>
      </c>
      <c r="B6223">
        <v>5.032</v>
      </c>
      <c r="C6223" t="s">
        <v>21502</v>
      </c>
      <c r="D6223" t="s">
        <v>245</v>
      </c>
      <c r="E6223" t="s">
        <v>21478</v>
      </c>
      <c r="F6223" t="s">
        <v>7672</v>
      </c>
      <c r="G6223" t="s">
        <v>21479</v>
      </c>
      <c r="H6223" t="s">
        <v>7674</v>
      </c>
      <c r="I6223" t="s">
        <v>11082</v>
      </c>
      <c r="J6223" t="s">
        <v>16125</v>
      </c>
    </row>
    <row r="6224" spans="1:10" x14ac:dyDescent="0.25">
      <c r="A6224" t="s">
        <v>21503</v>
      </c>
      <c r="B6224">
        <v>5.032</v>
      </c>
      <c r="C6224" t="s">
        <v>21504</v>
      </c>
      <c r="D6224" t="s">
        <v>234</v>
      </c>
      <c r="E6224" t="s">
        <v>21478</v>
      </c>
      <c r="F6224" t="s">
        <v>7672</v>
      </c>
      <c r="G6224" t="s">
        <v>21479</v>
      </c>
      <c r="H6224" t="s">
        <v>7674</v>
      </c>
      <c r="I6224" t="s">
        <v>11082</v>
      </c>
      <c r="J6224" t="s">
        <v>16143</v>
      </c>
    </row>
    <row r="6225" spans="1:10" x14ac:dyDescent="0.25">
      <c r="A6225" t="s">
        <v>5838</v>
      </c>
      <c r="B6225">
        <v>6.8000000000000007</v>
      </c>
      <c r="C6225" t="s">
        <v>5840</v>
      </c>
      <c r="D6225" t="s">
        <v>1143</v>
      </c>
      <c r="E6225" t="s">
        <v>5841</v>
      </c>
      <c r="F6225" t="s">
        <v>7672</v>
      </c>
      <c r="G6225" t="s">
        <v>21505</v>
      </c>
      <c r="H6225" t="s">
        <v>11496</v>
      </c>
      <c r="I6225" t="s">
        <v>410</v>
      </c>
      <c r="J6225" t="s">
        <v>9423</v>
      </c>
    </row>
    <row r="6226" spans="1:10" x14ac:dyDescent="0.25">
      <c r="A6226" t="s">
        <v>5844</v>
      </c>
      <c r="B6226">
        <v>6.8000000000000007</v>
      </c>
      <c r="C6226" t="s">
        <v>5846</v>
      </c>
      <c r="D6226" t="s">
        <v>255</v>
      </c>
      <c r="E6226" t="s">
        <v>5841</v>
      </c>
      <c r="F6226" t="s">
        <v>7672</v>
      </c>
      <c r="G6226" t="s">
        <v>21505</v>
      </c>
      <c r="H6226" t="s">
        <v>11496</v>
      </c>
      <c r="I6226" t="s">
        <v>410</v>
      </c>
      <c r="J6226" t="s">
        <v>10862</v>
      </c>
    </row>
    <row r="6227" spans="1:10" x14ac:dyDescent="0.25">
      <c r="A6227" t="s">
        <v>5848</v>
      </c>
      <c r="B6227">
        <v>6.8000000000000007</v>
      </c>
      <c r="C6227" t="s">
        <v>5850</v>
      </c>
      <c r="D6227" t="s">
        <v>3577</v>
      </c>
      <c r="E6227" t="s">
        <v>5841</v>
      </c>
      <c r="F6227" t="s">
        <v>7672</v>
      </c>
      <c r="G6227" t="s">
        <v>21505</v>
      </c>
      <c r="H6227" t="s">
        <v>11496</v>
      </c>
      <c r="I6227" t="s">
        <v>410</v>
      </c>
      <c r="J6227" t="s">
        <v>9426</v>
      </c>
    </row>
    <row r="6228" spans="1:10" x14ac:dyDescent="0.25">
      <c r="A6228" t="s">
        <v>5852</v>
      </c>
      <c r="B6228">
        <v>6.8000000000000007</v>
      </c>
      <c r="C6228" t="s">
        <v>5854</v>
      </c>
      <c r="D6228" t="s">
        <v>1014</v>
      </c>
      <c r="E6228" t="s">
        <v>5841</v>
      </c>
      <c r="F6228" t="s">
        <v>7672</v>
      </c>
      <c r="G6228" t="s">
        <v>21505</v>
      </c>
      <c r="H6228" t="s">
        <v>11496</v>
      </c>
      <c r="I6228" t="s">
        <v>410</v>
      </c>
      <c r="J6228" t="s">
        <v>13084</v>
      </c>
    </row>
    <row r="6229" spans="1:10" x14ac:dyDescent="0.25">
      <c r="A6229" t="s">
        <v>5856</v>
      </c>
      <c r="B6229">
        <v>6.8000000000000007</v>
      </c>
      <c r="C6229" t="s">
        <v>5858</v>
      </c>
      <c r="D6229" t="s">
        <v>1847</v>
      </c>
      <c r="E6229" t="s">
        <v>5841</v>
      </c>
      <c r="F6229" t="s">
        <v>7672</v>
      </c>
      <c r="G6229" t="s">
        <v>21505</v>
      </c>
      <c r="H6229" t="s">
        <v>11496</v>
      </c>
      <c r="I6229" t="s">
        <v>410</v>
      </c>
      <c r="J6229" t="s">
        <v>11767</v>
      </c>
    </row>
    <row r="6230" spans="1:10" x14ac:dyDescent="0.25">
      <c r="A6230" t="s">
        <v>5860</v>
      </c>
      <c r="B6230">
        <v>6.8000000000000007</v>
      </c>
      <c r="C6230" t="s">
        <v>5862</v>
      </c>
      <c r="D6230" t="s">
        <v>316</v>
      </c>
      <c r="E6230" t="s">
        <v>5841</v>
      </c>
      <c r="F6230" t="s">
        <v>7672</v>
      </c>
      <c r="G6230" t="s">
        <v>21505</v>
      </c>
      <c r="H6230" t="s">
        <v>11496</v>
      </c>
      <c r="I6230" t="s">
        <v>410</v>
      </c>
      <c r="J6230" t="s">
        <v>11582</v>
      </c>
    </row>
    <row r="6231" spans="1:10" x14ac:dyDescent="0.25">
      <c r="A6231" t="s">
        <v>21506</v>
      </c>
      <c r="B6231">
        <v>8</v>
      </c>
      <c r="C6231" t="s">
        <v>21507</v>
      </c>
      <c r="D6231" t="s">
        <v>781</v>
      </c>
      <c r="E6231" t="s">
        <v>21508</v>
      </c>
      <c r="F6231" t="s">
        <v>7672</v>
      </c>
      <c r="G6231" t="s">
        <v>21509</v>
      </c>
      <c r="H6231" t="s">
        <v>21510</v>
      </c>
      <c r="I6231" t="s">
        <v>145</v>
      </c>
      <c r="J6231" t="s">
        <v>7984</v>
      </c>
    </row>
    <row r="6232" spans="1:10" x14ac:dyDescent="0.25">
      <c r="A6232" t="s">
        <v>21511</v>
      </c>
      <c r="B6232">
        <v>8</v>
      </c>
      <c r="C6232" t="s">
        <v>21512</v>
      </c>
      <c r="D6232" t="s">
        <v>776</v>
      </c>
      <c r="E6232" t="s">
        <v>21508</v>
      </c>
      <c r="F6232" t="s">
        <v>7672</v>
      </c>
      <c r="G6232" t="s">
        <v>21509</v>
      </c>
      <c r="H6232" t="s">
        <v>21510</v>
      </c>
      <c r="I6232" t="s">
        <v>145</v>
      </c>
      <c r="J6232" t="s">
        <v>7987</v>
      </c>
    </row>
    <row r="6233" spans="1:10" x14ac:dyDescent="0.25">
      <c r="A6233" t="s">
        <v>21513</v>
      </c>
      <c r="B6233">
        <v>8</v>
      </c>
      <c r="C6233" t="s">
        <v>21514</v>
      </c>
      <c r="D6233" t="s">
        <v>60</v>
      </c>
      <c r="E6233" t="s">
        <v>21508</v>
      </c>
      <c r="F6233" t="s">
        <v>7672</v>
      </c>
      <c r="G6233" t="s">
        <v>21509</v>
      </c>
      <c r="H6233" t="s">
        <v>21510</v>
      </c>
      <c r="I6233" t="s">
        <v>1243</v>
      </c>
      <c r="J6233" t="s">
        <v>7987</v>
      </c>
    </row>
    <row r="6234" spans="1:10" x14ac:dyDescent="0.25">
      <c r="A6234" t="s">
        <v>21515</v>
      </c>
      <c r="B6234">
        <v>8</v>
      </c>
      <c r="C6234" t="s">
        <v>21516</v>
      </c>
      <c r="D6234" t="s">
        <v>1143</v>
      </c>
      <c r="E6234" t="s">
        <v>21508</v>
      </c>
      <c r="F6234" t="s">
        <v>7672</v>
      </c>
      <c r="G6234" t="s">
        <v>21509</v>
      </c>
      <c r="H6234" t="s">
        <v>21510</v>
      </c>
      <c r="I6234" t="s">
        <v>145</v>
      </c>
      <c r="J6234" t="s">
        <v>8001</v>
      </c>
    </row>
    <row r="6235" spans="1:10" x14ac:dyDescent="0.25">
      <c r="A6235" t="s">
        <v>5864</v>
      </c>
      <c r="B6235">
        <v>15.4</v>
      </c>
      <c r="C6235" t="s">
        <v>5866</v>
      </c>
      <c r="D6235" t="s">
        <v>959</v>
      </c>
      <c r="E6235" t="s">
        <v>5867</v>
      </c>
      <c r="F6235" t="s">
        <v>7672</v>
      </c>
      <c r="G6235" t="s">
        <v>21517</v>
      </c>
      <c r="H6235" t="s">
        <v>7954</v>
      </c>
      <c r="I6235" t="s">
        <v>7955</v>
      </c>
      <c r="J6235" t="s">
        <v>8427</v>
      </c>
    </row>
    <row r="6236" spans="1:10" x14ac:dyDescent="0.25">
      <c r="A6236" t="s">
        <v>5869</v>
      </c>
      <c r="B6236">
        <v>15.4</v>
      </c>
      <c r="C6236" t="s">
        <v>5871</v>
      </c>
      <c r="D6236" t="s">
        <v>1134</v>
      </c>
      <c r="E6236" t="s">
        <v>5867</v>
      </c>
      <c r="F6236" t="s">
        <v>7672</v>
      </c>
      <c r="G6236" t="s">
        <v>21517</v>
      </c>
      <c r="H6236" t="s">
        <v>7954</v>
      </c>
      <c r="I6236" t="s">
        <v>7955</v>
      </c>
      <c r="J6236" t="s">
        <v>8439</v>
      </c>
    </row>
    <row r="6237" spans="1:10" x14ac:dyDescent="0.25">
      <c r="A6237" t="s">
        <v>5872</v>
      </c>
      <c r="B6237">
        <v>15.4</v>
      </c>
      <c r="C6237" t="s">
        <v>5874</v>
      </c>
      <c r="D6237" t="s">
        <v>342</v>
      </c>
      <c r="E6237" t="s">
        <v>5867</v>
      </c>
      <c r="F6237" t="s">
        <v>7672</v>
      </c>
      <c r="G6237" t="s">
        <v>21517</v>
      </c>
      <c r="H6237" t="s">
        <v>7954</v>
      </c>
      <c r="I6237" t="s">
        <v>7955</v>
      </c>
      <c r="J6237" t="s">
        <v>8451</v>
      </c>
    </row>
    <row r="6238" spans="1:10" x14ac:dyDescent="0.25">
      <c r="A6238" t="s">
        <v>5875</v>
      </c>
      <c r="B6238">
        <v>7.6000000000000014</v>
      </c>
      <c r="C6238" t="s">
        <v>5877</v>
      </c>
      <c r="D6238" t="s">
        <v>352</v>
      </c>
      <c r="E6238" t="s">
        <v>5878</v>
      </c>
      <c r="F6238" t="s">
        <v>7672</v>
      </c>
      <c r="G6238" t="s">
        <v>21518</v>
      </c>
      <c r="H6238" t="s">
        <v>11496</v>
      </c>
      <c r="I6238" t="s">
        <v>20011</v>
      </c>
      <c r="J6238" t="s">
        <v>9423</v>
      </c>
    </row>
    <row r="6239" spans="1:10" x14ac:dyDescent="0.25">
      <c r="A6239" t="s">
        <v>5881</v>
      </c>
      <c r="B6239">
        <v>7.6000000000000014</v>
      </c>
      <c r="C6239" t="s">
        <v>5883</v>
      </c>
      <c r="D6239" t="s">
        <v>311</v>
      </c>
      <c r="E6239" t="s">
        <v>5878</v>
      </c>
      <c r="F6239" t="s">
        <v>7672</v>
      </c>
      <c r="G6239" t="s">
        <v>21518</v>
      </c>
      <c r="H6239" t="s">
        <v>11496</v>
      </c>
      <c r="I6239" t="s">
        <v>20011</v>
      </c>
      <c r="J6239" t="s">
        <v>9426</v>
      </c>
    </row>
    <row r="6240" spans="1:10" x14ac:dyDescent="0.25">
      <c r="A6240" t="s">
        <v>5885</v>
      </c>
      <c r="B6240">
        <v>7.6000000000000014</v>
      </c>
      <c r="C6240" t="s">
        <v>5887</v>
      </c>
      <c r="D6240" t="s">
        <v>379</v>
      </c>
      <c r="E6240" t="s">
        <v>5878</v>
      </c>
      <c r="F6240" t="s">
        <v>7672</v>
      </c>
      <c r="G6240" t="s">
        <v>21518</v>
      </c>
      <c r="H6240" t="s">
        <v>11496</v>
      </c>
      <c r="I6240" t="s">
        <v>20011</v>
      </c>
      <c r="J6240" t="s">
        <v>13084</v>
      </c>
    </row>
    <row r="6241" spans="1:10" x14ac:dyDescent="0.25">
      <c r="A6241" t="s">
        <v>5889</v>
      </c>
      <c r="B6241">
        <v>7.6000000000000014</v>
      </c>
      <c r="C6241" t="s">
        <v>5891</v>
      </c>
      <c r="D6241" t="s">
        <v>1579</v>
      </c>
      <c r="E6241" t="s">
        <v>5878</v>
      </c>
      <c r="F6241" t="s">
        <v>7672</v>
      </c>
      <c r="G6241" t="s">
        <v>21518</v>
      </c>
      <c r="H6241" t="s">
        <v>11496</v>
      </c>
      <c r="I6241" t="s">
        <v>20011</v>
      </c>
      <c r="J6241" t="s">
        <v>11767</v>
      </c>
    </row>
    <row r="6242" spans="1:10" x14ac:dyDescent="0.25">
      <c r="A6242" t="s">
        <v>5893</v>
      </c>
      <c r="B6242">
        <v>7.6000000000000014</v>
      </c>
      <c r="C6242" t="s">
        <v>5895</v>
      </c>
      <c r="D6242" t="s">
        <v>379</v>
      </c>
      <c r="E6242" t="s">
        <v>5878</v>
      </c>
      <c r="F6242" t="s">
        <v>7672</v>
      </c>
      <c r="G6242" t="s">
        <v>21518</v>
      </c>
      <c r="H6242" t="s">
        <v>11496</v>
      </c>
      <c r="I6242" t="s">
        <v>20011</v>
      </c>
      <c r="J6242" t="s">
        <v>11582</v>
      </c>
    </row>
    <row r="6243" spans="1:10" x14ac:dyDescent="0.25">
      <c r="A6243" t="s">
        <v>21519</v>
      </c>
      <c r="B6243">
        <v>12.592000000000001</v>
      </c>
      <c r="C6243" t="s">
        <v>21520</v>
      </c>
      <c r="D6243" t="s">
        <v>100</v>
      </c>
      <c r="E6243" t="s">
        <v>21521</v>
      </c>
      <c r="F6243" t="s">
        <v>7672</v>
      </c>
      <c r="G6243" t="s">
        <v>21522</v>
      </c>
      <c r="H6243" t="s">
        <v>7674</v>
      </c>
      <c r="I6243" t="s">
        <v>8577</v>
      </c>
      <c r="J6243" t="s">
        <v>16039</v>
      </c>
    </row>
    <row r="6244" spans="1:10" x14ac:dyDescent="0.25">
      <c r="A6244" t="s">
        <v>21523</v>
      </c>
      <c r="B6244">
        <v>12.592000000000001</v>
      </c>
      <c r="C6244" t="s">
        <v>21524</v>
      </c>
      <c r="D6244" t="s">
        <v>60</v>
      </c>
      <c r="E6244" t="s">
        <v>21521</v>
      </c>
      <c r="F6244" t="s">
        <v>7672</v>
      </c>
      <c r="G6244" t="s">
        <v>21522</v>
      </c>
      <c r="H6244" t="s">
        <v>7674</v>
      </c>
      <c r="I6244" t="s">
        <v>21525</v>
      </c>
      <c r="J6244" t="s">
        <v>16039</v>
      </c>
    </row>
    <row r="6245" spans="1:10" x14ac:dyDescent="0.25">
      <c r="A6245" t="s">
        <v>21526</v>
      </c>
      <c r="B6245">
        <v>12.592000000000001</v>
      </c>
      <c r="C6245" t="s">
        <v>21527</v>
      </c>
      <c r="D6245" t="s">
        <v>100</v>
      </c>
      <c r="E6245" t="s">
        <v>21521</v>
      </c>
      <c r="F6245" t="s">
        <v>7672</v>
      </c>
      <c r="G6245" t="s">
        <v>21522</v>
      </c>
      <c r="H6245" t="s">
        <v>7674</v>
      </c>
      <c r="I6245" t="s">
        <v>8577</v>
      </c>
      <c r="J6245" t="s">
        <v>16064</v>
      </c>
    </row>
    <row r="6246" spans="1:10" x14ac:dyDescent="0.25">
      <c r="A6246" t="s">
        <v>21528</v>
      </c>
      <c r="B6246">
        <v>12.592000000000001</v>
      </c>
      <c r="C6246" t="s">
        <v>21529</v>
      </c>
      <c r="D6246" t="s">
        <v>277</v>
      </c>
      <c r="E6246" t="s">
        <v>21521</v>
      </c>
      <c r="F6246" t="s">
        <v>7672</v>
      </c>
      <c r="G6246" t="s">
        <v>21522</v>
      </c>
      <c r="H6246" t="s">
        <v>7674</v>
      </c>
      <c r="I6246" t="s">
        <v>21525</v>
      </c>
      <c r="J6246" t="s">
        <v>16064</v>
      </c>
    </row>
    <row r="6247" spans="1:10" x14ac:dyDescent="0.25">
      <c r="A6247" t="s">
        <v>21530</v>
      </c>
      <c r="B6247">
        <v>12.592000000000001</v>
      </c>
      <c r="C6247" t="s">
        <v>21531</v>
      </c>
      <c r="D6247" t="s">
        <v>100</v>
      </c>
      <c r="E6247" t="s">
        <v>21521</v>
      </c>
      <c r="F6247" t="s">
        <v>7672</v>
      </c>
      <c r="G6247" t="s">
        <v>21522</v>
      </c>
      <c r="H6247" t="s">
        <v>7674</v>
      </c>
      <c r="I6247" t="s">
        <v>8577</v>
      </c>
      <c r="J6247" t="s">
        <v>16089</v>
      </c>
    </row>
    <row r="6248" spans="1:10" x14ac:dyDescent="0.25">
      <c r="A6248" t="s">
        <v>21532</v>
      </c>
      <c r="B6248">
        <v>12.592000000000001</v>
      </c>
      <c r="C6248" t="s">
        <v>21533</v>
      </c>
      <c r="D6248" t="s">
        <v>385</v>
      </c>
      <c r="E6248" t="s">
        <v>21521</v>
      </c>
      <c r="F6248" t="s">
        <v>7672</v>
      </c>
      <c r="G6248" t="s">
        <v>21522</v>
      </c>
      <c r="H6248" t="s">
        <v>7674</v>
      </c>
      <c r="I6248" t="s">
        <v>21525</v>
      </c>
      <c r="J6248" t="s">
        <v>16089</v>
      </c>
    </row>
    <row r="6249" spans="1:10" x14ac:dyDescent="0.25">
      <c r="A6249" t="s">
        <v>21534</v>
      </c>
      <c r="B6249">
        <v>12.592000000000001</v>
      </c>
      <c r="C6249" t="s">
        <v>21535</v>
      </c>
      <c r="D6249" t="s">
        <v>301</v>
      </c>
      <c r="E6249" t="s">
        <v>21521</v>
      </c>
      <c r="F6249" t="s">
        <v>7672</v>
      </c>
      <c r="G6249" t="s">
        <v>21522</v>
      </c>
      <c r="H6249" t="s">
        <v>7674</v>
      </c>
      <c r="I6249" t="s">
        <v>21525</v>
      </c>
      <c r="J6249" t="s">
        <v>16104</v>
      </c>
    </row>
    <row r="6250" spans="1:10" x14ac:dyDescent="0.25">
      <c r="A6250" t="s">
        <v>21536</v>
      </c>
      <c r="B6250">
        <v>12.592000000000001</v>
      </c>
      <c r="C6250" t="s">
        <v>21537</v>
      </c>
      <c r="D6250" t="s">
        <v>964</v>
      </c>
      <c r="E6250" t="s">
        <v>21521</v>
      </c>
      <c r="F6250" t="s">
        <v>7672</v>
      </c>
      <c r="G6250" t="s">
        <v>21522</v>
      </c>
      <c r="H6250" t="s">
        <v>7674</v>
      </c>
      <c r="I6250" t="s">
        <v>8577</v>
      </c>
      <c r="J6250" t="s">
        <v>16104</v>
      </c>
    </row>
    <row r="6251" spans="1:10" x14ac:dyDescent="0.25">
      <c r="A6251" t="s">
        <v>21538</v>
      </c>
      <c r="B6251">
        <v>12.592000000000001</v>
      </c>
      <c r="C6251" t="s">
        <v>21539</v>
      </c>
      <c r="D6251" t="s">
        <v>229</v>
      </c>
      <c r="E6251" t="s">
        <v>21521</v>
      </c>
      <c r="F6251" t="s">
        <v>7672</v>
      </c>
      <c r="G6251" t="s">
        <v>21522</v>
      </c>
      <c r="H6251" t="s">
        <v>7674</v>
      </c>
      <c r="I6251" t="s">
        <v>21525</v>
      </c>
      <c r="J6251" t="s">
        <v>16125</v>
      </c>
    </row>
    <row r="6252" spans="1:10" x14ac:dyDescent="0.25">
      <c r="A6252" t="s">
        <v>21540</v>
      </c>
      <c r="B6252">
        <v>12.592000000000001</v>
      </c>
      <c r="C6252" t="s">
        <v>21541</v>
      </c>
      <c r="D6252" t="s">
        <v>301</v>
      </c>
      <c r="E6252" t="s">
        <v>21521</v>
      </c>
      <c r="F6252" t="s">
        <v>7672</v>
      </c>
      <c r="G6252" t="s">
        <v>21522</v>
      </c>
      <c r="H6252" t="s">
        <v>7674</v>
      </c>
      <c r="I6252" t="s">
        <v>8577</v>
      </c>
      <c r="J6252" t="s">
        <v>16125</v>
      </c>
    </row>
    <row r="6253" spans="1:10" x14ac:dyDescent="0.25">
      <c r="A6253" t="s">
        <v>21542</v>
      </c>
      <c r="B6253">
        <v>12.592000000000001</v>
      </c>
      <c r="C6253" t="s">
        <v>21543</v>
      </c>
      <c r="D6253" t="s">
        <v>330</v>
      </c>
      <c r="E6253" t="s">
        <v>21521</v>
      </c>
      <c r="F6253" t="s">
        <v>7672</v>
      </c>
      <c r="G6253" t="s">
        <v>21522</v>
      </c>
      <c r="H6253" t="s">
        <v>7674</v>
      </c>
      <c r="I6253" t="s">
        <v>18282</v>
      </c>
      <c r="J6253" t="s">
        <v>16125</v>
      </c>
    </row>
    <row r="6254" spans="1:10" x14ac:dyDescent="0.25">
      <c r="A6254" t="s">
        <v>21544</v>
      </c>
      <c r="B6254">
        <v>12.592000000000001</v>
      </c>
      <c r="C6254" t="s">
        <v>21545</v>
      </c>
      <c r="D6254" t="s">
        <v>1143</v>
      </c>
      <c r="E6254" t="s">
        <v>21521</v>
      </c>
      <c r="F6254" t="s">
        <v>7672</v>
      </c>
      <c r="G6254" t="s">
        <v>21522</v>
      </c>
      <c r="H6254" t="s">
        <v>7674</v>
      </c>
      <c r="I6254" t="s">
        <v>21525</v>
      </c>
      <c r="J6254" t="s">
        <v>16143</v>
      </c>
    </row>
    <row r="6255" spans="1:10" x14ac:dyDescent="0.25">
      <c r="A6255" t="s">
        <v>21546</v>
      </c>
      <c r="B6255">
        <v>12.592000000000001</v>
      </c>
      <c r="C6255" t="s">
        <v>21547</v>
      </c>
      <c r="D6255" t="s">
        <v>240</v>
      </c>
      <c r="E6255" t="s">
        <v>21521</v>
      </c>
      <c r="F6255" t="s">
        <v>7672</v>
      </c>
      <c r="G6255" t="s">
        <v>21522</v>
      </c>
      <c r="H6255" t="s">
        <v>7674</v>
      </c>
      <c r="I6255" t="s">
        <v>8577</v>
      </c>
      <c r="J6255" t="s">
        <v>16143</v>
      </c>
    </row>
    <row r="6256" spans="1:10" x14ac:dyDescent="0.25">
      <c r="A6256" t="s">
        <v>21548</v>
      </c>
      <c r="B6256">
        <v>12.592000000000001</v>
      </c>
      <c r="C6256" t="s">
        <v>21549</v>
      </c>
      <c r="D6256" t="s">
        <v>1143</v>
      </c>
      <c r="E6256" t="s">
        <v>21521</v>
      </c>
      <c r="F6256" t="s">
        <v>7672</v>
      </c>
      <c r="G6256" t="s">
        <v>21522</v>
      </c>
      <c r="H6256" t="s">
        <v>7674</v>
      </c>
      <c r="I6256" t="s">
        <v>18282</v>
      </c>
      <c r="J6256" t="s">
        <v>16143</v>
      </c>
    </row>
    <row r="6257" spans="1:10" x14ac:dyDescent="0.25">
      <c r="A6257" t="s">
        <v>21550</v>
      </c>
      <c r="B6257">
        <v>7.2</v>
      </c>
      <c r="C6257" t="s">
        <v>21551</v>
      </c>
      <c r="D6257" t="s">
        <v>11430</v>
      </c>
      <c r="E6257" t="s">
        <v>21552</v>
      </c>
      <c r="F6257" t="s">
        <v>7672</v>
      </c>
      <c r="G6257" t="s">
        <v>21553</v>
      </c>
      <c r="H6257" t="s">
        <v>13951</v>
      </c>
      <c r="I6257" t="s">
        <v>21554</v>
      </c>
      <c r="J6257" t="s">
        <v>10369</v>
      </c>
    </row>
    <row r="6258" spans="1:10" x14ac:dyDescent="0.25">
      <c r="A6258" t="s">
        <v>21555</v>
      </c>
      <c r="B6258">
        <v>7.2</v>
      </c>
      <c r="C6258" t="s">
        <v>21556</v>
      </c>
      <c r="D6258" t="s">
        <v>1995</v>
      </c>
      <c r="E6258" t="s">
        <v>21552</v>
      </c>
      <c r="F6258" t="s">
        <v>7672</v>
      </c>
      <c r="G6258" t="s">
        <v>21553</v>
      </c>
      <c r="H6258" t="s">
        <v>13951</v>
      </c>
      <c r="I6258" t="s">
        <v>21554</v>
      </c>
      <c r="J6258" t="s">
        <v>11590</v>
      </c>
    </row>
    <row r="6259" spans="1:10" x14ac:dyDescent="0.25">
      <c r="A6259" t="s">
        <v>21557</v>
      </c>
      <c r="B6259">
        <v>11.2</v>
      </c>
      <c r="C6259" t="s">
        <v>21558</v>
      </c>
      <c r="D6259" t="s">
        <v>2072</v>
      </c>
      <c r="E6259" t="s">
        <v>21559</v>
      </c>
      <c r="F6259" t="s">
        <v>7672</v>
      </c>
      <c r="G6259" t="s">
        <v>17778</v>
      </c>
      <c r="H6259" t="s">
        <v>15474</v>
      </c>
      <c r="I6259" t="s">
        <v>21560</v>
      </c>
      <c r="J6259" t="s">
        <v>131</v>
      </c>
    </row>
    <row r="6260" spans="1:10" x14ac:dyDescent="0.25">
      <c r="A6260" t="s">
        <v>21561</v>
      </c>
      <c r="B6260">
        <v>11.2</v>
      </c>
      <c r="C6260" t="s">
        <v>21562</v>
      </c>
      <c r="D6260" t="s">
        <v>366</v>
      </c>
      <c r="E6260" t="s">
        <v>21559</v>
      </c>
      <c r="F6260" t="s">
        <v>7672</v>
      </c>
      <c r="G6260" t="s">
        <v>17778</v>
      </c>
      <c r="H6260" t="s">
        <v>15474</v>
      </c>
      <c r="I6260" t="s">
        <v>21560</v>
      </c>
      <c r="J6260" t="s">
        <v>269</v>
      </c>
    </row>
    <row r="6261" spans="1:10" x14ac:dyDescent="0.25">
      <c r="A6261" t="s">
        <v>21563</v>
      </c>
      <c r="B6261">
        <v>11.2</v>
      </c>
      <c r="C6261" t="s">
        <v>21564</v>
      </c>
      <c r="D6261" t="s">
        <v>1573</v>
      </c>
      <c r="E6261" t="s">
        <v>21559</v>
      </c>
      <c r="F6261" t="s">
        <v>7672</v>
      </c>
      <c r="G6261" t="s">
        <v>17778</v>
      </c>
      <c r="H6261" t="s">
        <v>15474</v>
      </c>
      <c r="I6261" t="s">
        <v>21560</v>
      </c>
      <c r="J6261" t="s">
        <v>255</v>
      </c>
    </row>
    <row r="6262" spans="1:10" x14ac:dyDescent="0.25">
      <c r="A6262" t="s">
        <v>21565</v>
      </c>
      <c r="B6262">
        <v>11.2</v>
      </c>
      <c r="C6262" t="s">
        <v>21566</v>
      </c>
      <c r="D6262" t="s">
        <v>3086</v>
      </c>
      <c r="E6262" t="s">
        <v>21559</v>
      </c>
      <c r="F6262" t="s">
        <v>7672</v>
      </c>
      <c r="G6262" t="s">
        <v>17778</v>
      </c>
      <c r="H6262" t="s">
        <v>15474</v>
      </c>
      <c r="I6262" t="s">
        <v>21560</v>
      </c>
      <c r="J6262" t="s">
        <v>277</v>
      </c>
    </row>
    <row r="6263" spans="1:10" x14ac:dyDescent="0.25">
      <c r="A6263" t="s">
        <v>21567</v>
      </c>
      <c r="B6263">
        <v>11.2</v>
      </c>
      <c r="C6263" t="s">
        <v>21568</v>
      </c>
      <c r="D6263" t="s">
        <v>255</v>
      </c>
      <c r="E6263" t="s">
        <v>21559</v>
      </c>
      <c r="F6263" t="s">
        <v>7672</v>
      </c>
      <c r="G6263" t="s">
        <v>17778</v>
      </c>
      <c r="H6263" t="s">
        <v>15474</v>
      </c>
      <c r="I6263" t="s">
        <v>21560</v>
      </c>
      <c r="J6263" t="s">
        <v>164</v>
      </c>
    </row>
    <row r="6264" spans="1:10" x14ac:dyDescent="0.25">
      <c r="A6264" t="s">
        <v>21569</v>
      </c>
      <c r="B6264">
        <v>11.2</v>
      </c>
      <c r="C6264" t="s">
        <v>21570</v>
      </c>
      <c r="D6264" t="s">
        <v>2879</v>
      </c>
      <c r="E6264" t="s">
        <v>21559</v>
      </c>
      <c r="F6264" t="s">
        <v>7672</v>
      </c>
      <c r="G6264" t="s">
        <v>17778</v>
      </c>
      <c r="H6264" t="s">
        <v>15474</v>
      </c>
      <c r="I6264" t="s">
        <v>21560</v>
      </c>
      <c r="J6264" t="s">
        <v>290</v>
      </c>
    </row>
    <row r="6265" spans="1:10" x14ac:dyDescent="0.25">
      <c r="A6265" t="s">
        <v>21571</v>
      </c>
      <c r="B6265">
        <v>11.2</v>
      </c>
      <c r="C6265" t="s">
        <v>21572</v>
      </c>
      <c r="D6265" t="s">
        <v>1236</v>
      </c>
      <c r="E6265" t="s">
        <v>21559</v>
      </c>
      <c r="F6265" t="s">
        <v>7672</v>
      </c>
      <c r="G6265" t="s">
        <v>17778</v>
      </c>
      <c r="H6265" t="s">
        <v>15474</v>
      </c>
      <c r="I6265" t="s">
        <v>21560</v>
      </c>
      <c r="J6265" t="s">
        <v>15482</v>
      </c>
    </row>
    <row r="6266" spans="1:10" x14ac:dyDescent="0.25">
      <c r="A6266" t="s">
        <v>21573</v>
      </c>
      <c r="B6266">
        <v>11.2</v>
      </c>
      <c r="C6266" t="s">
        <v>21574</v>
      </c>
      <c r="D6266" t="s">
        <v>301</v>
      </c>
      <c r="E6266" t="s">
        <v>21559</v>
      </c>
      <c r="F6266" t="s">
        <v>7672</v>
      </c>
      <c r="G6266" t="s">
        <v>17778</v>
      </c>
      <c r="H6266" t="s">
        <v>15474</v>
      </c>
      <c r="I6266" t="s">
        <v>21560</v>
      </c>
      <c r="J6266" t="s">
        <v>15485</v>
      </c>
    </row>
    <row r="6267" spans="1:10" x14ac:dyDescent="0.25">
      <c r="A6267" t="s">
        <v>21575</v>
      </c>
      <c r="B6267">
        <v>11.2</v>
      </c>
      <c r="C6267" t="s">
        <v>21576</v>
      </c>
      <c r="D6267" t="s">
        <v>301</v>
      </c>
      <c r="E6267" t="s">
        <v>21559</v>
      </c>
      <c r="F6267" t="s">
        <v>7672</v>
      </c>
      <c r="G6267" t="s">
        <v>17778</v>
      </c>
      <c r="H6267" t="s">
        <v>15474</v>
      </c>
      <c r="I6267" t="s">
        <v>21560</v>
      </c>
      <c r="J6267" t="s">
        <v>21328</v>
      </c>
    </row>
    <row r="6268" spans="1:10" x14ac:dyDescent="0.25">
      <c r="A6268" t="s">
        <v>21577</v>
      </c>
      <c r="B6268">
        <v>11.2</v>
      </c>
      <c r="C6268" t="s">
        <v>21578</v>
      </c>
      <c r="D6268" t="s">
        <v>229</v>
      </c>
      <c r="E6268" t="s">
        <v>21559</v>
      </c>
      <c r="F6268" t="s">
        <v>7672</v>
      </c>
      <c r="G6268" t="s">
        <v>17778</v>
      </c>
      <c r="H6268" t="s">
        <v>15474</v>
      </c>
      <c r="I6268" t="s">
        <v>21560</v>
      </c>
      <c r="J6268" t="s">
        <v>15488</v>
      </c>
    </row>
    <row r="6269" spans="1:10" x14ac:dyDescent="0.25">
      <c r="A6269" t="s">
        <v>21579</v>
      </c>
      <c r="B6269">
        <v>11.2</v>
      </c>
      <c r="C6269" t="s">
        <v>21580</v>
      </c>
      <c r="D6269" t="s">
        <v>10630</v>
      </c>
      <c r="E6269" t="s">
        <v>21581</v>
      </c>
      <c r="F6269" t="s">
        <v>7672</v>
      </c>
      <c r="G6269" t="s">
        <v>21582</v>
      </c>
      <c r="H6269" t="s">
        <v>15122</v>
      </c>
      <c r="I6269" t="s">
        <v>410</v>
      </c>
      <c r="J6269" t="s">
        <v>10369</v>
      </c>
    </row>
    <row r="6270" spans="1:10" x14ac:dyDescent="0.25">
      <c r="A6270" t="s">
        <v>21583</v>
      </c>
      <c r="B6270">
        <v>11.2</v>
      </c>
      <c r="C6270" t="s">
        <v>21584</v>
      </c>
      <c r="D6270" t="s">
        <v>8235</v>
      </c>
      <c r="E6270" t="s">
        <v>21581</v>
      </c>
      <c r="F6270" t="s">
        <v>7672</v>
      </c>
      <c r="G6270" t="s">
        <v>21582</v>
      </c>
      <c r="H6270" t="s">
        <v>15122</v>
      </c>
      <c r="I6270" t="s">
        <v>410</v>
      </c>
      <c r="J6270" t="s">
        <v>11590</v>
      </c>
    </row>
    <row r="6271" spans="1:10" x14ac:dyDescent="0.25">
      <c r="A6271" t="s">
        <v>21585</v>
      </c>
      <c r="B6271">
        <v>11.2</v>
      </c>
      <c r="C6271" t="s">
        <v>21586</v>
      </c>
      <c r="D6271" t="s">
        <v>106</v>
      </c>
      <c r="E6271" t="s">
        <v>21581</v>
      </c>
      <c r="F6271" t="s">
        <v>7672</v>
      </c>
      <c r="G6271" t="s">
        <v>21582</v>
      </c>
      <c r="H6271" t="s">
        <v>15122</v>
      </c>
      <c r="I6271" t="s">
        <v>410</v>
      </c>
      <c r="J6271" t="s">
        <v>11593</v>
      </c>
    </row>
    <row r="6272" spans="1:10" x14ac:dyDescent="0.25">
      <c r="A6272" t="s">
        <v>21587</v>
      </c>
      <c r="B6272">
        <v>13.992000000000001</v>
      </c>
      <c r="C6272" t="s">
        <v>21588</v>
      </c>
      <c r="D6272" t="s">
        <v>342</v>
      </c>
      <c r="E6272" t="s">
        <v>21589</v>
      </c>
      <c r="F6272" t="s">
        <v>7672</v>
      </c>
      <c r="G6272" t="s">
        <v>21590</v>
      </c>
      <c r="H6272" t="s">
        <v>11598</v>
      </c>
      <c r="I6272" t="s">
        <v>12978</v>
      </c>
      <c r="J6272" t="s">
        <v>21591</v>
      </c>
    </row>
    <row r="6273" spans="1:10" x14ac:dyDescent="0.25">
      <c r="A6273" t="s">
        <v>21592</v>
      </c>
      <c r="B6273">
        <v>13.992000000000001</v>
      </c>
      <c r="C6273" t="s">
        <v>21593</v>
      </c>
      <c r="D6273" t="s">
        <v>342</v>
      </c>
      <c r="E6273" t="s">
        <v>21589</v>
      </c>
      <c r="F6273" t="s">
        <v>7672</v>
      </c>
      <c r="G6273" t="s">
        <v>21590</v>
      </c>
      <c r="H6273" t="s">
        <v>11598</v>
      </c>
      <c r="I6273" t="s">
        <v>12978</v>
      </c>
      <c r="J6273" t="s">
        <v>21594</v>
      </c>
    </row>
    <row r="6274" spans="1:10" x14ac:dyDescent="0.25">
      <c r="A6274" t="s">
        <v>21595</v>
      </c>
      <c r="B6274">
        <v>13.992000000000001</v>
      </c>
      <c r="C6274" t="s">
        <v>21596</v>
      </c>
      <c r="D6274" t="s">
        <v>88</v>
      </c>
      <c r="E6274" t="s">
        <v>21589</v>
      </c>
      <c r="F6274" t="s">
        <v>7672</v>
      </c>
      <c r="G6274" t="s">
        <v>21590</v>
      </c>
      <c r="H6274" t="s">
        <v>11598</v>
      </c>
      <c r="I6274" t="s">
        <v>12978</v>
      </c>
      <c r="J6274" t="s">
        <v>9746</v>
      </c>
    </row>
    <row r="6275" spans="1:10" x14ac:dyDescent="0.25">
      <c r="A6275" t="s">
        <v>21597</v>
      </c>
      <c r="B6275">
        <v>13.992000000000001</v>
      </c>
      <c r="C6275" t="s">
        <v>21598</v>
      </c>
      <c r="D6275" t="s">
        <v>290</v>
      </c>
      <c r="E6275" t="s">
        <v>21589</v>
      </c>
      <c r="F6275" t="s">
        <v>7672</v>
      </c>
      <c r="G6275" t="s">
        <v>21590</v>
      </c>
      <c r="H6275" t="s">
        <v>11598</v>
      </c>
      <c r="I6275" t="s">
        <v>12978</v>
      </c>
      <c r="J6275" t="s">
        <v>11326</v>
      </c>
    </row>
    <row r="6276" spans="1:10" x14ac:dyDescent="0.25">
      <c r="A6276" t="s">
        <v>21599</v>
      </c>
      <c r="B6276">
        <v>13.992000000000001</v>
      </c>
      <c r="C6276" t="s">
        <v>21600</v>
      </c>
      <c r="D6276" t="s">
        <v>282</v>
      </c>
      <c r="E6276" t="s">
        <v>21589</v>
      </c>
      <c r="F6276" t="s">
        <v>7672</v>
      </c>
      <c r="G6276" t="s">
        <v>21590</v>
      </c>
      <c r="H6276" t="s">
        <v>11598</v>
      </c>
      <c r="I6276" t="s">
        <v>12978</v>
      </c>
      <c r="J6276" t="s">
        <v>9753</v>
      </c>
    </row>
    <row r="6277" spans="1:10" x14ac:dyDescent="0.25">
      <c r="A6277" t="s">
        <v>21601</v>
      </c>
      <c r="B6277">
        <v>13.992000000000001</v>
      </c>
      <c r="C6277" t="s">
        <v>21602</v>
      </c>
      <c r="D6277" t="s">
        <v>106</v>
      </c>
      <c r="E6277" t="s">
        <v>21589</v>
      </c>
      <c r="F6277" t="s">
        <v>7672</v>
      </c>
      <c r="G6277" t="s">
        <v>21590</v>
      </c>
      <c r="H6277" t="s">
        <v>11598</v>
      </c>
      <c r="I6277" t="s">
        <v>12978</v>
      </c>
      <c r="J6277" t="s">
        <v>21603</v>
      </c>
    </row>
    <row r="6278" spans="1:10" x14ac:dyDescent="0.25">
      <c r="A6278" t="s">
        <v>21604</v>
      </c>
      <c r="B6278">
        <v>13.992000000000001</v>
      </c>
      <c r="C6278" t="s">
        <v>21605</v>
      </c>
      <c r="D6278" t="s">
        <v>53</v>
      </c>
      <c r="E6278" t="s">
        <v>21589</v>
      </c>
      <c r="F6278" t="s">
        <v>7672</v>
      </c>
      <c r="G6278" t="s">
        <v>21590</v>
      </c>
      <c r="H6278" t="s">
        <v>11598</v>
      </c>
      <c r="I6278" t="s">
        <v>12978</v>
      </c>
      <c r="J6278" t="s">
        <v>21606</v>
      </c>
    </row>
    <row r="6279" spans="1:10" x14ac:dyDescent="0.25">
      <c r="A6279" t="s">
        <v>21607</v>
      </c>
      <c r="B6279">
        <v>13.992000000000001</v>
      </c>
      <c r="C6279" t="s">
        <v>21608</v>
      </c>
      <c r="D6279" t="s">
        <v>255</v>
      </c>
      <c r="E6279" t="s">
        <v>21589</v>
      </c>
      <c r="F6279" t="s">
        <v>7672</v>
      </c>
      <c r="G6279" t="s">
        <v>21590</v>
      </c>
      <c r="H6279" t="s">
        <v>11598</v>
      </c>
      <c r="I6279" t="s">
        <v>12978</v>
      </c>
      <c r="J6279" t="s">
        <v>21609</v>
      </c>
    </row>
    <row r="6280" spans="1:10" x14ac:dyDescent="0.25">
      <c r="A6280" t="s">
        <v>21610</v>
      </c>
      <c r="B6280">
        <v>13.992000000000001</v>
      </c>
      <c r="C6280" t="s">
        <v>21611</v>
      </c>
      <c r="D6280" t="s">
        <v>60</v>
      </c>
      <c r="E6280" t="s">
        <v>21589</v>
      </c>
      <c r="F6280" t="s">
        <v>7672</v>
      </c>
      <c r="G6280" t="s">
        <v>21590</v>
      </c>
      <c r="H6280" t="s">
        <v>11598</v>
      </c>
      <c r="I6280" t="s">
        <v>12978</v>
      </c>
      <c r="J6280" t="s">
        <v>21612</v>
      </c>
    </row>
    <row r="6281" spans="1:10" x14ac:dyDescent="0.25">
      <c r="A6281" t="s">
        <v>21613</v>
      </c>
      <c r="B6281">
        <v>10</v>
      </c>
      <c r="C6281" t="s">
        <v>21614</v>
      </c>
      <c r="D6281" t="s">
        <v>229</v>
      </c>
      <c r="E6281" t="s">
        <v>21615</v>
      </c>
      <c r="F6281" t="s">
        <v>7672</v>
      </c>
      <c r="G6281" t="s">
        <v>21616</v>
      </c>
      <c r="H6281" t="s">
        <v>8673</v>
      </c>
      <c r="I6281" t="s">
        <v>12867</v>
      </c>
      <c r="J6281" t="s">
        <v>7675</v>
      </c>
    </row>
    <row r="6282" spans="1:10" x14ac:dyDescent="0.25">
      <c r="A6282" t="s">
        <v>21617</v>
      </c>
      <c r="B6282">
        <v>10</v>
      </c>
      <c r="C6282" t="s">
        <v>21618</v>
      </c>
      <c r="D6282" t="s">
        <v>991</v>
      </c>
      <c r="E6282" t="s">
        <v>21615</v>
      </c>
      <c r="F6282" t="s">
        <v>7672</v>
      </c>
      <c r="G6282" t="s">
        <v>21616</v>
      </c>
      <c r="H6282" t="s">
        <v>8673</v>
      </c>
      <c r="I6282" t="s">
        <v>12867</v>
      </c>
      <c r="J6282" t="s">
        <v>7686</v>
      </c>
    </row>
    <row r="6283" spans="1:10" x14ac:dyDescent="0.25">
      <c r="A6283" t="s">
        <v>21619</v>
      </c>
      <c r="B6283">
        <v>10</v>
      </c>
      <c r="C6283" t="s">
        <v>21620</v>
      </c>
      <c r="D6283" t="s">
        <v>7670</v>
      </c>
      <c r="E6283" t="s">
        <v>21615</v>
      </c>
      <c r="F6283" t="s">
        <v>7672</v>
      </c>
      <c r="G6283" t="s">
        <v>21616</v>
      </c>
      <c r="H6283" t="s">
        <v>8673</v>
      </c>
      <c r="I6283" t="s">
        <v>12867</v>
      </c>
      <c r="J6283" t="s">
        <v>7703</v>
      </c>
    </row>
    <row r="6284" spans="1:10" x14ac:dyDescent="0.25">
      <c r="A6284" t="s">
        <v>21621</v>
      </c>
      <c r="B6284">
        <v>10</v>
      </c>
      <c r="C6284" t="s">
        <v>21622</v>
      </c>
      <c r="D6284" t="s">
        <v>644</v>
      </c>
      <c r="E6284" t="s">
        <v>21615</v>
      </c>
      <c r="F6284" t="s">
        <v>7672</v>
      </c>
      <c r="G6284" t="s">
        <v>21616</v>
      </c>
      <c r="H6284" t="s">
        <v>8673</v>
      </c>
      <c r="I6284" t="s">
        <v>12867</v>
      </c>
      <c r="J6284" t="s">
        <v>7713</v>
      </c>
    </row>
    <row r="6285" spans="1:10" x14ac:dyDescent="0.25">
      <c r="A6285" t="s">
        <v>21623</v>
      </c>
      <c r="B6285">
        <v>10</v>
      </c>
      <c r="C6285" t="s">
        <v>21624</v>
      </c>
      <c r="D6285" t="s">
        <v>436</v>
      </c>
      <c r="E6285" t="s">
        <v>21615</v>
      </c>
      <c r="F6285" t="s">
        <v>7672</v>
      </c>
      <c r="G6285" t="s">
        <v>21616</v>
      </c>
      <c r="H6285" t="s">
        <v>8673</v>
      </c>
      <c r="I6285" t="s">
        <v>12862</v>
      </c>
      <c r="J6285" t="s">
        <v>7719</v>
      </c>
    </row>
    <row r="6286" spans="1:10" x14ac:dyDescent="0.25">
      <c r="A6286" t="s">
        <v>21625</v>
      </c>
      <c r="B6286">
        <v>10</v>
      </c>
      <c r="C6286" t="s">
        <v>21626</v>
      </c>
      <c r="D6286" t="s">
        <v>13710</v>
      </c>
      <c r="E6286" t="s">
        <v>21615</v>
      </c>
      <c r="F6286" t="s">
        <v>7672</v>
      </c>
      <c r="G6286" t="s">
        <v>21616</v>
      </c>
      <c r="H6286" t="s">
        <v>8673</v>
      </c>
      <c r="I6286" t="s">
        <v>12867</v>
      </c>
      <c r="J6286" t="s">
        <v>7719</v>
      </c>
    </row>
    <row r="6287" spans="1:10" x14ac:dyDescent="0.25">
      <c r="A6287" t="s">
        <v>21627</v>
      </c>
      <c r="B6287">
        <v>10</v>
      </c>
      <c r="C6287" t="s">
        <v>21628</v>
      </c>
      <c r="D6287" t="s">
        <v>100</v>
      </c>
      <c r="E6287" t="s">
        <v>21615</v>
      </c>
      <c r="F6287" t="s">
        <v>7672</v>
      </c>
      <c r="G6287" t="s">
        <v>21616</v>
      </c>
      <c r="H6287" t="s">
        <v>8673</v>
      </c>
      <c r="I6287" t="s">
        <v>8158</v>
      </c>
      <c r="J6287" t="s">
        <v>7719</v>
      </c>
    </row>
    <row r="6288" spans="1:10" x14ac:dyDescent="0.25">
      <c r="A6288" t="s">
        <v>21629</v>
      </c>
      <c r="B6288">
        <v>10</v>
      </c>
      <c r="C6288" t="s">
        <v>21630</v>
      </c>
      <c r="D6288" t="s">
        <v>1236</v>
      </c>
      <c r="E6288" t="s">
        <v>21615</v>
      </c>
      <c r="F6288" t="s">
        <v>7672</v>
      </c>
      <c r="G6288" t="s">
        <v>21616</v>
      </c>
      <c r="H6288" t="s">
        <v>8673</v>
      </c>
      <c r="I6288" t="s">
        <v>12870</v>
      </c>
      <c r="J6288" t="s">
        <v>7719</v>
      </c>
    </row>
    <row r="6289" spans="1:10" x14ac:dyDescent="0.25">
      <c r="A6289" t="s">
        <v>21631</v>
      </c>
      <c r="B6289">
        <v>6.76</v>
      </c>
      <c r="C6289" t="s">
        <v>21632</v>
      </c>
      <c r="D6289" t="s">
        <v>286</v>
      </c>
      <c r="E6289" t="s">
        <v>21633</v>
      </c>
      <c r="F6289" t="s">
        <v>7672</v>
      </c>
      <c r="G6289" t="s">
        <v>21634</v>
      </c>
      <c r="H6289" t="s">
        <v>12519</v>
      </c>
      <c r="I6289" t="s">
        <v>5202</v>
      </c>
      <c r="J6289" t="s">
        <v>7981</v>
      </c>
    </row>
    <row r="6290" spans="1:10" x14ac:dyDescent="0.25">
      <c r="A6290" t="s">
        <v>21635</v>
      </c>
      <c r="B6290">
        <v>6.76</v>
      </c>
      <c r="C6290" t="s">
        <v>21636</v>
      </c>
      <c r="D6290" t="s">
        <v>7934</v>
      </c>
      <c r="E6290" t="s">
        <v>21633</v>
      </c>
      <c r="F6290" t="s">
        <v>7672</v>
      </c>
      <c r="G6290" t="s">
        <v>21634</v>
      </c>
      <c r="H6290" t="s">
        <v>12519</v>
      </c>
      <c r="I6290" t="s">
        <v>5202</v>
      </c>
      <c r="J6290" t="s">
        <v>7984</v>
      </c>
    </row>
    <row r="6291" spans="1:10" x14ac:dyDescent="0.25">
      <c r="A6291" t="s">
        <v>21637</v>
      </c>
      <c r="B6291">
        <v>6.76</v>
      </c>
      <c r="C6291" t="s">
        <v>21638</v>
      </c>
      <c r="D6291" t="s">
        <v>2884</v>
      </c>
      <c r="E6291" t="s">
        <v>21633</v>
      </c>
      <c r="F6291" t="s">
        <v>7672</v>
      </c>
      <c r="G6291" t="s">
        <v>21634</v>
      </c>
      <c r="H6291" t="s">
        <v>12519</v>
      </c>
      <c r="I6291" t="s">
        <v>5202</v>
      </c>
      <c r="J6291" t="s">
        <v>7987</v>
      </c>
    </row>
    <row r="6292" spans="1:10" x14ac:dyDescent="0.25">
      <c r="A6292" t="s">
        <v>21639</v>
      </c>
      <c r="B6292">
        <v>6.76</v>
      </c>
      <c r="C6292" t="s">
        <v>21640</v>
      </c>
      <c r="D6292" t="s">
        <v>396</v>
      </c>
      <c r="E6292" t="s">
        <v>21633</v>
      </c>
      <c r="F6292" t="s">
        <v>7672</v>
      </c>
      <c r="G6292" t="s">
        <v>21634</v>
      </c>
      <c r="H6292" t="s">
        <v>12519</v>
      </c>
      <c r="I6292" t="s">
        <v>5202</v>
      </c>
      <c r="J6292" t="s">
        <v>8001</v>
      </c>
    </row>
    <row r="6293" spans="1:10" x14ac:dyDescent="0.25">
      <c r="A6293" t="s">
        <v>21641</v>
      </c>
      <c r="B6293">
        <v>13.992000000000001</v>
      </c>
      <c r="C6293" t="s">
        <v>21642</v>
      </c>
      <c r="D6293" t="s">
        <v>576</v>
      </c>
      <c r="E6293" t="s">
        <v>21643</v>
      </c>
      <c r="F6293" t="s">
        <v>7672</v>
      </c>
      <c r="G6293" t="s">
        <v>21644</v>
      </c>
      <c r="H6293" t="s">
        <v>7674</v>
      </c>
      <c r="I6293" t="s">
        <v>21645</v>
      </c>
      <c r="J6293" t="s">
        <v>9237</v>
      </c>
    </row>
    <row r="6294" spans="1:10" x14ac:dyDescent="0.25">
      <c r="A6294" t="s">
        <v>21646</v>
      </c>
      <c r="B6294">
        <v>13.992000000000001</v>
      </c>
      <c r="C6294" t="s">
        <v>21647</v>
      </c>
      <c r="D6294" t="s">
        <v>330</v>
      </c>
      <c r="E6294" t="s">
        <v>21643</v>
      </c>
      <c r="F6294" t="s">
        <v>7672</v>
      </c>
      <c r="G6294" t="s">
        <v>21644</v>
      </c>
      <c r="H6294" t="s">
        <v>7674</v>
      </c>
      <c r="I6294" t="s">
        <v>15430</v>
      </c>
      <c r="J6294" t="s">
        <v>9237</v>
      </c>
    </row>
    <row r="6295" spans="1:10" x14ac:dyDescent="0.25">
      <c r="A6295" t="s">
        <v>21648</v>
      </c>
      <c r="B6295">
        <v>13.992000000000001</v>
      </c>
      <c r="C6295" t="s">
        <v>21649</v>
      </c>
      <c r="D6295" t="s">
        <v>269</v>
      </c>
      <c r="E6295" t="s">
        <v>21643</v>
      </c>
      <c r="F6295" t="s">
        <v>7672</v>
      </c>
      <c r="G6295" t="s">
        <v>21644</v>
      </c>
      <c r="H6295" t="s">
        <v>7674</v>
      </c>
      <c r="I6295" t="s">
        <v>15424</v>
      </c>
      <c r="J6295" t="s">
        <v>9237</v>
      </c>
    </row>
    <row r="6296" spans="1:10" x14ac:dyDescent="0.25">
      <c r="A6296" t="s">
        <v>21650</v>
      </c>
      <c r="B6296">
        <v>13.992000000000001</v>
      </c>
      <c r="C6296" t="s">
        <v>21651</v>
      </c>
      <c r="D6296" t="s">
        <v>742</v>
      </c>
      <c r="E6296" t="s">
        <v>21643</v>
      </c>
      <c r="F6296" t="s">
        <v>7672</v>
      </c>
      <c r="G6296" t="s">
        <v>21644</v>
      </c>
      <c r="H6296" t="s">
        <v>7674</v>
      </c>
      <c r="I6296" t="s">
        <v>21645</v>
      </c>
      <c r="J6296" t="s">
        <v>8427</v>
      </c>
    </row>
    <row r="6297" spans="1:10" x14ac:dyDescent="0.25">
      <c r="A6297" t="s">
        <v>21652</v>
      </c>
      <c r="B6297">
        <v>13.992000000000001</v>
      </c>
      <c r="C6297" t="s">
        <v>21653</v>
      </c>
      <c r="D6297" t="s">
        <v>516</v>
      </c>
      <c r="E6297" t="s">
        <v>21643</v>
      </c>
      <c r="F6297" t="s">
        <v>7672</v>
      </c>
      <c r="G6297" t="s">
        <v>21644</v>
      </c>
      <c r="H6297" t="s">
        <v>7674</v>
      </c>
      <c r="I6297" t="s">
        <v>15430</v>
      </c>
      <c r="J6297" t="s">
        <v>8427</v>
      </c>
    </row>
    <row r="6298" spans="1:10" x14ac:dyDescent="0.25">
      <c r="A6298" t="s">
        <v>21654</v>
      </c>
      <c r="B6298">
        <v>13.992000000000001</v>
      </c>
      <c r="C6298" t="s">
        <v>21655</v>
      </c>
      <c r="D6298" t="s">
        <v>366</v>
      </c>
      <c r="E6298" t="s">
        <v>21643</v>
      </c>
      <c r="F6298" t="s">
        <v>7672</v>
      </c>
      <c r="G6298" t="s">
        <v>21644</v>
      </c>
      <c r="H6298" t="s">
        <v>7674</v>
      </c>
      <c r="I6298" t="s">
        <v>15424</v>
      </c>
      <c r="J6298" t="s">
        <v>8427</v>
      </c>
    </row>
    <row r="6299" spans="1:10" x14ac:dyDescent="0.25">
      <c r="A6299" t="s">
        <v>21656</v>
      </c>
      <c r="B6299">
        <v>13.992000000000001</v>
      </c>
      <c r="C6299" t="s">
        <v>21657</v>
      </c>
      <c r="D6299" t="s">
        <v>875</v>
      </c>
      <c r="E6299" t="s">
        <v>21643</v>
      </c>
      <c r="F6299" t="s">
        <v>7672</v>
      </c>
      <c r="G6299" t="s">
        <v>21644</v>
      </c>
      <c r="H6299" t="s">
        <v>7674</v>
      </c>
      <c r="I6299" t="s">
        <v>21645</v>
      </c>
      <c r="J6299" t="s">
        <v>8439</v>
      </c>
    </row>
    <row r="6300" spans="1:10" x14ac:dyDescent="0.25">
      <c r="A6300" t="s">
        <v>21658</v>
      </c>
      <c r="B6300">
        <v>13.992000000000001</v>
      </c>
      <c r="C6300" t="s">
        <v>21659</v>
      </c>
      <c r="D6300" t="s">
        <v>3378</v>
      </c>
      <c r="E6300" t="s">
        <v>21643</v>
      </c>
      <c r="F6300" t="s">
        <v>7672</v>
      </c>
      <c r="G6300" t="s">
        <v>21644</v>
      </c>
      <c r="H6300" t="s">
        <v>7674</v>
      </c>
      <c r="I6300" t="s">
        <v>15430</v>
      </c>
      <c r="J6300" t="s">
        <v>8439</v>
      </c>
    </row>
    <row r="6301" spans="1:10" x14ac:dyDescent="0.25">
      <c r="A6301" t="s">
        <v>21660</v>
      </c>
      <c r="B6301">
        <v>13.992000000000001</v>
      </c>
      <c r="C6301" t="s">
        <v>21661</v>
      </c>
      <c r="D6301" t="s">
        <v>229</v>
      </c>
      <c r="E6301" t="s">
        <v>21643</v>
      </c>
      <c r="F6301" t="s">
        <v>7672</v>
      </c>
      <c r="G6301" t="s">
        <v>21644</v>
      </c>
      <c r="H6301" t="s">
        <v>7674</v>
      </c>
      <c r="I6301" t="s">
        <v>15424</v>
      </c>
      <c r="J6301" t="s">
        <v>8439</v>
      </c>
    </row>
    <row r="6302" spans="1:10" x14ac:dyDescent="0.25">
      <c r="A6302" t="s">
        <v>21662</v>
      </c>
      <c r="B6302">
        <v>13.992000000000001</v>
      </c>
      <c r="C6302" t="s">
        <v>21663</v>
      </c>
      <c r="D6302" t="s">
        <v>321</v>
      </c>
      <c r="E6302" t="s">
        <v>21643</v>
      </c>
      <c r="F6302" t="s">
        <v>7672</v>
      </c>
      <c r="G6302" t="s">
        <v>21644</v>
      </c>
      <c r="H6302" t="s">
        <v>7674</v>
      </c>
      <c r="I6302" t="s">
        <v>15430</v>
      </c>
      <c r="J6302" t="s">
        <v>8451</v>
      </c>
    </row>
    <row r="6303" spans="1:10" x14ac:dyDescent="0.25">
      <c r="A6303" t="s">
        <v>21664</v>
      </c>
      <c r="B6303">
        <v>13.992000000000001</v>
      </c>
      <c r="C6303" t="s">
        <v>21665</v>
      </c>
      <c r="D6303" t="s">
        <v>698</v>
      </c>
      <c r="E6303" t="s">
        <v>21643</v>
      </c>
      <c r="F6303" t="s">
        <v>7672</v>
      </c>
      <c r="G6303" t="s">
        <v>21644</v>
      </c>
      <c r="H6303" t="s">
        <v>7674</v>
      </c>
      <c r="I6303" t="s">
        <v>15424</v>
      </c>
      <c r="J6303" t="s">
        <v>8451</v>
      </c>
    </row>
    <row r="6304" spans="1:10" x14ac:dyDescent="0.25">
      <c r="A6304" t="s">
        <v>21666</v>
      </c>
      <c r="B6304">
        <v>13.992000000000001</v>
      </c>
      <c r="C6304" t="s">
        <v>21667</v>
      </c>
      <c r="D6304" t="s">
        <v>229</v>
      </c>
      <c r="E6304" t="s">
        <v>21643</v>
      </c>
      <c r="F6304" t="s">
        <v>7672</v>
      </c>
      <c r="G6304" t="s">
        <v>21644</v>
      </c>
      <c r="H6304" t="s">
        <v>7674</v>
      </c>
      <c r="I6304" t="s">
        <v>21645</v>
      </c>
      <c r="J6304" t="s">
        <v>8451</v>
      </c>
    </row>
    <row r="6305" spans="1:10" x14ac:dyDescent="0.25">
      <c r="A6305" t="s">
        <v>21668</v>
      </c>
      <c r="B6305">
        <v>13.992000000000001</v>
      </c>
      <c r="C6305" t="s">
        <v>21669</v>
      </c>
      <c r="D6305" t="s">
        <v>776</v>
      </c>
      <c r="E6305" t="s">
        <v>21643</v>
      </c>
      <c r="F6305" t="s">
        <v>7672</v>
      </c>
      <c r="G6305" t="s">
        <v>21644</v>
      </c>
      <c r="H6305" t="s">
        <v>7674</v>
      </c>
      <c r="I6305" t="s">
        <v>15430</v>
      </c>
      <c r="J6305" t="s">
        <v>8462</v>
      </c>
    </row>
    <row r="6306" spans="1:10" x14ac:dyDescent="0.25">
      <c r="A6306" t="s">
        <v>21670</v>
      </c>
      <c r="B6306">
        <v>13.992000000000001</v>
      </c>
      <c r="C6306" t="s">
        <v>21671</v>
      </c>
      <c r="D6306" t="s">
        <v>588</v>
      </c>
      <c r="E6306" t="s">
        <v>21643</v>
      </c>
      <c r="F6306" t="s">
        <v>7672</v>
      </c>
      <c r="G6306" t="s">
        <v>21644</v>
      </c>
      <c r="H6306" t="s">
        <v>7674</v>
      </c>
      <c r="I6306" t="s">
        <v>21645</v>
      </c>
      <c r="J6306" t="s">
        <v>8462</v>
      </c>
    </row>
    <row r="6307" spans="1:10" x14ac:dyDescent="0.25">
      <c r="A6307" t="s">
        <v>21672</v>
      </c>
      <c r="B6307">
        <v>13.992000000000001</v>
      </c>
      <c r="C6307" t="s">
        <v>21673</v>
      </c>
      <c r="D6307" t="s">
        <v>2879</v>
      </c>
      <c r="E6307" t="s">
        <v>21643</v>
      </c>
      <c r="F6307" t="s">
        <v>7672</v>
      </c>
      <c r="G6307" t="s">
        <v>21644</v>
      </c>
      <c r="H6307" t="s">
        <v>7674</v>
      </c>
      <c r="I6307" t="s">
        <v>15424</v>
      </c>
      <c r="J6307" t="s">
        <v>8462</v>
      </c>
    </row>
    <row r="6308" spans="1:10" x14ac:dyDescent="0.25">
      <c r="A6308" t="s">
        <v>21674</v>
      </c>
      <c r="B6308">
        <v>13.992000000000001</v>
      </c>
      <c r="C6308" t="s">
        <v>21675</v>
      </c>
      <c r="D6308" t="s">
        <v>964</v>
      </c>
      <c r="E6308" t="s">
        <v>21643</v>
      </c>
      <c r="F6308" t="s">
        <v>7672</v>
      </c>
      <c r="G6308" t="s">
        <v>21644</v>
      </c>
      <c r="H6308" t="s">
        <v>7674</v>
      </c>
      <c r="I6308" t="s">
        <v>21645</v>
      </c>
      <c r="J6308" t="s">
        <v>9998</v>
      </c>
    </row>
    <row r="6309" spans="1:10" x14ac:dyDescent="0.25">
      <c r="A6309" t="s">
        <v>21676</v>
      </c>
      <c r="B6309">
        <v>13.992000000000001</v>
      </c>
      <c r="C6309" t="s">
        <v>21677</v>
      </c>
      <c r="D6309" t="s">
        <v>113</v>
      </c>
      <c r="E6309" t="s">
        <v>21643</v>
      </c>
      <c r="F6309" t="s">
        <v>7672</v>
      </c>
      <c r="G6309" t="s">
        <v>21644</v>
      </c>
      <c r="H6309" t="s">
        <v>7674</v>
      </c>
      <c r="I6309" t="s">
        <v>15424</v>
      </c>
      <c r="J6309" t="s">
        <v>9998</v>
      </c>
    </row>
    <row r="6310" spans="1:10" x14ac:dyDescent="0.25">
      <c r="A6310" t="s">
        <v>21678</v>
      </c>
      <c r="B6310">
        <v>13.992000000000001</v>
      </c>
      <c r="C6310" t="s">
        <v>21679</v>
      </c>
      <c r="D6310" t="s">
        <v>2879</v>
      </c>
      <c r="E6310" t="s">
        <v>21643</v>
      </c>
      <c r="F6310" t="s">
        <v>7672</v>
      </c>
      <c r="G6310" t="s">
        <v>21644</v>
      </c>
      <c r="H6310" t="s">
        <v>7674</v>
      </c>
      <c r="I6310" t="s">
        <v>15430</v>
      </c>
      <c r="J6310" t="s">
        <v>9998</v>
      </c>
    </row>
    <row r="6311" spans="1:10" x14ac:dyDescent="0.25">
      <c r="A6311" t="s">
        <v>5897</v>
      </c>
      <c r="B6311">
        <v>17.591999999999999</v>
      </c>
      <c r="C6311" t="s">
        <v>5899</v>
      </c>
      <c r="D6311" t="s">
        <v>53</v>
      </c>
      <c r="E6311" t="s">
        <v>5900</v>
      </c>
      <c r="F6311" t="s">
        <v>7672</v>
      </c>
      <c r="G6311" t="s">
        <v>21680</v>
      </c>
      <c r="H6311" t="s">
        <v>8301</v>
      </c>
      <c r="I6311" t="s">
        <v>3567</v>
      </c>
      <c r="J6311" t="s">
        <v>576</v>
      </c>
    </row>
    <row r="6312" spans="1:10" x14ac:dyDescent="0.25">
      <c r="A6312" t="s">
        <v>5903</v>
      </c>
      <c r="B6312">
        <v>17.591999999999999</v>
      </c>
      <c r="C6312" t="s">
        <v>5905</v>
      </c>
      <c r="D6312" t="s">
        <v>269</v>
      </c>
      <c r="E6312" t="s">
        <v>5900</v>
      </c>
      <c r="F6312" t="s">
        <v>7672</v>
      </c>
      <c r="G6312" t="s">
        <v>21680</v>
      </c>
      <c r="H6312" t="s">
        <v>8301</v>
      </c>
      <c r="I6312" t="s">
        <v>3567</v>
      </c>
      <c r="J6312" t="s">
        <v>282</v>
      </c>
    </row>
    <row r="6313" spans="1:10" x14ac:dyDescent="0.25">
      <c r="A6313" t="s">
        <v>21681</v>
      </c>
      <c r="B6313">
        <v>12.8</v>
      </c>
      <c r="C6313" t="s">
        <v>21682</v>
      </c>
      <c r="D6313" t="s">
        <v>835</v>
      </c>
      <c r="E6313" t="s">
        <v>21683</v>
      </c>
      <c r="F6313" t="s">
        <v>7672</v>
      </c>
      <c r="G6313" t="s">
        <v>21684</v>
      </c>
      <c r="H6313" t="s">
        <v>21685</v>
      </c>
      <c r="I6313" t="s">
        <v>9807</v>
      </c>
      <c r="J6313" t="s">
        <v>7981</v>
      </c>
    </row>
    <row r="6314" spans="1:10" x14ac:dyDescent="0.25">
      <c r="A6314" t="s">
        <v>21686</v>
      </c>
      <c r="B6314">
        <v>12.8</v>
      </c>
      <c r="C6314" t="s">
        <v>21687</v>
      </c>
      <c r="D6314" t="s">
        <v>4579</v>
      </c>
      <c r="E6314" t="s">
        <v>21683</v>
      </c>
      <c r="F6314" t="s">
        <v>7672</v>
      </c>
      <c r="G6314" t="s">
        <v>21684</v>
      </c>
      <c r="H6314" t="s">
        <v>21685</v>
      </c>
      <c r="I6314" t="s">
        <v>9807</v>
      </c>
      <c r="J6314" t="s">
        <v>7984</v>
      </c>
    </row>
    <row r="6315" spans="1:10" x14ac:dyDescent="0.25">
      <c r="A6315" t="s">
        <v>21688</v>
      </c>
      <c r="B6315">
        <v>12.8</v>
      </c>
      <c r="C6315" t="s">
        <v>21689</v>
      </c>
      <c r="D6315" t="s">
        <v>981</v>
      </c>
      <c r="E6315" t="s">
        <v>21683</v>
      </c>
      <c r="F6315" t="s">
        <v>7672</v>
      </c>
      <c r="G6315" t="s">
        <v>21684</v>
      </c>
      <c r="H6315" t="s">
        <v>21685</v>
      </c>
      <c r="I6315" t="s">
        <v>9807</v>
      </c>
      <c r="J6315" t="s">
        <v>7987</v>
      </c>
    </row>
    <row r="6316" spans="1:10" x14ac:dyDescent="0.25">
      <c r="A6316" t="s">
        <v>21690</v>
      </c>
      <c r="B6316">
        <v>12.8</v>
      </c>
      <c r="C6316" t="s">
        <v>21691</v>
      </c>
      <c r="D6316" t="s">
        <v>352</v>
      </c>
      <c r="E6316" t="s">
        <v>21683</v>
      </c>
      <c r="F6316" t="s">
        <v>7672</v>
      </c>
      <c r="G6316" t="s">
        <v>21684</v>
      </c>
      <c r="H6316" t="s">
        <v>21685</v>
      </c>
      <c r="I6316" t="s">
        <v>9807</v>
      </c>
      <c r="J6316" t="s">
        <v>15482</v>
      </c>
    </row>
    <row r="6317" spans="1:10" x14ac:dyDescent="0.25">
      <c r="A6317" t="s">
        <v>21692</v>
      </c>
      <c r="B6317">
        <v>5.9920000000000009</v>
      </c>
      <c r="C6317" t="s">
        <v>21693</v>
      </c>
      <c r="D6317" t="s">
        <v>6257</v>
      </c>
      <c r="E6317" t="s">
        <v>21694</v>
      </c>
      <c r="F6317" t="s">
        <v>7672</v>
      </c>
      <c r="G6317" t="s">
        <v>21695</v>
      </c>
      <c r="H6317" t="s">
        <v>7674</v>
      </c>
      <c r="I6317" t="s">
        <v>7776</v>
      </c>
      <c r="J6317" t="s">
        <v>9023</v>
      </c>
    </row>
    <row r="6318" spans="1:10" x14ac:dyDescent="0.25">
      <c r="A6318" t="s">
        <v>21696</v>
      </c>
      <c r="B6318">
        <v>5.9920000000000009</v>
      </c>
      <c r="C6318" t="s">
        <v>21697</v>
      </c>
      <c r="D6318" t="s">
        <v>725</v>
      </c>
      <c r="E6318" t="s">
        <v>21694</v>
      </c>
      <c r="F6318" t="s">
        <v>7672</v>
      </c>
      <c r="G6318" t="s">
        <v>21695</v>
      </c>
      <c r="H6318" t="s">
        <v>7674</v>
      </c>
      <c r="I6318" t="s">
        <v>7780</v>
      </c>
      <c r="J6318" t="s">
        <v>9023</v>
      </c>
    </row>
    <row r="6319" spans="1:10" x14ac:dyDescent="0.25">
      <c r="A6319" t="s">
        <v>21698</v>
      </c>
      <c r="B6319">
        <v>5.9920000000000009</v>
      </c>
      <c r="C6319" t="s">
        <v>21699</v>
      </c>
      <c r="D6319" t="s">
        <v>53</v>
      </c>
      <c r="E6319" t="s">
        <v>21694</v>
      </c>
      <c r="F6319" t="s">
        <v>7672</v>
      </c>
      <c r="G6319" t="s">
        <v>21695</v>
      </c>
      <c r="H6319" t="s">
        <v>7674</v>
      </c>
      <c r="I6319" t="s">
        <v>7780</v>
      </c>
      <c r="J6319" t="s">
        <v>8883</v>
      </c>
    </row>
    <row r="6320" spans="1:10" x14ac:dyDescent="0.25">
      <c r="A6320" t="s">
        <v>21700</v>
      </c>
      <c r="B6320">
        <v>5.9920000000000009</v>
      </c>
      <c r="C6320" t="s">
        <v>21701</v>
      </c>
      <c r="D6320" t="s">
        <v>1536</v>
      </c>
      <c r="E6320" t="s">
        <v>21694</v>
      </c>
      <c r="F6320" t="s">
        <v>7672</v>
      </c>
      <c r="G6320" t="s">
        <v>21695</v>
      </c>
      <c r="H6320" t="s">
        <v>7674</v>
      </c>
      <c r="I6320" t="s">
        <v>7780</v>
      </c>
      <c r="J6320" t="s">
        <v>10918</v>
      </c>
    </row>
    <row r="6321" spans="1:10" x14ac:dyDescent="0.25">
      <c r="A6321" t="s">
        <v>21702</v>
      </c>
      <c r="B6321">
        <v>5.9920000000000009</v>
      </c>
      <c r="C6321" t="s">
        <v>21703</v>
      </c>
      <c r="D6321" t="s">
        <v>306</v>
      </c>
      <c r="E6321" t="s">
        <v>21694</v>
      </c>
      <c r="F6321" t="s">
        <v>7672</v>
      </c>
      <c r="G6321" t="s">
        <v>21695</v>
      </c>
      <c r="H6321" t="s">
        <v>7674</v>
      </c>
      <c r="I6321" t="s">
        <v>7762</v>
      </c>
      <c r="J6321" t="s">
        <v>10918</v>
      </c>
    </row>
    <row r="6322" spans="1:10" x14ac:dyDescent="0.25">
      <c r="A6322" t="s">
        <v>21704</v>
      </c>
      <c r="B6322">
        <v>5.9920000000000009</v>
      </c>
      <c r="C6322" t="s">
        <v>21705</v>
      </c>
      <c r="D6322" t="s">
        <v>6257</v>
      </c>
      <c r="E6322" t="s">
        <v>21694</v>
      </c>
      <c r="F6322" t="s">
        <v>7672</v>
      </c>
      <c r="G6322" t="s">
        <v>21695</v>
      </c>
      <c r="H6322" t="s">
        <v>7674</v>
      </c>
      <c r="I6322" t="s">
        <v>7751</v>
      </c>
      <c r="J6322" t="s">
        <v>10918</v>
      </c>
    </row>
    <row r="6323" spans="1:10" x14ac:dyDescent="0.25">
      <c r="A6323" t="s">
        <v>21706</v>
      </c>
      <c r="B6323">
        <v>7.1920000000000002</v>
      </c>
      <c r="C6323" t="s">
        <v>21707</v>
      </c>
      <c r="D6323" t="s">
        <v>715</v>
      </c>
      <c r="E6323" t="s">
        <v>21694</v>
      </c>
      <c r="F6323" t="s">
        <v>7672</v>
      </c>
      <c r="G6323" t="s">
        <v>21695</v>
      </c>
      <c r="H6323" t="s">
        <v>7674</v>
      </c>
      <c r="I6323" t="s">
        <v>7795</v>
      </c>
      <c r="J6323" t="s">
        <v>9061</v>
      </c>
    </row>
    <row r="6324" spans="1:10" x14ac:dyDescent="0.25">
      <c r="A6324" t="s">
        <v>21708</v>
      </c>
      <c r="B6324">
        <v>5.9920000000000009</v>
      </c>
      <c r="C6324" t="s">
        <v>21709</v>
      </c>
      <c r="D6324" t="s">
        <v>88</v>
      </c>
      <c r="E6324" t="s">
        <v>21694</v>
      </c>
      <c r="F6324" t="s">
        <v>7672</v>
      </c>
      <c r="G6324" t="s">
        <v>21695</v>
      </c>
      <c r="H6324" t="s">
        <v>7674</v>
      </c>
      <c r="I6324" t="s">
        <v>7751</v>
      </c>
      <c r="J6324" t="s">
        <v>9061</v>
      </c>
    </row>
    <row r="6325" spans="1:10" x14ac:dyDescent="0.25">
      <c r="A6325" t="s">
        <v>21710</v>
      </c>
      <c r="B6325">
        <v>10.08</v>
      </c>
      <c r="C6325" t="s">
        <v>21711</v>
      </c>
      <c r="D6325" t="s">
        <v>436</v>
      </c>
      <c r="E6325" t="s">
        <v>21712</v>
      </c>
      <c r="F6325" t="s">
        <v>7672</v>
      </c>
      <c r="G6325" t="s">
        <v>21713</v>
      </c>
      <c r="H6325" t="s">
        <v>10298</v>
      </c>
      <c r="I6325" t="s">
        <v>13696</v>
      </c>
      <c r="J6325" t="s">
        <v>12182</v>
      </c>
    </row>
    <row r="6326" spans="1:10" x14ac:dyDescent="0.25">
      <c r="A6326" t="s">
        <v>21714</v>
      </c>
      <c r="B6326">
        <v>10.08</v>
      </c>
      <c r="C6326" t="s">
        <v>21715</v>
      </c>
      <c r="D6326" t="s">
        <v>100</v>
      </c>
      <c r="E6326" t="s">
        <v>21712</v>
      </c>
      <c r="F6326" t="s">
        <v>7672</v>
      </c>
      <c r="G6326" t="s">
        <v>21713</v>
      </c>
      <c r="H6326" t="s">
        <v>10298</v>
      </c>
      <c r="I6326" t="s">
        <v>21716</v>
      </c>
      <c r="J6326" t="s">
        <v>10150</v>
      </c>
    </row>
    <row r="6327" spans="1:10" x14ac:dyDescent="0.25">
      <c r="A6327" t="s">
        <v>21717</v>
      </c>
      <c r="B6327">
        <v>10.08</v>
      </c>
      <c r="C6327" t="s">
        <v>21718</v>
      </c>
      <c r="D6327" t="s">
        <v>588</v>
      </c>
      <c r="E6327" t="s">
        <v>21712</v>
      </c>
      <c r="F6327" t="s">
        <v>7672</v>
      </c>
      <c r="G6327" t="s">
        <v>21713</v>
      </c>
      <c r="H6327" t="s">
        <v>10298</v>
      </c>
      <c r="I6327" t="s">
        <v>13696</v>
      </c>
      <c r="J6327" t="s">
        <v>10150</v>
      </c>
    </row>
    <row r="6328" spans="1:10" x14ac:dyDescent="0.25">
      <c r="A6328" t="s">
        <v>21719</v>
      </c>
      <c r="B6328">
        <v>10.08</v>
      </c>
      <c r="C6328" t="s">
        <v>21720</v>
      </c>
      <c r="D6328" t="s">
        <v>330</v>
      </c>
      <c r="E6328" t="s">
        <v>21712</v>
      </c>
      <c r="F6328" t="s">
        <v>7672</v>
      </c>
      <c r="G6328" t="s">
        <v>21713</v>
      </c>
      <c r="H6328" t="s">
        <v>10298</v>
      </c>
      <c r="I6328" t="s">
        <v>13696</v>
      </c>
      <c r="J6328" t="s">
        <v>15079</v>
      </c>
    </row>
    <row r="6329" spans="1:10" x14ac:dyDescent="0.25">
      <c r="A6329" t="s">
        <v>21721</v>
      </c>
      <c r="B6329">
        <v>10.08</v>
      </c>
      <c r="C6329" t="s">
        <v>21722</v>
      </c>
      <c r="D6329" t="s">
        <v>88</v>
      </c>
      <c r="E6329" t="s">
        <v>21712</v>
      </c>
      <c r="F6329" t="s">
        <v>7672</v>
      </c>
      <c r="G6329" t="s">
        <v>21713</v>
      </c>
      <c r="H6329" t="s">
        <v>10298</v>
      </c>
      <c r="I6329" t="s">
        <v>21716</v>
      </c>
      <c r="J6329" t="s">
        <v>15079</v>
      </c>
    </row>
    <row r="6330" spans="1:10" x14ac:dyDescent="0.25">
      <c r="A6330" t="s">
        <v>5907</v>
      </c>
      <c r="B6330">
        <v>67.600000000000009</v>
      </c>
      <c r="C6330" t="s">
        <v>5909</v>
      </c>
      <c r="D6330" t="s">
        <v>385</v>
      </c>
      <c r="E6330" t="s">
        <v>5910</v>
      </c>
      <c r="F6330" t="s">
        <v>7672</v>
      </c>
      <c r="G6330" t="s">
        <v>21723</v>
      </c>
      <c r="H6330" t="s">
        <v>9232</v>
      </c>
      <c r="I6330" t="s">
        <v>2866</v>
      </c>
      <c r="J6330" t="s">
        <v>7675</v>
      </c>
    </row>
    <row r="6331" spans="1:10" x14ac:dyDescent="0.25">
      <c r="A6331" t="s">
        <v>5914</v>
      </c>
      <c r="B6331">
        <v>67.600000000000009</v>
      </c>
      <c r="C6331" t="s">
        <v>5916</v>
      </c>
      <c r="D6331" t="s">
        <v>131</v>
      </c>
      <c r="E6331" t="s">
        <v>5910</v>
      </c>
      <c r="F6331" t="s">
        <v>7672</v>
      </c>
      <c r="G6331" t="s">
        <v>21723</v>
      </c>
      <c r="H6331" t="s">
        <v>9232</v>
      </c>
      <c r="I6331" t="s">
        <v>21724</v>
      </c>
      <c r="J6331" t="s">
        <v>7675</v>
      </c>
    </row>
    <row r="6332" spans="1:10" x14ac:dyDescent="0.25">
      <c r="A6332" t="s">
        <v>5919</v>
      </c>
      <c r="B6332">
        <v>67.600000000000009</v>
      </c>
      <c r="C6332" t="s">
        <v>5921</v>
      </c>
      <c r="D6332" t="s">
        <v>301</v>
      </c>
      <c r="E6332" t="s">
        <v>5910</v>
      </c>
      <c r="F6332" t="s">
        <v>7672</v>
      </c>
      <c r="G6332" t="s">
        <v>21723</v>
      </c>
      <c r="H6332" t="s">
        <v>9232</v>
      </c>
      <c r="I6332" t="s">
        <v>76</v>
      </c>
      <c r="J6332" t="s">
        <v>7675</v>
      </c>
    </row>
    <row r="6333" spans="1:10" x14ac:dyDescent="0.25">
      <c r="A6333" t="s">
        <v>5923</v>
      </c>
      <c r="B6333">
        <v>67.600000000000009</v>
      </c>
      <c r="C6333" t="s">
        <v>5925</v>
      </c>
      <c r="D6333" t="s">
        <v>60</v>
      </c>
      <c r="E6333" t="s">
        <v>5910</v>
      </c>
      <c r="F6333" t="s">
        <v>7672</v>
      </c>
      <c r="G6333" t="s">
        <v>21723</v>
      </c>
      <c r="H6333" t="s">
        <v>9232</v>
      </c>
      <c r="I6333" t="s">
        <v>76</v>
      </c>
      <c r="J6333" t="s">
        <v>7719</v>
      </c>
    </row>
    <row r="6334" spans="1:10" x14ac:dyDescent="0.25">
      <c r="A6334" t="s">
        <v>5927</v>
      </c>
      <c r="B6334">
        <v>12.6</v>
      </c>
      <c r="C6334" t="s">
        <v>5929</v>
      </c>
      <c r="D6334" t="s">
        <v>277</v>
      </c>
      <c r="E6334" t="s">
        <v>5930</v>
      </c>
      <c r="F6334" t="s">
        <v>7672</v>
      </c>
      <c r="G6334" t="s">
        <v>21725</v>
      </c>
      <c r="H6334" t="s">
        <v>8078</v>
      </c>
      <c r="I6334" t="s">
        <v>18887</v>
      </c>
      <c r="J6334" t="s">
        <v>7981</v>
      </c>
    </row>
    <row r="6335" spans="1:10" x14ac:dyDescent="0.25">
      <c r="A6335" t="s">
        <v>21726</v>
      </c>
      <c r="B6335">
        <v>3.84</v>
      </c>
      <c r="C6335" t="s">
        <v>21727</v>
      </c>
      <c r="D6335" t="s">
        <v>100</v>
      </c>
      <c r="E6335" t="s">
        <v>21728</v>
      </c>
      <c r="F6335" t="s">
        <v>7672</v>
      </c>
      <c r="G6335" t="s">
        <v>21729</v>
      </c>
      <c r="H6335" t="s">
        <v>11496</v>
      </c>
      <c r="I6335" t="s">
        <v>935</v>
      </c>
      <c r="J6335" t="s">
        <v>9423</v>
      </c>
    </row>
    <row r="6336" spans="1:10" x14ac:dyDescent="0.25">
      <c r="A6336" t="s">
        <v>21730</v>
      </c>
      <c r="B6336">
        <v>3.84</v>
      </c>
      <c r="C6336" t="s">
        <v>21731</v>
      </c>
      <c r="D6336" t="s">
        <v>60</v>
      </c>
      <c r="E6336" t="s">
        <v>21728</v>
      </c>
      <c r="F6336" t="s">
        <v>7672</v>
      </c>
      <c r="G6336" t="s">
        <v>21729</v>
      </c>
      <c r="H6336" t="s">
        <v>11496</v>
      </c>
      <c r="I6336" t="s">
        <v>935</v>
      </c>
      <c r="J6336" t="s">
        <v>10862</v>
      </c>
    </row>
    <row r="6337" spans="1:10" x14ac:dyDescent="0.25">
      <c r="A6337" t="s">
        <v>21732</v>
      </c>
      <c r="B6337">
        <v>3.84</v>
      </c>
      <c r="C6337" t="s">
        <v>21733</v>
      </c>
      <c r="D6337" t="s">
        <v>2036</v>
      </c>
      <c r="E6337" t="s">
        <v>21728</v>
      </c>
      <c r="F6337" t="s">
        <v>7672</v>
      </c>
      <c r="G6337" t="s">
        <v>21729</v>
      </c>
      <c r="H6337" t="s">
        <v>11496</v>
      </c>
      <c r="I6337" t="s">
        <v>935</v>
      </c>
      <c r="J6337" t="s">
        <v>9426</v>
      </c>
    </row>
    <row r="6338" spans="1:10" x14ac:dyDescent="0.25">
      <c r="A6338" t="s">
        <v>5934</v>
      </c>
      <c r="B6338">
        <v>16.792000000000002</v>
      </c>
      <c r="C6338" t="s">
        <v>5936</v>
      </c>
      <c r="D6338" t="s">
        <v>385</v>
      </c>
      <c r="E6338" t="s">
        <v>5937</v>
      </c>
      <c r="F6338" t="s">
        <v>7672</v>
      </c>
      <c r="G6338" t="s">
        <v>21734</v>
      </c>
      <c r="H6338" t="s">
        <v>17415</v>
      </c>
      <c r="I6338" t="s">
        <v>76</v>
      </c>
      <c r="J6338" t="s">
        <v>11501</v>
      </c>
    </row>
    <row r="6339" spans="1:10" x14ac:dyDescent="0.25">
      <c r="A6339" t="s">
        <v>5940</v>
      </c>
      <c r="B6339">
        <v>16.792000000000002</v>
      </c>
      <c r="C6339" t="s">
        <v>5942</v>
      </c>
      <c r="D6339" t="s">
        <v>250</v>
      </c>
      <c r="E6339" t="s">
        <v>5937</v>
      </c>
      <c r="F6339" t="s">
        <v>7672</v>
      </c>
      <c r="G6339" t="s">
        <v>21734</v>
      </c>
      <c r="H6339" t="s">
        <v>17415</v>
      </c>
      <c r="I6339" t="s">
        <v>76</v>
      </c>
      <c r="J6339" t="s">
        <v>11502</v>
      </c>
    </row>
    <row r="6340" spans="1:10" x14ac:dyDescent="0.25">
      <c r="A6340" t="s">
        <v>5944</v>
      </c>
      <c r="B6340">
        <v>16.792000000000002</v>
      </c>
      <c r="C6340" t="s">
        <v>5946</v>
      </c>
      <c r="D6340" t="s">
        <v>4270</v>
      </c>
      <c r="E6340" t="s">
        <v>5937</v>
      </c>
      <c r="F6340" t="s">
        <v>7672</v>
      </c>
      <c r="G6340" t="s">
        <v>21734</v>
      </c>
      <c r="H6340" t="s">
        <v>17415</v>
      </c>
      <c r="I6340" t="s">
        <v>76</v>
      </c>
      <c r="J6340" t="s">
        <v>282</v>
      </c>
    </row>
    <row r="6341" spans="1:10" x14ac:dyDescent="0.25">
      <c r="A6341" t="s">
        <v>5948</v>
      </c>
      <c r="B6341">
        <v>16.792000000000002</v>
      </c>
      <c r="C6341" t="s">
        <v>5950</v>
      </c>
      <c r="D6341" t="s">
        <v>234</v>
      </c>
      <c r="E6341" t="s">
        <v>5937</v>
      </c>
      <c r="F6341" t="s">
        <v>7672</v>
      </c>
      <c r="G6341" t="s">
        <v>21734</v>
      </c>
      <c r="H6341" t="s">
        <v>17415</v>
      </c>
      <c r="I6341" t="s">
        <v>76</v>
      </c>
      <c r="J6341" t="s">
        <v>277</v>
      </c>
    </row>
    <row r="6342" spans="1:10" x14ac:dyDescent="0.25">
      <c r="A6342" t="s">
        <v>21735</v>
      </c>
      <c r="B6342">
        <v>4.8320000000000007</v>
      </c>
      <c r="C6342" t="s">
        <v>21736</v>
      </c>
      <c r="D6342" t="s">
        <v>8435</v>
      </c>
      <c r="E6342" t="s">
        <v>21737</v>
      </c>
      <c r="F6342" t="s">
        <v>7672</v>
      </c>
      <c r="G6342" t="s">
        <v>21738</v>
      </c>
      <c r="H6342" t="s">
        <v>8027</v>
      </c>
      <c r="I6342" t="s">
        <v>8158</v>
      </c>
      <c r="J6342" t="s">
        <v>8427</v>
      </c>
    </row>
    <row r="6343" spans="1:10" x14ac:dyDescent="0.25">
      <c r="A6343" t="s">
        <v>21739</v>
      </c>
      <c r="B6343">
        <v>4.8320000000000007</v>
      </c>
      <c r="C6343" t="s">
        <v>21740</v>
      </c>
      <c r="D6343" t="s">
        <v>8888</v>
      </c>
      <c r="E6343" t="s">
        <v>21737</v>
      </c>
      <c r="F6343" t="s">
        <v>7672</v>
      </c>
      <c r="G6343" t="s">
        <v>21738</v>
      </c>
      <c r="H6343" t="s">
        <v>8027</v>
      </c>
      <c r="I6343" t="s">
        <v>8165</v>
      </c>
      <c r="J6343" t="s">
        <v>8427</v>
      </c>
    </row>
    <row r="6344" spans="1:10" x14ac:dyDescent="0.25">
      <c r="A6344" t="s">
        <v>21741</v>
      </c>
      <c r="B6344">
        <v>4.8320000000000007</v>
      </c>
      <c r="C6344" t="s">
        <v>21742</v>
      </c>
      <c r="D6344" t="s">
        <v>100</v>
      </c>
      <c r="E6344" t="s">
        <v>21737</v>
      </c>
      <c r="F6344" t="s">
        <v>7672</v>
      </c>
      <c r="G6344" t="s">
        <v>21738</v>
      </c>
      <c r="H6344" t="s">
        <v>8027</v>
      </c>
      <c r="I6344" t="s">
        <v>8275</v>
      </c>
      <c r="J6344" t="s">
        <v>8451</v>
      </c>
    </row>
    <row r="6345" spans="1:10" x14ac:dyDescent="0.25">
      <c r="A6345" t="s">
        <v>21743</v>
      </c>
      <c r="B6345">
        <v>6.48</v>
      </c>
      <c r="C6345" t="s">
        <v>21744</v>
      </c>
      <c r="D6345" t="s">
        <v>8618</v>
      </c>
      <c r="E6345" t="s">
        <v>21745</v>
      </c>
      <c r="F6345" t="s">
        <v>7672</v>
      </c>
      <c r="G6345" t="s">
        <v>21746</v>
      </c>
      <c r="H6345" t="s">
        <v>10298</v>
      </c>
      <c r="I6345" t="s">
        <v>21747</v>
      </c>
      <c r="J6345" t="s">
        <v>11696</v>
      </c>
    </row>
    <row r="6346" spans="1:10" x14ac:dyDescent="0.25">
      <c r="A6346" t="s">
        <v>21748</v>
      </c>
      <c r="B6346">
        <v>6.48</v>
      </c>
      <c r="C6346" t="s">
        <v>21749</v>
      </c>
      <c r="D6346" t="s">
        <v>3577</v>
      </c>
      <c r="E6346" t="s">
        <v>21745</v>
      </c>
      <c r="F6346" t="s">
        <v>7672</v>
      </c>
      <c r="G6346" t="s">
        <v>21746</v>
      </c>
      <c r="H6346" t="s">
        <v>10298</v>
      </c>
      <c r="I6346" t="s">
        <v>21750</v>
      </c>
      <c r="J6346" t="s">
        <v>11696</v>
      </c>
    </row>
    <row r="6347" spans="1:10" x14ac:dyDescent="0.25">
      <c r="A6347" t="s">
        <v>21751</v>
      </c>
      <c r="B6347">
        <v>6.48</v>
      </c>
      <c r="C6347" t="s">
        <v>21752</v>
      </c>
      <c r="D6347" t="s">
        <v>4270</v>
      </c>
      <c r="E6347" t="s">
        <v>21745</v>
      </c>
      <c r="F6347" t="s">
        <v>7672</v>
      </c>
      <c r="G6347" t="s">
        <v>21746</v>
      </c>
      <c r="H6347" t="s">
        <v>10298</v>
      </c>
      <c r="I6347" t="s">
        <v>12325</v>
      </c>
      <c r="J6347" t="s">
        <v>11696</v>
      </c>
    </row>
    <row r="6348" spans="1:10" x14ac:dyDescent="0.25">
      <c r="A6348" t="s">
        <v>21753</v>
      </c>
      <c r="B6348">
        <v>6.48</v>
      </c>
      <c r="C6348" t="s">
        <v>21754</v>
      </c>
      <c r="D6348" t="s">
        <v>4924</v>
      </c>
      <c r="E6348" t="s">
        <v>21745</v>
      </c>
      <c r="F6348" t="s">
        <v>7672</v>
      </c>
      <c r="G6348" t="s">
        <v>21746</v>
      </c>
      <c r="H6348" t="s">
        <v>10298</v>
      </c>
      <c r="I6348" t="s">
        <v>21755</v>
      </c>
      <c r="J6348" t="s">
        <v>11696</v>
      </c>
    </row>
    <row r="6349" spans="1:10" x14ac:dyDescent="0.25">
      <c r="A6349" t="s">
        <v>21756</v>
      </c>
      <c r="B6349">
        <v>6.48</v>
      </c>
      <c r="C6349" t="s">
        <v>21757</v>
      </c>
      <c r="D6349" t="s">
        <v>450</v>
      </c>
      <c r="E6349" t="s">
        <v>21745</v>
      </c>
      <c r="F6349" t="s">
        <v>7672</v>
      </c>
      <c r="G6349" t="s">
        <v>21746</v>
      </c>
      <c r="H6349" t="s">
        <v>10298</v>
      </c>
      <c r="I6349" t="s">
        <v>21747</v>
      </c>
      <c r="J6349" t="s">
        <v>11702</v>
      </c>
    </row>
    <row r="6350" spans="1:10" x14ac:dyDescent="0.25">
      <c r="A6350" t="s">
        <v>21758</v>
      </c>
      <c r="B6350">
        <v>6.48</v>
      </c>
      <c r="C6350" t="s">
        <v>21759</v>
      </c>
      <c r="D6350" t="s">
        <v>588</v>
      </c>
      <c r="E6350" t="s">
        <v>21745</v>
      </c>
      <c r="F6350" t="s">
        <v>7672</v>
      </c>
      <c r="G6350" t="s">
        <v>21746</v>
      </c>
      <c r="H6350" t="s">
        <v>10298</v>
      </c>
      <c r="I6350" t="s">
        <v>12325</v>
      </c>
      <c r="J6350" t="s">
        <v>11702</v>
      </c>
    </row>
    <row r="6351" spans="1:10" x14ac:dyDescent="0.25">
      <c r="A6351" t="s">
        <v>21760</v>
      </c>
      <c r="B6351">
        <v>6.48</v>
      </c>
      <c r="C6351" t="s">
        <v>21761</v>
      </c>
      <c r="D6351" t="s">
        <v>1134</v>
      </c>
      <c r="E6351" t="s">
        <v>21745</v>
      </c>
      <c r="F6351" t="s">
        <v>7672</v>
      </c>
      <c r="G6351" t="s">
        <v>21746</v>
      </c>
      <c r="H6351" t="s">
        <v>10298</v>
      </c>
      <c r="I6351" t="s">
        <v>21755</v>
      </c>
      <c r="J6351" t="s">
        <v>11702</v>
      </c>
    </row>
    <row r="6352" spans="1:10" x14ac:dyDescent="0.25">
      <c r="A6352" t="s">
        <v>21762</v>
      </c>
      <c r="B6352">
        <v>6.48</v>
      </c>
      <c r="C6352" t="s">
        <v>21763</v>
      </c>
      <c r="D6352" t="s">
        <v>1143</v>
      </c>
      <c r="E6352" t="s">
        <v>21745</v>
      </c>
      <c r="F6352" t="s">
        <v>7672</v>
      </c>
      <c r="G6352" t="s">
        <v>21746</v>
      </c>
      <c r="H6352" t="s">
        <v>10298</v>
      </c>
      <c r="I6352" t="s">
        <v>21747</v>
      </c>
      <c r="J6352" t="s">
        <v>15070</v>
      </c>
    </row>
    <row r="6353" spans="1:10" x14ac:dyDescent="0.25">
      <c r="A6353" t="s">
        <v>21764</v>
      </c>
      <c r="B6353">
        <v>6.48</v>
      </c>
      <c r="C6353" t="s">
        <v>21765</v>
      </c>
      <c r="D6353" t="s">
        <v>240</v>
      </c>
      <c r="E6353" t="s">
        <v>21745</v>
      </c>
      <c r="F6353" t="s">
        <v>7672</v>
      </c>
      <c r="G6353" t="s">
        <v>21746</v>
      </c>
      <c r="H6353" t="s">
        <v>10298</v>
      </c>
      <c r="I6353" t="s">
        <v>21747</v>
      </c>
      <c r="J6353" t="s">
        <v>15073</v>
      </c>
    </row>
    <row r="6354" spans="1:10" x14ac:dyDescent="0.25">
      <c r="A6354" t="s">
        <v>21766</v>
      </c>
      <c r="B6354">
        <v>6.48</v>
      </c>
      <c r="C6354" t="s">
        <v>21767</v>
      </c>
      <c r="D6354" t="s">
        <v>321</v>
      </c>
      <c r="E6354" t="s">
        <v>21745</v>
      </c>
      <c r="F6354" t="s">
        <v>7672</v>
      </c>
      <c r="G6354" t="s">
        <v>21746</v>
      </c>
      <c r="H6354" t="s">
        <v>10298</v>
      </c>
      <c r="I6354" t="s">
        <v>21747</v>
      </c>
      <c r="J6354" t="s">
        <v>15076</v>
      </c>
    </row>
    <row r="6355" spans="1:10" x14ac:dyDescent="0.25">
      <c r="A6355" t="s">
        <v>21768</v>
      </c>
      <c r="B6355">
        <v>6.48</v>
      </c>
      <c r="C6355" t="s">
        <v>21769</v>
      </c>
      <c r="D6355" t="s">
        <v>131</v>
      </c>
      <c r="E6355" t="s">
        <v>21745</v>
      </c>
      <c r="F6355" t="s">
        <v>7672</v>
      </c>
      <c r="G6355" t="s">
        <v>21746</v>
      </c>
      <c r="H6355" t="s">
        <v>10298</v>
      </c>
      <c r="I6355" t="s">
        <v>21755</v>
      </c>
      <c r="J6355" t="s">
        <v>15076</v>
      </c>
    </row>
    <row r="6356" spans="1:10" x14ac:dyDescent="0.25">
      <c r="A6356" t="s">
        <v>21770</v>
      </c>
      <c r="B6356">
        <v>6.48</v>
      </c>
      <c r="C6356" t="s">
        <v>21771</v>
      </c>
      <c r="D6356" t="s">
        <v>245</v>
      </c>
      <c r="E6356" t="s">
        <v>21745</v>
      </c>
      <c r="F6356" t="s">
        <v>7672</v>
      </c>
      <c r="G6356" t="s">
        <v>21746</v>
      </c>
      <c r="H6356" t="s">
        <v>10298</v>
      </c>
      <c r="I6356" t="s">
        <v>21750</v>
      </c>
      <c r="J6356" t="s">
        <v>15079</v>
      </c>
    </row>
    <row r="6357" spans="1:10" x14ac:dyDescent="0.25">
      <c r="A6357" t="s">
        <v>21772</v>
      </c>
      <c r="B6357">
        <v>6.48</v>
      </c>
      <c r="C6357" t="s">
        <v>21773</v>
      </c>
      <c r="D6357" t="s">
        <v>379</v>
      </c>
      <c r="E6357" t="s">
        <v>21745</v>
      </c>
      <c r="F6357" t="s">
        <v>7672</v>
      </c>
      <c r="G6357" t="s">
        <v>21746</v>
      </c>
      <c r="H6357" t="s">
        <v>10298</v>
      </c>
      <c r="I6357" t="s">
        <v>21747</v>
      </c>
      <c r="J6357" t="s">
        <v>15079</v>
      </c>
    </row>
    <row r="6358" spans="1:10" x14ac:dyDescent="0.25">
      <c r="A6358" t="s">
        <v>21774</v>
      </c>
      <c r="B6358">
        <v>6.48</v>
      </c>
      <c r="C6358" t="s">
        <v>21775</v>
      </c>
      <c r="D6358" t="s">
        <v>359</v>
      </c>
      <c r="E6358" t="s">
        <v>21745</v>
      </c>
      <c r="F6358" t="s">
        <v>7672</v>
      </c>
      <c r="G6358" t="s">
        <v>21746</v>
      </c>
      <c r="H6358" t="s">
        <v>10298</v>
      </c>
      <c r="I6358" t="s">
        <v>21755</v>
      </c>
      <c r="J6358" t="s">
        <v>15079</v>
      </c>
    </row>
    <row r="6359" spans="1:10" x14ac:dyDescent="0.25">
      <c r="A6359" t="s">
        <v>21776</v>
      </c>
      <c r="B6359">
        <v>7.0400000000000009</v>
      </c>
      <c r="C6359" t="s">
        <v>21777</v>
      </c>
      <c r="D6359" t="s">
        <v>959</v>
      </c>
      <c r="E6359" t="s">
        <v>21778</v>
      </c>
      <c r="F6359" t="s">
        <v>7672</v>
      </c>
      <c r="G6359" t="s">
        <v>21779</v>
      </c>
      <c r="H6359" t="s">
        <v>11496</v>
      </c>
      <c r="I6359" t="s">
        <v>410</v>
      </c>
      <c r="J6359" t="s">
        <v>100</v>
      </c>
    </row>
    <row r="6360" spans="1:10" x14ac:dyDescent="0.25">
      <c r="A6360" t="s">
        <v>21780</v>
      </c>
      <c r="B6360">
        <v>7.0400000000000009</v>
      </c>
      <c r="C6360" t="s">
        <v>21781</v>
      </c>
      <c r="D6360" t="s">
        <v>516</v>
      </c>
      <c r="E6360" t="s">
        <v>21778</v>
      </c>
      <c r="F6360" t="s">
        <v>7672</v>
      </c>
      <c r="G6360" t="s">
        <v>21779</v>
      </c>
      <c r="H6360" t="s">
        <v>11496</v>
      </c>
      <c r="I6360" t="s">
        <v>410</v>
      </c>
      <c r="J6360" t="s">
        <v>106</v>
      </c>
    </row>
    <row r="6361" spans="1:10" x14ac:dyDescent="0.25">
      <c r="A6361" t="s">
        <v>21782</v>
      </c>
      <c r="B6361">
        <v>7.0400000000000009</v>
      </c>
      <c r="C6361" t="s">
        <v>21783</v>
      </c>
      <c r="D6361" t="s">
        <v>598</v>
      </c>
      <c r="E6361" t="s">
        <v>21778</v>
      </c>
      <c r="F6361" t="s">
        <v>7672</v>
      </c>
      <c r="G6361" t="s">
        <v>21779</v>
      </c>
      <c r="H6361" t="s">
        <v>11496</v>
      </c>
      <c r="I6361" t="s">
        <v>410</v>
      </c>
      <c r="J6361" t="s">
        <v>131</v>
      </c>
    </row>
    <row r="6362" spans="1:10" x14ac:dyDescent="0.25">
      <c r="A6362" t="s">
        <v>21784</v>
      </c>
      <c r="B6362">
        <v>7.0400000000000009</v>
      </c>
      <c r="C6362" t="s">
        <v>21785</v>
      </c>
      <c r="D6362" t="s">
        <v>306</v>
      </c>
      <c r="E6362" t="s">
        <v>21778</v>
      </c>
      <c r="F6362" t="s">
        <v>7672</v>
      </c>
      <c r="G6362" t="s">
        <v>21779</v>
      </c>
      <c r="H6362" t="s">
        <v>11496</v>
      </c>
      <c r="I6362" t="s">
        <v>410</v>
      </c>
      <c r="J6362" t="s">
        <v>269</v>
      </c>
    </row>
    <row r="6363" spans="1:10" x14ac:dyDescent="0.25">
      <c r="A6363" t="s">
        <v>21786</v>
      </c>
      <c r="B6363">
        <v>7.0400000000000009</v>
      </c>
      <c r="C6363" t="s">
        <v>21787</v>
      </c>
      <c r="D6363" t="s">
        <v>3175</v>
      </c>
      <c r="E6363" t="s">
        <v>21778</v>
      </c>
      <c r="F6363" t="s">
        <v>7672</v>
      </c>
      <c r="G6363" t="s">
        <v>21779</v>
      </c>
      <c r="H6363" t="s">
        <v>11496</v>
      </c>
      <c r="I6363" t="s">
        <v>410</v>
      </c>
      <c r="J6363" t="s">
        <v>8789</v>
      </c>
    </row>
    <row r="6364" spans="1:10" x14ac:dyDescent="0.25">
      <c r="A6364" t="s">
        <v>21788</v>
      </c>
      <c r="B6364">
        <v>7.0400000000000009</v>
      </c>
      <c r="C6364" t="s">
        <v>21789</v>
      </c>
      <c r="D6364" t="s">
        <v>598</v>
      </c>
      <c r="E6364" t="s">
        <v>21778</v>
      </c>
      <c r="F6364" t="s">
        <v>7672</v>
      </c>
      <c r="G6364" t="s">
        <v>21779</v>
      </c>
      <c r="H6364" t="s">
        <v>11496</v>
      </c>
      <c r="I6364" t="s">
        <v>410</v>
      </c>
      <c r="J6364" t="s">
        <v>255</v>
      </c>
    </row>
    <row r="6365" spans="1:10" x14ac:dyDescent="0.25">
      <c r="A6365" t="s">
        <v>21790</v>
      </c>
      <c r="B6365">
        <v>7.0400000000000009</v>
      </c>
      <c r="C6365" t="s">
        <v>21791</v>
      </c>
      <c r="D6365" t="s">
        <v>124</v>
      </c>
      <c r="E6365" t="s">
        <v>21778</v>
      </c>
      <c r="F6365" t="s">
        <v>7672</v>
      </c>
      <c r="G6365" t="s">
        <v>21779</v>
      </c>
      <c r="H6365" t="s">
        <v>11496</v>
      </c>
      <c r="I6365" t="s">
        <v>410</v>
      </c>
      <c r="J6365" t="s">
        <v>277</v>
      </c>
    </row>
    <row r="6366" spans="1:10" x14ac:dyDescent="0.25">
      <c r="A6366" t="s">
        <v>21792</v>
      </c>
      <c r="B6366">
        <v>7.0400000000000009</v>
      </c>
      <c r="C6366" t="s">
        <v>21793</v>
      </c>
      <c r="D6366" t="s">
        <v>2910</v>
      </c>
      <c r="E6366" t="s">
        <v>21778</v>
      </c>
      <c r="F6366" t="s">
        <v>7672</v>
      </c>
      <c r="G6366" t="s">
        <v>21779</v>
      </c>
      <c r="H6366" t="s">
        <v>11496</v>
      </c>
      <c r="I6366" t="s">
        <v>410</v>
      </c>
      <c r="J6366" t="s">
        <v>164</v>
      </c>
    </row>
    <row r="6367" spans="1:10" x14ac:dyDescent="0.25">
      <c r="A6367" t="s">
        <v>5952</v>
      </c>
      <c r="B6367">
        <v>4.8000000000000007</v>
      </c>
      <c r="C6367" t="s">
        <v>5954</v>
      </c>
      <c r="D6367" t="s">
        <v>742</v>
      </c>
      <c r="E6367" t="s">
        <v>5955</v>
      </c>
      <c r="F6367" t="s">
        <v>7672</v>
      </c>
      <c r="G6367" t="s">
        <v>21794</v>
      </c>
      <c r="H6367" t="s">
        <v>11496</v>
      </c>
      <c r="I6367" t="s">
        <v>21795</v>
      </c>
      <c r="J6367" t="s">
        <v>9426</v>
      </c>
    </row>
    <row r="6368" spans="1:10" x14ac:dyDescent="0.25">
      <c r="A6368" t="s">
        <v>5958</v>
      </c>
      <c r="B6368">
        <v>4.8000000000000007</v>
      </c>
      <c r="C6368" t="s">
        <v>5960</v>
      </c>
      <c r="D6368" t="s">
        <v>1795</v>
      </c>
      <c r="E6368" t="s">
        <v>5955</v>
      </c>
      <c r="F6368" t="s">
        <v>7672</v>
      </c>
      <c r="G6368" t="s">
        <v>21794</v>
      </c>
      <c r="H6368" t="s">
        <v>11496</v>
      </c>
      <c r="I6368" t="s">
        <v>21795</v>
      </c>
      <c r="J6368" t="s">
        <v>10862</v>
      </c>
    </row>
    <row r="6369" spans="1:10" x14ac:dyDescent="0.25">
      <c r="A6369" t="s">
        <v>5962</v>
      </c>
      <c r="B6369">
        <v>4.8000000000000007</v>
      </c>
      <c r="C6369" t="s">
        <v>5964</v>
      </c>
      <c r="D6369" t="s">
        <v>5966</v>
      </c>
      <c r="E6369" t="s">
        <v>5955</v>
      </c>
      <c r="F6369" t="s">
        <v>7672</v>
      </c>
      <c r="G6369" t="s">
        <v>21794</v>
      </c>
      <c r="H6369" t="s">
        <v>11496</v>
      </c>
      <c r="I6369" t="s">
        <v>21795</v>
      </c>
      <c r="J6369" t="s">
        <v>13084</v>
      </c>
    </row>
    <row r="6370" spans="1:10" x14ac:dyDescent="0.25">
      <c r="A6370" t="s">
        <v>5967</v>
      </c>
      <c r="B6370">
        <v>4.8000000000000007</v>
      </c>
      <c r="C6370" t="s">
        <v>5969</v>
      </c>
      <c r="D6370" t="s">
        <v>3954</v>
      </c>
      <c r="E6370" t="s">
        <v>5955</v>
      </c>
      <c r="F6370" t="s">
        <v>7672</v>
      </c>
      <c r="G6370" t="s">
        <v>21794</v>
      </c>
      <c r="H6370" t="s">
        <v>11496</v>
      </c>
      <c r="I6370" t="s">
        <v>21795</v>
      </c>
      <c r="J6370" t="s">
        <v>11767</v>
      </c>
    </row>
    <row r="6371" spans="1:10" x14ac:dyDescent="0.25">
      <c r="A6371" t="s">
        <v>21796</v>
      </c>
      <c r="B6371">
        <v>11.52</v>
      </c>
      <c r="C6371" t="s">
        <v>21797</v>
      </c>
      <c r="D6371" t="s">
        <v>2652</v>
      </c>
      <c r="E6371" t="s">
        <v>21798</v>
      </c>
      <c r="F6371" t="s">
        <v>7672</v>
      </c>
      <c r="G6371" t="s">
        <v>21799</v>
      </c>
      <c r="H6371" t="s">
        <v>7954</v>
      </c>
      <c r="I6371" t="s">
        <v>18854</v>
      </c>
      <c r="J6371" t="s">
        <v>7981</v>
      </c>
    </row>
    <row r="6372" spans="1:10" x14ac:dyDescent="0.25">
      <c r="A6372" t="s">
        <v>21800</v>
      </c>
      <c r="B6372">
        <v>11.52</v>
      </c>
      <c r="C6372" t="s">
        <v>21801</v>
      </c>
      <c r="D6372" t="s">
        <v>941</v>
      </c>
      <c r="E6372" t="s">
        <v>21798</v>
      </c>
      <c r="F6372" t="s">
        <v>7672</v>
      </c>
      <c r="G6372" t="s">
        <v>21799</v>
      </c>
      <c r="H6372" t="s">
        <v>7954</v>
      </c>
      <c r="I6372" t="s">
        <v>21802</v>
      </c>
      <c r="J6372" t="s">
        <v>7981</v>
      </c>
    </row>
    <row r="6373" spans="1:10" x14ac:dyDescent="0.25">
      <c r="A6373" t="s">
        <v>21803</v>
      </c>
      <c r="B6373">
        <v>11.52</v>
      </c>
      <c r="C6373" t="s">
        <v>21804</v>
      </c>
      <c r="D6373" t="s">
        <v>1847</v>
      </c>
      <c r="E6373" t="s">
        <v>21798</v>
      </c>
      <c r="F6373" t="s">
        <v>7672</v>
      </c>
      <c r="G6373" t="s">
        <v>21799</v>
      </c>
      <c r="H6373" t="s">
        <v>7954</v>
      </c>
      <c r="I6373" t="s">
        <v>18854</v>
      </c>
      <c r="J6373" t="s">
        <v>7984</v>
      </c>
    </row>
    <row r="6374" spans="1:10" x14ac:dyDescent="0.25">
      <c r="A6374" t="s">
        <v>21805</v>
      </c>
      <c r="B6374">
        <v>11.52</v>
      </c>
      <c r="C6374" t="s">
        <v>21806</v>
      </c>
      <c r="D6374" t="s">
        <v>2322</v>
      </c>
      <c r="E6374" t="s">
        <v>21798</v>
      </c>
      <c r="F6374" t="s">
        <v>7672</v>
      </c>
      <c r="G6374" t="s">
        <v>21799</v>
      </c>
      <c r="H6374" t="s">
        <v>7954</v>
      </c>
      <c r="I6374" t="s">
        <v>21802</v>
      </c>
      <c r="J6374" t="s">
        <v>7984</v>
      </c>
    </row>
    <row r="6375" spans="1:10" x14ac:dyDescent="0.25">
      <c r="A6375" t="s">
        <v>21807</v>
      </c>
      <c r="B6375">
        <v>11.52</v>
      </c>
      <c r="C6375" t="s">
        <v>21808</v>
      </c>
      <c r="D6375" t="s">
        <v>2198</v>
      </c>
      <c r="E6375" t="s">
        <v>21798</v>
      </c>
      <c r="F6375" t="s">
        <v>7672</v>
      </c>
      <c r="G6375" t="s">
        <v>21799</v>
      </c>
      <c r="H6375" t="s">
        <v>7954</v>
      </c>
      <c r="I6375" t="s">
        <v>18854</v>
      </c>
      <c r="J6375" t="s">
        <v>7987</v>
      </c>
    </row>
    <row r="6376" spans="1:10" x14ac:dyDescent="0.25">
      <c r="A6376" t="s">
        <v>21809</v>
      </c>
      <c r="B6376">
        <v>11.52</v>
      </c>
      <c r="C6376" t="s">
        <v>21810</v>
      </c>
      <c r="D6376" t="s">
        <v>4924</v>
      </c>
      <c r="E6376" t="s">
        <v>21798</v>
      </c>
      <c r="F6376" t="s">
        <v>7672</v>
      </c>
      <c r="G6376" t="s">
        <v>21799</v>
      </c>
      <c r="H6376" t="s">
        <v>7954</v>
      </c>
      <c r="I6376" t="s">
        <v>21802</v>
      </c>
      <c r="J6376" t="s">
        <v>7987</v>
      </c>
    </row>
    <row r="6377" spans="1:10" x14ac:dyDescent="0.25">
      <c r="A6377" t="s">
        <v>21811</v>
      </c>
      <c r="B6377">
        <v>11.52</v>
      </c>
      <c r="C6377" t="s">
        <v>21812</v>
      </c>
      <c r="D6377" t="s">
        <v>725</v>
      </c>
      <c r="E6377" t="s">
        <v>21798</v>
      </c>
      <c r="F6377" t="s">
        <v>7672</v>
      </c>
      <c r="G6377" t="s">
        <v>21799</v>
      </c>
      <c r="H6377" t="s">
        <v>7954</v>
      </c>
      <c r="I6377" t="s">
        <v>18854</v>
      </c>
      <c r="J6377" t="s">
        <v>8001</v>
      </c>
    </row>
    <row r="6378" spans="1:10" x14ac:dyDescent="0.25">
      <c r="A6378" t="s">
        <v>21813</v>
      </c>
      <c r="B6378">
        <v>11.52</v>
      </c>
      <c r="C6378" t="s">
        <v>21814</v>
      </c>
      <c r="D6378" t="s">
        <v>3153</v>
      </c>
      <c r="E6378" t="s">
        <v>21798</v>
      </c>
      <c r="F6378" t="s">
        <v>7672</v>
      </c>
      <c r="G6378" t="s">
        <v>21799</v>
      </c>
      <c r="H6378" t="s">
        <v>7954</v>
      </c>
      <c r="I6378" t="s">
        <v>21802</v>
      </c>
      <c r="J6378" t="s">
        <v>8001</v>
      </c>
    </row>
    <row r="6379" spans="1:10" x14ac:dyDescent="0.25">
      <c r="A6379" t="s">
        <v>21815</v>
      </c>
      <c r="B6379">
        <v>9</v>
      </c>
      <c r="C6379" t="s">
        <v>21816</v>
      </c>
      <c r="D6379" t="s">
        <v>2253</v>
      </c>
      <c r="E6379" t="s">
        <v>21817</v>
      </c>
      <c r="F6379" t="s">
        <v>7672</v>
      </c>
      <c r="G6379" t="s">
        <v>21818</v>
      </c>
      <c r="H6379" t="s">
        <v>16977</v>
      </c>
      <c r="I6379" t="s">
        <v>17811</v>
      </c>
      <c r="J6379" t="s">
        <v>19899</v>
      </c>
    </row>
    <row r="6380" spans="1:10" x14ac:dyDescent="0.25">
      <c r="A6380" t="s">
        <v>21819</v>
      </c>
      <c r="B6380">
        <v>9</v>
      </c>
      <c r="C6380" t="s">
        <v>21820</v>
      </c>
      <c r="D6380" t="s">
        <v>3999</v>
      </c>
      <c r="E6380" t="s">
        <v>21817</v>
      </c>
      <c r="F6380" t="s">
        <v>7672</v>
      </c>
      <c r="G6380" t="s">
        <v>21818</v>
      </c>
      <c r="H6380" t="s">
        <v>16977</v>
      </c>
      <c r="I6380" t="s">
        <v>17811</v>
      </c>
      <c r="J6380" t="s">
        <v>19902</v>
      </c>
    </row>
    <row r="6381" spans="1:10" x14ac:dyDescent="0.25">
      <c r="A6381" t="s">
        <v>21821</v>
      </c>
      <c r="B6381">
        <v>9</v>
      </c>
      <c r="C6381" t="s">
        <v>21822</v>
      </c>
      <c r="D6381" t="s">
        <v>705</v>
      </c>
      <c r="E6381" t="s">
        <v>21817</v>
      </c>
      <c r="F6381" t="s">
        <v>7672</v>
      </c>
      <c r="G6381" t="s">
        <v>21818</v>
      </c>
      <c r="H6381" t="s">
        <v>16977</v>
      </c>
      <c r="I6381" t="s">
        <v>17811</v>
      </c>
      <c r="J6381" t="s">
        <v>19905</v>
      </c>
    </row>
    <row r="6382" spans="1:10" x14ac:dyDescent="0.25">
      <c r="A6382" t="s">
        <v>21823</v>
      </c>
      <c r="B6382">
        <v>7.56</v>
      </c>
      <c r="C6382" t="s">
        <v>21824</v>
      </c>
      <c r="D6382" t="s">
        <v>1734</v>
      </c>
      <c r="E6382" t="s">
        <v>21825</v>
      </c>
      <c r="F6382" t="s">
        <v>7672</v>
      </c>
      <c r="G6382" t="s">
        <v>21826</v>
      </c>
      <c r="H6382" t="s">
        <v>18241</v>
      </c>
      <c r="I6382" t="s">
        <v>497</v>
      </c>
      <c r="J6382" t="s">
        <v>100</v>
      </c>
    </row>
    <row r="6383" spans="1:10" x14ac:dyDescent="0.25">
      <c r="A6383" t="s">
        <v>21827</v>
      </c>
      <c r="B6383">
        <v>7.56</v>
      </c>
      <c r="C6383" t="s">
        <v>21828</v>
      </c>
      <c r="D6383" t="s">
        <v>1972</v>
      </c>
      <c r="E6383" t="s">
        <v>21825</v>
      </c>
      <c r="F6383" t="s">
        <v>7672</v>
      </c>
      <c r="G6383" t="s">
        <v>21826</v>
      </c>
      <c r="H6383" t="s">
        <v>18241</v>
      </c>
      <c r="I6383" t="s">
        <v>497</v>
      </c>
      <c r="J6383" t="s">
        <v>88</v>
      </c>
    </row>
    <row r="6384" spans="1:10" x14ac:dyDescent="0.25">
      <c r="A6384" t="s">
        <v>21829</v>
      </c>
      <c r="B6384">
        <v>7.56</v>
      </c>
      <c r="C6384" t="s">
        <v>21830</v>
      </c>
      <c r="D6384" t="s">
        <v>7761</v>
      </c>
      <c r="E6384" t="s">
        <v>21825</v>
      </c>
      <c r="F6384" t="s">
        <v>7672</v>
      </c>
      <c r="G6384" t="s">
        <v>21826</v>
      </c>
      <c r="H6384" t="s">
        <v>18241</v>
      </c>
      <c r="I6384" t="s">
        <v>497</v>
      </c>
      <c r="J6384" t="s">
        <v>269</v>
      </c>
    </row>
    <row r="6385" spans="1:10" x14ac:dyDescent="0.25">
      <c r="A6385" t="s">
        <v>21831</v>
      </c>
      <c r="B6385">
        <v>4.8000000000000007</v>
      </c>
      <c r="C6385" t="s">
        <v>21832</v>
      </c>
      <c r="D6385" t="s">
        <v>576</v>
      </c>
      <c r="E6385" t="s">
        <v>21833</v>
      </c>
      <c r="F6385" t="s">
        <v>7672</v>
      </c>
      <c r="G6385" t="s">
        <v>21834</v>
      </c>
      <c r="H6385" t="s">
        <v>11496</v>
      </c>
      <c r="I6385" t="s">
        <v>19772</v>
      </c>
      <c r="J6385" t="s">
        <v>9423</v>
      </c>
    </row>
    <row r="6386" spans="1:10" x14ac:dyDescent="0.25">
      <c r="A6386" t="s">
        <v>21835</v>
      </c>
      <c r="B6386">
        <v>4.8000000000000007</v>
      </c>
      <c r="C6386" t="s">
        <v>21836</v>
      </c>
      <c r="D6386" t="s">
        <v>913</v>
      </c>
      <c r="E6386" t="s">
        <v>21833</v>
      </c>
      <c r="F6386" t="s">
        <v>7672</v>
      </c>
      <c r="G6386" t="s">
        <v>21834</v>
      </c>
      <c r="H6386" t="s">
        <v>11496</v>
      </c>
      <c r="I6386" t="s">
        <v>19772</v>
      </c>
      <c r="J6386" t="s">
        <v>9426</v>
      </c>
    </row>
    <row r="6387" spans="1:10" x14ac:dyDescent="0.25">
      <c r="A6387" t="s">
        <v>21837</v>
      </c>
      <c r="B6387">
        <v>4.8000000000000007</v>
      </c>
      <c r="C6387" t="s">
        <v>21838</v>
      </c>
      <c r="D6387" t="s">
        <v>6257</v>
      </c>
      <c r="E6387" t="s">
        <v>21833</v>
      </c>
      <c r="F6387" t="s">
        <v>7672</v>
      </c>
      <c r="G6387" t="s">
        <v>21834</v>
      </c>
      <c r="H6387" t="s">
        <v>11496</v>
      </c>
      <c r="I6387" t="s">
        <v>19772</v>
      </c>
      <c r="J6387" t="s">
        <v>10862</v>
      </c>
    </row>
    <row r="6388" spans="1:10" x14ac:dyDescent="0.25">
      <c r="A6388" t="s">
        <v>21839</v>
      </c>
      <c r="B6388">
        <v>4.8000000000000007</v>
      </c>
      <c r="C6388" t="s">
        <v>21840</v>
      </c>
      <c r="D6388" t="s">
        <v>649</v>
      </c>
      <c r="E6388" t="s">
        <v>21833</v>
      </c>
      <c r="F6388" t="s">
        <v>7672</v>
      </c>
      <c r="G6388" t="s">
        <v>21834</v>
      </c>
      <c r="H6388" t="s">
        <v>11496</v>
      </c>
      <c r="I6388" t="s">
        <v>19772</v>
      </c>
      <c r="J6388" t="s">
        <v>13084</v>
      </c>
    </row>
    <row r="6389" spans="1:10" x14ac:dyDescent="0.25">
      <c r="A6389" t="s">
        <v>21841</v>
      </c>
      <c r="B6389">
        <v>4.8000000000000007</v>
      </c>
      <c r="C6389" t="s">
        <v>21842</v>
      </c>
      <c r="D6389" t="s">
        <v>416</v>
      </c>
      <c r="E6389" t="s">
        <v>21833</v>
      </c>
      <c r="F6389" t="s">
        <v>7672</v>
      </c>
      <c r="G6389" t="s">
        <v>21834</v>
      </c>
      <c r="H6389" t="s">
        <v>11496</v>
      </c>
      <c r="I6389" t="s">
        <v>19772</v>
      </c>
      <c r="J6389" t="s">
        <v>11767</v>
      </c>
    </row>
    <row r="6390" spans="1:10" x14ac:dyDescent="0.25">
      <c r="A6390" t="s">
        <v>21843</v>
      </c>
      <c r="B6390">
        <v>4.8000000000000007</v>
      </c>
      <c r="C6390" t="s">
        <v>21844</v>
      </c>
      <c r="D6390" t="s">
        <v>639</v>
      </c>
      <c r="E6390" t="s">
        <v>21833</v>
      </c>
      <c r="F6390" t="s">
        <v>7672</v>
      </c>
      <c r="G6390" t="s">
        <v>21834</v>
      </c>
      <c r="H6390" t="s">
        <v>11496</v>
      </c>
      <c r="I6390" t="s">
        <v>19772</v>
      </c>
      <c r="J6390" t="s">
        <v>11582</v>
      </c>
    </row>
    <row r="6391" spans="1:10" x14ac:dyDescent="0.25">
      <c r="A6391" t="s">
        <v>5971</v>
      </c>
      <c r="B6391">
        <v>44.095999999999997</v>
      </c>
      <c r="C6391" t="s">
        <v>5973</v>
      </c>
      <c r="D6391" t="s">
        <v>1822</v>
      </c>
      <c r="E6391" t="s">
        <v>5974</v>
      </c>
      <c r="F6391" t="s">
        <v>7672</v>
      </c>
      <c r="G6391" t="s">
        <v>21845</v>
      </c>
      <c r="H6391" t="s">
        <v>21219</v>
      </c>
      <c r="I6391" t="s">
        <v>5977</v>
      </c>
      <c r="J6391" t="s">
        <v>7981</v>
      </c>
    </row>
    <row r="6392" spans="1:10" x14ac:dyDescent="0.25">
      <c r="A6392" t="s">
        <v>5978</v>
      </c>
      <c r="B6392">
        <v>44.095999999999997</v>
      </c>
      <c r="C6392" t="s">
        <v>5980</v>
      </c>
      <c r="D6392" t="s">
        <v>385</v>
      </c>
      <c r="E6392" t="s">
        <v>5974</v>
      </c>
      <c r="F6392" t="s">
        <v>7672</v>
      </c>
      <c r="G6392" t="s">
        <v>21845</v>
      </c>
      <c r="H6392" t="s">
        <v>21219</v>
      </c>
      <c r="I6392" t="s">
        <v>76</v>
      </c>
      <c r="J6392" t="s">
        <v>7981</v>
      </c>
    </row>
    <row r="6393" spans="1:10" x14ac:dyDescent="0.25">
      <c r="A6393" t="s">
        <v>5982</v>
      </c>
      <c r="B6393">
        <v>44.095999999999997</v>
      </c>
      <c r="C6393" t="s">
        <v>5984</v>
      </c>
      <c r="D6393" t="s">
        <v>245</v>
      </c>
      <c r="E6393" t="s">
        <v>5974</v>
      </c>
      <c r="F6393" t="s">
        <v>7672</v>
      </c>
      <c r="G6393" t="s">
        <v>21845</v>
      </c>
      <c r="H6393" t="s">
        <v>21219</v>
      </c>
      <c r="I6393" t="s">
        <v>5986</v>
      </c>
      <c r="J6393" t="s">
        <v>7981</v>
      </c>
    </row>
    <row r="6394" spans="1:10" x14ac:dyDescent="0.25">
      <c r="A6394" t="s">
        <v>5987</v>
      </c>
      <c r="B6394">
        <v>44.095999999999997</v>
      </c>
      <c r="C6394" t="s">
        <v>5989</v>
      </c>
      <c r="D6394" t="s">
        <v>3184</v>
      </c>
      <c r="E6394" t="s">
        <v>5974</v>
      </c>
      <c r="F6394" t="s">
        <v>7672</v>
      </c>
      <c r="G6394" t="s">
        <v>21845</v>
      </c>
      <c r="H6394" t="s">
        <v>21219</v>
      </c>
      <c r="I6394" t="s">
        <v>5986</v>
      </c>
      <c r="J6394" t="s">
        <v>7984</v>
      </c>
    </row>
    <row r="6395" spans="1:10" x14ac:dyDescent="0.25">
      <c r="A6395" t="s">
        <v>5991</v>
      </c>
      <c r="B6395">
        <v>44.095999999999997</v>
      </c>
      <c r="C6395" t="s">
        <v>5993</v>
      </c>
      <c r="D6395" t="s">
        <v>781</v>
      </c>
      <c r="E6395" t="s">
        <v>5974</v>
      </c>
      <c r="F6395" t="s">
        <v>7672</v>
      </c>
      <c r="G6395" t="s">
        <v>21845</v>
      </c>
      <c r="H6395" t="s">
        <v>21219</v>
      </c>
      <c r="I6395" t="s">
        <v>76</v>
      </c>
      <c r="J6395" t="s">
        <v>7984</v>
      </c>
    </row>
    <row r="6396" spans="1:10" x14ac:dyDescent="0.25">
      <c r="A6396" t="s">
        <v>5995</v>
      </c>
      <c r="B6396">
        <v>44.095999999999997</v>
      </c>
      <c r="C6396" t="s">
        <v>5997</v>
      </c>
      <c r="D6396" t="s">
        <v>1134</v>
      </c>
      <c r="E6396" t="s">
        <v>5974</v>
      </c>
      <c r="F6396" t="s">
        <v>7672</v>
      </c>
      <c r="G6396" t="s">
        <v>21845</v>
      </c>
      <c r="H6396" t="s">
        <v>21219</v>
      </c>
      <c r="I6396" t="s">
        <v>5977</v>
      </c>
      <c r="J6396" t="s">
        <v>7984</v>
      </c>
    </row>
    <row r="6397" spans="1:10" x14ac:dyDescent="0.25">
      <c r="A6397" t="s">
        <v>5999</v>
      </c>
      <c r="B6397">
        <v>5.6000000000000014</v>
      </c>
      <c r="C6397" t="s">
        <v>6001</v>
      </c>
      <c r="D6397" t="s">
        <v>1621</v>
      </c>
      <c r="E6397" t="s">
        <v>6002</v>
      </c>
      <c r="F6397" t="s">
        <v>7672</v>
      </c>
      <c r="G6397" t="s">
        <v>21846</v>
      </c>
      <c r="H6397" t="s">
        <v>7954</v>
      </c>
      <c r="I6397" t="s">
        <v>278</v>
      </c>
      <c r="J6397" t="s">
        <v>21847</v>
      </c>
    </row>
    <row r="6398" spans="1:10" x14ac:dyDescent="0.25">
      <c r="A6398" t="s">
        <v>6005</v>
      </c>
      <c r="B6398">
        <v>5.6000000000000014</v>
      </c>
      <c r="C6398" t="s">
        <v>6007</v>
      </c>
      <c r="D6398" t="s">
        <v>5283</v>
      </c>
      <c r="E6398" t="s">
        <v>6002</v>
      </c>
      <c r="F6398" t="s">
        <v>7672</v>
      </c>
      <c r="G6398" t="s">
        <v>21846</v>
      </c>
      <c r="H6398" t="s">
        <v>7954</v>
      </c>
      <c r="I6398" t="s">
        <v>278</v>
      </c>
      <c r="J6398" t="s">
        <v>15482</v>
      </c>
    </row>
    <row r="6399" spans="1:10" x14ac:dyDescent="0.25">
      <c r="A6399" t="s">
        <v>6009</v>
      </c>
      <c r="B6399">
        <v>5.6000000000000014</v>
      </c>
      <c r="C6399" t="s">
        <v>6011</v>
      </c>
      <c r="D6399" t="s">
        <v>1134</v>
      </c>
      <c r="E6399" t="s">
        <v>6002</v>
      </c>
      <c r="F6399" t="s">
        <v>7672</v>
      </c>
      <c r="G6399" t="s">
        <v>21846</v>
      </c>
      <c r="H6399" t="s">
        <v>7954</v>
      </c>
      <c r="I6399" t="s">
        <v>278</v>
      </c>
      <c r="J6399" t="s">
        <v>15485</v>
      </c>
    </row>
    <row r="6400" spans="1:10" x14ac:dyDescent="0.25">
      <c r="A6400" t="s">
        <v>21848</v>
      </c>
      <c r="B6400">
        <v>8.64</v>
      </c>
      <c r="C6400" t="s">
        <v>21849</v>
      </c>
      <c r="D6400" t="s">
        <v>330</v>
      </c>
      <c r="E6400" t="s">
        <v>21850</v>
      </c>
      <c r="F6400" t="s">
        <v>7672</v>
      </c>
      <c r="G6400" t="s">
        <v>21851</v>
      </c>
      <c r="H6400" t="s">
        <v>11381</v>
      </c>
      <c r="I6400" t="s">
        <v>8357</v>
      </c>
      <c r="J6400" t="s">
        <v>9023</v>
      </c>
    </row>
    <row r="6401" spans="1:10" x14ac:dyDescent="0.25">
      <c r="A6401" t="s">
        <v>21852</v>
      </c>
      <c r="B6401">
        <v>8.64</v>
      </c>
      <c r="C6401" t="s">
        <v>21853</v>
      </c>
      <c r="D6401" t="s">
        <v>742</v>
      </c>
      <c r="E6401" t="s">
        <v>21850</v>
      </c>
      <c r="F6401" t="s">
        <v>7672</v>
      </c>
      <c r="G6401" t="s">
        <v>21851</v>
      </c>
      <c r="H6401" t="s">
        <v>11381</v>
      </c>
      <c r="I6401" t="s">
        <v>1490</v>
      </c>
      <c r="J6401" t="s">
        <v>9023</v>
      </c>
    </row>
    <row r="6402" spans="1:10" x14ac:dyDescent="0.25">
      <c r="A6402" t="s">
        <v>21854</v>
      </c>
      <c r="B6402">
        <v>8.64</v>
      </c>
      <c r="C6402" t="s">
        <v>21855</v>
      </c>
      <c r="D6402" t="s">
        <v>131</v>
      </c>
      <c r="E6402" t="s">
        <v>21850</v>
      </c>
      <c r="F6402" t="s">
        <v>7672</v>
      </c>
      <c r="G6402" t="s">
        <v>21851</v>
      </c>
      <c r="H6402" t="s">
        <v>11381</v>
      </c>
      <c r="I6402" t="s">
        <v>76</v>
      </c>
      <c r="J6402" t="s">
        <v>9023</v>
      </c>
    </row>
    <row r="6403" spans="1:10" x14ac:dyDescent="0.25">
      <c r="A6403" t="s">
        <v>21856</v>
      </c>
      <c r="B6403">
        <v>8.64</v>
      </c>
      <c r="C6403" t="s">
        <v>21857</v>
      </c>
      <c r="D6403" t="s">
        <v>576</v>
      </c>
      <c r="E6403" t="s">
        <v>21850</v>
      </c>
      <c r="F6403" t="s">
        <v>7672</v>
      </c>
      <c r="G6403" t="s">
        <v>21851</v>
      </c>
      <c r="H6403" t="s">
        <v>11381</v>
      </c>
      <c r="I6403" t="s">
        <v>9116</v>
      </c>
      <c r="J6403" t="s">
        <v>9023</v>
      </c>
    </row>
    <row r="6404" spans="1:10" x14ac:dyDescent="0.25">
      <c r="A6404" t="s">
        <v>21858</v>
      </c>
      <c r="B6404">
        <v>8.64</v>
      </c>
      <c r="C6404" t="s">
        <v>21859</v>
      </c>
      <c r="D6404" t="s">
        <v>3184</v>
      </c>
      <c r="E6404" t="s">
        <v>21850</v>
      </c>
      <c r="F6404" t="s">
        <v>7672</v>
      </c>
      <c r="G6404" t="s">
        <v>21851</v>
      </c>
      <c r="H6404" t="s">
        <v>11381</v>
      </c>
      <c r="I6404" t="s">
        <v>8357</v>
      </c>
      <c r="J6404" t="s">
        <v>8883</v>
      </c>
    </row>
    <row r="6405" spans="1:10" x14ac:dyDescent="0.25">
      <c r="A6405" t="s">
        <v>21860</v>
      </c>
      <c r="B6405">
        <v>8.64</v>
      </c>
      <c r="C6405" t="s">
        <v>21861</v>
      </c>
      <c r="D6405" t="s">
        <v>234</v>
      </c>
      <c r="E6405" t="s">
        <v>21850</v>
      </c>
      <c r="F6405" t="s">
        <v>7672</v>
      </c>
      <c r="G6405" t="s">
        <v>21851</v>
      </c>
      <c r="H6405" t="s">
        <v>11381</v>
      </c>
      <c r="I6405" t="s">
        <v>1490</v>
      </c>
      <c r="J6405" t="s">
        <v>8883</v>
      </c>
    </row>
    <row r="6406" spans="1:10" x14ac:dyDescent="0.25">
      <c r="A6406" t="s">
        <v>21862</v>
      </c>
      <c r="B6406">
        <v>8.64</v>
      </c>
      <c r="C6406" t="s">
        <v>21863</v>
      </c>
      <c r="D6406" t="s">
        <v>843</v>
      </c>
      <c r="E6406" t="s">
        <v>21850</v>
      </c>
      <c r="F6406" t="s">
        <v>7672</v>
      </c>
      <c r="G6406" t="s">
        <v>21851</v>
      </c>
      <c r="H6406" t="s">
        <v>11381</v>
      </c>
      <c r="I6406" t="s">
        <v>9116</v>
      </c>
      <c r="J6406" t="s">
        <v>8883</v>
      </c>
    </row>
    <row r="6407" spans="1:10" x14ac:dyDescent="0.25">
      <c r="A6407" t="s">
        <v>21864</v>
      </c>
      <c r="B6407">
        <v>8.64</v>
      </c>
      <c r="C6407" t="s">
        <v>21865</v>
      </c>
      <c r="D6407" t="s">
        <v>95</v>
      </c>
      <c r="E6407" t="s">
        <v>21850</v>
      </c>
      <c r="F6407" t="s">
        <v>7672</v>
      </c>
      <c r="G6407" t="s">
        <v>21851</v>
      </c>
      <c r="H6407" t="s">
        <v>11381</v>
      </c>
      <c r="I6407" t="s">
        <v>76</v>
      </c>
      <c r="J6407" t="s">
        <v>8883</v>
      </c>
    </row>
    <row r="6408" spans="1:10" x14ac:dyDescent="0.25">
      <c r="A6408" t="s">
        <v>21866</v>
      </c>
      <c r="B6408">
        <v>8.64</v>
      </c>
      <c r="C6408" t="s">
        <v>21867</v>
      </c>
      <c r="D6408" t="s">
        <v>282</v>
      </c>
      <c r="E6408" t="s">
        <v>21850</v>
      </c>
      <c r="F6408" t="s">
        <v>7672</v>
      </c>
      <c r="G6408" t="s">
        <v>21851</v>
      </c>
      <c r="H6408" t="s">
        <v>11381</v>
      </c>
      <c r="I6408" t="s">
        <v>1490</v>
      </c>
      <c r="J6408" t="s">
        <v>10908</v>
      </c>
    </row>
    <row r="6409" spans="1:10" x14ac:dyDescent="0.25">
      <c r="A6409" t="s">
        <v>21868</v>
      </c>
      <c r="B6409">
        <v>8.64</v>
      </c>
      <c r="C6409" t="s">
        <v>21869</v>
      </c>
      <c r="D6409" t="s">
        <v>742</v>
      </c>
      <c r="E6409" t="s">
        <v>21850</v>
      </c>
      <c r="F6409" t="s">
        <v>7672</v>
      </c>
      <c r="G6409" t="s">
        <v>21851</v>
      </c>
      <c r="H6409" t="s">
        <v>11381</v>
      </c>
      <c r="I6409" t="s">
        <v>9116</v>
      </c>
      <c r="J6409" t="s">
        <v>10908</v>
      </c>
    </row>
    <row r="6410" spans="1:10" x14ac:dyDescent="0.25">
      <c r="A6410" t="s">
        <v>21870</v>
      </c>
      <c r="B6410">
        <v>8.64</v>
      </c>
      <c r="C6410" t="s">
        <v>21871</v>
      </c>
      <c r="D6410" t="s">
        <v>164</v>
      </c>
      <c r="E6410" t="s">
        <v>21850</v>
      </c>
      <c r="F6410" t="s">
        <v>7672</v>
      </c>
      <c r="G6410" t="s">
        <v>21851</v>
      </c>
      <c r="H6410" t="s">
        <v>11381</v>
      </c>
      <c r="I6410" t="s">
        <v>8357</v>
      </c>
      <c r="J6410" t="s">
        <v>10908</v>
      </c>
    </row>
    <row r="6411" spans="1:10" x14ac:dyDescent="0.25">
      <c r="A6411" t="s">
        <v>21872</v>
      </c>
      <c r="B6411">
        <v>8.64</v>
      </c>
      <c r="C6411" t="s">
        <v>21873</v>
      </c>
      <c r="D6411" t="s">
        <v>131</v>
      </c>
      <c r="E6411" t="s">
        <v>21850</v>
      </c>
      <c r="F6411" t="s">
        <v>7672</v>
      </c>
      <c r="G6411" t="s">
        <v>21851</v>
      </c>
      <c r="H6411" t="s">
        <v>11381</v>
      </c>
      <c r="I6411" t="s">
        <v>76</v>
      </c>
      <c r="J6411" t="s">
        <v>10908</v>
      </c>
    </row>
    <row r="6412" spans="1:10" x14ac:dyDescent="0.25">
      <c r="A6412" t="s">
        <v>21874</v>
      </c>
      <c r="B6412">
        <v>8.64</v>
      </c>
      <c r="C6412" t="s">
        <v>21875</v>
      </c>
      <c r="D6412" t="s">
        <v>199</v>
      </c>
      <c r="E6412" t="s">
        <v>21850</v>
      </c>
      <c r="F6412" t="s">
        <v>7672</v>
      </c>
      <c r="G6412" t="s">
        <v>21851</v>
      </c>
      <c r="H6412" t="s">
        <v>11381</v>
      </c>
      <c r="I6412" t="s">
        <v>1490</v>
      </c>
      <c r="J6412" t="s">
        <v>8885</v>
      </c>
    </row>
    <row r="6413" spans="1:10" x14ac:dyDescent="0.25">
      <c r="A6413" t="s">
        <v>21876</v>
      </c>
      <c r="B6413">
        <v>8.64</v>
      </c>
      <c r="C6413" t="s">
        <v>21877</v>
      </c>
      <c r="D6413" t="s">
        <v>959</v>
      </c>
      <c r="E6413" t="s">
        <v>21850</v>
      </c>
      <c r="F6413" t="s">
        <v>7672</v>
      </c>
      <c r="G6413" t="s">
        <v>21851</v>
      </c>
      <c r="H6413" t="s">
        <v>11381</v>
      </c>
      <c r="I6413" t="s">
        <v>8357</v>
      </c>
      <c r="J6413" t="s">
        <v>8885</v>
      </c>
    </row>
    <row r="6414" spans="1:10" x14ac:dyDescent="0.25">
      <c r="A6414" t="s">
        <v>21878</v>
      </c>
      <c r="B6414">
        <v>8.64</v>
      </c>
      <c r="C6414" t="s">
        <v>21879</v>
      </c>
      <c r="D6414" t="s">
        <v>385</v>
      </c>
      <c r="E6414" t="s">
        <v>21850</v>
      </c>
      <c r="F6414" t="s">
        <v>7672</v>
      </c>
      <c r="G6414" t="s">
        <v>21851</v>
      </c>
      <c r="H6414" t="s">
        <v>11381</v>
      </c>
      <c r="I6414" t="s">
        <v>9116</v>
      </c>
      <c r="J6414" t="s">
        <v>8885</v>
      </c>
    </row>
    <row r="6415" spans="1:10" x14ac:dyDescent="0.25">
      <c r="A6415" t="s">
        <v>21880</v>
      </c>
      <c r="B6415">
        <v>8.64</v>
      </c>
      <c r="C6415" t="s">
        <v>21881</v>
      </c>
      <c r="D6415" t="s">
        <v>164</v>
      </c>
      <c r="E6415" t="s">
        <v>21850</v>
      </c>
      <c r="F6415" t="s">
        <v>7672</v>
      </c>
      <c r="G6415" t="s">
        <v>21851</v>
      </c>
      <c r="H6415" t="s">
        <v>11381</v>
      </c>
      <c r="I6415" t="s">
        <v>76</v>
      </c>
      <c r="J6415" t="s">
        <v>8885</v>
      </c>
    </row>
    <row r="6416" spans="1:10" x14ac:dyDescent="0.25">
      <c r="A6416" t="s">
        <v>21882</v>
      </c>
      <c r="B6416">
        <v>8.64</v>
      </c>
      <c r="C6416" t="s">
        <v>21883</v>
      </c>
      <c r="D6416" t="s">
        <v>742</v>
      </c>
      <c r="E6416" t="s">
        <v>21850</v>
      </c>
      <c r="F6416" t="s">
        <v>7672</v>
      </c>
      <c r="G6416" t="s">
        <v>21851</v>
      </c>
      <c r="H6416" t="s">
        <v>11381</v>
      </c>
      <c r="I6416" t="s">
        <v>1490</v>
      </c>
      <c r="J6416" t="s">
        <v>10926</v>
      </c>
    </row>
    <row r="6417" spans="1:10" x14ac:dyDescent="0.25">
      <c r="A6417" t="s">
        <v>21884</v>
      </c>
      <c r="B6417">
        <v>8.64</v>
      </c>
      <c r="C6417" t="s">
        <v>21885</v>
      </c>
      <c r="D6417" t="s">
        <v>352</v>
      </c>
      <c r="E6417" t="s">
        <v>21850</v>
      </c>
      <c r="F6417" t="s">
        <v>7672</v>
      </c>
      <c r="G6417" t="s">
        <v>21851</v>
      </c>
      <c r="H6417" t="s">
        <v>11381</v>
      </c>
      <c r="I6417" t="s">
        <v>8357</v>
      </c>
      <c r="J6417" t="s">
        <v>10926</v>
      </c>
    </row>
    <row r="6418" spans="1:10" x14ac:dyDescent="0.25">
      <c r="A6418" t="s">
        <v>21886</v>
      </c>
      <c r="B6418">
        <v>8.64</v>
      </c>
      <c r="C6418" t="s">
        <v>21887</v>
      </c>
      <c r="D6418" t="s">
        <v>352</v>
      </c>
      <c r="E6418" t="s">
        <v>21850</v>
      </c>
      <c r="F6418" t="s">
        <v>7672</v>
      </c>
      <c r="G6418" t="s">
        <v>21851</v>
      </c>
      <c r="H6418" t="s">
        <v>11381</v>
      </c>
      <c r="I6418" t="s">
        <v>9116</v>
      </c>
      <c r="J6418" t="s">
        <v>10926</v>
      </c>
    </row>
    <row r="6419" spans="1:10" x14ac:dyDescent="0.25">
      <c r="A6419" t="s">
        <v>21888</v>
      </c>
      <c r="B6419">
        <v>8.64</v>
      </c>
      <c r="C6419" t="s">
        <v>21889</v>
      </c>
      <c r="D6419" t="s">
        <v>286</v>
      </c>
      <c r="E6419" t="s">
        <v>21850</v>
      </c>
      <c r="F6419" t="s">
        <v>7672</v>
      </c>
      <c r="G6419" t="s">
        <v>21851</v>
      </c>
      <c r="H6419" t="s">
        <v>11381</v>
      </c>
      <c r="I6419" t="s">
        <v>76</v>
      </c>
      <c r="J6419" t="s">
        <v>10926</v>
      </c>
    </row>
    <row r="6420" spans="1:10" x14ac:dyDescent="0.25">
      <c r="A6420" t="s">
        <v>21890</v>
      </c>
      <c r="B6420">
        <v>8.64</v>
      </c>
      <c r="C6420" t="s">
        <v>21891</v>
      </c>
      <c r="D6420" t="s">
        <v>959</v>
      </c>
      <c r="E6420" t="s">
        <v>21850</v>
      </c>
      <c r="F6420" t="s">
        <v>7672</v>
      </c>
      <c r="G6420" t="s">
        <v>21851</v>
      </c>
      <c r="H6420" t="s">
        <v>11381</v>
      </c>
      <c r="I6420" t="s">
        <v>1490</v>
      </c>
      <c r="J6420" t="s">
        <v>10918</v>
      </c>
    </row>
    <row r="6421" spans="1:10" x14ac:dyDescent="0.25">
      <c r="A6421" t="s">
        <v>21892</v>
      </c>
      <c r="B6421">
        <v>8.64</v>
      </c>
      <c r="C6421" t="s">
        <v>21893</v>
      </c>
      <c r="D6421" t="s">
        <v>286</v>
      </c>
      <c r="E6421" t="s">
        <v>21850</v>
      </c>
      <c r="F6421" t="s">
        <v>7672</v>
      </c>
      <c r="G6421" t="s">
        <v>21851</v>
      </c>
      <c r="H6421" t="s">
        <v>11381</v>
      </c>
      <c r="I6421" t="s">
        <v>9116</v>
      </c>
      <c r="J6421" t="s">
        <v>10918</v>
      </c>
    </row>
    <row r="6422" spans="1:10" x14ac:dyDescent="0.25">
      <c r="A6422" t="s">
        <v>21894</v>
      </c>
      <c r="B6422">
        <v>8.64</v>
      </c>
      <c r="C6422" t="s">
        <v>21895</v>
      </c>
      <c r="D6422" t="s">
        <v>366</v>
      </c>
      <c r="E6422" t="s">
        <v>21850</v>
      </c>
      <c r="F6422" t="s">
        <v>7672</v>
      </c>
      <c r="G6422" t="s">
        <v>21851</v>
      </c>
      <c r="H6422" t="s">
        <v>11381</v>
      </c>
      <c r="I6422" t="s">
        <v>8357</v>
      </c>
      <c r="J6422" t="s">
        <v>10918</v>
      </c>
    </row>
    <row r="6423" spans="1:10" x14ac:dyDescent="0.25">
      <c r="A6423" t="s">
        <v>21896</v>
      </c>
      <c r="B6423">
        <v>8.64</v>
      </c>
      <c r="C6423" t="s">
        <v>21897</v>
      </c>
      <c r="D6423" t="s">
        <v>88</v>
      </c>
      <c r="E6423" t="s">
        <v>21850</v>
      </c>
      <c r="F6423" t="s">
        <v>7672</v>
      </c>
      <c r="G6423" t="s">
        <v>21851</v>
      </c>
      <c r="H6423" t="s">
        <v>11381</v>
      </c>
      <c r="I6423" t="s">
        <v>76</v>
      </c>
      <c r="J6423" t="s">
        <v>10918</v>
      </c>
    </row>
    <row r="6424" spans="1:10" x14ac:dyDescent="0.25">
      <c r="A6424" t="s">
        <v>21898</v>
      </c>
      <c r="B6424">
        <v>8.64</v>
      </c>
      <c r="C6424" t="s">
        <v>21899</v>
      </c>
      <c r="D6424" t="s">
        <v>88</v>
      </c>
      <c r="E6424" t="s">
        <v>21850</v>
      </c>
      <c r="F6424" t="s">
        <v>7672</v>
      </c>
      <c r="G6424" t="s">
        <v>21851</v>
      </c>
      <c r="H6424" t="s">
        <v>11381</v>
      </c>
      <c r="I6424" t="s">
        <v>1490</v>
      </c>
      <c r="J6424" t="s">
        <v>9061</v>
      </c>
    </row>
    <row r="6425" spans="1:10" x14ac:dyDescent="0.25">
      <c r="A6425" t="s">
        <v>21900</v>
      </c>
      <c r="B6425">
        <v>8.64</v>
      </c>
      <c r="C6425" t="s">
        <v>21901</v>
      </c>
      <c r="D6425" t="s">
        <v>436</v>
      </c>
      <c r="E6425" t="s">
        <v>21850</v>
      </c>
      <c r="F6425" t="s">
        <v>7672</v>
      </c>
      <c r="G6425" t="s">
        <v>21851</v>
      </c>
      <c r="H6425" t="s">
        <v>11381</v>
      </c>
      <c r="I6425" t="s">
        <v>8357</v>
      </c>
      <c r="J6425" t="s">
        <v>9061</v>
      </c>
    </row>
    <row r="6426" spans="1:10" x14ac:dyDescent="0.25">
      <c r="A6426" t="s">
        <v>21902</v>
      </c>
      <c r="B6426">
        <v>9.9920000000000009</v>
      </c>
      <c r="C6426" t="s">
        <v>21903</v>
      </c>
      <c r="D6426" t="s">
        <v>2347</v>
      </c>
      <c r="E6426" t="s">
        <v>21904</v>
      </c>
      <c r="F6426" t="s">
        <v>7672</v>
      </c>
      <c r="G6426" t="s">
        <v>21905</v>
      </c>
      <c r="H6426" t="s">
        <v>12137</v>
      </c>
      <c r="I6426" t="s">
        <v>21906</v>
      </c>
      <c r="J6426" t="s">
        <v>11498</v>
      </c>
    </row>
    <row r="6427" spans="1:10" x14ac:dyDescent="0.25">
      <c r="A6427" t="s">
        <v>21907</v>
      </c>
      <c r="B6427">
        <v>9.9920000000000009</v>
      </c>
      <c r="C6427" t="s">
        <v>21908</v>
      </c>
      <c r="D6427" t="s">
        <v>3944</v>
      </c>
      <c r="E6427" t="s">
        <v>21904</v>
      </c>
      <c r="F6427" t="s">
        <v>7672</v>
      </c>
      <c r="G6427" t="s">
        <v>21905</v>
      </c>
      <c r="H6427" t="s">
        <v>12137</v>
      </c>
      <c r="I6427" t="s">
        <v>21906</v>
      </c>
      <c r="J6427" t="s">
        <v>11499</v>
      </c>
    </row>
    <row r="6428" spans="1:10" x14ac:dyDescent="0.25">
      <c r="A6428" t="s">
        <v>21909</v>
      </c>
      <c r="B6428">
        <v>9.9920000000000009</v>
      </c>
      <c r="C6428" t="s">
        <v>21910</v>
      </c>
      <c r="D6428" t="s">
        <v>2238</v>
      </c>
      <c r="E6428" t="s">
        <v>21904</v>
      </c>
      <c r="F6428" t="s">
        <v>7672</v>
      </c>
      <c r="G6428" t="s">
        <v>21905</v>
      </c>
      <c r="H6428" t="s">
        <v>12137</v>
      </c>
      <c r="I6428" t="s">
        <v>21906</v>
      </c>
      <c r="J6428" t="s">
        <v>11500</v>
      </c>
    </row>
    <row r="6429" spans="1:10" x14ac:dyDescent="0.25">
      <c r="A6429" t="s">
        <v>21911</v>
      </c>
      <c r="B6429">
        <v>9.9920000000000009</v>
      </c>
      <c r="C6429" t="s">
        <v>21912</v>
      </c>
      <c r="D6429" t="s">
        <v>865</v>
      </c>
      <c r="E6429" t="s">
        <v>21904</v>
      </c>
      <c r="F6429" t="s">
        <v>7672</v>
      </c>
      <c r="G6429" t="s">
        <v>21905</v>
      </c>
      <c r="H6429" t="s">
        <v>12137</v>
      </c>
      <c r="I6429" t="s">
        <v>21906</v>
      </c>
      <c r="J6429" t="s">
        <v>11501</v>
      </c>
    </row>
    <row r="6430" spans="1:10" x14ac:dyDescent="0.25">
      <c r="A6430" t="s">
        <v>21913</v>
      </c>
      <c r="B6430">
        <v>9.9920000000000009</v>
      </c>
      <c r="C6430" t="s">
        <v>21914</v>
      </c>
      <c r="D6430" t="s">
        <v>6257</v>
      </c>
      <c r="E6430" t="s">
        <v>21904</v>
      </c>
      <c r="F6430" t="s">
        <v>7672</v>
      </c>
      <c r="G6430" t="s">
        <v>21905</v>
      </c>
      <c r="H6430" t="s">
        <v>12137</v>
      </c>
      <c r="I6430" t="s">
        <v>21906</v>
      </c>
      <c r="J6430" t="s">
        <v>11502</v>
      </c>
    </row>
    <row r="6431" spans="1:10" x14ac:dyDescent="0.25">
      <c r="A6431" t="s">
        <v>21915</v>
      </c>
      <c r="B6431">
        <v>9.9920000000000009</v>
      </c>
      <c r="C6431" t="s">
        <v>21916</v>
      </c>
      <c r="D6431" t="s">
        <v>379</v>
      </c>
      <c r="E6431" t="s">
        <v>21904</v>
      </c>
      <c r="F6431" t="s">
        <v>7672</v>
      </c>
      <c r="G6431" t="s">
        <v>21905</v>
      </c>
      <c r="H6431" t="s">
        <v>12137</v>
      </c>
      <c r="I6431" t="s">
        <v>21906</v>
      </c>
      <c r="J6431" t="s">
        <v>11503</v>
      </c>
    </row>
    <row r="6432" spans="1:10" x14ac:dyDescent="0.25">
      <c r="A6432" t="s">
        <v>21917</v>
      </c>
      <c r="B6432">
        <v>14</v>
      </c>
      <c r="C6432" t="s">
        <v>21918</v>
      </c>
      <c r="D6432" t="s">
        <v>781</v>
      </c>
      <c r="E6432" t="s">
        <v>21919</v>
      </c>
      <c r="F6432" t="s">
        <v>7672</v>
      </c>
      <c r="G6432" t="s">
        <v>21920</v>
      </c>
      <c r="H6432" t="s">
        <v>18003</v>
      </c>
      <c r="I6432" t="s">
        <v>9807</v>
      </c>
      <c r="J6432" t="s">
        <v>436</v>
      </c>
    </row>
    <row r="6433" spans="1:10" x14ac:dyDescent="0.25">
      <c r="A6433" t="s">
        <v>21921</v>
      </c>
      <c r="B6433">
        <v>14</v>
      </c>
      <c r="C6433" t="s">
        <v>21922</v>
      </c>
      <c r="D6433" t="s">
        <v>964</v>
      </c>
      <c r="E6433" t="s">
        <v>21919</v>
      </c>
      <c r="F6433" t="s">
        <v>7672</v>
      </c>
      <c r="G6433" t="s">
        <v>21920</v>
      </c>
      <c r="H6433" t="s">
        <v>18003</v>
      </c>
      <c r="I6433" t="s">
        <v>76</v>
      </c>
      <c r="J6433" t="s">
        <v>436</v>
      </c>
    </row>
    <row r="6434" spans="1:10" x14ac:dyDescent="0.25">
      <c r="A6434" t="s">
        <v>21923</v>
      </c>
      <c r="B6434">
        <v>14</v>
      </c>
      <c r="C6434" t="s">
        <v>21924</v>
      </c>
      <c r="D6434" t="s">
        <v>124</v>
      </c>
      <c r="E6434" t="s">
        <v>21919</v>
      </c>
      <c r="F6434" t="s">
        <v>7672</v>
      </c>
      <c r="G6434" t="s">
        <v>21920</v>
      </c>
      <c r="H6434" t="s">
        <v>18003</v>
      </c>
      <c r="I6434" t="s">
        <v>9807</v>
      </c>
      <c r="J6434" t="s">
        <v>53</v>
      </c>
    </row>
    <row r="6435" spans="1:10" x14ac:dyDescent="0.25">
      <c r="A6435" t="s">
        <v>21925</v>
      </c>
      <c r="B6435">
        <v>14</v>
      </c>
      <c r="C6435" t="s">
        <v>21926</v>
      </c>
      <c r="D6435" t="s">
        <v>366</v>
      </c>
      <c r="E6435" t="s">
        <v>21919</v>
      </c>
      <c r="F6435" t="s">
        <v>7672</v>
      </c>
      <c r="G6435" t="s">
        <v>21920</v>
      </c>
      <c r="H6435" t="s">
        <v>18003</v>
      </c>
      <c r="I6435" t="s">
        <v>76</v>
      </c>
      <c r="J6435" t="s">
        <v>53</v>
      </c>
    </row>
    <row r="6436" spans="1:10" x14ac:dyDescent="0.25">
      <c r="A6436" t="s">
        <v>21927</v>
      </c>
      <c r="B6436">
        <v>14</v>
      </c>
      <c r="C6436" t="s">
        <v>21928</v>
      </c>
      <c r="D6436" t="s">
        <v>379</v>
      </c>
      <c r="E6436" t="s">
        <v>21919</v>
      </c>
      <c r="F6436" t="s">
        <v>7672</v>
      </c>
      <c r="G6436" t="s">
        <v>21920</v>
      </c>
      <c r="H6436" t="s">
        <v>18003</v>
      </c>
      <c r="I6436" t="s">
        <v>9807</v>
      </c>
      <c r="J6436" t="s">
        <v>60</v>
      </c>
    </row>
    <row r="6437" spans="1:10" x14ac:dyDescent="0.25">
      <c r="A6437" t="s">
        <v>21929</v>
      </c>
      <c r="B6437">
        <v>14</v>
      </c>
      <c r="C6437" t="s">
        <v>21930</v>
      </c>
      <c r="D6437" t="s">
        <v>959</v>
      </c>
      <c r="E6437" t="s">
        <v>21919</v>
      </c>
      <c r="F6437" t="s">
        <v>7672</v>
      </c>
      <c r="G6437" t="s">
        <v>21920</v>
      </c>
      <c r="H6437" t="s">
        <v>18003</v>
      </c>
      <c r="I6437" t="s">
        <v>76</v>
      </c>
      <c r="J6437" t="s">
        <v>60</v>
      </c>
    </row>
    <row r="6438" spans="1:10" x14ac:dyDescent="0.25">
      <c r="A6438" t="s">
        <v>21931</v>
      </c>
      <c r="B6438">
        <v>14</v>
      </c>
      <c r="C6438" t="s">
        <v>21932</v>
      </c>
      <c r="D6438" t="s">
        <v>359</v>
      </c>
      <c r="E6438" t="s">
        <v>21919</v>
      </c>
      <c r="F6438" t="s">
        <v>7672</v>
      </c>
      <c r="G6438" t="s">
        <v>21920</v>
      </c>
      <c r="H6438" t="s">
        <v>18003</v>
      </c>
      <c r="I6438" t="s">
        <v>76</v>
      </c>
      <c r="J6438" t="s">
        <v>342</v>
      </c>
    </row>
    <row r="6439" spans="1:10" x14ac:dyDescent="0.25">
      <c r="A6439" t="s">
        <v>21933</v>
      </c>
      <c r="B6439">
        <v>14</v>
      </c>
      <c r="C6439" t="s">
        <v>21934</v>
      </c>
      <c r="D6439" t="s">
        <v>316</v>
      </c>
      <c r="E6439" t="s">
        <v>21919</v>
      </c>
      <c r="F6439" t="s">
        <v>7672</v>
      </c>
      <c r="G6439" t="s">
        <v>21920</v>
      </c>
      <c r="H6439" t="s">
        <v>18003</v>
      </c>
      <c r="I6439" t="s">
        <v>9807</v>
      </c>
      <c r="J6439" t="s">
        <v>342</v>
      </c>
    </row>
    <row r="6440" spans="1:10" x14ac:dyDescent="0.25">
      <c r="A6440" t="s">
        <v>21935</v>
      </c>
      <c r="B6440">
        <v>14</v>
      </c>
      <c r="C6440" t="s">
        <v>21936</v>
      </c>
      <c r="D6440" t="s">
        <v>626</v>
      </c>
      <c r="E6440" t="s">
        <v>21919</v>
      </c>
      <c r="F6440" t="s">
        <v>7672</v>
      </c>
      <c r="G6440" t="s">
        <v>21920</v>
      </c>
      <c r="H6440" t="s">
        <v>18003</v>
      </c>
      <c r="I6440" t="s">
        <v>9807</v>
      </c>
      <c r="J6440" t="s">
        <v>100</v>
      </c>
    </row>
    <row r="6441" spans="1:10" x14ac:dyDescent="0.25">
      <c r="A6441" t="s">
        <v>21937</v>
      </c>
      <c r="B6441">
        <v>14</v>
      </c>
      <c r="C6441" t="s">
        <v>21938</v>
      </c>
      <c r="D6441" t="s">
        <v>436</v>
      </c>
      <c r="E6441" t="s">
        <v>21919</v>
      </c>
      <c r="F6441" t="s">
        <v>7672</v>
      </c>
      <c r="G6441" t="s">
        <v>21920</v>
      </c>
      <c r="H6441" t="s">
        <v>18003</v>
      </c>
      <c r="I6441" t="s">
        <v>76</v>
      </c>
      <c r="J6441" t="s">
        <v>100</v>
      </c>
    </row>
    <row r="6442" spans="1:10" x14ac:dyDescent="0.25">
      <c r="A6442" t="s">
        <v>21939</v>
      </c>
      <c r="B6442">
        <v>14</v>
      </c>
      <c r="C6442" t="s">
        <v>21940</v>
      </c>
      <c r="D6442" t="s">
        <v>359</v>
      </c>
      <c r="E6442" t="s">
        <v>21919</v>
      </c>
      <c r="F6442" t="s">
        <v>7672</v>
      </c>
      <c r="G6442" t="s">
        <v>21920</v>
      </c>
      <c r="H6442" t="s">
        <v>18003</v>
      </c>
      <c r="I6442" t="s">
        <v>76</v>
      </c>
      <c r="J6442" t="s">
        <v>106</v>
      </c>
    </row>
    <row r="6443" spans="1:10" x14ac:dyDescent="0.25">
      <c r="A6443" t="s">
        <v>21941</v>
      </c>
      <c r="B6443">
        <v>14</v>
      </c>
      <c r="C6443" t="s">
        <v>21942</v>
      </c>
      <c r="D6443" t="s">
        <v>5145</v>
      </c>
      <c r="E6443" t="s">
        <v>21919</v>
      </c>
      <c r="F6443" t="s">
        <v>7672</v>
      </c>
      <c r="G6443" t="s">
        <v>21920</v>
      </c>
      <c r="H6443" t="s">
        <v>18003</v>
      </c>
      <c r="I6443" t="s">
        <v>9807</v>
      </c>
      <c r="J6443" t="s">
        <v>106</v>
      </c>
    </row>
    <row r="6444" spans="1:10" x14ac:dyDescent="0.25">
      <c r="A6444" t="s">
        <v>6013</v>
      </c>
      <c r="B6444">
        <v>10.4</v>
      </c>
      <c r="C6444" t="s">
        <v>6015</v>
      </c>
      <c r="D6444" t="s">
        <v>53</v>
      </c>
      <c r="E6444" t="s">
        <v>6016</v>
      </c>
      <c r="F6444" t="s">
        <v>7672</v>
      </c>
      <c r="G6444" t="s">
        <v>21943</v>
      </c>
      <c r="H6444" t="s">
        <v>12612</v>
      </c>
      <c r="I6444" t="s">
        <v>21944</v>
      </c>
      <c r="J6444" t="s">
        <v>8692</v>
      </c>
    </row>
    <row r="6445" spans="1:10" x14ac:dyDescent="0.25">
      <c r="A6445" t="s">
        <v>6019</v>
      </c>
      <c r="B6445">
        <v>5.7200000000000006</v>
      </c>
      <c r="C6445" t="s">
        <v>6021</v>
      </c>
      <c r="D6445" t="s">
        <v>6024</v>
      </c>
      <c r="E6445" t="s">
        <v>6022</v>
      </c>
      <c r="F6445" t="s">
        <v>7672</v>
      </c>
      <c r="G6445" t="s">
        <v>20928</v>
      </c>
      <c r="H6445" t="s">
        <v>7965</v>
      </c>
      <c r="I6445" t="s">
        <v>21945</v>
      </c>
      <c r="J6445" t="s">
        <v>7987</v>
      </c>
    </row>
    <row r="6446" spans="1:10" x14ac:dyDescent="0.25">
      <c r="A6446" t="s">
        <v>6026</v>
      </c>
      <c r="B6446">
        <v>5.7200000000000006</v>
      </c>
      <c r="C6446" t="s">
        <v>6028</v>
      </c>
      <c r="D6446" t="s">
        <v>6030</v>
      </c>
      <c r="E6446" t="s">
        <v>6022</v>
      </c>
      <c r="F6446" t="s">
        <v>7672</v>
      </c>
      <c r="G6446" t="s">
        <v>20928</v>
      </c>
      <c r="H6446" t="s">
        <v>7965</v>
      </c>
      <c r="I6446" t="s">
        <v>21945</v>
      </c>
      <c r="J6446" t="s">
        <v>8001</v>
      </c>
    </row>
    <row r="6447" spans="1:10" x14ac:dyDescent="0.25">
      <c r="A6447" t="s">
        <v>21946</v>
      </c>
      <c r="B6447">
        <v>6.76</v>
      </c>
      <c r="C6447" t="s">
        <v>21947</v>
      </c>
      <c r="D6447" t="s">
        <v>2099</v>
      </c>
      <c r="E6447" t="s">
        <v>21948</v>
      </c>
      <c r="F6447" t="s">
        <v>7672</v>
      </c>
      <c r="G6447" t="s">
        <v>21949</v>
      </c>
      <c r="H6447" t="s">
        <v>12519</v>
      </c>
      <c r="I6447" t="s">
        <v>1243</v>
      </c>
      <c r="J6447" t="s">
        <v>7984</v>
      </c>
    </row>
    <row r="6448" spans="1:10" x14ac:dyDescent="0.25">
      <c r="A6448" t="s">
        <v>21950</v>
      </c>
      <c r="B6448">
        <v>6.76</v>
      </c>
      <c r="C6448" t="s">
        <v>21951</v>
      </c>
      <c r="D6448" t="s">
        <v>6379</v>
      </c>
      <c r="E6448" t="s">
        <v>21948</v>
      </c>
      <c r="F6448" t="s">
        <v>7672</v>
      </c>
      <c r="G6448" t="s">
        <v>21949</v>
      </c>
      <c r="H6448" t="s">
        <v>12519</v>
      </c>
      <c r="I6448" t="s">
        <v>1243</v>
      </c>
      <c r="J6448" t="s">
        <v>7987</v>
      </c>
    </row>
    <row r="6449" spans="1:10" x14ac:dyDescent="0.25">
      <c r="A6449" t="s">
        <v>21952</v>
      </c>
      <c r="B6449">
        <v>6.76</v>
      </c>
      <c r="C6449" t="s">
        <v>21953</v>
      </c>
      <c r="D6449" t="s">
        <v>1254</v>
      </c>
      <c r="E6449" t="s">
        <v>21948</v>
      </c>
      <c r="F6449" t="s">
        <v>7672</v>
      </c>
      <c r="G6449" t="s">
        <v>21949</v>
      </c>
      <c r="H6449" t="s">
        <v>12519</v>
      </c>
      <c r="I6449" t="s">
        <v>1243</v>
      </c>
      <c r="J6449" t="s">
        <v>8001</v>
      </c>
    </row>
    <row r="6450" spans="1:10" x14ac:dyDescent="0.25">
      <c r="A6450" t="s">
        <v>21954</v>
      </c>
      <c r="B6450">
        <v>13.2</v>
      </c>
      <c r="C6450" t="s">
        <v>21955</v>
      </c>
      <c r="D6450" t="s">
        <v>131</v>
      </c>
      <c r="E6450" t="s">
        <v>21956</v>
      </c>
      <c r="F6450" t="s">
        <v>7672</v>
      </c>
      <c r="G6450" t="s">
        <v>21957</v>
      </c>
      <c r="H6450" t="s">
        <v>7965</v>
      </c>
      <c r="I6450" t="s">
        <v>21958</v>
      </c>
      <c r="J6450" t="s">
        <v>7675</v>
      </c>
    </row>
    <row r="6451" spans="1:10" x14ac:dyDescent="0.25">
      <c r="A6451" t="s">
        <v>21959</v>
      </c>
      <c r="B6451">
        <v>5.0960000000000001</v>
      </c>
      <c r="C6451" t="s">
        <v>21960</v>
      </c>
      <c r="D6451" t="s">
        <v>366</v>
      </c>
      <c r="E6451" t="s">
        <v>21961</v>
      </c>
      <c r="F6451" t="s">
        <v>7672</v>
      </c>
      <c r="G6451" t="s">
        <v>21962</v>
      </c>
      <c r="H6451" t="s">
        <v>8027</v>
      </c>
      <c r="I6451" t="s">
        <v>8158</v>
      </c>
      <c r="J6451" t="s">
        <v>8891</v>
      </c>
    </row>
    <row r="6452" spans="1:10" x14ac:dyDescent="0.25">
      <c r="A6452" t="s">
        <v>21963</v>
      </c>
      <c r="B6452">
        <v>5.0960000000000001</v>
      </c>
      <c r="C6452" t="s">
        <v>21964</v>
      </c>
      <c r="D6452" t="s">
        <v>926</v>
      </c>
      <c r="E6452" t="s">
        <v>21961</v>
      </c>
      <c r="F6452" t="s">
        <v>7672</v>
      </c>
      <c r="G6452" t="s">
        <v>21962</v>
      </c>
      <c r="H6452" t="s">
        <v>8027</v>
      </c>
      <c r="I6452" t="s">
        <v>8158</v>
      </c>
      <c r="J6452" t="s">
        <v>8896</v>
      </c>
    </row>
    <row r="6453" spans="1:10" x14ac:dyDescent="0.25">
      <c r="A6453" t="s">
        <v>21965</v>
      </c>
      <c r="B6453">
        <v>3.6320000000000001</v>
      </c>
      <c r="C6453" t="s">
        <v>21966</v>
      </c>
      <c r="D6453" t="s">
        <v>1143</v>
      </c>
      <c r="E6453" t="s">
        <v>21967</v>
      </c>
      <c r="F6453" t="s">
        <v>7672</v>
      </c>
      <c r="G6453" t="s">
        <v>21968</v>
      </c>
      <c r="H6453" t="s">
        <v>8515</v>
      </c>
      <c r="I6453" t="s">
        <v>20437</v>
      </c>
      <c r="J6453" t="s">
        <v>106</v>
      </c>
    </row>
    <row r="6454" spans="1:10" x14ac:dyDescent="0.25">
      <c r="A6454" t="s">
        <v>21969</v>
      </c>
      <c r="B6454">
        <v>3.6320000000000001</v>
      </c>
      <c r="C6454" t="s">
        <v>21970</v>
      </c>
      <c r="D6454" t="s">
        <v>106</v>
      </c>
      <c r="E6454" t="s">
        <v>21967</v>
      </c>
      <c r="F6454" t="s">
        <v>7672</v>
      </c>
      <c r="G6454" t="s">
        <v>21968</v>
      </c>
      <c r="H6454" t="s">
        <v>8515</v>
      </c>
      <c r="I6454" t="s">
        <v>20437</v>
      </c>
      <c r="J6454" t="s">
        <v>8531</v>
      </c>
    </row>
    <row r="6455" spans="1:10" x14ac:dyDescent="0.25">
      <c r="A6455" t="s">
        <v>21971</v>
      </c>
      <c r="B6455">
        <v>3.6320000000000001</v>
      </c>
      <c r="C6455" t="s">
        <v>21972</v>
      </c>
      <c r="D6455" t="s">
        <v>100</v>
      </c>
      <c r="E6455" t="s">
        <v>21967</v>
      </c>
      <c r="F6455" t="s">
        <v>7672</v>
      </c>
      <c r="G6455" t="s">
        <v>21968</v>
      </c>
      <c r="H6455" t="s">
        <v>8515</v>
      </c>
      <c r="I6455" t="s">
        <v>20437</v>
      </c>
      <c r="J6455" t="s">
        <v>131</v>
      </c>
    </row>
    <row r="6456" spans="1:10" x14ac:dyDescent="0.25">
      <c r="A6456" t="s">
        <v>21973</v>
      </c>
      <c r="B6456">
        <v>8.3920000000000012</v>
      </c>
      <c r="C6456" t="s">
        <v>21974</v>
      </c>
      <c r="D6456" t="s">
        <v>3023</v>
      </c>
      <c r="E6456" t="s">
        <v>21975</v>
      </c>
      <c r="F6456" t="s">
        <v>7672</v>
      </c>
      <c r="G6456" t="s">
        <v>21976</v>
      </c>
      <c r="H6456" t="s">
        <v>7674</v>
      </c>
      <c r="I6456" t="s">
        <v>21977</v>
      </c>
      <c r="J6456" t="s">
        <v>9023</v>
      </c>
    </row>
    <row r="6457" spans="1:10" x14ac:dyDescent="0.25">
      <c r="A6457" t="s">
        <v>21978</v>
      </c>
      <c r="B6457">
        <v>8.3920000000000012</v>
      </c>
      <c r="C6457" t="s">
        <v>21979</v>
      </c>
      <c r="D6457" t="s">
        <v>240</v>
      </c>
      <c r="E6457" t="s">
        <v>21975</v>
      </c>
      <c r="F6457" t="s">
        <v>7672</v>
      </c>
      <c r="G6457" t="s">
        <v>21976</v>
      </c>
      <c r="H6457" t="s">
        <v>7674</v>
      </c>
      <c r="I6457" t="s">
        <v>21980</v>
      </c>
      <c r="J6457" t="s">
        <v>9023</v>
      </c>
    </row>
    <row r="6458" spans="1:10" x14ac:dyDescent="0.25">
      <c r="A6458" t="s">
        <v>21981</v>
      </c>
      <c r="B6458">
        <v>8.3920000000000012</v>
      </c>
      <c r="C6458" t="s">
        <v>21982</v>
      </c>
      <c r="D6458" t="s">
        <v>2381</v>
      </c>
      <c r="E6458" t="s">
        <v>21975</v>
      </c>
      <c r="F6458" t="s">
        <v>7672</v>
      </c>
      <c r="G6458" t="s">
        <v>21976</v>
      </c>
      <c r="H6458" t="s">
        <v>7674</v>
      </c>
      <c r="I6458" t="s">
        <v>21983</v>
      </c>
      <c r="J6458" t="s">
        <v>9023</v>
      </c>
    </row>
    <row r="6459" spans="1:10" x14ac:dyDescent="0.25">
      <c r="A6459" t="s">
        <v>21984</v>
      </c>
      <c r="B6459">
        <v>8.3920000000000012</v>
      </c>
      <c r="C6459" t="s">
        <v>21985</v>
      </c>
      <c r="D6459" t="s">
        <v>865</v>
      </c>
      <c r="E6459" t="s">
        <v>21975</v>
      </c>
      <c r="F6459" t="s">
        <v>7672</v>
      </c>
      <c r="G6459" t="s">
        <v>21976</v>
      </c>
      <c r="H6459" t="s">
        <v>7674</v>
      </c>
      <c r="I6459" t="s">
        <v>21986</v>
      </c>
      <c r="J6459" t="s">
        <v>9023</v>
      </c>
    </row>
    <row r="6460" spans="1:10" x14ac:dyDescent="0.25">
      <c r="A6460" t="s">
        <v>21987</v>
      </c>
      <c r="B6460">
        <v>8.3920000000000012</v>
      </c>
      <c r="C6460" t="s">
        <v>21988</v>
      </c>
      <c r="D6460" t="s">
        <v>2620</v>
      </c>
      <c r="E6460" t="s">
        <v>21975</v>
      </c>
      <c r="F6460" t="s">
        <v>7672</v>
      </c>
      <c r="G6460" t="s">
        <v>21976</v>
      </c>
      <c r="H6460" t="s">
        <v>7674</v>
      </c>
      <c r="I6460" t="s">
        <v>21989</v>
      </c>
      <c r="J6460" t="s">
        <v>9023</v>
      </c>
    </row>
    <row r="6461" spans="1:10" x14ac:dyDescent="0.25">
      <c r="A6461" t="s">
        <v>21990</v>
      </c>
      <c r="B6461">
        <v>8.3920000000000012</v>
      </c>
      <c r="C6461" t="s">
        <v>21991</v>
      </c>
      <c r="D6461" t="s">
        <v>100</v>
      </c>
      <c r="E6461" t="s">
        <v>21975</v>
      </c>
      <c r="F6461" t="s">
        <v>7672</v>
      </c>
      <c r="G6461" t="s">
        <v>21976</v>
      </c>
      <c r="H6461" t="s">
        <v>7674</v>
      </c>
      <c r="I6461" t="s">
        <v>21992</v>
      </c>
      <c r="J6461" t="s">
        <v>9023</v>
      </c>
    </row>
    <row r="6462" spans="1:10" x14ac:dyDescent="0.25">
      <c r="A6462" t="s">
        <v>21993</v>
      </c>
      <c r="B6462">
        <v>8.3920000000000012</v>
      </c>
      <c r="C6462" t="s">
        <v>21994</v>
      </c>
      <c r="D6462" t="s">
        <v>975</v>
      </c>
      <c r="E6462" t="s">
        <v>21975</v>
      </c>
      <c r="F6462" t="s">
        <v>7672</v>
      </c>
      <c r="G6462" t="s">
        <v>21976</v>
      </c>
      <c r="H6462" t="s">
        <v>7674</v>
      </c>
      <c r="I6462" t="s">
        <v>21989</v>
      </c>
      <c r="J6462" t="s">
        <v>8883</v>
      </c>
    </row>
    <row r="6463" spans="1:10" x14ac:dyDescent="0.25">
      <c r="A6463" t="s">
        <v>21995</v>
      </c>
      <c r="B6463">
        <v>8.3920000000000012</v>
      </c>
      <c r="C6463" t="s">
        <v>21996</v>
      </c>
      <c r="D6463" t="s">
        <v>835</v>
      </c>
      <c r="E6463" t="s">
        <v>21975</v>
      </c>
      <c r="F6463" t="s">
        <v>7672</v>
      </c>
      <c r="G6463" t="s">
        <v>21976</v>
      </c>
      <c r="H6463" t="s">
        <v>7674</v>
      </c>
      <c r="I6463" t="s">
        <v>21977</v>
      </c>
      <c r="J6463" t="s">
        <v>8883</v>
      </c>
    </row>
    <row r="6464" spans="1:10" x14ac:dyDescent="0.25">
      <c r="A6464" t="s">
        <v>21997</v>
      </c>
      <c r="B6464">
        <v>8.3920000000000012</v>
      </c>
      <c r="C6464" t="s">
        <v>21998</v>
      </c>
      <c r="D6464" t="s">
        <v>385</v>
      </c>
      <c r="E6464" t="s">
        <v>21975</v>
      </c>
      <c r="F6464" t="s">
        <v>7672</v>
      </c>
      <c r="G6464" t="s">
        <v>21976</v>
      </c>
      <c r="H6464" t="s">
        <v>7674</v>
      </c>
      <c r="I6464" t="s">
        <v>21983</v>
      </c>
      <c r="J6464" t="s">
        <v>8883</v>
      </c>
    </row>
    <row r="6465" spans="1:10" x14ac:dyDescent="0.25">
      <c r="A6465" t="s">
        <v>21999</v>
      </c>
      <c r="B6465">
        <v>8.3920000000000012</v>
      </c>
      <c r="C6465" t="s">
        <v>22000</v>
      </c>
      <c r="D6465" t="s">
        <v>352</v>
      </c>
      <c r="E6465" t="s">
        <v>21975</v>
      </c>
      <c r="F6465" t="s">
        <v>7672</v>
      </c>
      <c r="G6465" t="s">
        <v>21976</v>
      </c>
      <c r="H6465" t="s">
        <v>7674</v>
      </c>
      <c r="I6465" t="s">
        <v>21986</v>
      </c>
      <c r="J6465" t="s">
        <v>8883</v>
      </c>
    </row>
    <row r="6466" spans="1:10" x14ac:dyDescent="0.25">
      <c r="A6466" t="s">
        <v>22001</v>
      </c>
      <c r="B6466">
        <v>7.2720000000000002</v>
      </c>
      <c r="C6466" t="s">
        <v>22002</v>
      </c>
      <c r="D6466" t="s">
        <v>106</v>
      </c>
      <c r="E6466" t="s">
        <v>22003</v>
      </c>
      <c r="F6466" t="s">
        <v>7672</v>
      </c>
      <c r="G6466" t="s">
        <v>22004</v>
      </c>
      <c r="H6466" t="s">
        <v>8027</v>
      </c>
      <c r="I6466" t="s">
        <v>18596</v>
      </c>
      <c r="J6466" t="s">
        <v>9107</v>
      </c>
    </row>
    <row r="6467" spans="1:10" x14ac:dyDescent="0.25">
      <c r="A6467" t="s">
        <v>22005</v>
      </c>
      <c r="B6467">
        <v>7.2720000000000002</v>
      </c>
      <c r="C6467" t="s">
        <v>22006</v>
      </c>
      <c r="D6467" t="s">
        <v>100</v>
      </c>
      <c r="E6467" t="s">
        <v>22003</v>
      </c>
      <c r="F6467" t="s">
        <v>7672</v>
      </c>
      <c r="G6467" t="s">
        <v>22004</v>
      </c>
      <c r="H6467" t="s">
        <v>8027</v>
      </c>
      <c r="I6467" t="s">
        <v>22007</v>
      </c>
      <c r="J6467" t="s">
        <v>9107</v>
      </c>
    </row>
    <row r="6468" spans="1:10" x14ac:dyDescent="0.25">
      <c r="A6468" t="s">
        <v>22008</v>
      </c>
      <c r="B6468">
        <v>4.4800000000000004</v>
      </c>
      <c r="C6468" t="s">
        <v>22009</v>
      </c>
      <c r="D6468" t="s">
        <v>359</v>
      </c>
      <c r="E6468" t="s">
        <v>22010</v>
      </c>
      <c r="F6468" t="s">
        <v>7672</v>
      </c>
      <c r="G6468" t="s">
        <v>22011</v>
      </c>
      <c r="H6468" t="s">
        <v>7674</v>
      </c>
      <c r="I6468" t="s">
        <v>22012</v>
      </c>
      <c r="J6468" t="s">
        <v>7987</v>
      </c>
    </row>
    <row r="6469" spans="1:10" x14ac:dyDescent="0.25">
      <c r="A6469" t="s">
        <v>22013</v>
      </c>
      <c r="B6469">
        <v>4.4800000000000004</v>
      </c>
      <c r="C6469" t="s">
        <v>22014</v>
      </c>
      <c r="D6469" t="s">
        <v>240</v>
      </c>
      <c r="E6469" t="s">
        <v>22010</v>
      </c>
      <c r="F6469" t="s">
        <v>7672</v>
      </c>
      <c r="G6469" t="s">
        <v>22011</v>
      </c>
      <c r="H6469" t="s">
        <v>7674</v>
      </c>
      <c r="I6469" t="s">
        <v>22015</v>
      </c>
      <c r="J6469" t="s">
        <v>8418</v>
      </c>
    </row>
    <row r="6470" spans="1:10" x14ac:dyDescent="0.25">
      <c r="A6470" t="s">
        <v>22016</v>
      </c>
      <c r="B6470">
        <v>8.4</v>
      </c>
      <c r="C6470" t="s">
        <v>22017</v>
      </c>
      <c r="D6470" t="s">
        <v>250</v>
      </c>
      <c r="E6470" t="s">
        <v>22010</v>
      </c>
      <c r="F6470" t="s">
        <v>7672</v>
      </c>
      <c r="G6470" t="s">
        <v>22011</v>
      </c>
      <c r="H6470" t="s">
        <v>7674</v>
      </c>
      <c r="I6470" t="s">
        <v>22018</v>
      </c>
      <c r="J6470" t="s">
        <v>8418</v>
      </c>
    </row>
    <row r="6471" spans="1:10" x14ac:dyDescent="0.25">
      <c r="A6471" t="s">
        <v>22019</v>
      </c>
      <c r="B6471">
        <v>14.4</v>
      </c>
      <c r="C6471" t="s">
        <v>22020</v>
      </c>
      <c r="D6471" t="s">
        <v>366</v>
      </c>
      <c r="E6471" t="s">
        <v>22021</v>
      </c>
      <c r="F6471" t="s">
        <v>7672</v>
      </c>
      <c r="G6471" t="s">
        <v>22022</v>
      </c>
      <c r="H6471" t="s">
        <v>10368</v>
      </c>
      <c r="I6471" t="s">
        <v>145</v>
      </c>
      <c r="J6471" t="s">
        <v>100</v>
      </c>
    </row>
    <row r="6472" spans="1:10" x14ac:dyDescent="0.25">
      <c r="A6472" t="s">
        <v>22023</v>
      </c>
      <c r="B6472">
        <v>14.4</v>
      </c>
      <c r="C6472" t="s">
        <v>22024</v>
      </c>
      <c r="D6472" t="s">
        <v>1254</v>
      </c>
      <c r="E6472" t="s">
        <v>22021</v>
      </c>
      <c r="F6472" t="s">
        <v>7672</v>
      </c>
      <c r="G6472" t="s">
        <v>22022</v>
      </c>
      <c r="H6472" t="s">
        <v>10368</v>
      </c>
      <c r="I6472" t="s">
        <v>145</v>
      </c>
      <c r="J6472" t="s">
        <v>106</v>
      </c>
    </row>
    <row r="6473" spans="1:10" x14ac:dyDescent="0.25">
      <c r="A6473" t="s">
        <v>22025</v>
      </c>
      <c r="B6473">
        <v>14.4</v>
      </c>
      <c r="C6473" t="s">
        <v>22026</v>
      </c>
      <c r="D6473" t="s">
        <v>450</v>
      </c>
      <c r="E6473" t="s">
        <v>22021</v>
      </c>
      <c r="F6473" t="s">
        <v>7672</v>
      </c>
      <c r="G6473" t="s">
        <v>22022</v>
      </c>
      <c r="H6473" t="s">
        <v>10368</v>
      </c>
      <c r="I6473" t="s">
        <v>145</v>
      </c>
      <c r="J6473" t="s">
        <v>88</v>
      </c>
    </row>
    <row r="6474" spans="1:10" x14ac:dyDescent="0.25">
      <c r="A6474" t="s">
        <v>22027</v>
      </c>
      <c r="B6474">
        <v>14.4</v>
      </c>
      <c r="C6474" t="s">
        <v>22028</v>
      </c>
      <c r="D6474" t="s">
        <v>234</v>
      </c>
      <c r="E6474" t="s">
        <v>22021</v>
      </c>
      <c r="F6474" t="s">
        <v>7672</v>
      </c>
      <c r="G6474" t="s">
        <v>22022</v>
      </c>
      <c r="H6474" t="s">
        <v>10368</v>
      </c>
      <c r="I6474" t="s">
        <v>145</v>
      </c>
      <c r="J6474" t="s">
        <v>8531</v>
      </c>
    </row>
    <row r="6475" spans="1:10" x14ac:dyDescent="0.25">
      <c r="A6475" t="s">
        <v>22029</v>
      </c>
      <c r="B6475">
        <v>16</v>
      </c>
      <c r="C6475" t="s">
        <v>22030</v>
      </c>
      <c r="D6475" t="s">
        <v>865</v>
      </c>
      <c r="E6475" t="s">
        <v>22021</v>
      </c>
      <c r="F6475" t="s">
        <v>7672</v>
      </c>
      <c r="G6475" t="s">
        <v>22022</v>
      </c>
      <c r="H6475" t="s">
        <v>10368</v>
      </c>
      <c r="I6475" t="s">
        <v>145</v>
      </c>
      <c r="J6475" t="s">
        <v>131</v>
      </c>
    </row>
    <row r="6476" spans="1:10" x14ac:dyDescent="0.25">
      <c r="A6476" t="s">
        <v>22031</v>
      </c>
      <c r="B6476">
        <v>16</v>
      </c>
      <c r="C6476" t="s">
        <v>22032</v>
      </c>
      <c r="D6476" t="s">
        <v>3023</v>
      </c>
      <c r="E6476" t="s">
        <v>22021</v>
      </c>
      <c r="F6476" t="s">
        <v>7672</v>
      </c>
      <c r="G6476" t="s">
        <v>22022</v>
      </c>
      <c r="H6476" t="s">
        <v>10368</v>
      </c>
      <c r="I6476" t="s">
        <v>145</v>
      </c>
      <c r="J6476" t="s">
        <v>269</v>
      </c>
    </row>
    <row r="6477" spans="1:10" x14ac:dyDescent="0.25">
      <c r="A6477" t="s">
        <v>22033</v>
      </c>
      <c r="B6477">
        <v>16</v>
      </c>
      <c r="C6477" t="s">
        <v>22034</v>
      </c>
      <c r="D6477" t="s">
        <v>46</v>
      </c>
      <c r="E6477" t="s">
        <v>22021</v>
      </c>
      <c r="F6477" t="s">
        <v>7672</v>
      </c>
      <c r="G6477" t="s">
        <v>22022</v>
      </c>
      <c r="H6477" t="s">
        <v>10368</v>
      </c>
      <c r="I6477" t="s">
        <v>145</v>
      </c>
      <c r="J6477" t="s">
        <v>255</v>
      </c>
    </row>
    <row r="6478" spans="1:10" x14ac:dyDescent="0.25">
      <c r="A6478" t="s">
        <v>6031</v>
      </c>
      <c r="B6478">
        <v>5.4</v>
      </c>
      <c r="C6478" t="s">
        <v>6033</v>
      </c>
      <c r="D6478" t="s">
        <v>588</v>
      </c>
      <c r="E6478" t="s">
        <v>6034</v>
      </c>
      <c r="F6478" t="s">
        <v>7672</v>
      </c>
      <c r="G6478" t="s">
        <v>22035</v>
      </c>
      <c r="H6478" t="s">
        <v>11496</v>
      </c>
      <c r="I6478" t="s">
        <v>18427</v>
      </c>
      <c r="J6478" t="s">
        <v>12103</v>
      </c>
    </row>
    <row r="6479" spans="1:10" x14ac:dyDescent="0.25">
      <c r="A6479" t="s">
        <v>6037</v>
      </c>
      <c r="B6479">
        <v>9.2000000000000011</v>
      </c>
      <c r="C6479" t="s">
        <v>6039</v>
      </c>
      <c r="D6479" t="s">
        <v>781</v>
      </c>
      <c r="E6479" t="s">
        <v>6040</v>
      </c>
      <c r="F6479" t="s">
        <v>7672</v>
      </c>
      <c r="G6479" t="s">
        <v>22036</v>
      </c>
      <c r="H6479" t="s">
        <v>22037</v>
      </c>
      <c r="I6479" t="s">
        <v>6043</v>
      </c>
      <c r="J6479" t="s">
        <v>22038</v>
      </c>
    </row>
    <row r="6480" spans="1:10" x14ac:dyDescent="0.25">
      <c r="A6480" t="s">
        <v>6044</v>
      </c>
      <c r="B6480">
        <v>7.3599999999999994</v>
      </c>
      <c r="C6480" t="s">
        <v>6046</v>
      </c>
      <c r="D6480" t="s">
        <v>113</v>
      </c>
      <c r="E6480" t="s">
        <v>6040</v>
      </c>
      <c r="F6480" t="s">
        <v>7672</v>
      </c>
      <c r="G6480" t="s">
        <v>22036</v>
      </c>
      <c r="H6480" t="s">
        <v>22037</v>
      </c>
      <c r="I6480" t="s">
        <v>6049</v>
      </c>
      <c r="J6480" t="s">
        <v>22038</v>
      </c>
    </row>
    <row r="6481" spans="1:10" x14ac:dyDescent="0.25">
      <c r="A6481" t="s">
        <v>6050</v>
      </c>
      <c r="B6481">
        <v>9.2000000000000011</v>
      </c>
      <c r="C6481" t="s">
        <v>6052</v>
      </c>
      <c r="D6481" t="s">
        <v>781</v>
      </c>
      <c r="E6481" t="s">
        <v>6040</v>
      </c>
      <c r="F6481" t="s">
        <v>7672</v>
      </c>
      <c r="G6481" t="s">
        <v>22036</v>
      </c>
      <c r="H6481" t="s">
        <v>22037</v>
      </c>
      <c r="I6481" t="s">
        <v>6055</v>
      </c>
      <c r="J6481" t="s">
        <v>22038</v>
      </c>
    </row>
    <row r="6482" spans="1:10" x14ac:dyDescent="0.25">
      <c r="A6482" t="s">
        <v>6056</v>
      </c>
      <c r="B6482">
        <v>9.2000000000000011</v>
      </c>
      <c r="C6482" t="s">
        <v>6058</v>
      </c>
      <c r="D6482" t="s">
        <v>582</v>
      </c>
      <c r="E6482" t="s">
        <v>6040</v>
      </c>
      <c r="F6482" t="s">
        <v>7672</v>
      </c>
      <c r="G6482" t="s">
        <v>22036</v>
      </c>
      <c r="H6482" t="s">
        <v>22037</v>
      </c>
      <c r="I6482" t="s">
        <v>6061</v>
      </c>
      <c r="J6482" t="s">
        <v>22038</v>
      </c>
    </row>
    <row r="6483" spans="1:10" x14ac:dyDescent="0.25">
      <c r="A6483" t="s">
        <v>6062</v>
      </c>
      <c r="B6483">
        <v>54</v>
      </c>
      <c r="C6483" t="s">
        <v>6064</v>
      </c>
      <c r="D6483" t="s">
        <v>5145</v>
      </c>
      <c r="E6483" t="s">
        <v>6065</v>
      </c>
      <c r="F6483" t="s">
        <v>7672</v>
      </c>
      <c r="G6483" t="s">
        <v>22039</v>
      </c>
      <c r="H6483" t="s">
        <v>21219</v>
      </c>
      <c r="I6483" t="s">
        <v>138</v>
      </c>
      <c r="J6483" t="s">
        <v>7981</v>
      </c>
    </row>
    <row r="6484" spans="1:10" x14ac:dyDescent="0.25">
      <c r="A6484" t="s">
        <v>6068</v>
      </c>
      <c r="B6484">
        <v>54</v>
      </c>
      <c r="C6484" t="s">
        <v>6070</v>
      </c>
      <c r="D6484" t="s">
        <v>1579</v>
      </c>
      <c r="E6484" t="s">
        <v>6065</v>
      </c>
      <c r="F6484" t="s">
        <v>7672</v>
      </c>
      <c r="G6484" t="s">
        <v>22039</v>
      </c>
      <c r="H6484" t="s">
        <v>21219</v>
      </c>
      <c r="I6484" t="s">
        <v>76</v>
      </c>
      <c r="J6484" t="s">
        <v>7981</v>
      </c>
    </row>
    <row r="6485" spans="1:10" x14ac:dyDescent="0.25">
      <c r="A6485" t="s">
        <v>6072</v>
      </c>
      <c r="B6485">
        <v>54</v>
      </c>
      <c r="C6485" t="s">
        <v>6074</v>
      </c>
      <c r="D6485" t="s">
        <v>959</v>
      </c>
      <c r="E6485" t="s">
        <v>6065</v>
      </c>
      <c r="F6485" t="s">
        <v>7672</v>
      </c>
      <c r="G6485" t="s">
        <v>22039</v>
      </c>
      <c r="H6485" t="s">
        <v>21219</v>
      </c>
      <c r="I6485" t="s">
        <v>6076</v>
      </c>
      <c r="J6485" t="s">
        <v>7981</v>
      </c>
    </row>
    <row r="6486" spans="1:10" x14ac:dyDescent="0.25">
      <c r="A6486" t="s">
        <v>6077</v>
      </c>
      <c r="B6486">
        <v>54</v>
      </c>
      <c r="C6486" t="s">
        <v>6079</v>
      </c>
      <c r="D6486" t="s">
        <v>705</v>
      </c>
      <c r="E6486" t="s">
        <v>6065</v>
      </c>
      <c r="F6486" t="s">
        <v>7672</v>
      </c>
      <c r="G6486" t="s">
        <v>22039</v>
      </c>
      <c r="H6486" t="s">
        <v>21219</v>
      </c>
      <c r="I6486" t="s">
        <v>6081</v>
      </c>
      <c r="J6486" t="s">
        <v>7981</v>
      </c>
    </row>
    <row r="6487" spans="1:10" x14ac:dyDescent="0.25">
      <c r="A6487" t="s">
        <v>6082</v>
      </c>
      <c r="B6487">
        <v>54</v>
      </c>
      <c r="C6487" t="s">
        <v>6084</v>
      </c>
      <c r="D6487" t="s">
        <v>46</v>
      </c>
      <c r="E6487" t="s">
        <v>6065</v>
      </c>
      <c r="F6487" t="s">
        <v>7672</v>
      </c>
      <c r="G6487" t="s">
        <v>22039</v>
      </c>
      <c r="H6487" t="s">
        <v>21219</v>
      </c>
      <c r="I6487" t="s">
        <v>138</v>
      </c>
      <c r="J6487" t="s">
        <v>7984</v>
      </c>
    </row>
    <row r="6488" spans="1:10" x14ac:dyDescent="0.25">
      <c r="A6488" t="s">
        <v>6086</v>
      </c>
      <c r="B6488">
        <v>54</v>
      </c>
      <c r="C6488" t="s">
        <v>6088</v>
      </c>
      <c r="D6488" t="s">
        <v>654</v>
      </c>
      <c r="E6488" t="s">
        <v>6065</v>
      </c>
      <c r="F6488" t="s">
        <v>7672</v>
      </c>
      <c r="G6488" t="s">
        <v>22039</v>
      </c>
      <c r="H6488" t="s">
        <v>21219</v>
      </c>
      <c r="I6488" t="s">
        <v>76</v>
      </c>
      <c r="J6488" t="s">
        <v>7984</v>
      </c>
    </row>
    <row r="6489" spans="1:10" x14ac:dyDescent="0.25">
      <c r="A6489" t="s">
        <v>6090</v>
      </c>
      <c r="B6489">
        <v>54</v>
      </c>
      <c r="C6489" t="s">
        <v>6092</v>
      </c>
      <c r="D6489" t="s">
        <v>1579</v>
      </c>
      <c r="E6489" t="s">
        <v>6065</v>
      </c>
      <c r="F6489" t="s">
        <v>7672</v>
      </c>
      <c r="G6489" t="s">
        <v>22039</v>
      </c>
      <c r="H6489" t="s">
        <v>21219</v>
      </c>
      <c r="I6489" t="s">
        <v>6081</v>
      </c>
      <c r="J6489" t="s">
        <v>7984</v>
      </c>
    </row>
    <row r="6490" spans="1:10" x14ac:dyDescent="0.25">
      <c r="A6490" t="s">
        <v>6094</v>
      </c>
      <c r="B6490">
        <v>54</v>
      </c>
      <c r="C6490" t="s">
        <v>6096</v>
      </c>
      <c r="D6490" t="s">
        <v>588</v>
      </c>
      <c r="E6490" t="s">
        <v>6065</v>
      </c>
      <c r="F6490" t="s">
        <v>7672</v>
      </c>
      <c r="G6490" t="s">
        <v>22039</v>
      </c>
      <c r="H6490" t="s">
        <v>21219</v>
      </c>
      <c r="I6490" t="s">
        <v>6076</v>
      </c>
      <c r="J6490" t="s">
        <v>7984</v>
      </c>
    </row>
    <row r="6491" spans="1:10" x14ac:dyDescent="0.25">
      <c r="A6491" t="s">
        <v>6098</v>
      </c>
      <c r="B6491">
        <v>54</v>
      </c>
      <c r="C6491" t="s">
        <v>6100</v>
      </c>
      <c r="D6491" t="s">
        <v>576</v>
      </c>
      <c r="E6491" t="s">
        <v>6065</v>
      </c>
      <c r="F6491" t="s">
        <v>7672</v>
      </c>
      <c r="G6491" t="s">
        <v>22039</v>
      </c>
      <c r="H6491" t="s">
        <v>21219</v>
      </c>
      <c r="I6491" t="s">
        <v>76</v>
      </c>
      <c r="J6491" t="s">
        <v>7987</v>
      </c>
    </row>
    <row r="6492" spans="1:10" x14ac:dyDescent="0.25">
      <c r="A6492" t="s">
        <v>6102</v>
      </c>
      <c r="B6492">
        <v>54</v>
      </c>
      <c r="C6492" t="s">
        <v>6104</v>
      </c>
      <c r="D6492" t="s">
        <v>106</v>
      </c>
      <c r="E6492" t="s">
        <v>6065</v>
      </c>
      <c r="F6492" t="s">
        <v>7672</v>
      </c>
      <c r="G6492" t="s">
        <v>22039</v>
      </c>
      <c r="H6492" t="s">
        <v>21219</v>
      </c>
      <c r="I6492" t="s">
        <v>138</v>
      </c>
      <c r="J6492" t="s">
        <v>7987</v>
      </c>
    </row>
    <row r="6493" spans="1:10" x14ac:dyDescent="0.25">
      <c r="A6493" t="s">
        <v>6106</v>
      </c>
      <c r="B6493">
        <v>54</v>
      </c>
      <c r="C6493" t="s">
        <v>6108</v>
      </c>
      <c r="D6493" t="s">
        <v>282</v>
      </c>
      <c r="E6493" t="s">
        <v>6065</v>
      </c>
      <c r="F6493" t="s">
        <v>7672</v>
      </c>
      <c r="G6493" t="s">
        <v>22039</v>
      </c>
      <c r="H6493" t="s">
        <v>21219</v>
      </c>
      <c r="I6493" t="s">
        <v>6076</v>
      </c>
      <c r="J6493" t="s">
        <v>7987</v>
      </c>
    </row>
    <row r="6494" spans="1:10" x14ac:dyDescent="0.25">
      <c r="A6494" t="s">
        <v>6110</v>
      </c>
      <c r="B6494">
        <v>54</v>
      </c>
      <c r="C6494" t="s">
        <v>6112</v>
      </c>
      <c r="D6494" t="s">
        <v>849</v>
      </c>
      <c r="E6494" t="s">
        <v>6065</v>
      </c>
      <c r="F6494" t="s">
        <v>7672</v>
      </c>
      <c r="G6494" t="s">
        <v>22039</v>
      </c>
      <c r="H6494" t="s">
        <v>21219</v>
      </c>
      <c r="I6494" t="s">
        <v>6081</v>
      </c>
      <c r="J6494" t="s">
        <v>7987</v>
      </c>
    </row>
    <row r="6495" spans="1:10" x14ac:dyDescent="0.25">
      <c r="A6495" t="s">
        <v>6114</v>
      </c>
      <c r="B6495">
        <v>54</v>
      </c>
      <c r="C6495" t="s">
        <v>6116</v>
      </c>
      <c r="D6495" t="s">
        <v>131</v>
      </c>
      <c r="E6495" t="s">
        <v>6065</v>
      </c>
      <c r="F6495" t="s">
        <v>7672</v>
      </c>
      <c r="G6495" t="s">
        <v>22039</v>
      </c>
      <c r="H6495" t="s">
        <v>21219</v>
      </c>
      <c r="I6495" t="s">
        <v>6081</v>
      </c>
      <c r="J6495" t="s">
        <v>8001</v>
      </c>
    </row>
    <row r="6496" spans="1:10" x14ac:dyDescent="0.25">
      <c r="A6496" t="s">
        <v>22040</v>
      </c>
      <c r="B6496">
        <v>6.7200000000000006</v>
      </c>
      <c r="C6496" t="s">
        <v>22041</v>
      </c>
      <c r="D6496" t="s">
        <v>1852</v>
      </c>
      <c r="E6496" t="s">
        <v>22042</v>
      </c>
      <c r="F6496" t="s">
        <v>7672</v>
      </c>
      <c r="G6496" t="s">
        <v>22043</v>
      </c>
      <c r="H6496" t="s">
        <v>11496</v>
      </c>
      <c r="I6496" t="s">
        <v>6036</v>
      </c>
      <c r="J6496" t="s">
        <v>10369</v>
      </c>
    </row>
    <row r="6497" spans="1:10" x14ac:dyDescent="0.25">
      <c r="A6497" t="s">
        <v>22044</v>
      </c>
      <c r="B6497">
        <v>6.7200000000000006</v>
      </c>
      <c r="C6497" t="s">
        <v>22045</v>
      </c>
      <c r="D6497" t="s">
        <v>4114</v>
      </c>
      <c r="E6497" t="s">
        <v>22042</v>
      </c>
      <c r="F6497" t="s">
        <v>7672</v>
      </c>
      <c r="G6497" t="s">
        <v>22043</v>
      </c>
      <c r="H6497" t="s">
        <v>11496</v>
      </c>
      <c r="I6497" t="s">
        <v>6036</v>
      </c>
      <c r="J6497" t="s">
        <v>11590</v>
      </c>
    </row>
    <row r="6498" spans="1:10" x14ac:dyDescent="0.25">
      <c r="A6498" t="s">
        <v>22046</v>
      </c>
      <c r="B6498">
        <v>6.7200000000000006</v>
      </c>
      <c r="C6498" t="s">
        <v>22047</v>
      </c>
      <c r="D6498" t="s">
        <v>9951</v>
      </c>
      <c r="E6498" t="s">
        <v>22042</v>
      </c>
      <c r="F6498" t="s">
        <v>7672</v>
      </c>
      <c r="G6498" t="s">
        <v>22043</v>
      </c>
      <c r="H6498" t="s">
        <v>11496</v>
      </c>
      <c r="I6498" t="s">
        <v>6036</v>
      </c>
      <c r="J6498" t="s">
        <v>11593</v>
      </c>
    </row>
    <row r="6499" spans="1:10" x14ac:dyDescent="0.25">
      <c r="A6499" t="s">
        <v>22048</v>
      </c>
      <c r="B6499">
        <v>6.7200000000000006</v>
      </c>
      <c r="C6499" t="s">
        <v>22049</v>
      </c>
      <c r="D6499" t="s">
        <v>8016</v>
      </c>
      <c r="E6499" t="s">
        <v>22042</v>
      </c>
      <c r="F6499" t="s">
        <v>7672</v>
      </c>
      <c r="G6499" t="s">
        <v>22043</v>
      </c>
      <c r="H6499" t="s">
        <v>11496</v>
      </c>
      <c r="I6499" t="s">
        <v>6036</v>
      </c>
      <c r="J6499" t="s">
        <v>11783</v>
      </c>
    </row>
    <row r="6500" spans="1:10" x14ac:dyDescent="0.25">
      <c r="A6500" t="s">
        <v>22050</v>
      </c>
      <c r="B6500">
        <v>6.08</v>
      </c>
      <c r="C6500" t="s">
        <v>22051</v>
      </c>
      <c r="D6500" t="s">
        <v>229</v>
      </c>
      <c r="E6500" t="s">
        <v>22052</v>
      </c>
      <c r="F6500" t="s">
        <v>7672</v>
      </c>
      <c r="G6500" t="s">
        <v>22053</v>
      </c>
      <c r="H6500" t="s">
        <v>11496</v>
      </c>
      <c r="I6500" t="s">
        <v>935</v>
      </c>
      <c r="J6500" t="s">
        <v>10369</v>
      </c>
    </row>
    <row r="6501" spans="1:10" x14ac:dyDescent="0.25">
      <c r="A6501" t="s">
        <v>22054</v>
      </c>
      <c r="B6501">
        <v>6.08</v>
      </c>
      <c r="C6501" t="s">
        <v>22055</v>
      </c>
      <c r="D6501" t="s">
        <v>986</v>
      </c>
      <c r="E6501" t="s">
        <v>22052</v>
      </c>
      <c r="F6501" t="s">
        <v>7672</v>
      </c>
      <c r="G6501" t="s">
        <v>22053</v>
      </c>
      <c r="H6501" t="s">
        <v>11496</v>
      </c>
      <c r="I6501" t="s">
        <v>935</v>
      </c>
      <c r="J6501" t="s">
        <v>11590</v>
      </c>
    </row>
    <row r="6502" spans="1:10" x14ac:dyDescent="0.25">
      <c r="A6502" t="s">
        <v>22056</v>
      </c>
      <c r="B6502">
        <v>6.08</v>
      </c>
      <c r="C6502" t="s">
        <v>22057</v>
      </c>
      <c r="D6502" t="s">
        <v>2243</v>
      </c>
      <c r="E6502" t="s">
        <v>22052</v>
      </c>
      <c r="F6502" t="s">
        <v>7672</v>
      </c>
      <c r="G6502" t="s">
        <v>22053</v>
      </c>
      <c r="H6502" t="s">
        <v>11496</v>
      </c>
      <c r="I6502" t="s">
        <v>935</v>
      </c>
      <c r="J6502" t="s">
        <v>11593</v>
      </c>
    </row>
    <row r="6503" spans="1:10" x14ac:dyDescent="0.25">
      <c r="A6503" t="s">
        <v>22058</v>
      </c>
      <c r="B6503">
        <v>6.08</v>
      </c>
      <c r="C6503" t="s">
        <v>22059</v>
      </c>
      <c r="D6503" t="s">
        <v>4141</v>
      </c>
      <c r="E6503" t="s">
        <v>22052</v>
      </c>
      <c r="F6503" t="s">
        <v>7672</v>
      </c>
      <c r="G6503" t="s">
        <v>22053</v>
      </c>
      <c r="H6503" t="s">
        <v>11496</v>
      </c>
      <c r="I6503" t="s">
        <v>935</v>
      </c>
      <c r="J6503" t="s">
        <v>11783</v>
      </c>
    </row>
    <row r="6504" spans="1:10" x14ac:dyDescent="0.25">
      <c r="A6504" t="s">
        <v>22060</v>
      </c>
      <c r="B6504">
        <v>8.36</v>
      </c>
      <c r="C6504" t="s">
        <v>22061</v>
      </c>
      <c r="D6504" t="s">
        <v>17335</v>
      </c>
      <c r="E6504" t="s">
        <v>22062</v>
      </c>
      <c r="F6504" t="s">
        <v>7672</v>
      </c>
      <c r="G6504" t="s">
        <v>22063</v>
      </c>
      <c r="H6504" t="s">
        <v>22064</v>
      </c>
      <c r="I6504" t="s">
        <v>497</v>
      </c>
      <c r="J6504" t="s">
        <v>88</v>
      </c>
    </row>
    <row r="6505" spans="1:10" x14ac:dyDescent="0.25">
      <c r="A6505" t="s">
        <v>22065</v>
      </c>
      <c r="B6505">
        <v>8.36</v>
      </c>
      <c r="C6505" t="s">
        <v>22066</v>
      </c>
      <c r="D6505" t="s">
        <v>9275</v>
      </c>
      <c r="E6505" t="s">
        <v>22062</v>
      </c>
      <c r="F6505" t="s">
        <v>7672</v>
      </c>
      <c r="G6505" t="s">
        <v>22063</v>
      </c>
      <c r="H6505" t="s">
        <v>22064</v>
      </c>
      <c r="I6505" t="s">
        <v>497</v>
      </c>
      <c r="J6505" t="s">
        <v>269</v>
      </c>
    </row>
    <row r="6506" spans="1:10" x14ac:dyDescent="0.25">
      <c r="A6506" t="s">
        <v>22067</v>
      </c>
      <c r="B6506">
        <v>8.36</v>
      </c>
      <c r="C6506" t="s">
        <v>22068</v>
      </c>
      <c r="D6506" t="s">
        <v>8435</v>
      </c>
      <c r="E6506" t="s">
        <v>22062</v>
      </c>
      <c r="F6506" t="s">
        <v>7672</v>
      </c>
      <c r="G6506" t="s">
        <v>22063</v>
      </c>
      <c r="H6506" t="s">
        <v>22064</v>
      </c>
      <c r="I6506" t="s">
        <v>497</v>
      </c>
      <c r="J6506" t="s">
        <v>255</v>
      </c>
    </row>
    <row r="6507" spans="1:10" x14ac:dyDescent="0.25">
      <c r="A6507" t="s">
        <v>6118</v>
      </c>
      <c r="B6507">
        <v>18.2</v>
      </c>
      <c r="C6507" t="s">
        <v>6120</v>
      </c>
      <c r="D6507" t="s">
        <v>849</v>
      </c>
      <c r="E6507" t="s">
        <v>6121</v>
      </c>
      <c r="F6507" t="s">
        <v>7672</v>
      </c>
      <c r="G6507" t="s">
        <v>22069</v>
      </c>
      <c r="H6507" t="s">
        <v>7954</v>
      </c>
      <c r="I6507" t="s">
        <v>7955</v>
      </c>
      <c r="J6507" t="s">
        <v>8427</v>
      </c>
    </row>
    <row r="6508" spans="1:10" x14ac:dyDescent="0.25">
      <c r="A6508" t="s">
        <v>6125</v>
      </c>
      <c r="B6508">
        <v>18.2</v>
      </c>
      <c r="C6508" t="s">
        <v>6127</v>
      </c>
      <c r="D6508" t="s">
        <v>1134</v>
      </c>
      <c r="E6508" t="s">
        <v>6121</v>
      </c>
      <c r="F6508" t="s">
        <v>7672</v>
      </c>
      <c r="G6508" t="s">
        <v>22069</v>
      </c>
      <c r="H6508" t="s">
        <v>7954</v>
      </c>
      <c r="I6508" t="s">
        <v>7955</v>
      </c>
      <c r="J6508" t="s">
        <v>8439</v>
      </c>
    </row>
    <row r="6509" spans="1:10" x14ac:dyDescent="0.25">
      <c r="A6509" t="s">
        <v>6129</v>
      </c>
      <c r="B6509">
        <v>18.2</v>
      </c>
      <c r="C6509" t="s">
        <v>6131</v>
      </c>
      <c r="D6509" t="s">
        <v>113</v>
      </c>
      <c r="E6509" t="s">
        <v>6121</v>
      </c>
      <c r="F6509" t="s">
        <v>7672</v>
      </c>
      <c r="G6509" t="s">
        <v>22069</v>
      </c>
      <c r="H6509" t="s">
        <v>7954</v>
      </c>
      <c r="I6509" t="s">
        <v>7955</v>
      </c>
      <c r="J6509" t="s">
        <v>8451</v>
      </c>
    </row>
    <row r="6510" spans="1:10" x14ac:dyDescent="0.25">
      <c r="A6510" t="s">
        <v>6132</v>
      </c>
      <c r="B6510">
        <v>18.2</v>
      </c>
      <c r="C6510" t="s">
        <v>6134</v>
      </c>
      <c r="D6510" t="s">
        <v>613</v>
      </c>
      <c r="E6510" t="s">
        <v>6121</v>
      </c>
      <c r="F6510" t="s">
        <v>7672</v>
      </c>
      <c r="G6510" t="s">
        <v>22069</v>
      </c>
      <c r="H6510" t="s">
        <v>7954</v>
      </c>
      <c r="I6510" t="s">
        <v>7955</v>
      </c>
      <c r="J6510" t="s">
        <v>8462</v>
      </c>
    </row>
    <row r="6511" spans="1:10" x14ac:dyDescent="0.25">
      <c r="A6511" t="s">
        <v>22070</v>
      </c>
      <c r="B6511">
        <v>17.992000000000001</v>
      </c>
      <c r="C6511" t="s">
        <v>22071</v>
      </c>
      <c r="D6511" t="s">
        <v>849</v>
      </c>
      <c r="E6511" t="s">
        <v>22072</v>
      </c>
      <c r="F6511" t="s">
        <v>7672</v>
      </c>
      <c r="G6511" t="s">
        <v>22073</v>
      </c>
      <c r="H6511" t="s">
        <v>12137</v>
      </c>
      <c r="I6511" t="s">
        <v>76</v>
      </c>
      <c r="J6511" t="s">
        <v>88</v>
      </c>
    </row>
    <row r="6512" spans="1:10" x14ac:dyDescent="0.25">
      <c r="A6512" t="s">
        <v>22074</v>
      </c>
      <c r="B6512">
        <v>17.992000000000001</v>
      </c>
      <c r="C6512" t="s">
        <v>22075</v>
      </c>
      <c r="D6512" t="s">
        <v>113</v>
      </c>
      <c r="E6512" t="s">
        <v>22072</v>
      </c>
      <c r="F6512" t="s">
        <v>7672</v>
      </c>
      <c r="G6512" t="s">
        <v>22073</v>
      </c>
      <c r="H6512" t="s">
        <v>12137</v>
      </c>
      <c r="I6512" t="s">
        <v>76</v>
      </c>
      <c r="J6512" t="s">
        <v>131</v>
      </c>
    </row>
    <row r="6513" spans="1:10" x14ac:dyDescent="0.25">
      <c r="A6513" t="s">
        <v>22076</v>
      </c>
      <c r="B6513">
        <v>4.1920000000000002</v>
      </c>
      <c r="C6513" t="s">
        <v>22077</v>
      </c>
      <c r="D6513" t="s">
        <v>88</v>
      </c>
      <c r="E6513" t="s">
        <v>22078</v>
      </c>
      <c r="F6513" t="s">
        <v>7672</v>
      </c>
      <c r="G6513" t="s">
        <v>22079</v>
      </c>
      <c r="H6513" t="s">
        <v>8515</v>
      </c>
      <c r="I6513" t="s">
        <v>22080</v>
      </c>
      <c r="J6513" t="s">
        <v>9423</v>
      </c>
    </row>
    <row r="6514" spans="1:10" x14ac:dyDescent="0.25">
      <c r="A6514" t="s">
        <v>22081</v>
      </c>
      <c r="B6514">
        <v>4.1920000000000002</v>
      </c>
      <c r="C6514" t="s">
        <v>22082</v>
      </c>
      <c r="D6514" t="s">
        <v>582</v>
      </c>
      <c r="E6514" t="s">
        <v>22078</v>
      </c>
      <c r="F6514" t="s">
        <v>7672</v>
      </c>
      <c r="G6514" t="s">
        <v>22079</v>
      </c>
      <c r="H6514" t="s">
        <v>8515</v>
      </c>
      <c r="I6514" t="s">
        <v>22080</v>
      </c>
      <c r="J6514" t="s">
        <v>9426</v>
      </c>
    </row>
    <row r="6515" spans="1:10" x14ac:dyDescent="0.25">
      <c r="A6515" t="s">
        <v>22083</v>
      </c>
      <c r="B6515">
        <v>4.1920000000000002</v>
      </c>
      <c r="C6515" t="s">
        <v>22084</v>
      </c>
      <c r="D6515" t="s">
        <v>282</v>
      </c>
      <c r="E6515" t="s">
        <v>22078</v>
      </c>
      <c r="F6515" t="s">
        <v>7672</v>
      </c>
      <c r="G6515" t="s">
        <v>22079</v>
      </c>
      <c r="H6515" t="s">
        <v>8515</v>
      </c>
      <c r="I6515" t="s">
        <v>22080</v>
      </c>
      <c r="J6515" t="s">
        <v>13084</v>
      </c>
    </row>
    <row r="6516" spans="1:10" x14ac:dyDescent="0.25">
      <c r="A6516" t="s">
        <v>22085</v>
      </c>
      <c r="B6516">
        <v>4.1920000000000002</v>
      </c>
      <c r="C6516" t="s">
        <v>22086</v>
      </c>
      <c r="D6516" t="s">
        <v>2697</v>
      </c>
      <c r="E6516" t="s">
        <v>22078</v>
      </c>
      <c r="F6516" t="s">
        <v>7672</v>
      </c>
      <c r="G6516" t="s">
        <v>22079</v>
      </c>
      <c r="H6516" t="s">
        <v>8515</v>
      </c>
      <c r="I6516" t="s">
        <v>22080</v>
      </c>
      <c r="J6516" t="s">
        <v>11767</v>
      </c>
    </row>
    <row r="6517" spans="1:10" x14ac:dyDescent="0.25">
      <c r="A6517" t="s">
        <v>22087</v>
      </c>
      <c r="B6517">
        <v>4.1920000000000002</v>
      </c>
      <c r="C6517" t="s">
        <v>22088</v>
      </c>
      <c r="D6517" t="s">
        <v>245</v>
      </c>
      <c r="E6517" t="s">
        <v>22078</v>
      </c>
      <c r="F6517" t="s">
        <v>7672</v>
      </c>
      <c r="G6517" t="s">
        <v>22079</v>
      </c>
      <c r="H6517" t="s">
        <v>8515</v>
      </c>
      <c r="I6517" t="s">
        <v>22080</v>
      </c>
      <c r="J6517" t="s">
        <v>11582</v>
      </c>
    </row>
    <row r="6518" spans="1:10" x14ac:dyDescent="0.25">
      <c r="A6518" t="s">
        <v>22089</v>
      </c>
      <c r="B6518">
        <v>4.1920000000000002</v>
      </c>
      <c r="C6518" t="s">
        <v>22090</v>
      </c>
      <c r="D6518" t="s">
        <v>385</v>
      </c>
      <c r="E6518" t="s">
        <v>22078</v>
      </c>
      <c r="F6518" t="s">
        <v>7672</v>
      </c>
      <c r="G6518" t="s">
        <v>22079</v>
      </c>
      <c r="H6518" t="s">
        <v>8515</v>
      </c>
      <c r="I6518" t="s">
        <v>22080</v>
      </c>
      <c r="J6518" t="s">
        <v>11585</v>
      </c>
    </row>
    <row r="6519" spans="1:10" x14ac:dyDescent="0.25">
      <c r="A6519" t="s">
        <v>22091</v>
      </c>
      <c r="B6519">
        <v>9.5920000000000005</v>
      </c>
      <c r="C6519" t="s">
        <v>22092</v>
      </c>
      <c r="D6519" t="s">
        <v>588</v>
      </c>
      <c r="E6519" t="s">
        <v>22093</v>
      </c>
      <c r="F6519" t="s">
        <v>7672</v>
      </c>
      <c r="G6519" t="s">
        <v>22094</v>
      </c>
      <c r="H6519" t="s">
        <v>7674</v>
      </c>
      <c r="I6519" t="s">
        <v>22095</v>
      </c>
      <c r="J6519" t="s">
        <v>22096</v>
      </c>
    </row>
    <row r="6520" spans="1:10" x14ac:dyDescent="0.25">
      <c r="A6520" t="s">
        <v>22097</v>
      </c>
      <c r="B6520">
        <v>9.5920000000000005</v>
      </c>
      <c r="C6520" t="s">
        <v>22098</v>
      </c>
      <c r="D6520" t="s">
        <v>269</v>
      </c>
      <c r="E6520" t="s">
        <v>22093</v>
      </c>
      <c r="F6520" t="s">
        <v>7672</v>
      </c>
      <c r="G6520" t="s">
        <v>22094</v>
      </c>
      <c r="H6520" t="s">
        <v>7674</v>
      </c>
      <c r="I6520" t="s">
        <v>22095</v>
      </c>
      <c r="J6520" t="s">
        <v>22099</v>
      </c>
    </row>
    <row r="6521" spans="1:10" x14ac:dyDescent="0.25">
      <c r="A6521" t="s">
        <v>22100</v>
      </c>
      <c r="B6521">
        <v>18.2</v>
      </c>
      <c r="C6521" t="s">
        <v>22101</v>
      </c>
      <c r="D6521" t="s">
        <v>106</v>
      </c>
      <c r="E6521" t="s">
        <v>22102</v>
      </c>
      <c r="F6521" t="s">
        <v>7672</v>
      </c>
      <c r="G6521" t="s">
        <v>22103</v>
      </c>
      <c r="H6521" t="s">
        <v>7947</v>
      </c>
      <c r="I6521" t="s">
        <v>76</v>
      </c>
      <c r="J6521" t="s">
        <v>7942</v>
      </c>
    </row>
    <row r="6522" spans="1:10" x14ac:dyDescent="0.25">
      <c r="A6522" t="s">
        <v>6135</v>
      </c>
      <c r="B6522">
        <v>15.6</v>
      </c>
      <c r="C6522" t="s">
        <v>6137</v>
      </c>
      <c r="D6522" t="s">
        <v>4141</v>
      </c>
      <c r="E6522" t="s">
        <v>6138</v>
      </c>
      <c r="F6522" t="s">
        <v>7672</v>
      </c>
      <c r="G6522" t="s">
        <v>22104</v>
      </c>
      <c r="H6522" t="s">
        <v>8078</v>
      </c>
      <c r="I6522" t="s">
        <v>76</v>
      </c>
      <c r="J6522" t="s">
        <v>7675</v>
      </c>
    </row>
    <row r="6523" spans="1:10" x14ac:dyDescent="0.25">
      <c r="A6523" t="s">
        <v>6141</v>
      </c>
      <c r="B6523">
        <v>15.6</v>
      </c>
      <c r="C6523" t="s">
        <v>6143</v>
      </c>
      <c r="D6523" t="s">
        <v>342</v>
      </c>
      <c r="E6523" t="s">
        <v>6138</v>
      </c>
      <c r="F6523" t="s">
        <v>7672</v>
      </c>
      <c r="G6523" t="s">
        <v>22104</v>
      </c>
      <c r="H6523" t="s">
        <v>8078</v>
      </c>
      <c r="I6523" t="s">
        <v>76</v>
      </c>
      <c r="J6523" t="s">
        <v>7686</v>
      </c>
    </row>
    <row r="6524" spans="1:10" x14ac:dyDescent="0.25">
      <c r="A6524" t="s">
        <v>22105</v>
      </c>
      <c r="B6524">
        <v>6</v>
      </c>
      <c r="C6524" t="s">
        <v>22106</v>
      </c>
      <c r="D6524" t="s">
        <v>53</v>
      </c>
      <c r="E6524" t="s">
        <v>22107</v>
      </c>
      <c r="F6524" t="s">
        <v>7672</v>
      </c>
      <c r="G6524" t="s">
        <v>22108</v>
      </c>
      <c r="H6524" t="s">
        <v>7674</v>
      </c>
      <c r="I6524" t="s">
        <v>7690</v>
      </c>
      <c r="J6524" t="s">
        <v>7686</v>
      </c>
    </row>
    <row r="6525" spans="1:10" x14ac:dyDescent="0.25">
      <c r="A6525" t="s">
        <v>22109</v>
      </c>
      <c r="B6525">
        <v>16</v>
      </c>
      <c r="C6525" t="s">
        <v>22110</v>
      </c>
      <c r="D6525" t="s">
        <v>6155</v>
      </c>
      <c r="E6525" t="s">
        <v>22111</v>
      </c>
      <c r="F6525" t="s">
        <v>7672</v>
      </c>
      <c r="G6525" t="s">
        <v>22112</v>
      </c>
      <c r="H6525" t="s">
        <v>22113</v>
      </c>
      <c r="I6525" t="s">
        <v>22114</v>
      </c>
      <c r="J6525" t="s">
        <v>7942</v>
      </c>
    </row>
    <row r="6526" spans="1:10" x14ac:dyDescent="0.25">
      <c r="A6526" t="s">
        <v>22115</v>
      </c>
      <c r="B6526">
        <v>16</v>
      </c>
      <c r="C6526" t="s">
        <v>22116</v>
      </c>
      <c r="D6526" t="s">
        <v>229</v>
      </c>
      <c r="E6526" t="s">
        <v>22111</v>
      </c>
      <c r="F6526" t="s">
        <v>7672</v>
      </c>
      <c r="G6526" t="s">
        <v>22112</v>
      </c>
      <c r="H6526" t="s">
        <v>22113</v>
      </c>
      <c r="I6526" t="s">
        <v>22117</v>
      </c>
      <c r="J6526" t="s">
        <v>7942</v>
      </c>
    </row>
    <row r="6527" spans="1:10" x14ac:dyDescent="0.25">
      <c r="A6527" t="s">
        <v>22118</v>
      </c>
      <c r="B6527">
        <v>16</v>
      </c>
      <c r="C6527" t="s">
        <v>22119</v>
      </c>
      <c r="D6527" t="s">
        <v>2253</v>
      </c>
      <c r="E6527" t="s">
        <v>22111</v>
      </c>
      <c r="F6527" t="s">
        <v>7672</v>
      </c>
      <c r="G6527" t="s">
        <v>22112</v>
      </c>
      <c r="H6527" t="s">
        <v>22113</v>
      </c>
      <c r="I6527" t="s">
        <v>22120</v>
      </c>
      <c r="J6527" t="s">
        <v>7942</v>
      </c>
    </row>
    <row r="6528" spans="1:10" x14ac:dyDescent="0.25">
      <c r="A6528" t="s">
        <v>22121</v>
      </c>
      <c r="B6528">
        <v>16</v>
      </c>
      <c r="C6528" t="s">
        <v>22122</v>
      </c>
      <c r="D6528" t="s">
        <v>1827</v>
      </c>
      <c r="E6528" t="s">
        <v>22111</v>
      </c>
      <c r="F6528" t="s">
        <v>7672</v>
      </c>
      <c r="G6528" t="s">
        <v>22112</v>
      </c>
      <c r="H6528" t="s">
        <v>22113</v>
      </c>
      <c r="I6528" t="s">
        <v>22117</v>
      </c>
      <c r="J6528" t="s">
        <v>7981</v>
      </c>
    </row>
    <row r="6529" spans="1:10" x14ac:dyDescent="0.25">
      <c r="A6529" t="s">
        <v>22123</v>
      </c>
      <c r="B6529">
        <v>16</v>
      </c>
      <c r="C6529" t="s">
        <v>22124</v>
      </c>
      <c r="D6529" t="s">
        <v>3399</v>
      </c>
      <c r="E6529" t="s">
        <v>22111</v>
      </c>
      <c r="F6529" t="s">
        <v>7672</v>
      </c>
      <c r="G6529" t="s">
        <v>22112</v>
      </c>
      <c r="H6529" t="s">
        <v>22113</v>
      </c>
      <c r="I6529" t="s">
        <v>22114</v>
      </c>
      <c r="J6529" t="s">
        <v>7981</v>
      </c>
    </row>
    <row r="6530" spans="1:10" x14ac:dyDescent="0.25">
      <c r="A6530" t="s">
        <v>22125</v>
      </c>
      <c r="B6530">
        <v>16</v>
      </c>
      <c r="C6530" t="s">
        <v>22126</v>
      </c>
      <c r="D6530" t="s">
        <v>1949</v>
      </c>
      <c r="E6530" t="s">
        <v>22111</v>
      </c>
      <c r="F6530" t="s">
        <v>7672</v>
      </c>
      <c r="G6530" t="s">
        <v>22112</v>
      </c>
      <c r="H6530" t="s">
        <v>22113</v>
      </c>
      <c r="I6530" t="s">
        <v>22120</v>
      </c>
      <c r="J6530" t="s">
        <v>7981</v>
      </c>
    </row>
    <row r="6531" spans="1:10" x14ac:dyDescent="0.25">
      <c r="A6531" t="s">
        <v>22127</v>
      </c>
      <c r="B6531">
        <v>16</v>
      </c>
      <c r="C6531" t="s">
        <v>22128</v>
      </c>
      <c r="D6531" t="s">
        <v>1884</v>
      </c>
      <c r="E6531" t="s">
        <v>22111</v>
      </c>
      <c r="F6531" t="s">
        <v>7672</v>
      </c>
      <c r="G6531" t="s">
        <v>22112</v>
      </c>
      <c r="H6531" t="s">
        <v>22113</v>
      </c>
      <c r="I6531" t="s">
        <v>22117</v>
      </c>
      <c r="J6531" t="s">
        <v>7984</v>
      </c>
    </row>
    <row r="6532" spans="1:10" x14ac:dyDescent="0.25">
      <c r="A6532" t="s">
        <v>22129</v>
      </c>
      <c r="B6532">
        <v>16</v>
      </c>
      <c r="C6532" t="s">
        <v>22130</v>
      </c>
      <c r="D6532" t="s">
        <v>2762</v>
      </c>
      <c r="E6532" t="s">
        <v>22111</v>
      </c>
      <c r="F6532" t="s">
        <v>7672</v>
      </c>
      <c r="G6532" t="s">
        <v>22112</v>
      </c>
      <c r="H6532" t="s">
        <v>22113</v>
      </c>
      <c r="I6532" t="s">
        <v>22120</v>
      </c>
      <c r="J6532" t="s">
        <v>7984</v>
      </c>
    </row>
    <row r="6533" spans="1:10" x14ac:dyDescent="0.25">
      <c r="A6533" t="s">
        <v>22131</v>
      </c>
      <c r="B6533">
        <v>16</v>
      </c>
      <c r="C6533" t="s">
        <v>22132</v>
      </c>
      <c r="D6533" t="s">
        <v>22133</v>
      </c>
      <c r="E6533" t="s">
        <v>22111</v>
      </c>
      <c r="F6533" t="s">
        <v>7672</v>
      </c>
      <c r="G6533" t="s">
        <v>22112</v>
      </c>
      <c r="H6533" t="s">
        <v>22113</v>
      </c>
      <c r="I6533" t="s">
        <v>22114</v>
      </c>
      <c r="J6533" t="s">
        <v>7984</v>
      </c>
    </row>
    <row r="6534" spans="1:10" x14ac:dyDescent="0.25">
      <c r="A6534" t="s">
        <v>22134</v>
      </c>
      <c r="B6534">
        <v>16</v>
      </c>
      <c r="C6534" t="s">
        <v>22135</v>
      </c>
      <c r="D6534" t="s">
        <v>7315</v>
      </c>
      <c r="E6534" t="s">
        <v>22111</v>
      </c>
      <c r="F6534" t="s">
        <v>7672</v>
      </c>
      <c r="G6534" t="s">
        <v>22112</v>
      </c>
      <c r="H6534" t="s">
        <v>22113</v>
      </c>
      <c r="I6534" t="s">
        <v>22117</v>
      </c>
      <c r="J6534" t="s">
        <v>7987</v>
      </c>
    </row>
    <row r="6535" spans="1:10" x14ac:dyDescent="0.25">
      <c r="A6535" t="s">
        <v>22136</v>
      </c>
      <c r="B6535">
        <v>16</v>
      </c>
      <c r="C6535" t="s">
        <v>22137</v>
      </c>
      <c r="D6535" t="s">
        <v>9509</v>
      </c>
      <c r="E6535" t="s">
        <v>22111</v>
      </c>
      <c r="F6535" t="s">
        <v>7672</v>
      </c>
      <c r="G6535" t="s">
        <v>22112</v>
      </c>
      <c r="H6535" t="s">
        <v>22113</v>
      </c>
      <c r="I6535" t="s">
        <v>22120</v>
      </c>
      <c r="J6535" t="s">
        <v>7987</v>
      </c>
    </row>
    <row r="6536" spans="1:10" x14ac:dyDescent="0.25">
      <c r="A6536" t="s">
        <v>22138</v>
      </c>
      <c r="B6536">
        <v>16</v>
      </c>
      <c r="C6536" t="s">
        <v>22139</v>
      </c>
      <c r="D6536" t="s">
        <v>22140</v>
      </c>
      <c r="E6536" t="s">
        <v>22111</v>
      </c>
      <c r="F6536" t="s">
        <v>7672</v>
      </c>
      <c r="G6536" t="s">
        <v>22112</v>
      </c>
      <c r="H6536" t="s">
        <v>22113</v>
      </c>
      <c r="I6536" t="s">
        <v>22114</v>
      </c>
      <c r="J6536" t="s">
        <v>7987</v>
      </c>
    </row>
    <row r="6537" spans="1:10" x14ac:dyDescent="0.25">
      <c r="A6537" t="s">
        <v>22141</v>
      </c>
      <c r="B6537">
        <v>16</v>
      </c>
      <c r="C6537" t="s">
        <v>22142</v>
      </c>
      <c r="D6537" t="s">
        <v>2736</v>
      </c>
      <c r="E6537" t="s">
        <v>22111</v>
      </c>
      <c r="F6537" t="s">
        <v>7672</v>
      </c>
      <c r="G6537" t="s">
        <v>22112</v>
      </c>
      <c r="H6537" t="s">
        <v>22113</v>
      </c>
      <c r="I6537" t="s">
        <v>22120</v>
      </c>
      <c r="J6537" t="s">
        <v>8001</v>
      </c>
    </row>
    <row r="6538" spans="1:10" x14ac:dyDescent="0.25">
      <c r="A6538" t="s">
        <v>22143</v>
      </c>
      <c r="B6538">
        <v>16</v>
      </c>
      <c r="C6538" t="s">
        <v>22144</v>
      </c>
      <c r="D6538" t="s">
        <v>22145</v>
      </c>
      <c r="E6538" t="s">
        <v>22111</v>
      </c>
      <c r="F6538" t="s">
        <v>7672</v>
      </c>
      <c r="G6538" t="s">
        <v>22112</v>
      </c>
      <c r="H6538" t="s">
        <v>22113</v>
      </c>
      <c r="I6538" t="s">
        <v>22117</v>
      </c>
      <c r="J6538" t="s">
        <v>8001</v>
      </c>
    </row>
    <row r="6539" spans="1:10" x14ac:dyDescent="0.25">
      <c r="A6539" t="s">
        <v>22146</v>
      </c>
      <c r="B6539">
        <v>16</v>
      </c>
      <c r="C6539" t="s">
        <v>22147</v>
      </c>
      <c r="D6539" t="s">
        <v>22148</v>
      </c>
      <c r="E6539" t="s">
        <v>22111</v>
      </c>
      <c r="F6539" t="s">
        <v>7672</v>
      </c>
      <c r="G6539" t="s">
        <v>22112</v>
      </c>
      <c r="H6539" t="s">
        <v>22113</v>
      </c>
      <c r="I6539" t="s">
        <v>22114</v>
      </c>
      <c r="J6539" t="s">
        <v>8001</v>
      </c>
    </row>
    <row r="6540" spans="1:10" x14ac:dyDescent="0.25">
      <c r="A6540" t="s">
        <v>22149</v>
      </c>
      <c r="B6540">
        <v>15.992000000000001</v>
      </c>
      <c r="C6540" t="s">
        <v>22150</v>
      </c>
      <c r="D6540" t="s">
        <v>2022</v>
      </c>
      <c r="E6540" t="s">
        <v>22151</v>
      </c>
      <c r="F6540" t="s">
        <v>7672</v>
      </c>
      <c r="G6540" t="s">
        <v>22152</v>
      </c>
      <c r="H6540" t="s">
        <v>22153</v>
      </c>
      <c r="I6540" t="s">
        <v>497</v>
      </c>
      <c r="J6540" t="s">
        <v>9694</v>
      </c>
    </row>
    <row r="6541" spans="1:10" x14ac:dyDescent="0.25">
      <c r="A6541" t="s">
        <v>22154</v>
      </c>
      <c r="B6541">
        <v>4.4000000000000004</v>
      </c>
      <c r="C6541" t="s">
        <v>22155</v>
      </c>
      <c r="D6541" t="s">
        <v>576</v>
      </c>
      <c r="E6541" t="s">
        <v>22156</v>
      </c>
      <c r="F6541" t="s">
        <v>7672</v>
      </c>
      <c r="G6541" t="s">
        <v>22157</v>
      </c>
      <c r="H6541" t="s">
        <v>8515</v>
      </c>
      <c r="I6541" t="s">
        <v>1413</v>
      </c>
      <c r="J6541" t="s">
        <v>10369</v>
      </c>
    </row>
    <row r="6542" spans="1:10" x14ac:dyDescent="0.25">
      <c r="A6542" t="s">
        <v>22158</v>
      </c>
      <c r="B6542">
        <v>4.4000000000000004</v>
      </c>
      <c r="C6542" t="s">
        <v>22159</v>
      </c>
      <c r="D6542" t="s">
        <v>250</v>
      </c>
      <c r="E6542" t="s">
        <v>22156</v>
      </c>
      <c r="F6542" t="s">
        <v>7672</v>
      </c>
      <c r="G6542" t="s">
        <v>22157</v>
      </c>
      <c r="H6542" t="s">
        <v>8515</v>
      </c>
      <c r="I6542" t="s">
        <v>22160</v>
      </c>
      <c r="J6542" t="s">
        <v>10369</v>
      </c>
    </row>
    <row r="6543" spans="1:10" x14ac:dyDescent="0.25">
      <c r="A6543" t="s">
        <v>22161</v>
      </c>
      <c r="B6543">
        <v>9.1760000000000002</v>
      </c>
      <c r="C6543" t="s">
        <v>22162</v>
      </c>
      <c r="D6543" t="s">
        <v>269</v>
      </c>
      <c r="E6543" t="s">
        <v>22163</v>
      </c>
      <c r="F6543" t="s">
        <v>7672</v>
      </c>
      <c r="G6543" t="s">
        <v>22164</v>
      </c>
      <c r="H6543" t="s">
        <v>16745</v>
      </c>
      <c r="I6543" t="s">
        <v>22165</v>
      </c>
      <c r="J6543" t="s">
        <v>7942</v>
      </c>
    </row>
    <row r="6544" spans="1:10" x14ac:dyDescent="0.25">
      <c r="A6544" t="s">
        <v>22166</v>
      </c>
      <c r="B6544">
        <v>9.1760000000000002</v>
      </c>
      <c r="C6544" t="s">
        <v>22167</v>
      </c>
      <c r="D6544" t="s">
        <v>290</v>
      </c>
      <c r="E6544" t="s">
        <v>22163</v>
      </c>
      <c r="F6544" t="s">
        <v>7672</v>
      </c>
      <c r="G6544" t="s">
        <v>22164</v>
      </c>
      <c r="H6544" t="s">
        <v>16745</v>
      </c>
      <c r="I6544" t="s">
        <v>18589</v>
      </c>
      <c r="J6544" t="s">
        <v>7942</v>
      </c>
    </row>
    <row r="6545" spans="1:10" x14ac:dyDescent="0.25">
      <c r="A6545" t="s">
        <v>22168</v>
      </c>
      <c r="B6545">
        <v>5.4960000000000004</v>
      </c>
      <c r="C6545" t="s">
        <v>22169</v>
      </c>
      <c r="D6545" t="s">
        <v>3999</v>
      </c>
      <c r="E6545" t="s">
        <v>22170</v>
      </c>
      <c r="F6545" t="s">
        <v>7672</v>
      </c>
      <c r="G6545" t="s">
        <v>22171</v>
      </c>
      <c r="H6545" t="s">
        <v>8027</v>
      </c>
      <c r="I6545" t="s">
        <v>8214</v>
      </c>
      <c r="J6545" t="s">
        <v>8427</v>
      </c>
    </row>
    <row r="6546" spans="1:10" x14ac:dyDescent="0.25">
      <c r="A6546" t="s">
        <v>22172</v>
      </c>
      <c r="B6546">
        <v>5.4960000000000004</v>
      </c>
      <c r="C6546" t="s">
        <v>22173</v>
      </c>
      <c r="D6546" t="s">
        <v>8744</v>
      </c>
      <c r="E6546" t="s">
        <v>22170</v>
      </c>
      <c r="F6546" t="s">
        <v>7672</v>
      </c>
      <c r="G6546" t="s">
        <v>22171</v>
      </c>
      <c r="H6546" t="s">
        <v>8027</v>
      </c>
      <c r="I6546" t="s">
        <v>8158</v>
      </c>
      <c r="J6546" t="s">
        <v>8427</v>
      </c>
    </row>
    <row r="6547" spans="1:10" x14ac:dyDescent="0.25">
      <c r="A6547" t="s">
        <v>22174</v>
      </c>
      <c r="B6547">
        <v>5.4960000000000004</v>
      </c>
      <c r="C6547" t="s">
        <v>22175</v>
      </c>
      <c r="D6547" t="s">
        <v>4011</v>
      </c>
      <c r="E6547" t="s">
        <v>22170</v>
      </c>
      <c r="F6547" t="s">
        <v>7672</v>
      </c>
      <c r="G6547" t="s">
        <v>22171</v>
      </c>
      <c r="H6547" t="s">
        <v>8027</v>
      </c>
      <c r="I6547" t="s">
        <v>8214</v>
      </c>
      <c r="J6547" t="s">
        <v>8439</v>
      </c>
    </row>
    <row r="6548" spans="1:10" x14ac:dyDescent="0.25">
      <c r="A6548" t="s">
        <v>22176</v>
      </c>
      <c r="B6548">
        <v>5.4960000000000004</v>
      </c>
      <c r="C6548" t="s">
        <v>22177</v>
      </c>
      <c r="D6548" t="s">
        <v>11566</v>
      </c>
      <c r="E6548" t="s">
        <v>22170</v>
      </c>
      <c r="F6548" t="s">
        <v>7672</v>
      </c>
      <c r="G6548" t="s">
        <v>22171</v>
      </c>
      <c r="H6548" t="s">
        <v>8027</v>
      </c>
      <c r="I6548" t="s">
        <v>8158</v>
      </c>
      <c r="J6548" t="s">
        <v>8439</v>
      </c>
    </row>
    <row r="6549" spans="1:10" x14ac:dyDescent="0.25">
      <c r="A6549" t="s">
        <v>22178</v>
      </c>
      <c r="B6549">
        <v>5.4960000000000004</v>
      </c>
      <c r="C6549" t="s">
        <v>22179</v>
      </c>
      <c r="D6549" t="s">
        <v>2347</v>
      </c>
      <c r="E6549" t="s">
        <v>22170</v>
      </c>
      <c r="F6549" t="s">
        <v>7672</v>
      </c>
      <c r="G6549" t="s">
        <v>22171</v>
      </c>
      <c r="H6549" t="s">
        <v>8027</v>
      </c>
      <c r="I6549" t="s">
        <v>8214</v>
      </c>
      <c r="J6549" t="s">
        <v>8451</v>
      </c>
    </row>
    <row r="6550" spans="1:10" x14ac:dyDescent="0.25">
      <c r="A6550" t="s">
        <v>22180</v>
      </c>
      <c r="B6550">
        <v>5.4960000000000004</v>
      </c>
      <c r="C6550" t="s">
        <v>22181</v>
      </c>
      <c r="D6550" t="s">
        <v>13198</v>
      </c>
      <c r="E6550" t="s">
        <v>22170</v>
      </c>
      <c r="F6550" t="s">
        <v>7672</v>
      </c>
      <c r="G6550" t="s">
        <v>22171</v>
      </c>
      <c r="H6550" t="s">
        <v>8027</v>
      </c>
      <c r="I6550" t="s">
        <v>8158</v>
      </c>
      <c r="J6550" t="s">
        <v>8451</v>
      </c>
    </row>
    <row r="6551" spans="1:10" x14ac:dyDescent="0.25">
      <c r="A6551" t="s">
        <v>22182</v>
      </c>
      <c r="B6551">
        <v>5.4960000000000004</v>
      </c>
      <c r="C6551" t="s">
        <v>22183</v>
      </c>
      <c r="D6551" t="s">
        <v>1097</v>
      </c>
      <c r="E6551" t="s">
        <v>22170</v>
      </c>
      <c r="F6551" t="s">
        <v>7672</v>
      </c>
      <c r="G6551" t="s">
        <v>22171</v>
      </c>
      <c r="H6551" t="s">
        <v>8027</v>
      </c>
      <c r="I6551" t="s">
        <v>8214</v>
      </c>
      <c r="J6551" t="s">
        <v>8462</v>
      </c>
    </row>
    <row r="6552" spans="1:10" x14ac:dyDescent="0.25">
      <c r="A6552" t="s">
        <v>22184</v>
      </c>
      <c r="B6552">
        <v>5.4960000000000004</v>
      </c>
      <c r="C6552" t="s">
        <v>22185</v>
      </c>
      <c r="D6552" t="s">
        <v>626</v>
      </c>
      <c r="E6552" t="s">
        <v>22170</v>
      </c>
      <c r="F6552" t="s">
        <v>7672</v>
      </c>
      <c r="G6552" t="s">
        <v>22171</v>
      </c>
      <c r="H6552" t="s">
        <v>8027</v>
      </c>
      <c r="I6552" t="s">
        <v>8158</v>
      </c>
      <c r="J6552" t="s">
        <v>8462</v>
      </c>
    </row>
    <row r="6553" spans="1:10" x14ac:dyDescent="0.25">
      <c r="A6553" t="s">
        <v>22186</v>
      </c>
      <c r="B6553">
        <v>36</v>
      </c>
      <c r="C6553" t="s">
        <v>22187</v>
      </c>
      <c r="D6553" t="s">
        <v>516</v>
      </c>
      <c r="E6553" t="s">
        <v>22188</v>
      </c>
      <c r="F6553" t="s">
        <v>7672</v>
      </c>
      <c r="G6553" t="s">
        <v>22189</v>
      </c>
      <c r="H6553" t="s">
        <v>22190</v>
      </c>
      <c r="I6553" t="s">
        <v>22191</v>
      </c>
      <c r="J6553" t="s">
        <v>9694</v>
      </c>
    </row>
    <row r="6554" spans="1:10" x14ac:dyDescent="0.25">
      <c r="A6554" t="s">
        <v>22192</v>
      </c>
      <c r="B6554">
        <v>7.9200000000000008</v>
      </c>
      <c r="C6554" t="s">
        <v>22193</v>
      </c>
      <c r="D6554" t="s">
        <v>164</v>
      </c>
      <c r="E6554" t="s">
        <v>22194</v>
      </c>
      <c r="F6554" t="s">
        <v>7672</v>
      </c>
      <c r="G6554" t="s">
        <v>22195</v>
      </c>
      <c r="H6554" t="s">
        <v>16164</v>
      </c>
      <c r="I6554" t="s">
        <v>3799</v>
      </c>
      <c r="J6554" t="s">
        <v>7675</v>
      </c>
    </row>
    <row r="6555" spans="1:10" x14ac:dyDescent="0.25">
      <c r="A6555" t="s">
        <v>22196</v>
      </c>
      <c r="B6555">
        <v>7.9200000000000008</v>
      </c>
      <c r="C6555" t="s">
        <v>22197</v>
      </c>
      <c r="D6555" t="s">
        <v>255</v>
      </c>
      <c r="E6555" t="s">
        <v>22194</v>
      </c>
      <c r="F6555" t="s">
        <v>7672</v>
      </c>
      <c r="G6555" t="s">
        <v>22195</v>
      </c>
      <c r="H6555" t="s">
        <v>16164</v>
      </c>
      <c r="I6555" t="s">
        <v>1490</v>
      </c>
      <c r="J6555" t="s">
        <v>7675</v>
      </c>
    </row>
    <row r="6556" spans="1:10" x14ac:dyDescent="0.25">
      <c r="A6556" t="s">
        <v>22198</v>
      </c>
      <c r="B6556">
        <v>7.9200000000000008</v>
      </c>
      <c r="C6556" t="s">
        <v>22199</v>
      </c>
      <c r="D6556" t="s">
        <v>576</v>
      </c>
      <c r="E6556" t="s">
        <v>22194</v>
      </c>
      <c r="F6556" t="s">
        <v>7672</v>
      </c>
      <c r="G6556" t="s">
        <v>22195</v>
      </c>
      <c r="H6556" t="s">
        <v>16164</v>
      </c>
      <c r="I6556" t="s">
        <v>15843</v>
      </c>
      <c r="J6556" t="s">
        <v>7675</v>
      </c>
    </row>
    <row r="6557" spans="1:10" x14ac:dyDescent="0.25">
      <c r="A6557" t="s">
        <v>22200</v>
      </c>
      <c r="B6557">
        <v>7.9200000000000008</v>
      </c>
      <c r="C6557" t="s">
        <v>22201</v>
      </c>
      <c r="D6557" t="s">
        <v>588</v>
      </c>
      <c r="E6557" t="s">
        <v>22194</v>
      </c>
      <c r="F6557" t="s">
        <v>7672</v>
      </c>
      <c r="G6557" t="s">
        <v>22195</v>
      </c>
      <c r="H6557" t="s">
        <v>16164</v>
      </c>
      <c r="I6557" t="s">
        <v>3799</v>
      </c>
      <c r="J6557" t="s">
        <v>7686</v>
      </c>
    </row>
    <row r="6558" spans="1:10" x14ac:dyDescent="0.25">
      <c r="A6558" t="s">
        <v>22202</v>
      </c>
      <c r="B6558">
        <v>7.9200000000000008</v>
      </c>
      <c r="C6558" t="s">
        <v>22203</v>
      </c>
      <c r="D6558" t="s">
        <v>698</v>
      </c>
      <c r="E6558" t="s">
        <v>22194</v>
      </c>
      <c r="F6558" t="s">
        <v>7672</v>
      </c>
      <c r="G6558" t="s">
        <v>22195</v>
      </c>
      <c r="H6558" t="s">
        <v>16164</v>
      </c>
      <c r="I6558" t="s">
        <v>1490</v>
      </c>
      <c r="J6558" t="s">
        <v>7686</v>
      </c>
    </row>
    <row r="6559" spans="1:10" x14ac:dyDescent="0.25">
      <c r="A6559" t="s">
        <v>22204</v>
      </c>
      <c r="B6559">
        <v>7.9200000000000008</v>
      </c>
      <c r="C6559" t="s">
        <v>22205</v>
      </c>
      <c r="D6559" t="s">
        <v>286</v>
      </c>
      <c r="E6559" t="s">
        <v>22194</v>
      </c>
      <c r="F6559" t="s">
        <v>7672</v>
      </c>
      <c r="G6559" t="s">
        <v>22195</v>
      </c>
      <c r="H6559" t="s">
        <v>16164</v>
      </c>
      <c r="I6559" t="s">
        <v>76</v>
      </c>
      <c r="J6559" t="s">
        <v>7686</v>
      </c>
    </row>
    <row r="6560" spans="1:10" x14ac:dyDescent="0.25">
      <c r="A6560" t="s">
        <v>22206</v>
      </c>
      <c r="B6560">
        <v>7.9200000000000008</v>
      </c>
      <c r="C6560" t="s">
        <v>22207</v>
      </c>
      <c r="D6560" t="s">
        <v>613</v>
      </c>
      <c r="E6560" t="s">
        <v>22194</v>
      </c>
      <c r="F6560" t="s">
        <v>7672</v>
      </c>
      <c r="G6560" t="s">
        <v>22195</v>
      </c>
      <c r="H6560" t="s">
        <v>16164</v>
      </c>
      <c r="I6560" t="s">
        <v>15843</v>
      </c>
      <c r="J6560" t="s">
        <v>7686</v>
      </c>
    </row>
    <row r="6561" spans="1:10" x14ac:dyDescent="0.25">
      <c r="A6561" t="s">
        <v>22208</v>
      </c>
      <c r="B6561">
        <v>7.9200000000000008</v>
      </c>
      <c r="C6561" t="s">
        <v>22209</v>
      </c>
      <c r="D6561" t="s">
        <v>100</v>
      </c>
      <c r="E6561" t="s">
        <v>22194</v>
      </c>
      <c r="F6561" t="s">
        <v>7672</v>
      </c>
      <c r="G6561" t="s">
        <v>22195</v>
      </c>
      <c r="H6561" t="s">
        <v>16164</v>
      </c>
      <c r="I6561" t="s">
        <v>1490</v>
      </c>
      <c r="J6561" t="s">
        <v>7703</v>
      </c>
    </row>
    <row r="6562" spans="1:10" x14ac:dyDescent="0.25">
      <c r="A6562" t="s">
        <v>22210</v>
      </c>
      <c r="B6562">
        <v>7.9200000000000008</v>
      </c>
      <c r="C6562" t="s">
        <v>22211</v>
      </c>
      <c r="D6562" t="s">
        <v>245</v>
      </c>
      <c r="E6562" t="s">
        <v>22194</v>
      </c>
      <c r="F6562" t="s">
        <v>7672</v>
      </c>
      <c r="G6562" t="s">
        <v>22195</v>
      </c>
      <c r="H6562" t="s">
        <v>16164</v>
      </c>
      <c r="I6562" t="s">
        <v>3799</v>
      </c>
      <c r="J6562" t="s">
        <v>7703</v>
      </c>
    </row>
    <row r="6563" spans="1:10" x14ac:dyDescent="0.25">
      <c r="A6563" t="s">
        <v>22212</v>
      </c>
      <c r="B6563">
        <v>7.9200000000000008</v>
      </c>
      <c r="C6563" t="s">
        <v>22213</v>
      </c>
      <c r="D6563" t="s">
        <v>359</v>
      </c>
      <c r="E6563" t="s">
        <v>22194</v>
      </c>
      <c r="F6563" t="s">
        <v>7672</v>
      </c>
      <c r="G6563" t="s">
        <v>22195</v>
      </c>
      <c r="H6563" t="s">
        <v>16164</v>
      </c>
      <c r="I6563" t="s">
        <v>15843</v>
      </c>
      <c r="J6563" t="s">
        <v>7703</v>
      </c>
    </row>
    <row r="6564" spans="1:10" x14ac:dyDescent="0.25">
      <c r="A6564" t="s">
        <v>22214</v>
      </c>
      <c r="B6564">
        <v>5.44</v>
      </c>
      <c r="C6564" t="s">
        <v>22215</v>
      </c>
      <c r="D6564" t="s">
        <v>53</v>
      </c>
      <c r="E6564" t="s">
        <v>22216</v>
      </c>
      <c r="F6564" t="s">
        <v>7672</v>
      </c>
      <c r="G6564" t="s">
        <v>22217</v>
      </c>
      <c r="H6564" t="s">
        <v>11496</v>
      </c>
      <c r="I6564" t="s">
        <v>235</v>
      </c>
      <c r="J6564" t="s">
        <v>10862</v>
      </c>
    </row>
    <row r="6565" spans="1:10" x14ac:dyDescent="0.25">
      <c r="A6565" t="s">
        <v>22218</v>
      </c>
      <c r="B6565">
        <v>5.44</v>
      </c>
      <c r="C6565" t="s">
        <v>22219</v>
      </c>
      <c r="D6565" t="s">
        <v>582</v>
      </c>
      <c r="E6565" t="s">
        <v>22216</v>
      </c>
      <c r="F6565" t="s">
        <v>7672</v>
      </c>
      <c r="G6565" t="s">
        <v>22217</v>
      </c>
      <c r="H6565" t="s">
        <v>11496</v>
      </c>
      <c r="I6565" t="s">
        <v>235</v>
      </c>
      <c r="J6565" t="s">
        <v>9426</v>
      </c>
    </row>
    <row r="6566" spans="1:10" x14ac:dyDescent="0.25">
      <c r="A6566" t="s">
        <v>22220</v>
      </c>
      <c r="B6566">
        <v>9</v>
      </c>
      <c r="C6566" t="s">
        <v>22221</v>
      </c>
      <c r="D6566" t="s">
        <v>1254</v>
      </c>
      <c r="E6566" t="s">
        <v>22222</v>
      </c>
      <c r="F6566" t="s">
        <v>7672</v>
      </c>
      <c r="G6566" t="s">
        <v>22223</v>
      </c>
      <c r="H6566" t="s">
        <v>7674</v>
      </c>
      <c r="I6566" t="s">
        <v>22224</v>
      </c>
      <c r="J6566" t="s">
        <v>7675</v>
      </c>
    </row>
    <row r="6567" spans="1:10" x14ac:dyDescent="0.25">
      <c r="A6567" t="s">
        <v>22225</v>
      </c>
      <c r="B6567">
        <v>9</v>
      </c>
      <c r="C6567" t="s">
        <v>22226</v>
      </c>
      <c r="D6567" t="s">
        <v>582</v>
      </c>
      <c r="E6567" t="s">
        <v>22222</v>
      </c>
      <c r="F6567" t="s">
        <v>7672</v>
      </c>
      <c r="G6567" t="s">
        <v>22223</v>
      </c>
      <c r="H6567" t="s">
        <v>7674</v>
      </c>
      <c r="I6567" t="s">
        <v>22227</v>
      </c>
      <c r="J6567" t="s">
        <v>7686</v>
      </c>
    </row>
    <row r="6568" spans="1:10" x14ac:dyDescent="0.25">
      <c r="A6568" t="s">
        <v>22228</v>
      </c>
      <c r="B6568">
        <v>9</v>
      </c>
      <c r="C6568" t="s">
        <v>22229</v>
      </c>
      <c r="D6568" t="s">
        <v>8421</v>
      </c>
      <c r="E6568" t="s">
        <v>22222</v>
      </c>
      <c r="F6568" t="s">
        <v>7672</v>
      </c>
      <c r="G6568" t="s">
        <v>22223</v>
      </c>
      <c r="H6568" t="s">
        <v>7674</v>
      </c>
      <c r="I6568" t="s">
        <v>22224</v>
      </c>
      <c r="J6568" t="s">
        <v>7686</v>
      </c>
    </row>
    <row r="6569" spans="1:10" x14ac:dyDescent="0.25">
      <c r="A6569" t="s">
        <v>22230</v>
      </c>
      <c r="B6569">
        <v>9</v>
      </c>
      <c r="C6569" t="s">
        <v>22231</v>
      </c>
      <c r="D6569" t="s">
        <v>13710</v>
      </c>
      <c r="E6569" t="s">
        <v>22222</v>
      </c>
      <c r="F6569" t="s">
        <v>7672</v>
      </c>
      <c r="G6569" t="s">
        <v>22223</v>
      </c>
      <c r="H6569" t="s">
        <v>7674</v>
      </c>
      <c r="I6569" t="s">
        <v>22224</v>
      </c>
      <c r="J6569" t="s">
        <v>7703</v>
      </c>
    </row>
    <row r="6570" spans="1:10" x14ac:dyDescent="0.25">
      <c r="A6570" t="s">
        <v>22232</v>
      </c>
      <c r="B6570">
        <v>9</v>
      </c>
      <c r="C6570" t="s">
        <v>22233</v>
      </c>
      <c r="D6570" t="s">
        <v>776</v>
      </c>
      <c r="E6570" t="s">
        <v>22222</v>
      </c>
      <c r="F6570" t="s">
        <v>7672</v>
      </c>
      <c r="G6570" t="s">
        <v>22223</v>
      </c>
      <c r="H6570" t="s">
        <v>7674</v>
      </c>
      <c r="I6570" t="s">
        <v>22224</v>
      </c>
      <c r="J6570" t="s">
        <v>7713</v>
      </c>
    </row>
    <row r="6571" spans="1:10" x14ac:dyDescent="0.25">
      <c r="A6571" t="s">
        <v>22234</v>
      </c>
      <c r="B6571">
        <v>9</v>
      </c>
      <c r="C6571" t="s">
        <v>22235</v>
      </c>
      <c r="D6571" t="s">
        <v>199</v>
      </c>
      <c r="E6571" t="s">
        <v>22222</v>
      </c>
      <c r="F6571" t="s">
        <v>7672</v>
      </c>
      <c r="G6571" t="s">
        <v>22223</v>
      </c>
      <c r="H6571" t="s">
        <v>7674</v>
      </c>
      <c r="I6571" t="s">
        <v>22224</v>
      </c>
      <c r="J6571" t="s">
        <v>7719</v>
      </c>
    </row>
    <row r="6572" spans="1:10" x14ac:dyDescent="0.25">
      <c r="A6572" t="s">
        <v>22236</v>
      </c>
      <c r="B6572">
        <v>7.8000000000000007</v>
      </c>
      <c r="C6572" t="s">
        <v>22237</v>
      </c>
      <c r="D6572" t="s">
        <v>613</v>
      </c>
      <c r="E6572" t="s">
        <v>22238</v>
      </c>
      <c r="F6572" t="s">
        <v>7672</v>
      </c>
      <c r="G6572" t="s">
        <v>20481</v>
      </c>
      <c r="H6572" t="s">
        <v>7965</v>
      </c>
      <c r="I6572" t="s">
        <v>76</v>
      </c>
      <c r="J6572" t="s">
        <v>7981</v>
      </c>
    </row>
    <row r="6573" spans="1:10" x14ac:dyDescent="0.25">
      <c r="A6573" t="s">
        <v>22239</v>
      </c>
      <c r="B6573">
        <v>7.8000000000000007</v>
      </c>
      <c r="C6573" t="s">
        <v>22240</v>
      </c>
      <c r="D6573" t="s">
        <v>1795</v>
      </c>
      <c r="E6573" t="s">
        <v>22238</v>
      </c>
      <c r="F6573" t="s">
        <v>7672</v>
      </c>
      <c r="G6573" t="s">
        <v>20481</v>
      </c>
      <c r="H6573" t="s">
        <v>7965</v>
      </c>
      <c r="I6573" t="s">
        <v>76</v>
      </c>
      <c r="J6573" t="s">
        <v>7984</v>
      </c>
    </row>
    <row r="6574" spans="1:10" x14ac:dyDescent="0.25">
      <c r="A6574" t="s">
        <v>22241</v>
      </c>
      <c r="B6574">
        <v>7.8000000000000007</v>
      </c>
      <c r="C6574" t="s">
        <v>22242</v>
      </c>
      <c r="D6574" t="s">
        <v>9294</v>
      </c>
      <c r="E6574" t="s">
        <v>22238</v>
      </c>
      <c r="F6574" t="s">
        <v>7672</v>
      </c>
      <c r="G6574" t="s">
        <v>20481</v>
      </c>
      <c r="H6574" t="s">
        <v>7965</v>
      </c>
      <c r="I6574" t="s">
        <v>76</v>
      </c>
      <c r="J6574" t="s">
        <v>7987</v>
      </c>
    </row>
    <row r="6575" spans="1:10" x14ac:dyDescent="0.25">
      <c r="A6575" t="s">
        <v>22243</v>
      </c>
      <c r="B6575">
        <v>7.8000000000000007</v>
      </c>
      <c r="C6575" t="s">
        <v>22244</v>
      </c>
      <c r="D6575" t="s">
        <v>3239</v>
      </c>
      <c r="E6575" t="s">
        <v>22238</v>
      </c>
      <c r="F6575" t="s">
        <v>7672</v>
      </c>
      <c r="G6575" t="s">
        <v>20481</v>
      </c>
      <c r="H6575" t="s">
        <v>7965</v>
      </c>
      <c r="I6575" t="s">
        <v>76</v>
      </c>
      <c r="J6575" t="s">
        <v>8001</v>
      </c>
    </row>
    <row r="6576" spans="1:10" x14ac:dyDescent="0.25">
      <c r="A6576" t="s">
        <v>22245</v>
      </c>
      <c r="B6576">
        <v>11.696</v>
      </c>
      <c r="C6576" t="s">
        <v>22246</v>
      </c>
      <c r="D6576" t="s">
        <v>164</v>
      </c>
      <c r="E6576" t="s">
        <v>22247</v>
      </c>
      <c r="F6576" t="s">
        <v>7672</v>
      </c>
      <c r="G6576" t="s">
        <v>22248</v>
      </c>
      <c r="H6576" t="s">
        <v>7954</v>
      </c>
      <c r="I6576" t="s">
        <v>22249</v>
      </c>
      <c r="J6576" t="s">
        <v>7987</v>
      </c>
    </row>
    <row r="6577" spans="1:10" x14ac:dyDescent="0.25">
      <c r="A6577" t="s">
        <v>22250</v>
      </c>
      <c r="B6577">
        <v>10.8</v>
      </c>
      <c r="C6577" t="s">
        <v>22251</v>
      </c>
      <c r="D6577" t="s">
        <v>2347</v>
      </c>
      <c r="E6577" t="s">
        <v>22252</v>
      </c>
      <c r="F6577" t="s">
        <v>7672</v>
      </c>
      <c r="G6577" t="s">
        <v>22253</v>
      </c>
      <c r="H6577" t="s">
        <v>8779</v>
      </c>
      <c r="I6577" t="s">
        <v>22254</v>
      </c>
      <c r="J6577" t="s">
        <v>8780</v>
      </c>
    </row>
    <row r="6578" spans="1:10" x14ac:dyDescent="0.25">
      <c r="A6578" t="s">
        <v>22255</v>
      </c>
      <c r="B6578">
        <v>10.8</v>
      </c>
      <c r="C6578" t="s">
        <v>22256</v>
      </c>
      <c r="D6578" t="s">
        <v>151</v>
      </c>
      <c r="E6578" t="s">
        <v>22252</v>
      </c>
      <c r="F6578" t="s">
        <v>7672</v>
      </c>
      <c r="G6578" t="s">
        <v>22253</v>
      </c>
      <c r="H6578" t="s">
        <v>8779</v>
      </c>
      <c r="I6578" t="s">
        <v>76</v>
      </c>
      <c r="J6578" t="s">
        <v>8780</v>
      </c>
    </row>
    <row r="6579" spans="1:10" x14ac:dyDescent="0.25">
      <c r="A6579" t="s">
        <v>22257</v>
      </c>
      <c r="B6579">
        <v>10.8</v>
      </c>
      <c r="C6579" t="s">
        <v>22258</v>
      </c>
      <c r="D6579" t="s">
        <v>12784</v>
      </c>
      <c r="E6579" t="s">
        <v>22252</v>
      </c>
      <c r="F6579" t="s">
        <v>7672</v>
      </c>
      <c r="G6579" t="s">
        <v>22253</v>
      </c>
      <c r="H6579" t="s">
        <v>8779</v>
      </c>
      <c r="I6579" t="s">
        <v>76</v>
      </c>
      <c r="J6579" t="s">
        <v>8789</v>
      </c>
    </row>
    <row r="6580" spans="1:10" x14ac:dyDescent="0.25">
      <c r="A6580" t="s">
        <v>22259</v>
      </c>
      <c r="B6580">
        <v>10.8</v>
      </c>
      <c r="C6580" t="s">
        <v>22260</v>
      </c>
      <c r="D6580" t="s">
        <v>14270</v>
      </c>
      <c r="E6580" t="s">
        <v>22252</v>
      </c>
      <c r="F6580" t="s">
        <v>7672</v>
      </c>
      <c r="G6580" t="s">
        <v>22253</v>
      </c>
      <c r="H6580" t="s">
        <v>8779</v>
      </c>
      <c r="I6580" t="s">
        <v>22254</v>
      </c>
      <c r="J6580" t="s">
        <v>8789</v>
      </c>
    </row>
    <row r="6581" spans="1:10" x14ac:dyDescent="0.25">
      <c r="A6581" t="s">
        <v>22261</v>
      </c>
      <c r="B6581">
        <v>12.8</v>
      </c>
      <c r="C6581" t="s">
        <v>22262</v>
      </c>
      <c r="D6581" t="s">
        <v>436</v>
      </c>
      <c r="E6581" t="s">
        <v>22263</v>
      </c>
      <c r="F6581" t="s">
        <v>7672</v>
      </c>
      <c r="G6581" t="s">
        <v>22264</v>
      </c>
      <c r="H6581" t="s">
        <v>10368</v>
      </c>
      <c r="I6581" t="s">
        <v>497</v>
      </c>
      <c r="J6581" t="s">
        <v>255</v>
      </c>
    </row>
    <row r="6582" spans="1:10" x14ac:dyDescent="0.25">
      <c r="A6582" t="s">
        <v>22265</v>
      </c>
      <c r="B6582">
        <v>12.8</v>
      </c>
      <c r="C6582" t="s">
        <v>22266</v>
      </c>
      <c r="D6582" t="s">
        <v>981</v>
      </c>
      <c r="E6582" t="s">
        <v>22263</v>
      </c>
      <c r="F6582" t="s">
        <v>7672</v>
      </c>
      <c r="G6582" t="s">
        <v>22264</v>
      </c>
      <c r="H6582" t="s">
        <v>10368</v>
      </c>
      <c r="I6582" t="s">
        <v>497</v>
      </c>
      <c r="J6582" t="s">
        <v>277</v>
      </c>
    </row>
    <row r="6583" spans="1:10" x14ac:dyDescent="0.25">
      <c r="A6583" t="s">
        <v>22267</v>
      </c>
      <c r="B6583">
        <v>12.8</v>
      </c>
      <c r="C6583" t="s">
        <v>22268</v>
      </c>
      <c r="D6583" t="s">
        <v>95</v>
      </c>
      <c r="E6583" t="s">
        <v>22263</v>
      </c>
      <c r="F6583" t="s">
        <v>7672</v>
      </c>
      <c r="G6583" t="s">
        <v>22264</v>
      </c>
      <c r="H6583" t="s">
        <v>10368</v>
      </c>
      <c r="I6583" t="s">
        <v>497</v>
      </c>
      <c r="J6583" t="s">
        <v>164</v>
      </c>
    </row>
    <row r="6584" spans="1:10" x14ac:dyDescent="0.25">
      <c r="A6584" t="s">
        <v>22269</v>
      </c>
      <c r="B6584">
        <v>12.8</v>
      </c>
      <c r="C6584" t="s">
        <v>22270</v>
      </c>
      <c r="D6584" t="s">
        <v>359</v>
      </c>
      <c r="E6584" t="s">
        <v>22263</v>
      </c>
      <c r="F6584" t="s">
        <v>7672</v>
      </c>
      <c r="G6584" t="s">
        <v>22264</v>
      </c>
      <c r="H6584" t="s">
        <v>10368</v>
      </c>
      <c r="I6584" t="s">
        <v>497</v>
      </c>
      <c r="J6584" t="s">
        <v>290</v>
      </c>
    </row>
    <row r="6585" spans="1:10" x14ac:dyDescent="0.25">
      <c r="A6585" t="s">
        <v>22271</v>
      </c>
      <c r="B6585">
        <v>5.7200000000000006</v>
      </c>
      <c r="C6585" t="s">
        <v>22272</v>
      </c>
      <c r="D6585" t="s">
        <v>843</v>
      </c>
      <c r="E6585" t="s">
        <v>22273</v>
      </c>
      <c r="F6585" t="s">
        <v>7672</v>
      </c>
      <c r="G6585" t="s">
        <v>20928</v>
      </c>
      <c r="H6585" t="s">
        <v>7965</v>
      </c>
      <c r="I6585" t="s">
        <v>22274</v>
      </c>
      <c r="J6585" t="s">
        <v>8001</v>
      </c>
    </row>
    <row r="6586" spans="1:10" x14ac:dyDescent="0.25">
      <c r="A6586" t="s">
        <v>22275</v>
      </c>
      <c r="B6586">
        <v>9</v>
      </c>
      <c r="C6586" t="s">
        <v>22276</v>
      </c>
      <c r="D6586" t="s">
        <v>255</v>
      </c>
      <c r="E6586" t="s">
        <v>22277</v>
      </c>
      <c r="F6586" t="s">
        <v>7672</v>
      </c>
      <c r="G6586" t="s">
        <v>22278</v>
      </c>
      <c r="H6586" t="s">
        <v>16164</v>
      </c>
      <c r="I6586" t="s">
        <v>15002</v>
      </c>
      <c r="J6586" t="s">
        <v>7675</v>
      </c>
    </row>
    <row r="6587" spans="1:10" x14ac:dyDescent="0.25">
      <c r="A6587" t="s">
        <v>22279</v>
      </c>
      <c r="B6587">
        <v>9</v>
      </c>
      <c r="C6587" t="s">
        <v>22280</v>
      </c>
      <c r="D6587" t="s">
        <v>290</v>
      </c>
      <c r="E6587" t="s">
        <v>22277</v>
      </c>
      <c r="F6587" t="s">
        <v>7672</v>
      </c>
      <c r="G6587" t="s">
        <v>22278</v>
      </c>
      <c r="H6587" t="s">
        <v>16164</v>
      </c>
      <c r="I6587" t="s">
        <v>15002</v>
      </c>
      <c r="J6587" t="s">
        <v>7686</v>
      </c>
    </row>
    <row r="6588" spans="1:10" x14ac:dyDescent="0.25">
      <c r="A6588" t="s">
        <v>22281</v>
      </c>
      <c r="B6588">
        <v>9</v>
      </c>
      <c r="C6588" t="s">
        <v>22282</v>
      </c>
      <c r="D6588" t="s">
        <v>301</v>
      </c>
      <c r="E6588" t="s">
        <v>22277</v>
      </c>
      <c r="F6588" t="s">
        <v>7672</v>
      </c>
      <c r="G6588" t="s">
        <v>22278</v>
      </c>
      <c r="H6588" t="s">
        <v>16164</v>
      </c>
      <c r="I6588" t="s">
        <v>15002</v>
      </c>
      <c r="J6588" t="s">
        <v>7703</v>
      </c>
    </row>
    <row r="6589" spans="1:10" x14ac:dyDescent="0.25">
      <c r="A6589" t="s">
        <v>22283</v>
      </c>
      <c r="B6589">
        <v>3.1920000000000002</v>
      </c>
      <c r="C6589" t="s">
        <v>22284</v>
      </c>
      <c r="D6589" t="s">
        <v>359</v>
      </c>
      <c r="E6589" t="s">
        <v>22285</v>
      </c>
      <c r="F6589" t="s">
        <v>7672</v>
      </c>
      <c r="G6589" t="s">
        <v>22286</v>
      </c>
      <c r="H6589" t="s">
        <v>7974</v>
      </c>
      <c r="I6589" t="s">
        <v>13303</v>
      </c>
      <c r="J6589" t="s">
        <v>9237</v>
      </c>
    </row>
    <row r="6590" spans="1:10" x14ac:dyDescent="0.25">
      <c r="A6590" t="s">
        <v>22287</v>
      </c>
      <c r="B6590">
        <v>3.1920000000000002</v>
      </c>
      <c r="C6590" t="s">
        <v>22288</v>
      </c>
      <c r="D6590" t="s">
        <v>396</v>
      </c>
      <c r="E6590" t="s">
        <v>22285</v>
      </c>
      <c r="F6590" t="s">
        <v>7672</v>
      </c>
      <c r="G6590" t="s">
        <v>22286</v>
      </c>
      <c r="H6590" t="s">
        <v>7974</v>
      </c>
      <c r="I6590" t="s">
        <v>13300</v>
      </c>
      <c r="J6590" t="s">
        <v>9237</v>
      </c>
    </row>
    <row r="6591" spans="1:10" x14ac:dyDescent="0.25">
      <c r="A6591" t="s">
        <v>22289</v>
      </c>
      <c r="B6591">
        <v>3.1920000000000002</v>
      </c>
      <c r="C6591" t="s">
        <v>22290</v>
      </c>
      <c r="D6591" t="s">
        <v>588</v>
      </c>
      <c r="E6591" t="s">
        <v>22285</v>
      </c>
      <c r="F6591" t="s">
        <v>7672</v>
      </c>
      <c r="G6591" t="s">
        <v>22286</v>
      </c>
      <c r="H6591" t="s">
        <v>7974</v>
      </c>
      <c r="I6591" t="s">
        <v>13306</v>
      </c>
      <c r="J6591" t="s">
        <v>8427</v>
      </c>
    </row>
    <row r="6592" spans="1:10" x14ac:dyDescent="0.25">
      <c r="A6592" t="s">
        <v>22291</v>
      </c>
      <c r="B6592">
        <v>3.1920000000000002</v>
      </c>
      <c r="C6592" t="s">
        <v>22292</v>
      </c>
      <c r="D6592" t="s">
        <v>2198</v>
      </c>
      <c r="E6592" t="s">
        <v>22285</v>
      </c>
      <c r="F6592" t="s">
        <v>7672</v>
      </c>
      <c r="G6592" t="s">
        <v>22286</v>
      </c>
      <c r="H6592" t="s">
        <v>7974</v>
      </c>
      <c r="I6592" t="s">
        <v>13303</v>
      </c>
      <c r="J6592" t="s">
        <v>8427</v>
      </c>
    </row>
    <row r="6593" spans="1:10" x14ac:dyDescent="0.25">
      <c r="A6593" t="s">
        <v>22293</v>
      </c>
      <c r="B6593">
        <v>3.1920000000000002</v>
      </c>
      <c r="C6593" t="s">
        <v>22294</v>
      </c>
      <c r="D6593" t="s">
        <v>144</v>
      </c>
      <c r="E6593" t="s">
        <v>22285</v>
      </c>
      <c r="F6593" t="s">
        <v>7672</v>
      </c>
      <c r="G6593" t="s">
        <v>22286</v>
      </c>
      <c r="H6593" t="s">
        <v>7974</v>
      </c>
      <c r="I6593" t="s">
        <v>13300</v>
      </c>
      <c r="J6593" t="s">
        <v>8427</v>
      </c>
    </row>
    <row r="6594" spans="1:10" x14ac:dyDescent="0.25">
      <c r="A6594" t="s">
        <v>22295</v>
      </c>
      <c r="B6594">
        <v>3.1920000000000002</v>
      </c>
      <c r="C6594" t="s">
        <v>22296</v>
      </c>
      <c r="D6594" t="s">
        <v>8313</v>
      </c>
      <c r="E6594" t="s">
        <v>22285</v>
      </c>
      <c r="F6594" t="s">
        <v>7672</v>
      </c>
      <c r="G6594" t="s">
        <v>22286</v>
      </c>
      <c r="H6594" t="s">
        <v>7974</v>
      </c>
      <c r="I6594" t="s">
        <v>13306</v>
      </c>
      <c r="J6594" t="s">
        <v>8439</v>
      </c>
    </row>
    <row r="6595" spans="1:10" x14ac:dyDescent="0.25">
      <c r="A6595" t="s">
        <v>22297</v>
      </c>
      <c r="B6595">
        <v>3.1920000000000002</v>
      </c>
      <c r="C6595" t="s">
        <v>22298</v>
      </c>
      <c r="D6595" t="s">
        <v>17459</v>
      </c>
      <c r="E6595" t="s">
        <v>22285</v>
      </c>
      <c r="F6595" t="s">
        <v>7672</v>
      </c>
      <c r="G6595" t="s">
        <v>22286</v>
      </c>
      <c r="H6595" t="s">
        <v>7974</v>
      </c>
      <c r="I6595" t="s">
        <v>13303</v>
      </c>
      <c r="J6595" t="s">
        <v>8439</v>
      </c>
    </row>
    <row r="6596" spans="1:10" x14ac:dyDescent="0.25">
      <c r="A6596" t="s">
        <v>22299</v>
      </c>
      <c r="B6596">
        <v>3.1920000000000002</v>
      </c>
      <c r="C6596" t="s">
        <v>22300</v>
      </c>
      <c r="D6596" t="s">
        <v>8164</v>
      </c>
      <c r="E6596" t="s">
        <v>22285</v>
      </c>
      <c r="F6596" t="s">
        <v>7672</v>
      </c>
      <c r="G6596" t="s">
        <v>22286</v>
      </c>
      <c r="H6596" t="s">
        <v>7974</v>
      </c>
      <c r="I6596" t="s">
        <v>13300</v>
      </c>
      <c r="J6596" t="s">
        <v>8439</v>
      </c>
    </row>
    <row r="6597" spans="1:10" x14ac:dyDescent="0.25">
      <c r="A6597" t="s">
        <v>22301</v>
      </c>
      <c r="B6597">
        <v>3.1920000000000002</v>
      </c>
      <c r="C6597" t="s">
        <v>22302</v>
      </c>
      <c r="D6597" t="s">
        <v>379</v>
      </c>
      <c r="E6597" t="s">
        <v>22285</v>
      </c>
      <c r="F6597" t="s">
        <v>7672</v>
      </c>
      <c r="G6597" t="s">
        <v>22286</v>
      </c>
      <c r="H6597" t="s">
        <v>7974</v>
      </c>
      <c r="I6597" t="s">
        <v>13303</v>
      </c>
      <c r="J6597" t="s">
        <v>8451</v>
      </c>
    </row>
    <row r="6598" spans="1:10" x14ac:dyDescent="0.25">
      <c r="A6598" t="s">
        <v>22303</v>
      </c>
      <c r="B6598">
        <v>3.1920000000000002</v>
      </c>
      <c r="C6598" t="s">
        <v>22304</v>
      </c>
      <c r="D6598" t="s">
        <v>450</v>
      </c>
      <c r="E6598" t="s">
        <v>22285</v>
      </c>
      <c r="F6598" t="s">
        <v>7672</v>
      </c>
      <c r="G6598" t="s">
        <v>22286</v>
      </c>
      <c r="H6598" t="s">
        <v>7974</v>
      </c>
      <c r="I6598" t="s">
        <v>13300</v>
      </c>
      <c r="J6598" t="s">
        <v>8451</v>
      </c>
    </row>
    <row r="6599" spans="1:10" x14ac:dyDescent="0.25">
      <c r="A6599" t="s">
        <v>22305</v>
      </c>
      <c r="B6599">
        <v>3.1920000000000002</v>
      </c>
      <c r="C6599" t="s">
        <v>22306</v>
      </c>
      <c r="D6599" t="s">
        <v>282</v>
      </c>
      <c r="E6599" t="s">
        <v>22285</v>
      </c>
      <c r="F6599" t="s">
        <v>7672</v>
      </c>
      <c r="G6599" t="s">
        <v>22286</v>
      </c>
      <c r="H6599" t="s">
        <v>7974</v>
      </c>
      <c r="I6599" t="s">
        <v>13306</v>
      </c>
      <c r="J6599" t="s">
        <v>8462</v>
      </c>
    </row>
    <row r="6600" spans="1:10" x14ac:dyDescent="0.25">
      <c r="A6600" t="s">
        <v>22307</v>
      </c>
      <c r="B6600">
        <v>3.1920000000000002</v>
      </c>
      <c r="C6600" t="s">
        <v>22308</v>
      </c>
      <c r="D6600" t="s">
        <v>1621</v>
      </c>
      <c r="E6600" t="s">
        <v>22285</v>
      </c>
      <c r="F6600" t="s">
        <v>7672</v>
      </c>
      <c r="G6600" t="s">
        <v>22286</v>
      </c>
      <c r="H6600" t="s">
        <v>7974</v>
      </c>
      <c r="I6600" t="s">
        <v>13303</v>
      </c>
      <c r="J6600" t="s">
        <v>8462</v>
      </c>
    </row>
    <row r="6601" spans="1:10" x14ac:dyDescent="0.25">
      <c r="A6601" t="s">
        <v>22309</v>
      </c>
      <c r="B6601">
        <v>3.1920000000000002</v>
      </c>
      <c r="C6601" t="s">
        <v>22310</v>
      </c>
      <c r="D6601" t="s">
        <v>3184</v>
      </c>
      <c r="E6601" t="s">
        <v>22285</v>
      </c>
      <c r="F6601" t="s">
        <v>7672</v>
      </c>
      <c r="G6601" t="s">
        <v>22286</v>
      </c>
      <c r="H6601" t="s">
        <v>7974</v>
      </c>
      <c r="I6601" t="s">
        <v>13300</v>
      </c>
      <c r="J6601" t="s">
        <v>8462</v>
      </c>
    </row>
    <row r="6602" spans="1:10" x14ac:dyDescent="0.25">
      <c r="A6602" t="s">
        <v>22311</v>
      </c>
      <c r="B6602">
        <v>3.1920000000000002</v>
      </c>
      <c r="C6602" t="s">
        <v>22312</v>
      </c>
      <c r="D6602" t="s">
        <v>875</v>
      </c>
      <c r="E6602" t="s">
        <v>22285</v>
      </c>
      <c r="F6602" t="s">
        <v>7672</v>
      </c>
      <c r="G6602" t="s">
        <v>22286</v>
      </c>
      <c r="H6602" t="s">
        <v>7974</v>
      </c>
      <c r="I6602" t="s">
        <v>13306</v>
      </c>
      <c r="J6602" t="s">
        <v>9998</v>
      </c>
    </row>
    <row r="6603" spans="1:10" x14ac:dyDescent="0.25">
      <c r="A6603" t="s">
        <v>22313</v>
      </c>
      <c r="B6603">
        <v>3.1920000000000002</v>
      </c>
      <c r="C6603" t="s">
        <v>22314</v>
      </c>
      <c r="D6603" t="s">
        <v>342</v>
      </c>
      <c r="E6603" t="s">
        <v>22285</v>
      </c>
      <c r="F6603" t="s">
        <v>7672</v>
      </c>
      <c r="G6603" t="s">
        <v>22286</v>
      </c>
      <c r="H6603" t="s">
        <v>7974</v>
      </c>
      <c r="I6603" t="s">
        <v>278</v>
      </c>
      <c r="J6603" t="s">
        <v>9998</v>
      </c>
    </row>
    <row r="6604" spans="1:10" x14ac:dyDescent="0.25">
      <c r="A6604" t="s">
        <v>22315</v>
      </c>
      <c r="B6604">
        <v>3.1920000000000002</v>
      </c>
      <c r="C6604" t="s">
        <v>22316</v>
      </c>
      <c r="D6604" t="s">
        <v>742</v>
      </c>
      <c r="E6604" t="s">
        <v>22285</v>
      </c>
      <c r="F6604" t="s">
        <v>7672</v>
      </c>
      <c r="G6604" t="s">
        <v>22286</v>
      </c>
      <c r="H6604" t="s">
        <v>7974</v>
      </c>
      <c r="I6604" t="s">
        <v>76</v>
      </c>
      <c r="J6604" t="s">
        <v>9998</v>
      </c>
    </row>
    <row r="6605" spans="1:10" x14ac:dyDescent="0.25">
      <c r="A6605" t="s">
        <v>22317</v>
      </c>
      <c r="B6605">
        <v>3.1920000000000002</v>
      </c>
      <c r="C6605" t="s">
        <v>22318</v>
      </c>
      <c r="D6605" t="s">
        <v>106</v>
      </c>
      <c r="E6605" t="s">
        <v>22285</v>
      </c>
      <c r="F6605" t="s">
        <v>7672</v>
      </c>
      <c r="G6605" t="s">
        <v>22286</v>
      </c>
      <c r="H6605" t="s">
        <v>7974</v>
      </c>
      <c r="I6605" t="s">
        <v>13303</v>
      </c>
      <c r="J6605" t="s">
        <v>9998</v>
      </c>
    </row>
    <row r="6606" spans="1:10" x14ac:dyDescent="0.25">
      <c r="A6606" t="s">
        <v>22319</v>
      </c>
      <c r="B6606">
        <v>3.1920000000000002</v>
      </c>
      <c r="C6606" t="s">
        <v>22320</v>
      </c>
      <c r="D6606" t="s">
        <v>100</v>
      </c>
      <c r="E6606" t="s">
        <v>22285</v>
      </c>
      <c r="F6606" t="s">
        <v>7672</v>
      </c>
      <c r="G6606" t="s">
        <v>22286</v>
      </c>
      <c r="H6606" t="s">
        <v>7974</v>
      </c>
      <c r="I6606" t="s">
        <v>13300</v>
      </c>
      <c r="J6606" t="s">
        <v>9998</v>
      </c>
    </row>
    <row r="6607" spans="1:10" x14ac:dyDescent="0.25">
      <c r="A6607" t="s">
        <v>22321</v>
      </c>
      <c r="B6607">
        <v>4.8000000000000007</v>
      </c>
      <c r="C6607" t="s">
        <v>22322</v>
      </c>
      <c r="D6607" t="s">
        <v>1254</v>
      </c>
      <c r="E6607" t="s">
        <v>22323</v>
      </c>
      <c r="F6607" t="s">
        <v>7672</v>
      </c>
      <c r="G6607" t="s">
        <v>22324</v>
      </c>
      <c r="H6607" t="s">
        <v>11496</v>
      </c>
      <c r="I6607" t="s">
        <v>15928</v>
      </c>
      <c r="J6607" t="s">
        <v>9423</v>
      </c>
    </row>
    <row r="6608" spans="1:10" x14ac:dyDescent="0.25">
      <c r="A6608" t="s">
        <v>22325</v>
      </c>
      <c r="B6608">
        <v>4.8000000000000007</v>
      </c>
      <c r="C6608" t="s">
        <v>22326</v>
      </c>
      <c r="D6608" t="s">
        <v>3253</v>
      </c>
      <c r="E6608" t="s">
        <v>22323</v>
      </c>
      <c r="F6608" t="s">
        <v>7672</v>
      </c>
      <c r="G6608" t="s">
        <v>22324</v>
      </c>
      <c r="H6608" t="s">
        <v>11496</v>
      </c>
      <c r="I6608" t="s">
        <v>15928</v>
      </c>
      <c r="J6608" t="s">
        <v>9426</v>
      </c>
    </row>
    <row r="6609" spans="1:10" x14ac:dyDescent="0.25">
      <c r="A6609" t="s">
        <v>22327</v>
      </c>
      <c r="B6609">
        <v>4.8000000000000007</v>
      </c>
      <c r="C6609" t="s">
        <v>22328</v>
      </c>
      <c r="D6609" t="s">
        <v>1020</v>
      </c>
      <c r="E6609" t="s">
        <v>22323</v>
      </c>
      <c r="F6609" t="s">
        <v>7672</v>
      </c>
      <c r="G6609" t="s">
        <v>22324</v>
      </c>
      <c r="H6609" t="s">
        <v>11496</v>
      </c>
      <c r="I6609" t="s">
        <v>15928</v>
      </c>
      <c r="J6609" t="s">
        <v>10862</v>
      </c>
    </row>
    <row r="6610" spans="1:10" x14ac:dyDescent="0.25">
      <c r="A6610" t="s">
        <v>22329</v>
      </c>
      <c r="B6610">
        <v>4.8000000000000007</v>
      </c>
      <c r="C6610" t="s">
        <v>22330</v>
      </c>
      <c r="D6610" t="s">
        <v>8786</v>
      </c>
      <c r="E6610" t="s">
        <v>22323</v>
      </c>
      <c r="F6610" t="s">
        <v>7672</v>
      </c>
      <c r="G6610" t="s">
        <v>22324</v>
      </c>
      <c r="H6610" t="s">
        <v>11496</v>
      </c>
      <c r="I6610" t="s">
        <v>15928</v>
      </c>
      <c r="J6610" t="s">
        <v>13084</v>
      </c>
    </row>
    <row r="6611" spans="1:10" x14ac:dyDescent="0.25">
      <c r="A6611" t="s">
        <v>22331</v>
      </c>
      <c r="B6611">
        <v>4.8000000000000007</v>
      </c>
      <c r="C6611" t="s">
        <v>22332</v>
      </c>
      <c r="D6611" t="s">
        <v>659</v>
      </c>
      <c r="E6611" t="s">
        <v>22323</v>
      </c>
      <c r="F6611" t="s">
        <v>7672</v>
      </c>
      <c r="G6611" t="s">
        <v>22324</v>
      </c>
      <c r="H6611" t="s">
        <v>11496</v>
      </c>
      <c r="I6611" t="s">
        <v>15928</v>
      </c>
      <c r="J6611" t="s">
        <v>11767</v>
      </c>
    </row>
    <row r="6612" spans="1:10" x14ac:dyDescent="0.25">
      <c r="A6612" t="s">
        <v>22333</v>
      </c>
      <c r="B6612">
        <v>4.8000000000000007</v>
      </c>
      <c r="C6612" t="s">
        <v>22334</v>
      </c>
      <c r="D6612" t="s">
        <v>286</v>
      </c>
      <c r="E6612" t="s">
        <v>22323</v>
      </c>
      <c r="F6612" t="s">
        <v>7672</v>
      </c>
      <c r="G6612" t="s">
        <v>22324</v>
      </c>
      <c r="H6612" t="s">
        <v>11496</v>
      </c>
      <c r="I6612" t="s">
        <v>15928</v>
      </c>
      <c r="J6612" t="s">
        <v>11582</v>
      </c>
    </row>
    <row r="6613" spans="1:10" x14ac:dyDescent="0.25">
      <c r="A6613" t="s">
        <v>22335</v>
      </c>
      <c r="B6613">
        <v>5.2</v>
      </c>
      <c r="C6613" t="s">
        <v>22336</v>
      </c>
      <c r="D6613" t="s">
        <v>8888</v>
      </c>
      <c r="E6613" t="s">
        <v>22337</v>
      </c>
      <c r="F6613" t="s">
        <v>7672</v>
      </c>
      <c r="G6613" t="s">
        <v>22338</v>
      </c>
      <c r="H6613" t="s">
        <v>8027</v>
      </c>
      <c r="I6613" t="s">
        <v>10101</v>
      </c>
      <c r="J6613" t="s">
        <v>8427</v>
      </c>
    </row>
    <row r="6614" spans="1:10" x14ac:dyDescent="0.25">
      <c r="A6614" t="s">
        <v>22339</v>
      </c>
      <c r="B6614">
        <v>5.2</v>
      </c>
      <c r="C6614" t="s">
        <v>22340</v>
      </c>
      <c r="D6614" t="s">
        <v>1579</v>
      </c>
      <c r="E6614" t="s">
        <v>22337</v>
      </c>
      <c r="F6614" t="s">
        <v>7672</v>
      </c>
      <c r="G6614" t="s">
        <v>22338</v>
      </c>
      <c r="H6614" t="s">
        <v>8027</v>
      </c>
      <c r="I6614" t="s">
        <v>10101</v>
      </c>
      <c r="J6614" t="s">
        <v>8439</v>
      </c>
    </row>
    <row r="6615" spans="1:10" x14ac:dyDescent="0.25">
      <c r="A6615" t="s">
        <v>22341</v>
      </c>
      <c r="B6615">
        <v>5.2</v>
      </c>
      <c r="C6615" t="s">
        <v>22342</v>
      </c>
      <c r="D6615" t="s">
        <v>4794</v>
      </c>
      <c r="E6615" t="s">
        <v>22337</v>
      </c>
      <c r="F6615" t="s">
        <v>7672</v>
      </c>
      <c r="G6615" t="s">
        <v>22338</v>
      </c>
      <c r="H6615" t="s">
        <v>8027</v>
      </c>
      <c r="I6615" t="s">
        <v>10101</v>
      </c>
      <c r="J6615" t="s">
        <v>8451</v>
      </c>
    </row>
    <row r="6616" spans="1:10" x14ac:dyDescent="0.25">
      <c r="A6616" t="s">
        <v>22343</v>
      </c>
      <c r="B6616">
        <v>15.6</v>
      </c>
      <c r="C6616" t="s">
        <v>22344</v>
      </c>
      <c r="D6616" t="s">
        <v>3253</v>
      </c>
      <c r="E6616" t="s">
        <v>22345</v>
      </c>
      <c r="F6616" t="s">
        <v>7672</v>
      </c>
      <c r="G6616" t="s">
        <v>22346</v>
      </c>
      <c r="H6616" t="s">
        <v>12232</v>
      </c>
      <c r="I6616" t="s">
        <v>22347</v>
      </c>
      <c r="J6616" t="s">
        <v>8427</v>
      </c>
    </row>
    <row r="6617" spans="1:10" x14ac:dyDescent="0.25">
      <c r="A6617" t="s">
        <v>22348</v>
      </c>
      <c r="B6617">
        <v>15.6</v>
      </c>
      <c r="C6617" t="s">
        <v>22349</v>
      </c>
      <c r="D6617" t="s">
        <v>3979</v>
      </c>
      <c r="E6617" t="s">
        <v>22345</v>
      </c>
      <c r="F6617" t="s">
        <v>7672</v>
      </c>
      <c r="G6617" t="s">
        <v>22346</v>
      </c>
      <c r="H6617" t="s">
        <v>12232</v>
      </c>
      <c r="I6617" t="s">
        <v>22347</v>
      </c>
      <c r="J6617" t="s">
        <v>8439</v>
      </c>
    </row>
    <row r="6618" spans="1:10" x14ac:dyDescent="0.25">
      <c r="A6618" t="s">
        <v>22350</v>
      </c>
      <c r="B6618">
        <v>15.6</v>
      </c>
      <c r="C6618" t="s">
        <v>22351</v>
      </c>
      <c r="D6618" t="s">
        <v>9574</v>
      </c>
      <c r="E6618" t="s">
        <v>22345</v>
      </c>
      <c r="F6618" t="s">
        <v>7672</v>
      </c>
      <c r="G6618" t="s">
        <v>22346</v>
      </c>
      <c r="H6618" t="s">
        <v>12232</v>
      </c>
      <c r="I6618" t="s">
        <v>22347</v>
      </c>
      <c r="J6618" t="s">
        <v>8451</v>
      </c>
    </row>
    <row r="6619" spans="1:10" x14ac:dyDescent="0.25">
      <c r="A6619" t="s">
        <v>6145</v>
      </c>
      <c r="B6619">
        <v>7.6000000000000014</v>
      </c>
      <c r="C6619" t="s">
        <v>6147</v>
      </c>
      <c r="D6619" t="s">
        <v>321</v>
      </c>
      <c r="E6619" t="s">
        <v>6148</v>
      </c>
      <c r="F6619" t="s">
        <v>7672</v>
      </c>
      <c r="G6619" t="s">
        <v>22352</v>
      </c>
      <c r="H6619" t="s">
        <v>11496</v>
      </c>
      <c r="I6619" t="s">
        <v>18020</v>
      </c>
      <c r="J6619" t="s">
        <v>9423</v>
      </c>
    </row>
    <row r="6620" spans="1:10" x14ac:dyDescent="0.25">
      <c r="A6620" t="s">
        <v>6151</v>
      </c>
      <c r="B6620">
        <v>7.6000000000000014</v>
      </c>
      <c r="C6620" t="s">
        <v>6153</v>
      </c>
      <c r="D6620" t="s">
        <v>6155</v>
      </c>
      <c r="E6620" t="s">
        <v>6148</v>
      </c>
      <c r="F6620" t="s">
        <v>7672</v>
      </c>
      <c r="G6620" t="s">
        <v>22352</v>
      </c>
      <c r="H6620" t="s">
        <v>11496</v>
      </c>
      <c r="I6620" t="s">
        <v>18020</v>
      </c>
      <c r="J6620" t="s">
        <v>10862</v>
      </c>
    </row>
    <row r="6621" spans="1:10" x14ac:dyDescent="0.25">
      <c r="A6621" t="s">
        <v>6156</v>
      </c>
      <c r="B6621">
        <v>7.6000000000000014</v>
      </c>
      <c r="C6621" t="s">
        <v>6158</v>
      </c>
      <c r="D6621" t="s">
        <v>1847</v>
      </c>
      <c r="E6621" t="s">
        <v>6148</v>
      </c>
      <c r="F6621" t="s">
        <v>7672</v>
      </c>
      <c r="G6621" t="s">
        <v>22352</v>
      </c>
      <c r="H6621" t="s">
        <v>11496</v>
      </c>
      <c r="I6621" t="s">
        <v>18020</v>
      </c>
      <c r="J6621" t="s">
        <v>9426</v>
      </c>
    </row>
    <row r="6622" spans="1:10" x14ac:dyDescent="0.25">
      <c r="A6622" t="s">
        <v>6160</v>
      </c>
      <c r="B6622">
        <v>7.6000000000000014</v>
      </c>
      <c r="C6622" t="s">
        <v>6162</v>
      </c>
      <c r="D6622" t="s">
        <v>3872</v>
      </c>
      <c r="E6622" t="s">
        <v>6148</v>
      </c>
      <c r="F6622" t="s">
        <v>7672</v>
      </c>
      <c r="G6622" t="s">
        <v>22352</v>
      </c>
      <c r="H6622" t="s">
        <v>11496</v>
      </c>
      <c r="I6622" t="s">
        <v>18020</v>
      </c>
      <c r="J6622" t="s">
        <v>13084</v>
      </c>
    </row>
    <row r="6623" spans="1:10" x14ac:dyDescent="0.25">
      <c r="A6623" t="s">
        <v>6164</v>
      </c>
      <c r="B6623">
        <v>7.6000000000000014</v>
      </c>
      <c r="C6623" t="s">
        <v>6166</v>
      </c>
      <c r="D6623" t="s">
        <v>6168</v>
      </c>
      <c r="E6623" t="s">
        <v>6148</v>
      </c>
      <c r="F6623" t="s">
        <v>7672</v>
      </c>
      <c r="G6623" t="s">
        <v>22352</v>
      </c>
      <c r="H6623" t="s">
        <v>11496</v>
      </c>
      <c r="I6623" t="s">
        <v>18020</v>
      </c>
      <c r="J6623" t="s">
        <v>11767</v>
      </c>
    </row>
    <row r="6624" spans="1:10" x14ac:dyDescent="0.25">
      <c r="A6624" t="s">
        <v>6169</v>
      </c>
      <c r="B6624">
        <v>7.6000000000000014</v>
      </c>
      <c r="C6624" t="s">
        <v>6171</v>
      </c>
      <c r="D6624" t="s">
        <v>3076</v>
      </c>
      <c r="E6624" t="s">
        <v>6148</v>
      </c>
      <c r="F6624" t="s">
        <v>7672</v>
      </c>
      <c r="G6624" t="s">
        <v>22352</v>
      </c>
      <c r="H6624" t="s">
        <v>11496</v>
      </c>
      <c r="I6624" t="s">
        <v>18020</v>
      </c>
      <c r="J6624" t="s">
        <v>11582</v>
      </c>
    </row>
    <row r="6625" spans="1:10" x14ac:dyDescent="0.25">
      <c r="A6625" t="s">
        <v>6173</v>
      </c>
      <c r="B6625">
        <v>7.6000000000000014</v>
      </c>
      <c r="C6625" t="s">
        <v>6175</v>
      </c>
      <c r="D6625" t="s">
        <v>1847</v>
      </c>
      <c r="E6625" t="s">
        <v>6148</v>
      </c>
      <c r="F6625" t="s">
        <v>7672</v>
      </c>
      <c r="G6625" t="s">
        <v>22352</v>
      </c>
      <c r="H6625" t="s">
        <v>11496</v>
      </c>
      <c r="I6625" t="s">
        <v>18020</v>
      </c>
      <c r="J6625" t="s">
        <v>11585</v>
      </c>
    </row>
    <row r="6626" spans="1:10" x14ac:dyDescent="0.25">
      <c r="A6626" t="s">
        <v>6177</v>
      </c>
      <c r="B6626">
        <v>13.2</v>
      </c>
      <c r="C6626" t="s">
        <v>6179</v>
      </c>
      <c r="D6626" t="s">
        <v>106</v>
      </c>
      <c r="E6626" t="s">
        <v>6180</v>
      </c>
      <c r="F6626" t="s">
        <v>7672</v>
      </c>
      <c r="G6626" t="s">
        <v>22353</v>
      </c>
      <c r="H6626" t="s">
        <v>8078</v>
      </c>
      <c r="I6626" t="s">
        <v>278</v>
      </c>
      <c r="J6626" t="s">
        <v>8439</v>
      </c>
    </row>
    <row r="6627" spans="1:10" x14ac:dyDescent="0.25">
      <c r="A6627" t="s">
        <v>22354</v>
      </c>
      <c r="B6627">
        <v>10</v>
      </c>
      <c r="C6627" t="s">
        <v>22355</v>
      </c>
      <c r="D6627" t="s">
        <v>8193</v>
      </c>
      <c r="E6627" t="s">
        <v>22356</v>
      </c>
      <c r="F6627" t="s">
        <v>7672</v>
      </c>
      <c r="G6627" t="s">
        <v>22357</v>
      </c>
      <c r="H6627" t="s">
        <v>22358</v>
      </c>
      <c r="I6627" t="s">
        <v>22359</v>
      </c>
      <c r="J6627" t="s">
        <v>10369</v>
      </c>
    </row>
    <row r="6628" spans="1:10" x14ac:dyDescent="0.25">
      <c r="A6628" t="s">
        <v>22360</v>
      </c>
      <c r="B6628">
        <v>10</v>
      </c>
      <c r="C6628" t="s">
        <v>22361</v>
      </c>
      <c r="D6628" t="s">
        <v>277</v>
      </c>
      <c r="E6628" t="s">
        <v>22356</v>
      </c>
      <c r="F6628" t="s">
        <v>7672</v>
      </c>
      <c r="G6628" t="s">
        <v>22357</v>
      </c>
      <c r="H6628" t="s">
        <v>22358</v>
      </c>
      <c r="I6628" t="s">
        <v>22359</v>
      </c>
      <c r="J6628" t="s">
        <v>11590</v>
      </c>
    </row>
    <row r="6629" spans="1:10" x14ac:dyDescent="0.25">
      <c r="A6629" t="s">
        <v>22362</v>
      </c>
      <c r="B6629">
        <v>10</v>
      </c>
      <c r="C6629" t="s">
        <v>22363</v>
      </c>
      <c r="D6629" t="s">
        <v>1852</v>
      </c>
      <c r="E6629" t="s">
        <v>22356</v>
      </c>
      <c r="F6629" t="s">
        <v>7672</v>
      </c>
      <c r="G6629" t="s">
        <v>22357</v>
      </c>
      <c r="H6629" t="s">
        <v>22358</v>
      </c>
      <c r="I6629" t="s">
        <v>22359</v>
      </c>
      <c r="J6629" t="s">
        <v>11593</v>
      </c>
    </row>
    <row r="6630" spans="1:10" x14ac:dyDescent="0.25">
      <c r="A6630" t="s">
        <v>22364</v>
      </c>
      <c r="B6630">
        <v>120</v>
      </c>
      <c r="C6630" t="s">
        <v>22365</v>
      </c>
      <c r="D6630" t="s">
        <v>3110</v>
      </c>
      <c r="E6630" t="s">
        <v>22366</v>
      </c>
      <c r="F6630" t="s">
        <v>7672</v>
      </c>
      <c r="G6630" t="s">
        <v>22367</v>
      </c>
      <c r="H6630" t="s">
        <v>9693</v>
      </c>
      <c r="I6630" t="s">
        <v>18323</v>
      </c>
      <c r="J6630" t="s">
        <v>9694</v>
      </c>
    </row>
    <row r="6631" spans="1:10" x14ac:dyDescent="0.25">
      <c r="A6631" t="s">
        <v>22368</v>
      </c>
      <c r="B6631">
        <v>7.6000000000000014</v>
      </c>
      <c r="C6631" t="s">
        <v>22369</v>
      </c>
      <c r="D6631" t="s">
        <v>5966</v>
      </c>
      <c r="E6631" t="s">
        <v>22370</v>
      </c>
      <c r="F6631" t="s">
        <v>7672</v>
      </c>
      <c r="G6631" t="s">
        <v>22371</v>
      </c>
      <c r="H6631" t="s">
        <v>13951</v>
      </c>
      <c r="I6631" t="s">
        <v>22372</v>
      </c>
      <c r="J6631" t="s">
        <v>10369</v>
      </c>
    </row>
    <row r="6632" spans="1:10" x14ac:dyDescent="0.25">
      <c r="A6632" t="s">
        <v>22373</v>
      </c>
      <c r="B6632">
        <v>7.6000000000000014</v>
      </c>
      <c r="C6632" t="s">
        <v>22374</v>
      </c>
      <c r="D6632" t="s">
        <v>1734</v>
      </c>
      <c r="E6632" t="s">
        <v>22370</v>
      </c>
      <c r="F6632" t="s">
        <v>7672</v>
      </c>
      <c r="G6632" t="s">
        <v>22371</v>
      </c>
      <c r="H6632" t="s">
        <v>13951</v>
      </c>
      <c r="I6632" t="s">
        <v>22372</v>
      </c>
      <c r="J6632" t="s">
        <v>11590</v>
      </c>
    </row>
    <row r="6633" spans="1:10" x14ac:dyDescent="0.25">
      <c r="A6633" t="s">
        <v>22375</v>
      </c>
      <c r="B6633">
        <v>7.6000000000000014</v>
      </c>
      <c r="C6633" t="s">
        <v>22376</v>
      </c>
      <c r="D6633" t="s">
        <v>654</v>
      </c>
      <c r="E6633" t="s">
        <v>22370</v>
      </c>
      <c r="F6633" t="s">
        <v>7672</v>
      </c>
      <c r="G6633" t="s">
        <v>22371</v>
      </c>
      <c r="H6633" t="s">
        <v>13951</v>
      </c>
      <c r="I6633" t="s">
        <v>22372</v>
      </c>
      <c r="J6633" t="s">
        <v>11593</v>
      </c>
    </row>
    <row r="6634" spans="1:10" x14ac:dyDescent="0.25">
      <c r="A6634" t="s">
        <v>6184</v>
      </c>
      <c r="B6634">
        <v>6.8000000000000007</v>
      </c>
      <c r="C6634" t="s">
        <v>6186</v>
      </c>
      <c r="D6634" t="s">
        <v>124</v>
      </c>
      <c r="E6634" t="s">
        <v>6187</v>
      </c>
      <c r="F6634" t="s">
        <v>7672</v>
      </c>
      <c r="G6634" t="s">
        <v>22377</v>
      </c>
      <c r="H6634" t="s">
        <v>11496</v>
      </c>
      <c r="I6634" t="s">
        <v>18427</v>
      </c>
      <c r="J6634" t="s">
        <v>9423</v>
      </c>
    </row>
    <row r="6635" spans="1:10" x14ac:dyDescent="0.25">
      <c r="A6635" t="s">
        <v>6190</v>
      </c>
      <c r="B6635">
        <v>6.8000000000000007</v>
      </c>
      <c r="C6635" t="s">
        <v>6192</v>
      </c>
      <c r="D6635" t="s">
        <v>6194</v>
      </c>
      <c r="E6635" t="s">
        <v>6187</v>
      </c>
      <c r="F6635" t="s">
        <v>7672</v>
      </c>
      <c r="G6635" t="s">
        <v>22377</v>
      </c>
      <c r="H6635" t="s">
        <v>11496</v>
      </c>
      <c r="I6635" t="s">
        <v>18427</v>
      </c>
      <c r="J6635" t="s">
        <v>10862</v>
      </c>
    </row>
    <row r="6636" spans="1:10" x14ac:dyDescent="0.25">
      <c r="A6636" t="s">
        <v>6195</v>
      </c>
      <c r="B6636">
        <v>6.8000000000000007</v>
      </c>
      <c r="C6636" t="s">
        <v>6197</v>
      </c>
      <c r="D6636" t="s">
        <v>4579</v>
      </c>
      <c r="E6636" t="s">
        <v>6187</v>
      </c>
      <c r="F6636" t="s">
        <v>7672</v>
      </c>
      <c r="G6636" t="s">
        <v>22377</v>
      </c>
      <c r="H6636" t="s">
        <v>11496</v>
      </c>
      <c r="I6636" t="s">
        <v>18427</v>
      </c>
      <c r="J6636" t="s">
        <v>9426</v>
      </c>
    </row>
    <row r="6637" spans="1:10" x14ac:dyDescent="0.25">
      <c r="A6637" t="s">
        <v>6199</v>
      </c>
      <c r="B6637">
        <v>6.8000000000000007</v>
      </c>
      <c r="C6637" t="s">
        <v>6201</v>
      </c>
      <c r="D6637" t="s">
        <v>2797</v>
      </c>
      <c r="E6637" t="s">
        <v>6187</v>
      </c>
      <c r="F6637" t="s">
        <v>7672</v>
      </c>
      <c r="G6637" t="s">
        <v>22377</v>
      </c>
      <c r="H6637" t="s">
        <v>11496</v>
      </c>
      <c r="I6637" t="s">
        <v>18427</v>
      </c>
      <c r="J6637" t="s">
        <v>13084</v>
      </c>
    </row>
    <row r="6638" spans="1:10" x14ac:dyDescent="0.25">
      <c r="A6638" t="s">
        <v>6203</v>
      </c>
      <c r="B6638">
        <v>6.8000000000000007</v>
      </c>
      <c r="C6638" t="s">
        <v>6205</v>
      </c>
      <c r="D6638" t="s">
        <v>1893</v>
      </c>
      <c r="E6638" t="s">
        <v>6187</v>
      </c>
      <c r="F6638" t="s">
        <v>7672</v>
      </c>
      <c r="G6638" t="s">
        <v>22377</v>
      </c>
      <c r="H6638" t="s">
        <v>11496</v>
      </c>
      <c r="I6638" t="s">
        <v>18427</v>
      </c>
      <c r="J6638" t="s">
        <v>11767</v>
      </c>
    </row>
    <row r="6639" spans="1:10" x14ac:dyDescent="0.25">
      <c r="A6639" t="s">
        <v>6207</v>
      </c>
      <c r="B6639">
        <v>6.8000000000000007</v>
      </c>
      <c r="C6639" t="s">
        <v>6209</v>
      </c>
      <c r="D6639" t="s">
        <v>3850</v>
      </c>
      <c r="E6639" t="s">
        <v>6187</v>
      </c>
      <c r="F6639" t="s">
        <v>7672</v>
      </c>
      <c r="G6639" t="s">
        <v>22377</v>
      </c>
      <c r="H6639" t="s">
        <v>11496</v>
      </c>
      <c r="I6639" t="s">
        <v>18427</v>
      </c>
      <c r="J6639" t="s">
        <v>11582</v>
      </c>
    </row>
    <row r="6640" spans="1:10" x14ac:dyDescent="0.25">
      <c r="A6640" t="s">
        <v>6211</v>
      </c>
      <c r="B6640">
        <v>6.8000000000000007</v>
      </c>
      <c r="C6640" t="s">
        <v>6213</v>
      </c>
      <c r="D6640" t="s">
        <v>588</v>
      </c>
      <c r="E6640" t="s">
        <v>6187</v>
      </c>
      <c r="F6640" t="s">
        <v>7672</v>
      </c>
      <c r="G6640" t="s">
        <v>22377</v>
      </c>
      <c r="H6640" t="s">
        <v>11496</v>
      </c>
      <c r="I6640" t="s">
        <v>18427</v>
      </c>
      <c r="J6640" t="s">
        <v>11585</v>
      </c>
    </row>
    <row r="6641" spans="1:10" x14ac:dyDescent="0.25">
      <c r="A6641" t="s">
        <v>22378</v>
      </c>
      <c r="B6641">
        <v>13.6</v>
      </c>
      <c r="C6641" t="s">
        <v>22379</v>
      </c>
      <c r="D6641" t="s">
        <v>229</v>
      </c>
      <c r="E6641" t="s">
        <v>22380</v>
      </c>
      <c r="F6641" t="s">
        <v>7672</v>
      </c>
      <c r="G6641" t="s">
        <v>22381</v>
      </c>
      <c r="H6641" t="s">
        <v>12232</v>
      </c>
      <c r="I6641" t="s">
        <v>1490</v>
      </c>
      <c r="J6641" t="s">
        <v>11315</v>
      </c>
    </row>
    <row r="6642" spans="1:10" x14ac:dyDescent="0.25">
      <c r="A6642" t="s">
        <v>22382</v>
      </c>
      <c r="B6642">
        <v>13.6</v>
      </c>
      <c r="C6642" t="s">
        <v>22383</v>
      </c>
      <c r="D6642" t="s">
        <v>3974</v>
      </c>
      <c r="E6642" t="s">
        <v>22380</v>
      </c>
      <c r="F6642" t="s">
        <v>7672</v>
      </c>
      <c r="G6642" t="s">
        <v>22381</v>
      </c>
      <c r="H6642" t="s">
        <v>12232</v>
      </c>
      <c r="I6642" t="s">
        <v>1490</v>
      </c>
      <c r="J6642" t="s">
        <v>9730</v>
      </c>
    </row>
    <row r="6643" spans="1:10" x14ac:dyDescent="0.25">
      <c r="A6643" t="s">
        <v>22384</v>
      </c>
      <c r="B6643">
        <v>13.6</v>
      </c>
      <c r="C6643" t="s">
        <v>22385</v>
      </c>
      <c r="D6643" t="s">
        <v>1236</v>
      </c>
      <c r="E6643" t="s">
        <v>22380</v>
      </c>
      <c r="F6643" t="s">
        <v>7672</v>
      </c>
      <c r="G6643" t="s">
        <v>22381</v>
      </c>
      <c r="H6643" t="s">
        <v>12232</v>
      </c>
      <c r="I6643" t="s">
        <v>1490</v>
      </c>
      <c r="J6643" t="s">
        <v>9739</v>
      </c>
    </row>
    <row r="6644" spans="1:10" x14ac:dyDescent="0.25">
      <c r="A6644" t="s">
        <v>22386</v>
      </c>
      <c r="B6644">
        <v>13.6</v>
      </c>
      <c r="C6644" t="s">
        <v>22387</v>
      </c>
      <c r="D6644" t="s">
        <v>1512</v>
      </c>
      <c r="E6644" t="s">
        <v>22380</v>
      </c>
      <c r="F6644" t="s">
        <v>7672</v>
      </c>
      <c r="G6644" t="s">
        <v>22381</v>
      </c>
      <c r="H6644" t="s">
        <v>12232</v>
      </c>
      <c r="I6644" t="s">
        <v>1490</v>
      </c>
      <c r="J6644" t="s">
        <v>9746</v>
      </c>
    </row>
    <row r="6645" spans="1:10" x14ac:dyDescent="0.25">
      <c r="A6645" t="s">
        <v>22388</v>
      </c>
      <c r="B6645">
        <v>13.6</v>
      </c>
      <c r="C6645" t="s">
        <v>22389</v>
      </c>
      <c r="D6645" t="s">
        <v>908</v>
      </c>
      <c r="E6645" t="s">
        <v>22380</v>
      </c>
      <c r="F6645" t="s">
        <v>7672</v>
      </c>
      <c r="G6645" t="s">
        <v>22381</v>
      </c>
      <c r="H6645" t="s">
        <v>12232</v>
      </c>
      <c r="I6645" t="s">
        <v>1490</v>
      </c>
      <c r="J6645" t="s">
        <v>11326</v>
      </c>
    </row>
    <row r="6646" spans="1:10" x14ac:dyDescent="0.25">
      <c r="A6646" t="s">
        <v>22390</v>
      </c>
      <c r="B6646">
        <v>13.6</v>
      </c>
      <c r="C6646" t="s">
        <v>22391</v>
      </c>
      <c r="D6646" t="s">
        <v>776</v>
      </c>
      <c r="E6646" t="s">
        <v>22380</v>
      </c>
      <c r="F6646" t="s">
        <v>7672</v>
      </c>
      <c r="G6646" t="s">
        <v>22381</v>
      </c>
      <c r="H6646" t="s">
        <v>12232</v>
      </c>
      <c r="I6646" t="s">
        <v>1490</v>
      </c>
      <c r="J6646" t="s">
        <v>9753</v>
      </c>
    </row>
    <row r="6647" spans="1:10" x14ac:dyDescent="0.25">
      <c r="A6647" t="s">
        <v>22392</v>
      </c>
      <c r="B6647">
        <v>1.952</v>
      </c>
      <c r="C6647" t="s">
        <v>22393</v>
      </c>
      <c r="D6647" t="s">
        <v>118</v>
      </c>
      <c r="E6647" t="s">
        <v>22394</v>
      </c>
      <c r="F6647" t="s">
        <v>7672</v>
      </c>
      <c r="G6647" t="s">
        <v>22395</v>
      </c>
      <c r="H6647" t="s">
        <v>8515</v>
      </c>
      <c r="I6647" t="s">
        <v>17513</v>
      </c>
      <c r="J6647" t="s">
        <v>106</v>
      </c>
    </row>
    <row r="6648" spans="1:10" x14ac:dyDescent="0.25">
      <c r="A6648" t="s">
        <v>22396</v>
      </c>
      <c r="B6648">
        <v>1.952</v>
      </c>
      <c r="C6648" t="s">
        <v>22397</v>
      </c>
      <c r="D6648" t="s">
        <v>7934</v>
      </c>
      <c r="E6648" t="s">
        <v>22394</v>
      </c>
      <c r="F6648" t="s">
        <v>7672</v>
      </c>
      <c r="G6648" t="s">
        <v>22395</v>
      </c>
      <c r="H6648" t="s">
        <v>8515</v>
      </c>
      <c r="I6648" t="s">
        <v>17513</v>
      </c>
      <c r="J6648" t="s">
        <v>88</v>
      </c>
    </row>
    <row r="6649" spans="1:10" x14ac:dyDescent="0.25">
      <c r="A6649" t="s">
        <v>22398</v>
      </c>
      <c r="B6649">
        <v>1.952</v>
      </c>
      <c r="C6649" t="s">
        <v>22399</v>
      </c>
      <c r="D6649" t="s">
        <v>2620</v>
      </c>
      <c r="E6649" t="s">
        <v>22394</v>
      </c>
      <c r="F6649" t="s">
        <v>7672</v>
      </c>
      <c r="G6649" t="s">
        <v>22395</v>
      </c>
      <c r="H6649" t="s">
        <v>8515</v>
      </c>
      <c r="I6649" t="s">
        <v>17513</v>
      </c>
      <c r="J6649" t="s">
        <v>8531</v>
      </c>
    </row>
    <row r="6650" spans="1:10" x14ac:dyDescent="0.25">
      <c r="A6650" t="s">
        <v>6215</v>
      </c>
      <c r="B6650">
        <v>12.8</v>
      </c>
      <c r="C6650" t="s">
        <v>6217</v>
      </c>
      <c r="D6650" t="s">
        <v>2078</v>
      </c>
      <c r="E6650" t="s">
        <v>6218</v>
      </c>
      <c r="F6650" t="s">
        <v>7672</v>
      </c>
      <c r="G6650" t="s">
        <v>22400</v>
      </c>
      <c r="H6650" t="s">
        <v>15122</v>
      </c>
      <c r="I6650" t="s">
        <v>935</v>
      </c>
      <c r="J6650" t="s">
        <v>100</v>
      </c>
    </row>
    <row r="6651" spans="1:10" x14ac:dyDescent="0.25">
      <c r="A6651" t="s">
        <v>22401</v>
      </c>
      <c r="B6651">
        <v>12.8</v>
      </c>
      <c r="C6651" t="s">
        <v>22402</v>
      </c>
      <c r="D6651" t="s">
        <v>4794</v>
      </c>
      <c r="E6651" t="s">
        <v>6218</v>
      </c>
      <c r="F6651" t="s">
        <v>7672</v>
      </c>
      <c r="G6651" t="s">
        <v>22400</v>
      </c>
      <c r="H6651" t="s">
        <v>15122</v>
      </c>
      <c r="I6651" t="s">
        <v>935</v>
      </c>
      <c r="J6651" t="s">
        <v>106</v>
      </c>
    </row>
    <row r="6652" spans="1:10" x14ac:dyDescent="0.25">
      <c r="A6652" t="s">
        <v>6221</v>
      </c>
      <c r="B6652">
        <v>14</v>
      </c>
      <c r="C6652" t="s">
        <v>6223</v>
      </c>
      <c r="D6652" t="s">
        <v>725</v>
      </c>
      <c r="E6652" t="s">
        <v>6218</v>
      </c>
      <c r="F6652" t="s">
        <v>7672</v>
      </c>
      <c r="G6652" t="s">
        <v>22400</v>
      </c>
      <c r="H6652" t="s">
        <v>15122</v>
      </c>
      <c r="I6652" t="s">
        <v>935</v>
      </c>
      <c r="J6652" t="s">
        <v>269</v>
      </c>
    </row>
    <row r="6653" spans="1:10" x14ac:dyDescent="0.25">
      <c r="A6653" t="s">
        <v>6225</v>
      </c>
      <c r="B6653">
        <v>14</v>
      </c>
      <c r="C6653" t="s">
        <v>6227</v>
      </c>
      <c r="D6653" t="s">
        <v>6229</v>
      </c>
      <c r="E6653" t="s">
        <v>6218</v>
      </c>
      <c r="F6653" t="s">
        <v>7672</v>
      </c>
      <c r="G6653" t="s">
        <v>22400</v>
      </c>
      <c r="H6653" t="s">
        <v>15122</v>
      </c>
      <c r="I6653" t="s">
        <v>935</v>
      </c>
      <c r="J6653" t="s">
        <v>255</v>
      </c>
    </row>
    <row r="6654" spans="1:10" x14ac:dyDescent="0.25">
      <c r="A6654" t="s">
        <v>22403</v>
      </c>
      <c r="B6654">
        <v>14</v>
      </c>
      <c r="C6654" t="s">
        <v>22404</v>
      </c>
      <c r="D6654" t="s">
        <v>40</v>
      </c>
      <c r="E6654" t="s">
        <v>6218</v>
      </c>
      <c r="F6654" t="s">
        <v>7672</v>
      </c>
      <c r="G6654" t="s">
        <v>22400</v>
      </c>
      <c r="H6654" t="s">
        <v>15122</v>
      </c>
      <c r="I6654" t="s">
        <v>935</v>
      </c>
      <c r="J6654" t="s">
        <v>277</v>
      </c>
    </row>
    <row r="6655" spans="1:10" x14ac:dyDescent="0.25">
      <c r="A6655" t="s">
        <v>22405</v>
      </c>
      <c r="B6655">
        <v>14</v>
      </c>
      <c r="C6655" t="s">
        <v>22406</v>
      </c>
      <c r="D6655" t="s">
        <v>379</v>
      </c>
      <c r="E6655" t="s">
        <v>6218</v>
      </c>
      <c r="F6655" t="s">
        <v>7672</v>
      </c>
      <c r="G6655" t="s">
        <v>22400</v>
      </c>
      <c r="H6655" t="s">
        <v>15122</v>
      </c>
      <c r="I6655" t="s">
        <v>935</v>
      </c>
      <c r="J6655" t="s">
        <v>164</v>
      </c>
    </row>
    <row r="6656" spans="1:10" x14ac:dyDescent="0.25">
      <c r="A6656" t="s">
        <v>6230</v>
      </c>
      <c r="B6656">
        <v>14</v>
      </c>
      <c r="C6656" t="s">
        <v>6232</v>
      </c>
      <c r="D6656" t="s">
        <v>4136</v>
      </c>
      <c r="E6656" t="s">
        <v>6218</v>
      </c>
      <c r="F6656" t="s">
        <v>7672</v>
      </c>
      <c r="G6656" t="s">
        <v>22400</v>
      </c>
      <c r="H6656" t="s">
        <v>15122</v>
      </c>
      <c r="I6656" t="s">
        <v>935</v>
      </c>
      <c r="J6656" t="s">
        <v>290</v>
      </c>
    </row>
    <row r="6657" spans="1:10" x14ac:dyDescent="0.25">
      <c r="A6657" t="s">
        <v>22407</v>
      </c>
      <c r="B6657">
        <v>14</v>
      </c>
      <c r="C6657" t="s">
        <v>22408</v>
      </c>
      <c r="D6657" t="s">
        <v>131</v>
      </c>
      <c r="E6657" t="s">
        <v>6218</v>
      </c>
      <c r="F6657" t="s">
        <v>7672</v>
      </c>
      <c r="G6657" t="s">
        <v>22400</v>
      </c>
      <c r="H6657" t="s">
        <v>15122</v>
      </c>
      <c r="I6657" t="s">
        <v>935</v>
      </c>
      <c r="J6657" t="s">
        <v>15238</v>
      </c>
    </row>
    <row r="6658" spans="1:10" x14ac:dyDescent="0.25">
      <c r="A6658" t="s">
        <v>22409</v>
      </c>
      <c r="B6658">
        <v>5.2720000000000002</v>
      </c>
      <c r="C6658" t="s">
        <v>22410</v>
      </c>
      <c r="D6658" t="s">
        <v>67</v>
      </c>
      <c r="E6658" t="s">
        <v>22411</v>
      </c>
      <c r="F6658" t="s">
        <v>7672</v>
      </c>
      <c r="G6658" t="s">
        <v>22412</v>
      </c>
      <c r="H6658" t="s">
        <v>8027</v>
      </c>
      <c r="I6658" t="s">
        <v>22413</v>
      </c>
      <c r="J6658" t="s">
        <v>9023</v>
      </c>
    </row>
    <row r="6659" spans="1:10" x14ac:dyDescent="0.25">
      <c r="A6659" t="s">
        <v>22414</v>
      </c>
      <c r="B6659">
        <v>5.2720000000000002</v>
      </c>
      <c r="C6659" t="s">
        <v>22415</v>
      </c>
      <c r="D6659" t="s">
        <v>2036</v>
      </c>
      <c r="E6659" t="s">
        <v>22411</v>
      </c>
      <c r="F6659" t="s">
        <v>7672</v>
      </c>
      <c r="G6659" t="s">
        <v>22412</v>
      </c>
      <c r="H6659" t="s">
        <v>8027</v>
      </c>
      <c r="I6659" t="s">
        <v>22413</v>
      </c>
      <c r="J6659" t="s">
        <v>10926</v>
      </c>
    </row>
    <row r="6660" spans="1:10" x14ac:dyDescent="0.25">
      <c r="A6660" t="s">
        <v>22416</v>
      </c>
      <c r="B6660">
        <v>5.2720000000000002</v>
      </c>
      <c r="C6660" t="s">
        <v>22417</v>
      </c>
      <c r="D6660" t="s">
        <v>8313</v>
      </c>
      <c r="E6660" t="s">
        <v>22411</v>
      </c>
      <c r="F6660" t="s">
        <v>7672</v>
      </c>
      <c r="G6660" t="s">
        <v>22412</v>
      </c>
      <c r="H6660" t="s">
        <v>8027</v>
      </c>
      <c r="I6660" t="s">
        <v>22413</v>
      </c>
      <c r="J6660" t="s">
        <v>9061</v>
      </c>
    </row>
    <row r="6661" spans="1:10" x14ac:dyDescent="0.25">
      <c r="A6661" t="s">
        <v>6234</v>
      </c>
      <c r="B6661">
        <v>11.192</v>
      </c>
      <c r="C6661" t="s">
        <v>6236</v>
      </c>
      <c r="D6661" t="s">
        <v>2253</v>
      </c>
      <c r="E6661" t="s">
        <v>6237</v>
      </c>
      <c r="F6661" t="s">
        <v>7672</v>
      </c>
      <c r="G6661" t="s">
        <v>22418</v>
      </c>
      <c r="H6661" t="s">
        <v>22419</v>
      </c>
      <c r="I6661" t="s">
        <v>22420</v>
      </c>
      <c r="J6661" t="s">
        <v>9694</v>
      </c>
    </row>
    <row r="6662" spans="1:10" x14ac:dyDescent="0.25">
      <c r="A6662" t="s">
        <v>22421</v>
      </c>
      <c r="B6662">
        <v>2.7919999999999998</v>
      </c>
      <c r="C6662" t="s">
        <v>22422</v>
      </c>
      <c r="D6662" t="s">
        <v>436</v>
      </c>
      <c r="E6662" t="s">
        <v>22423</v>
      </c>
      <c r="F6662" t="s">
        <v>7672</v>
      </c>
      <c r="G6662" t="s">
        <v>22424</v>
      </c>
      <c r="H6662" t="s">
        <v>8515</v>
      </c>
      <c r="I6662" t="s">
        <v>22425</v>
      </c>
      <c r="J6662" t="s">
        <v>11593</v>
      </c>
    </row>
    <row r="6663" spans="1:10" x14ac:dyDescent="0.25">
      <c r="A6663" t="s">
        <v>22426</v>
      </c>
      <c r="B6663">
        <v>6</v>
      </c>
      <c r="C6663" t="s">
        <v>22427</v>
      </c>
      <c r="D6663" t="s">
        <v>791</v>
      </c>
      <c r="E6663" t="s">
        <v>22428</v>
      </c>
      <c r="F6663" t="s">
        <v>7672</v>
      </c>
      <c r="G6663" t="s">
        <v>22429</v>
      </c>
      <c r="H6663" t="s">
        <v>8027</v>
      </c>
      <c r="I6663" t="s">
        <v>76</v>
      </c>
      <c r="J6663" t="s">
        <v>7942</v>
      </c>
    </row>
    <row r="6664" spans="1:10" x14ac:dyDescent="0.25">
      <c r="A6664" t="s">
        <v>22430</v>
      </c>
      <c r="B6664">
        <v>6</v>
      </c>
      <c r="C6664" t="s">
        <v>22431</v>
      </c>
      <c r="D6664" t="s">
        <v>1014</v>
      </c>
      <c r="E6664" t="s">
        <v>22428</v>
      </c>
      <c r="F6664" t="s">
        <v>7672</v>
      </c>
      <c r="G6664" t="s">
        <v>22429</v>
      </c>
      <c r="H6664" t="s">
        <v>8027</v>
      </c>
      <c r="I6664" t="s">
        <v>8154</v>
      </c>
      <c r="J6664" t="s">
        <v>7981</v>
      </c>
    </row>
    <row r="6665" spans="1:10" x14ac:dyDescent="0.25">
      <c r="A6665" t="s">
        <v>22432</v>
      </c>
      <c r="B6665">
        <v>7.2</v>
      </c>
      <c r="C6665" t="s">
        <v>22433</v>
      </c>
      <c r="D6665" t="s">
        <v>22434</v>
      </c>
      <c r="E6665" t="s">
        <v>22435</v>
      </c>
      <c r="F6665" t="s">
        <v>7672</v>
      </c>
      <c r="G6665" t="s">
        <v>22436</v>
      </c>
      <c r="H6665" t="s">
        <v>11381</v>
      </c>
      <c r="I6665" t="s">
        <v>22437</v>
      </c>
      <c r="J6665" t="s">
        <v>8789</v>
      </c>
    </row>
    <row r="6666" spans="1:10" x14ac:dyDescent="0.25">
      <c r="A6666" t="s">
        <v>22438</v>
      </c>
      <c r="B6666">
        <v>7.2</v>
      </c>
      <c r="C6666" t="s">
        <v>22439</v>
      </c>
      <c r="D6666" t="s">
        <v>17174</v>
      </c>
      <c r="E6666" t="s">
        <v>22435</v>
      </c>
      <c r="F6666" t="s">
        <v>7672</v>
      </c>
      <c r="G6666" t="s">
        <v>22436</v>
      </c>
      <c r="H6666" t="s">
        <v>11381</v>
      </c>
      <c r="I6666" t="s">
        <v>22440</v>
      </c>
      <c r="J6666" t="s">
        <v>8789</v>
      </c>
    </row>
    <row r="6667" spans="1:10" x14ac:dyDescent="0.25">
      <c r="A6667" t="s">
        <v>6239</v>
      </c>
      <c r="B6667">
        <v>7.6000000000000014</v>
      </c>
      <c r="C6667" t="s">
        <v>6241</v>
      </c>
      <c r="D6667" t="s">
        <v>2804</v>
      </c>
      <c r="E6667" t="s">
        <v>6242</v>
      </c>
      <c r="F6667" t="s">
        <v>7672</v>
      </c>
      <c r="G6667" t="s">
        <v>22441</v>
      </c>
      <c r="H6667" t="s">
        <v>11496</v>
      </c>
      <c r="I6667" t="s">
        <v>15475</v>
      </c>
      <c r="J6667" t="s">
        <v>9423</v>
      </c>
    </row>
    <row r="6668" spans="1:10" x14ac:dyDescent="0.25">
      <c r="A6668" t="s">
        <v>6244</v>
      </c>
      <c r="B6668">
        <v>7.6000000000000014</v>
      </c>
      <c r="C6668" t="s">
        <v>6246</v>
      </c>
      <c r="D6668" t="s">
        <v>1965</v>
      </c>
      <c r="E6668" t="s">
        <v>6242</v>
      </c>
      <c r="F6668" t="s">
        <v>7672</v>
      </c>
      <c r="G6668" t="s">
        <v>22441</v>
      </c>
      <c r="H6668" t="s">
        <v>11496</v>
      </c>
      <c r="I6668" t="s">
        <v>15475</v>
      </c>
      <c r="J6668" t="s">
        <v>10862</v>
      </c>
    </row>
    <row r="6669" spans="1:10" x14ac:dyDescent="0.25">
      <c r="A6669" t="s">
        <v>6248</v>
      </c>
      <c r="B6669">
        <v>7.6000000000000014</v>
      </c>
      <c r="C6669" t="s">
        <v>6250</v>
      </c>
      <c r="D6669" t="s">
        <v>2845</v>
      </c>
      <c r="E6669" t="s">
        <v>6242</v>
      </c>
      <c r="F6669" t="s">
        <v>7672</v>
      </c>
      <c r="G6669" t="s">
        <v>22441</v>
      </c>
      <c r="H6669" t="s">
        <v>11496</v>
      </c>
      <c r="I6669" t="s">
        <v>15475</v>
      </c>
      <c r="J6669" t="s">
        <v>9426</v>
      </c>
    </row>
    <row r="6670" spans="1:10" x14ac:dyDescent="0.25">
      <c r="A6670" t="s">
        <v>6253</v>
      </c>
      <c r="B6670">
        <v>7.6000000000000014</v>
      </c>
      <c r="C6670" t="s">
        <v>6255</v>
      </c>
      <c r="D6670" t="s">
        <v>6257</v>
      </c>
      <c r="E6670" t="s">
        <v>6242</v>
      </c>
      <c r="F6670" t="s">
        <v>7672</v>
      </c>
      <c r="G6670" t="s">
        <v>22441</v>
      </c>
      <c r="H6670" t="s">
        <v>11496</v>
      </c>
      <c r="I6670" t="s">
        <v>15475</v>
      </c>
      <c r="J6670" t="s">
        <v>13084</v>
      </c>
    </row>
    <row r="6671" spans="1:10" x14ac:dyDescent="0.25">
      <c r="A6671" t="s">
        <v>6258</v>
      </c>
      <c r="B6671">
        <v>7.6000000000000014</v>
      </c>
      <c r="C6671" t="s">
        <v>6260</v>
      </c>
      <c r="D6671" t="s">
        <v>40</v>
      </c>
      <c r="E6671" t="s">
        <v>6242</v>
      </c>
      <c r="F6671" t="s">
        <v>7672</v>
      </c>
      <c r="G6671" t="s">
        <v>22441</v>
      </c>
      <c r="H6671" t="s">
        <v>11496</v>
      </c>
      <c r="I6671" t="s">
        <v>15475</v>
      </c>
      <c r="J6671" t="s">
        <v>11767</v>
      </c>
    </row>
    <row r="6672" spans="1:10" x14ac:dyDescent="0.25">
      <c r="A6672" t="s">
        <v>6262</v>
      </c>
      <c r="B6672">
        <v>7.6000000000000014</v>
      </c>
      <c r="C6672" t="s">
        <v>6264</v>
      </c>
      <c r="D6672" t="s">
        <v>1459</v>
      </c>
      <c r="E6672" t="s">
        <v>6242</v>
      </c>
      <c r="F6672" t="s">
        <v>7672</v>
      </c>
      <c r="G6672" t="s">
        <v>22441</v>
      </c>
      <c r="H6672" t="s">
        <v>11496</v>
      </c>
      <c r="I6672" t="s">
        <v>15475</v>
      </c>
      <c r="J6672" t="s">
        <v>11582</v>
      </c>
    </row>
    <row r="6673" spans="1:10" x14ac:dyDescent="0.25">
      <c r="A6673" t="s">
        <v>22442</v>
      </c>
      <c r="B6673">
        <v>9.6000000000000014</v>
      </c>
      <c r="C6673" t="s">
        <v>22443</v>
      </c>
      <c r="D6673" t="s">
        <v>118</v>
      </c>
      <c r="E6673" t="s">
        <v>22444</v>
      </c>
      <c r="F6673" t="s">
        <v>7672</v>
      </c>
      <c r="G6673" t="s">
        <v>22445</v>
      </c>
      <c r="H6673" t="s">
        <v>7954</v>
      </c>
      <c r="I6673" t="s">
        <v>22446</v>
      </c>
      <c r="J6673" t="s">
        <v>7987</v>
      </c>
    </row>
    <row r="6674" spans="1:10" x14ac:dyDescent="0.25">
      <c r="A6674" t="s">
        <v>22447</v>
      </c>
      <c r="B6674">
        <v>9.6000000000000014</v>
      </c>
      <c r="C6674" t="s">
        <v>22448</v>
      </c>
      <c r="D6674" t="s">
        <v>250</v>
      </c>
      <c r="E6674" t="s">
        <v>22444</v>
      </c>
      <c r="F6674" t="s">
        <v>7672</v>
      </c>
      <c r="G6674" t="s">
        <v>22445</v>
      </c>
      <c r="H6674" t="s">
        <v>7954</v>
      </c>
      <c r="I6674" t="s">
        <v>22446</v>
      </c>
      <c r="J6674" t="s">
        <v>8001</v>
      </c>
    </row>
    <row r="6675" spans="1:10" x14ac:dyDescent="0.25">
      <c r="A6675" t="s">
        <v>22449</v>
      </c>
      <c r="B6675">
        <v>10.8</v>
      </c>
      <c r="C6675" t="s">
        <v>22450</v>
      </c>
      <c r="D6675" t="s">
        <v>269</v>
      </c>
      <c r="E6675" t="s">
        <v>22451</v>
      </c>
      <c r="F6675" t="s">
        <v>7672</v>
      </c>
      <c r="G6675" t="s">
        <v>22452</v>
      </c>
      <c r="H6675" t="s">
        <v>11834</v>
      </c>
      <c r="I6675" t="s">
        <v>22453</v>
      </c>
      <c r="J6675" t="s">
        <v>22454</v>
      </c>
    </row>
    <row r="6676" spans="1:10" x14ac:dyDescent="0.25">
      <c r="A6676" t="s">
        <v>22455</v>
      </c>
      <c r="B6676">
        <v>10.8</v>
      </c>
      <c r="C6676" t="s">
        <v>22456</v>
      </c>
      <c r="D6676" t="s">
        <v>95</v>
      </c>
      <c r="E6676" t="s">
        <v>22451</v>
      </c>
      <c r="F6676" t="s">
        <v>7672</v>
      </c>
      <c r="G6676" t="s">
        <v>22452</v>
      </c>
      <c r="H6676" t="s">
        <v>11834</v>
      </c>
      <c r="I6676" t="s">
        <v>22457</v>
      </c>
      <c r="J6676" t="s">
        <v>22454</v>
      </c>
    </row>
    <row r="6677" spans="1:10" x14ac:dyDescent="0.25">
      <c r="A6677" t="s">
        <v>6266</v>
      </c>
      <c r="B6677">
        <v>7.7920000000000007</v>
      </c>
      <c r="C6677" t="s">
        <v>6268</v>
      </c>
      <c r="D6677" t="s">
        <v>6271</v>
      </c>
      <c r="E6677" t="s">
        <v>6269</v>
      </c>
      <c r="F6677" t="s">
        <v>7672</v>
      </c>
      <c r="G6677" t="s">
        <v>22458</v>
      </c>
      <c r="H6677" t="s">
        <v>22459</v>
      </c>
      <c r="I6677" t="s">
        <v>497</v>
      </c>
      <c r="J6677" t="s">
        <v>9694</v>
      </c>
    </row>
    <row r="6678" spans="1:10" x14ac:dyDescent="0.25">
      <c r="A6678" t="s">
        <v>22460</v>
      </c>
      <c r="B6678">
        <v>13.32</v>
      </c>
      <c r="C6678" t="s">
        <v>22461</v>
      </c>
      <c r="D6678" t="s">
        <v>60</v>
      </c>
      <c r="E6678" t="s">
        <v>22462</v>
      </c>
      <c r="F6678" t="s">
        <v>7672</v>
      </c>
      <c r="G6678" t="s">
        <v>22463</v>
      </c>
      <c r="H6678" t="s">
        <v>16745</v>
      </c>
      <c r="I6678" t="s">
        <v>76</v>
      </c>
      <c r="J6678" t="s">
        <v>7942</v>
      </c>
    </row>
    <row r="6679" spans="1:10" x14ac:dyDescent="0.25">
      <c r="A6679" t="s">
        <v>22464</v>
      </c>
      <c r="B6679">
        <v>3.6320000000000001</v>
      </c>
      <c r="C6679" t="s">
        <v>22465</v>
      </c>
      <c r="D6679" t="s">
        <v>3378</v>
      </c>
      <c r="E6679" t="s">
        <v>22466</v>
      </c>
      <c r="F6679" t="s">
        <v>7672</v>
      </c>
      <c r="G6679" t="s">
        <v>22467</v>
      </c>
      <c r="H6679" t="s">
        <v>8515</v>
      </c>
      <c r="I6679" t="s">
        <v>22468</v>
      </c>
      <c r="J6679" t="s">
        <v>100</v>
      </c>
    </row>
    <row r="6680" spans="1:10" x14ac:dyDescent="0.25">
      <c r="A6680" t="s">
        <v>22469</v>
      </c>
      <c r="B6680">
        <v>3.6320000000000001</v>
      </c>
      <c r="C6680" t="s">
        <v>22470</v>
      </c>
      <c r="D6680" t="s">
        <v>593</v>
      </c>
      <c r="E6680" t="s">
        <v>22466</v>
      </c>
      <c r="F6680" t="s">
        <v>7672</v>
      </c>
      <c r="G6680" t="s">
        <v>22467</v>
      </c>
      <c r="H6680" t="s">
        <v>8515</v>
      </c>
      <c r="I6680" t="s">
        <v>22468</v>
      </c>
      <c r="J6680" t="s">
        <v>106</v>
      </c>
    </row>
    <row r="6681" spans="1:10" x14ac:dyDescent="0.25">
      <c r="A6681" t="s">
        <v>22471</v>
      </c>
      <c r="B6681">
        <v>3.6320000000000001</v>
      </c>
      <c r="C6681" t="s">
        <v>22472</v>
      </c>
      <c r="D6681" t="s">
        <v>3258</v>
      </c>
      <c r="E6681" t="s">
        <v>22466</v>
      </c>
      <c r="F6681" t="s">
        <v>7672</v>
      </c>
      <c r="G6681" t="s">
        <v>22467</v>
      </c>
      <c r="H6681" t="s">
        <v>8515</v>
      </c>
      <c r="I6681" t="s">
        <v>22468</v>
      </c>
      <c r="J6681" t="s">
        <v>88</v>
      </c>
    </row>
    <row r="6682" spans="1:10" x14ac:dyDescent="0.25">
      <c r="A6682" t="s">
        <v>22473</v>
      </c>
      <c r="B6682">
        <v>3.6320000000000001</v>
      </c>
      <c r="C6682" t="s">
        <v>22474</v>
      </c>
      <c r="D6682" t="s">
        <v>385</v>
      </c>
      <c r="E6682" t="s">
        <v>22466</v>
      </c>
      <c r="F6682" t="s">
        <v>7672</v>
      </c>
      <c r="G6682" t="s">
        <v>22467</v>
      </c>
      <c r="H6682" t="s">
        <v>8515</v>
      </c>
      <c r="I6682" t="s">
        <v>22468</v>
      </c>
      <c r="J6682" t="s">
        <v>8531</v>
      </c>
    </row>
    <row r="6683" spans="1:10" x14ac:dyDescent="0.25">
      <c r="A6683" t="s">
        <v>22475</v>
      </c>
      <c r="B6683">
        <v>3.6320000000000001</v>
      </c>
      <c r="C6683" t="s">
        <v>22476</v>
      </c>
      <c r="D6683" t="s">
        <v>1134</v>
      </c>
      <c r="E6683" t="s">
        <v>22466</v>
      </c>
      <c r="F6683" t="s">
        <v>7672</v>
      </c>
      <c r="G6683" t="s">
        <v>22467</v>
      </c>
      <c r="H6683" t="s">
        <v>8515</v>
      </c>
      <c r="I6683" t="s">
        <v>22468</v>
      </c>
      <c r="J6683" t="s">
        <v>131</v>
      </c>
    </row>
    <row r="6684" spans="1:10" x14ac:dyDescent="0.25">
      <c r="A6684" t="s">
        <v>22477</v>
      </c>
      <c r="B6684">
        <v>3.6320000000000001</v>
      </c>
      <c r="C6684" t="s">
        <v>22478</v>
      </c>
      <c r="D6684" t="s">
        <v>255</v>
      </c>
      <c r="E6684" t="s">
        <v>22466</v>
      </c>
      <c r="F6684" t="s">
        <v>7672</v>
      </c>
      <c r="G6684" t="s">
        <v>22467</v>
      </c>
      <c r="H6684" t="s">
        <v>8515</v>
      </c>
      <c r="I6684" t="s">
        <v>22468</v>
      </c>
      <c r="J6684" t="s">
        <v>277</v>
      </c>
    </row>
    <row r="6685" spans="1:10" x14ac:dyDescent="0.25">
      <c r="A6685" t="s">
        <v>22479</v>
      </c>
      <c r="B6685">
        <v>9</v>
      </c>
      <c r="C6685" t="s">
        <v>22480</v>
      </c>
      <c r="D6685" t="s">
        <v>359</v>
      </c>
      <c r="E6685" t="s">
        <v>22481</v>
      </c>
      <c r="F6685" t="s">
        <v>7672</v>
      </c>
      <c r="G6685" t="s">
        <v>22482</v>
      </c>
      <c r="H6685" t="s">
        <v>14647</v>
      </c>
      <c r="I6685" t="s">
        <v>14648</v>
      </c>
      <c r="J6685" t="s">
        <v>7981</v>
      </c>
    </row>
    <row r="6686" spans="1:10" x14ac:dyDescent="0.25">
      <c r="A6686" t="s">
        <v>22483</v>
      </c>
      <c r="B6686">
        <v>9</v>
      </c>
      <c r="C6686" t="s">
        <v>22484</v>
      </c>
      <c r="D6686" t="s">
        <v>290</v>
      </c>
      <c r="E6686" t="s">
        <v>22481</v>
      </c>
      <c r="F6686" t="s">
        <v>7672</v>
      </c>
      <c r="G6686" t="s">
        <v>22482</v>
      </c>
      <c r="H6686" t="s">
        <v>14647</v>
      </c>
      <c r="I6686" t="s">
        <v>22485</v>
      </c>
      <c r="J6686" t="s">
        <v>7981</v>
      </c>
    </row>
    <row r="6687" spans="1:10" x14ac:dyDescent="0.25">
      <c r="A6687" t="s">
        <v>22486</v>
      </c>
      <c r="B6687">
        <v>9</v>
      </c>
      <c r="C6687" t="s">
        <v>22487</v>
      </c>
      <c r="D6687" t="s">
        <v>875</v>
      </c>
      <c r="E6687" t="s">
        <v>22481</v>
      </c>
      <c r="F6687" t="s">
        <v>7672</v>
      </c>
      <c r="G6687" t="s">
        <v>22482</v>
      </c>
      <c r="H6687" t="s">
        <v>14647</v>
      </c>
      <c r="I6687" t="s">
        <v>76</v>
      </c>
      <c r="J6687" t="s">
        <v>7981</v>
      </c>
    </row>
    <row r="6688" spans="1:10" x14ac:dyDescent="0.25">
      <c r="A6688" t="s">
        <v>22488</v>
      </c>
      <c r="B6688">
        <v>9</v>
      </c>
      <c r="C6688" t="s">
        <v>22489</v>
      </c>
      <c r="D6688" t="s">
        <v>613</v>
      </c>
      <c r="E6688" t="s">
        <v>22481</v>
      </c>
      <c r="F6688" t="s">
        <v>7672</v>
      </c>
      <c r="G6688" t="s">
        <v>22482</v>
      </c>
      <c r="H6688" t="s">
        <v>14647</v>
      </c>
      <c r="I6688" t="s">
        <v>14651</v>
      </c>
      <c r="J6688" t="s">
        <v>7981</v>
      </c>
    </row>
    <row r="6689" spans="1:10" x14ac:dyDescent="0.25">
      <c r="A6689" t="s">
        <v>22490</v>
      </c>
      <c r="B6689">
        <v>9</v>
      </c>
      <c r="C6689" t="s">
        <v>22491</v>
      </c>
      <c r="D6689" t="s">
        <v>4270</v>
      </c>
      <c r="E6689" t="s">
        <v>22481</v>
      </c>
      <c r="F6689" t="s">
        <v>7672</v>
      </c>
      <c r="G6689" t="s">
        <v>22482</v>
      </c>
      <c r="H6689" t="s">
        <v>14647</v>
      </c>
      <c r="I6689" t="s">
        <v>76</v>
      </c>
      <c r="J6689" t="s">
        <v>7984</v>
      </c>
    </row>
    <row r="6690" spans="1:10" x14ac:dyDescent="0.25">
      <c r="A6690" t="s">
        <v>22492</v>
      </c>
      <c r="B6690">
        <v>9</v>
      </c>
      <c r="C6690" t="s">
        <v>22493</v>
      </c>
      <c r="D6690" t="s">
        <v>2910</v>
      </c>
      <c r="E6690" t="s">
        <v>22481</v>
      </c>
      <c r="F6690" t="s">
        <v>7672</v>
      </c>
      <c r="G6690" t="s">
        <v>22482</v>
      </c>
      <c r="H6690" t="s">
        <v>14647</v>
      </c>
      <c r="I6690" t="s">
        <v>14648</v>
      </c>
      <c r="J6690" t="s">
        <v>7984</v>
      </c>
    </row>
    <row r="6691" spans="1:10" x14ac:dyDescent="0.25">
      <c r="A6691" t="s">
        <v>22494</v>
      </c>
      <c r="B6691">
        <v>9</v>
      </c>
      <c r="C6691" t="s">
        <v>22495</v>
      </c>
      <c r="D6691" t="s">
        <v>450</v>
      </c>
      <c r="E6691" t="s">
        <v>22481</v>
      </c>
      <c r="F6691" t="s">
        <v>7672</v>
      </c>
      <c r="G6691" t="s">
        <v>22482</v>
      </c>
      <c r="H6691" t="s">
        <v>14647</v>
      </c>
      <c r="I6691" t="s">
        <v>14651</v>
      </c>
      <c r="J6691" t="s">
        <v>7984</v>
      </c>
    </row>
    <row r="6692" spans="1:10" x14ac:dyDescent="0.25">
      <c r="A6692" t="s">
        <v>22496</v>
      </c>
      <c r="B6692">
        <v>9</v>
      </c>
      <c r="C6692" t="s">
        <v>22497</v>
      </c>
      <c r="D6692" t="s">
        <v>342</v>
      </c>
      <c r="E6692" t="s">
        <v>22481</v>
      </c>
      <c r="F6692" t="s">
        <v>7672</v>
      </c>
      <c r="G6692" t="s">
        <v>22482</v>
      </c>
      <c r="H6692" t="s">
        <v>14647</v>
      </c>
      <c r="I6692" t="s">
        <v>22485</v>
      </c>
      <c r="J6692" t="s">
        <v>7984</v>
      </c>
    </row>
    <row r="6693" spans="1:10" x14ac:dyDescent="0.25">
      <c r="A6693" t="s">
        <v>22498</v>
      </c>
      <c r="B6693">
        <v>9</v>
      </c>
      <c r="C6693" t="s">
        <v>22499</v>
      </c>
      <c r="D6693" t="s">
        <v>2910</v>
      </c>
      <c r="E6693" t="s">
        <v>22481</v>
      </c>
      <c r="F6693" t="s">
        <v>7672</v>
      </c>
      <c r="G6693" t="s">
        <v>22482</v>
      </c>
      <c r="H6693" t="s">
        <v>14647</v>
      </c>
      <c r="I6693" t="s">
        <v>76</v>
      </c>
      <c r="J6693" t="s">
        <v>7987</v>
      </c>
    </row>
    <row r="6694" spans="1:10" x14ac:dyDescent="0.25">
      <c r="A6694" t="s">
        <v>22500</v>
      </c>
      <c r="B6694">
        <v>9</v>
      </c>
      <c r="C6694" t="s">
        <v>22501</v>
      </c>
      <c r="D6694" t="s">
        <v>296</v>
      </c>
      <c r="E6694" t="s">
        <v>22481</v>
      </c>
      <c r="F6694" t="s">
        <v>7672</v>
      </c>
      <c r="G6694" t="s">
        <v>22482</v>
      </c>
      <c r="H6694" t="s">
        <v>14647</v>
      </c>
      <c r="I6694" t="s">
        <v>14648</v>
      </c>
      <c r="J6694" t="s">
        <v>7987</v>
      </c>
    </row>
    <row r="6695" spans="1:10" x14ac:dyDescent="0.25">
      <c r="A6695" t="s">
        <v>22502</v>
      </c>
      <c r="B6695">
        <v>9</v>
      </c>
      <c r="C6695" t="s">
        <v>22503</v>
      </c>
      <c r="D6695" t="s">
        <v>2072</v>
      </c>
      <c r="E6695" t="s">
        <v>22481</v>
      </c>
      <c r="F6695" t="s">
        <v>7672</v>
      </c>
      <c r="G6695" t="s">
        <v>22482</v>
      </c>
      <c r="H6695" t="s">
        <v>14647</v>
      </c>
      <c r="I6695" t="s">
        <v>14651</v>
      </c>
      <c r="J6695" t="s">
        <v>7987</v>
      </c>
    </row>
    <row r="6696" spans="1:10" x14ac:dyDescent="0.25">
      <c r="A6696" t="s">
        <v>22504</v>
      </c>
      <c r="B6696">
        <v>9</v>
      </c>
      <c r="C6696" t="s">
        <v>22505</v>
      </c>
      <c r="D6696" t="s">
        <v>60</v>
      </c>
      <c r="E6696" t="s">
        <v>22481</v>
      </c>
      <c r="F6696" t="s">
        <v>7672</v>
      </c>
      <c r="G6696" t="s">
        <v>22482</v>
      </c>
      <c r="H6696" t="s">
        <v>14647</v>
      </c>
      <c r="I6696" t="s">
        <v>22485</v>
      </c>
      <c r="J6696" t="s">
        <v>7987</v>
      </c>
    </row>
    <row r="6697" spans="1:10" x14ac:dyDescent="0.25">
      <c r="A6697" t="s">
        <v>22506</v>
      </c>
      <c r="B6697">
        <v>9</v>
      </c>
      <c r="C6697" t="s">
        <v>22507</v>
      </c>
      <c r="D6697" t="s">
        <v>698</v>
      </c>
      <c r="E6697" t="s">
        <v>22481</v>
      </c>
      <c r="F6697" t="s">
        <v>7672</v>
      </c>
      <c r="G6697" t="s">
        <v>22482</v>
      </c>
      <c r="H6697" t="s">
        <v>14647</v>
      </c>
      <c r="I6697" t="s">
        <v>14648</v>
      </c>
      <c r="J6697" t="s">
        <v>8001</v>
      </c>
    </row>
    <row r="6698" spans="1:10" x14ac:dyDescent="0.25">
      <c r="A6698" t="s">
        <v>22508</v>
      </c>
      <c r="B6698">
        <v>9</v>
      </c>
      <c r="C6698" t="s">
        <v>22509</v>
      </c>
      <c r="D6698" t="s">
        <v>352</v>
      </c>
      <c r="E6698" t="s">
        <v>22481</v>
      </c>
      <c r="F6698" t="s">
        <v>7672</v>
      </c>
      <c r="G6698" t="s">
        <v>22482</v>
      </c>
      <c r="H6698" t="s">
        <v>14647</v>
      </c>
      <c r="I6698" t="s">
        <v>22485</v>
      </c>
      <c r="J6698" t="s">
        <v>8001</v>
      </c>
    </row>
    <row r="6699" spans="1:10" x14ac:dyDescent="0.25">
      <c r="A6699" t="s">
        <v>22510</v>
      </c>
      <c r="B6699">
        <v>9</v>
      </c>
      <c r="C6699" t="s">
        <v>22511</v>
      </c>
      <c r="D6699" t="s">
        <v>1822</v>
      </c>
      <c r="E6699" t="s">
        <v>22481</v>
      </c>
      <c r="F6699" t="s">
        <v>7672</v>
      </c>
      <c r="G6699" t="s">
        <v>22482</v>
      </c>
      <c r="H6699" t="s">
        <v>14647</v>
      </c>
      <c r="I6699" t="s">
        <v>76</v>
      </c>
      <c r="J6699" t="s">
        <v>8001</v>
      </c>
    </row>
    <row r="6700" spans="1:10" x14ac:dyDescent="0.25">
      <c r="A6700" t="s">
        <v>22512</v>
      </c>
      <c r="B6700">
        <v>9</v>
      </c>
      <c r="C6700" t="s">
        <v>22513</v>
      </c>
      <c r="D6700" t="s">
        <v>1254</v>
      </c>
      <c r="E6700" t="s">
        <v>22481</v>
      </c>
      <c r="F6700" t="s">
        <v>7672</v>
      </c>
      <c r="G6700" t="s">
        <v>22482</v>
      </c>
      <c r="H6700" t="s">
        <v>14647</v>
      </c>
      <c r="I6700" t="s">
        <v>14651</v>
      </c>
      <c r="J6700" t="s">
        <v>8001</v>
      </c>
    </row>
    <row r="6701" spans="1:10" x14ac:dyDescent="0.25">
      <c r="A6701" t="s">
        <v>22514</v>
      </c>
      <c r="B6701">
        <v>7.9120000000000008</v>
      </c>
      <c r="C6701" t="s">
        <v>22515</v>
      </c>
      <c r="D6701" t="s">
        <v>613</v>
      </c>
      <c r="E6701" t="s">
        <v>22516</v>
      </c>
      <c r="F6701" t="s">
        <v>7672</v>
      </c>
      <c r="G6701" t="s">
        <v>22517</v>
      </c>
      <c r="H6701" t="s">
        <v>7674</v>
      </c>
      <c r="I6701" t="s">
        <v>22518</v>
      </c>
      <c r="J6701" t="s">
        <v>16039</v>
      </c>
    </row>
    <row r="6702" spans="1:10" x14ac:dyDescent="0.25">
      <c r="A6702" t="s">
        <v>22519</v>
      </c>
      <c r="B6702">
        <v>7.9120000000000008</v>
      </c>
      <c r="C6702" t="s">
        <v>22520</v>
      </c>
      <c r="D6702" t="s">
        <v>2697</v>
      </c>
      <c r="E6702" t="s">
        <v>22516</v>
      </c>
      <c r="F6702" t="s">
        <v>7672</v>
      </c>
      <c r="G6702" t="s">
        <v>22517</v>
      </c>
      <c r="H6702" t="s">
        <v>7674</v>
      </c>
      <c r="I6702" t="s">
        <v>22521</v>
      </c>
      <c r="J6702" t="s">
        <v>16039</v>
      </c>
    </row>
    <row r="6703" spans="1:10" x14ac:dyDescent="0.25">
      <c r="A6703" t="s">
        <v>22522</v>
      </c>
      <c r="B6703">
        <v>7.9120000000000008</v>
      </c>
      <c r="C6703" t="s">
        <v>22523</v>
      </c>
      <c r="D6703" t="s">
        <v>385</v>
      </c>
      <c r="E6703" t="s">
        <v>22516</v>
      </c>
      <c r="F6703" t="s">
        <v>7672</v>
      </c>
      <c r="G6703" t="s">
        <v>22517</v>
      </c>
      <c r="H6703" t="s">
        <v>7674</v>
      </c>
      <c r="I6703" t="s">
        <v>13300</v>
      </c>
      <c r="J6703" t="s">
        <v>16039</v>
      </c>
    </row>
    <row r="6704" spans="1:10" x14ac:dyDescent="0.25">
      <c r="A6704" t="s">
        <v>22524</v>
      </c>
      <c r="B6704">
        <v>7.9120000000000008</v>
      </c>
      <c r="C6704" t="s">
        <v>22525</v>
      </c>
      <c r="D6704" t="s">
        <v>2022</v>
      </c>
      <c r="E6704" t="s">
        <v>22516</v>
      </c>
      <c r="F6704" t="s">
        <v>7672</v>
      </c>
      <c r="G6704" t="s">
        <v>22517</v>
      </c>
      <c r="H6704" t="s">
        <v>7674</v>
      </c>
      <c r="I6704" t="s">
        <v>22518</v>
      </c>
      <c r="J6704" t="s">
        <v>16064</v>
      </c>
    </row>
    <row r="6705" spans="1:10" x14ac:dyDescent="0.25">
      <c r="A6705" t="s">
        <v>22526</v>
      </c>
      <c r="B6705">
        <v>7.9120000000000008</v>
      </c>
      <c r="C6705" t="s">
        <v>22527</v>
      </c>
      <c r="D6705" t="s">
        <v>1236</v>
      </c>
      <c r="E6705" t="s">
        <v>22516</v>
      </c>
      <c r="F6705" t="s">
        <v>7672</v>
      </c>
      <c r="G6705" t="s">
        <v>22517</v>
      </c>
      <c r="H6705" t="s">
        <v>7674</v>
      </c>
      <c r="I6705" t="s">
        <v>22521</v>
      </c>
      <c r="J6705" t="s">
        <v>16064</v>
      </c>
    </row>
    <row r="6706" spans="1:10" x14ac:dyDescent="0.25">
      <c r="A6706" t="s">
        <v>22528</v>
      </c>
      <c r="B6706">
        <v>7.9120000000000008</v>
      </c>
      <c r="C6706" t="s">
        <v>22529</v>
      </c>
      <c r="D6706" t="s">
        <v>2879</v>
      </c>
      <c r="E6706" t="s">
        <v>22516</v>
      </c>
      <c r="F6706" t="s">
        <v>7672</v>
      </c>
      <c r="G6706" t="s">
        <v>22517</v>
      </c>
      <c r="H6706" t="s">
        <v>7674</v>
      </c>
      <c r="I6706" t="s">
        <v>13300</v>
      </c>
      <c r="J6706" t="s">
        <v>16064</v>
      </c>
    </row>
    <row r="6707" spans="1:10" x14ac:dyDescent="0.25">
      <c r="A6707" t="s">
        <v>22530</v>
      </c>
      <c r="B6707">
        <v>7.9120000000000008</v>
      </c>
      <c r="C6707" t="s">
        <v>22531</v>
      </c>
      <c r="D6707" t="s">
        <v>277</v>
      </c>
      <c r="E6707" t="s">
        <v>22516</v>
      </c>
      <c r="F6707" t="s">
        <v>7672</v>
      </c>
      <c r="G6707" t="s">
        <v>22517</v>
      </c>
      <c r="H6707" t="s">
        <v>7674</v>
      </c>
      <c r="I6707" t="s">
        <v>22518</v>
      </c>
      <c r="J6707" t="s">
        <v>16089</v>
      </c>
    </row>
    <row r="6708" spans="1:10" x14ac:dyDescent="0.25">
      <c r="A6708" t="s">
        <v>22532</v>
      </c>
      <c r="B6708">
        <v>7.9120000000000008</v>
      </c>
      <c r="C6708" t="s">
        <v>22533</v>
      </c>
      <c r="D6708" t="s">
        <v>53</v>
      </c>
      <c r="E6708" t="s">
        <v>22516</v>
      </c>
      <c r="F6708" t="s">
        <v>7672</v>
      </c>
      <c r="G6708" t="s">
        <v>22517</v>
      </c>
      <c r="H6708" t="s">
        <v>7674</v>
      </c>
      <c r="I6708" t="s">
        <v>22521</v>
      </c>
      <c r="J6708" t="s">
        <v>16089</v>
      </c>
    </row>
    <row r="6709" spans="1:10" x14ac:dyDescent="0.25">
      <c r="A6709" t="s">
        <v>22534</v>
      </c>
      <c r="B6709">
        <v>7.9120000000000008</v>
      </c>
      <c r="C6709" t="s">
        <v>22535</v>
      </c>
      <c r="D6709" t="s">
        <v>582</v>
      </c>
      <c r="E6709" t="s">
        <v>22516</v>
      </c>
      <c r="F6709" t="s">
        <v>7672</v>
      </c>
      <c r="G6709" t="s">
        <v>22517</v>
      </c>
      <c r="H6709" t="s">
        <v>7674</v>
      </c>
      <c r="I6709" t="s">
        <v>22521</v>
      </c>
      <c r="J6709" t="s">
        <v>16104</v>
      </c>
    </row>
    <row r="6710" spans="1:10" x14ac:dyDescent="0.25">
      <c r="A6710" t="s">
        <v>22536</v>
      </c>
      <c r="B6710">
        <v>7.9120000000000008</v>
      </c>
      <c r="C6710" t="s">
        <v>22537</v>
      </c>
      <c r="D6710" t="s">
        <v>240</v>
      </c>
      <c r="E6710" t="s">
        <v>22516</v>
      </c>
      <c r="F6710" t="s">
        <v>7672</v>
      </c>
      <c r="G6710" t="s">
        <v>22517</v>
      </c>
      <c r="H6710" t="s">
        <v>7674</v>
      </c>
      <c r="I6710" t="s">
        <v>22518</v>
      </c>
      <c r="J6710" t="s">
        <v>16104</v>
      </c>
    </row>
    <row r="6711" spans="1:10" x14ac:dyDescent="0.25">
      <c r="A6711" t="s">
        <v>22538</v>
      </c>
      <c r="B6711">
        <v>7.9120000000000008</v>
      </c>
      <c r="C6711" t="s">
        <v>22539</v>
      </c>
      <c r="D6711" t="s">
        <v>124</v>
      </c>
      <c r="E6711" t="s">
        <v>22516</v>
      </c>
      <c r="F6711" t="s">
        <v>7672</v>
      </c>
      <c r="G6711" t="s">
        <v>22517</v>
      </c>
      <c r="H6711" t="s">
        <v>7674</v>
      </c>
      <c r="I6711" t="s">
        <v>22521</v>
      </c>
      <c r="J6711" t="s">
        <v>16125</v>
      </c>
    </row>
    <row r="6712" spans="1:10" x14ac:dyDescent="0.25">
      <c r="A6712" t="s">
        <v>22540</v>
      </c>
      <c r="B6712">
        <v>7.9120000000000008</v>
      </c>
      <c r="C6712" t="s">
        <v>22541</v>
      </c>
      <c r="D6712" t="s">
        <v>849</v>
      </c>
      <c r="E6712" t="s">
        <v>22516</v>
      </c>
      <c r="F6712" t="s">
        <v>7672</v>
      </c>
      <c r="G6712" t="s">
        <v>22517</v>
      </c>
      <c r="H6712" t="s">
        <v>7674</v>
      </c>
      <c r="I6712" t="s">
        <v>22518</v>
      </c>
      <c r="J6712" t="s">
        <v>16125</v>
      </c>
    </row>
    <row r="6713" spans="1:10" x14ac:dyDescent="0.25">
      <c r="A6713" t="s">
        <v>22542</v>
      </c>
      <c r="B6713">
        <v>7.9120000000000008</v>
      </c>
      <c r="C6713" t="s">
        <v>22543</v>
      </c>
      <c r="D6713" t="s">
        <v>2022</v>
      </c>
      <c r="E6713" t="s">
        <v>22516</v>
      </c>
      <c r="F6713" t="s">
        <v>7672</v>
      </c>
      <c r="G6713" t="s">
        <v>22517</v>
      </c>
      <c r="H6713" t="s">
        <v>7674</v>
      </c>
      <c r="I6713" t="s">
        <v>22521</v>
      </c>
      <c r="J6713" t="s">
        <v>16143</v>
      </c>
    </row>
    <row r="6714" spans="1:10" x14ac:dyDescent="0.25">
      <c r="A6714" t="s">
        <v>22544</v>
      </c>
      <c r="B6714">
        <v>7.9120000000000008</v>
      </c>
      <c r="C6714" t="s">
        <v>22545</v>
      </c>
      <c r="D6714" t="s">
        <v>106</v>
      </c>
      <c r="E6714" t="s">
        <v>22516</v>
      </c>
      <c r="F6714" t="s">
        <v>7672</v>
      </c>
      <c r="G6714" t="s">
        <v>22517</v>
      </c>
      <c r="H6714" t="s">
        <v>7674</v>
      </c>
      <c r="I6714" t="s">
        <v>13300</v>
      </c>
      <c r="J6714" t="s">
        <v>16143</v>
      </c>
    </row>
    <row r="6715" spans="1:10" x14ac:dyDescent="0.25">
      <c r="A6715" t="s">
        <v>22546</v>
      </c>
      <c r="B6715">
        <v>7.9120000000000008</v>
      </c>
      <c r="C6715" t="s">
        <v>22547</v>
      </c>
      <c r="D6715" t="s">
        <v>582</v>
      </c>
      <c r="E6715" t="s">
        <v>22516</v>
      </c>
      <c r="F6715" t="s">
        <v>7672</v>
      </c>
      <c r="G6715" t="s">
        <v>22517</v>
      </c>
      <c r="H6715" t="s">
        <v>7674</v>
      </c>
      <c r="I6715" t="s">
        <v>22518</v>
      </c>
      <c r="J6715" t="s">
        <v>16143</v>
      </c>
    </row>
    <row r="6716" spans="1:10" x14ac:dyDescent="0.25">
      <c r="A6716" t="s">
        <v>22548</v>
      </c>
      <c r="B6716">
        <v>9.2319999999999993</v>
      </c>
      <c r="C6716" t="s">
        <v>22549</v>
      </c>
      <c r="D6716" t="s">
        <v>698</v>
      </c>
      <c r="E6716" t="s">
        <v>22550</v>
      </c>
      <c r="F6716" t="s">
        <v>7672</v>
      </c>
      <c r="G6716" t="s">
        <v>22551</v>
      </c>
      <c r="H6716" t="s">
        <v>10298</v>
      </c>
      <c r="I6716" t="s">
        <v>76</v>
      </c>
      <c r="J6716" t="s">
        <v>7942</v>
      </c>
    </row>
    <row r="6717" spans="1:10" x14ac:dyDescent="0.25">
      <c r="A6717" t="s">
        <v>22552</v>
      </c>
      <c r="B6717">
        <v>9.2319999999999993</v>
      </c>
      <c r="C6717" t="s">
        <v>22553</v>
      </c>
      <c r="D6717" t="s">
        <v>330</v>
      </c>
      <c r="E6717" t="s">
        <v>22550</v>
      </c>
      <c r="F6717" t="s">
        <v>7672</v>
      </c>
      <c r="G6717" t="s">
        <v>22551</v>
      </c>
      <c r="H6717" t="s">
        <v>10298</v>
      </c>
      <c r="I6717" t="s">
        <v>1243</v>
      </c>
      <c r="J6717" t="s">
        <v>7942</v>
      </c>
    </row>
    <row r="6718" spans="1:10" x14ac:dyDescent="0.25">
      <c r="A6718" t="s">
        <v>22554</v>
      </c>
      <c r="B6718">
        <v>9.2319999999999993</v>
      </c>
      <c r="C6718" t="s">
        <v>22555</v>
      </c>
      <c r="D6718" t="s">
        <v>6257</v>
      </c>
      <c r="E6718" t="s">
        <v>22550</v>
      </c>
      <c r="F6718" t="s">
        <v>7672</v>
      </c>
      <c r="G6718" t="s">
        <v>22551</v>
      </c>
      <c r="H6718" t="s">
        <v>10298</v>
      </c>
      <c r="I6718" t="s">
        <v>76</v>
      </c>
      <c r="J6718" t="s">
        <v>7981</v>
      </c>
    </row>
    <row r="6719" spans="1:10" x14ac:dyDescent="0.25">
      <c r="A6719" t="s">
        <v>22556</v>
      </c>
      <c r="B6719">
        <v>9.2319999999999993</v>
      </c>
      <c r="C6719" t="s">
        <v>22557</v>
      </c>
      <c r="D6719" t="s">
        <v>113</v>
      </c>
      <c r="E6719" t="s">
        <v>22550</v>
      </c>
      <c r="F6719" t="s">
        <v>7672</v>
      </c>
      <c r="G6719" t="s">
        <v>22551</v>
      </c>
      <c r="H6719" t="s">
        <v>10298</v>
      </c>
      <c r="I6719" t="s">
        <v>1243</v>
      </c>
      <c r="J6719" t="s">
        <v>7981</v>
      </c>
    </row>
    <row r="6720" spans="1:10" x14ac:dyDescent="0.25">
      <c r="A6720" t="s">
        <v>22558</v>
      </c>
      <c r="B6720">
        <v>9.2319999999999993</v>
      </c>
      <c r="C6720" t="s">
        <v>22559</v>
      </c>
      <c r="D6720" t="s">
        <v>1536</v>
      </c>
      <c r="E6720" t="s">
        <v>22550</v>
      </c>
      <c r="F6720" t="s">
        <v>7672</v>
      </c>
      <c r="G6720" t="s">
        <v>22551</v>
      </c>
      <c r="H6720" t="s">
        <v>10298</v>
      </c>
      <c r="I6720" t="s">
        <v>76</v>
      </c>
      <c r="J6720" t="s">
        <v>7984</v>
      </c>
    </row>
    <row r="6721" spans="1:10" x14ac:dyDescent="0.25">
      <c r="A6721" t="s">
        <v>22560</v>
      </c>
      <c r="B6721">
        <v>9.2319999999999993</v>
      </c>
      <c r="C6721" t="s">
        <v>22561</v>
      </c>
      <c r="D6721" t="s">
        <v>613</v>
      </c>
      <c r="E6721" t="s">
        <v>22550</v>
      </c>
      <c r="F6721" t="s">
        <v>7672</v>
      </c>
      <c r="G6721" t="s">
        <v>22551</v>
      </c>
      <c r="H6721" t="s">
        <v>10298</v>
      </c>
      <c r="I6721" t="s">
        <v>1243</v>
      </c>
      <c r="J6721" t="s">
        <v>7984</v>
      </c>
    </row>
    <row r="6722" spans="1:10" x14ac:dyDescent="0.25">
      <c r="A6722" t="s">
        <v>22562</v>
      </c>
      <c r="B6722">
        <v>9.2319999999999993</v>
      </c>
      <c r="C6722" t="s">
        <v>22563</v>
      </c>
      <c r="D6722" t="s">
        <v>286</v>
      </c>
      <c r="E6722" t="s">
        <v>22550</v>
      </c>
      <c r="F6722" t="s">
        <v>7672</v>
      </c>
      <c r="G6722" t="s">
        <v>22551</v>
      </c>
      <c r="H6722" t="s">
        <v>10298</v>
      </c>
      <c r="I6722" t="s">
        <v>1243</v>
      </c>
      <c r="J6722" t="s">
        <v>7987</v>
      </c>
    </row>
    <row r="6723" spans="1:10" x14ac:dyDescent="0.25">
      <c r="A6723" t="s">
        <v>22564</v>
      </c>
      <c r="B6723">
        <v>9.2319999999999993</v>
      </c>
      <c r="C6723" t="s">
        <v>22565</v>
      </c>
      <c r="D6723" t="s">
        <v>1097</v>
      </c>
      <c r="E6723" t="s">
        <v>22550</v>
      </c>
      <c r="F6723" t="s">
        <v>7672</v>
      </c>
      <c r="G6723" t="s">
        <v>22551</v>
      </c>
      <c r="H6723" t="s">
        <v>10298</v>
      </c>
      <c r="I6723" t="s">
        <v>76</v>
      </c>
      <c r="J6723" t="s">
        <v>7987</v>
      </c>
    </row>
    <row r="6724" spans="1:10" x14ac:dyDescent="0.25">
      <c r="A6724" t="s">
        <v>22566</v>
      </c>
      <c r="B6724">
        <v>9.2319999999999993</v>
      </c>
      <c r="C6724" t="s">
        <v>22567</v>
      </c>
      <c r="D6724" t="s">
        <v>926</v>
      </c>
      <c r="E6724" t="s">
        <v>22550</v>
      </c>
      <c r="F6724" t="s">
        <v>7672</v>
      </c>
      <c r="G6724" t="s">
        <v>22551</v>
      </c>
      <c r="H6724" t="s">
        <v>10298</v>
      </c>
      <c r="I6724" t="s">
        <v>76</v>
      </c>
      <c r="J6724" t="s">
        <v>8001</v>
      </c>
    </row>
    <row r="6725" spans="1:10" x14ac:dyDescent="0.25">
      <c r="A6725" t="s">
        <v>22568</v>
      </c>
      <c r="B6725">
        <v>9.2319999999999993</v>
      </c>
      <c r="C6725" t="s">
        <v>22569</v>
      </c>
      <c r="D6725" t="s">
        <v>2879</v>
      </c>
      <c r="E6725" t="s">
        <v>22550</v>
      </c>
      <c r="F6725" t="s">
        <v>7672</v>
      </c>
      <c r="G6725" t="s">
        <v>22551</v>
      </c>
      <c r="H6725" t="s">
        <v>10298</v>
      </c>
      <c r="I6725" t="s">
        <v>1243</v>
      </c>
      <c r="J6725" t="s">
        <v>8001</v>
      </c>
    </row>
    <row r="6726" spans="1:10" x14ac:dyDescent="0.25">
      <c r="A6726" t="s">
        <v>22570</v>
      </c>
      <c r="B6726">
        <v>6.76</v>
      </c>
      <c r="C6726" t="s">
        <v>22571</v>
      </c>
      <c r="D6726" t="s">
        <v>2879</v>
      </c>
      <c r="E6726" t="s">
        <v>22572</v>
      </c>
      <c r="F6726" t="s">
        <v>7672</v>
      </c>
      <c r="G6726" t="s">
        <v>22573</v>
      </c>
      <c r="H6726" t="s">
        <v>12519</v>
      </c>
      <c r="I6726" t="s">
        <v>76</v>
      </c>
      <c r="J6726" t="s">
        <v>7987</v>
      </c>
    </row>
    <row r="6727" spans="1:10" x14ac:dyDescent="0.25">
      <c r="A6727" t="s">
        <v>22574</v>
      </c>
      <c r="B6727">
        <v>12.592000000000001</v>
      </c>
      <c r="C6727" t="s">
        <v>22575</v>
      </c>
      <c r="D6727" t="s">
        <v>959</v>
      </c>
      <c r="E6727" t="s">
        <v>22576</v>
      </c>
      <c r="F6727" t="s">
        <v>7672</v>
      </c>
      <c r="G6727" t="s">
        <v>22577</v>
      </c>
      <c r="H6727" t="s">
        <v>9127</v>
      </c>
      <c r="I6727" t="s">
        <v>17612</v>
      </c>
      <c r="J6727" t="s">
        <v>9237</v>
      </c>
    </row>
    <row r="6728" spans="1:10" x14ac:dyDescent="0.25">
      <c r="A6728" t="s">
        <v>22578</v>
      </c>
      <c r="B6728">
        <v>12.592000000000001</v>
      </c>
      <c r="C6728" t="s">
        <v>22579</v>
      </c>
      <c r="D6728" t="s">
        <v>352</v>
      </c>
      <c r="E6728" t="s">
        <v>22576</v>
      </c>
      <c r="F6728" t="s">
        <v>7672</v>
      </c>
      <c r="G6728" t="s">
        <v>22577</v>
      </c>
      <c r="H6728" t="s">
        <v>9127</v>
      </c>
      <c r="I6728" t="s">
        <v>17615</v>
      </c>
      <c r="J6728" t="s">
        <v>9237</v>
      </c>
    </row>
    <row r="6729" spans="1:10" x14ac:dyDescent="0.25">
      <c r="A6729" t="s">
        <v>22580</v>
      </c>
      <c r="B6729">
        <v>12.592000000000001</v>
      </c>
      <c r="C6729" t="s">
        <v>22581</v>
      </c>
      <c r="D6729" t="s">
        <v>3258</v>
      </c>
      <c r="E6729" t="s">
        <v>22576</v>
      </c>
      <c r="F6729" t="s">
        <v>7672</v>
      </c>
      <c r="G6729" t="s">
        <v>22577</v>
      </c>
      <c r="H6729" t="s">
        <v>9127</v>
      </c>
      <c r="I6729" t="s">
        <v>17612</v>
      </c>
      <c r="J6729" t="s">
        <v>8427</v>
      </c>
    </row>
    <row r="6730" spans="1:10" x14ac:dyDescent="0.25">
      <c r="A6730" t="s">
        <v>22582</v>
      </c>
      <c r="B6730">
        <v>12.592000000000001</v>
      </c>
      <c r="C6730" t="s">
        <v>22583</v>
      </c>
      <c r="D6730" t="s">
        <v>2072</v>
      </c>
      <c r="E6730" t="s">
        <v>22576</v>
      </c>
      <c r="F6730" t="s">
        <v>7672</v>
      </c>
      <c r="G6730" t="s">
        <v>22577</v>
      </c>
      <c r="H6730" t="s">
        <v>9127</v>
      </c>
      <c r="I6730" t="s">
        <v>17615</v>
      </c>
      <c r="J6730" t="s">
        <v>8427</v>
      </c>
    </row>
    <row r="6731" spans="1:10" x14ac:dyDescent="0.25">
      <c r="A6731" t="s">
        <v>22584</v>
      </c>
      <c r="B6731">
        <v>12.592000000000001</v>
      </c>
      <c r="C6731" t="s">
        <v>22585</v>
      </c>
      <c r="D6731" t="s">
        <v>725</v>
      </c>
      <c r="E6731" t="s">
        <v>22576</v>
      </c>
      <c r="F6731" t="s">
        <v>7672</v>
      </c>
      <c r="G6731" t="s">
        <v>22577</v>
      </c>
      <c r="H6731" t="s">
        <v>9127</v>
      </c>
      <c r="I6731" t="s">
        <v>17612</v>
      </c>
      <c r="J6731" t="s">
        <v>8439</v>
      </c>
    </row>
    <row r="6732" spans="1:10" x14ac:dyDescent="0.25">
      <c r="A6732" t="s">
        <v>22586</v>
      </c>
      <c r="B6732">
        <v>12.592000000000001</v>
      </c>
      <c r="C6732" t="s">
        <v>22587</v>
      </c>
      <c r="D6732" t="s">
        <v>664</v>
      </c>
      <c r="E6732" t="s">
        <v>22576</v>
      </c>
      <c r="F6732" t="s">
        <v>7672</v>
      </c>
      <c r="G6732" t="s">
        <v>22577</v>
      </c>
      <c r="H6732" t="s">
        <v>9127</v>
      </c>
      <c r="I6732" t="s">
        <v>17615</v>
      </c>
      <c r="J6732" t="s">
        <v>8439</v>
      </c>
    </row>
    <row r="6733" spans="1:10" x14ac:dyDescent="0.25">
      <c r="A6733" t="s">
        <v>22588</v>
      </c>
      <c r="B6733">
        <v>12.592000000000001</v>
      </c>
      <c r="C6733" t="s">
        <v>22589</v>
      </c>
      <c r="D6733" t="s">
        <v>1236</v>
      </c>
      <c r="E6733" t="s">
        <v>22576</v>
      </c>
      <c r="F6733" t="s">
        <v>7672</v>
      </c>
      <c r="G6733" t="s">
        <v>22577</v>
      </c>
      <c r="H6733" t="s">
        <v>9127</v>
      </c>
      <c r="I6733" t="s">
        <v>17615</v>
      </c>
      <c r="J6733" t="s">
        <v>8451</v>
      </c>
    </row>
    <row r="6734" spans="1:10" x14ac:dyDescent="0.25">
      <c r="A6734" t="s">
        <v>22590</v>
      </c>
      <c r="B6734">
        <v>12.592000000000001</v>
      </c>
      <c r="C6734" t="s">
        <v>22591</v>
      </c>
      <c r="D6734" t="s">
        <v>1134</v>
      </c>
      <c r="E6734" t="s">
        <v>22576</v>
      </c>
      <c r="F6734" t="s">
        <v>7672</v>
      </c>
      <c r="G6734" t="s">
        <v>22577</v>
      </c>
      <c r="H6734" t="s">
        <v>9127</v>
      </c>
      <c r="I6734" t="s">
        <v>17612</v>
      </c>
      <c r="J6734" t="s">
        <v>8451</v>
      </c>
    </row>
    <row r="6735" spans="1:10" x14ac:dyDescent="0.25">
      <c r="A6735" t="s">
        <v>22592</v>
      </c>
      <c r="B6735">
        <v>12.592000000000001</v>
      </c>
      <c r="C6735" t="s">
        <v>22593</v>
      </c>
      <c r="D6735" t="s">
        <v>250</v>
      </c>
      <c r="E6735" t="s">
        <v>22576</v>
      </c>
      <c r="F6735" t="s">
        <v>7672</v>
      </c>
      <c r="G6735" t="s">
        <v>22577</v>
      </c>
      <c r="H6735" t="s">
        <v>9127</v>
      </c>
      <c r="I6735" t="s">
        <v>17612</v>
      </c>
      <c r="J6735" t="s">
        <v>8462</v>
      </c>
    </row>
    <row r="6736" spans="1:10" x14ac:dyDescent="0.25">
      <c r="A6736" t="s">
        <v>22594</v>
      </c>
      <c r="B6736">
        <v>12.592000000000001</v>
      </c>
      <c r="C6736" t="s">
        <v>22595</v>
      </c>
      <c r="D6736" t="s">
        <v>164</v>
      </c>
      <c r="E6736" t="s">
        <v>22576</v>
      </c>
      <c r="F6736" t="s">
        <v>7672</v>
      </c>
      <c r="G6736" t="s">
        <v>22577</v>
      </c>
      <c r="H6736" t="s">
        <v>9127</v>
      </c>
      <c r="I6736" t="s">
        <v>17615</v>
      </c>
      <c r="J6736" t="s">
        <v>8462</v>
      </c>
    </row>
    <row r="6737" spans="1:10" x14ac:dyDescent="0.25">
      <c r="A6737" t="s">
        <v>22596</v>
      </c>
      <c r="B6737">
        <v>15.6</v>
      </c>
      <c r="C6737" t="s">
        <v>22597</v>
      </c>
      <c r="D6737" t="s">
        <v>301</v>
      </c>
      <c r="E6737" t="s">
        <v>22598</v>
      </c>
      <c r="F6737" t="s">
        <v>7672</v>
      </c>
      <c r="G6737" t="s">
        <v>22599</v>
      </c>
      <c r="H6737" t="s">
        <v>8087</v>
      </c>
      <c r="I6737" t="s">
        <v>22600</v>
      </c>
      <c r="J6737" t="s">
        <v>240</v>
      </c>
    </row>
    <row r="6738" spans="1:10" x14ac:dyDescent="0.25">
      <c r="A6738" t="s">
        <v>22601</v>
      </c>
      <c r="B6738">
        <v>15.6</v>
      </c>
      <c r="C6738" t="s">
        <v>22602</v>
      </c>
      <c r="D6738" t="s">
        <v>849</v>
      </c>
      <c r="E6738" t="s">
        <v>22598</v>
      </c>
      <c r="F6738" t="s">
        <v>7672</v>
      </c>
      <c r="G6738" t="s">
        <v>22599</v>
      </c>
      <c r="H6738" t="s">
        <v>8087</v>
      </c>
      <c r="I6738" t="s">
        <v>20652</v>
      </c>
      <c r="J6738" t="s">
        <v>240</v>
      </c>
    </row>
    <row r="6739" spans="1:10" x14ac:dyDescent="0.25">
      <c r="A6739" t="s">
        <v>22603</v>
      </c>
      <c r="B6739">
        <v>15.6</v>
      </c>
      <c r="C6739" t="s">
        <v>22604</v>
      </c>
      <c r="D6739" t="s">
        <v>742</v>
      </c>
      <c r="E6739" t="s">
        <v>22598</v>
      </c>
      <c r="F6739" t="s">
        <v>7672</v>
      </c>
      <c r="G6739" t="s">
        <v>22599</v>
      </c>
      <c r="H6739" t="s">
        <v>8087</v>
      </c>
      <c r="I6739" t="s">
        <v>4045</v>
      </c>
      <c r="J6739" t="s">
        <v>240</v>
      </c>
    </row>
    <row r="6740" spans="1:10" x14ac:dyDescent="0.25">
      <c r="A6740" t="s">
        <v>22605</v>
      </c>
      <c r="B6740">
        <v>15.6</v>
      </c>
      <c r="C6740" t="s">
        <v>22606</v>
      </c>
      <c r="D6740" t="s">
        <v>342</v>
      </c>
      <c r="E6740" t="s">
        <v>22598</v>
      </c>
      <c r="F6740" t="s">
        <v>7672</v>
      </c>
      <c r="G6740" t="s">
        <v>22599</v>
      </c>
      <c r="H6740" t="s">
        <v>8087</v>
      </c>
      <c r="I6740" t="s">
        <v>22600</v>
      </c>
      <c r="J6740" t="s">
        <v>835</v>
      </c>
    </row>
    <row r="6741" spans="1:10" x14ac:dyDescent="0.25">
      <c r="A6741" t="s">
        <v>22607</v>
      </c>
      <c r="B6741">
        <v>15.6</v>
      </c>
      <c r="C6741" t="s">
        <v>22608</v>
      </c>
      <c r="D6741" t="s">
        <v>282</v>
      </c>
      <c r="E6741" t="s">
        <v>22598</v>
      </c>
      <c r="F6741" t="s">
        <v>7672</v>
      </c>
      <c r="G6741" t="s">
        <v>22599</v>
      </c>
      <c r="H6741" t="s">
        <v>8087</v>
      </c>
      <c r="I6741" t="s">
        <v>22600</v>
      </c>
      <c r="J6741" t="s">
        <v>250</v>
      </c>
    </row>
    <row r="6742" spans="1:10" x14ac:dyDescent="0.25">
      <c r="A6742" t="s">
        <v>22609</v>
      </c>
      <c r="B6742">
        <v>15.6</v>
      </c>
      <c r="C6742" t="s">
        <v>22610</v>
      </c>
      <c r="D6742" t="s">
        <v>100</v>
      </c>
      <c r="E6742" t="s">
        <v>22598</v>
      </c>
      <c r="F6742" t="s">
        <v>7672</v>
      </c>
      <c r="G6742" t="s">
        <v>22599</v>
      </c>
      <c r="H6742" t="s">
        <v>8087</v>
      </c>
      <c r="I6742" t="s">
        <v>20652</v>
      </c>
      <c r="J6742" t="s">
        <v>250</v>
      </c>
    </row>
    <row r="6743" spans="1:10" x14ac:dyDescent="0.25">
      <c r="A6743" t="s">
        <v>22611</v>
      </c>
      <c r="B6743">
        <v>15.6</v>
      </c>
      <c r="C6743" t="s">
        <v>22612</v>
      </c>
      <c r="D6743" t="s">
        <v>60</v>
      </c>
      <c r="E6743" t="s">
        <v>22598</v>
      </c>
      <c r="F6743" t="s">
        <v>7672</v>
      </c>
      <c r="G6743" t="s">
        <v>22599</v>
      </c>
      <c r="H6743" t="s">
        <v>8087</v>
      </c>
      <c r="I6743" t="s">
        <v>20652</v>
      </c>
      <c r="J6743" t="s">
        <v>229</v>
      </c>
    </row>
    <row r="6744" spans="1:10" x14ac:dyDescent="0.25">
      <c r="A6744" t="s">
        <v>22613</v>
      </c>
      <c r="B6744">
        <v>15.6</v>
      </c>
      <c r="C6744" t="s">
        <v>22614</v>
      </c>
      <c r="D6744" t="s">
        <v>199</v>
      </c>
      <c r="E6744" t="s">
        <v>22598</v>
      </c>
      <c r="F6744" t="s">
        <v>7672</v>
      </c>
      <c r="G6744" t="s">
        <v>22599</v>
      </c>
      <c r="H6744" t="s">
        <v>8087</v>
      </c>
      <c r="I6744" t="s">
        <v>4045</v>
      </c>
      <c r="J6744" t="s">
        <v>875</v>
      </c>
    </row>
    <row r="6745" spans="1:10" x14ac:dyDescent="0.25">
      <c r="A6745" t="s">
        <v>22615</v>
      </c>
      <c r="B6745">
        <v>15.6</v>
      </c>
      <c r="C6745" t="s">
        <v>22616</v>
      </c>
      <c r="D6745" t="s">
        <v>964</v>
      </c>
      <c r="E6745" t="s">
        <v>22598</v>
      </c>
      <c r="F6745" t="s">
        <v>7672</v>
      </c>
      <c r="G6745" t="s">
        <v>22599</v>
      </c>
      <c r="H6745" t="s">
        <v>8087</v>
      </c>
      <c r="I6745" t="s">
        <v>20652</v>
      </c>
      <c r="J6745" t="s">
        <v>875</v>
      </c>
    </row>
    <row r="6746" spans="1:10" x14ac:dyDescent="0.25">
      <c r="A6746" t="s">
        <v>22617</v>
      </c>
      <c r="B6746">
        <v>15.6</v>
      </c>
      <c r="C6746" t="s">
        <v>22618</v>
      </c>
      <c r="D6746" t="s">
        <v>742</v>
      </c>
      <c r="E6746" t="s">
        <v>22598</v>
      </c>
      <c r="F6746" t="s">
        <v>7672</v>
      </c>
      <c r="G6746" t="s">
        <v>22599</v>
      </c>
      <c r="H6746" t="s">
        <v>8087</v>
      </c>
      <c r="I6746" t="s">
        <v>22600</v>
      </c>
      <c r="J6746" t="s">
        <v>875</v>
      </c>
    </row>
    <row r="6747" spans="1:10" x14ac:dyDescent="0.25">
      <c r="A6747" t="s">
        <v>22619</v>
      </c>
      <c r="B6747">
        <v>15.6</v>
      </c>
      <c r="C6747" t="s">
        <v>22620</v>
      </c>
      <c r="D6747" t="s">
        <v>88</v>
      </c>
      <c r="E6747" t="s">
        <v>22598</v>
      </c>
      <c r="F6747" t="s">
        <v>7672</v>
      </c>
      <c r="G6747" t="s">
        <v>22599</v>
      </c>
      <c r="H6747" t="s">
        <v>8087</v>
      </c>
      <c r="I6747" t="s">
        <v>20652</v>
      </c>
      <c r="J6747" t="s">
        <v>582</v>
      </c>
    </row>
    <row r="6748" spans="1:10" x14ac:dyDescent="0.25">
      <c r="A6748" t="s">
        <v>6274</v>
      </c>
      <c r="B6748">
        <v>31.2</v>
      </c>
      <c r="C6748" t="s">
        <v>6276</v>
      </c>
      <c r="D6748" t="s">
        <v>959</v>
      </c>
      <c r="E6748" t="s">
        <v>6277</v>
      </c>
      <c r="F6748" t="s">
        <v>7672</v>
      </c>
      <c r="G6748" t="s">
        <v>22621</v>
      </c>
      <c r="H6748" t="s">
        <v>9232</v>
      </c>
      <c r="I6748" t="s">
        <v>2924</v>
      </c>
      <c r="J6748" t="s">
        <v>8439</v>
      </c>
    </row>
    <row r="6749" spans="1:10" x14ac:dyDescent="0.25">
      <c r="A6749" t="s">
        <v>6280</v>
      </c>
      <c r="B6749">
        <v>31.2</v>
      </c>
      <c r="C6749" t="s">
        <v>6282</v>
      </c>
      <c r="D6749" t="s">
        <v>282</v>
      </c>
      <c r="E6749" t="s">
        <v>6277</v>
      </c>
      <c r="F6749" t="s">
        <v>7672</v>
      </c>
      <c r="G6749" t="s">
        <v>22621</v>
      </c>
      <c r="H6749" t="s">
        <v>9232</v>
      </c>
      <c r="I6749" t="s">
        <v>6284</v>
      </c>
      <c r="J6749" t="s">
        <v>8439</v>
      </c>
    </row>
    <row r="6750" spans="1:10" x14ac:dyDescent="0.25">
      <c r="A6750" t="s">
        <v>6285</v>
      </c>
      <c r="B6750">
        <v>31.2</v>
      </c>
      <c r="C6750" t="s">
        <v>6287</v>
      </c>
      <c r="D6750" t="s">
        <v>588</v>
      </c>
      <c r="E6750" t="s">
        <v>6277</v>
      </c>
      <c r="F6750" t="s">
        <v>7672</v>
      </c>
      <c r="G6750" t="s">
        <v>22621</v>
      </c>
      <c r="H6750" t="s">
        <v>9232</v>
      </c>
      <c r="I6750" t="s">
        <v>2924</v>
      </c>
      <c r="J6750" t="s">
        <v>8451</v>
      </c>
    </row>
    <row r="6751" spans="1:10" x14ac:dyDescent="0.25">
      <c r="A6751" t="s">
        <v>6289</v>
      </c>
      <c r="B6751">
        <v>31.2</v>
      </c>
      <c r="C6751" t="s">
        <v>6291</v>
      </c>
      <c r="D6751" t="s">
        <v>849</v>
      </c>
      <c r="E6751" t="s">
        <v>6277</v>
      </c>
      <c r="F6751" t="s">
        <v>7672</v>
      </c>
      <c r="G6751" t="s">
        <v>22621</v>
      </c>
      <c r="H6751" t="s">
        <v>9232</v>
      </c>
      <c r="I6751" t="s">
        <v>6284</v>
      </c>
      <c r="J6751" t="s">
        <v>8451</v>
      </c>
    </row>
    <row r="6752" spans="1:10" x14ac:dyDescent="0.25">
      <c r="A6752" t="s">
        <v>22622</v>
      </c>
      <c r="B6752">
        <v>10.56</v>
      </c>
      <c r="C6752" t="s">
        <v>22623</v>
      </c>
      <c r="D6752" t="s">
        <v>3258</v>
      </c>
      <c r="E6752" t="s">
        <v>22624</v>
      </c>
      <c r="F6752" t="s">
        <v>7672</v>
      </c>
      <c r="G6752" t="s">
        <v>22625</v>
      </c>
      <c r="H6752" t="s">
        <v>10298</v>
      </c>
      <c r="I6752" t="s">
        <v>10394</v>
      </c>
      <c r="J6752" t="s">
        <v>7942</v>
      </c>
    </row>
    <row r="6753" spans="1:10" x14ac:dyDescent="0.25">
      <c r="A6753" t="s">
        <v>22626</v>
      </c>
      <c r="B6753">
        <v>10.56</v>
      </c>
      <c r="C6753" t="s">
        <v>22627</v>
      </c>
      <c r="D6753" t="s">
        <v>975</v>
      </c>
      <c r="E6753" t="s">
        <v>22624</v>
      </c>
      <c r="F6753" t="s">
        <v>7672</v>
      </c>
      <c r="G6753" t="s">
        <v>22625</v>
      </c>
      <c r="H6753" t="s">
        <v>10298</v>
      </c>
      <c r="I6753" t="s">
        <v>5364</v>
      </c>
      <c r="J6753" t="s">
        <v>7942</v>
      </c>
    </row>
    <row r="6754" spans="1:10" x14ac:dyDescent="0.25">
      <c r="A6754" t="s">
        <v>22628</v>
      </c>
      <c r="B6754">
        <v>10.56</v>
      </c>
      <c r="C6754" t="s">
        <v>22629</v>
      </c>
      <c r="D6754" t="s">
        <v>131</v>
      </c>
      <c r="E6754" t="s">
        <v>22624</v>
      </c>
      <c r="F6754" t="s">
        <v>7672</v>
      </c>
      <c r="G6754" t="s">
        <v>22625</v>
      </c>
      <c r="H6754" t="s">
        <v>10298</v>
      </c>
      <c r="I6754" t="s">
        <v>22630</v>
      </c>
      <c r="J6754" t="s">
        <v>7942</v>
      </c>
    </row>
    <row r="6755" spans="1:10" x14ac:dyDescent="0.25">
      <c r="A6755" t="s">
        <v>22631</v>
      </c>
      <c r="B6755">
        <v>12.32</v>
      </c>
      <c r="C6755" t="s">
        <v>22632</v>
      </c>
      <c r="D6755" t="s">
        <v>277</v>
      </c>
      <c r="E6755" t="s">
        <v>22624</v>
      </c>
      <c r="F6755" t="s">
        <v>7672</v>
      </c>
      <c r="G6755" t="s">
        <v>22625</v>
      </c>
      <c r="H6755" t="s">
        <v>10298</v>
      </c>
      <c r="I6755" t="s">
        <v>22633</v>
      </c>
      <c r="J6755" t="s">
        <v>7942</v>
      </c>
    </row>
    <row r="6756" spans="1:10" x14ac:dyDescent="0.25">
      <c r="A6756" t="s">
        <v>22634</v>
      </c>
      <c r="B6756">
        <v>10.56</v>
      </c>
      <c r="C6756" t="s">
        <v>22635</v>
      </c>
      <c r="D6756" t="s">
        <v>781</v>
      </c>
      <c r="E6756" t="s">
        <v>22624</v>
      </c>
      <c r="F6756" t="s">
        <v>7672</v>
      </c>
      <c r="G6756" t="s">
        <v>22625</v>
      </c>
      <c r="H6756" t="s">
        <v>10298</v>
      </c>
      <c r="I6756" t="s">
        <v>10394</v>
      </c>
      <c r="J6756" t="s">
        <v>7981</v>
      </c>
    </row>
    <row r="6757" spans="1:10" x14ac:dyDescent="0.25">
      <c r="A6757" t="s">
        <v>22636</v>
      </c>
      <c r="B6757">
        <v>10.56</v>
      </c>
      <c r="C6757" t="s">
        <v>22637</v>
      </c>
      <c r="D6757" t="s">
        <v>1134</v>
      </c>
      <c r="E6757" t="s">
        <v>22624</v>
      </c>
      <c r="F6757" t="s">
        <v>7672</v>
      </c>
      <c r="G6757" t="s">
        <v>22625</v>
      </c>
      <c r="H6757" t="s">
        <v>10298</v>
      </c>
      <c r="I6757" t="s">
        <v>5364</v>
      </c>
      <c r="J6757" t="s">
        <v>7981</v>
      </c>
    </row>
    <row r="6758" spans="1:10" x14ac:dyDescent="0.25">
      <c r="A6758" t="s">
        <v>22638</v>
      </c>
      <c r="B6758">
        <v>10.56</v>
      </c>
      <c r="C6758" t="s">
        <v>22639</v>
      </c>
      <c r="D6758" t="s">
        <v>3258</v>
      </c>
      <c r="E6758" t="s">
        <v>22624</v>
      </c>
      <c r="F6758" t="s">
        <v>7672</v>
      </c>
      <c r="G6758" t="s">
        <v>22625</v>
      </c>
      <c r="H6758" t="s">
        <v>10298</v>
      </c>
      <c r="I6758" t="s">
        <v>5364</v>
      </c>
      <c r="J6758" t="s">
        <v>7984</v>
      </c>
    </row>
    <row r="6759" spans="1:10" x14ac:dyDescent="0.25">
      <c r="A6759" t="s">
        <v>22640</v>
      </c>
      <c r="B6759">
        <v>10.56</v>
      </c>
      <c r="C6759" t="s">
        <v>22641</v>
      </c>
      <c r="D6759" t="s">
        <v>3153</v>
      </c>
      <c r="E6759" t="s">
        <v>22624</v>
      </c>
      <c r="F6759" t="s">
        <v>7672</v>
      </c>
      <c r="G6759" t="s">
        <v>22625</v>
      </c>
      <c r="H6759" t="s">
        <v>10298</v>
      </c>
      <c r="I6759" t="s">
        <v>5364</v>
      </c>
      <c r="J6759" t="s">
        <v>7987</v>
      </c>
    </row>
    <row r="6760" spans="1:10" x14ac:dyDescent="0.25">
      <c r="A6760" t="s">
        <v>22642</v>
      </c>
      <c r="B6760">
        <v>10.56</v>
      </c>
      <c r="C6760" t="s">
        <v>22643</v>
      </c>
      <c r="D6760" t="s">
        <v>321</v>
      </c>
      <c r="E6760" t="s">
        <v>22624</v>
      </c>
      <c r="F6760" t="s">
        <v>7672</v>
      </c>
      <c r="G6760" t="s">
        <v>22625</v>
      </c>
      <c r="H6760" t="s">
        <v>10298</v>
      </c>
      <c r="I6760" t="s">
        <v>5364</v>
      </c>
      <c r="J6760" t="s">
        <v>8001</v>
      </c>
    </row>
    <row r="6761" spans="1:10" x14ac:dyDescent="0.25">
      <c r="A6761" t="s">
        <v>22644</v>
      </c>
      <c r="B6761">
        <v>10.56</v>
      </c>
      <c r="C6761" t="s">
        <v>22645</v>
      </c>
      <c r="D6761" t="s">
        <v>576</v>
      </c>
      <c r="E6761" t="s">
        <v>22624</v>
      </c>
      <c r="F6761" t="s">
        <v>7672</v>
      </c>
      <c r="G6761" t="s">
        <v>22625</v>
      </c>
      <c r="H6761" t="s">
        <v>10298</v>
      </c>
      <c r="I6761" t="s">
        <v>22646</v>
      </c>
      <c r="J6761" t="s">
        <v>8013</v>
      </c>
    </row>
    <row r="6762" spans="1:10" x14ac:dyDescent="0.25">
      <c r="A6762" t="s">
        <v>22647</v>
      </c>
      <c r="B6762">
        <v>10.56</v>
      </c>
      <c r="C6762" t="s">
        <v>22648</v>
      </c>
      <c r="D6762" t="s">
        <v>3184</v>
      </c>
      <c r="E6762" t="s">
        <v>22624</v>
      </c>
      <c r="F6762" t="s">
        <v>7672</v>
      </c>
      <c r="G6762" t="s">
        <v>22625</v>
      </c>
      <c r="H6762" t="s">
        <v>10298</v>
      </c>
      <c r="I6762" t="s">
        <v>5364</v>
      </c>
      <c r="J6762" t="s">
        <v>8013</v>
      </c>
    </row>
    <row r="6763" spans="1:10" x14ac:dyDescent="0.25">
      <c r="A6763" t="s">
        <v>22649</v>
      </c>
      <c r="B6763">
        <v>10.56</v>
      </c>
      <c r="C6763" t="s">
        <v>22650</v>
      </c>
      <c r="D6763" t="s">
        <v>269</v>
      </c>
      <c r="E6763" t="s">
        <v>22624</v>
      </c>
      <c r="F6763" t="s">
        <v>7672</v>
      </c>
      <c r="G6763" t="s">
        <v>22625</v>
      </c>
      <c r="H6763" t="s">
        <v>10298</v>
      </c>
      <c r="I6763" t="s">
        <v>22630</v>
      </c>
      <c r="J6763" t="s">
        <v>8603</v>
      </c>
    </row>
    <row r="6764" spans="1:10" x14ac:dyDescent="0.25">
      <c r="A6764" t="s">
        <v>22651</v>
      </c>
      <c r="B6764">
        <v>10.56</v>
      </c>
      <c r="C6764" t="s">
        <v>22652</v>
      </c>
      <c r="D6764" t="s">
        <v>269</v>
      </c>
      <c r="E6764" t="s">
        <v>22624</v>
      </c>
      <c r="F6764" t="s">
        <v>7672</v>
      </c>
      <c r="G6764" t="s">
        <v>22625</v>
      </c>
      <c r="H6764" t="s">
        <v>10298</v>
      </c>
      <c r="I6764" t="s">
        <v>22646</v>
      </c>
      <c r="J6764" t="s">
        <v>8603</v>
      </c>
    </row>
    <row r="6765" spans="1:10" x14ac:dyDescent="0.25">
      <c r="A6765" t="s">
        <v>22653</v>
      </c>
      <c r="B6765">
        <v>10</v>
      </c>
      <c r="C6765" t="s">
        <v>22654</v>
      </c>
      <c r="D6765" t="s">
        <v>8432</v>
      </c>
      <c r="E6765" t="s">
        <v>22655</v>
      </c>
      <c r="F6765" t="s">
        <v>7672</v>
      </c>
      <c r="G6765" t="s">
        <v>22656</v>
      </c>
      <c r="H6765" t="s">
        <v>8673</v>
      </c>
      <c r="I6765" t="s">
        <v>22657</v>
      </c>
      <c r="J6765" t="s">
        <v>7713</v>
      </c>
    </row>
    <row r="6766" spans="1:10" x14ac:dyDescent="0.25">
      <c r="A6766" t="s">
        <v>22658</v>
      </c>
      <c r="B6766">
        <v>10</v>
      </c>
      <c r="C6766" t="s">
        <v>22659</v>
      </c>
      <c r="D6766" t="s">
        <v>3430</v>
      </c>
      <c r="E6766" t="s">
        <v>22655</v>
      </c>
      <c r="F6766" t="s">
        <v>7672</v>
      </c>
      <c r="G6766" t="s">
        <v>22656</v>
      </c>
      <c r="H6766" t="s">
        <v>8673</v>
      </c>
      <c r="I6766" t="s">
        <v>22660</v>
      </c>
      <c r="J6766" t="s">
        <v>7719</v>
      </c>
    </row>
    <row r="6767" spans="1:10" x14ac:dyDescent="0.25">
      <c r="A6767" t="s">
        <v>22661</v>
      </c>
      <c r="B6767">
        <v>10</v>
      </c>
      <c r="C6767" t="s">
        <v>22662</v>
      </c>
      <c r="D6767" t="s">
        <v>13346</v>
      </c>
      <c r="E6767" t="s">
        <v>22655</v>
      </c>
      <c r="F6767" t="s">
        <v>7672</v>
      </c>
      <c r="G6767" t="s">
        <v>22656</v>
      </c>
      <c r="H6767" t="s">
        <v>8673</v>
      </c>
      <c r="I6767" t="s">
        <v>22657</v>
      </c>
      <c r="J6767" t="s">
        <v>7719</v>
      </c>
    </row>
    <row r="6768" spans="1:10" x14ac:dyDescent="0.25">
      <c r="A6768" t="s">
        <v>22663</v>
      </c>
      <c r="B6768">
        <v>9.6000000000000014</v>
      </c>
      <c r="C6768" t="s">
        <v>22664</v>
      </c>
      <c r="D6768" t="s">
        <v>8076</v>
      </c>
      <c r="E6768" t="s">
        <v>22665</v>
      </c>
      <c r="F6768" t="s">
        <v>7672</v>
      </c>
      <c r="G6768" t="s">
        <v>22666</v>
      </c>
      <c r="H6768" t="s">
        <v>8673</v>
      </c>
      <c r="I6768" t="s">
        <v>8158</v>
      </c>
      <c r="J6768" t="s">
        <v>9023</v>
      </c>
    </row>
    <row r="6769" spans="1:10" x14ac:dyDescent="0.25">
      <c r="A6769" t="s">
        <v>22667</v>
      </c>
      <c r="B6769">
        <v>9.6000000000000014</v>
      </c>
      <c r="C6769" t="s">
        <v>22668</v>
      </c>
      <c r="D6769" t="s">
        <v>366</v>
      </c>
      <c r="E6769" t="s">
        <v>22665</v>
      </c>
      <c r="F6769" t="s">
        <v>7672</v>
      </c>
      <c r="G6769" t="s">
        <v>22666</v>
      </c>
      <c r="H6769" t="s">
        <v>8673</v>
      </c>
      <c r="I6769" t="s">
        <v>10194</v>
      </c>
      <c r="J6769" t="s">
        <v>9023</v>
      </c>
    </row>
    <row r="6770" spans="1:10" x14ac:dyDescent="0.25">
      <c r="A6770" t="s">
        <v>22669</v>
      </c>
      <c r="B6770">
        <v>9.6000000000000014</v>
      </c>
      <c r="C6770" t="s">
        <v>22670</v>
      </c>
      <c r="D6770" t="s">
        <v>2138</v>
      </c>
      <c r="E6770" t="s">
        <v>22665</v>
      </c>
      <c r="F6770" t="s">
        <v>7672</v>
      </c>
      <c r="G6770" t="s">
        <v>22666</v>
      </c>
      <c r="H6770" t="s">
        <v>8673</v>
      </c>
      <c r="I6770" t="s">
        <v>22671</v>
      </c>
      <c r="J6770" t="s">
        <v>9023</v>
      </c>
    </row>
    <row r="6771" spans="1:10" x14ac:dyDescent="0.25">
      <c r="A6771" t="s">
        <v>22672</v>
      </c>
      <c r="B6771">
        <v>9.6000000000000014</v>
      </c>
      <c r="C6771" t="s">
        <v>22673</v>
      </c>
      <c r="D6771" t="s">
        <v>8262</v>
      </c>
      <c r="E6771" t="s">
        <v>22665</v>
      </c>
      <c r="F6771" t="s">
        <v>7672</v>
      </c>
      <c r="G6771" t="s">
        <v>22666</v>
      </c>
      <c r="H6771" t="s">
        <v>8673</v>
      </c>
      <c r="I6771" t="s">
        <v>8752</v>
      </c>
      <c r="J6771" t="s">
        <v>9023</v>
      </c>
    </row>
    <row r="6772" spans="1:10" x14ac:dyDescent="0.25">
      <c r="A6772" t="s">
        <v>22674</v>
      </c>
      <c r="B6772">
        <v>9.6000000000000014</v>
      </c>
      <c r="C6772" t="s">
        <v>22675</v>
      </c>
      <c r="D6772" t="s">
        <v>8759</v>
      </c>
      <c r="E6772" t="s">
        <v>22665</v>
      </c>
      <c r="F6772" t="s">
        <v>7672</v>
      </c>
      <c r="G6772" t="s">
        <v>22666</v>
      </c>
      <c r="H6772" t="s">
        <v>8673</v>
      </c>
      <c r="I6772" t="s">
        <v>11088</v>
      </c>
      <c r="J6772" t="s">
        <v>9023</v>
      </c>
    </row>
    <row r="6773" spans="1:10" x14ac:dyDescent="0.25">
      <c r="A6773" t="s">
        <v>22676</v>
      </c>
      <c r="B6773">
        <v>9.6000000000000014</v>
      </c>
      <c r="C6773" t="s">
        <v>22677</v>
      </c>
      <c r="D6773" t="s">
        <v>8164</v>
      </c>
      <c r="E6773" t="s">
        <v>22665</v>
      </c>
      <c r="F6773" t="s">
        <v>7672</v>
      </c>
      <c r="G6773" t="s">
        <v>22666</v>
      </c>
      <c r="H6773" t="s">
        <v>8673</v>
      </c>
      <c r="I6773" t="s">
        <v>8914</v>
      </c>
      <c r="J6773" t="s">
        <v>9023</v>
      </c>
    </row>
    <row r="6774" spans="1:10" x14ac:dyDescent="0.25">
      <c r="A6774" t="s">
        <v>22678</v>
      </c>
      <c r="B6774">
        <v>9.6000000000000014</v>
      </c>
      <c r="C6774" t="s">
        <v>22679</v>
      </c>
      <c r="D6774" t="s">
        <v>725</v>
      </c>
      <c r="E6774" t="s">
        <v>22665</v>
      </c>
      <c r="F6774" t="s">
        <v>7672</v>
      </c>
      <c r="G6774" t="s">
        <v>22666</v>
      </c>
      <c r="H6774" t="s">
        <v>8673</v>
      </c>
      <c r="I6774" t="s">
        <v>8158</v>
      </c>
      <c r="J6774" t="s">
        <v>8883</v>
      </c>
    </row>
    <row r="6775" spans="1:10" x14ac:dyDescent="0.25">
      <c r="A6775" t="s">
        <v>22680</v>
      </c>
      <c r="B6775">
        <v>9.6000000000000014</v>
      </c>
      <c r="C6775" t="s">
        <v>22681</v>
      </c>
      <c r="D6775" t="s">
        <v>3153</v>
      </c>
      <c r="E6775" t="s">
        <v>22665</v>
      </c>
      <c r="F6775" t="s">
        <v>7672</v>
      </c>
      <c r="G6775" t="s">
        <v>22666</v>
      </c>
      <c r="H6775" t="s">
        <v>8673</v>
      </c>
      <c r="I6775" t="s">
        <v>22671</v>
      </c>
      <c r="J6775" t="s">
        <v>8883</v>
      </c>
    </row>
    <row r="6776" spans="1:10" x14ac:dyDescent="0.25">
      <c r="A6776" t="s">
        <v>22682</v>
      </c>
      <c r="B6776">
        <v>9.6000000000000014</v>
      </c>
      <c r="C6776" t="s">
        <v>22683</v>
      </c>
      <c r="D6776" t="s">
        <v>385</v>
      </c>
      <c r="E6776" t="s">
        <v>22665</v>
      </c>
      <c r="F6776" t="s">
        <v>7672</v>
      </c>
      <c r="G6776" t="s">
        <v>22666</v>
      </c>
      <c r="H6776" t="s">
        <v>8673</v>
      </c>
      <c r="I6776" t="s">
        <v>8914</v>
      </c>
      <c r="J6776" t="s">
        <v>8883</v>
      </c>
    </row>
    <row r="6777" spans="1:10" x14ac:dyDescent="0.25">
      <c r="A6777" t="s">
        <v>22684</v>
      </c>
      <c r="B6777">
        <v>9.6000000000000014</v>
      </c>
      <c r="C6777" t="s">
        <v>22685</v>
      </c>
      <c r="D6777" t="s">
        <v>88</v>
      </c>
      <c r="E6777" t="s">
        <v>22665</v>
      </c>
      <c r="F6777" t="s">
        <v>7672</v>
      </c>
      <c r="G6777" t="s">
        <v>22666</v>
      </c>
      <c r="H6777" t="s">
        <v>8673</v>
      </c>
      <c r="I6777" t="s">
        <v>11088</v>
      </c>
      <c r="J6777" t="s">
        <v>8883</v>
      </c>
    </row>
    <row r="6778" spans="1:10" x14ac:dyDescent="0.25">
      <c r="A6778" t="s">
        <v>22686</v>
      </c>
      <c r="B6778">
        <v>9.6000000000000014</v>
      </c>
      <c r="C6778" t="s">
        <v>22687</v>
      </c>
      <c r="D6778" t="s">
        <v>100</v>
      </c>
      <c r="E6778" t="s">
        <v>22665</v>
      </c>
      <c r="F6778" t="s">
        <v>7672</v>
      </c>
      <c r="G6778" t="s">
        <v>22666</v>
      </c>
      <c r="H6778" t="s">
        <v>8673</v>
      </c>
      <c r="I6778" t="s">
        <v>8752</v>
      </c>
      <c r="J6778" t="s">
        <v>8883</v>
      </c>
    </row>
    <row r="6779" spans="1:10" x14ac:dyDescent="0.25">
      <c r="A6779" t="s">
        <v>22688</v>
      </c>
      <c r="B6779">
        <v>14</v>
      </c>
      <c r="C6779" t="s">
        <v>22689</v>
      </c>
      <c r="D6779" t="s">
        <v>626</v>
      </c>
      <c r="E6779" t="s">
        <v>22690</v>
      </c>
      <c r="F6779" t="s">
        <v>7672</v>
      </c>
      <c r="G6779" t="s">
        <v>22691</v>
      </c>
      <c r="H6779" t="s">
        <v>22692</v>
      </c>
      <c r="I6779" t="s">
        <v>3799</v>
      </c>
      <c r="J6779" t="s">
        <v>8427</v>
      </c>
    </row>
    <row r="6780" spans="1:10" x14ac:dyDescent="0.25">
      <c r="A6780" t="s">
        <v>22693</v>
      </c>
      <c r="B6780">
        <v>14</v>
      </c>
      <c r="C6780" t="s">
        <v>22694</v>
      </c>
      <c r="D6780" t="s">
        <v>2036</v>
      </c>
      <c r="E6780" t="s">
        <v>22690</v>
      </c>
      <c r="F6780" t="s">
        <v>7672</v>
      </c>
      <c r="G6780" t="s">
        <v>22691</v>
      </c>
      <c r="H6780" t="s">
        <v>22692</v>
      </c>
      <c r="I6780" t="s">
        <v>3799</v>
      </c>
      <c r="J6780" t="s">
        <v>8439</v>
      </c>
    </row>
    <row r="6781" spans="1:10" x14ac:dyDescent="0.25">
      <c r="A6781" t="s">
        <v>22695</v>
      </c>
      <c r="B6781">
        <v>14</v>
      </c>
      <c r="C6781" t="s">
        <v>22696</v>
      </c>
      <c r="D6781" t="s">
        <v>2022</v>
      </c>
      <c r="E6781" t="s">
        <v>22690</v>
      </c>
      <c r="F6781" t="s">
        <v>7672</v>
      </c>
      <c r="G6781" t="s">
        <v>22691</v>
      </c>
      <c r="H6781" t="s">
        <v>22692</v>
      </c>
      <c r="I6781" t="s">
        <v>3799</v>
      </c>
      <c r="J6781" t="s">
        <v>8451</v>
      </c>
    </row>
    <row r="6782" spans="1:10" x14ac:dyDescent="0.25">
      <c r="A6782" t="s">
        <v>22697</v>
      </c>
      <c r="B6782">
        <v>10.56</v>
      </c>
      <c r="C6782" t="s">
        <v>22698</v>
      </c>
      <c r="D6782" t="s">
        <v>234</v>
      </c>
      <c r="E6782" t="s">
        <v>22699</v>
      </c>
      <c r="F6782" t="s">
        <v>7672</v>
      </c>
      <c r="G6782" t="s">
        <v>22700</v>
      </c>
      <c r="H6782" t="s">
        <v>12232</v>
      </c>
      <c r="I6782" t="s">
        <v>22701</v>
      </c>
      <c r="J6782" t="s">
        <v>8439</v>
      </c>
    </row>
    <row r="6783" spans="1:10" x14ac:dyDescent="0.25">
      <c r="A6783" t="s">
        <v>22702</v>
      </c>
      <c r="B6783">
        <v>10.56</v>
      </c>
      <c r="C6783" t="s">
        <v>22703</v>
      </c>
      <c r="D6783" t="s">
        <v>803</v>
      </c>
      <c r="E6783" t="s">
        <v>22699</v>
      </c>
      <c r="F6783" t="s">
        <v>7672</v>
      </c>
      <c r="G6783" t="s">
        <v>22700</v>
      </c>
      <c r="H6783" t="s">
        <v>12232</v>
      </c>
      <c r="I6783" t="s">
        <v>22701</v>
      </c>
      <c r="J6783" t="s">
        <v>8451</v>
      </c>
    </row>
    <row r="6784" spans="1:10" x14ac:dyDescent="0.25">
      <c r="A6784" t="s">
        <v>6293</v>
      </c>
      <c r="B6784">
        <v>10.4</v>
      </c>
      <c r="C6784" t="s">
        <v>6295</v>
      </c>
      <c r="D6784" t="s">
        <v>311</v>
      </c>
      <c r="E6784" t="s">
        <v>6296</v>
      </c>
      <c r="F6784" t="s">
        <v>7672</v>
      </c>
      <c r="G6784" t="s">
        <v>22704</v>
      </c>
      <c r="H6784" t="s">
        <v>10321</v>
      </c>
      <c r="I6784" t="s">
        <v>10338</v>
      </c>
      <c r="J6784" t="s">
        <v>9110</v>
      </c>
    </row>
    <row r="6785" spans="1:10" x14ac:dyDescent="0.25">
      <c r="A6785" t="s">
        <v>6299</v>
      </c>
      <c r="B6785">
        <v>10.4</v>
      </c>
      <c r="C6785" t="s">
        <v>6301</v>
      </c>
      <c r="D6785" t="s">
        <v>1822</v>
      </c>
      <c r="E6785" t="s">
        <v>6296</v>
      </c>
      <c r="F6785" t="s">
        <v>7672</v>
      </c>
      <c r="G6785" t="s">
        <v>22704</v>
      </c>
      <c r="H6785" t="s">
        <v>10321</v>
      </c>
      <c r="I6785" t="s">
        <v>10338</v>
      </c>
      <c r="J6785" t="s">
        <v>11368</v>
      </c>
    </row>
    <row r="6786" spans="1:10" x14ac:dyDescent="0.25">
      <c r="A6786" t="s">
        <v>6304</v>
      </c>
      <c r="B6786">
        <v>10.4</v>
      </c>
      <c r="C6786" t="s">
        <v>6306</v>
      </c>
      <c r="D6786" t="s">
        <v>870</v>
      </c>
      <c r="E6786" t="s">
        <v>6296</v>
      </c>
      <c r="F6786" t="s">
        <v>7672</v>
      </c>
      <c r="G6786" t="s">
        <v>22704</v>
      </c>
      <c r="H6786" t="s">
        <v>10321</v>
      </c>
      <c r="I6786" t="s">
        <v>10338</v>
      </c>
      <c r="J6786" t="s">
        <v>11373</v>
      </c>
    </row>
    <row r="6787" spans="1:10" x14ac:dyDescent="0.25">
      <c r="A6787" t="s">
        <v>22705</v>
      </c>
      <c r="B6787">
        <v>12</v>
      </c>
      <c r="C6787" t="s">
        <v>22706</v>
      </c>
      <c r="D6787" t="s">
        <v>981</v>
      </c>
      <c r="E6787" t="s">
        <v>22707</v>
      </c>
      <c r="F6787" t="s">
        <v>7672</v>
      </c>
      <c r="G6787" t="s">
        <v>22708</v>
      </c>
      <c r="H6787" t="s">
        <v>8779</v>
      </c>
      <c r="I6787" t="s">
        <v>17434</v>
      </c>
      <c r="J6787" t="s">
        <v>7981</v>
      </c>
    </row>
    <row r="6788" spans="1:10" x14ac:dyDescent="0.25">
      <c r="A6788" t="s">
        <v>22709</v>
      </c>
      <c r="B6788">
        <v>12</v>
      </c>
      <c r="C6788" t="s">
        <v>22710</v>
      </c>
      <c r="D6788" t="s">
        <v>385</v>
      </c>
      <c r="E6788" t="s">
        <v>22707</v>
      </c>
      <c r="F6788" t="s">
        <v>7672</v>
      </c>
      <c r="G6788" t="s">
        <v>22708</v>
      </c>
      <c r="H6788" t="s">
        <v>8779</v>
      </c>
      <c r="I6788" t="s">
        <v>22711</v>
      </c>
      <c r="J6788" t="s">
        <v>7981</v>
      </c>
    </row>
    <row r="6789" spans="1:10" x14ac:dyDescent="0.25">
      <c r="A6789" t="s">
        <v>22712</v>
      </c>
      <c r="B6789">
        <v>12</v>
      </c>
      <c r="C6789" t="s">
        <v>22713</v>
      </c>
      <c r="D6789" t="s">
        <v>113</v>
      </c>
      <c r="E6789" t="s">
        <v>22707</v>
      </c>
      <c r="F6789" t="s">
        <v>7672</v>
      </c>
      <c r="G6789" t="s">
        <v>22708</v>
      </c>
      <c r="H6789" t="s">
        <v>8779</v>
      </c>
      <c r="I6789" t="s">
        <v>3676</v>
      </c>
      <c r="J6789" t="s">
        <v>7981</v>
      </c>
    </row>
    <row r="6790" spans="1:10" x14ac:dyDescent="0.25">
      <c r="A6790" t="s">
        <v>22714</v>
      </c>
      <c r="B6790">
        <v>12</v>
      </c>
      <c r="C6790" t="s">
        <v>22715</v>
      </c>
      <c r="D6790" t="s">
        <v>664</v>
      </c>
      <c r="E6790" t="s">
        <v>22707</v>
      </c>
      <c r="F6790" t="s">
        <v>7672</v>
      </c>
      <c r="G6790" t="s">
        <v>22708</v>
      </c>
      <c r="H6790" t="s">
        <v>8779</v>
      </c>
      <c r="I6790" t="s">
        <v>76</v>
      </c>
      <c r="J6790" t="s">
        <v>7981</v>
      </c>
    </row>
    <row r="6791" spans="1:10" x14ac:dyDescent="0.25">
      <c r="A6791" t="s">
        <v>22716</v>
      </c>
      <c r="B6791">
        <v>12</v>
      </c>
      <c r="C6791" t="s">
        <v>22717</v>
      </c>
      <c r="D6791" t="s">
        <v>6480</v>
      </c>
      <c r="E6791" t="s">
        <v>22707</v>
      </c>
      <c r="F6791" t="s">
        <v>7672</v>
      </c>
      <c r="G6791" t="s">
        <v>22708</v>
      </c>
      <c r="H6791" t="s">
        <v>8779</v>
      </c>
      <c r="I6791" t="s">
        <v>17434</v>
      </c>
      <c r="J6791" t="s">
        <v>7984</v>
      </c>
    </row>
    <row r="6792" spans="1:10" x14ac:dyDescent="0.25">
      <c r="A6792" t="s">
        <v>22718</v>
      </c>
      <c r="B6792">
        <v>12</v>
      </c>
      <c r="C6792" t="s">
        <v>22719</v>
      </c>
      <c r="D6792" t="s">
        <v>786</v>
      </c>
      <c r="E6792" t="s">
        <v>22707</v>
      </c>
      <c r="F6792" t="s">
        <v>7672</v>
      </c>
      <c r="G6792" t="s">
        <v>22708</v>
      </c>
      <c r="H6792" t="s">
        <v>8779</v>
      </c>
      <c r="I6792" t="s">
        <v>22711</v>
      </c>
      <c r="J6792" t="s">
        <v>7984</v>
      </c>
    </row>
    <row r="6793" spans="1:10" x14ac:dyDescent="0.25">
      <c r="A6793" t="s">
        <v>22720</v>
      </c>
      <c r="B6793">
        <v>12</v>
      </c>
      <c r="C6793" t="s">
        <v>22721</v>
      </c>
      <c r="D6793" t="s">
        <v>9312</v>
      </c>
      <c r="E6793" t="s">
        <v>22707</v>
      </c>
      <c r="F6793" t="s">
        <v>7672</v>
      </c>
      <c r="G6793" t="s">
        <v>22708</v>
      </c>
      <c r="H6793" t="s">
        <v>8779</v>
      </c>
      <c r="I6793" t="s">
        <v>76</v>
      </c>
      <c r="J6793" t="s">
        <v>7984</v>
      </c>
    </row>
    <row r="6794" spans="1:10" x14ac:dyDescent="0.25">
      <c r="A6794" t="s">
        <v>22722</v>
      </c>
      <c r="B6794">
        <v>12</v>
      </c>
      <c r="C6794" t="s">
        <v>22723</v>
      </c>
      <c r="D6794" t="s">
        <v>1567</v>
      </c>
      <c r="E6794" t="s">
        <v>22707</v>
      </c>
      <c r="F6794" t="s">
        <v>7672</v>
      </c>
      <c r="G6794" t="s">
        <v>22708</v>
      </c>
      <c r="H6794" t="s">
        <v>8779</v>
      </c>
      <c r="I6794" t="s">
        <v>3676</v>
      </c>
      <c r="J6794" t="s">
        <v>7984</v>
      </c>
    </row>
    <row r="6795" spans="1:10" x14ac:dyDescent="0.25">
      <c r="A6795" t="s">
        <v>22724</v>
      </c>
      <c r="B6795">
        <v>12</v>
      </c>
      <c r="C6795" t="s">
        <v>22725</v>
      </c>
      <c r="D6795" t="s">
        <v>10933</v>
      </c>
      <c r="E6795" t="s">
        <v>22707</v>
      </c>
      <c r="F6795" t="s">
        <v>7672</v>
      </c>
      <c r="G6795" t="s">
        <v>22708</v>
      </c>
      <c r="H6795" t="s">
        <v>8779</v>
      </c>
      <c r="I6795" t="s">
        <v>17434</v>
      </c>
      <c r="J6795" t="s">
        <v>7987</v>
      </c>
    </row>
    <row r="6796" spans="1:10" x14ac:dyDescent="0.25">
      <c r="A6796" t="s">
        <v>22726</v>
      </c>
      <c r="B6796">
        <v>12</v>
      </c>
      <c r="C6796" t="s">
        <v>22727</v>
      </c>
      <c r="D6796" t="s">
        <v>3153</v>
      </c>
      <c r="E6796" t="s">
        <v>22707</v>
      </c>
      <c r="F6796" t="s">
        <v>7672</v>
      </c>
      <c r="G6796" t="s">
        <v>22708</v>
      </c>
      <c r="H6796" t="s">
        <v>8779</v>
      </c>
      <c r="I6796" t="s">
        <v>22711</v>
      </c>
      <c r="J6796" t="s">
        <v>7987</v>
      </c>
    </row>
    <row r="6797" spans="1:10" x14ac:dyDescent="0.25">
      <c r="A6797" t="s">
        <v>22728</v>
      </c>
      <c r="B6797">
        <v>12</v>
      </c>
      <c r="C6797" t="s">
        <v>22729</v>
      </c>
      <c r="D6797" t="s">
        <v>1512</v>
      </c>
      <c r="E6797" t="s">
        <v>22707</v>
      </c>
      <c r="F6797" t="s">
        <v>7672</v>
      </c>
      <c r="G6797" t="s">
        <v>22708</v>
      </c>
      <c r="H6797" t="s">
        <v>8779</v>
      </c>
      <c r="I6797" t="s">
        <v>3676</v>
      </c>
      <c r="J6797" t="s">
        <v>7987</v>
      </c>
    </row>
    <row r="6798" spans="1:10" x14ac:dyDescent="0.25">
      <c r="A6798" t="s">
        <v>22730</v>
      </c>
      <c r="B6798">
        <v>12</v>
      </c>
      <c r="C6798" t="s">
        <v>22731</v>
      </c>
      <c r="D6798" t="s">
        <v>5119</v>
      </c>
      <c r="E6798" t="s">
        <v>22707</v>
      </c>
      <c r="F6798" t="s">
        <v>7672</v>
      </c>
      <c r="G6798" t="s">
        <v>22708</v>
      </c>
      <c r="H6798" t="s">
        <v>8779</v>
      </c>
      <c r="I6798" t="s">
        <v>76</v>
      </c>
      <c r="J6798" t="s">
        <v>7987</v>
      </c>
    </row>
    <row r="6799" spans="1:10" x14ac:dyDescent="0.25">
      <c r="A6799" t="s">
        <v>22732</v>
      </c>
      <c r="B6799">
        <v>12</v>
      </c>
      <c r="C6799" t="s">
        <v>22733</v>
      </c>
      <c r="D6799" t="s">
        <v>843</v>
      </c>
      <c r="E6799" t="s">
        <v>22707</v>
      </c>
      <c r="F6799" t="s">
        <v>7672</v>
      </c>
      <c r="G6799" t="s">
        <v>22708</v>
      </c>
      <c r="H6799" t="s">
        <v>8779</v>
      </c>
      <c r="I6799" t="s">
        <v>22711</v>
      </c>
      <c r="J6799" t="s">
        <v>8001</v>
      </c>
    </row>
    <row r="6800" spans="1:10" x14ac:dyDescent="0.25">
      <c r="A6800" t="s">
        <v>22734</v>
      </c>
      <c r="B6800">
        <v>12</v>
      </c>
      <c r="C6800" t="s">
        <v>22735</v>
      </c>
      <c r="D6800" t="s">
        <v>4579</v>
      </c>
      <c r="E6800" t="s">
        <v>22707</v>
      </c>
      <c r="F6800" t="s">
        <v>7672</v>
      </c>
      <c r="G6800" t="s">
        <v>22708</v>
      </c>
      <c r="H6800" t="s">
        <v>8779</v>
      </c>
      <c r="I6800" t="s">
        <v>17434</v>
      </c>
      <c r="J6800" t="s">
        <v>8001</v>
      </c>
    </row>
    <row r="6801" spans="1:10" x14ac:dyDescent="0.25">
      <c r="A6801" t="s">
        <v>22736</v>
      </c>
      <c r="B6801">
        <v>12</v>
      </c>
      <c r="C6801" t="s">
        <v>22737</v>
      </c>
      <c r="D6801" t="s">
        <v>776</v>
      </c>
      <c r="E6801" t="s">
        <v>22707</v>
      </c>
      <c r="F6801" t="s">
        <v>7672</v>
      </c>
      <c r="G6801" t="s">
        <v>22708</v>
      </c>
      <c r="H6801" t="s">
        <v>8779</v>
      </c>
      <c r="I6801" t="s">
        <v>3676</v>
      </c>
      <c r="J6801" t="s">
        <v>8001</v>
      </c>
    </row>
    <row r="6802" spans="1:10" x14ac:dyDescent="0.25">
      <c r="A6802" t="s">
        <v>22738</v>
      </c>
      <c r="B6802">
        <v>12</v>
      </c>
      <c r="C6802" t="s">
        <v>22739</v>
      </c>
      <c r="D6802" t="s">
        <v>6194</v>
      </c>
      <c r="E6802" t="s">
        <v>22707</v>
      </c>
      <c r="F6802" t="s">
        <v>7672</v>
      </c>
      <c r="G6802" t="s">
        <v>22708</v>
      </c>
      <c r="H6802" t="s">
        <v>8779</v>
      </c>
      <c r="I6802" t="s">
        <v>76</v>
      </c>
      <c r="J6802" t="s">
        <v>8001</v>
      </c>
    </row>
    <row r="6803" spans="1:10" x14ac:dyDescent="0.25">
      <c r="A6803" t="s">
        <v>22740</v>
      </c>
      <c r="B6803">
        <v>12</v>
      </c>
      <c r="C6803" t="s">
        <v>22741</v>
      </c>
      <c r="D6803" t="s">
        <v>385</v>
      </c>
      <c r="E6803" t="s">
        <v>22707</v>
      </c>
      <c r="F6803" t="s">
        <v>7672</v>
      </c>
      <c r="G6803" t="s">
        <v>22708</v>
      </c>
      <c r="H6803" t="s">
        <v>8779</v>
      </c>
      <c r="I6803" t="s">
        <v>17434</v>
      </c>
      <c r="J6803" t="s">
        <v>8013</v>
      </c>
    </row>
    <row r="6804" spans="1:10" x14ac:dyDescent="0.25">
      <c r="A6804" t="s">
        <v>22742</v>
      </c>
      <c r="B6804">
        <v>12</v>
      </c>
      <c r="C6804" t="s">
        <v>22743</v>
      </c>
      <c r="D6804" t="s">
        <v>959</v>
      </c>
      <c r="E6804" t="s">
        <v>22707</v>
      </c>
      <c r="F6804" t="s">
        <v>7672</v>
      </c>
      <c r="G6804" t="s">
        <v>22708</v>
      </c>
      <c r="H6804" t="s">
        <v>8779</v>
      </c>
      <c r="I6804" t="s">
        <v>76</v>
      </c>
      <c r="J6804" t="s">
        <v>8013</v>
      </c>
    </row>
    <row r="6805" spans="1:10" x14ac:dyDescent="0.25">
      <c r="A6805" t="s">
        <v>22744</v>
      </c>
      <c r="B6805">
        <v>19.591999999999999</v>
      </c>
      <c r="C6805" t="s">
        <v>22745</v>
      </c>
      <c r="D6805" t="s">
        <v>164</v>
      </c>
      <c r="E6805" t="s">
        <v>22746</v>
      </c>
      <c r="F6805" t="s">
        <v>7672</v>
      </c>
      <c r="G6805" t="s">
        <v>22747</v>
      </c>
      <c r="H6805" t="s">
        <v>9127</v>
      </c>
      <c r="I6805" t="s">
        <v>12568</v>
      </c>
      <c r="J6805" t="s">
        <v>9237</v>
      </c>
    </row>
    <row r="6806" spans="1:10" x14ac:dyDescent="0.25">
      <c r="A6806" t="s">
        <v>22748</v>
      </c>
      <c r="B6806">
        <v>19.591999999999999</v>
      </c>
      <c r="C6806" t="s">
        <v>22749</v>
      </c>
      <c r="D6806" t="s">
        <v>164</v>
      </c>
      <c r="E6806" t="s">
        <v>22746</v>
      </c>
      <c r="F6806" t="s">
        <v>7672</v>
      </c>
      <c r="G6806" t="s">
        <v>22747</v>
      </c>
      <c r="H6806" t="s">
        <v>9127</v>
      </c>
      <c r="I6806" t="s">
        <v>12565</v>
      </c>
      <c r="J6806" t="s">
        <v>9237</v>
      </c>
    </row>
    <row r="6807" spans="1:10" x14ac:dyDescent="0.25">
      <c r="A6807" t="s">
        <v>22750</v>
      </c>
      <c r="B6807">
        <v>19.591999999999999</v>
      </c>
      <c r="C6807" t="s">
        <v>22751</v>
      </c>
      <c r="D6807" t="s">
        <v>4270</v>
      </c>
      <c r="E6807" t="s">
        <v>22746</v>
      </c>
      <c r="F6807" t="s">
        <v>7672</v>
      </c>
      <c r="G6807" t="s">
        <v>22747</v>
      </c>
      <c r="H6807" t="s">
        <v>9127</v>
      </c>
      <c r="I6807" t="s">
        <v>12565</v>
      </c>
      <c r="J6807" t="s">
        <v>8427</v>
      </c>
    </row>
    <row r="6808" spans="1:10" x14ac:dyDescent="0.25">
      <c r="A6808" t="s">
        <v>22752</v>
      </c>
      <c r="B6808">
        <v>19.591999999999999</v>
      </c>
      <c r="C6808" t="s">
        <v>22753</v>
      </c>
      <c r="D6808" t="s">
        <v>124</v>
      </c>
      <c r="E6808" t="s">
        <v>22746</v>
      </c>
      <c r="F6808" t="s">
        <v>7672</v>
      </c>
      <c r="G6808" t="s">
        <v>22747</v>
      </c>
      <c r="H6808" t="s">
        <v>9127</v>
      </c>
      <c r="I6808" t="s">
        <v>12568</v>
      </c>
      <c r="J6808" t="s">
        <v>8427</v>
      </c>
    </row>
    <row r="6809" spans="1:10" x14ac:dyDescent="0.25">
      <c r="A6809" t="s">
        <v>22754</v>
      </c>
      <c r="B6809">
        <v>19.591999999999999</v>
      </c>
      <c r="C6809" t="s">
        <v>22755</v>
      </c>
      <c r="D6809" t="s">
        <v>2620</v>
      </c>
      <c r="E6809" t="s">
        <v>22746</v>
      </c>
      <c r="F6809" t="s">
        <v>7672</v>
      </c>
      <c r="G6809" t="s">
        <v>22747</v>
      </c>
      <c r="H6809" t="s">
        <v>9127</v>
      </c>
      <c r="I6809" t="s">
        <v>12565</v>
      </c>
      <c r="J6809" t="s">
        <v>8439</v>
      </c>
    </row>
    <row r="6810" spans="1:10" x14ac:dyDescent="0.25">
      <c r="A6810" t="s">
        <v>22756</v>
      </c>
      <c r="B6810">
        <v>19.591999999999999</v>
      </c>
      <c r="C6810" t="s">
        <v>22757</v>
      </c>
      <c r="D6810" t="s">
        <v>3577</v>
      </c>
      <c r="E6810" t="s">
        <v>22746</v>
      </c>
      <c r="F6810" t="s">
        <v>7672</v>
      </c>
      <c r="G6810" t="s">
        <v>22747</v>
      </c>
      <c r="H6810" t="s">
        <v>9127</v>
      </c>
      <c r="I6810" t="s">
        <v>12568</v>
      </c>
      <c r="J6810" t="s">
        <v>8439</v>
      </c>
    </row>
    <row r="6811" spans="1:10" x14ac:dyDescent="0.25">
      <c r="A6811" t="s">
        <v>22758</v>
      </c>
      <c r="B6811">
        <v>19.591999999999999</v>
      </c>
      <c r="C6811" t="s">
        <v>22759</v>
      </c>
      <c r="D6811" t="s">
        <v>835</v>
      </c>
      <c r="E6811" t="s">
        <v>22746</v>
      </c>
      <c r="F6811" t="s">
        <v>7672</v>
      </c>
      <c r="G6811" t="s">
        <v>22747</v>
      </c>
      <c r="H6811" t="s">
        <v>9127</v>
      </c>
      <c r="I6811" t="s">
        <v>12565</v>
      </c>
      <c r="J6811" t="s">
        <v>8451</v>
      </c>
    </row>
    <row r="6812" spans="1:10" x14ac:dyDescent="0.25">
      <c r="A6812" t="s">
        <v>22760</v>
      </c>
      <c r="B6812">
        <v>19.591999999999999</v>
      </c>
      <c r="C6812" t="s">
        <v>22761</v>
      </c>
      <c r="D6812" t="s">
        <v>849</v>
      </c>
      <c r="E6812" t="s">
        <v>22746</v>
      </c>
      <c r="F6812" t="s">
        <v>7672</v>
      </c>
      <c r="G6812" t="s">
        <v>22747</v>
      </c>
      <c r="H6812" t="s">
        <v>9127</v>
      </c>
      <c r="I6812" t="s">
        <v>12568</v>
      </c>
      <c r="J6812" t="s">
        <v>8451</v>
      </c>
    </row>
    <row r="6813" spans="1:10" x14ac:dyDescent="0.25">
      <c r="A6813" t="s">
        <v>22762</v>
      </c>
      <c r="B6813">
        <v>19.591999999999999</v>
      </c>
      <c r="C6813" t="s">
        <v>22763</v>
      </c>
      <c r="D6813" t="s">
        <v>282</v>
      </c>
      <c r="E6813" t="s">
        <v>22746</v>
      </c>
      <c r="F6813" t="s">
        <v>7672</v>
      </c>
      <c r="G6813" t="s">
        <v>22747</v>
      </c>
      <c r="H6813" t="s">
        <v>9127</v>
      </c>
      <c r="I6813" t="s">
        <v>12565</v>
      </c>
      <c r="J6813" t="s">
        <v>8462</v>
      </c>
    </row>
    <row r="6814" spans="1:10" x14ac:dyDescent="0.25">
      <c r="A6814" t="s">
        <v>22764</v>
      </c>
      <c r="B6814">
        <v>16.8</v>
      </c>
      <c r="C6814" t="s">
        <v>22765</v>
      </c>
      <c r="D6814" t="s">
        <v>3572</v>
      </c>
      <c r="E6814" t="s">
        <v>22766</v>
      </c>
      <c r="F6814" t="s">
        <v>7672</v>
      </c>
      <c r="G6814" t="s">
        <v>22767</v>
      </c>
      <c r="H6814" t="s">
        <v>7947</v>
      </c>
      <c r="I6814" t="s">
        <v>410</v>
      </c>
      <c r="J6814" t="s">
        <v>8427</v>
      </c>
    </row>
    <row r="6815" spans="1:10" x14ac:dyDescent="0.25">
      <c r="A6815" t="s">
        <v>22768</v>
      </c>
      <c r="B6815">
        <v>16.8</v>
      </c>
      <c r="C6815" t="s">
        <v>22769</v>
      </c>
      <c r="D6815" t="s">
        <v>67</v>
      </c>
      <c r="E6815" t="s">
        <v>22766</v>
      </c>
      <c r="F6815" t="s">
        <v>7672</v>
      </c>
      <c r="G6815" t="s">
        <v>22767</v>
      </c>
      <c r="H6815" t="s">
        <v>7947</v>
      </c>
      <c r="I6815" t="s">
        <v>410</v>
      </c>
      <c r="J6815" t="s">
        <v>8439</v>
      </c>
    </row>
    <row r="6816" spans="1:10" x14ac:dyDescent="0.25">
      <c r="A6816" t="s">
        <v>22770</v>
      </c>
      <c r="B6816">
        <v>16.8</v>
      </c>
      <c r="C6816" t="s">
        <v>22771</v>
      </c>
      <c r="D6816" t="s">
        <v>2238</v>
      </c>
      <c r="E6816" t="s">
        <v>22766</v>
      </c>
      <c r="F6816" t="s">
        <v>7672</v>
      </c>
      <c r="G6816" t="s">
        <v>22767</v>
      </c>
      <c r="H6816" t="s">
        <v>7947</v>
      </c>
      <c r="I6816" t="s">
        <v>410</v>
      </c>
      <c r="J6816" t="s">
        <v>8451</v>
      </c>
    </row>
    <row r="6817" spans="1:10" x14ac:dyDescent="0.25">
      <c r="A6817" t="s">
        <v>22772</v>
      </c>
      <c r="B6817">
        <v>5.9920000000000009</v>
      </c>
      <c r="C6817" t="s">
        <v>22773</v>
      </c>
      <c r="D6817" t="s">
        <v>60</v>
      </c>
      <c r="E6817" t="s">
        <v>22774</v>
      </c>
      <c r="F6817" t="s">
        <v>7672</v>
      </c>
      <c r="G6817" t="s">
        <v>22775</v>
      </c>
      <c r="H6817" t="s">
        <v>8027</v>
      </c>
      <c r="I6817" t="s">
        <v>18596</v>
      </c>
      <c r="J6817" t="s">
        <v>7942</v>
      </c>
    </row>
    <row r="6818" spans="1:10" x14ac:dyDescent="0.25">
      <c r="A6818" t="s">
        <v>22776</v>
      </c>
      <c r="B6818">
        <v>5.9920000000000009</v>
      </c>
      <c r="C6818" t="s">
        <v>22777</v>
      </c>
      <c r="D6818" t="s">
        <v>100</v>
      </c>
      <c r="E6818" t="s">
        <v>22774</v>
      </c>
      <c r="F6818" t="s">
        <v>7672</v>
      </c>
      <c r="G6818" t="s">
        <v>22775</v>
      </c>
      <c r="H6818" t="s">
        <v>8027</v>
      </c>
      <c r="I6818" t="s">
        <v>20853</v>
      </c>
      <c r="J6818" t="s">
        <v>8001</v>
      </c>
    </row>
    <row r="6819" spans="1:10" x14ac:dyDescent="0.25">
      <c r="A6819" t="s">
        <v>22778</v>
      </c>
      <c r="B6819">
        <v>5.2</v>
      </c>
      <c r="C6819" t="s">
        <v>22779</v>
      </c>
      <c r="D6819" t="s">
        <v>106</v>
      </c>
      <c r="E6819" t="s">
        <v>22780</v>
      </c>
      <c r="F6819" t="s">
        <v>7672</v>
      </c>
      <c r="G6819" t="s">
        <v>22781</v>
      </c>
      <c r="H6819" t="s">
        <v>16993</v>
      </c>
      <c r="I6819" t="s">
        <v>22782</v>
      </c>
      <c r="J6819" t="s">
        <v>9423</v>
      </c>
    </row>
    <row r="6820" spans="1:10" x14ac:dyDescent="0.25">
      <c r="A6820" t="s">
        <v>22783</v>
      </c>
      <c r="B6820">
        <v>5.2</v>
      </c>
      <c r="C6820" t="s">
        <v>22784</v>
      </c>
      <c r="D6820" t="s">
        <v>60</v>
      </c>
      <c r="E6820" t="s">
        <v>22780</v>
      </c>
      <c r="F6820" t="s">
        <v>7672</v>
      </c>
      <c r="G6820" t="s">
        <v>22781</v>
      </c>
      <c r="H6820" t="s">
        <v>16993</v>
      </c>
      <c r="I6820" t="s">
        <v>22785</v>
      </c>
      <c r="J6820" t="s">
        <v>9423</v>
      </c>
    </row>
    <row r="6821" spans="1:10" x14ac:dyDescent="0.25">
      <c r="A6821" t="s">
        <v>22786</v>
      </c>
      <c r="B6821">
        <v>5.2</v>
      </c>
      <c r="C6821" t="s">
        <v>22787</v>
      </c>
      <c r="D6821" t="s">
        <v>2697</v>
      </c>
      <c r="E6821" t="s">
        <v>22780</v>
      </c>
      <c r="F6821" t="s">
        <v>7672</v>
      </c>
      <c r="G6821" t="s">
        <v>22781</v>
      </c>
      <c r="H6821" t="s">
        <v>16993</v>
      </c>
      <c r="I6821" t="s">
        <v>22788</v>
      </c>
      <c r="J6821" t="s">
        <v>9423</v>
      </c>
    </row>
    <row r="6822" spans="1:10" x14ac:dyDescent="0.25">
      <c r="A6822" t="s">
        <v>22789</v>
      </c>
      <c r="B6822">
        <v>5.2</v>
      </c>
      <c r="C6822" t="s">
        <v>22790</v>
      </c>
      <c r="D6822" t="s">
        <v>106</v>
      </c>
      <c r="E6822" t="s">
        <v>22780</v>
      </c>
      <c r="F6822" t="s">
        <v>7672</v>
      </c>
      <c r="G6822" t="s">
        <v>22781</v>
      </c>
      <c r="H6822" t="s">
        <v>16993</v>
      </c>
      <c r="I6822" t="s">
        <v>22782</v>
      </c>
      <c r="J6822" t="s">
        <v>9426</v>
      </c>
    </row>
    <row r="6823" spans="1:10" x14ac:dyDescent="0.25">
      <c r="A6823" t="s">
        <v>22791</v>
      </c>
      <c r="B6823">
        <v>5.2</v>
      </c>
      <c r="C6823" t="s">
        <v>22792</v>
      </c>
      <c r="D6823" t="s">
        <v>1097</v>
      </c>
      <c r="E6823" t="s">
        <v>22780</v>
      </c>
      <c r="F6823" t="s">
        <v>7672</v>
      </c>
      <c r="G6823" t="s">
        <v>22781</v>
      </c>
      <c r="H6823" t="s">
        <v>16993</v>
      </c>
      <c r="I6823" t="s">
        <v>22788</v>
      </c>
      <c r="J6823" t="s">
        <v>9426</v>
      </c>
    </row>
    <row r="6824" spans="1:10" x14ac:dyDescent="0.25">
      <c r="A6824" t="s">
        <v>22793</v>
      </c>
      <c r="B6824">
        <v>5.2</v>
      </c>
      <c r="C6824" t="s">
        <v>22794</v>
      </c>
      <c r="D6824" t="s">
        <v>613</v>
      </c>
      <c r="E6824" t="s">
        <v>22780</v>
      </c>
      <c r="F6824" t="s">
        <v>7672</v>
      </c>
      <c r="G6824" t="s">
        <v>22781</v>
      </c>
      <c r="H6824" t="s">
        <v>16993</v>
      </c>
      <c r="I6824" t="s">
        <v>22788</v>
      </c>
      <c r="J6824" t="s">
        <v>10862</v>
      </c>
    </row>
    <row r="6825" spans="1:10" x14ac:dyDescent="0.25">
      <c r="A6825" t="s">
        <v>22795</v>
      </c>
      <c r="B6825">
        <v>5.2</v>
      </c>
      <c r="C6825" t="s">
        <v>22796</v>
      </c>
      <c r="D6825" t="s">
        <v>245</v>
      </c>
      <c r="E6825" t="s">
        <v>22780</v>
      </c>
      <c r="F6825" t="s">
        <v>7672</v>
      </c>
      <c r="G6825" t="s">
        <v>22781</v>
      </c>
      <c r="H6825" t="s">
        <v>16993</v>
      </c>
      <c r="I6825" t="s">
        <v>22788</v>
      </c>
      <c r="J6825" t="s">
        <v>13084</v>
      </c>
    </row>
    <row r="6826" spans="1:10" x14ac:dyDescent="0.25">
      <c r="A6826" t="s">
        <v>22797</v>
      </c>
      <c r="B6826">
        <v>5.2</v>
      </c>
      <c r="C6826" t="s">
        <v>22798</v>
      </c>
      <c r="D6826" t="s">
        <v>959</v>
      </c>
      <c r="E6826" t="s">
        <v>22780</v>
      </c>
      <c r="F6826" t="s">
        <v>7672</v>
      </c>
      <c r="G6826" t="s">
        <v>22781</v>
      </c>
      <c r="H6826" t="s">
        <v>16993</v>
      </c>
      <c r="I6826" t="s">
        <v>22782</v>
      </c>
      <c r="J6826" t="s">
        <v>11767</v>
      </c>
    </row>
    <row r="6827" spans="1:10" x14ac:dyDescent="0.25">
      <c r="A6827" t="s">
        <v>22799</v>
      </c>
      <c r="B6827">
        <v>5.2</v>
      </c>
      <c r="C6827" t="s">
        <v>22800</v>
      </c>
      <c r="D6827" t="s">
        <v>926</v>
      </c>
      <c r="E6827" t="s">
        <v>22780</v>
      </c>
      <c r="F6827" t="s">
        <v>7672</v>
      </c>
      <c r="G6827" t="s">
        <v>22781</v>
      </c>
      <c r="H6827" t="s">
        <v>16993</v>
      </c>
      <c r="I6827" t="s">
        <v>22788</v>
      </c>
      <c r="J6827" t="s">
        <v>11767</v>
      </c>
    </row>
    <row r="6828" spans="1:10" x14ac:dyDescent="0.25">
      <c r="A6828" t="s">
        <v>22801</v>
      </c>
      <c r="B6828">
        <v>5.2</v>
      </c>
      <c r="C6828" t="s">
        <v>22802</v>
      </c>
      <c r="D6828" t="s">
        <v>1134</v>
      </c>
      <c r="E6828" t="s">
        <v>22780</v>
      </c>
      <c r="F6828" t="s">
        <v>7672</v>
      </c>
      <c r="G6828" t="s">
        <v>22781</v>
      </c>
      <c r="H6828" t="s">
        <v>16993</v>
      </c>
      <c r="I6828" t="s">
        <v>22788</v>
      </c>
      <c r="J6828" t="s">
        <v>11582</v>
      </c>
    </row>
    <row r="6829" spans="1:10" x14ac:dyDescent="0.25">
      <c r="A6829" t="s">
        <v>22803</v>
      </c>
      <c r="B6829">
        <v>10.4</v>
      </c>
      <c r="C6829" t="s">
        <v>22804</v>
      </c>
      <c r="D6829" t="s">
        <v>286</v>
      </c>
      <c r="E6829" t="s">
        <v>22805</v>
      </c>
      <c r="F6829" t="s">
        <v>7672</v>
      </c>
      <c r="G6829" t="s">
        <v>22806</v>
      </c>
      <c r="H6829" t="s">
        <v>15122</v>
      </c>
      <c r="I6829" t="s">
        <v>935</v>
      </c>
      <c r="J6829" t="s">
        <v>11767</v>
      </c>
    </row>
    <row r="6830" spans="1:10" x14ac:dyDescent="0.25">
      <c r="A6830" t="s">
        <v>22807</v>
      </c>
      <c r="B6830">
        <v>10.4</v>
      </c>
      <c r="C6830" t="s">
        <v>22808</v>
      </c>
      <c r="D6830" t="s">
        <v>1621</v>
      </c>
      <c r="E6830" t="s">
        <v>22805</v>
      </c>
      <c r="F6830" t="s">
        <v>7672</v>
      </c>
      <c r="G6830" t="s">
        <v>22806</v>
      </c>
      <c r="H6830" t="s">
        <v>15122</v>
      </c>
      <c r="I6830" t="s">
        <v>935</v>
      </c>
      <c r="J6830" t="s">
        <v>11585</v>
      </c>
    </row>
    <row r="6831" spans="1:10" x14ac:dyDescent="0.25">
      <c r="A6831" t="s">
        <v>22809</v>
      </c>
      <c r="B6831">
        <v>10.4</v>
      </c>
      <c r="C6831" t="s">
        <v>22810</v>
      </c>
      <c r="D6831" t="s">
        <v>9800</v>
      </c>
      <c r="E6831" t="s">
        <v>22805</v>
      </c>
      <c r="F6831" t="s">
        <v>7672</v>
      </c>
      <c r="G6831" t="s">
        <v>22806</v>
      </c>
      <c r="H6831" t="s">
        <v>15122</v>
      </c>
      <c r="I6831" t="s">
        <v>935</v>
      </c>
      <c r="J6831" t="s">
        <v>10369</v>
      </c>
    </row>
    <row r="6832" spans="1:10" x14ac:dyDescent="0.25">
      <c r="A6832" t="s">
        <v>22811</v>
      </c>
      <c r="B6832">
        <v>10.4</v>
      </c>
      <c r="C6832" t="s">
        <v>22812</v>
      </c>
      <c r="D6832" t="s">
        <v>416</v>
      </c>
      <c r="E6832" t="s">
        <v>22805</v>
      </c>
      <c r="F6832" t="s">
        <v>7672</v>
      </c>
      <c r="G6832" t="s">
        <v>22806</v>
      </c>
      <c r="H6832" t="s">
        <v>15122</v>
      </c>
      <c r="I6832" t="s">
        <v>935</v>
      </c>
      <c r="J6832" t="s">
        <v>11590</v>
      </c>
    </row>
    <row r="6833" spans="1:10" x14ac:dyDescent="0.25">
      <c r="A6833" t="s">
        <v>22813</v>
      </c>
      <c r="B6833">
        <v>10.4</v>
      </c>
      <c r="C6833" t="s">
        <v>22814</v>
      </c>
      <c r="D6833" t="s">
        <v>9124</v>
      </c>
      <c r="E6833" t="s">
        <v>22805</v>
      </c>
      <c r="F6833" t="s">
        <v>7672</v>
      </c>
      <c r="G6833" t="s">
        <v>22806</v>
      </c>
      <c r="H6833" t="s">
        <v>15122</v>
      </c>
      <c r="I6833" t="s">
        <v>935</v>
      </c>
      <c r="J6833" t="s">
        <v>11593</v>
      </c>
    </row>
    <row r="6834" spans="1:10" x14ac:dyDescent="0.25">
      <c r="A6834" t="s">
        <v>22815</v>
      </c>
      <c r="B6834">
        <v>7.28</v>
      </c>
      <c r="C6834" t="s">
        <v>22816</v>
      </c>
      <c r="D6834" t="s">
        <v>671</v>
      </c>
      <c r="E6834" t="s">
        <v>22817</v>
      </c>
      <c r="F6834" t="s">
        <v>7672</v>
      </c>
      <c r="G6834" t="s">
        <v>22818</v>
      </c>
      <c r="H6834" t="s">
        <v>22819</v>
      </c>
      <c r="I6834" t="s">
        <v>22820</v>
      </c>
      <c r="J6834" t="s">
        <v>7981</v>
      </c>
    </row>
    <row r="6835" spans="1:10" x14ac:dyDescent="0.25">
      <c r="A6835" t="s">
        <v>22821</v>
      </c>
      <c r="B6835">
        <v>7.28</v>
      </c>
      <c r="C6835" t="s">
        <v>22822</v>
      </c>
      <c r="D6835" t="s">
        <v>60</v>
      </c>
      <c r="E6835" t="s">
        <v>22817</v>
      </c>
      <c r="F6835" t="s">
        <v>7672</v>
      </c>
      <c r="G6835" t="s">
        <v>22818</v>
      </c>
      <c r="H6835" t="s">
        <v>22819</v>
      </c>
      <c r="I6835" t="s">
        <v>145</v>
      </c>
      <c r="J6835" t="s">
        <v>7981</v>
      </c>
    </row>
    <row r="6836" spans="1:10" x14ac:dyDescent="0.25">
      <c r="A6836" t="s">
        <v>22823</v>
      </c>
      <c r="B6836">
        <v>7.28</v>
      </c>
      <c r="C6836" t="s">
        <v>22824</v>
      </c>
      <c r="D6836" t="s">
        <v>321</v>
      </c>
      <c r="E6836" t="s">
        <v>22817</v>
      </c>
      <c r="F6836" t="s">
        <v>7672</v>
      </c>
      <c r="G6836" t="s">
        <v>22818</v>
      </c>
      <c r="H6836" t="s">
        <v>22819</v>
      </c>
      <c r="I6836" t="s">
        <v>22820</v>
      </c>
      <c r="J6836" t="s">
        <v>7984</v>
      </c>
    </row>
    <row r="6837" spans="1:10" x14ac:dyDescent="0.25">
      <c r="A6837" t="s">
        <v>22825</v>
      </c>
      <c r="B6837">
        <v>7.28</v>
      </c>
      <c r="C6837" t="s">
        <v>22826</v>
      </c>
      <c r="D6837" t="s">
        <v>3378</v>
      </c>
      <c r="E6837" t="s">
        <v>22817</v>
      </c>
      <c r="F6837" t="s">
        <v>7672</v>
      </c>
      <c r="G6837" t="s">
        <v>22818</v>
      </c>
      <c r="H6837" t="s">
        <v>22819</v>
      </c>
      <c r="I6837" t="s">
        <v>145</v>
      </c>
      <c r="J6837" t="s">
        <v>7987</v>
      </c>
    </row>
    <row r="6838" spans="1:10" x14ac:dyDescent="0.25">
      <c r="A6838" t="s">
        <v>22827</v>
      </c>
      <c r="B6838">
        <v>7.28</v>
      </c>
      <c r="C6838" t="s">
        <v>22828</v>
      </c>
      <c r="D6838" t="s">
        <v>1536</v>
      </c>
      <c r="E6838" t="s">
        <v>22817</v>
      </c>
      <c r="F6838" t="s">
        <v>7672</v>
      </c>
      <c r="G6838" t="s">
        <v>22818</v>
      </c>
      <c r="H6838" t="s">
        <v>22819</v>
      </c>
      <c r="I6838" t="s">
        <v>22820</v>
      </c>
      <c r="J6838" t="s">
        <v>7987</v>
      </c>
    </row>
    <row r="6839" spans="1:10" x14ac:dyDescent="0.25">
      <c r="A6839" t="s">
        <v>22829</v>
      </c>
      <c r="B6839">
        <v>7.28</v>
      </c>
      <c r="C6839" t="s">
        <v>22830</v>
      </c>
      <c r="D6839" t="s">
        <v>118</v>
      </c>
      <c r="E6839" t="s">
        <v>22817</v>
      </c>
      <c r="F6839" t="s">
        <v>7672</v>
      </c>
      <c r="G6839" t="s">
        <v>22818</v>
      </c>
      <c r="H6839" t="s">
        <v>22819</v>
      </c>
      <c r="I6839" t="s">
        <v>145</v>
      </c>
      <c r="J6839" t="s">
        <v>8001</v>
      </c>
    </row>
    <row r="6840" spans="1:10" x14ac:dyDescent="0.25">
      <c r="A6840" t="s">
        <v>22831</v>
      </c>
      <c r="B6840">
        <v>7.28</v>
      </c>
      <c r="C6840" t="s">
        <v>22832</v>
      </c>
      <c r="D6840" t="s">
        <v>113</v>
      </c>
      <c r="E6840" t="s">
        <v>22817</v>
      </c>
      <c r="F6840" t="s">
        <v>7672</v>
      </c>
      <c r="G6840" t="s">
        <v>22818</v>
      </c>
      <c r="H6840" t="s">
        <v>22819</v>
      </c>
      <c r="I6840" t="s">
        <v>22820</v>
      </c>
      <c r="J6840" t="s">
        <v>8001</v>
      </c>
    </row>
    <row r="6841" spans="1:10" x14ac:dyDescent="0.25">
      <c r="A6841" t="s">
        <v>22833</v>
      </c>
      <c r="B6841">
        <v>13.992000000000001</v>
      </c>
      <c r="C6841" t="s">
        <v>22834</v>
      </c>
      <c r="D6841" t="s">
        <v>95</v>
      </c>
      <c r="E6841" t="s">
        <v>22835</v>
      </c>
      <c r="F6841" t="s">
        <v>7672</v>
      </c>
      <c r="G6841" t="s">
        <v>22836</v>
      </c>
      <c r="H6841" t="s">
        <v>12232</v>
      </c>
      <c r="I6841" t="s">
        <v>22837</v>
      </c>
      <c r="J6841" t="s">
        <v>8451</v>
      </c>
    </row>
    <row r="6842" spans="1:10" x14ac:dyDescent="0.25">
      <c r="A6842" t="s">
        <v>22838</v>
      </c>
      <c r="B6842">
        <v>14.4</v>
      </c>
      <c r="C6842" t="s">
        <v>22839</v>
      </c>
      <c r="D6842" t="s">
        <v>2381</v>
      </c>
      <c r="E6842" t="s">
        <v>22840</v>
      </c>
      <c r="F6842" t="s">
        <v>7672</v>
      </c>
      <c r="G6842" t="s">
        <v>22841</v>
      </c>
      <c r="H6842" t="s">
        <v>8078</v>
      </c>
      <c r="I6842" t="s">
        <v>22842</v>
      </c>
      <c r="J6842" t="s">
        <v>8427</v>
      </c>
    </row>
    <row r="6843" spans="1:10" x14ac:dyDescent="0.25">
      <c r="A6843" t="s">
        <v>22843</v>
      </c>
      <c r="B6843">
        <v>14.4</v>
      </c>
      <c r="C6843" t="s">
        <v>22844</v>
      </c>
      <c r="D6843" t="s">
        <v>3289</v>
      </c>
      <c r="E6843" t="s">
        <v>22840</v>
      </c>
      <c r="F6843" t="s">
        <v>7672</v>
      </c>
      <c r="G6843" t="s">
        <v>22841</v>
      </c>
      <c r="H6843" t="s">
        <v>8078</v>
      </c>
      <c r="I6843" t="s">
        <v>22842</v>
      </c>
      <c r="J6843" t="s">
        <v>8439</v>
      </c>
    </row>
    <row r="6844" spans="1:10" x14ac:dyDescent="0.25">
      <c r="A6844" t="s">
        <v>22845</v>
      </c>
      <c r="B6844">
        <v>14.4</v>
      </c>
      <c r="C6844" t="s">
        <v>22846</v>
      </c>
      <c r="D6844" t="s">
        <v>3175</v>
      </c>
      <c r="E6844" t="s">
        <v>22840</v>
      </c>
      <c r="F6844" t="s">
        <v>7672</v>
      </c>
      <c r="G6844" t="s">
        <v>22841</v>
      </c>
      <c r="H6844" t="s">
        <v>8078</v>
      </c>
      <c r="I6844" t="s">
        <v>22842</v>
      </c>
      <c r="J6844" t="s">
        <v>8451</v>
      </c>
    </row>
    <row r="6845" spans="1:10" x14ac:dyDescent="0.25">
      <c r="A6845" t="s">
        <v>6308</v>
      </c>
      <c r="B6845">
        <v>15.288</v>
      </c>
      <c r="C6845" t="s">
        <v>6310</v>
      </c>
      <c r="D6845" t="s">
        <v>60</v>
      </c>
      <c r="E6845" t="s">
        <v>6311</v>
      </c>
      <c r="F6845" t="s">
        <v>7672</v>
      </c>
      <c r="G6845" t="s">
        <v>22847</v>
      </c>
      <c r="H6845" t="s">
        <v>10970</v>
      </c>
      <c r="I6845" t="s">
        <v>6314</v>
      </c>
      <c r="J6845" t="s">
        <v>7675</v>
      </c>
    </row>
    <row r="6846" spans="1:10" x14ac:dyDescent="0.25">
      <c r="A6846" t="s">
        <v>6315</v>
      </c>
      <c r="B6846">
        <v>15.288</v>
      </c>
      <c r="C6846" t="s">
        <v>6317</v>
      </c>
      <c r="D6846" t="s">
        <v>576</v>
      </c>
      <c r="E6846" t="s">
        <v>6311</v>
      </c>
      <c r="F6846" t="s">
        <v>7672</v>
      </c>
      <c r="G6846" t="s">
        <v>22847</v>
      </c>
      <c r="H6846" t="s">
        <v>10970</v>
      </c>
      <c r="I6846" t="s">
        <v>6320</v>
      </c>
      <c r="J6846" t="s">
        <v>7675</v>
      </c>
    </row>
    <row r="6847" spans="1:10" x14ac:dyDescent="0.25">
      <c r="A6847" t="s">
        <v>6321</v>
      </c>
      <c r="B6847">
        <v>15.288</v>
      </c>
      <c r="C6847" t="s">
        <v>6323</v>
      </c>
      <c r="D6847" t="s">
        <v>436</v>
      </c>
      <c r="E6847" t="s">
        <v>6311</v>
      </c>
      <c r="F6847" t="s">
        <v>7672</v>
      </c>
      <c r="G6847" t="s">
        <v>22847</v>
      </c>
      <c r="H6847" t="s">
        <v>10970</v>
      </c>
      <c r="I6847" t="s">
        <v>22848</v>
      </c>
      <c r="J6847" t="s">
        <v>7675</v>
      </c>
    </row>
    <row r="6848" spans="1:10" x14ac:dyDescent="0.25">
      <c r="A6848" t="s">
        <v>22849</v>
      </c>
      <c r="B6848">
        <v>10.352</v>
      </c>
      <c r="C6848" t="s">
        <v>22850</v>
      </c>
      <c r="D6848" t="s">
        <v>53</v>
      </c>
      <c r="E6848" t="s">
        <v>22851</v>
      </c>
      <c r="F6848" t="s">
        <v>7672</v>
      </c>
      <c r="G6848" t="s">
        <v>22852</v>
      </c>
      <c r="H6848" t="s">
        <v>11598</v>
      </c>
      <c r="I6848" t="s">
        <v>22853</v>
      </c>
      <c r="J6848" t="s">
        <v>9237</v>
      </c>
    </row>
    <row r="6849" spans="1:10" x14ac:dyDescent="0.25">
      <c r="A6849" t="s">
        <v>22854</v>
      </c>
      <c r="B6849">
        <v>10.352</v>
      </c>
      <c r="C6849" t="s">
        <v>22855</v>
      </c>
      <c r="D6849" t="s">
        <v>53</v>
      </c>
      <c r="E6849" t="s">
        <v>22851</v>
      </c>
      <c r="F6849" t="s">
        <v>7672</v>
      </c>
      <c r="G6849" t="s">
        <v>22852</v>
      </c>
      <c r="H6849" t="s">
        <v>11598</v>
      </c>
      <c r="I6849" t="s">
        <v>22856</v>
      </c>
      <c r="J6849" t="s">
        <v>8427</v>
      </c>
    </row>
    <row r="6850" spans="1:10" x14ac:dyDescent="0.25">
      <c r="A6850" t="s">
        <v>22857</v>
      </c>
      <c r="B6850">
        <v>10.352</v>
      </c>
      <c r="C6850" t="s">
        <v>22858</v>
      </c>
      <c r="D6850" t="s">
        <v>330</v>
      </c>
      <c r="E6850" t="s">
        <v>22851</v>
      </c>
      <c r="F6850" t="s">
        <v>7672</v>
      </c>
      <c r="G6850" t="s">
        <v>22852</v>
      </c>
      <c r="H6850" t="s">
        <v>11598</v>
      </c>
      <c r="I6850" t="s">
        <v>76</v>
      </c>
      <c r="J6850" t="s">
        <v>8427</v>
      </c>
    </row>
    <row r="6851" spans="1:10" x14ac:dyDescent="0.25">
      <c r="A6851" t="s">
        <v>22859</v>
      </c>
      <c r="B6851">
        <v>10.352</v>
      </c>
      <c r="C6851" t="s">
        <v>22860</v>
      </c>
      <c r="D6851" t="s">
        <v>95</v>
      </c>
      <c r="E6851" t="s">
        <v>22851</v>
      </c>
      <c r="F6851" t="s">
        <v>7672</v>
      </c>
      <c r="G6851" t="s">
        <v>22852</v>
      </c>
      <c r="H6851" t="s">
        <v>11598</v>
      </c>
      <c r="I6851" t="s">
        <v>22861</v>
      </c>
      <c r="J6851" t="s">
        <v>8427</v>
      </c>
    </row>
    <row r="6852" spans="1:10" x14ac:dyDescent="0.25">
      <c r="A6852" t="s">
        <v>22862</v>
      </c>
      <c r="B6852">
        <v>10.352</v>
      </c>
      <c r="C6852" t="s">
        <v>22863</v>
      </c>
      <c r="D6852" t="s">
        <v>959</v>
      </c>
      <c r="E6852" t="s">
        <v>22851</v>
      </c>
      <c r="F6852" t="s">
        <v>7672</v>
      </c>
      <c r="G6852" t="s">
        <v>22852</v>
      </c>
      <c r="H6852" t="s">
        <v>11598</v>
      </c>
      <c r="I6852" t="s">
        <v>22853</v>
      </c>
      <c r="J6852" t="s">
        <v>8427</v>
      </c>
    </row>
    <row r="6853" spans="1:10" x14ac:dyDescent="0.25">
      <c r="A6853" t="s">
        <v>22864</v>
      </c>
      <c r="B6853">
        <v>10.352</v>
      </c>
      <c r="C6853" t="s">
        <v>22865</v>
      </c>
      <c r="D6853" t="s">
        <v>959</v>
      </c>
      <c r="E6853" t="s">
        <v>22851</v>
      </c>
      <c r="F6853" t="s">
        <v>7672</v>
      </c>
      <c r="G6853" t="s">
        <v>22852</v>
      </c>
      <c r="H6853" t="s">
        <v>11598</v>
      </c>
      <c r="I6853" t="s">
        <v>22861</v>
      </c>
      <c r="J6853" t="s">
        <v>8439</v>
      </c>
    </row>
    <row r="6854" spans="1:10" x14ac:dyDescent="0.25">
      <c r="A6854" t="s">
        <v>22866</v>
      </c>
      <c r="B6854">
        <v>10.352</v>
      </c>
      <c r="C6854" t="s">
        <v>22867</v>
      </c>
      <c r="D6854" t="s">
        <v>436</v>
      </c>
      <c r="E6854" t="s">
        <v>22851</v>
      </c>
      <c r="F6854" t="s">
        <v>7672</v>
      </c>
      <c r="G6854" t="s">
        <v>22852</v>
      </c>
      <c r="H6854" t="s">
        <v>11598</v>
      </c>
      <c r="I6854" t="s">
        <v>22856</v>
      </c>
      <c r="J6854" t="s">
        <v>8439</v>
      </c>
    </row>
    <row r="6855" spans="1:10" x14ac:dyDescent="0.25">
      <c r="A6855" t="s">
        <v>22868</v>
      </c>
      <c r="B6855">
        <v>10.352</v>
      </c>
      <c r="C6855" t="s">
        <v>22869</v>
      </c>
      <c r="D6855" t="s">
        <v>113</v>
      </c>
      <c r="E6855" t="s">
        <v>22851</v>
      </c>
      <c r="F6855" t="s">
        <v>7672</v>
      </c>
      <c r="G6855" t="s">
        <v>22852</v>
      </c>
      <c r="H6855" t="s">
        <v>11598</v>
      </c>
      <c r="I6855" t="s">
        <v>76</v>
      </c>
      <c r="J6855" t="s">
        <v>8439</v>
      </c>
    </row>
    <row r="6856" spans="1:10" x14ac:dyDescent="0.25">
      <c r="A6856" t="s">
        <v>22870</v>
      </c>
      <c r="B6856">
        <v>10.352</v>
      </c>
      <c r="C6856" t="s">
        <v>22871</v>
      </c>
      <c r="D6856" t="s">
        <v>2879</v>
      </c>
      <c r="E6856" t="s">
        <v>22851</v>
      </c>
      <c r="F6856" t="s">
        <v>7672</v>
      </c>
      <c r="G6856" t="s">
        <v>22852</v>
      </c>
      <c r="H6856" t="s">
        <v>11598</v>
      </c>
      <c r="I6856" t="s">
        <v>22853</v>
      </c>
      <c r="J6856" t="s">
        <v>8439</v>
      </c>
    </row>
    <row r="6857" spans="1:10" x14ac:dyDescent="0.25">
      <c r="A6857" t="s">
        <v>22872</v>
      </c>
      <c r="B6857">
        <v>10.352</v>
      </c>
      <c r="C6857" t="s">
        <v>22873</v>
      </c>
      <c r="D6857" t="s">
        <v>164</v>
      </c>
      <c r="E6857" t="s">
        <v>22851</v>
      </c>
      <c r="F6857" t="s">
        <v>7672</v>
      </c>
      <c r="G6857" t="s">
        <v>22852</v>
      </c>
      <c r="H6857" t="s">
        <v>11598</v>
      </c>
      <c r="I6857" t="s">
        <v>22861</v>
      </c>
      <c r="J6857" t="s">
        <v>8451</v>
      </c>
    </row>
    <row r="6858" spans="1:10" x14ac:dyDescent="0.25">
      <c r="A6858" t="s">
        <v>22874</v>
      </c>
      <c r="B6858">
        <v>10.352</v>
      </c>
      <c r="C6858" t="s">
        <v>22875</v>
      </c>
      <c r="D6858" t="s">
        <v>959</v>
      </c>
      <c r="E6858" t="s">
        <v>22851</v>
      </c>
      <c r="F6858" t="s">
        <v>7672</v>
      </c>
      <c r="G6858" t="s">
        <v>22852</v>
      </c>
      <c r="H6858" t="s">
        <v>11598</v>
      </c>
      <c r="I6858" t="s">
        <v>22856</v>
      </c>
      <c r="J6858" t="s">
        <v>8451</v>
      </c>
    </row>
    <row r="6859" spans="1:10" x14ac:dyDescent="0.25">
      <c r="A6859" t="s">
        <v>22876</v>
      </c>
      <c r="B6859">
        <v>10.352</v>
      </c>
      <c r="C6859" t="s">
        <v>22877</v>
      </c>
      <c r="D6859" t="s">
        <v>385</v>
      </c>
      <c r="E6859" t="s">
        <v>22851</v>
      </c>
      <c r="F6859" t="s">
        <v>7672</v>
      </c>
      <c r="G6859" t="s">
        <v>22852</v>
      </c>
      <c r="H6859" t="s">
        <v>11598</v>
      </c>
      <c r="I6859" t="s">
        <v>76</v>
      </c>
      <c r="J6859" t="s">
        <v>8451</v>
      </c>
    </row>
    <row r="6860" spans="1:10" x14ac:dyDescent="0.25">
      <c r="A6860" t="s">
        <v>22878</v>
      </c>
      <c r="B6860">
        <v>10.352</v>
      </c>
      <c r="C6860" t="s">
        <v>22879</v>
      </c>
      <c r="D6860" t="s">
        <v>359</v>
      </c>
      <c r="E6860" t="s">
        <v>22851</v>
      </c>
      <c r="F6860" t="s">
        <v>7672</v>
      </c>
      <c r="G6860" t="s">
        <v>22852</v>
      </c>
      <c r="H6860" t="s">
        <v>11598</v>
      </c>
      <c r="I6860" t="s">
        <v>22853</v>
      </c>
      <c r="J6860" t="s">
        <v>8451</v>
      </c>
    </row>
    <row r="6861" spans="1:10" x14ac:dyDescent="0.25">
      <c r="A6861" t="s">
        <v>22880</v>
      </c>
      <c r="B6861">
        <v>10.352</v>
      </c>
      <c r="C6861" t="s">
        <v>22881</v>
      </c>
      <c r="D6861" t="s">
        <v>576</v>
      </c>
      <c r="E6861" t="s">
        <v>22851</v>
      </c>
      <c r="F6861" t="s">
        <v>7672</v>
      </c>
      <c r="G6861" t="s">
        <v>22852</v>
      </c>
      <c r="H6861" t="s">
        <v>11598</v>
      </c>
      <c r="I6861" t="s">
        <v>22856</v>
      </c>
      <c r="J6861" t="s">
        <v>8462</v>
      </c>
    </row>
    <row r="6862" spans="1:10" x14ac:dyDescent="0.25">
      <c r="A6862" t="s">
        <v>22882</v>
      </c>
      <c r="B6862">
        <v>10.352</v>
      </c>
      <c r="C6862" t="s">
        <v>22883</v>
      </c>
      <c r="D6862" t="s">
        <v>269</v>
      </c>
      <c r="E6862" t="s">
        <v>22851</v>
      </c>
      <c r="F6862" t="s">
        <v>7672</v>
      </c>
      <c r="G6862" t="s">
        <v>22852</v>
      </c>
      <c r="H6862" t="s">
        <v>11598</v>
      </c>
      <c r="I6862" t="s">
        <v>76</v>
      </c>
      <c r="J6862" t="s">
        <v>8462</v>
      </c>
    </row>
    <row r="6863" spans="1:10" x14ac:dyDescent="0.25">
      <c r="A6863" t="s">
        <v>22884</v>
      </c>
      <c r="B6863">
        <v>10.352</v>
      </c>
      <c r="C6863" t="s">
        <v>22885</v>
      </c>
      <c r="D6863" t="s">
        <v>576</v>
      </c>
      <c r="E6863" t="s">
        <v>22851</v>
      </c>
      <c r="F6863" t="s">
        <v>7672</v>
      </c>
      <c r="G6863" t="s">
        <v>22852</v>
      </c>
      <c r="H6863" t="s">
        <v>11598</v>
      </c>
      <c r="I6863" t="s">
        <v>22853</v>
      </c>
      <c r="J6863" t="s">
        <v>8462</v>
      </c>
    </row>
    <row r="6864" spans="1:10" x14ac:dyDescent="0.25">
      <c r="A6864" t="s">
        <v>22886</v>
      </c>
      <c r="B6864">
        <v>10.352</v>
      </c>
      <c r="C6864" t="s">
        <v>22887</v>
      </c>
      <c r="D6864" t="s">
        <v>282</v>
      </c>
      <c r="E6864" t="s">
        <v>22851</v>
      </c>
      <c r="F6864" t="s">
        <v>7672</v>
      </c>
      <c r="G6864" t="s">
        <v>22852</v>
      </c>
      <c r="H6864" t="s">
        <v>11598</v>
      </c>
      <c r="I6864" t="s">
        <v>22861</v>
      </c>
      <c r="J6864" t="s">
        <v>8462</v>
      </c>
    </row>
    <row r="6865" spans="1:10" x14ac:dyDescent="0.25">
      <c r="A6865" t="s">
        <v>22888</v>
      </c>
      <c r="B6865">
        <v>3.2320000000000002</v>
      </c>
      <c r="C6865" t="s">
        <v>22889</v>
      </c>
      <c r="D6865" t="s">
        <v>321</v>
      </c>
      <c r="E6865" t="s">
        <v>22890</v>
      </c>
      <c r="F6865" t="s">
        <v>7672</v>
      </c>
      <c r="G6865" t="s">
        <v>22891</v>
      </c>
      <c r="H6865" t="s">
        <v>22892</v>
      </c>
      <c r="I6865" t="s">
        <v>22893</v>
      </c>
      <c r="J6865" t="s">
        <v>8427</v>
      </c>
    </row>
    <row r="6866" spans="1:10" x14ac:dyDescent="0.25">
      <c r="A6866" t="s">
        <v>22894</v>
      </c>
      <c r="B6866">
        <v>3.2320000000000002</v>
      </c>
      <c r="C6866" t="s">
        <v>22895</v>
      </c>
      <c r="D6866" t="s">
        <v>100</v>
      </c>
      <c r="E6866" t="s">
        <v>22890</v>
      </c>
      <c r="F6866" t="s">
        <v>7672</v>
      </c>
      <c r="G6866" t="s">
        <v>22891</v>
      </c>
      <c r="H6866" t="s">
        <v>22892</v>
      </c>
      <c r="I6866" t="s">
        <v>10394</v>
      </c>
      <c r="J6866" t="s">
        <v>8427</v>
      </c>
    </row>
    <row r="6867" spans="1:10" x14ac:dyDescent="0.25">
      <c r="A6867" t="s">
        <v>22896</v>
      </c>
      <c r="B6867">
        <v>3.2320000000000002</v>
      </c>
      <c r="C6867" t="s">
        <v>22897</v>
      </c>
      <c r="D6867" t="s">
        <v>2371</v>
      </c>
      <c r="E6867" t="s">
        <v>22890</v>
      </c>
      <c r="F6867" t="s">
        <v>7672</v>
      </c>
      <c r="G6867" t="s">
        <v>22891</v>
      </c>
      <c r="H6867" t="s">
        <v>22892</v>
      </c>
      <c r="I6867" t="s">
        <v>22893</v>
      </c>
      <c r="J6867" t="s">
        <v>8439</v>
      </c>
    </row>
    <row r="6868" spans="1:10" x14ac:dyDescent="0.25">
      <c r="A6868" t="s">
        <v>22898</v>
      </c>
      <c r="B6868">
        <v>3.2320000000000002</v>
      </c>
      <c r="C6868" t="s">
        <v>22899</v>
      </c>
      <c r="D6868" t="s">
        <v>269</v>
      </c>
      <c r="E6868" t="s">
        <v>22890</v>
      </c>
      <c r="F6868" t="s">
        <v>7672</v>
      </c>
      <c r="G6868" t="s">
        <v>22891</v>
      </c>
      <c r="H6868" t="s">
        <v>22892</v>
      </c>
      <c r="I6868" t="s">
        <v>22900</v>
      </c>
      <c r="J6868" t="s">
        <v>8439</v>
      </c>
    </row>
    <row r="6869" spans="1:10" x14ac:dyDescent="0.25">
      <c r="A6869" t="s">
        <v>22901</v>
      </c>
      <c r="B6869">
        <v>3.2320000000000002</v>
      </c>
      <c r="C6869" t="s">
        <v>22902</v>
      </c>
      <c r="D6869" t="s">
        <v>835</v>
      </c>
      <c r="E6869" t="s">
        <v>22890</v>
      </c>
      <c r="F6869" t="s">
        <v>7672</v>
      </c>
      <c r="G6869" t="s">
        <v>22891</v>
      </c>
      <c r="H6869" t="s">
        <v>22892</v>
      </c>
      <c r="I6869" t="s">
        <v>22903</v>
      </c>
      <c r="J6869" t="s">
        <v>8439</v>
      </c>
    </row>
    <row r="6870" spans="1:10" x14ac:dyDescent="0.25">
      <c r="A6870" t="s">
        <v>22904</v>
      </c>
      <c r="B6870">
        <v>3.2320000000000002</v>
      </c>
      <c r="C6870" t="s">
        <v>22905</v>
      </c>
      <c r="D6870" t="s">
        <v>3184</v>
      </c>
      <c r="E6870" t="s">
        <v>22890</v>
      </c>
      <c r="F6870" t="s">
        <v>7672</v>
      </c>
      <c r="G6870" t="s">
        <v>22891</v>
      </c>
      <c r="H6870" t="s">
        <v>22892</v>
      </c>
      <c r="I6870" t="s">
        <v>10394</v>
      </c>
      <c r="J6870" t="s">
        <v>8439</v>
      </c>
    </row>
    <row r="6871" spans="1:10" x14ac:dyDescent="0.25">
      <c r="A6871" t="s">
        <v>22906</v>
      </c>
      <c r="B6871">
        <v>3.2320000000000002</v>
      </c>
      <c r="C6871" t="s">
        <v>22907</v>
      </c>
      <c r="D6871" t="s">
        <v>286</v>
      </c>
      <c r="E6871" t="s">
        <v>22890</v>
      </c>
      <c r="F6871" t="s">
        <v>7672</v>
      </c>
      <c r="G6871" t="s">
        <v>22891</v>
      </c>
      <c r="H6871" t="s">
        <v>22892</v>
      </c>
      <c r="I6871" t="s">
        <v>22900</v>
      </c>
      <c r="J6871" t="s">
        <v>8451</v>
      </c>
    </row>
    <row r="6872" spans="1:10" x14ac:dyDescent="0.25">
      <c r="A6872" t="s">
        <v>22908</v>
      </c>
      <c r="B6872">
        <v>3.2320000000000002</v>
      </c>
      <c r="C6872" t="s">
        <v>22909</v>
      </c>
      <c r="D6872" t="s">
        <v>269</v>
      </c>
      <c r="E6872" t="s">
        <v>22890</v>
      </c>
      <c r="F6872" t="s">
        <v>7672</v>
      </c>
      <c r="G6872" t="s">
        <v>22891</v>
      </c>
      <c r="H6872" t="s">
        <v>22892</v>
      </c>
      <c r="I6872" t="s">
        <v>22903</v>
      </c>
      <c r="J6872" t="s">
        <v>8451</v>
      </c>
    </row>
    <row r="6873" spans="1:10" x14ac:dyDescent="0.25">
      <c r="A6873" t="s">
        <v>22910</v>
      </c>
      <c r="B6873">
        <v>3.2320000000000002</v>
      </c>
      <c r="C6873" t="s">
        <v>22911</v>
      </c>
      <c r="D6873" t="s">
        <v>975</v>
      </c>
      <c r="E6873" t="s">
        <v>22890</v>
      </c>
      <c r="F6873" t="s">
        <v>7672</v>
      </c>
      <c r="G6873" t="s">
        <v>22891</v>
      </c>
      <c r="H6873" t="s">
        <v>22892</v>
      </c>
      <c r="I6873" t="s">
        <v>22893</v>
      </c>
      <c r="J6873" t="s">
        <v>8451</v>
      </c>
    </row>
    <row r="6874" spans="1:10" x14ac:dyDescent="0.25">
      <c r="A6874" t="s">
        <v>22912</v>
      </c>
      <c r="B6874">
        <v>3.2320000000000002</v>
      </c>
      <c r="C6874" t="s">
        <v>22913</v>
      </c>
      <c r="D6874" t="s">
        <v>1621</v>
      </c>
      <c r="E6874" t="s">
        <v>22890</v>
      </c>
      <c r="F6874" t="s">
        <v>7672</v>
      </c>
      <c r="G6874" t="s">
        <v>22891</v>
      </c>
      <c r="H6874" t="s">
        <v>22892</v>
      </c>
      <c r="I6874" t="s">
        <v>10394</v>
      </c>
      <c r="J6874" t="s">
        <v>8451</v>
      </c>
    </row>
    <row r="6875" spans="1:10" x14ac:dyDescent="0.25">
      <c r="A6875" t="s">
        <v>22914</v>
      </c>
      <c r="B6875">
        <v>7.9200000000000008</v>
      </c>
      <c r="C6875" t="s">
        <v>22915</v>
      </c>
      <c r="D6875" t="s">
        <v>118</v>
      </c>
      <c r="E6875" t="s">
        <v>22916</v>
      </c>
      <c r="F6875" t="s">
        <v>7672</v>
      </c>
      <c r="G6875" t="s">
        <v>22917</v>
      </c>
      <c r="H6875" t="s">
        <v>7974</v>
      </c>
      <c r="I6875" t="s">
        <v>76</v>
      </c>
      <c r="J6875" t="s">
        <v>8013</v>
      </c>
    </row>
    <row r="6876" spans="1:10" x14ac:dyDescent="0.25">
      <c r="A6876" t="s">
        <v>22918</v>
      </c>
      <c r="B6876">
        <v>5.7600000000000007</v>
      </c>
      <c r="C6876" t="s">
        <v>22919</v>
      </c>
      <c r="D6876" t="s">
        <v>2620</v>
      </c>
      <c r="E6876" t="s">
        <v>22920</v>
      </c>
      <c r="F6876" t="s">
        <v>7672</v>
      </c>
      <c r="G6876" t="s">
        <v>22921</v>
      </c>
      <c r="H6876" t="s">
        <v>8779</v>
      </c>
      <c r="I6876" t="s">
        <v>22922</v>
      </c>
      <c r="J6876" t="s">
        <v>22923</v>
      </c>
    </row>
    <row r="6877" spans="1:10" x14ac:dyDescent="0.25">
      <c r="A6877" t="s">
        <v>22924</v>
      </c>
      <c r="B6877">
        <v>5.7600000000000007</v>
      </c>
      <c r="C6877" t="s">
        <v>22925</v>
      </c>
      <c r="D6877" t="s">
        <v>286</v>
      </c>
      <c r="E6877" t="s">
        <v>22920</v>
      </c>
      <c r="F6877" t="s">
        <v>7672</v>
      </c>
      <c r="G6877" t="s">
        <v>22921</v>
      </c>
      <c r="H6877" t="s">
        <v>8779</v>
      </c>
      <c r="I6877" t="s">
        <v>22926</v>
      </c>
      <c r="J6877" t="s">
        <v>22923</v>
      </c>
    </row>
    <row r="6878" spans="1:10" x14ac:dyDescent="0.25">
      <c r="A6878" t="s">
        <v>22927</v>
      </c>
      <c r="B6878">
        <v>5.7600000000000007</v>
      </c>
      <c r="C6878" t="s">
        <v>22928</v>
      </c>
      <c r="D6878" t="s">
        <v>19353</v>
      </c>
      <c r="E6878" t="s">
        <v>22920</v>
      </c>
      <c r="F6878" t="s">
        <v>7672</v>
      </c>
      <c r="G6878" t="s">
        <v>22921</v>
      </c>
      <c r="H6878" t="s">
        <v>8779</v>
      </c>
      <c r="I6878" t="s">
        <v>22922</v>
      </c>
      <c r="J6878" t="s">
        <v>22929</v>
      </c>
    </row>
    <row r="6879" spans="1:10" x14ac:dyDescent="0.25">
      <c r="A6879" t="s">
        <v>22930</v>
      </c>
      <c r="B6879">
        <v>5.7600000000000007</v>
      </c>
      <c r="C6879" t="s">
        <v>22931</v>
      </c>
      <c r="D6879" t="s">
        <v>8063</v>
      </c>
      <c r="E6879" t="s">
        <v>22920</v>
      </c>
      <c r="F6879" t="s">
        <v>7672</v>
      </c>
      <c r="G6879" t="s">
        <v>22921</v>
      </c>
      <c r="H6879" t="s">
        <v>8779</v>
      </c>
      <c r="I6879" t="s">
        <v>22926</v>
      </c>
      <c r="J6879" t="s">
        <v>22929</v>
      </c>
    </row>
    <row r="6880" spans="1:10" x14ac:dyDescent="0.25">
      <c r="A6880" t="s">
        <v>22932</v>
      </c>
      <c r="B6880">
        <v>11.992000000000001</v>
      </c>
      <c r="C6880" t="s">
        <v>22933</v>
      </c>
      <c r="D6880" t="s">
        <v>330</v>
      </c>
      <c r="E6880" t="s">
        <v>22934</v>
      </c>
      <c r="F6880" t="s">
        <v>7672</v>
      </c>
      <c r="G6880" t="s">
        <v>22935</v>
      </c>
      <c r="H6880" t="s">
        <v>12137</v>
      </c>
      <c r="I6880" t="s">
        <v>13703</v>
      </c>
      <c r="J6880" t="s">
        <v>15162</v>
      </c>
    </row>
    <row r="6881" spans="1:10" x14ac:dyDescent="0.25">
      <c r="A6881" t="s">
        <v>22936</v>
      </c>
      <c r="B6881">
        <v>11.992000000000001</v>
      </c>
      <c r="C6881" t="s">
        <v>22937</v>
      </c>
      <c r="D6881" t="s">
        <v>1386</v>
      </c>
      <c r="E6881" t="s">
        <v>22934</v>
      </c>
      <c r="F6881" t="s">
        <v>7672</v>
      </c>
      <c r="G6881" t="s">
        <v>22935</v>
      </c>
      <c r="H6881" t="s">
        <v>12137</v>
      </c>
      <c r="I6881" t="s">
        <v>13703</v>
      </c>
      <c r="J6881" t="s">
        <v>15165</v>
      </c>
    </row>
    <row r="6882" spans="1:10" x14ac:dyDescent="0.25">
      <c r="A6882" t="s">
        <v>22938</v>
      </c>
      <c r="B6882">
        <v>11.992000000000001</v>
      </c>
      <c r="C6882" t="s">
        <v>22939</v>
      </c>
      <c r="D6882" t="s">
        <v>3572</v>
      </c>
      <c r="E6882" t="s">
        <v>22934</v>
      </c>
      <c r="F6882" t="s">
        <v>7672</v>
      </c>
      <c r="G6882" t="s">
        <v>22935</v>
      </c>
      <c r="H6882" t="s">
        <v>12137</v>
      </c>
      <c r="I6882" t="s">
        <v>13703</v>
      </c>
      <c r="J6882" t="s">
        <v>15168</v>
      </c>
    </row>
    <row r="6883" spans="1:10" x14ac:dyDescent="0.25">
      <c r="A6883" t="s">
        <v>22940</v>
      </c>
      <c r="B6883">
        <v>11.992000000000001</v>
      </c>
      <c r="C6883" t="s">
        <v>22941</v>
      </c>
      <c r="D6883" t="s">
        <v>290</v>
      </c>
      <c r="E6883" t="s">
        <v>22934</v>
      </c>
      <c r="F6883" t="s">
        <v>7672</v>
      </c>
      <c r="G6883" t="s">
        <v>22935</v>
      </c>
      <c r="H6883" t="s">
        <v>12137</v>
      </c>
      <c r="I6883" t="s">
        <v>13703</v>
      </c>
      <c r="J6883" t="s">
        <v>22942</v>
      </c>
    </row>
    <row r="6884" spans="1:10" x14ac:dyDescent="0.25">
      <c r="A6884" t="s">
        <v>22943</v>
      </c>
      <c r="B6884">
        <v>11.992000000000001</v>
      </c>
      <c r="C6884" t="s">
        <v>22944</v>
      </c>
      <c r="D6884" t="s">
        <v>986</v>
      </c>
      <c r="E6884" t="s">
        <v>22934</v>
      </c>
      <c r="F6884" t="s">
        <v>7672</v>
      </c>
      <c r="G6884" t="s">
        <v>22935</v>
      </c>
      <c r="H6884" t="s">
        <v>12137</v>
      </c>
      <c r="I6884" t="s">
        <v>13703</v>
      </c>
      <c r="J6884" t="s">
        <v>15171</v>
      </c>
    </row>
    <row r="6885" spans="1:10" x14ac:dyDescent="0.25">
      <c r="A6885" t="s">
        <v>22945</v>
      </c>
      <c r="B6885">
        <v>11.992000000000001</v>
      </c>
      <c r="C6885" t="s">
        <v>22946</v>
      </c>
      <c r="D6885" t="s">
        <v>2322</v>
      </c>
      <c r="E6885" t="s">
        <v>22934</v>
      </c>
      <c r="F6885" t="s">
        <v>7672</v>
      </c>
      <c r="G6885" t="s">
        <v>22935</v>
      </c>
      <c r="H6885" t="s">
        <v>12137</v>
      </c>
      <c r="I6885" t="s">
        <v>13703</v>
      </c>
      <c r="J6885" t="s">
        <v>15174</v>
      </c>
    </row>
    <row r="6886" spans="1:10" x14ac:dyDescent="0.25">
      <c r="A6886" t="s">
        <v>22947</v>
      </c>
      <c r="B6886">
        <v>11.992000000000001</v>
      </c>
      <c r="C6886" t="s">
        <v>22948</v>
      </c>
      <c r="D6886" t="s">
        <v>1386</v>
      </c>
      <c r="E6886" t="s">
        <v>22934</v>
      </c>
      <c r="F6886" t="s">
        <v>7672</v>
      </c>
      <c r="G6886" t="s">
        <v>22935</v>
      </c>
      <c r="H6886" t="s">
        <v>12137</v>
      </c>
      <c r="I6886" t="s">
        <v>13703</v>
      </c>
      <c r="J6886" t="s">
        <v>15177</v>
      </c>
    </row>
    <row r="6887" spans="1:10" x14ac:dyDescent="0.25">
      <c r="A6887" t="s">
        <v>22949</v>
      </c>
      <c r="B6887">
        <v>15.6</v>
      </c>
      <c r="C6887" t="s">
        <v>22950</v>
      </c>
      <c r="D6887" t="s">
        <v>100</v>
      </c>
      <c r="E6887" t="s">
        <v>22951</v>
      </c>
      <c r="F6887" t="s">
        <v>7672</v>
      </c>
      <c r="G6887" t="s">
        <v>22952</v>
      </c>
      <c r="H6887" t="s">
        <v>7954</v>
      </c>
      <c r="I6887" t="s">
        <v>22953</v>
      </c>
      <c r="J6887" t="s">
        <v>9023</v>
      </c>
    </row>
    <row r="6888" spans="1:10" x14ac:dyDescent="0.25">
      <c r="A6888" t="s">
        <v>22954</v>
      </c>
      <c r="B6888">
        <v>20.16</v>
      </c>
      <c r="C6888" t="s">
        <v>22955</v>
      </c>
      <c r="D6888" t="s">
        <v>95</v>
      </c>
      <c r="E6888" t="s">
        <v>22956</v>
      </c>
      <c r="F6888" t="s">
        <v>7672</v>
      </c>
      <c r="G6888" t="s">
        <v>22957</v>
      </c>
      <c r="H6888" t="s">
        <v>8087</v>
      </c>
      <c r="I6888" t="s">
        <v>22958</v>
      </c>
      <c r="J6888" t="s">
        <v>7942</v>
      </c>
    </row>
    <row r="6889" spans="1:10" x14ac:dyDescent="0.25">
      <c r="A6889" t="s">
        <v>22959</v>
      </c>
      <c r="B6889">
        <v>20.16</v>
      </c>
      <c r="C6889" t="s">
        <v>22960</v>
      </c>
      <c r="D6889" t="s">
        <v>742</v>
      </c>
      <c r="E6889" t="s">
        <v>22956</v>
      </c>
      <c r="F6889" t="s">
        <v>7672</v>
      </c>
      <c r="G6889" t="s">
        <v>22957</v>
      </c>
      <c r="H6889" t="s">
        <v>8087</v>
      </c>
      <c r="I6889" t="s">
        <v>22958</v>
      </c>
      <c r="J6889" t="s">
        <v>7981</v>
      </c>
    </row>
    <row r="6890" spans="1:10" x14ac:dyDescent="0.25">
      <c r="A6890" t="s">
        <v>22961</v>
      </c>
      <c r="B6890">
        <v>20.16</v>
      </c>
      <c r="C6890" t="s">
        <v>22962</v>
      </c>
      <c r="D6890" t="s">
        <v>245</v>
      </c>
      <c r="E6890" t="s">
        <v>22956</v>
      </c>
      <c r="F6890" t="s">
        <v>7672</v>
      </c>
      <c r="G6890" t="s">
        <v>22957</v>
      </c>
      <c r="H6890" t="s">
        <v>8087</v>
      </c>
      <c r="I6890" t="s">
        <v>22958</v>
      </c>
      <c r="J6890" t="s">
        <v>7984</v>
      </c>
    </row>
    <row r="6891" spans="1:10" x14ac:dyDescent="0.25">
      <c r="A6891" t="s">
        <v>22963</v>
      </c>
      <c r="B6891">
        <v>20.16</v>
      </c>
      <c r="C6891" t="s">
        <v>22964</v>
      </c>
      <c r="D6891" t="s">
        <v>742</v>
      </c>
      <c r="E6891" t="s">
        <v>22956</v>
      </c>
      <c r="F6891" t="s">
        <v>7672</v>
      </c>
      <c r="G6891" t="s">
        <v>22957</v>
      </c>
      <c r="H6891" t="s">
        <v>8087</v>
      </c>
      <c r="I6891" t="s">
        <v>22958</v>
      </c>
      <c r="J6891" t="s">
        <v>7987</v>
      </c>
    </row>
    <row r="6892" spans="1:10" x14ac:dyDescent="0.25">
      <c r="A6892" t="s">
        <v>22965</v>
      </c>
      <c r="B6892">
        <v>20.16</v>
      </c>
      <c r="C6892" t="s">
        <v>22966</v>
      </c>
      <c r="D6892" t="s">
        <v>240</v>
      </c>
      <c r="E6892" t="s">
        <v>22956</v>
      </c>
      <c r="F6892" t="s">
        <v>7672</v>
      </c>
      <c r="G6892" t="s">
        <v>22957</v>
      </c>
      <c r="H6892" t="s">
        <v>8087</v>
      </c>
      <c r="I6892" t="s">
        <v>22958</v>
      </c>
      <c r="J6892" t="s">
        <v>8001</v>
      </c>
    </row>
    <row r="6893" spans="1:10" x14ac:dyDescent="0.25">
      <c r="A6893" t="s">
        <v>22967</v>
      </c>
      <c r="B6893">
        <v>4.8000000000000007</v>
      </c>
      <c r="C6893" t="s">
        <v>22968</v>
      </c>
      <c r="D6893" t="s">
        <v>8183</v>
      </c>
      <c r="E6893" t="s">
        <v>22969</v>
      </c>
      <c r="F6893" t="s">
        <v>7672</v>
      </c>
      <c r="G6893" t="s">
        <v>22970</v>
      </c>
      <c r="H6893" t="s">
        <v>16993</v>
      </c>
      <c r="I6893" t="s">
        <v>17005</v>
      </c>
      <c r="J6893" t="s">
        <v>11767</v>
      </c>
    </row>
    <row r="6894" spans="1:10" x14ac:dyDescent="0.25">
      <c r="A6894" t="s">
        <v>22971</v>
      </c>
      <c r="B6894">
        <v>4.8000000000000007</v>
      </c>
      <c r="C6894" t="s">
        <v>22972</v>
      </c>
      <c r="D6894" t="s">
        <v>46</v>
      </c>
      <c r="E6894" t="s">
        <v>22969</v>
      </c>
      <c r="F6894" t="s">
        <v>7672</v>
      </c>
      <c r="G6894" t="s">
        <v>22970</v>
      </c>
      <c r="H6894" t="s">
        <v>16993</v>
      </c>
      <c r="I6894" t="s">
        <v>16997</v>
      </c>
      <c r="J6894" t="s">
        <v>11767</v>
      </c>
    </row>
    <row r="6895" spans="1:10" x14ac:dyDescent="0.25">
      <c r="A6895" t="s">
        <v>22973</v>
      </c>
      <c r="B6895">
        <v>4.8000000000000007</v>
      </c>
      <c r="C6895" t="s">
        <v>22974</v>
      </c>
      <c r="D6895" t="s">
        <v>4322</v>
      </c>
      <c r="E6895" t="s">
        <v>22969</v>
      </c>
      <c r="F6895" t="s">
        <v>7672</v>
      </c>
      <c r="G6895" t="s">
        <v>22970</v>
      </c>
      <c r="H6895" t="s">
        <v>16993</v>
      </c>
      <c r="I6895" t="s">
        <v>17005</v>
      </c>
      <c r="J6895" t="s">
        <v>11582</v>
      </c>
    </row>
    <row r="6896" spans="1:10" x14ac:dyDescent="0.25">
      <c r="A6896" t="s">
        <v>22975</v>
      </c>
      <c r="B6896">
        <v>4.8000000000000007</v>
      </c>
      <c r="C6896" t="s">
        <v>22976</v>
      </c>
      <c r="D6896" t="s">
        <v>1512</v>
      </c>
      <c r="E6896" t="s">
        <v>22969</v>
      </c>
      <c r="F6896" t="s">
        <v>7672</v>
      </c>
      <c r="G6896" t="s">
        <v>22970</v>
      </c>
      <c r="H6896" t="s">
        <v>16993</v>
      </c>
      <c r="I6896" t="s">
        <v>16997</v>
      </c>
      <c r="J6896" t="s">
        <v>11582</v>
      </c>
    </row>
    <row r="6897" spans="1:10" x14ac:dyDescent="0.25">
      <c r="A6897" t="s">
        <v>22977</v>
      </c>
      <c r="B6897">
        <v>9.6000000000000014</v>
      </c>
      <c r="C6897" t="s">
        <v>22978</v>
      </c>
      <c r="D6897" t="s">
        <v>964</v>
      </c>
      <c r="E6897" t="s">
        <v>22979</v>
      </c>
      <c r="F6897" t="s">
        <v>7672</v>
      </c>
      <c r="G6897" t="s">
        <v>22980</v>
      </c>
      <c r="H6897" t="s">
        <v>7954</v>
      </c>
      <c r="I6897" t="s">
        <v>856</v>
      </c>
      <c r="J6897" t="s">
        <v>7987</v>
      </c>
    </row>
    <row r="6898" spans="1:10" x14ac:dyDescent="0.25">
      <c r="A6898" t="s">
        <v>22981</v>
      </c>
      <c r="B6898">
        <v>9.6000000000000014</v>
      </c>
      <c r="C6898" t="s">
        <v>22982</v>
      </c>
      <c r="D6898" t="s">
        <v>964</v>
      </c>
      <c r="E6898" t="s">
        <v>22979</v>
      </c>
      <c r="F6898" t="s">
        <v>7672</v>
      </c>
      <c r="G6898" t="s">
        <v>22980</v>
      </c>
      <c r="H6898" t="s">
        <v>7954</v>
      </c>
      <c r="I6898" t="s">
        <v>22249</v>
      </c>
      <c r="J6898" t="s">
        <v>7987</v>
      </c>
    </row>
    <row r="6899" spans="1:10" x14ac:dyDescent="0.25">
      <c r="A6899" t="s">
        <v>22983</v>
      </c>
      <c r="B6899">
        <v>9.7200000000000006</v>
      </c>
      <c r="C6899" t="s">
        <v>22984</v>
      </c>
      <c r="D6899" t="s">
        <v>2149</v>
      </c>
      <c r="E6899" t="s">
        <v>22985</v>
      </c>
      <c r="F6899" t="s">
        <v>7672</v>
      </c>
      <c r="G6899" t="s">
        <v>22986</v>
      </c>
      <c r="H6899" t="s">
        <v>11381</v>
      </c>
      <c r="I6899" t="s">
        <v>22987</v>
      </c>
      <c r="J6899" t="s">
        <v>7703</v>
      </c>
    </row>
    <row r="6900" spans="1:10" x14ac:dyDescent="0.25">
      <c r="A6900" t="s">
        <v>22988</v>
      </c>
      <c r="B6900">
        <v>9.7200000000000006</v>
      </c>
      <c r="C6900" t="s">
        <v>22989</v>
      </c>
      <c r="D6900" t="s">
        <v>269</v>
      </c>
      <c r="E6900" t="s">
        <v>22985</v>
      </c>
      <c r="F6900" t="s">
        <v>7672</v>
      </c>
      <c r="G6900" t="s">
        <v>22986</v>
      </c>
      <c r="H6900" t="s">
        <v>11381</v>
      </c>
      <c r="I6900" t="s">
        <v>9116</v>
      </c>
      <c r="J6900" t="s">
        <v>7713</v>
      </c>
    </row>
    <row r="6901" spans="1:10" x14ac:dyDescent="0.25">
      <c r="A6901" t="s">
        <v>22990</v>
      </c>
      <c r="B6901">
        <v>9.7200000000000006</v>
      </c>
      <c r="C6901" t="s">
        <v>22991</v>
      </c>
      <c r="D6901" t="s">
        <v>229</v>
      </c>
      <c r="E6901" t="s">
        <v>22985</v>
      </c>
      <c r="F6901" t="s">
        <v>7672</v>
      </c>
      <c r="G6901" t="s">
        <v>22986</v>
      </c>
      <c r="H6901" t="s">
        <v>11381</v>
      </c>
      <c r="I6901" t="s">
        <v>22987</v>
      </c>
      <c r="J6901" t="s">
        <v>7713</v>
      </c>
    </row>
    <row r="6902" spans="1:10" x14ac:dyDescent="0.25">
      <c r="A6902" t="s">
        <v>22992</v>
      </c>
      <c r="B6902">
        <v>9.7200000000000006</v>
      </c>
      <c r="C6902" t="s">
        <v>22993</v>
      </c>
      <c r="D6902" t="s">
        <v>199</v>
      </c>
      <c r="E6902" t="s">
        <v>22985</v>
      </c>
      <c r="F6902" t="s">
        <v>7672</v>
      </c>
      <c r="G6902" t="s">
        <v>22986</v>
      </c>
      <c r="H6902" t="s">
        <v>11381</v>
      </c>
      <c r="I6902" t="s">
        <v>76</v>
      </c>
      <c r="J6902" t="s">
        <v>7719</v>
      </c>
    </row>
    <row r="6903" spans="1:10" x14ac:dyDescent="0.25">
      <c r="A6903" t="s">
        <v>22994</v>
      </c>
      <c r="B6903">
        <v>9.7200000000000006</v>
      </c>
      <c r="C6903" t="s">
        <v>22995</v>
      </c>
      <c r="D6903" t="s">
        <v>385</v>
      </c>
      <c r="E6903" t="s">
        <v>22985</v>
      </c>
      <c r="F6903" t="s">
        <v>7672</v>
      </c>
      <c r="G6903" t="s">
        <v>22986</v>
      </c>
      <c r="H6903" t="s">
        <v>11381</v>
      </c>
      <c r="I6903" t="s">
        <v>9116</v>
      </c>
      <c r="J6903" t="s">
        <v>7719</v>
      </c>
    </row>
    <row r="6904" spans="1:10" x14ac:dyDescent="0.25">
      <c r="A6904" t="s">
        <v>22996</v>
      </c>
      <c r="B6904">
        <v>9.7200000000000006</v>
      </c>
      <c r="C6904" t="s">
        <v>22997</v>
      </c>
      <c r="D6904" t="s">
        <v>671</v>
      </c>
      <c r="E6904" t="s">
        <v>22985</v>
      </c>
      <c r="F6904" t="s">
        <v>7672</v>
      </c>
      <c r="G6904" t="s">
        <v>22986</v>
      </c>
      <c r="H6904" t="s">
        <v>11381</v>
      </c>
      <c r="I6904" t="s">
        <v>22987</v>
      </c>
      <c r="J6904" t="s">
        <v>7719</v>
      </c>
    </row>
    <row r="6905" spans="1:10" x14ac:dyDescent="0.25">
      <c r="A6905" t="s">
        <v>22998</v>
      </c>
      <c r="B6905">
        <v>4.68</v>
      </c>
      <c r="C6905" t="s">
        <v>22999</v>
      </c>
      <c r="D6905" t="s">
        <v>705</v>
      </c>
      <c r="E6905" t="s">
        <v>23000</v>
      </c>
      <c r="F6905" t="s">
        <v>7672</v>
      </c>
      <c r="G6905" t="s">
        <v>23001</v>
      </c>
      <c r="H6905" t="s">
        <v>16293</v>
      </c>
      <c r="I6905" t="s">
        <v>76</v>
      </c>
      <c r="J6905" t="s">
        <v>7942</v>
      </c>
    </row>
    <row r="6906" spans="1:10" x14ac:dyDescent="0.25">
      <c r="A6906" t="s">
        <v>23002</v>
      </c>
      <c r="B6906">
        <v>4.68</v>
      </c>
      <c r="C6906" t="s">
        <v>23003</v>
      </c>
      <c r="D6906" t="s">
        <v>164</v>
      </c>
      <c r="E6906" t="s">
        <v>23000</v>
      </c>
      <c r="F6906" t="s">
        <v>7672</v>
      </c>
      <c r="G6906" t="s">
        <v>23001</v>
      </c>
      <c r="H6906" t="s">
        <v>16293</v>
      </c>
      <c r="I6906" t="s">
        <v>16298</v>
      </c>
      <c r="J6906" t="s">
        <v>7987</v>
      </c>
    </row>
    <row r="6907" spans="1:10" x14ac:dyDescent="0.25">
      <c r="A6907" t="s">
        <v>6327</v>
      </c>
      <c r="B6907">
        <v>16</v>
      </c>
      <c r="C6907" t="s">
        <v>6329</v>
      </c>
      <c r="D6907" t="s">
        <v>100</v>
      </c>
      <c r="E6907" t="s">
        <v>6330</v>
      </c>
      <c r="F6907" t="s">
        <v>7672</v>
      </c>
      <c r="G6907" t="s">
        <v>23004</v>
      </c>
      <c r="H6907" t="s">
        <v>23005</v>
      </c>
      <c r="I6907" t="s">
        <v>10387</v>
      </c>
      <c r="J6907" t="s">
        <v>131</v>
      </c>
    </row>
    <row r="6908" spans="1:10" x14ac:dyDescent="0.25">
      <c r="A6908" t="s">
        <v>6333</v>
      </c>
      <c r="B6908">
        <v>16</v>
      </c>
      <c r="C6908" t="s">
        <v>6335</v>
      </c>
      <c r="D6908" t="s">
        <v>269</v>
      </c>
      <c r="E6908" t="s">
        <v>6330</v>
      </c>
      <c r="F6908" t="s">
        <v>7672</v>
      </c>
      <c r="G6908" t="s">
        <v>23004</v>
      </c>
      <c r="H6908" t="s">
        <v>23005</v>
      </c>
      <c r="I6908" t="s">
        <v>10387</v>
      </c>
      <c r="J6908" t="s">
        <v>269</v>
      </c>
    </row>
    <row r="6909" spans="1:10" x14ac:dyDescent="0.25">
      <c r="A6909" t="s">
        <v>6337</v>
      </c>
      <c r="B6909">
        <v>16</v>
      </c>
      <c r="C6909" t="s">
        <v>6339</v>
      </c>
      <c r="D6909" t="s">
        <v>199</v>
      </c>
      <c r="E6909" t="s">
        <v>6330</v>
      </c>
      <c r="F6909" t="s">
        <v>7672</v>
      </c>
      <c r="G6909" t="s">
        <v>23004</v>
      </c>
      <c r="H6909" t="s">
        <v>23005</v>
      </c>
      <c r="I6909" t="s">
        <v>10387</v>
      </c>
      <c r="J6909" t="s">
        <v>255</v>
      </c>
    </row>
    <row r="6910" spans="1:10" x14ac:dyDescent="0.25">
      <c r="A6910" t="s">
        <v>6341</v>
      </c>
      <c r="B6910">
        <v>16</v>
      </c>
      <c r="C6910" t="s">
        <v>6343</v>
      </c>
      <c r="D6910" t="s">
        <v>436</v>
      </c>
      <c r="E6910" t="s">
        <v>6330</v>
      </c>
      <c r="F6910" t="s">
        <v>7672</v>
      </c>
      <c r="G6910" t="s">
        <v>23004</v>
      </c>
      <c r="H6910" t="s">
        <v>23005</v>
      </c>
      <c r="I6910" t="s">
        <v>10387</v>
      </c>
      <c r="J6910" t="s">
        <v>277</v>
      </c>
    </row>
    <row r="6911" spans="1:10" x14ac:dyDescent="0.25">
      <c r="A6911" t="s">
        <v>6345</v>
      </c>
      <c r="B6911">
        <v>16</v>
      </c>
      <c r="C6911" t="s">
        <v>6347</v>
      </c>
      <c r="D6911" t="s">
        <v>131</v>
      </c>
      <c r="E6911" t="s">
        <v>6330</v>
      </c>
      <c r="F6911" t="s">
        <v>7672</v>
      </c>
      <c r="G6911" t="s">
        <v>23004</v>
      </c>
      <c r="H6911" t="s">
        <v>23005</v>
      </c>
      <c r="I6911" t="s">
        <v>10387</v>
      </c>
      <c r="J6911" t="s">
        <v>164</v>
      </c>
    </row>
    <row r="6912" spans="1:10" x14ac:dyDescent="0.25">
      <c r="A6912" t="s">
        <v>6349</v>
      </c>
      <c r="B6912">
        <v>16</v>
      </c>
      <c r="C6912" t="s">
        <v>6351</v>
      </c>
      <c r="D6912" t="s">
        <v>100</v>
      </c>
      <c r="E6912" t="s">
        <v>6330</v>
      </c>
      <c r="F6912" t="s">
        <v>7672</v>
      </c>
      <c r="G6912" t="s">
        <v>23004</v>
      </c>
      <c r="H6912" t="s">
        <v>23005</v>
      </c>
      <c r="I6912" t="s">
        <v>10387</v>
      </c>
      <c r="J6912" t="s">
        <v>290</v>
      </c>
    </row>
    <row r="6913" spans="1:10" x14ac:dyDescent="0.25">
      <c r="A6913" t="s">
        <v>23006</v>
      </c>
      <c r="B6913">
        <v>3.1920000000000002</v>
      </c>
      <c r="C6913" t="s">
        <v>23007</v>
      </c>
      <c r="D6913" t="s">
        <v>776</v>
      </c>
      <c r="E6913" t="s">
        <v>23008</v>
      </c>
      <c r="F6913" t="s">
        <v>7672</v>
      </c>
      <c r="G6913" t="s">
        <v>23009</v>
      </c>
      <c r="H6913" t="s">
        <v>7974</v>
      </c>
      <c r="I6913" t="s">
        <v>23010</v>
      </c>
      <c r="J6913" t="s">
        <v>9107</v>
      </c>
    </row>
    <row r="6914" spans="1:10" x14ac:dyDescent="0.25">
      <c r="A6914" t="s">
        <v>23011</v>
      </c>
      <c r="B6914">
        <v>3.1920000000000002</v>
      </c>
      <c r="C6914" t="s">
        <v>23012</v>
      </c>
      <c r="D6914" t="s">
        <v>2855</v>
      </c>
      <c r="E6914" t="s">
        <v>23008</v>
      </c>
      <c r="F6914" t="s">
        <v>7672</v>
      </c>
      <c r="G6914" t="s">
        <v>23009</v>
      </c>
      <c r="H6914" t="s">
        <v>7974</v>
      </c>
      <c r="I6914" t="s">
        <v>76</v>
      </c>
      <c r="J6914" t="s">
        <v>9107</v>
      </c>
    </row>
    <row r="6915" spans="1:10" x14ac:dyDescent="0.25">
      <c r="A6915" t="s">
        <v>23013</v>
      </c>
      <c r="B6915">
        <v>3.1920000000000002</v>
      </c>
      <c r="C6915" t="s">
        <v>23014</v>
      </c>
      <c r="D6915" t="s">
        <v>1790</v>
      </c>
      <c r="E6915" t="s">
        <v>23008</v>
      </c>
      <c r="F6915" t="s">
        <v>7672</v>
      </c>
      <c r="G6915" t="s">
        <v>23009</v>
      </c>
      <c r="H6915" t="s">
        <v>7974</v>
      </c>
      <c r="I6915" t="s">
        <v>76</v>
      </c>
      <c r="J6915" t="s">
        <v>9110</v>
      </c>
    </row>
    <row r="6916" spans="1:10" x14ac:dyDescent="0.25">
      <c r="A6916" t="s">
        <v>23015</v>
      </c>
      <c r="B6916">
        <v>3.1920000000000002</v>
      </c>
      <c r="C6916" t="s">
        <v>23016</v>
      </c>
      <c r="D6916" t="s">
        <v>250</v>
      </c>
      <c r="E6916" t="s">
        <v>23008</v>
      </c>
      <c r="F6916" t="s">
        <v>7672</v>
      </c>
      <c r="G6916" t="s">
        <v>23009</v>
      </c>
      <c r="H6916" t="s">
        <v>7974</v>
      </c>
      <c r="I6916" t="s">
        <v>23010</v>
      </c>
      <c r="J6916" t="s">
        <v>11368</v>
      </c>
    </row>
    <row r="6917" spans="1:10" x14ac:dyDescent="0.25">
      <c r="A6917" t="s">
        <v>23017</v>
      </c>
      <c r="B6917">
        <v>3.1920000000000002</v>
      </c>
      <c r="C6917" t="s">
        <v>23018</v>
      </c>
      <c r="D6917" t="s">
        <v>23019</v>
      </c>
      <c r="E6917" t="s">
        <v>23008</v>
      </c>
      <c r="F6917" t="s">
        <v>7672</v>
      </c>
      <c r="G6917" t="s">
        <v>23009</v>
      </c>
      <c r="H6917" t="s">
        <v>7974</v>
      </c>
      <c r="I6917" t="s">
        <v>76</v>
      </c>
      <c r="J6917" t="s">
        <v>11368</v>
      </c>
    </row>
    <row r="6918" spans="1:10" x14ac:dyDescent="0.25">
      <c r="A6918" t="s">
        <v>23020</v>
      </c>
      <c r="B6918">
        <v>3.1920000000000002</v>
      </c>
      <c r="C6918" t="s">
        <v>23021</v>
      </c>
      <c r="D6918" t="s">
        <v>7057</v>
      </c>
      <c r="E6918" t="s">
        <v>23008</v>
      </c>
      <c r="F6918" t="s">
        <v>7672</v>
      </c>
      <c r="G6918" t="s">
        <v>23009</v>
      </c>
      <c r="H6918" t="s">
        <v>7974</v>
      </c>
      <c r="I6918" t="s">
        <v>23010</v>
      </c>
      <c r="J6918" t="s">
        <v>11373</v>
      </c>
    </row>
    <row r="6919" spans="1:10" x14ac:dyDescent="0.25">
      <c r="A6919" t="s">
        <v>23022</v>
      </c>
      <c r="B6919">
        <v>3.1920000000000002</v>
      </c>
      <c r="C6919" t="s">
        <v>23023</v>
      </c>
      <c r="D6919" t="s">
        <v>23024</v>
      </c>
      <c r="E6919" t="s">
        <v>23008</v>
      </c>
      <c r="F6919" t="s">
        <v>7672</v>
      </c>
      <c r="G6919" t="s">
        <v>23009</v>
      </c>
      <c r="H6919" t="s">
        <v>7974</v>
      </c>
      <c r="I6919" t="s">
        <v>76</v>
      </c>
      <c r="J6919" t="s">
        <v>11373</v>
      </c>
    </row>
    <row r="6920" spans="1:10" x14ac:dyDescent="0.25">
      <c r="A6920" t="s">
        <v>23025</v>
      </c>
      <c r="B6920">
        <v>3.1920000000000002</v>
      </c>
      <c r="C6920" t="s">
        <v>23026</v>
      </c>
      <c r="D6920" t="s">
        <v>17467</v>
      </c>
      <c r="E6920" t="s">
        <v>23008</v>
      </c>
      <c r="F6920" t="s">
        <v>7672</v>
      </c>
      <c r="G6920" t="s">
        <v>23009</v>
      </c>
      <c r="H6920" t="s">
        <v>7974</v>
      </c>
      <c r="I6920" t="s">
        <v>23010</v>
      </c>
      <c r="J6920" t="s">
        <v>11376</v>
      </c>
    </row>
    <row r="6921" spans="1:10" x14ac:dyDescent="0.25">
      <c r="A6921" t="s">
        <v>23027</v>
      </c>
      <c r="B6921">
        <v>3.1920000000000002</v>
      </c>
      <c r="C6921" t="s">
        <v>23028</v>
      </c>
      <c r="D6921" t="s">
        <v>7712</v>
      </c>
      <c r="E6921" t="s">
        <v>23008</v>
      </c>
      <c r="F6921" t="s">
        <v>7672</v>
      </c>
      <c r="G6921" t="s">
        <v>23009</v>
      </c>
      <c r="H6921" t="s">
        <v>7974</v>
      </c>
      <c r="I6921" t="s">
        <v>76</v>
      </c>
      <c r="J6921" t="s">
        <v>11376</v>
      </c>
    </row>
    <row r="6922" spans="1:10" x14ac:dyDescent="0.25">
      <c r="A6922" t="s">
        <v>23029</v>
      </c>
      <c r="B6922">
        <v>3.1920000000000002</v>
      </c>
      <c r="C6922" t="s">
        <v>23030</v>
      </c>
      <c r="D6922" t="s">
        <v>3253</v>
      </c>
      <c r="E6922" t="s">
        <v>23008</v>
      </c>
      <c r="F6922" t="s">
        <v>7672</v>
      </c>
      <c r="G6922" t="s">
        <v>23009</v>
      </c>
      <c r="H6922" t="s">
        <v>7974</v>
      </c>
      <c r="I6922" t="s">
        <v>23010</v>
      </c>
      <c r="J6922" t="s">
        <v>9114</v>
      </c>
    </row>
    <row r="6923" spans="1:10" x14ac:dyDescent="0.25">
      <c r="A6923" t="s">
        <v>23031</v>
      </c>
      <c r="B6923">
        <v>3.1920000000000002</v>
      </c>
      <c r="C6923" t="s">
        <v>23032</v>
      </c>
      <c r="D6923" t="s">
        <v>3389</v>
      </c>
      <c r="E6923" t="s">
        <v>23008</v>
      </c>
      <c r="F6923" t="s">
        <v>7672</v>
      </c>
      <c r="G6923" t="s">
        <v>23009</v>
      </c>
      <c r="H6923" t="s">
        <v>7974</v>
      </c>
      <c r="I6923" t="s">
        <v>76</v>
      </c>
      <c r="J6923" t="s">
        <v>9114</v>
      </c>
    </row>
    <row r="6924" spans="1:10" x14ac:dyDescent="0.25">
      <c r="A6924" t="s">
        <v>23033</v>
      </c>
      <c r="B6924">
        <v>3.8319999999999999</v>
      </c>
      <c r="C6924" t="s">
        <v>23034</v>
      </c>
      <c r="D6924" t="s">
        <v>53</v>
      </c>
      <c r="E6924" t="s">
        <v>23008</v>
      </c>
      <c r="F6924" t="s">
        <v>7672</v>
      </c>
      <c r="G6924" t="s">
        <v>23009</v>
      </c>
      <c r="H6924" t="s">
        <v>7974</v>
      </c>
      <c r="I6924" t="s">
        <v>13303</v>
      </c>
      <c r="J6924" t="s">
        <v>9114</v>
      </c>
    </row>
    <row r="6925" spans="1:10" x14ac:dyDescent="0.25">
      <c r="A6925" t="s">
        <v>23035</v>
      </c>
      <c r="B6925">
        <v>12.592000000000001</v>
      </c>
      <c r="C6925" t="s">
        <v>23036</v>
      </c>
      <c r="D6925" t="s">
        <v>342</v>
      </c>
      <c r="E6925" t="s">
        <v>23037</v>
      </c>
      <c r="F6925" t="s">
        <v>7672</v>
      </c>
      <c r="G6925" t="s">
        <v>23038</v>
      </c>
      <c r="H6925" t="s">
        <v>9127</v>
      </c>
      <c r="I6925" t="s">
        <v>11189</v>
      </c>
      <c r="J6925" t="s">
        <v>11376</v>
      </c>
    </row>
    <row r="6926" spans="1:10" x14ac:dyDescent="0.25">
      <c r="A6926" t="s">
        <v>23039</v>
      </c>
      <c r="B6926">
        <v>12.592000000000001</v>
      </c>
      <c r="C6926" t="s">
        <v>23040</v>
      </c>
      <c r="D6926" t="s">
        <v>290</v>
      </c>
      <c r="E6926" t="s">
        <v>23037</v>
      </c>
      <c r="F6926" t="s">
        <v>7672</v>
      </c>
      <c r="G6926" t="s">
        <v>23038</v>
      </c>
      <c r="H6926" t="s">
        <v>9127</v>
      </c>
      <c r="I6926" t="s">
        <v>11192</v>
      </c>
      <c r="J6926" t="s">
        <v>11376</v>
      </c>
    </row>
    <row r="6927" spans="1:10" x14ac:dyDescent="0.25">
      <c r="A6927" t="s">
        <v>23041</v>
      </c>
      <c r="B6927">
        <v>12.592000000000001</v>
      </c>
      <c r="C6927" t="s">
        <v>23042</v>
      </c>
      <c r="D6927" t="s">
        <v>199</v>
      </c>
      <c r="E6927" t="s">
        <v>23037</v>
      </c>
      <c r="F6927" t="s">
        <v>7672</v>
      </c>
      <c r="G6927" t="s">
        <v>23038</v>
      </c>
      <c r="H6927" t="s">
        <v>9127</v>
      </c>
      <c r="I6927" t="s">
        <v>11180</v>
      </c>
      <c r="J6927" t="s">
        <v>11376</v>
      </c>
    </row>
    <row r="6928" spans="1:10" x14ac:dyDescent="0.25">
      <c r="A6928" t="s">
        <v>6353</v>
      </c>
      <c r="B6928">
        <v>6.4</v>
      </c>
      <c r="C6928" t="s">
        <v>6355</v>
      </c>
      <c r="D6928" t="s">
        <v>843</v>
      </c>
      <c r="E6928" t="s">
        <v>6356</v>
      </c>
      <c r="F6928" t="s">
        <v>7672</v>
      </c>
      <c r="G6928" t="s">
        <v>23043</v>
      </c>
      <c r="H6928" t="s">
        <v>11496</v>
      </c>
      <c r="I6928" t="s">
        <v>23044</v>
      </c>
      <c r="J6928" t="s">
        <v>9423</v>
      </c>
    </row>
    <row r="6929" spans="1:10" x14ac:dyDescent="0.25">
      <c r="A6929" t="s">
        <v>6359</v>
      </c>
      <c r="B6929">
        <v>6.4</v>
      </c>
      <c r="C6929" t="s">
        <v>6361</v>
      </c>
      <c r="D6929" t="s">
        <v>986</v>
      </c>
      <c r="E6929" t="s">
        <v>6356</v>
      </c>
      <c r="F6929" t="s">
        <v>7672</v>
      </c>
      <c r="G6929" t="s">
        <v>23043</v>
      </c>
      <c r="H6929" t="s">
        <v>11496</v>
      </c>
      <c r="I6929" t="s">
        <v>23044</v>
      </c>
      <c r="J6929" t="s">
        <v>10862</v>
      </c>
    </row>
    <row r="6930" spans="1:10" x14ac:dyDescent="0.25">
      <c r="A6930" t="s">
        <v>6363</v>
      </c>
      <c r="B6930">
        <v>6.4</v>
      </c>
      <c r="C6930" t="s">
        <v>6365</v>
      </c>
      <c r="D6930" t="s">
        <v>1573</v>
      </c>
      <c r="E6930" t="s">
        <v>6356</v>
      </c>
      <c r="F6930" t="s">
        <v>7672</v>
      </c>
      <c r="G6930" t="s">
        <v>23043</v>
      </c>
      <c r="H6930" t="s">
        <v>11496</v>
      </c>
      <c r="I6930" t="s">
        <v>23044</v>
      </c>
      <c r="J6930" t="s">
        <v>9426</v>
      </c>
    </row>
    <row r="6931" spans="1:10" x14ac:dyDescent="0.25">
      <c r="A6931" t="s">
        <v>6367</v>
      </c>
      <c r="B6931">
        <v>6.4</v>
      </c>
      <c r="C6931" t="s">
        <v>6369</v>
      </c>
      <c r="D6931" t="s">
        <v>2376</v>
      </c>
      <c r="E6931" t="s">
        <v>6356</v>
      </c>
      <c r="F6931" t="s">
        <v>7672</v>
      </c>
      <c r="G6931" t="s">
        <v>23043</v>
      </c>
      <c r="H6931" t="s">
        <v>11496</v>
      </c>
      <c r="I6931" t="s">
        <v>23044</v>
      </c>
      <c r="J6931" t="s">
        <v>13084</v>
      </c>
    </row>
    <row r="6932" spans="1:10" x14ac:dyDescent="0.25">
      <c r="A6932" t="s">
        <v>6371</v>
      </c>
      <c r="B6932">
        <v>6.4</v>
      </c>
      <c r="C6932" t="s">
        <v>6373</v>
      </c>
      <c r="D6932" t="s">
        <v>3415</v>
      </c>
      <c r="E6932" t="s">
        <v>6356</v>
      </c>
      <c r="F6932" t="s">
        <v>7672</v>
      </c>
      <c r="G6932" t="s">
        <v>23043</v>
      </c>
      <c r="H6932" t="s">
        <v>11496</v>
      </c>
      <c r="I6932" t="s">
        <v>23044</v>
      </c>
      <c r="J6932" t="s">
        <v>11767</v>
      </c>
    </row>
    <row r="6933" spans="1:10" x14ac:dyDescent="0.25">
      <c r="A6933" t="s">
        <v>6375</v>
      </c>
      <c r="B6933">
        <v>6.4</v>
      </c>
      <c r="C6933" t="s">
        <v>6377</v>
      </c>
      <c r="D6933" t="s">
        <v>6379</v>
      </c>
      <c r="E6933" t="s">
        <v>6356</v>
      </c>
      <c r="F6933" t="s">
        <v>7672</v>
      </c>
      <c r="G6933" t="s">
        <v>23043</v>
      </c>
      <c r="H6933" t="s">
        <v>11496</v>
      </c>
      <c r="I6933" t="s">
        <v>23044</v>
      </c>
      <c r="J6933" t="s">
        <v>11582</v>
      </c>
    </row>
    <row r="6934" spans="1:10" x14ac:dyDescent="0.25">
      <c r="A6934" t="s">
        <v>23045</v>
      </c>
      <c r="B6934">
        <v>17.696000000000002</v>
      </c>
      <c r="C6934" t="s">
        <v>23046</v>
      </c>
      <c r="D6934" t="s">
        <v>53</v>
      </c>
      <c r="E6934" t="s">
        <v>23047</v>
      </c>
      <c r="F6934" t="s">
        <v>7672</v>
      </c>
      <c r="G6934" t="s">
        <v>23048</v>
      </c>
      <c r="H6934" t="s">
        <v>10172</v>
      </c>
      <c r="I6934" t="s">
        <v>6653</v>
      </c>
      <c r="J6934" t="s">
        <v>10185</v>
      </c>
    </row>
    <row r="6935" spans="1:10" x14ac:dyDescent="0.25">
      <c r="A6935" t="s">
        <v>23049</v>
      </c>
      <c r="B6935">
        <v>17.696000000000002</v>
      </c>
      <c r="C6935" t="s">
        <v>23050</v>
      </c>
      <c r="D6935" t="s">
        <v>342</v>
      </c>
      <c r="E6935" t="s">
        <v>23047</v>
      </c>
      <c r="F6935" t="s">
        <v>7672</v>
      </c>
      <c r="G6935" t="s">
        <v>23048</v>
      </c>
      <c r="H6935" t="s">
        <v>10172</v>
      </c>
      <c r="I6935" t="s">
        <v>6653</v>
      </c>
      <c r="J6935" t="s">
        <v>10283</v>
      </c>
    </row>
    <row r="6936" spans="1:10" x14ac:dyDescent="0.25">
      <c r="A6936" t="s">
        <v>6380</v>
      </c>
      <c r="B6936">
        <v>16.792000000000002</v>
      </c>
      <c r="C6936" t="s">
        <v>6382</v>
      </c>
      <c r="D6936" t="s">
        <v>964</v>
      </c>
      <c r="E6936" t="s">
        <v>6383</v>
      </c>
      <c r="F6936" t="s">
        <v>7672</v>
      </c>
      <c r="G6936" t="s">
        <v>23051</v>
      </c>
      <c r="H6936" t="s">
        <v>17415</v>
      </c>
      <c r="I6936" t="s">
        <v>6385</v>
      </c>
      <c r="J6936" t="s">
        <v>11501</v>
      </c>
    </row>
    <row r="6937" spans="1:10" x14ac:dyDescent="0.25">
      <c r="A6937" t="s">
        <v>6386</v>
      </c>
      <c r="B6937">
        <v>16.792000000000002</v>
      </c>
      <c r="C6937" t="s">
        <v>6388</v>
      </c>
      <c r="D6937" t="s">
        <v>2697</v>
      </c>
      <c r="E6937" t="s">
        <v>6383</v>
      </c>
      <c r="F6937" t="s">
        <v>7672</v>
      </c>
      <c r="G6937" t="s">
        <v>23051</v>
      </c>
      <c r="H6937" t="s">
        <v>17415</v>
      </c>
      <c r="I6937" t="s">
        <v>6385</v>
      </c>
      <c r="J6937" t="s">
        <v>11502</v>
      </c>
    </row>
    <row r="6938" spans="1:10" x14ac:dyDescent="0.25">
      <c r="A6938" t="s">
        <v>6390</v>
      </c>
      <c r="B6938">
        <v>16.792000000000002</v>
      </c>
      <c r="C6938" t="s">
        <v>6392</v>
      </c>
      <c r="D6938" t="s">
        <v>95</v>
      </c>
      <c r="E6938" t="s">
        <v>6383</v>
      </c>
      <c r="F6938" t="s">
        <v>7672</v>
      </c>
      <c r="G6938" t="s">
        <v>23051</v>
      </c>
      <c r="H6938" t="s">
        <v>17415</v>
      </c>
      <c r="I6938" t="s">
        <v>6385</v>
      </c>
      <c r="J6938" t="s">
        <v>11503</v>
      </c>
    </row>
    <row r="6939" spans="1:10" x14ac:dyDescent="0.25">
      <c r="A6939" t="s">
        <v>6395</v>
      </c>
      <c r="B6939">
        <v>16.792000000000002</v>
      </c>
      <c r="C6939" t="s">
        <v>6397</v>
      </c>
      <c r="D6939" t="s">
        <v>2099</v>
      </c>
      <c r="E6939" t="s">
        <v>6383</v>
      </c>
      <c r="F6939" t="s">
        <v>7672</v>
      </c>
      <c r="G6939" t="s">
        <v>23051</v>
      </c>
      <c r="H6939" t="s">
        <v>17415</v>
      </c>
      <c r="I6939" t="s">
        <v>6385</v>
      </c>
      <c r="J6939" t="s">
        <v>282</v>
      </c>
    </row>
    <row r="6940" spans="1:10" x14ac:dyDescent="0.25">
      <c r="A6940" t="s">
        <v>6399</v>
      </c>
      <c r="B6940">
        <v>16.792000000000002</v>
      </c>
      <c r="C6940" t="s">
        <v>6401</v>
      </c>
      <c r="D6940" t="s">
        <v>671</v>
      </c>
      <c r="E6940" t="s">
        <v>6383</v>
      </c>
      <c r="F6940" t="s">
        <v>7672</v>
      </c>
      <c r="G6940" t="s">
        <v>23051</v>
      </c>
      <c r="H6940" t="s">
        <v>17415</v>
      </c>
      <c r="I6940" t="s">
        <v>6385</v>
      </c>
      <c r="J6940" t="s">
        <v>277</v>
      </c>
    </row>
    <row r="6941" spans="1:10" x14ac:dyDescent="0.25">
      <c r="A6941" t="s">
        <v>23052</v>
      </c>
      <c r="B6941">
        <v>16.399999999999999</v>
      </c>
      <c r="C6941" t="s">
        <v>23053</v>
      </c>
      <c r="D6941" t="s">
        <v>100</v>
      </c>
      <c r="E6941" t="s">
        <v>23054</v>
      </c>
      <c r="F6941" t="s">
        <v>7672</v>
      </c>
      <c r="G6941" t="s">
        <v>23055</v>
      </c>
      <c r="H6941" t="s">
        <v>10321</v>
      </c>
      <c r="I6941" t="s">
        <v>19410</v>
      </c>
      <c r="J6941" t="s">
        <v>9110</v>
      </c>
    </row>
    <row r="6942" spans="1:10" x14ac:dyDescent="0.25">
      <c r="A6942" t="s">
        <v>23056</v>
      </c>
      <c r="B6942">
        <v>15.6</v>
      </c>
      <c r="C6942" t="s">
        <v>23057</v>
      </c>
      <c r="D6942" t="s">
        <v>100</v>
      </c>
      <c r="E6942" t="s">
        <v>23058</v>
      </c>
      <c r="F6942" t="s">
        <v>7672</v>
      </c>
      <c r="G6942" t="s">
        <v>20258</v>
      </c>
      <c r="H6942" t="s">
        <v>10321</v>
      </c>
      <c r="I6942" t="s">
        <v>10349</v>
      </c>
      <c r="J6942" t="s">
        <v>8427</v>
      </c>
    </row>
    <row r="6943" spans="1:10" x14ac:dyDescent="0.25">
      <c r="A6943" t="s">
        <v>23059</v>
      </c>
      <c r="B6943">
        <v>15.6</v>
      </c>
      <c r="C6943" t="s">
        <v>23060</v>
      </c>
      <c r="D6943" t="s">
        <v>53</v>
      </c>
      <c r="E6943" t="s">
        <v>23058</v>
      </c>
      <c r="F6943" t="s">
        <v>7672</v>
      </c>
      <c r="G6943" t="s">
        <v>20258</v>
      </c>
      <c r="H6943" t="s">
        <v>10321</v>
      </c>
      <c r="I6943" t="s">
        <v>19225</v>
      </c>
      <c r="J6943" t="s">
        <v>8427</v>
      </c>
    </row>
    <row r="6944" spans="1:10" x14ac:dyDescent="0.25">
      <c r="A6944" t="s">
        <v>6403</v>
      </c>
      <c r="B6944">
        <v>14</v>
      </c>
      <c r="C6944" t="s">
        <v>6405</v>
      </c>
      <c r="D6944" t="s">
        <v>269</v>
      </c>
      <c r="E6944" t="s">
        <v>6406</v>
      </c>
      <c r="F6944" t="s">
        <v>7672</v>
      </c>
      <c r="G6944" t="s">
        <v>23061</v>
      </c>
      <c r="H6944" t="s">
        <v>8078</v>
      </c>
      <c r="I6944" t="s">
        <v>76</v>
      </c>
      <c r="J6944" t="s">
        <v>7942</v>
      </c>
    </row>
    <row r="6945" spans="1:10" x14ac:dyDescent="0.25">
      <c r="A6945" t="s">
        <v>6409</v>
      </c>
      <c r="B6945">
        <v>14</v>
      </c>
      <c r="C6945" t="s">
        <v>6411</v>
      </c>
      <c r="D6945" t="s">
        <v>164</v>
      </c>
      <c r="E6945" t="s">
        <v>6406</v>
      </c>
      <c r="F6945" t="s">
        <v>7672</v>
      </c>
      <c r="G6945" t="s">
        <v>23061</v>
      </c>
      <c r="H6945" t="s">
        <v>8078</v>
      </c>
      <c r="I6945" t="s">
        <v>7952</v>
      </c>
      <c r="J6945" t="s">
        <v>7942</v>
      </c>
    </row>
    <row r="6946" spans="1:10" x14ac:dyDescent="0.25">
      <c r="A6946" t="s">
        <v>6413</v>
      </c>
      <c r="B6946">
        <v>28</v>
      </c>
      <c r="C6946" t="s">
        <v>6415</v>
      </c>
      <c r="D6946" t="s">
        <v>53</v>
      </c>
      <c r="E6946" t="s">
        <v>6406</v>
      </c>
      <c r="F6946" t="s">
        <v>7672</v>
      </c>
      <c r="G6946" t="s">
        <v>23061</v>
      </c>
      <c r="H6946" t="s">
        <v>8078</v>
      </c>
      <c r="I6946" t="s">
        <v>23062</v>
      </c>
      <c r="J6946" t="s">
        <v>8249</v>
      </c>
    </row>
    <row r="6947" spans="1:10" x14ac:dyDescent="0.25">
      <c r="A6947" t="s">
        <v>23063</v>
      </c>
      <c r="B6947">
        <v>5.5920000000000014</v>
      </c>
      <c r="C6947" t="s">
        <v>23064</v>
      </c>
      <c r="D6947" t="s">
        <v>385</v>
      </c>
      <c r="E6947" t="s">
        <v>23065</v>
      </c>
      <c r="F6947" t="s">
        <v>7672</v>
      </c>
      <c r="G6947" t="s">
        <v>23066</v>
      </c>
      <c r="H6947" t="s">
        <v>10298</v>
      </c>
      <c r="I6947" t="s">
        <v>23067</v>
      </c>
      <c r="J6947" t="s">
        <v>11696</v>
      </c>
    </row>
    <row r="6948" spans="1:10" x14ac:dyDescent="0.25">
      <c r="A6948" t="s">
        <v>23068</v>
      </c>
      <c r="B6948">
        <v>5.5920000000000014</v>
      </c>
      <c r="C6948" t="s">
        <v>23069</v>
      </c>
      <c r="D6948" t="s">
        <v>385</v>
      </c>
      <c r="E6948" t="s">
        <v>23065</v>
      </c>
      <c r="F6948" t="s">
        <v>7672</v>
      </c>
      <c r="G6948" t="s">
        <v>23066</v>
      </c>
      <c r="H6948" t="s">
        <v>10298</v>
      </c>
      <c r="I6948" t="s">
        <v>11699</v>
      </c>
      <c r="J6948" t="s">
        <v>11696</v>
      </c>
    </row>
    <row r="6949" spans="1:10" x14ac:dyDescent="0.25">
      <c r="A6949" t="s">
        <v>23070</v>
      </c>
      <c r="B6949">
        <v>5.5920000000000014</v>
      </c>
      <c r="C6949" t="s">
        <v>23071</v>
      </c>
      <c r="D6949" t="s">
        <v>277</v>
      </c>
      <c r="E6949" t="s">
        <v>23065</v>
      </c>
      <c r="F6949" t="s">
        <v>7672</v>
      </c>
      <c r="G6949" t="s">
        <v>23066</v>
      </c>
      <c r="H6949" t="s">
        <v>10298</v>
      </c>
      <c r="I6949" t="s">
        <v>23072</v>
      </c>
      <c r="J6949" t="s">
        <v>11696</v>
      </c>
    </row>
    <row r="6950" spans="1:10" x14ac:dyDescent="0.25">
      <c r="A6950" t="s">
        <v>23073</v>
      </c>
      <c r="B6950">
        <v>5.5920000000000014</v>
      </c>
      <c r="C6950" t="s">
        <v>23074</v>
      </c>
      <c r="D6950" t="s">
        <v>199</v>
      </c>
      <c r="E6950" t="s">
        <v>23065</v>
      </c>
      <c r="F6950" t="s">
        <v>7672</v>
      </c>
      <c r="G6950" t="s">
        <v>23066</v>
      </c>
      <c r="H6950" t="s">
        <v>10298</v>
      </c>
      <c r="I6950" t="s">
        <v>23075</v>
      </c>
      <c r="J6950" t="s">
        <v>11696</v>
      </c>
    </row>
    <row r="6951" spans="1:10" x14ac:dyDescent="0.25">
      <c r="A6951" t="s">
        <v>23076</v>
      </c>
      <c r="B6951">
        <v>5.5920000000000014</v>
      </c>
      <c r="C6951" t="s">
        <v>23077</v>
      </c>
      <c r="D6951" t="s">
        <v>1644</v>
      </c>
      <c r="E6951" t="s">
        <v>23065</v>
      </c>
      <c r="F6951" t="s">
        <v>7672</v>
      </c>
      <c r="G6951" t="s">
        <v>23066</v>
      </c>
      <c r="H6951" t="s">
        <v>10298</v>
      </c>
      <c r="I6951" t="s">
        <v>11699</v>
      </c>
      <c r="J6951" t="s">
        <v>11702</v>
      </c>
    </row>
    <row r="6952" spans="1:10" x14ac:dyDescent="0.25">
      <c r="A6952" t="s">
        <v>23078</v>
      </c>
      <c r="B6952">
        <v>5.5920000000000014</v>
      </c>
      <c r="C6952" t="s">
        <v>23079</v>
      </c>
      <c r="D6952" t="s">
        <v>3086</v>
      </c>
      <c r="E6952" t="s">
        <v>23065</v>
      </c>
      <c r="F6952" t="s">
        <v>7672</v>
      </c>
      <c r="G6952" t="s">
        <v>23066</v>
      </c>
      <c r="H6952" t="s">
        <v>10298</v>
      </c>
      <c r="I6952" t="s">
        <v>23072</v>
      </c>
      <c r="J6952" t="s">
        <v>11702</v>
      </c>
    </row>
    <row r="6953" spans="1:10" x14ac:dyDescent="0.25">
      <c r="A6953" t="s">
        <v>23080</v>
      </c>
      <c r="B6953">
        <v>5.5920000000000014</v>
      </c>
      <c r="C6953" t="s">
        <v>23081</v>
      </c>
      <c r="D6953" t="s">
        <v>664</v>
      </c>
      <c r="E6953" t="s">
        <v>23065</v>
      </c>
      <c r="F6953" t="s">
        <v>7672</v>
      </c>
      <c r="G6953" t="s">
        <v>23066</v>
      </c>
      <c r="H6953" t="s">
        <v>10298</v>
      </c>
      <c r="I6953" t="s">
        <v>23075</v>
      </c>
      <c r="J6953" t="s">
        <v>11702</v>
      </c>
    </row>
    <row r="6954" spans="1:10" x14ac:dyDescent="0.25">
      <c r="A6954" t="s">
        <v>23082</v>
      </c>
      <c r="B6954">
        <v>5.5920000000000014</v>
      </c>
      <c r="C6954" t="s">
        <v>23083</v>
      </c>
      <c r="D6954" t="s">
        <v>1579</v>
      </c>
      <c r="E6954" t="s">
        <v>23065</v>
      </c>
      <c r="F6954" t="s">
        <v>7672</v>
      </c>
      <c r="G6954" t="s">
        <v>23066</v>
      </c>
      <c r="H6954" t="s">
        <v>10298</v>
      </c>
      <c r="I6954" t="s">
        <v>23067</v>
      </c>
      <c r="J6954" t="s">
        <v>11702</v>
      </c>
    </row>
    <row r="6955" spans="1:10" x14ac:dyDescent="0.25">
      <c r="A6955" t="s">
        <v>23084</v>
      </c>
      <c r="B6955">
        <v>5.5920000000000014</v>
      </c>
      <c r="C6955" t="s">
        <v>23085</v>
      </c>
      <c r="D6955" t="s">
        <v>2587</v>
      </c>
      <c r="E6955" t="s">
        <v>23065</v>
      </c>
      <c r="F6955" t="s">
        <v>7672</v>
      </c>
      <c r="G6955" t="s">
        <v>23066</v>
      </c>
      <c r="H6955" t="s">
        <v>10298</v>
      </c>
      <c r="I6955" t="s">
        <v>11699</v>
      </c>
      <c r="J6955" t="s">
        <v>11710</v>
      </c>
    </row>
    <row r="6956" spans="1:10" x14ac:dyDescent="0.25">
      <c r="A6956" t="s">
        <v>23086</v>
      </c>
      <c r="B6956">
        <v>5.5920000000000014</v>
      </c>
      <c r="C6956" t="s">
        <v>23087</v>
      </c>
      <c r="D6956" t="s">
        <v>13198</v>
      </c>
      <c r="E6956" t="s">
        <v>23065</v>
      </c>
      <c r="F6956" t="s">
        <v>7672</v>
      </c>
      <c r="G6956" t="s">
        <v>23066</v>
      </c>
      <c r="H6956" t="s">
        <v>10298</v>
      </c>
      <c r="I6956" t="s">
        <v>23072</v>
      </c>
      <c r="J6956" t="s">
        <v>11710</v>
      </c>
    </row>
    <row r="6957" spans="1:10" x14ac:dyDescent="0.25">
      <c r="A6957" t="s">
        <v>23088</v>
      </c>
      <c r="B6957">
        <v>5.5920000000000014</v>
      </c>
      <c r="C6957" t="s">
        <v>23089</v>
      </c>
      <c r="D6957" t="s">
        <v>4327</v>
      </c>
      <c r="E6957" t="s">
        <v>23065</v>
      </c>
      <c r="F6957" t="s">
        <v>7672</v>
      </c>
      <c r="G6957" t="s">
        <v>23066</v>
      </c>
      <c r="H6957" t="s">
        <v>10298</v>
      </c>
      <c r="I6957" t="s">
        <v>23075</v>
      </c>
      <c r="J6957" t="s">
        <v>11710</v>
      </c>
    </row>
    <row r="6958" spans="1:10" x14ac:dyDescent="0.25">
      <c r="A6958" t="s">
        <v>23090</v>
      </c>
      <c r="B6958">
        <v>5.5920000000000014</v>
      </c>
      <c r="C6958" t="s">
        <v>23091</v>
      </c>
      <c r="D6958" t="s">
        <v>4579</v>
      </c>
      <c r="E6958" t="s">
        <v>23065</v>
      </c>
      <c r="F6958" t="s">
        <v>7672</v>
      </c>
      <c r="G6958" t="s">
        <v>23066</v>
      </c>
      <c r="H6958" t="s">
        <v>10298</v>
      </c>
      <c r="I6958" t="s">
        <v>23067</v>
      </c>
      <c r="J6958" t="s">
        <v>11710</v>
      </c>
    </row>
    <row r="6959" spans="1:10" x14ac:dyDescent="0.25">
      <c r="A6959" t="s">
        <v>23092</v>
      </c>
      <c r="B6959">
        <v>5.5920000000000014</v>
      </c>
      <c r="C6959" t="s">
        <v>23093</v>
      </c>
      <c r="D6959" t="s">
        <v>8881</v>
      </c>
      <c r="E6959" t="s">
        <v>23065</v>
      </c>
      <c r="F6959" t="s">
        <v>7672</v>
      </c>
      <c r="G6959" t="s">
        <v>23066</v>
      </c>
      <c r="H6959" t="s">
        <v>10298</v>
      </c>
      <c r="I6959" t="s">
        <v>11699</v>
      </c>
      <c r="J6959" t="s">
        <v>12182</v>
      </c>
    </row>
    <row r="6960" spans="1:10" x14ac:dyDescent="0.25">
      <c r="A6960" t="s">
        <v>23094</v>
      </c>
      <c r="B6960">
        <v>5.5920000000000014</v>
      </c>
      <c r="C6960" t="s">
        <v>23095</v>
      </c>
      <c r="D6960" t="s">
        <v>17467</v>
      </c>
      <c r="E6960" t="s">
        <v>23065</v>
      </c>
      <c r="F6960" t="s">
        <v>7672</v>
      </c>
      <c r="G6960" t="s">
        <v>23066</v>
      </c>
      <c r="H6960" t="s">
        <v>10298</v>
      </c>
      <c r="I6960" t="s">
        <v>23072</v>
      </c>
      <c r="J6960" t="s">
        <v>12182</v>
      </c>
    </row>
    <row r="6961" spans="1:10" x14ac:dyDescent="0.25">
      <c r="A6961" t="s">
        <v>23096</v>
      </c>
      <c r="B6961">
        <v>5.5920000000000014</v>
      </c>
      <c r="C6961" t="s">
        <v>23097</v>
      </c>
      <c r="D6961" t="s">
        <v>6428</v>
      </c>
      <c r="E6961" t="s">
        <v>23065</v>
      </c>
      <c r="F6961" t="s">
        <v>7672</v>
      </c>
      <c r="G6961" t="s">
        <v>23066</v>
      </c>
      <c r="H6961" t="s">
        <v>10298</v>
      </c>
      <c r="I6961" t="s">
        <v>23075</v>
      </c>
      <c r="J6961" t="s">
        <v>12182</v>
      </c>
    </row>
    <row r="6962" spans="1:10" x14ac:dyDescent="0.25">
      <c r="A6962" t="s">
        <v>23098</v>
      </c>
      <c r="B6962">
        <v>5.5920000000000014</v>
      </c>
      <c r="C6962" t="s">
        <v>23099</v>
      </c>
      <c r="D6962" t="s">
        <v>23100</v>
      </c>
      <c r="E6962" t="s">
        <v>23065</v>
      </c>
      <c r="F6962" t="s">
        <v>7672</v>
      </c>
      <c r="G6962" t="s">
        <v>23066</v>
      </c>
      <c r="H6962" t="s">
        <v>10298</v>
      </c>
      <c r="I6962" t="s">
        <v>23067</v>
      </c>
      <c r="J6962" t="s">
        <v>12182</v>
      </c>
    </row>
    <row r="6963" spans="1:10" x14ac:dyDescent="0.25">
      <c r="A6963" t="s">
        <v>23101</v>
      </c>
      <c r="B6963">
        <v>5.5920000000000014</v>
      </c>
      <c r="C6963" t="s">
        <v>23102</v>
      </c>
      <c r="D6963" t="s">
        <v>2376</v>
      </c>
      <c r="E6963" t="s">
        <v>23065</v>
      </c>
      <c r="F6963" t="s">
        <v>7672</v>
      </c>
      <c r="G6963" t="s">
        <v>23066</v>
      </c>
      <c r="H6963" t="s">
        <v>10298</v>
      </c>
      <c r="I6963" t="s">
        <v>23072</v>
      </c>
      <c r="J6963" t="s">
        <v>10150</v>
      </c>
    </row>
    <row r="6964" spans="1:10" x14ac:dyDescent="0.25">
      <c r="A6964" t="s">
        <v>23103</v>
      </c>
      <c r="B6964">
        <v>5.5920000000000014</v>
      </c>
      <c r="C6964" t="s">
        <v>23104</v>
      </c>
      <c r="D6964" t="s">
        <v>8193</v>
      </c>
      <c r="E6964" t="s">
        <v>23065</v>
      </c>
      <c r="F6964" t="s">
        <v>7672</v>
      </c>
      <c r="G6964" t="s">
        <v>23066</v>
      </c>
      <c r="H6964" t="s">
        <v>10298</v>
      </c>
      <c r="I6964" t="s">
        <v>23075</v>
      </c>
      <c r="J6964" t="s">
        <v>10150</v>
      </c>
    </row>
    <row r="6965" spans="1:10" x14ac:dyDescent="0.25">
      <c r="A6965" t="s">
        <v>23105</v>
      </c>
      <c r="B6965">
        <v>5.5920000000000014</v>
      </c>
      <c r="C6965" t="s">
        <v>23106</v>
      </c>
      <c r="D6965" t="s">
        <v>2855</v>
      </c>
      <c r="E6965" t="s">
        <v>23065</v>
      </c>
      <c r="F6965" t="s">
        <v>7672</v>
      </c>
      <c r="G6965" t="s">
        <v>23066</v>
      </c>
      <c r="H6965" t="s">
        <v>10298</v>
      </c>
      <c r="I6965" t="s">
        <v>23067</v>
      </c>
      <c r="J6965" t="s">
        <v>10150</v>
      </c>
    </row>
    <row r="6966" spans="1:10" x14ac:dyDescent="0.25">
      <c r="A6966" t="s">
        <v>23107</v>
      </c>
      <c r="B6966">
        <v>5.5920000000000014</v>
      </c>
      <c r="C6966" t="s">
        <v>23108</v>
      </c>
      <c r="D6966" t="s">
        <v>4109</v>
      </c>
      <c r="E6966" t="s">
        <v>23065</v>
      </c>
      <c r="F6966" t="s">
        <v>7672</v>
      </c>
      <c r="G6966" t="s">
        <v>23066</v>
      </c>
      <c r="H6966" t="s">
        <v>10298</v>
      </c>
      <c r="I6966" t="s">
        <v>11699</v>
      </c>
      <c r="J6966" t="s">
        <v>10150</v>
      </c>
    </row>
    <row r="6967" spans="1:10" x14ac:dyDescent="0.25">
      <c r="A6967" t="s">
        <v>23109</v>
      </c>
      <c r="B6967">
        <v>5.5920000000000014</v>
      </c>
      <c r="C6967" t="s">
        <v>23110</v>
      </c>
      <c r="D6967" t="s">
        <v>2697</v>
      </c>
      <c r="E6967" t="s">
        <v>23065</v>
      </c>
      <c r="F6967" t="s">
        <v>7672</v>
      </c>
      <c r="G6967" t="s">
        <v>23066</v>
      </c>
      <c r="H6967" t="s">
        <v>10298</v>
      </c>
      <c r="I6967" t="s">
        <v>23075</v>
      </c>
      <c r="J6967" t="s">
        <v>15238</v>
      </c>
    </row>
    <row r="6968" spans="1:10" x14ac:dyDescent="0.25">
      <c r="A6968" t="s">
        <v>23111</v>
      </c>
      <c r="B6968">
        <v>5.5920000000000014</v>
      </c>
      <c r="C6968" t="s">
        <v>23112</v>
      </c>
      <c r="D6968" t="s">
        <v>95</v>
      </c>
      <c r="E6968" t="s">
        <v>23065</v>
      </c>
      <c r="F6968" t="s">
        <v>7672</v>
      </c>
      <c r="G6968" t="s">
        <v>23066</v>
      </c>
      <c r="H6968" t="s">
        <v>10298</v>
      </c>
      <c r="I6968" t="s">
        <v>23067</v>
      </c>
      <c r="J6968" t="s">
        <v>15238</v>
      </c>
    </row>
    <row r="6969" spans="1:10" x14ac:dyDescent="0.25">
      <c r="A6969" t="s">
        <v>23113</v>
      </c>
      <c r="B6969">
        <v>5.5920000000000014</v>
      </c>
      <c r="C6969" t="s">
        <v>23114</v>
      </c>
      <c r="D6969" t="s">
        <v>95</v>
      </c>
      <c r="E6969" t="s">
        <v>23065</v>
      </c>
      <c r="F6969" t="s">
        <v>7672</v>
      </c>
      <c r="G6969" t="s">
        <v>23066</v>
      </c>
      <c r="H6969" t="s">
        <v>10298</v>
      </c>
      <c r="I6969" t="s">
        <v>11699</v>
      </c>
      <c r="J6969" t="s">
        <v>15238</v>
      </c>
    </row>
    <row r="6970" spans="1:10" x14ac:dyDescent="0.25">
      <c r="A6970" t="s">
        <v>23115</v>
      </c>
      <c r="B6970">
        <v>5.5920000000000014</v>
      </c>
      <c r="C6970" t="s">
        <v>23116</v>
      </c>
      <c r="D6970" t="s">
        <v>95</v>
      </c>
      <c r="E6970" t="s">
        <v>23065</v>
      </c>
      <c r="F6970" t="s">
        <v>7672</v>
      </c>
      <c r="G6970" t="s">
        <v>23066</v>
      </c>
      <c r="H6970" t="s">
        <v>10298</v>
      </c>
      <c r="I6970" t="s">
        <v>23072</v>
      </c>
      <c r="J6970" t="s">
        <v>15238</v>
      </c>
    </row>
    <row r="6971" spans="1:10" x14ac:dyDescent="0.25">
      <c r="A6971" t="s">
        <v>23117</v>
      </c>
      <c r="B6971">
        <v>5.5920000000000014</v>
      </c>
      <c r="C6971" t="s">
        <v>23118</v>
      </c>
      <c r="D6971" t="s">
        <v>366</v>
      </c>
      <c r="E6971" t="s">
        <v>23065</v>
      </c>
      <c r="F6971" t="s">
        <v>7672</v>
      </c>
      <c r="G6971" t="s">
        <v>23066</v>
      </c>
      <c r="H6971" t="s">
        <v>10298</v>
      </c>
      <c r="I6971" t="s">
        <v>23075</v>
      </c>
      <c r="J6971" t="s">
        <v>15070</v>
      </c>
    </row>
    <row r="6972" spans="1:10" x14ac:dyDescent="0.25">
      <c r="A6972" t="s">
        <v>23119</v>
      </c>
      <c r="B6972">
        <v>5.5920000000000014</v>
      </c>
      <c r="C6972" t="s">
        <v>23120</v>
      </c>
      <c r="D6972" t="s">
        <v>1143</v>
      </c>
      <c r="E6972" t="s">
        <v>23065</v>
      </c>
      <c r="F6972" t="s">
        <v>7672</v>
      </c>
      <c r="G6972" t="s">
        <v>23066</v>
      </c>
      <c r="H6972" t="s">
        <v>10298</v>
      </c>
      <c r="I6972" t="s">
        <v>23067</v>
      </c>
      <c r="J6972" t="s">
        <v>15070</v>
      </c>
    </row>
    <row r="6973" spans="1:10" x14ac:dyDescent="0.25">
      <c r="A6973" t="s">
        <v>23121</v>
      </c>
      <c r="B6973">
        <v>5.5920000000000014</v>
      </c>
      <c r="C6973" t="s">
        <v>23122</v>
      </c>
      <c r="D6973" t="s">
        <v>240</v>
      </c>
      <c r="E6973" t="s">
        <v>23065</v>
      </c>
      <c r="F6973" t="s">
        <v>7672</v>
      </c>
      <c r="G6973" t="s">
        <v>23066</v>
      </c>
      <c r="H6973" t="s">
        <v>10298</v>
      </c>
      <c r="I6973" t="s">
        <v>11699</v>
      </c>
      <c r="J6973" t="s">
        <v>15070</v>
      </c>
    </row>
    <row r="6974" spans="1:10" x14ac:dyDescent="0.25">
      <c r="A6974" t="s">
        <v>23123</v>
      </c>
      <c r="B6974">
        <v>5.5920000000000014</v>
      </c>
      <c r="C6974" t="s">
        <v>23124</v>
      </c>
      <c r="D6974" t="s">
        <v>113</v>
      </c>
      <c r="E6974" t="s">
        <v>23065</v>
      </c>
      <c r="F6974" t="s">
        <v>7672</v>
      </c>
      <c r="G6974" t="s">
        <v>23066</v>
      </c>
      <c r="H6974" t="s">
        <v>10298</v>
      </c>
      <c r="I6974" t="s">
        <v>23072</v>
      </c>
      <c r="J6974" t="s">
        <v>15070</v>
      </c>
    </row>
    <row r="6975" spans="1:10" x14ac:dyDescent="0.25">
      <c r="A6975" t="s">
        <v>23125</v>
      </c>
      <c r="B6975">
        <v>5.5920000000000014</v>
      </c>
      <c r="C6975" t="s">
        <v>23126</v>
      </c>
      <c r="D6975" t="s">
        <v>588</v>
      </c>
      <c r="E6975" t="s">
        <v>23065</v>
      </c>
      <c r="F6975" t="s">
        <v>7672</v>
      </c>
      <c r="G6975" t="s">
        <v>23066</v>
      </c>
      <c r="H6975" t="s">
        <v>10298</v>
      </c>
      <c r="I6975" t="s">
        <v>23075</v>
      </c>
      <c r="J6975" t="s">
        <v>15073</v>
      </c>
    </row>
    <row r="6976" spans="1:10" x14ac:dyDescent="0.25">
      <c r="A6976" t="s">
        <v>23127</v>
      </c>
      <c r="B6976">
        <v>5.5920000000000014</v>
      </c>
      <c r="C6976" t="s">
        <v>23128</v>
      </c>
      <c r="D6976" t="s">
        <v>2879</v>
      </c>
      <c r="E6976" t="s">
        <v>23065</v>
      </c>
      <c r="F6976" t="s">
        <v>7672</v>
      </c>
      <c r="G6976" t="s">
        <v>23066</v>
      </c>
      <c r="H6976" t="s">
        <v>10298</v>
      </c>
      <c r="I6976" t="s">
        <v>11699</v>
      </c>
      <c r="J6976" t="s">
        <v>15073</v>
      </c>
    </row>
    <row r="6977" spans="1:10" x14ac:dyDescent="0.25">
      <c r="A6977" t="s">
        <v>23129</v>
      </c>
      <c r="B6977">
        <v>5.5920000000000014</v>
      </c>
      <c r="C6977" t="s">
        <v>23130</v>
      </c>
      <c r="D6977" t="s">
        <v>588</v>
      </c>
      <c r="E6977" t="s">
        <v>23065</v>
      </c>
      <c r="F6977" t="s">
        <v>7672</v>
      </c>
      <c r="G6977" t="s">
        <v>23066</v>
      </c>
      <c r="H6977" t="s">
        <v>10298</v>
      </c>
      <c r="I6977" t="s">
        <v>23072</v>
      </c>
      <c r="J6977" t="s">
        <v>15073</v>
      </c>
    </row>
    <row r="6978" spans="1:10" x14ac:dyDescent="0.25">
      <c r="A6978" t="s">
        <v>23131</v>
      </c>
      <c r="B6978">
        <v>5.5920000000000014</v>
      </c>
      <c r="C6978" t="s">
        <v>23132</v>
      </c>
      <c r="D6978" t="s">
        <v>1236</v>
      </c>
      <c r="E6978" t="s">
        <v>23065</v>
      </c>
      <c r="F6978" t="s">
        <v>7672</v>
      </c>
      <c r="G6978" t="s">
        <v>23066</v>
      </c>
      <c r="H6978" t="s">
        <v>10298</v>
      </c>
      <c r="I6978" t="s">
        <v>23067</v>
      </c>
      <c r="J6978" t="s">
        <v>15073</v>
      </c>
    </row>
    <row r="6979" spans="1:10" x14ac:dyDescent="0.25">
      <c r="A6979" t="s">
        <v>23133</v>
      </c>
      <c r="B6979">
        <v>5.5920000000000014</v>
      </c>
      <c r="C6979" t="s">
        <v>23134</v>
      </c>
      <c r="D6979" t="s">
        <v>781</v>
      </c>
      <c r="E6979" t="s">
        <v>23065</v>
      </c>
      <c r="F6979" t="s">
        <v>7672</v>
      </c>
      <c r="G6979" t="s">
        <v>23066</v>
      </c>
      <c r="H6979" t="s">
        <v>10298</v>
      </c>
      <c r="I6979" t="s">
        <v>23075</v>
      </c>
      <c r="J6979" t="s">
        <v>15076</v>
      </c>
    </row>
    <row r="6980" spans="1:10" x14ac:dyDescent="0.25">
      <c r="A6980" t="s">
        <v>23135</v>
      </c>
      <c r="B6980">
        <v>5.5920000000000014</v>
      </c>
      <c r="C6980" t="s">
        <v>23136</v>
      </c>
      <c r="D6980" t="s">
        <v>245</v>
      </c>
      <c r="E6980" t="s">
        <v>23065</v>
      </c>
      <c r="F6980" t="s">
        <v>7672</v>
      </c>
      <c r="G6980" t="s">
        <v>23066</v>
      </c>
      <c r="H6980" t="s">
        <v>10298</v>
      </c>
      <c r="I6980" t="s">
        <v>23072</v>
      </c>
      <c r="J6980" t="s">
        <v>15076</v>
      </c>
    </row>
    <row r="6981" spans="1:10" x14ac:dyDescent="0.25">
      <c r="A6981" t="s">
        <v>23137</v>
      </c>
      <c r="B6981">
        <v>5.5920000000000014</v>
      </c>
      <c r="C6981" t="s">
        <v>23138</v>
      </c>
      <c r="D6981" t="s">
        <v>698</v>
      </c>
      <c r="E6981" t="s">
        <v>23065</v>
      </c>
      <c r="F6981" t="s">
        <v>7672</v>
      </c>
      <c r="G6981" t="s">
        <v>23066</v>
      </c>
      <c r="H6981" t="s">
        <v>10298</v>
      </c>
      <c r="I6981" t="s">
        <v>11699</v>
      </c>
      <c r="J6981" t="s">
        <v>15076</v>
      </c>
    </row>
    <row r="6982" spans="1:10" x14ac:dyDescent="0.25">
      <c r="A6982" t="s">
        <v>23139</v>
      </c>
      <c r="B6982">
        <v>5.5920000000000014</v>
      </c>
      <c r="C6982" t="s">
        <v>23140</v>
      </c>
      <c r="D6982" t="s">
        <v>843</v>
      </c>
      <c r="E6982" t="s">
        <v>23065</v>
      </c>
      <c r="F6982" t="s">
        <v>7672</v>
      </c>
      <c r="G6982" t="s">
        <v>23066</v>
      </c>
      <c r="H6982" t="s">
        <v>10298</v>
      </c>
      <c r="I6982" t="s">
        <v>23067</v>
      </c>
      <c r="J6982" t="s">
        <v>15076</v>
      </c>
    </row>
    <row r="6983" spans="1:10" x14ac:dyDescent="0.25">
      <c r="A6983" t="s">
        <v>23141</v>
      </c>
      <c r="B6983">
        <v>5.5920000000000014</v>
      </c>
      <c r="C6983" t="s">
        <v>23142</v>
      </c>
      <c r="D6983" t="s">
        <v>2072</v>
      </c>
      <c r="E6983" t="s">
        <v>23065</v>
      </c>
      <c r="F6983" t="s">
        <v>7672</v>
      </c>
      <c r="G6983" t="s">
        <v>23066</v>
      </c>
      <c r="H6983" t="s">
        <v>10298</v>
      </c>
      <c r="I6983" t="s">
        <v>23072</v>
      </c>
      <c r="J6983" t="s">
        <v>15079</v>
      </c>
    </row>
    <row r="6984" spans="1:10" x14ac:dyDescent="0.25">
      <c r="A6984" t="s">
        <v>23143</v>
      </c>
      <c r="B6984">
        <v>5.5920000000000014</v>
      </c>
      <c r="C6984" t="s">
        <v>23144</v>
      </c>
      <c r="D6984" t="s">
        <v>379</v>
      </c>
      <c r="E6984" t="s">
        <v>23065</v>
      </c>
      <c r="F6984" t="s">
        <v>7672</v>
      </c>
      <c r="G6984" t="s">
        <v>23066</v>
      </c>
      <c r="H6984" t="s">
        <v>10298</v>
      </c>
      <c r="I6984" t="s">
        <v>23075</v>
      </c>
      <c r="J6984" t="s">
        <v>15079</v>
      </c>
    </row>
    <row r="6985" spans="1:10" x14ac:dyDescent="0.25">
      <c r="A6985" t="s">
        <v>23145</v>
      </c>
      <c r="B6985">
        <v>5.5920000000000014</v>
      </c>
      <c r="C6985" t="s">
        <v>23146</v>
      </c>
      <c r="D6985" t="s">
        <v>321</v>
      </c>
      <c r="E6985" t="s">
        <v>23065</v>
      </c>
      <c r="F6985" t="s">
        <v>7672</v>
      </c>
      <c r="G6985" t="s">
        <v>23066</v>
      </c>
      <c r="H6985" t="s">
        <v>10298</v>
      </c>
      <c r="I6985" t="s">
        <v>23067</v>
      </c>
      <c r="J6985" t="s">
        <v>15079</v>
      </c>
    </row>
    <row r="6986" spans="1:10" x14ac:dyDescent="0.25">
      <c r="A6986" t="s">
        <v>23147</v>
      </c>
      <c r="B6986">
        <v>5.5920000000000014</v>
      </c>
      <c r="C6986" t="s">
        <v>23148</v>
      </c>
      <c r="D6986" t="s">
        <v>981</v>
      </c>
      <c r="E6986" t="s">
        <v>23065</v>
      </c>
      <c r="F6986" t="s">
        <v>7672</v>
      </c>
      <c r="G6986" t="s">
        <v>23066</v>
      </c>
      <c r="H6986" t="s">
        <v>10298</v>
      </c>
      <c r="I6986" t="s">
        <v>11699</v>
      </c>
      <c r="J6986" t="s">
        <v>15079</v>
      </c>
    </row>
    <row r="6987" spans="1:10" x14ac:dyDescent="0.25">
      <c r="A6987" t="s">
        <v>6418</v>
      </c>
      <c r="B6987">
        <v>4.8000000000000007</v>
      </c>
      <c r="C6987" t="s">
        <v>6420</v>
      </c>
      <c r="D6987" t="s">
        <v>964</v>
      </c>
      <c r="E6987" t="s">
        <v>6421</v>
      </c>
      <c r="F6987" t="s">
        <v>7672</v>
      </c>
      <c r="G6987" t="s">
        <v>23149</v>
      </c>
      <c r="H6987" t="s">
        <v>11496</v>
      </c>
      <c r="I6987" t="s">
        <v>10802</v>
      </c>
      <c r="J6987" t="s">
        <v>13084</v>
      </c>
    </row>
    <row r="6988" spans="1:10" x14ac:dyDescent="0.25">
      <c r="A6988" t="s">
        <v>6424</v>
      </c>
      <c r="B6988">
        <v>4.8000000000000007</v>
      </c>
      <c r="C6988" t="s">
        <v>6426</v>
      </c>
      <c r="D6988" t="s">
        <v>6428</v>
      </c>
      <c r="E6988" t="s">
        <v>6421</v>
      </c>
      <c r="F6988" t="s">
        <v>7672</v>
      </c>
      <c r="G6988" t="s">
        <v>23149</v>
      </c>
      <c r="H6988" t="s">
        <v>11496</v>
      </c>
      <c r="I6988" t="s">
        <v>10802</v>
      </c>
      <c r="J6988" t="s">
        <v>11767</v>
      </c>
    </row>
    <row r="6989" spans="1:10" x14ac:dyDescent="0.25">
      <c r="A6989" t="s">
        <v>6429</v>
      </c>
      <c r="B6989">
        <v>4.8000000000000007</v>
      </c>
      <c r="C6989" t="s">
        <v>6431</v>
      </c>
      <c r="D6989" t="s">
        <v>926</v>
      </c>
      <c r="E6989" t="s">
        <v>6421</v>
      </c>
      <c r="F6989" t="s">
        <v>7672</v>
      </c>
      <c r="G6989" t="s">
        <v>23149</v>
      </c>
      <c r="H6989" t="s">
        <v>11496</v>
      </c>
      <c r="I6989" t="s">
        <v>10802</v>
      </c>
      <c r="J6989" t="s">
        <v>11582</v>
      </c>
    </row>
    <row r="6990" spans="1:10" x14ac:dyDescent="0.25">
      <c r="A6990" t="s">
        <v>23150</v>
      </c>
      <c r="B6990">
        <v>7.2</v>
      </c>
      <c r="C6990" t="s">
        <v>23151</v>
      </c>
      <c r="D6990" t="s">
        <v>3258</v>
      </c>
      <c r="E6990" t="s">
        <v>23152</v>
      </c>
      <c r="F6990" t="s">
        <v>7672</v>
      </c>
      <c r="G6990" t="s">
        <v>23153</v>
      </c>
      <c r="H6990" t="s">
        <v>7974</v>
      </c>
      <c r="I6990" t="s">
        <v>76</v>
      </c>
      <c r="J6990" t="s">
        <v>7942</v>
      </c>
    </row>
    <row r="6991" spans="1:10" x14ac:dyDescent="0.25">
      <c r="A6991" t="s">
        <v>23154</v>
      </c>
      <c r="B6991">
        <v>7.2</v>
      </c>
      <c r="C6991" t="s">
        <v>23155</v>
      </c>
      <c r="D6991" t="s">
        <v>3644</v>
      </c>
      <c r="E6991" t="s">
        <v>23152</v>
      </c>
      <c r="F6991" t="s">
        <v>7672</v>
      </c>
      <c r="G6991" t="s">
        <v>23153</v>
      </c>
      <c r="H6991" t="s">
        <v>7974</v>
      </c>
      <c r="I6991" t="s">
        <v>76</v>
      </c>
      <c r="J6991" t="s">
        <v>7981</v>
      </c>
    </row>
    <row r="6992" spans="1:10" x14ac:dyDescent="0.25">
      <c r="A6992" t="s">
        <v>23156</v>
      </c>
      <c r="B6992">
        <v>7.2</v>
      </c>
      <c r="C6992" t="s">
        <v>23157</v>
      </c>
      <c r="D6992" t="s">
        <v>6843</v>
      </c>
      <c r="E6992" t="s">
        <v>23152</v>
      </c>
      <c r="F6992" t="s">
        <v>7672</v>
      </c>
      <c r="G6992" t="s">
        <v>23153</v>
      </c>
      <c r="H6992" t="s">
        <v>7974</v>
      </c>
      <c r="I6992" t="s">
        <v>76</v>
      </c>
      <c r="J6992" t="s">
        <v>7984</v>
      </c>
    </row>
    <row r="6993" spans="1:10" x14ac:dyDescent="0.25">
      <c r="A6993" t="s">
        <v>23158</v>
      </c>
      <c r="B6993">
        <v>7.2</v>
      </c>
      <c r="C6993" t="s">
        <v>23159</v>
      </c>
      <c r="D6993" t="s">
        <v>1932</v>
      </c>
      <c r="E6993" t="s">
        <v>23152</v>
      </c>
      <c r="F6993" t="s">
        <v>7672</v>
      </c>
      <c r="G6993" t="s">
        <v>23153</v>
      </c>
      <c r="H6993" t="s">
        <v>7974</v>
      </c>
      <c r="I6993" t="s">
        <v>76</v>
      </c>
      <c r="J6993" t="s">
        <v>7987</v>
      </c>
    </row>
    <row r="6994" spans="1:10" x14ac:dyDescent="0.25">
      <c r="A6994" t="s">
        <v>23160</v>
      </c>
      <c r="B6994">
        <v>7.2</v>
      </c>
      <c r="C6994" t="s">
        <v>23161</v>
      </c>
      <c r="D6994" t="s">
        <v>12784</v>
      </c>
      <c r="E6994" t="s">
        <v>23152</v>
      </c>
      <c r="F6994" t="s">
        <v>7672</v>
      </c>
      <c r="G6994" t="s">
        <v>23153</v>
      </c>
      <c r="H6994" t="s">
        <v>7974</v>
      </c>
      <c r="I6994" t="s">
        <v>76</v>
      </c>
      <c r="J6994" t="s">
        <v>8001</v>
      </c>
    </row>
    <row r="6995" spans="1:10" x14ac:dyDescent="0.25">
      <c r="A6995" t="s">
        <v>23162</v>
      </c>
      <c r="B6995">
        <v>7.2</v>
      </c>
      <c r="C6995" t="s">
        <v>23163</v>
      </c>
      <c r="D6995" t="s">
        <v>8759</v>
      </c>
      <c r="E6995" t="s">
        <v>23152</v>
      </c>
      <c r="F6995" t="s">
        <v>7672</v>
      </c>
      <c r="G6995" t="s">
        <v>23153</v>
      </c>
      <c r="H6995" t="s">
        <v>7974</v>
      </c>
      <c r="I6995" t="s">
        <v>76</v>
      </c>
      <c r="J6995" t="s">
        <v>8013</v>
      </c>
    </row>
    <row r="6996" spans="1:10" x14ac:dyDescent="0.25">
      <c r="A6996" t="s">
        <v>23164</v>
      </c>
      <c r="B6996">
        <v>9.1760000000000002</v>
      </c>
      <c r="C6996" t="s">
        <v>23165</v>
      </c>
      <c r="D6996" t="s">
        <v>95</v>
      </c>
      <c r="E6996" t="s">
        <v>23166</v>
      </c>
      <c r="F6996" t="s">
        <v>7672</v>
      </c>
      <c r="G6996" t="s">
        <v>23167</v>
      </c>
      <c r="H6996" t="s">
        <v>16745</v>
      </c>
      <c r="I6996" t="s">
        <v>278</v>
      </c>
      <c r="J6996" t="s">
        <v>8427</v>
      </c>
    </row>
    <row r="6997" spans="1:10" x14ac:dyDescent="0.25">
      <c r="A6997" t="s">
        <v>23168</v>
      </c>
      <c r="B6997">
        <v>9.1760000000000002</v>
      </c>
      <c r="C6997" t="s">
        <v>23169</v>
      </c>
      <c r="D6997" t="s">
        <v>53</v>
      </c>
      <c r="E6997" t="s">
        <v>23166</v>
      </c>
      <c r="F6997" t="s">
        <v>7672</v>
      </c>
      <c r="G6997" t="s">
        <v>23167</v>
      </c>
      <c r="H6997" t="s">
        <v>16745</v>
      </c>
      <c r="I6997" t="s">
        <v>1243</v>
      </c>
      <c r="J6997" t="s">
        <v>8439</v>
      </c>
    </row>
    <row r="6998" spans="1:10" x14ac:dyDescent="0.25">
      <c r="A6998" t="s">
        <v>23170</v>
      </c>
      <c r="B6998">
        <v>9.1760000000000002</v>
      </c>
      <c r="C6998" t="s">
        <v>23171</v>
      </c>
      <c r="D6998" t="s">
        <v>286</v>
      </c>
      <c r="E6998" t="s">
        <v>23166</v>
      </c>
      <c r="F6998" t="s">
        <v>7672</v>
      </c>
      <c r="G6998" t="s">
        <v>23167</v>
      </c>
      <c r="H6998" t="s">
        <v>16745</v>
      </c>
      <c r="I6998" t="s">
        <v>278</v>
      </c>
      <c r="J6998" t="s">
        <v>8439</v>
      </c>
    </row>
    <row r="6999" spans="1:10" x14ac:dyDescent="0.25">
      <c r="A6999" t="s">
        <v>23172</v>
      </c>
      <c r="B6999">
        <v>9.1760000000000002</v>
      </c>
      <c r="C6999" t="s">
        <v>23173</v>
      </c>
      <c r="D6999" t="s">
        <v>269</v>
      </c>
      <c r="E6999" t="s">
        <v>23166</v>
      </c>
      <c r="F6999" t="s">
        <v>7672</v>
      </c>
      <c r="G6999" t="s">
        <v>23167</v>
      </c>
      <c r="H6999" t="s">
        <v>16745</v>
      </c>
      <c r="I6999" t="s">
        <v>76</v>
      </c>
      <c r="J6999" t="s">
        <v>8451</v>
      </c>
    </row>
    <row r="7000" spans="1:10" x14ac:dyDescent="0.25">
      <c r="A7000" t="s">
        <v>23174</v>
      </c>
      <c r="B7000">
        <v>9.1760000000000002</v>
      </c>
      <c r="C7000" t="s">
        <v>23175</v>
      </c>
      <c r="D7000" t="s">
        <v>959</v>
      </c>
      <c r="E7000" t="s">
        <v>23166</v>
      </c>
      <c r="F7000" t="s">
        <v>7672</v>
      </c>
      <c r="G7000" t="s">
        <v>23167</v>
      </c>
      <c r="H7000" t="s">
        <v>16745</v>
      </c>
      <c r="I7000" t="s">
        <v>278</v>
      </c>
      <c r="J7000" t="s">
        <v>8451</v>
      </c>
    </row>
    <row r="7001" spans="1:10" x14ac:dyDescent="0.25">
      <c r="A7001" t="s">
        <v>23176</v>
      </c>
      <c r="B7001">
        <v>6.2960000000000003</v>
      </c>
      <c r="C7001" t="s">
        <v>23177</v>
      </c>
      <c r="D7001" t="s">
        <v>240</v>
      </c>
      <c r="E7001" t="s">
        <v>23178</v>
      </c>
      <c r="F7001" t="s">
        <v>7672</v>
      </c>
      <c r="G7001" t="s">
        <v>23179</v>
      </c>
      <c r="H7001" t="s">
        <v>14647</v>
      </c>
      <c r="I7001" t="s">
        <v>19162</v>
      </c>
      <c r="J7001" t="s">
        <v>7984</v>
      </c>
    </row>
    <row r="7002" spans="1:10" x14ac:dyDescent="0.25">
      <c r="A7002" t="s">
        <v>23180</v>
      </c>
      <c r="B7002">
        <v>6.2960000000000003</v>
      </c>
      <c r="C7002" t="s">
        <v>23181</v>
      </c>
      <c r="D7002" t="s">
        <v>131</v>
      </c>
      <c r="E7002" t="s">
        <v>23178</v>
      </c>
      <c r="F7002" t="s">
        <v>7672</v>
      </c>
      <c r="G7002" t="s">
        <v>23179</v>
      </c>
      <c r="H7002" t="s">
        <v>14647</v>
      </c>
      <c r="I7002" t="s">
        <v>19162</v>
      </c>
      <c r="J7002" t="s">
        <v>7987</v>
      </c>
    </row>
    <row r="7003" spans="1:10" x14ac:dyDescent="0.25">
      <c r="A7003" t="s">
        <v>23182</v>
      </c>
      <c r="B7003">
        <v>6.2960000000000003</v>
      </c>
      <c r="C7003" t="s">
        <v>23183</v>
      </c>
      <c r="D7003" t="s">
        <v>2910</v>
      </c>
      <c r="E7003" t="s">
        <v>23178</v>
      </c>
      <c r="F7003" t="s">
        <v>7672</v>
      </c>
      <c r="G7003" t="s">
        <v>23179</v>
      </c>
      <c r="H7003" t="s">
        <v>14647</v>
      </c>
      <c r="I7003" t="s">
        <v>19162</v>
      </c>
      <c r="J7003" t="s">
        <v>8001</v>
      </c>
    </row>
    <row r="7004" spans="1:10" x14ac:dyDescent="0.25">
      <c r="A7004" t="s">
        <v>23184</v>
      </c>
      <c r="B7004">
        <v>8.8000000000000007</v>
      </c>
      <c r="C7004" t="s">
        <v>23185</v>
      </c>
      <c r="D7004" t="s">
        <v>106</v>
      </c>
      <c r="E7004" t="s">
        <v>23186</v>
      </c>
      <c r="F7004" t="s">
        <v>7672</v>
      </c>
      <c r="G7004" t="s">
        <v>23187</v>
      </c>
      <c r="H7004" t="s">
        <v>11496</v>
      </c>
      <c r="I7004" t="s">
        <v>76</v>
      </c>
      <c r="J7004" t="s">
        <v>100</v>
      </c>
    </row>
    <row r="7005" spans="1:10" x14ac:dyDescent="0.25">
      <c r="A7005" t="s">
        <v>23188</v>
      </c>
      <c r="B7005">
        <v>8.8000000000000007</v>
      </c>
      <c r="C7005" t="s">
        <v>23189</v>
      </c>
      <c r="D7005" t="s">
        <v>698</v>
      </c>
      <c r="E7005" t="s">
        <v>23186</v>
      </c>
      <c r="F7005" t="s">
        <v>7672</v>
      </c>
      <c r="G7005" t="s">
        <v>23187</v>
      </c>
      <c r="H7005" t="s">
        <v>11496</v>
      </c>
      <c r="I7005" t="s">
        <v>76</v>
      </c>
      <c r="J7005" t="s">
        <v>106</v>
      </c>
    </row>
    <row r="7006" spans="1:10" x14ac:dyDescent="0.25">
      <c r="A7006" t="s">
        <v>23190</v>
      </c>
      <c r="B7006">
        <v>8.8000000000000007</v>
      </c>
      <c r="C7006" t="s">
        <v>23191</v>
      </c>
      <c r="D7006" t="s">
        <v>199</v>
      </c>
      <c r="E7006" t="s">
        <v>23186</v>
      </c>
      <c r="F7006" t="s">
        <v>7672</v>
      </c>
      <c r="G7006" t="s">
        <v>23187</v>
      </c>
      <c r="H7006" t="s">
        <v>11496</v>
      </c>
      <c r="I7006" t="s">
        <v>76</v>
      </c>
      <c r="J7006" t="s">
        <v>131</v>
      </c>
    </row>
    <row r="7007" spans="1:10" x14ac:dyDescent="0.25">
      <c r="A7007" t="s">
        <v>23192</v>
      </c>
      <c r="B7007">
        <v>8.8000000000000007</v>
      </c>
      <c r="C7007" t="s">
        <v>23193</v>
      </c>
      <c r="D7007" t="s">
        <v>598</v>
      </c>
      <c r="E7007" t="s">
        <v>23186</v>
      </c>
      <c r="F7007" t="s">
        <v>7672</v>
      </c>
      <c r="G7007" t="s">
        <v>23187</v>
      </c>
      <c r="H7007" t="s">
        <v>11496</v>
      </c>
      <c r="I7007" t="s">
        <v>76</v>
      </c>
      <c r="J7007" t="s">
        <v>8789</v>
      </c>
    </row>
    <row r="7008" spans="1:10" x14ac:dyDescent="0.25">
      <c r="A7008" t="s">
        <v>23194</v>
      </c>
      <c r="B7008">
        <v>8.8000000000000007</v>
      </c>
      <c r="C7008" t="s">
        <v>23195</v>
      </c>
      <c r="D7008" t="s">
        <v>959</v>
      </c>
      <c r="E7008" t="s">
        <v>23186</v>
      </c>
      <c r="F7008" t="s">
        <v>7672</v>
      </c>
      <c r="G7008" t="s">
        <v>23187</v>
      </c>
      <c r="H7008" t="s">
        <v>11496</v>
      </c>
      <c r="I7008" t="s">
        <v>76</v>
      </c>
      <c r="J7008" t="s">
        <v>255</v>
      </c>
    </row>
    <row r="7009" spans="1:10" x14ac:dyDescent="0.25">
      <c r="A7009" t="s">
        <v>23196</v>
      </c>
      <c r="B7009">
        <v>8.8000000000000007</v>
      </c>
      <c r="C7009" t="s">
        <v>23197</v>
      </c>
      <c r="D7009" t="s">
        <v>269</v>
      </c>
      <c r="E7009" t="s">
        <v>23186</v>
      </c>
      <c r="F7009" t="s">
        <v>7672</v>
      </c>
      <c r="G7009" t="s">
        <v>23187</v>
      </c>
      <c r="H7009" t="s">
        <v>11496</v>
      </c>
      <c r="I7009" t="s">
        <v>76</v>
      </c>
      <c r="J7009" t="s">
        <v>277</v>
      </c>
    </row>
    <row r="7010" spans="1:10" x14ac:dyDescent="0.25">
      <c r="A7010" t="s">
        <v>23198</v>
      </c>
      <c r="B7010">
        <v>15.6</v>
      </c>
      <c r="C7010" t="s">
        <v>23199</v>
      </c>
      <c r="D7010" t="s">
        <v>8262</v>
      </c>
      <c r="E7010" t="s">
        <v>23200</v>
      </c>
      <c r="F7010" t="s">
        <v>7672</v>
      </c>
      <c r="G7010" t="s">
        <v>23201</v>
      </c>
      <c r="H7010" t="s">
        <v>12232</v>
      </c>
      <c r="I7010" t="s">
        <v>23202</v>
      </c>
      <c r="J7010" t="s">
        <v>8451</v>
      </c>
    </row>
    <row r="7011" spans="1:10" x14ac:dyDescent="0.25">
      <c r="A7011" t="s">
        <v>23203</v>
      </c>
      <c r="B7011">
        <v>10.4</v>
      </c>
      <c r="C7011" t="s">
        <v>23204</v>
      </c>
      <c r="D7011" t="s">
        <v>5105</v>
      </c>
      <c r="E7011" t="s">
        <v>23205</v>
      </c>
      <c r="F7011" t="s">
        <v>7672</v>
      </c>
      <c r="G7011" t="s">
        <v>23206</v>
      </c>
      <c r="H7011" t="s">
        <v>15122</v>
      </c>
      <c r="I7011" t="s">
        <v>7570</v>
      </c>
      <c r="J7011" t="s">
        <v>10369</v>
      </c>
    </row>
    <row r="7012" spans="1:10" x14ac:dyDescent="0.25">
      <c r="A7012" t="s">
        <v>23207</v>
      </c>
      <c r="B7012">
        <v>10.4</v>
      </c>
      <c r="C7012" t="s">
        <v>23208</v>
      </c>
      <c r="D7012" t="s">
        <v>4924</v>
      </c>
      <c r="E7012" t="s">
        <v>23205</v>
      </c>
      <c r="F7012" t="s">
        <v>7672</v>
      </c>
      <c r="G7012" t="s">
        <v>23206</v>
      </c>
      <c r="H7012" t="s">
        <v>15122</v>
      </c>
      <c r="I7012" t="s">
        <v>7570</v>
      </c>
      <c r="J7012" t="s">
        <v>11590</v>
      </c>
    </row>
    <row r="7013" spans="1:10" x14ac:dyDescent="0.25">
      <c r="A7013" t="s">
        <v>23209</v>
      </c>
      <c r="B7013">
        <v>10.4</v>
      </c>
      <c r="C7013" t="s">
        <v>23210</v>
      </c>
      <c r="D7013" t="s">
        <v>396</v>
      </c>
      <c r="E7013" t="s">
        <v>23205</v>
      </c>
      <c r="F7013" t="s">
        <v>7672</v>
      </c>
      <c r="G7013" t="s">
        <v>23206</v>
      </c>
      <c r="H7013" t="s">
        <v>15122</v>
      </c>
      <c r="I7013" t="s">
        <v>7570</v>
      </c>
      <c r="J7013" t="s">
        <v>11593</v>
      </c>
    </row>
    <row r="7014" spans="1:10" x14ac:dyDescent="0.25">
      <c r="A7014" t="s">
        <v>23211</v>
      </c>
      <c r="B7014">
        <v>10.8</v>
      </c>
      <c r="C7014" t="s">
        <v>23212</v>
      </c>
      <c r="D7014" t="s">
        <v>229</v>
      </c>
      <c r="E7014" t="s">
        <v>23213</v>
      </c>
      <c r="F7014" t="s">
        <v>7672</v>
      </c>
      <c r="G7014" t="s">
        <v>23214</v>
      </c>
      <c r="H7014" t="s">
        <v>22819</v>
      </c>
      <c r="I7014" t="s">
        <v>76</v>
      </c>
      <c r="J7014" t="s">
        <v>7981</v>
      </c>
    </row>
    <row r="7015" spans="1:10" x14ac:dyDescent="0.25">
      <c r="A7015" t="s">
        <v>23215</v>
      </c>
      <c r="B7015">
        <v>9.7920000000000016</v>
      </c>
      <c r="C7015" t="s">
        <v>23216</v>
      </c>
      <c r="D7015" t="s">
        <v>164</v>
      </c>
      <c r="E7015" t="s">
        <v>23217</v>
      </c>
      <c r="F7015" t="s">
        <v>7672</v>
      </c>
      <c r="G7015" t="s">
        <v>23218</v>
      </c>
      <c r="H7015" t="s">
        <v>9127</v>
      </c>
      <c r="I7015" t="s">
        <v>23219</v>
      </c>
      <c r="J7015" t="s">
        <v>8439</v>
      </c>
    </row>
    <row r="7016" spans="1:10" x14ac:dyDescent="0.25">
      <c r="A7016" t="s">
        <v>23220</v>
      </c>
      <c r="B7016">
        <v>9.7920000000000016</v>
      </c>
      <c r="C7016" t="s">
        <v>23221</v>
      </c>
      <c r="D7016" t="s">
        <v>95</v>
      </c>
      <c r="E7016" t="s">
        <v>23217</v>
      </c>
      <c r="F7016" t="s">
        <v>7672</v>
      </c>
      <c r="G7016" t="s">
        <v>23218</v>
      </c>
      <c r="H7016" t="s">
        <v>9127</v>
      </c>
      <c r="I7016" t="s">
        <v>23219</v>
      </c>
      <c r="J7016" t="s">
        <v>8451</v>
      </c>
    </row>
    <row r="7017" spans="1:10" x14ac:dyDescent="0.25">
      <c r="A7017" t="s">
        <v>23222</v>
      </c>
      <c r="B7017">
        <v>9.7920000000000016</v>
      </c>
      <c r="C7017" t="s">
        <v>23223</v>
      </c>
      <c r="D7017" t="s">
        <v>282</v>
      </c>
      <c r="E7017" t="s">
        <v>23217</v>
      </c>
      <c r="F7017" t="s">
        <v>7672</v>
      </c>
      <c r="G7017" t="s">
        <v>23218</v>
      </c>
      <c r="H7017" t="s">
        <v>9127</v>
      </c>
      <c r="I7017" t="s">
        <v>23219</v>
      </c>
      <c r="J7017" t="s">
        <v>8462</v>
      </c>
    </row>
    <row r="7018" spans="1:10" x14ac:dyDescent="0.25">
      <c r="A7018" t="s">
        <v>23224</v>
      </c>
      <c r="B7018">
        <v>3.6</v>
      </c>
      <c r="C7018" t="s">
        <v>23225</v>
      </c>
      <c r="D7018" t="s">
        <v>3076</v>
      </c>
      <c r="E7018" t="s">
        <v>23226</v>
      </c>
      <c r="F7018" t="s">
        <v>7672</v>
      </c>
      <c r="G7018" t="s">
        <v>23227</v>
      </c>
      <c r="H7018" t="s">
        <v>7674</v>
      </c>
      <c r="I7018" t="s">
        <v>15568</v>
      </c>
      <c r="J7018" t="s">
        <v>15981</v>
      </c>
    </row>
    <row r="7019" spans="1:10" x14ac:dyDescent="0.25">
      <c r="A7019" t="s">
        <v>23228</v>
      </c>
      <c r="B7019">
        <v>3.6</v>
      </c>
      <c r="C7019" t="s">
        <v>23229</v>
      </c>
      <c r="D7019" t="s">
        <v>9648</v>
      </c>
      <c r="E7019" t="s">
        <v>23226</v>
      </c>
      <c r="F7019" t="s">
        <v>7672</v>
      </c>
      <c r="G7019" t="s">
        <v>23227</v>
      </c>
      <c r="H7019" t="s">
        <v>7674</v>
      </c>
      <c r="I7019" t="s">
        <v>23230</v>
      </c>
      <c r="J7019" t="s">
        <v>15981</v>
      </c>
    </row>
    <row r="7020" spans="1:10" x14ac:dyDescent="0.25">
      <c r="A7020" t="s">
        <v>23231</v>
      </c>
      <c r="B7020">
        <v>3.6</v>
      </c>
      <c r="C7020" t="s">
        <v>23232</v>
      </c>
      <c r="D7020" t="s">
        <v>10003</v>
      </c>
      <c r="E7020" t="s">
        <v>23226</v>
      </c>
      <c r="F7020" t="s">
        <v>7672</v>
      </c>
      <c r="G7020" t="s">
        <v>23227</v>
      </c>
      <c r="H7020" t="s">
        <v>7674</v>
      </c>
      <c r="I7020" t="s">
        <v>12325</v>
      </c>
      <c r="J7020" t="s">
        <v>15981</v>
      </c>
    </row>
    <row r="7021" spans="1:10" x14ac:dyDescent="0.25">
      <c r="A7021" t="s">
        <v>23233</v>
      </c>
      <c r="B7021">
        <v>8.8000000000000007</v>
      </c>
      <c r="C7021" t="s">
        <v>23234</v>
      </c>
      <c r="D7021" t="s">
        <v>342</v>
      </c>
      <c r="E7021" t="s">
        <v>23235</v>
      </c>
      <c r="F7021" t="s">
        <v>7672</v>
      </c>
      <c r="G7021" t="s">
        <v>23236</v>
      </c>
      <c r="H7021" t="s">
        <v>7974</v>
      </c>
      <c r="I7021" t="s">
        <v>12153</v>
      </c>
      <c r="J7021" t="s">
        <v>9237</v>
      </c>
    </row>
    <row r="7022" spans="1:10" x14ac:dyDescent="0.25">
      <c r="A7022" t="s">
        <v>23237</v>
      </c>
      <c r="B7022">
        <v>8.8000000000000007</v>
      </c>
      <c r="C7022" t="s">
        <v>23238</v>
      </c>
      <c r="D7022" t="s">
        <v>352</v>
      </c>
      <c r="E7022" t="s">
        <v>23235</v>
      </c>
      <c r="F7022" t="s">
        <v>7672</v>
      </c>
      <c r="G7022" t="s">
        <v>23236</v>
      </c>
      <c r="H7022" t="s">
        <v>7974</v>
      </c>
      <c r="I7022" t="s">
        <v>12160</v>
      </c>
      <c r="J7022" t="s">
        <v>9237</v>
      </c>
    </row>
    <row r="7023" spans="1:10" x14ac:dyDescent="0.25">
      <c r="A7023" t="s">
        <v>23239</v>
      </c>
      <c r="B7023">
        <v>8.8000000000000007</v>
      </c>
      <c r="C7023" t="s">
        <v>23240</v>
      </c>
      <c r="D7023" t="s">
        <v>342</v>
      </c>
      <c r="E7023" t="s">
        <v>23235</v>
      </c>
      <c r="F7023" t="s">
        <v>7672</v>
      </c>
      <c r="G7023" t="s">
        <v>23236</v>
      </c>
      <c r="H7023" t="s">
        <v>7974</v>
      </c>
      <c r="I7023" t="s">
        <v>12150</v>
      </c>
      <c r="J7023" t="s">
        <v>9237</v>
      </c>
    </row>
    <row r="7024" spans="1:10" x14ac:dyDescent="0.25">
      <c r="A7024" t="s">
        <v>23241</v>
      </c>
      <c r="B7024">
        <v>8.8000000000000007</v>
      </c>
      <c r="C7024" t="s">
        <v>23242</v>
      </c>
      <c r="D7024" t="s">
        <v>8786</v>
      </c>
      <c r="E7024" t="s">
        <v>23235</v>
      </c>
      <c r="F7024" t="s">
        <v>7672</v>
      </c>
      <c r="G7024" t="s">
        <v>23236</v>
      </c>
      <c r="H7024" t="s">
        <v>7974</v>
      </c>
      <c r="I7024" t="s">
        <v>12150</v>
      </c>
      <c r="J7024" t="s">
        <v>8427</v>
      </c>
    </row>
    <row r="7025" spans="1:10" x14ac:dyDescent="0.25">
      <c r="A7025" t="s">
        <v>23243</v>
      </c>
      <c r="B7025">
        <v>8.8000000000000007</v>
      </c>
      <c r="C7025" t="s">
        <v>23244</v>
      </c>
      <c r="D7025" t="s">
        <v>359</v>
      </c>
      <c r="E7025" t="s">
        <v>23235</v>
      </c>
      <c r="F7025" t="s">
        <v>7672</v>
      </c>
      <c r="G7025" t="s">
        <v>23236</v>
      </c>
      <c r="H7025" t="s">
        <v>7974</v>
      </c>
      <c r="I7025" t="s">
        <v>23245</v>
      </c>
      <c r="J7025" t="s">
        <v>8427</v>
      </c>
    </row>
    <row r="7026" spans="1:10" x14ac:dyDescent="0.25">
      <c r="A7026" t="s">
        <v>23246</v>
      </c>
      <c r="B7026">
        <v>8.8000000000000007</v>
      </c>
      <c r="C7026" t="s">
        <v>23247</v>
      </c>
      <c r="D7026" t="s">
        <v>3470</v>
      </c>
      <c r="E7026" t="s">
        <v>23235</v>
      </c>
      <c r="F7026" t="s">
        <v>7672</v>
      </c>
      <c r="G7026" t="s">
        <v>23236</v>
      </c>
      <c r="H7026" t="s">
        <v>7974</v>
      </c>
      <c r="I7026" t="s">
        <v>12153</v>
      </c>
      <c r="J7026" t="s">
        <v>8427</v>
      </c>
    </row>
    <row r="7027" spans="1:10" x14ac:dyDescent="0.25">
      <c r="A7027" t="s">
        <v>23248</v>
      </c>
      <c r="B7027">
        <v>8.8000000000000007</v>
      </c>
      <c r="C7027" t="s">
        <v>23249</v>
      </c>
      <c r="D7027" t="s">
        <v>5565</v>
      </c>
      <c r="E7027" t="s">
        <v>23235</v>
      </c>
      <c r="F7027" t="s">
        <v>7672</v>
      </c>
      <c r="G7027" t="s">
        <v>23236</v>
      </c>
      <c r="H7027" t="s">
        <v>7974</v>
      </c>
      <c r="I7027" t="s">
        <v>12160</v>
      </c>
      <c r="J7027" t="s">
        <v>8427</v>
      </c>
    </row>
    <row r="7028" spans="1:10" x14ac:dyDescent="0.25">
      <c r="A7028" t="s">
        <v>23250</v>
      </c>
      <c r="B7028">
        <v>8.8000000000000007</v>
      </c>
      <c r="C7028" t="s">
        <v>23251</v>
      </c>
      <c r="D7028" t="s">
        <v>2850</v>
      </c>
      <c r="E7028" t="s">
        <v>23235</v>
      </c>
      <c r="F7028" t="s">
        <v>7672</v>
      </c>
      <c r="G7028" t="s">
        <v>23236</v>
      </c>
      <c r="H7028" t="s">
        <v>7974</v>
      </c>
      <c r="I7028" t="s">
        <v>12150</v>
      </c>
      <c r="J7028" t="s">
        <v>8439</v>
      </c>
    </row>
    <row r="7029" spans="1:10" x14ac:dyDescent="0.25">
      <c r="A7029" t="s">
        <v>23252</v>
      </c>
      <c r="B7029">
        <v>8.8000000000000007</v>
      </c>
      <c r="C7029" t="s">
        <v>23253</v>
      </c>
      <c r="D7029" t="s">
        <v>2762</v>
      </c>
      <c r="E7029" t="s">
        <v>23235</v>
      </c>
      <c r="F7029" t="s">
        <v>7672</v>
      </c>
      <c r="G7029" t="s">
        <v>23236</v>
      </c>
      <c r="H7029" t="s">
        <v>7974</v>
      </c>
      <c r="I7029" t="s">
        <v>23245</v>
      </c>
      <c r="J7029" t="s">
        <v>8439</v>
      </c>
    </row>
    <row r="7030" spans="1:10" x14ac:dyDescent="0.25">
      <c r="A7030" t="s">
        <v>23254</v>
      </c>
      <c r="B7030">
        <v>8.8000000000000007</v>
      </c>
      <c r="C7030" t="s">
        <v>23255</v>
      </c>
      <c r="D7030" t="s">
        <v>20126</v>
      </c>
      <c r="E7030" t="s">
        <v>23235</v>
      </c>
      <c r="F7030" t="s">
        <v>7672</v>
      </c>
      <c r="G7030" t="s">
        <v>23236</v>
      </c>
      <c r="H7030" t="s">
        <v>7974</v>
      </c>
      <c r="I7030" t="s">
        <v>12153</v>
      </c>
      <c r="J7030" t="s">
        <v>8439</v>
      </c>
    </row>
    <row r="7031" spans="1:10" x14ac:dyDescent="0.25">
      <c r="A7031" t="s">
        <v>23256</v>
      </c>
      <c r="B7031">
        <v>8.8000000000000007</v>
      </c>
      <c r="C7031" t="s">
        <v>23257</v>
      </c>
      <c r="D7031" t="s">
        <v>6877</v>
      </c>
      <c r="E7031" t="s">
        <v>23235</v>
      </c>
      <c r="F7031" t="s">
        <v>7672</v>
      </c>
      <c r="G7031" t="s">
        <v>23236</v>
      </c>
      <c r="H7031" t="s">
        <v>7974</v>
      </c>
      <c r="I7031" t="s">
        <v>12160</v>
      </c>
      <c r="J7031" t="s">
        <v>8439</v>
      </c>
    </row>
    <row r="7032" spans="1:10" x14ac:dyDescent="0.25">
      <c r="A7032" t="s">
        <v>23258</v>
      </c>
      <c r="B7032">
        <v>8.8000000000000007</v>
      </c>
      <c r="C7032" t="s">
        <v>23259</v>
      </c>
      <c r="D7032" t="s">
        <v>18645</v>
      </c>
      <c r="E7032" t="s">
        <v>23235</v>
      </c>
      <c r="F7032" t="s">
        <v>7672</v>
      </c>
      <c r="G7032" t="s">
        <v>23236</v>
      </c>
      <c r="H7032" t="s">
        <v>7974</v>
      </c>
      <c r="I7032" t="s">
        <v>12160</v>
      </c>
      <c r="J7032" t="s">
        <v>8451</v>
      </c>
    </row>
    <row r="7033" spans="1:10" x14ac:dyDescent="0.25">
      <c r="A7033" t="s">
        <v>23260</v>
      </c>
      <c r="B7033">
        <v>8.8000000000000007</v>
      </c>
      <c r="C7033" t="s">
        <v>23261</v>
      </c>
      <c r="D7033" t="s">
        <v>13198</v>
      </c>
      <c r="E7033" t="s">
        <v>23235</v>
      </c>
      <c r="F7033" t="s">
        <v>7672</v>
      </c>
      <c r="G7033" t="s">
        <v>23236</v>
      </c>
      <c r="H7033" t="s">
        <v>7974</v>
      </c>
      <c r="I7033" t="s">
        <v>12150</v>
      </c>
      <c r="J7033" t="s">
        <v>8451</v>
      </c>
    </row>
    <row r="7034" spans="1:10" x14ac:dyDescent="0.25">
      <c r="A7034" t="s">
        <v>23262</v>
      </c>
      <c r="B7034">
        <v>8.8000000000000007</v>
      </c>
      <c r="C7034" t="s">
        <v>23263</v>
      </c>
      <c r="D7034" t="s">
        <v>626</v>
      </c>
      <c r="E7034" t="s">
        <v>23235</v>
      </c>
      <c r="F7034" t="s">
        <v>7672</v>
      </c>
      <c r="G7034" t="s">
        <v>23236</v>
      </c>
      <c r="H7034" t="s">
        <v>7974</v>
      </c>
      <c r="I7034" t="s">
        <v>23245</v>
      </c>
      <c r="J7034" t="s">
        <v>8451</v>
      </c>
    </row>
    <row r="7035" spans="1:10" x14ac:dyDescent="0.25">
      <c r="A7035" t="s">
        <v>23264</v>
      </c>
      <c r="B7035">
        <v>8.8000000000000007</v>
      </c>
      <c r="C7035" t="s">
        <v>23265</v>
      </c>
      <c r="D7035" t="s">
        <v>6428</v>
      </c>
      <c r="E7035" t="s">
        <v>23235</v>
      </c>
      <c r="F7035" t="s">
        <v>7672</v>
      </c>
      <c r="G7035" t="s">
        <v>23236</v>
      </c>
      <c r="H7035" t="s">
        <v>7974</v>
      </c>
      <c r="I7035" t="s">
        <v>12153</v>
      </c>
      <c r="J7035" t="s">
        <v>8451</v>
      </c>
    </row>
    <row r="7036" spans="1:10" x14ac:dyDescent="0.25">
      <c r="A7036" t="s">
        <v>23266</v>
      </c>
      <c r="B7036">
        <v>8.8000000000000007</v>
      </c>
      <c r="C7036" t="s">
        <v>23267</v>
      </c>
      <c r="D7036" t="s">
        <v>725</v>
      </c>
      <c r="E7036" t="s">
        <v>23235</v>
      </c>
      <c r="F7036" t="s">
        <v>7672</v>
      </c>
      <c r="G7036" t="s">
        <v>23236</v>
      </c>
      <c r="H7036" t="s">
        <v>7974</v>
      </c>
      <c r="I7036" t="s">
        <v>12153</v>
      </c>
      <c r="J7036" t="s">
        <v>8462</v>
      </c>
    </row>
    <row r="7037" spans="1:10" x14ac:dyDescent="0.25">
      <c r="A7037" t="s">
        <v>23268</v>
      </c>
      <c r="B7037">
        <v>8.8000000000000007</v>
      </c>
      <c r="C7037" t="s">
        <v>23269</v>
      </c>
      <c r="D7037" t="s">
        <v>2078</v>
      </c>
      <c r="E7037" t="s">
        <v>23235</v>
      </c>
      <c r="F7037" t="s">
        <v>7672</v>
      </c>
      <c r="G7037" t="s">
        <v>23236</v>
      </c>
      <c r="H7037" t="s">
        <v>7974</v>
      </c>
      <c r="I7037" t="s">
        <v>12160</v>
      </c>
      <c r="J7037" t="s">
        <v>8462</v>
      </c>
    </row>
    <row r="7038" spans="1:10" x14ac:dyDescent="0.25">
      <c r="A7038" t="s">
        <v>23270</v>
      </c>
      <c r="B7038">
        <v>8.8000000000000007</v>
      </c>
      <c r="C7038" t="s">
        <v>23271</v>
      </c>
      <c r="D7038" t="s">
        <v>296</v>
      </c>
      <c r="E7038" t="s">
        <v>23235</v>
      </c>
      <c r="F7038" t="s">
        <v>7672</v>
      </c>
      <c r="G7038" t="s">
        <v>23236</v>
      </c>
      <c r="H7038" t="s">
        <v>7974</v>
      </c>
      <c r="I7038" t="s">
        <v>12150</v>
      </c>
      <c r="J7038" t="s">
        <v>8462</v>
      </c>
    </row>
    <row r="7039" spans="1:10" x14ac:dyDescent="0.25">
      <c r="A7039" t="s">
        <v>23272</v>
      </c>
      <c r="B7039">
        <v>8.8000000000000007</v>
      </c>
      <c r="C7039" t="s">
        <v>23273</v>
      </c>
      <c r="D7039" t="s">
        <v>301</v>
      </c>
      <c r="E7039" t="s">
        <v>23235</v>
      </c>
      <c r="F7039" t="s">
        <v>7672</v>
      </c>
      <c r="G7039" t="s">
        <v>23236</v>
      </c>
      <c r="H7039" t="s">
        <v>7974</v>
      </c>
      <c r="I7039" t="s">
        <v>23245</v>
      </c>
      <c r="J7039" t="s">
        <v>9998</v>
      </c>
    </row>
    <row r="7040" spans="1:10" x14ac:dyDescent="0.25">
      <c r="A7040" t="s">
        <v>23274</v>
      </c>
      <c r="B7040">
        <v>8.8000000000000007</v>
      </c>
      <c r="C7040" t="s">
        <v>23275</v>
      </c>
      <c r="D7040" t="s">
        <v>2099</v>
      </c>
      <c r="E7040" t="s">
        <v>23235</v>
      </c>
      <c r="F7040" t="s">
        <v>7672</v>
      </c>
      <c r="G7040" t="s">
        <v>23236</v>
      </c>
      <c r="H7040" t="s">
        <v>7974</v>
      </c>
      <c r="I7040" t="s">
        <v>12153</v>
      </c>
      <c r="J7040" t="s">
        <v>9998</v>
      </c>
    </row>
    <row r="7041" spans="1:10" x14ac:dyDescent="0.25">
      <c r="A7041" t="s">
        <v>23276</v>
      </c>
      <c r="B7041">
        <v>8.8000000000000007</v>
      </c>
      <c r="C7041" t="s">
        <v>23277</v>
      </c>
      <c r="D7041" t="s">
        <v>1254</v>
      </c>
      <c r="E7041" t="s">
        <v>23235</v>
      </c>
      <c r="F7041" t="s">
        <v>7672</v>
      </c>
      <c r="G7041" t="s">
        <v>23236</v>
      </c>
      <c r="H7041" t="s">
        <v>7974</v>
      </c>
      <c r="I7041" t="s">
        <v>12160</v>
      </c>
      <c r="J7041" t="s">
        <v>9998</v>
      </c>
    </row>
    <row r="7042" spans="1:10" x14ac:dyDescent="0.25">
      <c r="A7042" t="s">
        <v>23278</v>
      </c>
      <c r="B7042">
        <v>8.8000000000000007</v>
      </c>
      <c r="C7042" t="s">
        <v>23279</v>
      </c>
      <c r="D7042" t="s">
        <v>2022</v>
      </c>
      <c r="E7042" t="s">
        <v>23235</v>
      </c>
      <c r="F7042" t="s">
        <v>7672</v>
      </c>
      <c r="G7042" t="s">
        <v>23236</v>
      </c>
      <c r="H7042" t="s">
        <v>7974</v>
      </c>
      <c r="I7042" t="s">
        <v>12150</v>
      </c>
      <c r="J7042" t="s">
        <v>9998</v>
      </c>
    </row>
    <row r="7043" spans="1:10" x14ac:dyDescent="0.25">
      <c r="A7043" t="s">
        <v>23280</v>
      </c>
      <c r="B7043">
        <v>20.16</v>
      </c>
      <c r="C7043" t="s">
        <v>23281</v>
      </c>
      <c r="D7043" t="s">
        <v>2022</v>
      </c>
      <c r="E7043" t="s">
        <v>23282</v>
      </c>
      <c r="F7043" t="s">
        <v>7672</v>
      </c>
      <c r="G7043" t="s">
        <v>23283</v>
      </c>
      <c r="H7043" t="s">
        <v>8087</v>
      </c>
      <c r="I7043" t="s">
        <v>1357</v>
      </c>
      <c r="J7043" t="s">
        <v>7942</v>
      </c>
    </row>
    <row r="7044" spans="1:10" x14ac:dyDescent="0.25">
      <c r="A7044" t="s">
        <v>23284</v>
      </c>
      <c r="B7044">
        <v>20.16</v>
      </c>
      <c r="C7044" t="s">
        <v>23285</v>
      </c>
      <c r="D7044" t="s">
        <v>2072</v>
      </c>
      <c r="E7044" t="s">
        <v>23282</v>
      </c>
      <c r="F7044" t="s">
        <v>7672</v>
      </c>
      <c r="G7044" t="s">
        <v>23283</v>
      </c>
      <c r="H7044" t="s">
        <v>8087</v>
      </c>
      <c r="I7044" t="s">
        <v>1357</v>
      </c>
      <c r="J7044" t="s">
        <v>7981</v>
      </c>
    </row>
    <row r="7045" spans="1:10" x14ac:dyDescent="0.25">
      <c r="A7045" t="s">
        <v>23286</v>
      </c>
      <c r="B7045">
        <v>20.16</v>
      </c>
      <c r="C7045" t="s">
        <v>23287</v>
      </c>
      <c r="D7045" t="s">
        <v>1644</v>
      </c>
      <c r="E7045" t="s">
        <v>23282</v>
      </c>
      <c r="F7045" t="s">
        <v>7672</v>
      </c>
      <c r="G7045" t="s">
        <v>23283</v>
      </c>
      <c r="H7045" t="s">
        <v>8087</v>
      </c>
      <c r="I7045" t="s">
        <v>1357</v>
      </c>
      <c r="J7045" t="s">
        <v>7984</v>
      </c>
    </row>
    <row r="7046" spans="1:10" x14ac:dyDescent="0.25">
      <c r="A7046" t="s">
        <v>23288</v>
      </c>
      <c r="B7046">
        <v>20.16</v>
      </c>
      <c r="C7046" t="s">
        <v>23289</v>
      </c>
      <c r="D7046" t="s">
        <v>1644</v>
      </c>
      <c r="E7046" t="s">
        <v>23282</v>
      </c>
      <c r="F7046" t="s">
        <v>7672</v>
      </c>
      <c r="G7046" t="s">
        <v>23283</v>
      </c>
      <c r="H7046" t="s">
        <v>8087</v>
      </c>
      <c r="I7046" t="s">
        <v>1357</v>
      </c>
      <c r="J7046" t="s">
        <v>7987</v>
      </c>
    </row>
    <row r="7047" spans="1:10" x14ac:dyDescent="0.25">
      <c r="A7047" t="s">
        <v>23290</v>
      </c>
      <c r="B7047">
        <v>20.16</v>
      </c>
      <c r="C7047" t="s">
        <v>23291</v>
      </c>
      <c r="D7047" t="s">
        <v>2056</v>
      </c>
      <c r="E7047" t="s">
        <v>23282</v>
      </c>
      <c r="F7047" t="s">
        <v>7672</v>
      </c>
      <c r="G7047" t="s">
        <v>23283</v>
      </c>
      <c r="H7047" t="s">
        <v>8087</v>
      </c>
      <c r="I7047" t="s">
        <v>1357</v>
      </c>
      <c r="J7047" t="s">
        <v>8001</v>
      </c>
    </row>
    <row r="7048" spans="1:10" x14ac:dyDescent="0.25">
      <c r="A7048" t="s">
        <v>23292</v>
      </c>
      <c r="B7048">
        <v>6.9920000000000009</v>
      </c>
      <c r="C7048" t="s">
        <v>23293</v>
      </c>
      <c r="D7048" t="s">
        <v>88</v>
      </c>
      <c r="E7048" t="s">
        <v>23294</v>
      </c>
      <c r="F7048" t="s">
        <v>7672</v>
      </c>
      <c r="G7048" t="s">
        <v>23295</v>
      </c>
      <c r="H7048" t="s">
        <v>7974</v>
      </c>
      <c r="I7048" t="s">
        <v>23296</v>
      </c>
      <c r="J7048" t="s">
        <v>7942</v>
      </c>
    </row>
    <row r="7049" spans="1:10" x14ac:dyDescent="0.25">
      <c r="A7049" t="s">
        <v>23297</v>
      </c>
      <c r="B7049">
        <v>16.896000000000001</v>
      </c>
      <c r="C7049" t="s">
        <v>23298</v>
      </c>
      <c r="D7049" t="s">
        <v>588</v>
      </c>
      <c r="E7049" t="s">
        <v>23299</v>
      </c>
      <c r="F7049" t="s">
        <v>7672</v>
      </c>
      <c r="G7049" t="s">
        <v>23300</v>
      </c>
      <c r="H7049" t="s">
        <v>11794</v>
      </c>
      <c r="I7049" t="s">
        <v>23301</v>
      </c>
      <c r="J7049" t="s">
        <v>282</v>
      </c>
    </row>
    <row r="7050" spans="1:10" x14ac:dyDescent="0.25">
      <c r="A7050" t="s">
        <v>23302</v>
      </c>
      <c r="B7050">
        <v>16.896000000000001</v>
      </c>
      <c r="C7050" t="s">
        <v>23303</v>
      </c>
      <c r="D7050" t="s">
        <v>2879</v>
      </c>
      <c r="E7050" t="s">
        <v>23299</v>
      </c>
      <c r="F7050" t="s">
        <v>7672</v>
      </c>
      <c r="G7050" t="s">
        <v>23300</v>
      </c>
      <c r="H7050" t="s">
        <v>11794</v>
      </c>
      <c r="I7050" t="s">
        <v>23301</v>
      </c>
      <c r="J7050" t="s">
        <v>277</v>
      </c>
    </row>
    <row r="7051" spans="1:10" x14ac:dyDescent="0.25">
      <c r="A7051" t="s">
        <v>23304</v>
      </c>
      <c r="B7051">
        <v>16.896000000000001</v>
      </c>
      <c r="C7051" t="s">
        <v>23305</v>
      </c>
      <c r="D7051" t="s">
        <v>245</v>
      </c>
      <c r="E7051" t="s">
        <v>23299</v>
      </c>
      <c r="F7051" t="s">
        <v>7672</v>
      </c>
      <c r="G7051" t="s">
        <v>23300</v>
      </c>
      <c r="H7051" t="s">
        <v>11794</v>
      </c>
      <c r="I7051" t="s">
        <v>23301</v>
      </c>
      <c r="J7051" t="s">
        <v>436</v>
      </c>
    </row>
    <row r="7052" spans="1:10" x14ac:dyDescent="0.25">
      <c r="A7052" t="s">
        <v>23306</v>
      </c>
      <c r="B7052">
        <v>16.896000000000001</v>
      </c>
      <c r="C7052" t="s">
        <v>23307</v>
      </c>
      <c r="D7052" t="s">
        <v>2697</v>
      </c>
      <c r="E7052" t="s">
        <v>23299</v>
      </c>
      <c r="F7052" t="s">
        <v>7672</v>
      </c>
      <c r="G7052" t="s">
        <v>23300</v>
      </c>
      <c r="H7052" t="s">
        <v>11794</v>
      </c>
      <c r="I7052" t="s">
        <v>23301</v>
      </c>
      <c r="J7052" t="s">
        <v>53</v>
      </c>
    </row>
    <row r="7053" spans="1:10" x14ac:dyDescent="0.25">
      <c r="A7053" t="s">
        <v>23308</v>
      </c>
      <c r="B7053">
        <v>9</v>
      </c>
      <c r="C7053" t="s">
        <v>23309</v>
      </c>
      <c r="D7053" t="s">
        <v>301</v>
      </c>
      <c r="E7053" t="s">
        <v>23310</v>
      </c>
      <c r="F7053" t="s">
        <v>7672</v>
      </c>
      <c r="G7053" t="s">
        <v>23311</v>
      </c>
      <c r="H7053" t="s">
        <v>14647</v>
      </c>
      <c r="I7053" t="s">
        <v>76</v>
      </c>
      <c r="J7053" t="s">
        <v>7981</v>
      </c>
    </row>
    <row r="7054" spans="1:10" x14ac:dyDescent="0.25">
      <c r="A7054" t="s">
        <v>23312</v>
      </c>
      <c r="B7054">
        <v>9</v>
      </c>
      <c r="C7054" t="s">
        <v>23313</v>
      </c>
      <c r="D7054" t="s">
        <v>1621</v>
      </c>
      <c r="E7054" t="s">
        <v>23310</v>
      </c>
      <c r="F7054" t="s">
        <v>7672</v>
      </c>
      <c r="G7054" t="s">
        <v>23311</v>
      </c>
      <c r="H7054" t="s">
        <v>14647</v>
      </c>
      <c r="I7054" t="s">
        <v>22485</v>
      </c>
      <c r="J7054" t="s">
        <v>7981</v>
      </c>
    </row>
    <row r="7055" spans="1:10" x14ac:dyDescent="0.25">
      <c r="A7055" t="s">
        <v>23314</v>
      </c>
      <c r="B7055">
        <v>9</v>
      </c>
      <c r="C7055" t="s">
        <v>23315</v>
      </c>
      <c r="D7055" t="s">
        <v>875</v>
      </c>
      <c r="E7055" t="s">
        <v>23310</v>
      </c>
      <c r="F7055" t="s">
        <v>7672</v>
      </c>
      <c r="G7055" t="s">
        <v>23311</v>
      </c>
      <c r="H7055" t="s">
        <v>14647</v>
      </c>
      <c r="I7055" t="s">
        <v>14648</v>
      </c>
      <c r="J7055" t="s">
        <v>7981</v>
      </c>
    </row>
    <row r="7056" spans="1:10" x14ac:dyDescent="0.25">
      <c r="A7056" t="s">
        <v>23316</v>
      </c>
      <c r="B7056">
        <v>9</v>
      </c>
      <c r="C7056" t="s">
        <v>23317</v>
      </c>
      <c r="D7056" t="s">
        <v>875</v>
      </c>
      <c r="E7056" t="s">
        <v>23310</v>
      </c>
      <c r="F7056" t="s">
        <v>7672</v>
      </c>
      <c r="G7056" t="s">
        <v>23311</v>
      </c>
      <c r="H7056" t="s">
        <v>14647</v>
      </c>
      <c r="I7056" t="s">
        <v>76</v>
      </c>
      <c r="J7056" t="s">
        <v>7984</v>
      </c>
    </row>
    <row r="7057" spans="1:10" x14ac:dyDescent="0.25">
      <c r="A7057" t="s">
        <v>23318</v>
      </c>
      <c r="B7057">
        <v>9</v>
      </c>
      <c r="C7057" t="s">
        <v>23319</v>
      </c>
      <c r="D7057" t="s">
        <v>234</v>
      </c>
      <c r="E7057" t="s">
        <v>23310</v>
      </c>
      <c r="F7057" t="s">
        <v>7672</v>
      </c>
      <c r="G7057" t="s">
        <v>23311</v>
      </c>
      <c r="H7057" t="s">
        <v>14647</v>
      </c>
      <c r="I7057" t="s">
        <v>14651</v>
      </c>
      <c r="J7057" t="s">
        <v>7984</v>
      </c>
    </row>
    <row r="7058" spans="1:10" x14ac:dyDescent="0.25">
      <c r="A7058" t="s">
        <v>23320</v>
      </c>
      <c r="B7058">
        <v>9</v>
      </c>
      <c r="C7058" t="s">
        <v>23321</v>
      </c>
      <c r="D7058" t="s">
        <v>633</v>
      </c>
      <c r="E7058" t="s">
        <v>23310</v>
      </c>
      <c r="F7058" t="s">
        <v>7672</v>
      </c>
      <c r="G7058" t="s">
        <v>23311</v>
      </c>
      <c r="H7058" t="s">
        <v>14647</v>
      </c>
      <c r="I7058" t="s">
        <v>14648</v>
      </c>
      <c r="J7058" t="s">
        <v>7987</v>
      </c>
    </row>
    <row r="7059" spans="1:10" x14ac:dyDescent="0.25">
      <c r="A7059" t="s">
        <v>23322</v>
      </c>
      <c r="B7059">
        <v>9</v>
      </c>
      <c r="C7059" t="s">
        <v>23323</v>
      </c>
      <c r="D7059" t="s">
        <v>277</v>
      </c>
      <c r="E7059" t="s">
        <v>23310</v>
      </c>
      <c r="F7059" t="s">
        <v>7672</v>
      </c>
      <c r="G7059" t="s">
        <v>23311</v>
      </c>
      <c r="H7059" t="s">
        <v>14647</v>
      </c>
      <c r="I7059" t="s">
        <v>14651</v>
      </c>
      <c r="J7059" t="s">
        <v>7987</v>
      </c>
    </row>
    <row r="7060" spans="1:10" x14ac:dyDescent="0.25">
      <c r="A7060" t="s">
        <v>23324</v>
      </c>
      <c r="B7060">
        <v>9</v>
      </c>
      <c r="C7060" t="s">
        <v>23325</v>
      </c>
      <c r="D7060" t="s">
        <v>330</v>
      </c>
      <c r="E7060" t="s">
        <v>23310</v>
      </c>
      <c r="F7060" t="s">
        <v>7672</v>
      </c>
      <c r="G7060" t="s">
        <v>23311</v>
      </c>
      <c r="H7060" t="s">
        <v>14647</v>
      </c>
      <c r="I7060" t="s">
        <v>76</v>
      </c>
      <c r="J7060" t="s">
        <v>8001</v>
      </c>
    </row>
    <row r="7061" spans="1:10" x14ac:dyDescent="0.25">
      <c r="A7061" t="s">
        <v>23326</v>
      </c>
      <c r="B7061">
        <v>9</v>
      </c>
      <c r="C7061" t="s">
        <v>23327</v>
      </c>
      <c r="D7061" t="s">
        <v>1254</v>
      </c>
      <c r="E7061" t="s">
        <v>23310</v>
      </c>
      <c r="F7061" t="s">
        <v>7672</v>
      </c>
      <c r="G7061" t="s">
        <v>23311</v>
      </c>
      <c r="H7061" t="s">
        <v>14647</v>
      </c>
      <c r="I7061" t="s">
        <v>14648</v>
      </c>
      <c r="J7061" t="s">
        <v>8001</v>
      </c>
    </row>
    <row r="7062" spans="1:10" x14ac:dyDescent="0.25">
      <c r="A7062" t="s">
        <v>23328</v>
      </c>
      <c r="B7062">
        <v>9</v>
      </c>
      <c r="C7062" t="s">
        <v>23329</v>
      </c>
      <c r="D7062" t="s">
        <v>255</v>
      </c>
      <c r="E7062" t="s">
        <v>23310</v>
      </c>
      <c r="F7062" t="s">
        <v>7672</v>
      </c>
      <c r="G7062" t="s">
        <v>23311</v>
      </c>
      <c r="H7062" t="s">
        <v>14647</v>
      </c>
      <c r="I7062" t="s">
        <v>14651</v>
      </c>
      <c r="J7062" t="s">
        <v>8001</v>
      </c>
    </row>
    <row r="7063" spans="1:10" x14ac:dyDescent="0.25">
      <c r="A7063" t="s">
        <v>6433</v>
      </c>
      <c r="B7063">
        <v>72</v>
      </c>
      <c r="C7063" t="s">
        <v>6435</v>
      </c>
      <c r="D7063" t="s">
        <v>659</v>
      </c>
      <c r="E7063" t="s">
        <v>6436</v>
      </c>
      <c r="F7063" t="s">
        <v>7672</v>
      </c>
      <c r="G7063" t="s">
        <v>23330</v>
      </c>
      <c r="H7063" t="s">
        <v>9693</v>
      </c>
      <c r="I7063" t="s">
        <v>17521</v>
      </c>
      <c r="J7063" t="s">
        <v>9694</v>
      </c>
    </row>
    <row r="7064" spans="1:10" x14ac:dyDescent="0.25">
      <c r="A7064" t="s">
        <v>23331</v>
      </c>
      <c r="B7064">
        <v>8.3920000000000012</v>
      </c>
      <c r="C7064" t="s">
        <v>23332</v>
      </c>
      <c r="D7064" t="s">
        <v>2879</v>
      </c>
      <c r="E7064" t="s">
        <v>23333</v>
      </c>
      <c r="F7064" t="s">
        <v>7672</v>
      </c>
      <c r="G7064" t="s">
        <v>23334</v>
      </c>
      <c r="H7064" t="s">
        <v>9127</v>
      </c>
      <c r="I7064" t="s">
        <v>21142</v>
      </c>
      <c r="J7064" t="s">
        <v>9237</v>
      </c>
    </row>
    <row r="7065" spans="1:10" x14ac:dyDescent="0.25">
      <c r="A7065" t="s">
        <v>23335</v>
      </c>
      <c r="B7065">
        <v>8.3920000000000012</v>
      </c>
      <c r="C7065" t="s">
        <v>23336</v>
      </c>
      <c r="D7065" t="s">
        <v>95</v>
      </c>
      <c r="E7065" t="s">
        <v>23333</v>
      </c>
      <c r="F7065" t="s">
        <v>7672</v>
      </c>
      <c r="G7065" t="s">
        <v>23334</v>
      </c>
      <c r="H7065" t="s">
        <v>9127</v>
      </c>
      <c r="I7065" t="s">
        <v>76</v>
      </c>
      <c r="J7065" t="s">
        <v>9237</v>
      </c>
    </row>
    <row r="7066" spans="1:10" x14ac:dyDescent="0.25">
      <c r="A7066" t="s">
        <v>23337</v>
      </c>
      <c r="B7066">
        <v>8.3920000000000012</v>
      </c>
      <c r="C7066" t="s">
        <v>23338</v>
      </c>
      <c r="D7066" t="s">
        <v>301</v>
      </c>
      <c r="E7066" t="s">
        <v>23333</v>
      </c>
      <c r="F7066" t="s">
        <v>7672</v>
      </c>
      <c r="G7066" t="s">
        <v>23334</v>
      </c>
      <c r="H7066" t="s">
        <v>9127</v>
      </c>
      <c r="I7066" t="s">
        <v>13703</v>
      </c>
      <c r="J7066" t="s">
        <v>9237</v>
      </c>
    </row>
    <row r="7067" spans="1:10" x14ac:dyDescent="0.25">
      <c r="A7067" t="s">
        <v>23339</v>
      </c>
      <c r="B7067">
        <v>8.3920000000000012</v>
      </c>
      <c r="C7067" t="s">
        <v>23340</v>
      </c>
      <c r="D7067" t="s">
        <v>1143</v>
      </c>
      <c r="E7067" t="s">
        <v>23333</v>
      </c>
      <c r="F7067" t="s">
        <v>7672</v>
      </c>
      <c r="G7067" t="s">
        <v>23334</v>
      </c>
      <c r="H7067" t="s">
        <v>9127</v>
      </c>
      <c r="I7067" t="s">
        <v>16298</v>
      </c>
      <c r="J7067" t="s">
        <v>9237</v>
      </c>
    </row>
    <row r="7068" spans="1:10" x14ac:dyDescent="0.25">
      <c r="A7068" t="s">
        <v>23341</v>
      </c>
      <c r="B7068">
        <v>8.3920000000000012</v>
      </c>
      <c r="C7068" t="s">
        <v>23342</v>
      </c>
      <c r="D7068" t="s">
        <v>2056</v>
      </c>
      <c r="E7068" t="s">
        <v>23333</v>
      </c>
      <c r="F7068" t="s">
        <v>7672</v>
      </c>
      <c r="G7068" t="s">
        <v>23334</v>
      </c>
      <c r="H7068" t="s">
        <v>9127</v>
      </c>
      <c r="I7068" t="s">
        <v>21142</v>
      </c>
      <c r="J7068" t="s">
        <v>8427</v>
      </c>
    </row>
    <row r="7069" spans="1:10" x14ac:dyDescent="0.25">
      <c r="A7069" t="s">
        <v>23343</v>
      </c>
      <c r="B7069">
        <v>8.3920000000000012</v>
      </c>
      <c r="C7069" t="s">
        <v>23344</v>
      </c>
      <c r="D7069" t="s">
        <v>6257</v>
      </c>
      <c r="E7069" t="s">
        <v>23333</v>
      </c>
      <c r="F7069" t="s">
        <v>7672</v>
      </c>
      <c r="G7069" t="s">
        <v>23334</v>
      </c>
      <c r="H7069" t="s">
        <v>9127</v>
      </c>
      <c r="I7069" t="s">
        <v>76</v>
      </c>
      <c r="J7069" t="s">
        <v>8427</v>
      </c>
    </row>
    <row r="7070" spans="1:10" x14ac:dyDescent="0.25">
      <c r="A7070" t="s">
        <v>23345</v>
      </c>
      <c r="B7070">
        <v>8.3920000000000012</v>
      </c>
      <c r="C7070" t="s">
        <v>23346</v>
      </c>
      <c r="D7070" t="s">
        <v>720</v>
      </c>
      <c r="E7070" t="s">
        <v>23333</v>
      </c>
      <c r="F7070" t="s">
        <v>7672</v>
      </c>
      <c r="G7070" t="s">
        <v>23334</v>
      </c>
      <c r="H7070" t="s">
        <v>9127</v>
      </c>
      <c r="I7070" t="s">
        <v>13703</v>
      </c>
      <c r="J7070" t="s">
        <v>8427</v>
      </c>
    </row>
    <row r="7071" spans="1:10" x14ac:dyDescent="0.25">
      <c r="A7071" t="s">
        <v>23347</v>
      </c>
      <c r="B7071">
        <v>8.3920000000000012</v>
      </c>
      <c r="C7071" t="s">
        <v>23348</v>
      </c>
      <c r="D7071" t="s">
        <v>316</v>
      </c>
      <c r="E7071" t="s">
        <v>23333</v>
      </c>
      <c r="F7071" t="s">
        <v>7672</v>
      </c>
      <c r="G7071" t="s">
        <v>23334</v>
      </c>
      <c r="H7071" t="s">
        <v>9127</v>
      </c>
      <c r="I7071" t="s">
        <v>16298</v>
      </c>
      <c r="J7071" t="s">
        <v>8427</v>
      </c>
    </row>
    <row r="7072" spans="1:10" x14ac:dyDescent="0.25">
      <c r="A7072" t="s">
        <v>23349</v>
      </c>
      <c r="B7072">
        <v>8.3920000000000012</v>
      </c>
      <c r="C7072" t="s">
        <v>23350</v>
      </c>
      <c r="D7072" t="s">
        <v>2804</v>
      </c>
      <c r="E7072" t="s">
        <v>23333</v>
      </c>
      <c r="F7072" t="s">
        <v>7672</v>
      </c>
      <c r="G7072" t="s">
        <v>23334</v>
      </c>
      <c r="H7072" t="s">
        <v>9127</v>
      </c>
      <c r="I7072" t="s">
        <v>13703</v>
      </c>
      <c r="J7072" t="s">
        <v>8439</v>
      </c>
    </row>
    <row r="7073" spans="1:10" x14ac:dyDescent="0.25">
      <c r="A7073" t="s">
        <v>23351</v>
      </c>
      <c r="B7073">
        <v>8.3920000000000012</v>
      </c>
      <c r="C7073" t="s">
        <v>23352</v>
      </c>
      <c r="D7073" t="s">
        <v>598</v>
      </c>
      <c r="E7073" t="s">
        <v>23333</v>
      </c>
      <c r="F7073" t="s">
        <v>7672</v>
      </c>
      <c r="G7073" t="s">
        <v>23334</v>
      </c>
      <c r="H7073" t="s">
        <v>9127</v>
      </c>
      <c r="I7073" t="s">
        <v>76</v>
      </c>
      <c r="J7073" t="s">
        <v>8439</v>
      </c>
    </row>
    <row r="7074" spans="1:10" x14ac:dyDescent="0.25">
      <c r="A7074" t="s">
        <v>23353</v>
      </c>
      <c r="B7074">
        <v>8.3920000000000012</v>
      </c>
      <c r="C7074" t="s">
        <v>23354</v>
      </c>
      <c r="D7074" t="s">
        <v>986</v>
      </c>
      <c r="E7074" t="s">
        <v>23333</v>
      </c>
      <c r="F7074" t="s">
        <v>7672</v>
      </c>
      <c r="G7074" t="s">
        <v>23334</v>
      </c>
      <c r="H7074" t="s">
        <v>9127</v>
      </c>
      <c r="I7074" t="s">
        <v>16298</v>
      </c>
      <c r="J7074" t="s">
        <v>8439</v>
      </c>
    </row>
    <row r="7075" spans="1:10" x14ac:dyDescent="0.25">
      <c r="A7075" t="s">
        <v>23355</v>
      </c>
      <c r="B7075">
        <v>8.3920000000000012</v>
      </c>
      <c r="C7075" t="s">
        <v>23356</v>
      </c>
      <c r="D7075" t="s">
        <v>3110</v>
      </c>
      <c r="E7075" t="s">
        <v>23333</v>
      </c>
      <c r="F7075" t="s">
        <v>7672</v>
      </c>
      <c r="G7075" t="s">
        <v>23334</v>
      </c>
      <c r="H7075" t="s">
        <v>9127</v>
      </c>
      <c r="I7075" t="s">
        <v>21142</v>
      </c>
      <c r="J7075" t="s">
        <v>8439</v>
      </c>
    </row>
    <row r="7076" spans="1:10" x14ac:dyDescent="0.25">
      <c r="A7076" t="s">
        <v>23357</v>
      </c>
      <c r="B7076">
        <v>8.3920000000000012</v>
      </c>
      <c r="C7076" t="s">
        <v>23358</v>
      </c>
      <c r="D7076" t="s">
        <v>633</v>
      </c>
      <c r="E7076" t="s">
        <v>23333</v>
      </c>
      <c r="F7076" t="s">
        <v>7672</v>
      </c>
      <c r="G7076" t="s">
        <v>23334</v>
      </c>
      <c r="H7076" t="s">
        <v>9127</v>
      </c>
      <c r="I7076" t="s">
        <v>13703</v>
      </c>
      <c r="J7076" t="s">
        <v>8451</v>
      </c>
    </row>
    <row r="7077" spans="1:10" x14ac:dyDescent="0.25">
      <c r="A7077" t="s">
        <v>23359</v>
      </c>
      <c r="B7077">
        <v>8.3920000000000012</v>
      </c>
      <c r="C7077" t="s">
        <v>23360</v>
      </c>
      <c r="D7077" t="s">
        <v>6257</v>
      </c>
      <c r="E7077" t="s">
        <v>23333</v>
      </c>
      <c r="F7077" t="s">
        <v>7672</v>
      </c>
      <c r="G7077" t="s">
        <v>23334</v>
      </c>
      <c r="H7077" t="s">
        <v>9127</v>
      </c>
      <c r="I7077" t="s">
        <v>16298</v>
      </c>
      <c r="J7077" t="s">
        <v>8451</v>
      </c>
    </row>
    <row r="7078" spans="1:10" x14ac:dyDescent="0.25">
      <c r="A7078" t="s">
        <v>23361</v>
      </c>
      <c r="B7078">
        <v>8.3920000000000012</v>
      </c>
      <c r="C7078" t="s">
        <v>23362</v>
      </c>
      <c r="D7078" t="s">
        <v>321</v>
      </c>
      <c r="E7078" t="s">
        <v>23333</v>
      </c>
      <c r="F7078" t="s">
        <v>7672</v>
      </c>
      <c r="G7078" t="s">
        <v>23334</v>
      </c>
      <c r="H7078" t="s">
        <v>9127</v>
      </c>
      <c r="I7078" t="s">
        <v>76</v>
      </c>
      <c r="J7078" t="s">
        <v>8451</v>
      </c>
    </row>
    <row r="7079" spans="1:10" x14ac:dyDescent="0.25">
      <c r="A7079" t="s">
        <v>23363</v>
      </c>
      <c r="B7079">
        <v>8.3920000000000012</v>
      </c>
      <c r="C7079" t="s">
        <v>23364</v>
      </c>
      <c r="D7079" t="s">
        <v>1579</v>
      </c>
      <c r="E7079" t="s">
        <v>23333</v>
      </c>
      <c r="F7079" t="s">
        <v>7672</v>
      </c>
      <c r="G7079" t="s">
        <v>23334</v>
      </c>
      <c r="H7079" t="s">
        <v>9127</v>
      </c>
      <c r="I7079" t="s">
        <v>21142</v>
      </c>
      <c r="J7079" t="s">
        <v>8451</v>
      </c>
    </row>
    <row r="7080" spans="1:10" x14ac:dyDescent="0.25">
      <c r="A7080" t="s">
        <v>23365</v>
      </c>
      <c r="B7080">
        <v>8.3920000000000012</v>
      </c>
      <c r="C7080" t="s">
        <v>23366</v>
      </c>
      <c r="D7080" t="s">
        <v>1621</v>
      </c>
      <c r="E7080" t="s">
        <v>23333</v>
      </c>
      <c r="F7080" t="s">
        <v>7672</v>
      </c>
      <c r="G7080" t="s">
        <v>23334</v>
      </c>
      <c r="H7080" t="s">
        <v>9127</v>
      </c>
      <c r="I7080" t="s">
        <v>13703</v>
      </c>
      <c r="J7080" t="s">
        <v>8462</v>
      </c>
    </row>
    <row r="7081" spans="1:10" x14ac:dyDescent="0.25">
      <c r="A7081" t="s">
        <v>23367</v>
      </c>
      <c r="B7081">
        <v>8.3920000000000012</v>
      </c>
      <c r="C7081" t="s">
        <v>23368</v>
      </c>
      <c r="D7081" t="s">
        <v>1236</v>
      </c>
      <c r="E7081" t="s">
        <v>23333</v>
      </c>
      <c r="F7081" t="s">
        <v>7672</v>
      </c>
      <c r="G7081" t="s">
        <v>23334</v>
      </c>
      <c r="H7081" t="s">
        <v>9127</v>
      </c>
      <c r="I7081" t="s">
        <v>16298</v>
      </c>
      <c r="J7081" t="s">
        <v>8462</v>
      </c>
    </row>
    <row r="7082" spans="1:10" x14ac:dyDescent="0.25">
      <c r="A7082" t="s">
        <v>23369</v>
      </c>
      <c r="B7082">
        <v>8.3920000000000012</v>
      </c>
      <c r="C7082" t="s">
        <v>23370</v>
      </c>
      <c r="D7082" t="s">
        <v>835</v>
      </c>
      <c r="E7082" t="s">
        <v>23333</v>
      </c>
      <c r="F7082" t="s">
        <v>7672</v>
      </c>
      <c r="G7082" t="s">
        <v>23334</v>
      </c>
      <c r="H7082" t="s">
        <v>9127</v>
      </c>
      <c r="I7082" t="s">
        <v>76</v>
      </c>
      <c r="J7082" t="s">
        <v>8462</v>
      </c>
    </row>
    <row r="7083" spans="1:10" x14ac:dyDescent="0.25">
      <c r="A7083" t="s">
        <v>23371</v>
      </c>
      <c r="B7083">
        <v>8.3920000000000012</v>
      </c>
      <c r="C7083" t="s">
        <v>23372</v>
      </c>
      <c r="D7083" t="s">
        <v>118</v>
      </c>
      <c r="E7083" t="s">
        <v>23333</v>
      </c>
      <c r="F7083" t="s">
        <v>7672</v>
      </c>
      <c r="G7083" t="s">
        <v>23334</v>
      </c>
      <c r="H7083" t="s">
        <v>9127</v>
      </c>
      <c r="I7083" t="s">
        <v>21142</v>
      </c>
      <c r="J7083" t="s">
        <v>8462</v>
      </c>
    </row>
    <row r="7084" spans="1:10" x14ac:dyDescent="0.25">
      <c r="A7084" t="s">
        <v>23373</v>
      </c>
      <c r="B7084">
        <v>8.6880000000000006</v>
      </c>
      <c r="C7084" t="s">
        <v>23374</v>
      </c>
      <c r="D7084" t="s">
        <v>742</v>
      </c>
      <c r="E7084" t="s">
        <v>23375</v>
      </c>
      <c r="F7084" t="s">
        <v>7672</v>
      </c>
      <c r="G7084" t="s">
        <v>23376</v>
      </c>
      <c r="H7084" t="s">
        <v>10970</v>
      </c>
      <c r="I7084" t="s">
        <v>23377</v>
      </c>
      <c r="J7084" t="s">
        <v>7675</v>
      </c>
    </row>
    <row r="7085" spans="1:10" x14ac:dyDescent="0.25">
      <c r="A7085" t="s">
        <v>23378</v>
      </c>
      <c r="B7085">
        <v>8.6880000000000006</v>
      </c>
      <c r="C7085" t="s">
        <v>23379</v>
      </c>
      <c r="D7085" t="s">
        <v>277</v>
      </c>
      <c r="E7085" t="s">
        <v>23375</v>
      </c>
      <c r="F7085" t="s">
        <v>7672</v>
      </c>
      <c r="G7085" t="s">
        <v>23376</v>
      </c>
      <c r="H7085" t="s">
        <v>10970</v>
      </c>
      <c r="I7085" t="s">
        <v>3799</v>
      </c>
      <c r="J7085" t="s">
        <v>7675</v>
      </c>
    </row>
    <row r="7086" spans="1:10" x14ac:dyDescent="0.25">
      <c r="A7086" t="s">
        <v>23380</v>
      </c>
      <c r="B7086">
        <v>8.6880000000000006</v>
      </c>
      <c r="C7086" t="s">
        <v>23381</v>
      </c>
      <c r="D7086" t="s">
        <v>576</v>
      </c>
      <c r="E7086" t="s">
        <v>23375</v>
      </c>
      <c r="F7086" t="s">
        <v>7672</v>
      </c>
      <c r="G7086" t="s">
        <v>23376</v>
      </c>
      <c r="H7086" t="s">
        <v>10970</v>
      </c>
      <c r="I7086" t="s">
        <v>23377</v>
      </c>
      <c r="J7086" t="s">
        <v>7686</v>
      </c>
    </row>
    <row r="7087" spans="1:10" x14ac:dyDescent="0.25">
      <c r="A7087" t="s">
        <v>23382</v>
      </c>
      <c r="B7087">
        <v>8.6880000000000006</v>
      </c>
      <c r="C7087" t="s">
        <v>23383</v>
      </c>
      <c r="D7087" t="s">
        <v>576</v>
      </c>
      <c r="E7087" t="s">
        <v>23375</v>
      </c>
      <c r="F7087" t="s">
        <v>7672</v>
      </c>
      <c r="G7087" t="s">
        <v>23376</v>
      </c>
      <c r="H7087" t="s">
        <v>10970</v>
      </c>
      <c r="I7087" t="s">
        <v>23377</v>
      </c>
      <c r="J7087" t="s">
        <v>7703</v>
      </c>
    </row>
    <row r="7088" spans="1:10" x14ac:dyDescent="0.25">
      <c r="A7088" t="s">
        <v>23384</v>
      </c>
      <c r="B7088">
        <v>8.6880000000000006</v>
      </c>
      <c r="C7088" t="s">
        <v>23385</v>
      </c>
      <c r="D7088" t="s">
        <v>106</v>
      </c>
      <c r="E7088" t="s">
        <v>23375</v>
      </c>
      <c r="F7088" t="s">
        <v>7672</v>
      </c>
      <c r="G7088" t="s">
        <v>23376</v>
      </c>
      <c r="H7088" t="s">
        <v>10970</v>
      </c>
      <c r="I7088" t="s">
        <v>23377</v>
      </c>
      <c r="J7088" t="s">
        <v>7719</v>
      </c>
    </row>
    <row r="7089" spans="1:10" x14ac:dyDescent="0.25">
      <c r="A7089" t="s">
        <v>23386</v>
      </c>
      <c r="B7089">
        <v>9.7920000000000016</v>
      </c>
      <c r="C7089" t="s">
        <v>23387</v>
      </c>
      <c r="D7089" t="s">
        <v>290</v>
      </c>
      <c r="E7089" t="s">
        <v>23388</v>
      </c>
      <c r="F7089" t="s">
        <v>7672</v>
      </c>
      <c r="G7089" t="s">
        <v>23389</v>
      </c>
      <c r="H7089" t="s">
        <v>10298</v>
      </c>
      <c r="I7089" t="s">
        <v>23390</v>
      </c>
      <c r="J7089" t="s">
        <v>7987</v>
      </c>
    </row>
    <row r="7090" spans="1:10" x14ac:dyDescent="0.25">
      <c r="A7090" t="s">
        <v>23391</v>
      </c>
      <c r="B7090">
        <v>9.7920000000000016</v>
      </c>
      <c r="C7090" t="s">
        <v>23392</v>
      </c>
      <c r="D7090" t="s">
        <v>229</v>
      </c>
      <c r="E7090" t="s">
        <v>23388</v>
      </c>
      <c r="F7090" t="s">
        <v>7672</v>
      </c>
      <c r="G7090" t="s">
        <v>23389</v>
      </c>
      <c r="H7090" t="s">
        <v>10298</v>
      </c>
      <c r="I7090" t="s">
        <v>23393</v>
      </c>
      <c r="J7090" t="s">
        <v>8001</v>
      </c>
    </row>
    <row r="7091" spans="1:10" x14ac:dyDescent="0.25">
      <c r="A7091" t="s">
        <v>23394</v>
      </c>
      <c r="B7091">
        <v>9.7920000000000016</v>
      </c>
      <c r="C7091" t="s">
        <v>23395</v>
      </c>
      <c r="D7091" t="s">
        <v>385</v>
      </c>
      <c r="E7091" t="s">
        <v>23388</v>
      </c>
      <c r="F7091" t="s">
        <v>7672</v>
      </c>
      <c r="G7091" t="s">
        <v>23389</v>
      </c>
      <c r="H7091" t="s">
        <v>10298</v>
      </c>
      <c r="I7091" t="s">
        <v>23390</v>
      </c>
      <c r="J7091" t="s">
        <v>8001</v>
      </c>
    </row>
    <row r="7092" spans="1:10" x14ac:dyDescent="0.25">
      <c r="A7092" t="s">
        <v>23396</v>
      </c>
      <c r="B7092">
        <v>7.6000000000000014</v>
      </c>
      <c r="C7092" t="s">
        <v>23397</v>
      </c>
      <c r="D7092" t="s">
        <v>3184</v>
      </c>
      <c r="E7092" t="s">
        <v>23398</v>
      </c>
      <c r="F7092" t="s">
        <v>7672</v>
      </c>
      <c r="G7092" t="s">
        <v>23399</v>
      </c>
      <c r="H7092" t="s">
        <v>13951</v>
      </c>
      <c r="I7092" t="s">
        <v>23400</v>
      </c>
      <c r="J7092" t="s">
        <v>10369</v>
      </c>
    </row>
    <row r="7093" spans="1:10" x14ac:dyDescent="0.25">
      <c r="A7093" t="s">
        <v>6439</v>
      </c>
      <c r="B7093">
        <v>4.4800000000000004</v>
      </c>
      <c r="C7093" t="s">
        <v>6441</v>
      </c>
      <c r="D7093" t="s">
        <v>2381</v>
      </c>
      <c r="E7093" t="s">
        <v>6442</v>
      </c>
      <c r="F7093" t="s">
        <v>7672</v>
      </c>
      <c r="G7093" t="s">
        <v>23401</v>
      </c>
      <c r="H7093" t="s">
        <v>13951</v>
      </c>
      <c r="I7093" t="s">
        <v>935</v>
      </c>
      <c r="J7093" t="s">
        <v>7675</v>
      </c>
    </row>
    <row r="7094" spans="1:10" x14ac:dyDescent="0.25">
      <c r="A7094" t="s">
        <v>23402</v>
      </c>
      <c r="B7094">
        <v>4.4800000000000004</v>
      </c>
      <c r="C7094" t="s">
        <v>23403</v>
      </c>
      <c r="D7094" t="s">
        <v>1790</v>
      </c>
      <c r="E7094" t="s">
        <v>6442</v>
      </c>
      <c r="F7094" t="s">
        <v>7672</v>
      </c>
      <c r="G7094" t="s">
        <v>23401</v>
      </c>
      <c r="H7094" t="s">
        <v>13951</v>
      </c>
      <c r="I7094" t="s">
        <v>935</v>
      </c>
      <c r="J7094" t="s">
        <v>7686</v>
      </c>
    </row>
    <row r="7095" spans="1:10" x14ac:dyDescent="0.25">
      <c r="A7095" t="s">
        <v>23404</v>
      </c>
      <c r="B7095">
        <v>4.4800000000000004</v>
      </c>
      <c r="C7095" t="s">
        <v>23405</v>
      </c>
      <c r="D7095" t="s">
        <v>9842</v>
      </c>
      <c r="E7095" t="s">
        <v>6442</v>
      </c>
      <c r="F7095" t="s">
        <v>7672</v>
      </c>
      <c r="G7095" t="s">
        <v>23401</v>
      </c>
      <c r="H7095" t="s">
        <v>13951</v>
      </c>
      <c r="I7095" t="s">
        <v>935</v>
      </c>
      <c r="J7095" t="s">
        <v>7703</v>
      </c>
    </row>
    <row r="7096" spans="1:10" x14ac:dyDescent="0.25">
      <c r="A7096" t="s">
        <v>23406</v>
      </c>
      <c r="B7096">
        <v>3.12</v>
      </c>
      <c r="C7096" t="s">
        <v>23407</v>
      </c>
      <c r="D7096" t="s">
        <v>234</v>
      </c>
      <c r="E7096" t="s">
        <v>23408</v>
      </c>
      <c r="F7096" t="s">
        <v>7672</v>
      </c>
      <c r="G7096" t="s">
        <v>23409</v>
      </c>
      <c r="H7096" t="s">
        <v>16463</v>
      </c>
      <c r="I7096" t="s">
        <v>278</v>
      </c>
      <c r="J7096" t="s">
        <v>8789</v>
      </c>
    </row>
    <row r="7097" spans="1:10" x14ac:dyDescent="0.25">
      <c r="A7097" t="s">
        <v>23410</v>
      </c>
      <c r="B7097">
        <v>3.12</v>
      </c>
      <c r="C7097" t="s">
        <v>23411</v>
      </c>
      <c r="D7097" t="s">
        <v>1965</v>
      </c>
      <c r="E7097" t="s">
        <v>23408</v>
      </c>
      <c r="F7097" t="s">
        <v>7672</v>
      </c>
      <c r="G7097" t="s">
        <v>23409</v>
      </c>
      <c r="H7097" t="s">
        <v>16463</v>
      </c>
      <c r="I7097" t="s">
        <v>278</v>
      </c>
      <c r="J7097" t="s">
        <v>23412</v>
      </c>
    </row>
    <row r="7098" spans="1:10" x14ac:dyDescent="0.25">
      <c r="A7098" t="s">
        <v>23413</v>
      </c>
      <c r="B7098">
        <v>3.12</v>
      </c>
      <c r="C7098" t="s">
        <v>23414</v>
      </c>
      <c r="D7098" t="s">
        <v>17186</v>
      </c>
      <c r="E7098" t="s">
        <v>23408</v>
      </c>
      <c r="F7098" t="s">
        <v>7672</v>
      </c>
      <c r="G7098" t="s">
        <v>23409</v>
      </c>
      <c r="H7098" t="s">
        <v>16463</v>
      </c>
      <c r="I7098" t="s">
        <v>278</v>
      </c>
      <c r="J7098" t="s">
        <v>23415</v>
      </c>
    </row>
    <row r="7099" spans="1:10" x14ac:dyDescent="0.25">
      <c r="A7099" t="s">
        <v>23416</v>
      </c>
      <c r="B7099">
        <v>3.12</v>
      </c>
      <c r="C7099" t="s">
        <v>23417</v>
      </c>
      <c r="D7099" t="s">
        <v>4322</v>
      </c>
      <c r="E7099" t="s">
        <v>23408</v>
      </c>
      <c r="F7099" t="s">
        <v>7672</v>
      </c>
      <c r="G7099" t="s">
        <v>23409</v>
      </c>
      <c r="H7099" t="s">
        <v>16463</v>
      </c>
      <c r="I7099" t="s">
        <v>278</v>
      </c>
      <c r="J7099" t="s">
        <v>15076</v>
      </c>
    </row>
    <row r="7100" spans="1:10" x14ac:dyDescent="0.25">
      <c r="A7100" t="s">
        <v>23418</v>
      </c>
      <c r="B7100">
        <v>3.12</v>
      </c>
      <c r="C7100" t="s">
        <v>23419</v>
      </c>
      <c r="D7100" t="s">
        <v>342</v>
      </c>
      <c r="E7100" t="s">
        <v>23408</v>
      </c>
      <c r="F7100" t="s">
        <v>7672</v>
      </c>
      <c r="G7100" t="s">
        <v>23409</v>
      </c>
      <c r="H7100" t="s">
        <v>16463</v>
      </c>
      <c r="I7100" t="s">
        <v>278</v>
      </c>
      <c r="J7100" t="s">
        <v>23420</v>
      </c>
    </row>
    <row r="7101" spans="1:10" x14ac:dyDescent="0.25">
      <c r="A7101" t="s">
        <v>23421</v>
      </c>
      <c r="B7101">
        <v>5.5920000000000014</v>
      </c>
      <c r="C7101" t="s">
        <v>23422</v>
      </c>
      <c r="D7101" t="s">
        <v>975</v>
      </c>
      <c r="E7101" t="s">
        <v>23423</v>
      </c>
      <c r="F7101" t="s">
        <v>7672</v>
      </c>
      <c r="G7101" t="s">
        <v>23424</v>
      </c>
      <c r="H7101" t="s">
        <v>7674</v>
      </c>
      <c r="I7101" t="s">
        <v>9341</v>
      </c>
      <c r="J7101" t="s">
        <v>7942</v>
      </c>
    </row>
    <row r="7102" spans="1:10" x14ac:dyDescent="0.25">
      <c r="A7102" t="s">
        <v>23425</v>
      </c>
      <c r="B7102">
        <v>5.5920000000000014</v>
      </c>
      <c r="C7102" t="s">
        <v>23426</v>
      </c>
      <c r="D7102" t="s">
        <v>296</v>
      </c>
      <c r="E7102" t="s">
        <v>23423</v>
      </c>
      <c r="F7102" t="s">
        <v>7672</v>
      </c>
      <c r="G7102" t="s">
        <v>23424</v>
      </c>
      <c r="H7102" t="s">
        <v>7674</v>
      </c>
      <c r="I7102" t="s">
        <v>9338</v>
      </c>
      <c r="J7102" t="s">
        <v>7942</v>
      </c>
    </row>
    <row r="7103" spans="1:10" x14ac:dyDescent="0.25">
      <c r="A7103" t="s">
        <v>23427</v>
      </c>
      <c r="B7103">
        <v>5.5920000000000014</v>
      </c>
      <c r="C7103" t="s">
        <v>23428</v>
      </c>
      <c r="D7103" t="s">
        <v>2381</v>
      </c>
      <c r="E7103" t="s">
        <v>23423</v>
      </c>
      <c r="F7103" t="s">
        <v>7672</v>
      </c>
      <c r="G7103" t="s">
        <v>23424</v>
      </c>
      <c r="H7103" t="s">
        <v>7674</v>
      </c>
      <c r="I7103" t="s">
        <v>9341</v>
      </c>
      <c r="J7103" t="s">
        <v>7981</v>
      </c>
    </row>
    <row r="7104" spans="1:10" x14ac:dyDescent="0.25">
      <c r="A7104" t="s">
        <v>23429</v>
      </c>
      <c r="B7104">
        <v>5.5920000000000014</v>
      </c>
      <c r="C7104" t="s">
        <v>23430</v>
      </c>
      <c r="D7104" t="s">
        <v>2381</v>
      </c>
      <c r="E7104" t="s">
        <v>23423</v>
      </c>
      <c r="F7104" t="s">
        <v>7672</v>
      </c>
      <c r="G7104" t="s">
        <v>23424</v>
      </c>
      <c r="H7104" t="s">
        <v>7674</v>
      </c>
      <c r="I7104" t="s">
        <v>9338</v>
      </c>
      <c r="J7104" t="s">
        <v>7981</v>
      </c>
    </row>
    <row r="7105" spans="1:10" x14ac:dyDescent="0.25">
      <c r="A7105" t="s">
        <v>23431</v>
      </c>
      <c r="B7105">
        <v>5.5920000000000014</v>
      </c>
      <c r="C7105" t="s">
        <v>23432</v>
      </c>
      <c r="D7105" t="s">
        <v>4136</v>
      </c>
      <c r="E7105" t="s">
        <v>23423</v>
      </c>
      <c r="F7105" t="s">
        <v>7672</v>
      </c>
      <c r="G7105" t="s">
        <v>23424</v>
      </c>
      <c r="H7105" t="s">
        <v>7674</v>
      </c>
      <c r="I7105" t="s">
        <v>9341</v>
      </c>
      <c r="J7105" t="s">
        <v>7984</v>
      </c>
    </row>
    <row r="7106" spans="1:10" x14ac:dyDescent="0.25">
      <c r="A7106" t="s">
        <v>23433</v>
      </c>
      <c r="B7106">
        <v>5.5920000000000014</v>
      </c>
      <c r="C7106" t="s">
        <v>23434</v>
      </c>
      <c r="D7106" t="s">
        <v>4270</v>
      </c>
      <c r="E7106" t="s">
        <v>23423</v>
      </c>
      <c r="F7106" t="s">
        <v>7672</v>
      </c>
      <c r="G7106" t="s">
        <v>23424</v>
      </c>
      <c r="H7106" t="s">
        <v>7674</v>
      </c>
      <c r="I7106" t="s">
        <v>9338</v>
      </c>
      <c r="J7106" t="s">
        <v>7984</v>
      </c>
    </row>
    <row r="7107" spans="1:10" x14ac:dyDescent="0.25">
      <c r="A7107" t="s">
        <v>23435</v>
      </c>
      <c r="B7107">
        <v>5.5920000000000014</v>
      </c>
      <c r="C7107" t="s">
        <v>23436</v>
      </c>
      <c r="D7107" t="s">
        <v>903</v>
      </c>
      <c r="E7107" t="s">
        <v>23423</v>
      </c>
      <c r="F7107" t="s">
        <v>7672</v>
      </c>
      <c r="G7107" t="s">
        <v>23424</v>
      </c>
      <c r="H7107" t="s">
        <v>7674</v>
      </c>
      <c r="I7107" t="s">
        <v>9341</v>
      </c>
      <c r="J7107" t="s">
        <v>7987</v>
      </c>
    </row>
    <row r="7108" spans="1:10" x14ac:dyDescent="0.25">
      <c r="A7108" t="s">
        <v>23437</v>
      </c>
      <c r="B7108">
        <v>5.5920000000000014</v>
      </c>
      <c r="C7108" t="s">
        <v>23438</v>
      </c>
      <c r="D7108" t="s">
        <v>843</v>
      </c>
      <c r="E7108" t="s">
        <v>23423</v>
      </c>
      <c r="F7108" t="s">
        <v>7672</v>
      </c>
      <c r="G7108" t="s">
        <v>23424</v>
      </c>
      <c r="H7108" t="s">
        <v>7674</v>
      </c>
      <c r="I7108" t="s">
        <v>9341</v>
      </c>
      <c r="J7108" t="s">
        <v>8013</v>
      </c>
    </row>
    <row r="7109" spans="1:10" x14ac:dyDescent="0.25">
      <c r="A7109" t="s">
        <v>23439</v>
      </c>
      <c r="B7109">
        <v>12.592000000000001</v>
      </c>
      <c r="C7109" t="s">
        <v>23440</v>
      </c>
      <c r="D7109" t="s">
        <v>53</v>
      </c>
      <c r="E7109" t="s">
        <v>23441</v>
      </c>
      <c r="F7109" t="s">
        <v>7672</v>
      </c>
      <c r="G7109" t="s">
        <v>23442</v>
      </c>
      <c r="H7109" t="s">
        <v>11598</v>
      </c>
      <c r="I7109" t="s">
        <v>23443</v>
      </c>
      <c r="J7109" t="s">
        <v>8439</v>
      </c>
    </row>
    <row r="7110" spans="1:10" x14ac:dyDescent="0.25">
      <c r="A7110" t="s">
        <v>23444</v>
      </c>
      <c r="B7110">
        <v>12.592000000000001</v>
      </c>
      <c r="C7110" t="s">
        <v>23445</v>
      </c>
      <c r="D7110" t="s">
        <v>106</v>
      </c>
      <c r="E7110" t="s">
        <v>23441</v>
      </c>
      <c r="F7110" t="s">
        <v>7672</v>
      </c>
      <c r="G7110" t="s">
        <v>23442</v>
      </c>
      <c r="H7110" t="s">
        <v>11598</v>
      </c>
      <c r="I7110" t="s">
        <v>23443</v>
      </c>
      <c r="J7110" t="s">
        <v>8451</v>
      </c>
    </row>
    <row r="7111" spans="1:10" x14ac:dyDescent="0.25">
      <c r="A7111" t="s">
        <v>6444</v>
      </c>
      <c r="B7111">
        <v>4.84</v>
      </c>
      <c r="C7111" t="s">
        <v>6446</v>
      </c>
      <c r="D7111" t="s">
        <v>106</v>
      </c>
      <c r="E7111" t="s">
        <v>6447</v>
      </c>
      <c r="F7111" t="s">
        <v>7672</v>
      </c>
      <c r="G7111" t="s">
        <v>23446</v>
      </c>
      <c r="H7111" t="s">
        <v>13891</v>
      </c>
      <c r="I7111" t="s">
        <v>23447</v>
      </c>
      <c r="J7111" t="s">
        <v>11500</v>
      </c>
    </row>
    <row r="7112" spans="1:10" x14ac:dyDescent="0.25">
      <c r="A7112" t="s">
        <v>6450</v>
      </c>
      <c r="B7112">
        <v>4.84</v>
      </c>
      <c r="C7112" t="s">
        <v>6452</v>
      </c>
      <c r="D7112" t="s">
        <v>959</v>
      </c>
      <c r="E7112" t="s">
        <v>6447</v>
      </c>
      <c r="F7112" t="s">
        <v>7672</v>
      </c>
      <c r="G7112" t="s">
        <v>23446</v>
      </c>
      <c r="H7112" t="s">
        <v>13891</v>
      </c>
      <c r="I7112" t="s">
        <v>23447</v>
      </c>
      <c r="J7112" t="s">
        <v>11501</v>
      </c>
    </row>
    <row r="7113" spans="1:10" x14ac:dyDescent="0.25">
      <c r="A7113" t="s">
        <v>6454</v>
      </c>
      <c r="B7113">
        <v>4.84</v>
      </c>
      <c r="C7113" t="s">
        <v>6456</v>
      </c>
      <c r="D7113" t="s">
        <v>229</v>
      </c>
      <c r="E7113" t="s">
        <v>6447</v>
      </c>
      <c r="F7113" t="s">
        <v>7672</v>
      </c>
      <c r="G7113" t="s">
        <v>23446</v>
      </c>
      <c r="H7113" t="s">
        <v>13891</v>
      </c>
      <c r="I7113" t="s">
        <v>23447</v>
      </c>
      <c r="J7113" t="s">
        <v>11502</v>
      </c>
    </row>
    <row r="7114" spans="1:10" x14ac:dyDescent="0.25">
      <c r="A7114" t="s">
        <v>6458</v>
      </c>
      <c r="B7114">
        <v>4.84</v>
      </c>
      <c r="C7114" t="s">
        <v>6460</v>
      </c>
      <c r="D7114" t="s">
        <v>269</v>
      </c>
      <c r="E7114" t="s">
        <v>6447</v>
      </c>
      <c r="F7114" t="s">
        <v>7672</v>
      </c>
      <c r="G7114" t="s">
        <v>23446</v>
      </c>
      <c r="H7114" t="s">
        <v>13891</v>
      </c>
      <c r="I7114" t="s">
        <v>23447</v>
      </c>
      <c r="J7114" t="s">
        <v>11503</v>
      </c>
    </row>
    <row r="7115" spans="1:10" x14ac:dyDescent="0.25">
      <c r="A7115" t="s">
        <v>6462</v>
      </c>
      <c r="B7115">
        <v>4.84</v>
      </c>
      <c r="C7115" t="s">
        <v>6464</v>
      </c>
      <c r="D7115" t="s">
        <v>2697</v>
      </c>
      <c r="E7115" t="s">
        <v>6447</v>
      </c>
      <c r="F7115" t="s">
        <v>7672</v>
      </c>
      <c r="G7115" t="s">
        <v>23446</v>
      </c>
      <c r="H7115" t="s">
        <v>13891</v>
      </c>
      <c r="I7115" t="s">
        <v>23447</v>
      </c>
      <c r="J7115" t="s">
        <v>282</v>
      </c>
    </row>
    <row r="7116" spans="1:10" x14ac:dyDescent="0.25">
      <c r="A7116" t="s">
        <v>6466</v>
      </c>
      <c r="B7116">
        <v>4.84</v>
      </c>
      <c r="C7116" t="s">
        <v>6468</v>
      </c>
      <c r="D7116" t="s">
        <v>3577</v>
      </c>
      <c r="E7116" t="s">
        <v>6447</v>
      </c>
      <c r="F7116" t="s">
        <v>7672</v>
      </c>
      <c r="G7116" t="s">
        <v>23446</v>
      </c>
      <c r="H7116" t="s">
        <v>13891</v>
      </c>
      <c r="I7116" t="s">
        <v>23447</v>
      </c>
      <c r="J7116" t="s">
        <v>277</v>
      </c>
    </row>
    <row r="7117" spans="1:10" x14ac:dyDescent="0.25">
      <c r="A7117" t="s">
        <v>23448</v>
      </c>
      <c r="B7117">
        <v>7.7920000000000007</v>
      </c>
      <c r="C7117" t="s">
        <v>23449</v>
      </c>
      <c r="D7117" t="s">
        <v>131</v>
      </c>
      <c r="E7117" t="s">
        <v>23450</v>
      </c>
      <c r="F7117" t="s">
        <v>7672</v>
      </c>
      <c r="G7117" t="s">
        <v>23451</v>
      </c>
      <c r="H7117" t="s">
        <v>8027</v>
      </c>
      <c r="I7117" t="s">
        <v>20853</v>
      </c>
      <c r="J7117" t="s">
        <v>8439</v>
      </c>
    </row>
    <row r="7118" spans="1:10" x14ac:dyDescent="0.25">
      <c r="A7118" t="s">
        <v>23452</v>
      </c>
      <c r="B7118">
        <v>9.1760000000000002</v>
      </c>
      <c r="C7118" t="s">
        <v>23453</v>
      </c>
      <c r="D7118" t="s">
        <v>301</v>
      </c>
      <c r="E7118" t="s">
        <v>23454</v>
      </c>
      <c r="F7118" t="s">
        <v>7672</v>
      </c>
      <c r="G7118" t="s">
        <v>23455</v>
      </c>
      <c r="H7118" t="s">
        <v>16745</v>
      </c>
      <c r="I7118" t="s">
        <v>18714</v>
      </c>
      <c r="J7118" t="s">
        <v>7984</v>
      </c>
    </row>
    <row r="7119" spans="1:10" x14ac:dyDescent="0.25">
      <c r="A7119" t="s">
        <v>23456</v>
      </c>
      <c r="B7119">
        <v>9.1760000000000002</v>
      </c>
      <c r="C7119" t="s">
        <v>23457</v>
      </c>
      <c r="D7119" t="s">
        <v>742</v>
      </c>
      <c r="E7119" t="s">
        <v>23454</v>
      </c>
      <c r="F7119" t="s">
        <v>7672</v>
      </c>
      <c r="G7119" t="s">
        <v>23455</v>
      </c>
      <c r="H7119" t="s">
        <v>16745</v>
      </c>
      <c r="I7119" t="s">
        <v>18714</v>
      </c>
      <c r="J7119" t="s">
        <v>7987</v>
      </c>
    </row>
    <row r="7120" spans="1:10" x14ac:dyDescent="0.25">
      <c r="A7120" t="s">
        <v>23458</v>
      </c>
      <c r="B7120">
        <v>9.1760000000000002</v>
      </c>
      <c r="C7120" t="s">
        <v>23459</v>
      </c>
      <c r="D7120" t="s">
        <v>100</v>
      </c>
      <c r="E7120" t="s">
        <v>23454</v>
      </c>
      <c r="F7120" t="s">
        <v>7672</v>
      </c>
      <c r="G7120" t="s">
        <v>23455</v>
      </c>
      <c r="H7120" t="s">
        <v>16745</v>
      </c>
      <c r="I7120" t="s">
        <v>76</v>
      </c>
      <c r="J7120" t="s">
        <v>8001</v>
      </c>
    </row>
    <row r="7121" spans="1:10" x14ac:dyDescent="0.25">
      <c r="A7121" t="s">
        <v>23460</v>
      </c>
      <c r="B7121">
        <v>9.1760000000000002</v>
      </c>
      <c r="C7121" t="s">
        <v>23461</v>
      </c>
      <c r="D7121" t="s">
        <v>352</v>
      </c>
      <c r="E7121" t="s">
        <v>23454</v>
      </c>
      <c r="F7121" t="s">
        <v>7672</v>
      </c>
      <c r="G7121" t="s">
        <v>23455</v>
      </c>
      <c r="H7121" t="s">
        <v>16745</v>
      </c>
      <c r="I7121" t="s">
        <v>18714</v>
      </c>
      <c r="J7121" t="s">
        <v>8001</v>
      </c>
    </row>
    <row r="7122" spans="1:10" x14ac:dyDescent="0.25">
      <c r="A7122" t="s">
        <v>23462</v>
      </c>
      <c r="B7122">
        <v>12.48</v>
      </c>
      <c r="C7122" t="s">
        <v>23463</v>
      </c>
      <c r="D7122" t="s">
        <v>849</v>
      </c>
      <c r="E7122" t="s">
        <v>23464</v>
      </c>
      <c r="F7122" t="s">
        <v>7672</v>
      </c>
      <c r="G7122" t="s">
        <v>22577</v>
      </c>
      <c r="H7122" t="s">
        <v>9127</v>
      </c>
      <c r="I7122" t="s">
        <v>23465</v>
      </c>
      <c r="J7122" t="s">
        <v>9237</v>
      </c>
    </row>
    <row r="7123" spans="1:10" x14ac:dyDescent="0.25">
      <c r="A7123" t="s">
        <v>23466</v>
      </c>
      <c r="B7123">
        <v>12.48</v>
      </c>
      <c r="C7123" t="s">
        <v>23467</v>
      </c>
      <c r="D7123" t="s">
        <v>164</v>
      </c>
      <c r="E7123" t="s">
        <v>23464</v>
      </c>
      <c r="F7123" t="s">
        <v>7672</v>
      </c>
      <c r="G7123" t="s">
        <v>22577</v>
      </c>
      <c r="H7123" t="s">
        <v>9127</v>
      </c>
      <c r="I7123" t="s">
        <v>23468</v>
      </c>
      <c r="J7123" t="s">
        <v>9237</v>
      </c>
    </row>
    <row r="7124" spans="1:10" x14ac:dyDescent="0.25">
      <c r="A7124" t="s">
        <v>23469</v>
      </c>
      <c r="B7124">
        <v>12.48</v>
      </c>
      <c r="C7124" t="s">
        <v>23470</v>
      </c>
      <c r="D7124" t="s">
        <v>2198</v>
      </c>
      <c r="E7124" t="s">
        <v>23464</v>
      </c>
      <c r="F7124" t="s">
        <v>7672</v>
      </c>
      <c r="G7124" t="s">
        <v>22577</v>
      </c>
      <c r="H7124" t="s">
        <v>9127</v>
      </c>
      <c r="I7124" t="s">
        <v>23465</v>
      </c>
      <c r="J7124" t="s">
        <v>8427</v>
      </c>
    </row>
    <row r="7125" spans="1:10" x14ac:dyDescent="0.25">
      <c r="A7125" t="s">
        <v>23471</v>
      </c>
      <c r="B7125">
        <v>12.48</v>
      </c>
      <c r="C7125" t="s">
        <v>23472</v>
      </c>
      <c r="D7125" t="s">
        <v>2804</v>
      </c>
      <c r="E7125" t="s">
        <v>23464</v>
      </c>
      <c r="F7125" t="s">
        <v>7672</v>
      </c>
      <c r="G7125" t="s">
        <v>22577</v>
      </c>
      <c r="H7125" t="s">
        <v>9127</v>
      </c>
      <c r="I7125" t="s">
        <v>23468</v>
      </c>
      <c r="J7125" t="s">
        <v>8427</v>
      </c>
    </row>
    <row r="7126" spans="1:10" x14ac:dyDescent="0.25">
      <c r="A7126" t="s">
        <v>23473</v>
      </c>
      <c r="B7126">
        <v>12.48</v>
      </c>
      <c r="C7126" t="s">
        <v>23474</v>
      </c>
      <c r="D7126" t="s">
        <v>2238</v>
      </c>
      <c r="E7126" t="s">
        <v>23464</v>
      </c>
      <c r="F7126" t="s">
        <v>7672</v>
      </c>
      <c r="G7126" t="s">
        <v>22577</v>
      </c>
      <c r="H7126" t="s">
        <v>9127</v>
      </c>
      <c r="I7126" t="s">
        <v>23465</v>
      </c>
      <c r="J7126" t="s">
        <v>8439</v>
      </c>
    </row>
    <row r="7127" spans="1:10" x14ac:dyDescent="0.25">
      <c r="A7127" t="s">
        <v>23475</v>
      </c>
      <c r="B7127">
        <v>12.48</v>
      </c>
      <c r="C7127" t="s">
        <v>23476</v>
      </c>
      <c r="D7127" t="s">
        <v>8193</v>
      </c>
      <c r="E7127" t="s">
        <v>23464</v>
      </c>
      <c r="F7127" t="s">
        <v>7672</v>
      </c>
      <c r="G7127" t="s">
        <v>22577</v>
      </c>
      <c r="H7127" t="s">
        <v>9127</v>
      </c>
      <c r="I7127" t="s">
        <v>23468</v>
      </c>
      <c r="J7127" t="s">
        <v>8439</v>
      </c>
    </row>
    <row r="7128" spans="1:10" x14ac:dyDescent="0.25">
      <c r="A7128" t="s">
        <v>23477</v>
      </c>
      <c r="B7128">
        <v>12.48</v>
      </c>
      <c r="C7128" t="s">
        <v>23478</v>
      </c>
      <c r="D7128" t="s">
        <v>720</v>
      </c>
      <c r="E7128" t="s">
        <v>23464</v>
      </c>
      <c r="F7128" t="s">
        <v>7672</v>
      </c>
      <c r="G7128" t="s">
        <v>22577</v>
      </c>
      <c r="H7128" t="s">
        <v>9127</v>
      </c>
      <c r="I7128" t="s">
        <v>23465</v>
      </c>
      <c r="J7128" t="s">
        <v>8451</v>
      </c>
    </row>
    <row r="7129" spans="1:10" x14ac:dyDescent="0.25">
      <c r="A7129" t="s">
        <v>23479</v>
      </c>
      <c r="B7129">
        <v>12.48</v>
      </c>
      <c r="C7129" t="s">
        <v>23480</v>
      </c>
      <c r="D7129" t="s">
        <v>1644</v>
      </c>
      <c r="E7129" t="s">
        <v>23464</v>
      </c>
      <c r="F7129" t="s">
        <v>7672</v>
      </c>
      <c r="G7129" t="s">
        <v>22577</v>
      </c>
      <c r="H7129" t="s">
        <v>9127</v>
      </c>
      <c r="I7129" t="s">
        <v>23468</v>
      </c>
      <c r="J7129" t="s">
        <v>8451</v>
      </c>
    </row>
    <row r="7130" spans="1:10" x14ac:dyDescent="0.25">
      <c r="A7130" t="s">
        <v>23481</v>
      </c>
      <c r="B7130">
        <v>12.48</v>
      </c>
      <c r="C7130" t="s">
        <v>23482</v>
      </c>
      <c r="D7130" t="s">
        <v>255</v>
      </c>
      <c r="E7130" t="s">
        <v>23464</v>
      </c>
      <c r="F7130" t="s">
        <v>7672</v>
      </c>
      <c r="G7130" t="s">
        <v>22577</v>
      </c>
      <c r="H7130" t="s">
        <v>9127</v>
      </c>
      <c r="I7130" t="s">
        <v>23483</v>
      </c>
      <c r="J7130" t="s">
        <v>8451</v>
      </c>
    </row>
    <row r="7131" spans="1:10" x14ac:dyDescent="0.25">
      <c r="A7131" t="s">
        <v>23484</v>
      </c>
      <c r="B7131">
        <v>12.48</v>
      </c>
      <c r="C7131" t="s">
        <v>23485</v>
      </c>
      <c r="D7131" t="s">
        <v>359</v>
      </c>
      <c r="E7131" t="s">
        <v>23464</v>
      </c>
      <c r="F7131" t="s">
        <v>7672</v>
      </c>
      <c r="G7131" t="s">
        <v>22577</v>
      </c>
      <c r="H7131" t="s">
        <v>9127</v>
      </c>
      <c r="I7131" t="s">
        <v>23465</v>
      </c>
      <c r="J7131" t="s">
        <v>8462</v>
      </c>
    </row>
    <row r="7132" spans="1:10" x14ac:dyDescent="0.25">
      <c r="A7132" t="s">
        <v>23486</v>
      </c>
      <c r="B7132">
        <v>12.48</v>
      </c>
      <c r="C7132" t="s">
        <v>23487</v>
      </c>
      <c r="D7132" t="s">
        <v>781</v>
      </c>
      <c r="E7132" t="s">
        <v>23464</v>
      </c>
      <c r="F7132" t="s">
        <v>7672</v>
      </c>
      <c r="G7132" t="s">
        <v>22577</v>
      </c>
      <c r="H7132" t="s">
        <v>9127</v>
      </c>
      <c r="I7132" t="s">
        <v>23468</v>
      </c>
      <c r="J7132" t="s">
        <v>8462</v>
      </c>
    </row>
    <row r="7133" spans="1:10" x14ac:dyDescent="0.25">
      <c r="A7133" t="s">
        <v>23488</v>
      </c>
      <c r="B7133">
        <v>12.48</v>
      </c>
      <c r="C7133" t="s">
        <v>23489</v>
      </c>
      <c r="D7133" t="s">
        <v>282</v>
      </c>
      <c r="E7133" t="s">
        <v>23464</v>
      </c>
      <c r="F7133" t="s">
        <v>7672</v>
      </c>
      <c r="G7133" t="s">
        <v>22577</v>
      </c>
      <c r="H7133" t="s">
        <v>9127</v>
      </c>
      <c r="I7133" t="s">
        <v>23483</v>
      </c>
      <c r="J7133" t="s">
        <v>8462</v>
      </c>
    </row>
    <row r="7134" spans="1:10" x14ac:dyDescent="0.25">
      <c r="A7134" t="s">
        <v>23490</v>
      </c>
      <c r="B7134">
        <v>7.8000000000000007</v>
      </c>
      <c r="C7134" t="s">
        <v>23491</v>
      </c>
      <c r="D7134" t="s">
        <v>843</v>
      </c>
      <c r="E7134" t="s">
        <v>6473</v>
      </c>
      <c r="F7134" t="s">
        <v>7672</v>
      </c>
      <c r="G7134" t="s">
        <v>20481</v>
      </c>
      <c r="H7134" t="s">
        <v>7965</v>
      </c>
      <c r="I7134" t="s">
        <v>1440</v>
      </c>
      <c r="J7134" t="s">
        <v>7981</v>
      </c>
    </row>
    <row r="7135" spans="1:10" x14ac:dyDescent="0.25">
      <c r="A7135" t="s">
        <v>6470</v>
      </c>
      <c r="B7135">
        <v>7.8000000000000007</v>
      </c>
      <c r="C7135" t="s">
        <v>6472</v>
      </c>
      <c r="D7135" t="s">
        <v>786</v>
      </c>
      <c r="E7135" t="s">
        <v>6473</v>
      </c>
      <c r="F7135" t="s">
        <v>7672</v>
      </c>
      <c r="G7135" t="s">
        <v>20481</v>
      </c>
      <c r="H7135" t="s">
        <v>7965</v>
      </c>
      <c r="I7135" t="s">
        <v>1440</v>
      </c>
      <c r="J7135" t="s">
        <v>7984</v>
      </c>
    </row>
    <row r="7136" spans="1:10" x14ac:dyDescent="0.25">
      <c r="A7136" t="s">
        <v>6476</v>
      </c>
      <c r="B7136">
        <v>7.8000000000000007</v>
      </c>
      <c r="C7136" t="s">
        <v>6478</v>
      </c>
      <c r="D7136" t="s">
        <v>6480</v>
      </c>
      <c r="E7136" t="s">
        <v>6473</v>
      </c>
      <c r="F7136" t="s">
        <v>7672</v>
      </c>
      <c r="G7136" t="s">
        <v>20481</v>
      </c>
      <c r="H7136" t="s">
        <v>7965</v>
      </c>
      <c r="I7136" t="s">
        <v>1440</v>
      </c>
      <c r="J7136" t="s">
        <v>7987</v>
      </c>
    </row>
    <row r="7137" spans="1:10" x14ac:dyDescent="0.25">
      <c r="A7137" t="s">
        <v>6481</v>
      </c>
      <c r="B7137">
        <v>7.8000000000000007</v>
      </c>
      <c r="C7137" t="s">
        <v>6483</v>
      </c>
      <c r="D7137" t="s">
        <v>2001</v>
      </c>
      <c r="E7137" t="s">
        <v>6473</v>
      </c>
      <c r="F7137" t="s">
        <v>7672</v>
      </c>
      <c r="G7137" t="s">
        <v>20481</v>
      </c>
      <c r="H7137" t="s">
        <v>7965</v>
      </c>
      <c r="I7137" t="s">
        <v>1440</v>
      </c>
      <c r="J7137" t="s">
        <v>8001</v>
      </c>
    </row>
    <row r="7138" spans="1:10" x14ac:dyDescent="0.25">
      <c r="A7138" t="s">
        <v>23492</v>
      </c>
      <c r="B7138">
        <v>36</v>
      </c>
      <c r="C7138" t="s">
        <v>23493</v>
      </c>
      <c r="D7138" t="s">
        <v>100</v>
      </c>
      <c r="E7138" t="s">
        <v>23494</v>
      </c>
      <c r="F7138" t="s">
        <v>7672</v>
      </c>
      <c r="G7138" t="s">
        <v>23495</v>
      </c>
      <c r="H7138" t="s">
        <v>19910</v>
      </c>
      <c r="I7138" t="s">
        <v>18323</v>
      </c>
      <c r="J7138" t="s">
        <v>9694</v>
      </c>
    </row>
    <row r="7139" spans="1:10" x14ac:dyDescent="0.25">
      <c r="A7139" t="s">
        <v>23496</v>
      </c>
      <c r="B7139">
        <v>11.192</v>
      </c>
      <c r="C7139" t="s">
        <v>23497</v>
      </c>
      <c r="D7139" t="s">
        <v>199</v>
      </c>
      <c r="E7139" t="s">
        <v>23498</v>
      </c>
      <c r="F7139" t="s">
        <v>7672</v>
      </c>
      <c r="G7139" t="s">
        <v>23499</v>
      </c>
      <c r="H7139" t="s">
        <v>7674</v>
      </c>
      <c r="I7139" t="s">
        <v>8577</v>
      </c>
      <c r="J7139" t="s">
        <v>16039</v>
      </c>
    </row>
    <row r="7140" spans="1:10" x14ac:dyDescent="0.25">
      <c r="A7140" t="s">
        <v>23500</v>
      </c>
      <c r="B7140">
        <v>11.192</v>
      </c>
      <c r="C7140" t="s">
        <v>23501</v>
      </c>
      <c r="D7140" t="s">
        <v>1236</v>
      </c>
      <c r="E7140" t="s">
        <v>23498</v>
      </c>
      <c r="F7140" t="s">
        <v>7672</v>
      </c>
      <c r="G7140" t="s">
        <v>23499</v>
      </c>
      <c r="H7140" t="s">
        <v>7674</v>
      </c>
      <c r="I7140" t="s">
        <v>23502</v>
      </c>
      <c r="J7140" t="s">
        <v>16039</v>
      </c>
    </row>
    <row r="7141" spans="1:10" x14ac:dyDescent="0.25">
      <c r="A7141" t="s">
        <v>23503</v>
      </c>
      <c r="B7141">
        <v>11.192</v>
      </c>
      <c r="C7141" t="s">
        <v>23504</v>
      </c>
      <c r="D7141" t="s">
        <v>843</v>
      </c>
      <c r="E7141" t="s">
        <v>23498</v>
      </c>
      <c r="F7141" t="s">
        <v>7672</v>
      </c>
      <c r="G7141" t="s">
        <v>23499</v>
      </c>
      <c r="H7141" t="s">
        <v>7674</v>
      </c>
      <c r="I7141" t="s">
        <v>23502</v>
      </c>
      <c r="J7141" t="s">
        <v>16064</v>
      </c>
    </row>
    <row r="7142" spans="1:10" x14ac:dyDescent="0.25">
      <c r="A7142" t="s">
        <v>23505</v>
      </c>
      <c r="B7142">
        <v>11.192</v>
      </c>
      <c r="C7142" t="s">
        <v>23506</v>
      </c>
      <c r="D7142" t="s">
        <v>106</v>
      </c>
      <c r="E7142" t="s">
        <v>23498</v>
      </c>
      <c r="F7142" t="s">
        <v>7672</v>
      </c>
      <c r="G7142" t="s">
        <v>23499</v>
      </c>
      <c r="H7142" t="s">
        <v>7674</v>
      </c>
      <c r="I7142" t="s">
        <v>23502</v>
      </c>
      <c r="J7142" t="s">
        <v>16089</v>
      </c>
    </row>
    <row r="7143" spans="1:10" x14ac:dyDescent="0.25">
      <c r="A7143" t="s">
        <v>23507</v>
      </c>
      <c r="B7143">
        <v>11.192</v>
      </c>
      <c r="C7143" t="s">
        <v>23508</v>
      </c>
      <c r="D7143" t="s">
        <v>588</v>
      </c>
      <c r="E7143" t="s">
        <v>23498</v>
      </c>
      <c r="F7143" t="s">
        <v>7672</v>
      </c>
      <c r="G7143" t="s">
        <v>23499</v>
      </c>
      <c r="H7143" t="s">
        <v>7674</v>
      </c>
      <c r="I7143" t="s">
        <v>23502</v>
      </c>
      <c r="J7143" t="s">
        <v>16104</v>
      </c>
    </row>
    <row r="7144" spans="1:10" x14ac:dyDescent="0.25">
      <c r="A7144" t="s">
        <v>23509</v>
      </c>
      <c r="B7144">
        <v>11.192</v>
      </c>
      <c r="C7144" t="s">
        <v>23510</v>
      </c>
      <c r="D7144" t="s">
        <v>2072</v>
      </c>
      <c r="E7144" t="s">
        <v>23498</v>
      </c>
      <c r="F7144" t="s">
        <v>7672</v>
      </c>
      <c r="G7144" t="s">
        <v>23499</v>
      </c>
      <c r="H7144" t="s">
        <v>7674</v>
      </c>
      <c r="I7144" t="s">
        <v>23502</v>
      </c>
      <c r="J7144" t="s">
        <v>16125</v>
      </c>
    </row>
    <row r="7145" spans="1:10" x14ac:dyDescent="0.25">
      <c r="A7145" t="s">
        <v>23511</v>
      </c>
      <c r="B7145">
        <v>11.192</v>
      </c>
      <c r="C7145" t="s">
        <v>23512</v>
      </c>
      <c r="D7145" t="s">
        <v>1621</v>
      </c>
      <c r="E7145" t="s">
        <v>23498</v>
      </c>
      <c r="F7145" t="s">
        <v>7672</v>
      </c>
      <c r="G7145" t="s">
        <v>23499</v>
      </c>
      <c r="H7145" t="s">
        <v>7674</v>
      </c>
      <c r="I7145" t="s">
        <v>23502</v>
      </c>
      <c r="J7145" t="s">
        <v>16143</v>
      </c>
    </row>
    <row r="7146" spans="1:10" x14ac:dyDescent="0.25">
      <c r="A7146" t="s">
        <v>23513</v>
      </c>
      <c r="B7146">
        <v>20.16</v>
      </c>
      <c r="C7146" t="s">
        <v>23514</v>
      </c>
      <c r="D7146" t="s">
        <v>330</v>
      </c>
      <c r="E7146" t="s">
        <v>23515</v>
      </c>
      <c r="F7146" t="s">
        <v>7672</v>
      </c>
      <c r="G7146" t="s">
        <v>23516</v>
      </c>
      <c r="H7146" t="s">
        <v>8087</v>
      </c>
      <c r="I7146" t="s">
        <v>1357</v>
      </c>
      <c r="J7146" t="s">
        <v>7942</v>
      </c>
    </row>
    <row r="7147" spans="1:10" x14ac:dyDescent="0.25">
      <c r="A7147" t="s">
        <v>23517</v>
      </c>
      <c r="B7147">
        <v>20.16</v>
      </c>
      <c r="C7147" t="s">
        <v>23518</v>
      </c>
      <c r="D7147" t="s">
        <v>366</v>
      </c>
      <c r="E7147" t="s">
        <v>23515</v>
      </c>
      <c r="F7147" t="s">
        <v>7672</v>
      </c>
      <c r="G7147" t="s">
        <v>23516</v>
      </c>
      <c r="H7147" t="s">
        <v>8087</v>
      </c>
      <c r="I7147" t="s">
        <v>1357</v>
      </c>
      <c r="J7147" t="s">
        <v>7981</v>
      </c>
    </row>
    <row r="7148" spans="1:10" x14ac:dyDescent="0.25">
      <c r="A7148" t="s">
        <v>23519</v>
      </c>
      <c r="B7148">
        <v>20.16</v>
      </c>
      <c r="C7148" t="s">
        <v>23520</v>
      </c>
      <c r="D7148" t="s">
        <v>250</v>
      </c>
      <c r="E7148" t="s">
        <v>23515</v>
      </c>
      <c r="F7148" t="s">
        <v>7672</v>
      </c>
      <c r="G7148" t="s">
        <v>23516</v>
      </c>
      <c r="H7148" t="s">
        <v>8087</v>
      </c>
      <c r="I7148" t="s">
        <v>1357</v>
      </c>
      <c r="J7148" t="s">
        <v>7987</v>
      </c>
    </row>
    <row r="7149" spans="1:10" x14ac:dyDescent="0.25">
      <c r="A7149" t="s">
        <v>23521</v>
      </c>
      <c r="B7149">
        <v>7</v>
      </c>
      <c r="C7149" t="s">
        <v>23522</v>
      </c>
      <c r="D7149" t="s">
        <v>100</v>
      </c>
      <c r="E7149" t="s">
        <v>23523</v>
      </c>
      <c r="F7149" t="s">
        <v>7672</v>
      </c>
      <c r="G7149" t="s">
        <v>23524</v>
      </c>
      <c r="H7149" t="s">
        <v>7674</v>
      </c>
      <c r="I7149" t="s">
        <v>23525</v>
      </c>
      <c r="J7149" t="s">
        <v>7675</v>
      </c>
    </row>
    <row r="7150" spans="1:10" x14ac:dyDescent="0.25">
      <c r="A7150" t="s">
        <v>23526</v>
      </c>
      <c r="B7150">
        <v>7</v>
      </c>
      <c r="C7150" t="s">
        <v>23527</v>
      </c>
      <c r="D7150" t="s">
        <v>742</v>
      </c>
      <c r="E7150" t="s">
        <v>23523</v>
      </c>
      <c r="F7150" t="s">
        <v>7672</v>
      </c>
      <c r="G7150" t="s">
        <v>23524</v>
      </c>
      <c r="H7150" t="s">
        <v>7674</v>
      </c>
      <c r="I7150" t="s">
        <v>20110</v>
      </c>
      <c r="J7150" t="s">
        <v>7675</v>
      </c>
    </row>
    <row r="7151" spans="1:10" x14ac:dyDescent="0.25">
      <c r="A7151" t="s">
        <v>23528</v>
      </c>
      <c r="B7151">
        <v>7</v>
      </c>
      <c r="C7151" t="s">
        <v>23529</v>
      </c>
      <c r="D7151" t="s">
        <v>199</v>
      </c>
      <c r="E7151" t="s">
        <v>23523</v>
      </c>
      <c r="F7151" t="s">
        <v>7672</v>
      </c>
      <c r="G7151" t="s">
        <v>23524</v>
      </c>
      <c r="H7151" t="s">
        <v>7674</v>
      </c>
      <c r="I7151" t="s">
        <v>19547</v>
      </c>
      <c r="J7151" t="s">
        <v>7675</v>
      </c>
    </row>
    <row r="7152" spans="1:10" x14ac:dyDescent="0.25">
      <c r="A7152" t="s">
        <v>23530</v>
      </c>
      <c r="B7152">
        <v>7</v>
      </c>
      <c r="C7152" t="s">
        <v>23531</v>
      </c>
      <c r="D7152" t="s">
        <v>106</v>
      </c>
      <c r="E7152" t="s">
        <v>23523</v>
      </c>
      <c r="F7152" t="s">
        <v>7672</v>
      </c>
      <c r="G7152" t="s">
        <v>23524</v>
      </c>
      <c r="H7152" t="s">
        <v>7674</v>
      </c>
      <c r="I7152" t="s">
        <v>20224</v>
      </c>
      <c r="J7152" t="s">
        <v>7675</v>
      </c>
    </row>
    <row r="7153" spans="1:10" x14ac:dyDescent="0.25">
      <c r="A7153" t="s">
        <v>23532</v>
      </c>
      <c r="B7153">
        <v>5.1920000000000002</v>
      </c>
      <c r="C7153" t="s">
        <v>23533</v>
      </c>
      <c r="D7153" t="s">
        <v>1579</v>
      </c>
      <c r="E7153" t="s">
        <v>23534</v>
      </c>
      <c r="F7153" t="s">
        <v>7672</v>
      </c>
      <c r="G7153" t="s">
        <v>12947</v>
      </c>
      <c r="H7153" t="s">
        <v>8027</v>
      </c>
      <c r="I7153" t="s">
        <v>23535</v>
      </c>
      <c r="J7153" t="s">
        <v>8891</v>
      </c>
    </row>
    <row r="7154" spans="1:10" x14ac:dyDescent="0.25">
      <c r="A7154" t="s">
        <v>23536</v>
      </c>
      <c r="B7154">
        <v>5.1920000000000002</v>
      </c>
      <c r="C7154" t="s">
        <v>23537</v>
      </c>
      <c r="D7154" t="s">
        <v>23538</v>
      </c>
      <c r="E7154" t="s">
        <v>23534</v>
      </c>
      <c r="F7154" t="s">
        <v>7672</v>
      </c>
      <c r="G7154" t="s">
        <v>12947</v>
      </c>
      <c r="H7154" t="s">
        <v>8027</v>
      </c>
      <c r="I7154" t="s">
        <v>23535</v>
      </c>
      <c r="J7154" t="s">
        <v>8896</v>
      </c>
    </row>
    <row r="7155" spans="1:10" x14ac:dyDescent="0.25">
      <c r="A7155" t="s">
        <v>23539</v>
      </c>
      <c r="B7155">
        <v>5.1920000000000002</v>
      </c>
      <c r="C7155" t="s">
        <v>23540</v>
      </c>
      <c r="D7155" t="s">
        <v>8450</v>
      </c>
      <c r="E7155" t="s">
        <v>23534</v>
      </c>
      <c r="F7155" t="s">
        <v>7672</v>
      </c>
      <c r="G7155" t="s">
        <v>12947</v>
      </c>
      <c r="H7155" t="s">
        <v>8027</v>
      </c>
      <c r="I7155" t="s">
        <v>23541</v>
      </c>
      <c r="J7155" t="s">
        <v>8896</v>
      </c>
    </row>
    <row r="7156" spans="1:10" x14ac:dyDescent="0.25">
      <c r="A7156" t="s">
        <v>23542</v>
      </c>
      <c r="B7156">
        <v>5.1920000000000002</v>
      </c>
      <c r="C7156" t="s">
        <v>23543</v>
      </c>
      <c r="D7156" t="s">
        <v>23544</v>
      </c>
      <c r="E7156" t="s">
        <v>23534</v>
      </c>
      <c r="F7156" t="s">
        <v>7672</v>
      </c>
      <c r="G7156" t="s">
        <v>12947</v>
      </c>
      <c r="H7156" t="s">
        <v>8027</v>
      </c>
      <c r="I7156" t="s">
        <v>23535</v>
      </c>
      <c r="J7156" t="s">
        <v>9400</v>
      </c>
    </row>
    <row r="7157" spans="1:10" x14ac:dyDescent="0.25">
      <c r="A7157" t="s">
        <v>23545</v>
      </c>
      <c r="B7157">
        <v>5.1920000000000002</v>
      </c>
      <c r="C7157" t="s">
        <v>23546</v>
      </c>
      <c r="D7157" t="s">
        <v>11297</v>
      </c>
      <c r="E7157" t="s">
        <v>23534</v>
      </c>
      <c r="F7157" t="s">
        <v>7672</v>
      </c>
      <c r="G7157" t="s">
        <v>12947</v>
      </c>
      <c r="H7157" t="s">
        <v>8027</v>
      </c>
      <c r="I7157" t="s">
        <v>23541</v>
      </c>
      <c r="J7157" t="s">
        <v>9400</v>
      </c>
    </row>
    <row r="7158" spans="1:10" x14ac:dyDescent="0.25">
      <c r="A7158" t="s">
        <v>23547</v>
      </c>
      <c r="B7158">
        <v>5.1920000000000002</v>
      </c>
      <c r="C7158" t="s">
        <v>23548</v>
      </c>
      <c r="D7158" t="s">
        <v>9648</v>
      </c>
      <c r="E7158" t="s">
        <v>23534</v>
      </c>
      <c r="F7158" t="s">
        <v>7672</v>
      </c>
      <c r="G7158" t="s">
        <v>12947</v>
      </c>
      <c r="H7158" t="s">
        <v>8027</v>
      </c>
      <c r="I7158" t="s">
        <v>23541</v>
      </c>
      <c r="J7158" t="s">
        <v>9405</v>
      </c>
    </row>
    <row r="7159" spans="1:10" x14ac:dyDescent="0.25">
      <c r="A7159" t="s">
        <v>23549</v>
      </c>
      <c r="B7159">
        <v>5.1920000000000002</v>
      </c>
      <c r="C7159" t="s">
        <v>23550</v>
      </c>
      <c r="D7159" t="s">
        <v>17459</v>
      </c>
      <c r="E7159" t="s">
        <v>23534</v>
      </c>
      <c r="F7159" t="s">
        <v>7672</v>
      </c>
      <c r="G7159" t="s">
        <v>12947</v>
      </c>
      <c r="H7159" t="s">
        <v>8027</v>
      </c>
      <c r="I7159" t="s">
        <v>20339</v>
      </c>
      <c r="J7159" t="s">
        <v>9405</v>
      </c>
    </row>
    <row r="7160" spans="1:10" x14ac:dyDescent="0.25">
      <c r="A7160" t="s">
        <v>23551</v>
      </c>
      <c r="B7160">
        <v>5.1920000000000002</v>
      </c>
      <c r="C7160" t="s">
        <v>23552</v>
      </c>
      <c r="D7160" t="s">
        <v>576</v>
      </c>
      <c r="E7160" t="s">
        <v>23534</v>
      </c>
      <c r="F7160" t="s">
        <v>7672</v>
      </c>
      <c r="G7160" t="s">
        <v>12947</v>
      </c>
      <c r="H7160" t="s">
        <v>8027</v>
      </c>
      <c r="I7160" t="s">
        <v>20336</v>
      </c>
      <c r="J7160" t="s">
        <v>9405</v>
      </c>
    </row>
    <row r="7161" spans="1:10" x14ac:dyDescent="0.25">
      <c r="A7161" t="s">
        <v>23553</v>
      </c>
      <c r="B7161">
        <v>5.1920000000000002</v>
      </c>
      <c r="C7161" t="s">
        <v>23554</v>
      </c>
      <c r="D7161" t="s">
        <v>9615</v>
      </c>
      <c r="E7161" t="s">
        <v>23534</v>
      </c>
      <c r="F7161" t="s">
        <v>7672</v>
      </c>
      <c r="G7161" t="s">
        <v>12947</v>
      </c>
      <c r="H7161" t="s">
        <v>8027</v>
      </c>
      <c r="I7161" t="s">
        <v>23535</v>
      </c>
      <c r="J7161" t="s">
        <v>9405</v>
      </c>
    </row>
    <row r="7162" spans="1:10" x14ac:dyDescent="0.25">
      <c r="A7162" t="s">
        <v>23555</v>
      </c>
      <c r="B7162">
        <v>5.1920000000000002</v>
      </c>
      <c r="C7162" t="s">
        <v>23556</v>
      </c>
      <c r="D7162" t="s">
        <v>17693</v>
      </c>
      <c r="E7162" t="s">
        <v>23534</v>
      </c>
      <c r="F7162" t="s">
        <v>7672</v>
      </c>
      <c r="G7162" t="s">
        <v>12947</v>
      </c>
      <c r="H7162" t="s">
        <v>8027</v>
      </c>
      <c r="I7162" t="s">
        <v>23557</v>
      </c>
      <c r="J7162" t="s">
        <v>9405</v>
      </c>
    </row>
    <row r="7163" spans="1:10" x14ac:dyDescent="0.25">
      <c r="A7163" t="s">
        <v>6485</v>
      </c>
      <c r="B7163">
        <v>11.76</v>
      </c>
      <c r="C7163" t="s">
        <v>6487</v>
      </c>
      <c r="D7163" t="s">
        <v>53</v>
      </c>
      <c r="E7163" t="s">
        <v>6488</v>
      </c>
      <c r="F7163" t="s">
        <v>7672</v>
      </c>
      <c r="G7163" t="s">
        <v>23558</v>
      </c>
      <c r="H7163" t="s">
        <v>8087</v>
      </c>
      <c r="I7163" t="s">
        <v>546</v>
      </c>
      <c r="J7163" t="s">
        <v>7942</v>
      </c>
    </row>
    <row r="7164" spans="1:10" x14ac:dyDescent="0.25">
      <c r="A7164" t="s">
        <v>23559</v>
      </c>
      <c r="B7164">
        <v>11.76</v>
      </c>
      <c r="C7164" t="s">
        <v>23560</v>
      </c>
      <c r="D7164" t="s">
        <v>106</v>
      </c>
      <c r="E7164" t="s">
        <v>6488</v>
      </c>
      <c r="F7164" t="s">
        <v>7672</v>
      </c>
      <c r="G7164" t="s">
        <v>23558</v>
      </c>
      <c r="H7164" t="s">
        <v>8087</v>
      </c>
      <c r="I7164" t="s">
        <v>23561</v>
      </c>
      <c r="J7164" t="s">
        <v>7942</v>
      </c>
    </row>
    <row r="7165" spans="1:10" x14ac:dyDescent="0.25">
      <c r="A7165" t="s">
        <v>23562</v>
      </c>
      <c r="B7165">
        <v>11.76</v>
      </c>
      <c r="C7165" t="s">
        <v>23563</v>
      </c>
      <c r="D7165" t="s">
        <v>60</v>
      </c>
      <c r="E7165" t="s">
        <v>6488</v>
      </c>
      <c r="F7165" t="s">
        <v>7672</v>
      </c>
      <c r="G7165" t="s">
        <v>23558</v>
      </c>
      <c r="H7165" t="s">
        <v>8087</v>
      </c>
      <c r="I7165" t="s">
        <v>4045</v>
      </c>
      <c r="J7165" t="s">
        <v>7942</v>
      </c>
    </row>
    <row r="7166" spans="1:10" x14ac:dyDescent="0.25">
      <c r="A7166" t="s">
        <v>23564</v>
      </c>
      <c r="B7166">
        <v>11.76</v>
      </c>
      <c r="C7166" t="s">
        <v>23565</v>
      </c>
      <c r="D7166" t="s">
        <v>100</v>
      </c>
      <c r="E7166" t="s">
        <v>6488</v>
      </c>
      <c r="F7166" t="s">
        <v>7672</v>
      </c>
      <c r="G7166" t="s">
        <v>23558</v>
      </c>
      <c r="H7166" t="s">
        <v>8087</v>
      </c>
      <c r="I7166" t="s">
        <v>23566</v>
      </c>
      <c r="J7166" t="s">
        <v>7942</v>
      </c>
    </row>
    <row r="7167" spans="1:10" x14ac:dyDescent="0.25">
      <c r="A7167" t="s">
        <v>23567</v>
      </c>
      <c r="B7167">
        <v>11.76</v>
      </c>
      <c r="C7167" t="s">
        <v>23568</v>
      </c>
      <c r="D7167" t="s">
        <v>269</v>
      </c>
      <c r="E7167" t="s">
        <v>6488</v>
      </c>
      <c r="F7167" t="s">
        <v>7672</v>
      </c>
      <c r="G7167" t="s">
        <v>23558</v>
      </c>
      <c r="H7167" t="s">
        <v>8087</v>
      </c>
      <c r="I7167" t="s">
        <v>23561</v>
      </c>
      <c r="J7167" t="s">
        <v>7981</v>
      </c>
    </row>
    <row r="7168" spans="1:10" x14ac:dyDescent="0.25">
      <c r="A7168" t="s">
        <v>6491</v>
      </c>
      <c r="B7168">
        <v>11.76</v>
      </c>
      <c r="C7168" t="s">
        <v>6493</v>
      </c>
      <c r="D7168" t="s">
        <v>100</v>
      </c>
      <c r="E7168" t="s">
        <v>6488</v>
      </c>
      <c r="F7168" t="s">
        <v>7672</v>
      </c>
      <c r="G7168" t="s">
        <v>23558</v>
      </c>
      <c r="H7168" t="s">
        <v>8087</v>
      </c>
      <c r="I7168" t="s">
        <v>4045</v>
      </c>
      <c r="J7168" t="s">
        <v>7984</v>
      </c>
    </row>
    <row r="7169" spans="1:10" x14ac:dyDescent="0.25">
      <c r="A7169" t="s">
        <v>23569</v>
      </c>
      <c r="B7169">
        <v>11.76</v>
      </c>
      <c r="C7169" t="s">
        <v>23570</v>
      </c>
      <c r="D7169" t="s">
        <v>95</v>
      </c>
      <c r="E7169" t="s">
        <v>6488</v>
      </c>
      <c r="F7169" t="s">
        <v>7672</v>
      </c>
      <c r="G7169" t="s">
        <v>23558</v>
      </c>
      <c r="H7169" t="s">
        <v>8087</v>
      </c>
      <c r="I7169" t="s">
        <v>23566</v>
      </c>
      <c r="J7169" t="s">
        <v>7984</v>
      </c>
    </row>
    <row r="7170" spans="1:10" x14ac:dyDescent="0.25">
      <c r="A7170" t="s">
        <v>6495</v>
      </c>
      <c r="B7170">
        <v>11.76</v>
      </c>
      <c r="C7170" t="s">
        <v>6497</v>
      </c>
      <c r="D7170" t="s">
        <v>88</v>
      </c>
      <c r="E7170" t="s">
        <v>6488</v>
      </c>
      <c r="F7170" t="s">
        <v>7672</v>
      </c>
      <c r="G7170" t="s">
        <v>23558</v>
      </c>
      <c r="H7170" t="s">
        <v>8087</v>
      </c>
      <c r="I7170" t="s">
        <v>546</v>
      </c>
      <c r="J7170" t="s">
        <v>7984</v>
      </c>
    </row>
    <row r="7171" spans="1:10" x14ac:dyDescent="0.25">
      <c r="A7171" t="s">
        <v>23571</v>
      </c>
      <c r="B7171">
        <v>11.76</v>
      </c>
      <c r="C7171" t="s">
        <v>23572</v>
      </c>
      <c r="D7171" t="s">
        <v>277</v>
      </c>
      <c r="E7171" t="s">
        <v>6488</v>
      </c>
      <c r="F7171" t="s">
        <v>7672</v>
      </c>
      <c r="G7171" t="s">
        <v>23558</v>
      </c>
      <c r="H7171" t="s">
        <v>8087</v>
      </c>
      <c r="I7171" t="s">
        <v>23561</v>
      </c>
      <c r="J7171" t="s">
        <v>7984</v>
      </c>
    </row>
    <row r="7172" spans="1:10" x14ac:dyDescent="0.25">
      <c r="A7172" t="s">
        <v>6499</v>
      </c>
      <c r="B7172">
        <v>11.76</v>
      </c>
      <c r="C7172" t="s">
        <v>6501</v>
      </c>
      <c r="D7172" t="s">
        <v>576</v>
      </c>
      <c r="E7172" t="s">
        <v>6488</v>
      </c>
      <c r="F7172" t="s">
        <v>7672</v>
      </c>
      <c r="G7172" t="s">
        <v>23558</v>
      </c>
      <c r="H7172" t="s">
        <v>8087</v>
      </c>
      <c r="I7172" t="s">
        <v>4045</v>
      </c>
      <c r="J7172" t="s">
        <v>7987</v>
      </c>
    </row>
    <row r="7173" spans="1:10" x14ac:dyDescent="0.25">
      <c r="A7173" t="s">
        <v>6503</v>
      </c>
      <c r="B7173">
        <v>11.76</v>
      </c>
      <c r="C7173" t="s">
        <v>6505</v>
      </c>
      <c r="D7173" t="s">
        <v>352</v>
      </c>
      <c r="E7173" t="s">
        <v>6488</v>
      </c>
      <c r="F7173" t="s">
        <v>7672</v>
      </c>
      <c r="G7173" t="s">
        <v>23558</v>
      </c>
      <c r="H7173" t="s">
        <v>8087</v>
      </c>
      <c r="I7173" t="s">
        <v>546</v>
      </c>
      <c r="J7173" t="s">
        <v>7987</v>
      </c>
    </row>
    <row r="7174" spans="1:10" x14ac:dyDescent="0.25">
      <c r="A7174" t="s">
        <v>23573</v>
      </c>
      <c r="B7174">
        <v>11.76</v>
      </c>
      <c r="C7174" t="s">
        <v>23574</v>
      </c>
      <c r="D7174" t="s">
        <v>164</v>
      </c>
      <c r="E7174" t="s">
        <v>6488</v>
      </c>
      <c r="F7174" t="s">
        <v>7672</v>
      </c>
      <c r="G7174" t="s">
        <v>23558</v>
      </c>
      <c r="H7174" t="s">
        <v>8087</v>
      </c>
      <c r="I7174" t="s">
        <v>23561</v>
      </c>
      <c r="J7174" t="s">
        <v>7987</v>
      </c>
    </row>
    <row r="7175" spans="1:10" x14ac:dyDescent="0.25">
      <c r="A7175" t="s">
        <v>6507</v>
      </c>
      <c r="B7175">
        <v>11.76</v>
      </c>
      <c r="C7175" t="s">
        <v>6509</v>
      </c>
      <c r="D7175" t="s">
        <v>60</v>
      </c>
      <c r="E7175" t="s">
        <v>6488</v>
      </c>
      <c r="F7175" t="s">
        <v>7672</v>
      </c>
      <c r="G7175" t="s">
        <v>23558</v>
      </c>
      <c r="H7175" t="s">
        <v>8087</v>
      </c>
      <c r="I7175" t="s">
        <v>4045</v>
      </c>
      <c r="J7175" t="s">
        <v>8001</v>
      </c>
    </row>
    <row r="7176" spans="1:10" x14ac:dyDescent="0.25">
      <c r="A7176" t="s">
        <v>23575</v>
      </c>
      <c r="B7176">
        <v>11.76</v>
      </c>
      <c r="C7176" t="s">
        <v>23576</v>
      </c>
      <c r="D7176" t="s">
        <v>53</v>
      </c>
      <c r="E7176" t="s">
        <v>6488</v>
      </c>
      <c r="F7176" t="s">
        <v>7672</v>
      </c>
      <c r="G7176" t="s">
        <v>23558</v>
      </c>
      <c r="H7176" t="s">
        <v>8087</v>
      </c>
      <c r="I7176" t="s">
        <v>23566</v>
      </c>
      <c r="J7176" t="s">
        <v>8001</v>
      </c>
    </row>
    <row r="7177" spans="1:10" x14ac:dyDescent="0.25">
      <c r="A7177" t="s">
        <v>6511</v>
      </c>
      <c r="B7177">
        <v>11.76</v>
      </c>
      <c r="C7177" t="s">
        <v>6513</v>
      </c>
      <c r="D7177" t="s">
        <v>282</v>
      </c>
      <c r="E7177" t="s">
        <v>6488</v>
      </c>
      <c r="F7177" t="s">
        <v>7672</v>
      </c>
      <c r="G7177" t="s">
        <v>23558</v>
      </c>
      <c r="H7177" t="s">
        <v>8087</v>
      </c>
      <c r="I7177" t="s">
        <v>546</v>
      </c>
      <c r="J7177" t="s">
        <v>8001</v>
      </c>
    </row>
    <row r="7178" spans="1:10" x14ac:dyDescent="0.25">
      <c r="A7178" t="s">
        <v>23577</v>
      </c>
      <c r="B7178">
        <v>11.76</v>
      </c>
      <c r="C7178" t="s">
        <v>23578</v>
      </c>
      <c r="D7178" t="s">
        <v>88</v>
      </c>
      <c r="E7178" t="s">
        <v>6488</v>
      </c>
      <c r="F7178" t="s">
        <v>7672</v>
      </c>
      <c r="G7178" t="s">
        <v>23558</v>
      </c>
      <c r="H7178" t="s">
        <v>8087</v>
      </c>
      <c r="I7178" t="s">
        <v>23561</v>
      </c>
      <c r="J7178" t="s">
        <v>8001</v>
      </c>
    </row>
    <row r="7179" spans="1:10" x14ac:dyDescent="0.25">
      <c r="A7179" t="s">
        <v>23579</v>
      </c>
      <c r="B7179">
        <v>14.4</v>
      </c>
      <c r="C7179" t="s">
        <v>23580</v>
      </c>
      <c r="D7179" t="s">
        <v>131</v>
      </c>
      <c r="E7179" t="s">
        <v>23581</v>
      </c>
      <c r="F7179" t="s">
        <v>7672</v>
      </c>
      <c r="G7179" t="s">
        <v>23582</v>
      </c>
      <c r="H7179" t="s">
        <v>8078</v>
      </c>
      <c r="I7179" t="s">
        <v>76</v>
      </c>
      <c r="J7179" t="s">
        <v>8001</v>
      </c>
    </row>
    <row r="7180" spans="1:10" x14ac:dyDescent="0.25">
      <c r="A7180" t="s">
        <v>23583</v>
      </c>
      <c r="B7180">
        <v>14.4</v>
      </c>
      <c r="C7180" t="s">
        <v>23584</v>
      </c>
      <c r="D7180" t="s">
        <v>286</v>
      </c>
      <c r="E7180" t="s">
        <v>23581</v>
      </c>
      <c r="F7180" t="s">
        <v>7672</v>
      </c>
      <c r="G7180" t="s">
        <v>23582</v>
      </c>
      <c r="H7180" t="s">
        <v>8078</v>
      </c>
      <c r="I7180" t="s">
        <v>278</v>
      </c>
      <c r="J7180" t="s">
        <v>8001</v>
      </c>
    </row>
    <row r="7181" spans="1:10" x14ac:dyDescent="0.25">
      <c r="A7181" t="s">
        <v>23585</v>
      </c>
      <c r="B7181">
        <v>14.4</v>
      </c>
      <c r="C7181" t="s">
        <v>23586</v>
      </c>
      <c r="D7181" t="s">
        <v>436</v>
      </c>
      <c r="E7181" t="s">
        <v>23581</v>
      </c>
      <c r="F7181" t="s">
        <v>7672</v>
      </c>
      <c r="G7181" t="s">
        <v>23582</v>
      </c>
      <c r="H7181" t="s">
        <v>8078</v>
      </c>
      <c r="I7181" t="s">
        <v>76</v>
      </c>
      <c r="J7181" t="s">
        <v>8013</v>
      </c>
    </row>
    <row r="7182" spans="1:10" x14ac:dyDescent="0.25">
      <c r="A7182" t="s">
        <v>23587</v>
      </c>
      <c r="B7182">
        <v>14.4</v>
      </c>
      <c r="C7182" t="s">
        <v>23588</v>
      </c>
      <c r="D7182" t="s">
        <v>516</v>
      </c>
      <c r="E7182" t="s">
        <v>23581</v>
      </c>
      <c r="F7182" t="s">
        <v>7672</v>
      </c>
      <c r="G7182" t="s">
        <v>23582</v>
      </c>
      <c r="H7182" t="s">
        <v>8078</v>
      </c>
      <c r="I7182" t="s">
        <v>278</v>
      </c>
      <c r="J7182" t="s">
        <v>8013</v>
      </c>
    </row>
    <row r="7183" spans="1:10" x14ac:dyDescent="0.25">
      <c r="A7183" t="s">
        <v>23589</v>
      </c>
      <c r="B7183">
        <v>9</v>
      </c>
      <c r="C7183" t="s">
        <v>23590</v>
      </c>
      <c r="D7183" t="s">
        <v>379</v>
      </c>
      <c r="E7183" t="s">
        <v>23591</v>
      </c>
      <c r="F7183" t="s">
        <v>7672</v>
      </c>
      <c r="G7183" t="s">
        <v>23592</v>
      </c>
      <c r="H7183" t="s">
        <v>7674</v>
      </c>
      <c r="I7183" t="s">
        <v>23593</v>
      </c>
      <c r="J7183" t="s">
        <v>7675</v>
      </c>
    </row>
    <row r="7184" spans="1:10" x14ac:dyDescent="0.25">
      <c r="A7184" t="s">
        <v>23594</v>
      </c>
      <c r="B7184">
        <v>9</v>
      </c>
      <c r="C7184" t="s">
        <v>23595</v>
      </c>
      <c r="D7184" t="s">
        <v>4100</v>
      </c>
      <c r="E7184" t="s">
        <v>23591</v>
      </c>
      <c r="F7184" t="s">
        <v>7672</v>
      </c>
      <c r="G7184" t="s">
        <v>23592</v>
      </c>
      <c r="H7184" t="s">
        <v>7674</v>
      </c>
      <c r="I7184" t="s">
        <v>7690</v>
      </c>
      <c r="J7184" t="s">
        <v>7675</v>
      </c>
    </row>
    <row r="7185" spans="1:10" x14ac:dyDescent="0.25">
      <c r="A7185" t="s">
        <v>23596</v>
      </c>
      <c r="B7185">
        <v>9</v>
      </c>
      <c r="C7185" t="s">
        <v>23597</v>
      </c>
      <c r="D7185" t="s">
        <v>4100</v>
      </c>
      <c r="E7185" t="s">
        <v>23591</v>
      </c>
      <c r="F7185" t="s">
        <v>7672</v>
      </c>
      <c r="G7185" t="s">
        <v>23592</v>
      </c>
      <c r="H7185" t="s">
        <v>7674</v>
      </c>
      <c r="I7185" t="s">
        <v>12325</v>
      </c>
      <c r="J7185" t="s">
        <v>7675</v>
      </c>
    </row>
    <row r="7186" spans="1:10" x14ac:dyDescent="0.25">
      <c r="A7186" t="s">
        <v>23598</v>
      </c>
      <c r="B7186">
        <v>9</v>
      </c>
      <c r="C7186" t="s">
        <v>23599</v>
      </c>
      <c r="D7186" t="s">
        <v>100</v>
      </c>
      <c r="E7186" t="s">
        <v>23591</v>
      </c>
      <c r="F7186" t="s">
        <v>7672</v>
      </c>
      <c r="G7186" t="s">
        <v>23592</v>
      </c>
      <c r="H7186" t="s">
        <v>7674</v>
      </c>
      <c r="I7186" t="s">
        <v>23600</v>
      </c>
      <c r="J7186" t="s">
        <v>7719</v>
      </c>
    </row>
    <row r="7187" spans="1:10" x14ac:dyDescent="0.25">
      <c r="A7187" t="s">
        <v>23601</v>
      </c>
      <c r="B7187">
        <v>11.192</v>
      </c>
      <c r="C7187" t="s">
        <v>23602</v>
      </c>
      <c r="D7187" t="s">
        <v>255</v>
      </c>
      <c r="E7187" t="s">
        <v>23603</v>
      </c>
      <c r="F7187" t="s">
        <v>7672</v>
      </c>
      <c r="G7187" t="s">
        <v>23604</v>
      </c>
      <c r="H7187" t="s">
        <v>9127</v>
      </c>
      <c r="I7187" t="s">
        <v>10117</v>
      </c>
      <c r="J7187" t="s">
        <v>11368</v>
      </c>
    </row>
    <row r="7188" spans="1:10" x14ac:dyDescent="0.25">
      <c r="A7188" t="s">
        <v>23605</v>
      </c>
      <c r="B7188">
        <v>11.192</v>
      </c>
      <c r="C7188" t="s">
        <v>23606</v>
      </c>
      <c r="D7188" t="s">
        <v>53</v>
      </c>
      <c r="E7188" t="s">
        <v>23603</v>
      </c>
      <c r="F7188" t="s">
        <v>7672</v>
      </c>
      <c r="G7188" t="s">
        <v>23604</v>
      </c>
      <c r="H7188" t="s">
        <v>9127</v>
      </c>
      <c r="I7188" t="s">
        <v>23607</v>
      </c>
      <c r="J7188" t="s">
        <v>11373</v>
      </c>
    </row>
    <row r="7189" spans="1:10" x14ac:dyDescent="0.25">
      <c r="A7189" t="s">
        <v>23608</v>
      </c>
      <c r="B7189">
        <v>11.192</v>
      </c>
      <c r="C7189" t="s">
        <v>23609</v>
      </c>
      <c r="D7189" t="s">
        <v>849</v>
      </c>
      <c r="E7189" t="s">
        <v>23603</v>
      </c>
      <c r="F7189" t="s">
        <v>7672</v>
      </c>
      <c r="G7189" t="s">
        <v>23604</v>
      </c>
      <c r="H7189" t="s">
        <v>9127</v>
      </c>
      <c r="I7189" t="s">
        <v>10117</v>
      </c>
      <c r="J7189" t="s">
        <v>11373</v>
      </c>
    </row>
    <row r="7190" spans="1:10" x14ac:dyDescent="0.25">
      <c r="A7190" t="s">
        <v>23610</v>
      </c>
      <c r="B7190">
        <v>11.192</v>
      </c>
      <c r="C7190" t="s">
        <v>23611</v>
      </c>
      <c r="D7190" t="s">
        <v>352</v>
      </c>
      <c r="E7190" t="s">
        <v>23603</v>
      </c>
      <c r="F7190" t="s">
        <v>7672</v>
      </c>
      <c r="G7190" t="s">
        <v>23604</v>
      </c>
      <c r="H7190" t="s">
        <v>9127</v>
      </c>
      <c r="I7190" t="s">
        <v>23607</v>
      </c>
      <c r="J7190" t="s">
        <v>11376</v>
      </c>
    </row>
    <row r="7191" spans="1:10" x14ac:dyDescent="0.25">
      <c r="A7191" t="s">
        <v>23612</v>
      </c>
      <c r="B7191">
        <v>11.192</v>
      </c>
      <c r="C7191" t="s">
        <v>23613</v>
      </c>
      <c r="D7191" t="s">
        <v>849</v>
      </c>
      <c r="E7191" t="s">
        <v>23603</v>
      </c>
      <c r="F7191" t="s">
        <v>7672</v>
      </c>
      <c r="G7191" t="s">
        <v>23604</v>
      </c>
      <c r="H7191" t="s">
        <v>9127</v>
      </c>
      <c r="I7191" t="s">
        <v>10117</v>
      </c>
      <c r="J7191" t="s">
        <v>11376</v>
      </c>
    </row>
    <row r="7192" spans="1:10" x14ac:dyDescent="0.25">
      <c r="A7192" t="s">
        <v>23614</v>
      </c>
      <c r="B7192">
        <v>11.192</v>
      </c>
      <c r="C7192" t="s">
        <v>23615</v>
      </c>
      <c r="D7192" t="s">
        <v>269</v>
      </c>
      <c r="E7192" t="s">
        <v>23603</v>
      </c>
      <c r="F7192" t="s">
        <v>7672</v>
      </c>
      <c r="G7192" t="s">
        <v>23604</v>
      </c>
      <c r="H7192" t="s">
        <v>9127</v>
      </c>
      <c r="I7192" t="s">
        <v>10117</v>
      </c>
      <c r="J7192" t="s">
        <v>9114</v>
      </c>
    </row>
    <row r="7193" spans="1:10" x14ac:dyDescent="0.25">
      <c r="A7193" t="s">
        <v>6515</v>
      </c>
      <c r="B7193">
        <v>21.6</v>
      </c>
      <c r="C7193" t="s">
        <v>6517</v>
      </c>
      <c r="D7193" t="s">
        <v>164</v>
      </c>
      <c r="E7193" t="s">
        <v>6518</v>
      </c>
      <c r="F7193" t="s">
        <v>7672</v>
      </c>
      <c r="G7193" t="s">
        <v>23616</v>
      </c>
      <c r="H7193" t="s">
        <v>8078</v>
      </c>
      <c r="I7193" t="s">
        <v>18887</v>
      </c>
      <c r="J7193" t="s">
        <v>7675</v>
      </c>
    </row>
    <row r="7194" spans="1:10" x14ac:dyDescent="0.25">
      <c r="A7194" t="s">
        <v>6522</v>
      </c>
      <c r="B7194">
        <v>21.6</v>
      </c>
      <c r="C7194" t="s">
        <v>6524</v>
      </c>
      <c r="D7194" t="s">
        <v>95</v>
      </c>
      <c r="E7194" t="s">
        <v>6518</v>
      </c>
      <c r="F7194" t="s">
        <v>7672</v>
      </c>
      <c r="G7194" t="s">
        <v>23616</v>
      </c>
      <c r="H7194" t="s">
        <v>8078</v>
      </c>
      <c r="I7194" t="s">
        <v>23617</v>
      </c>
      <c r="J7194" t="s">
        <v>7675</v>
      </c>
    </row>
    <row r="7195" spans="1:10" x14ac:dyDescent="0.25">
      <c r="A7195" t="s">
        <v>6527</v>
      </c>
      <c r="B7195">
        <v>21.6</v>
      </c>
      <c r="C7195" t="s">
        <v>6529</v>
      </c>
      <c r="D7195" t="s">
        <v>199</v>
      </c>
      <c r="E7195" t="s">
        <v>6518</v>
      </c>
      <c r="F7195" t="s">
        <v>7672</v>
      </c>
      <c r="G7195" t="s">
        <v>23616</v>
      </c>
      <c r="H7195" t="s">
        <v>8078</v>
      </c>
      <c r="I7195" t="s">
        <v>76</v>
      </c>
      <c r="J7195" t="s">
        <v>7675</v>
      </c>
    </row>
    <row r="7196" spans="1:10" x14ac:dyDescent="0.25">
      <c r="A7196" t="s">
        <v>6532</v>
      </c>
      <c r="B7196">
        <v>21.6</v>
      </c>
      <c r="C7196" t="s">
        <v>6534</v>
      </c>
      <c r="D7196" t="s">
        <v>849</v>
      </c>
      <c r="E7196" t="s">
        <v>6518</v>
      </c>
      <c r="F7196" t="s">
        <v>7672</v>
      </c>
      <c r="G7196" t="s">
        <v>23616</v>
      </c>
      <c r="H7196" t="s">
        <v>8078</v>
      </c>
      <c r="I7196" t="s">
        <v>8884</v>
      </c>
      <c r="J7196" t="s">
        <v>7675</v>
      </c>
    </row>
    <row r="7197" spans="1:10" x14ac:dyDescent="0.25">
      <c r="A7197" t="s">
        <v>23618</v>
      </c>
      <c r="B7197">
        <v>5.5920000000000014</v>
      </c>
      <c r="C7197" t="s">
        <v>23619</v>
      </c>
      <c r="D7197" t="s">
        <v>2697</v>
      </c>
      <c r="E7197" t="s">
        <v>23620</v>
      </c>
      <c r="F7197" t="s">
        <v>7672</v>
      </c>
      <c r="G7197" t="s">
        <v>23621</v>
      </c>
      <c r="H7197" t="s">
        <v>10298</v>
      </c>
      <c r="I7197" t="s">
        <v>3567</v>
      </c>
      <c r="J7197" t="s">
        <v>11696</v>
      </c>
    </row>
    <row r="7198" spans="1:10" x14ac:dyDescent="0.25">
      <c r="A7198" t="s">
        <v>23622</v>
      </c>
      <c r="B7198">
        <v>5.5920000000000014</v>
      </c>
      <c r="C7198" t="s">
        <v>23623</v>
      </c>
      <c r="D7198" t="s">
        <v>3184</v>
      </c>
      <c r="E7198" t="s">
        <v>23620</v>
      </c>
      <c r="F7198" t="s">
        <v>7672</v>
      </c>
      <c r="G7198" t="s">
        <v>23621</v>
      </c>
      <c r="H7198" t="s">
        <v>10298</v>
      </c>
      <c r="I7198" t="s">
        <v>4821</v>
      </c>
      <c r="J7198" t="s">
        <v>11696</v>
      </c>
    </row>
    <row r="7199" spans="1:10" x14ac:dyDescent="0.25">
      <c r="A7199" t="s">
        <v>23624</v>
      </c>
      <c r="B7199">
        <v>5.5920000000000014</v>
      </c>
      <c r="C7199" t="s">
        <v>23625</v>
      </c>
      <c r="D7199" t="s">
        <v>296</v>
      </c>
      <c r="E7199" t="s">
        <v>23620</v>
      </c>
      <c r="F7199" t="s">
        <v>7672</v>
      </c>
      <c r="G7199" t="s">
        <v>23621</v>
      </c>
      <c r="H7199" t="s">
        <v>10298</v>
      </c>
      <c r="I7199" t="s">
        <v>76</v>
      </c>
      <c r="J7199" t="s">
        <v>11696</v>
      </c>
    </row>
    <row r="7200" spans="1:10" x14ac:dyDescent="0.25">
      <c r="A7200" t="s">
        <v>23626</v>
      </c>
      <c r="B7200">
        <v>5.5920000000000014</v>
      </c>
      <c r="C7200" t="s">
        <v>23627</v>
      </c>
      <c r="D7200" t="s">
        <v>633</v>
      </c>
      <c r="E7200" t="s">
        <v>23620</v>
      </c>
      <c r="F7200" t="s">
        <v>7672</v>
      </c>
      <c r="G7200" t="s">
        <v>23621</v>
      </c>
      <c r="H7200" t="s">
        <v>10298</v>
      </c>
      <c r="I7200" t="s">
        <v>3567</v>
      </c>
      <c r="J7200" t="s">
        <v>11702</v>
      </c>
    </row>
    <row r="7201" spans="1:10" x14ac:dyDescent="0.25">
      <c r="A7201" t="s">
        <v>23628</v>
      </c>
      <c r="B7201">
        <v>5.5920000000000014</v>
      </c>
      <c r="C7201" t="s">
        <v>23629</v>
      </c>
      <c r="D7201" t="s">
        <v>1254</v>
      </c>
      <c r="E7201" t="s">
        <v>23620</v>
      </c>
      <c r="F7201" t="s">
        <v>7672</v>
      </c>
      <c r="G7201" t="s">
        <v>23621</v>
      </c>
      <c r="H7201" t="s">
        <v>10298</v>
      </c>
      <c r="I7201" t="s">
        <v>4821</v>
      </c>
      <c r="J7201" t="s">
        <v>11702</v>
      </c>
    </row>
    <row r="7202" spans="1:10" x14ac:dyDescent="0.25">
      <c r="A7202" t="s">
        <v>23630</v>
      </c>
      <c r="B7202">
        <v>5.5920000000000014</v>
      </c>
      <c r="C7202" t="s">
        <v>23631</v>
      </c>
      <c r="D7202" t="s">
        <v>151</v>
      </c>
      <c r="E7202" t="s">
        <v>23620</v>
      </c>
      <c r="F7202" t="s">
        <v>7672</v>
      </c>
      <c r="G7202" t="s">
        <v>23621</v>
      </c>
      <c r="H7202" t="s">
        <v>10298</v>
      </c>
      <c r="I7202" t="s">
        <v>76</v>
      </c>
      <c r="J7202" t="s">
        <v>11702</v>
      </c>
    </row>
    <row r="7203" spans="1:10" x14ac:dyDescent="0.25">
      <c r="A7203" t="s">
        <v>23632</v>
      </c>
      <c r="B7203">
        <v>5.5920000000000014</v>
      </c>
      <c r="C7203" t="s">
        <v>23633</v>
      </c>
      <c r="D7203" t="s">
        <v>2198</v>
      </c>
      <c r="E7203" t="s">
        <v>23620</v>
      </c>
      <c r="F7203" t="s">
        <v>7672</v>
      </c>
      <c r="G7203" t="s">
        <v>23621</v>
      </c>
      <c r="H7203" t="s">
        <v>10298</v>
      </c>
      <c r="I7203" t="s">
        <v>3567</v>
      </c>
      <c r="J7203" t="s">
        <v>11710</v>
      </c>
    </row>
    <row r="7204" spans="1:10" x14ac:dyDescent="0.25">
      <c r="A7204" t="s">
        <v>23634</v>
      </c>
      <c r="B7204">
        <v>5.5920000000000014</v>
      </c>
      <c r="C7204" t="s">
        <v>23635</v>
      </c>
      <c r="D7204" t="s">
        <v>3827</v>
      </c>
      <c r="E7204" t="s">
        <v>23620</v>
      </c>
      <c r="F7204" t="s">
        <v>7672</v>
      </c>
      <c r="G7204" t="s">
        <v>23621</v>
      </c>
      <c r="H7204" t="s">
        <v>10298</v>
      </c>
      <c r="I7204" t="s">
        <v>4821</v>
      </c>
      <c r="J7204" t="s">
        <v>11710</v>
      </c>
    </row>
    <row r="7205" spans="1:10" x14ac:dyDescent="0.25">
      <c r="A7205" t="s">
        <v>23636</v>
      </c>
      <c r="B7205">
        <v>5.5920000000000014</v>
      </c>
      <c r="C7205" t="s">
        <v>23637</v>
      </c>
      <c r="D7205" t="s">
        <v>10449</v>
      </c>
      <c r="E7205" t="s">
        <v>23620</v>
      </c>
      <c r="F7205" t="s">
        <v>7672</v>
      </c>
      <c r="G7205" t="s">
        <v>23621</v>
      </c>
      <c r="H7205" t="s">
        <v>10298</v>
      </c>
      <c r="I7205" t="s">
        <v>76</v>
      </c>
      <c r="J7205" t="s">
        <v>11710</v>
      </c>
    </row>
    <row r="7206" spans="1:10" x14ac:dyDescent="0.25">
      <c r="A7206" t="s">
        <v>23638</v>
      </c>
      <c r="B7206">
        <v>5.5920000000000014</v>
      </c>
      <c r="C7206" t="s">
        <v>23639</v>
      </c>
      <c r="D7206" t="s">
        <v>10432</v>
      </c>
      <c r="E7206" t="s">
        <v>23620</v>
      </c>
      <c r="F7206" t="s">
        <v>7672</v>
      </c>
      <c r="G7206" t="s">
        <v>23621</v>
      </c>
      <c r="H7206" t="s">
        <v>10298</v>
      </c>
      <c r="I7206" t="s">
        <v>3567</v>
      </c>
      <c r="J7206" t="s">
        <v>12182</v>
      </c>
    </row>
    <row r="7207" spans="1:10" x14ac:dyDescent="0.25">
      <c r="A7207" t="s">
        <v>23640</v>
      </c>
      <c r="B7207">
        <v>5.5920000000000014</v>
      </c>
      <c r="C7207" t="s">
        <v>23641</v>
      </c>
      <c r="D7207" t="s">
        <v>9653</v>
      </c>
      <c r="E7207" t="s">
        <v>23620</v>
      </c>
      <c r="F7207" t="s">
        <v>7672</v>
      </c>
      <c r="G7207" t="s">
        <v>23621</v>
      </c>
      <c r="H7207" t="s">
        <v>10298</v>
      </c>
      <c r="I7207" t="s">
        <v>4821</v>
      </c>
      <c r="J7207" t="s">
        <v>12182</v>
      </c>
    </row>
    <row r="7208" spans="1:10" x14ac:dyDescent="0.25">
      <c r="A7208" t="s">
        <v>23642</v>
      </c>
      <c r="B7208">
        <v>5.5920000000000014</v>
      </c>
      <c r="C7208" t="s">
        <v>23643</v>
      </c>
      <c r="D7208" t="s">
        <v>7937</v>
      </c>
      <c r="E7208" t="s">
        <v>23620</v>
      </c>
      <c r="F7208" t="s">
        <v>7672</v>
      </c>
      <c r="G7208" t="s">
        <v>23621</v>
      </c>
      <c r="H7208" t="s">
        <v>10298</v>
      </c>
      <c r="I7208" t="s">
        <v>76</v>
      </c>
      <c r="J7208" t="s">
        <v>12182</v>
      </c>
    </row>
    <row r="7209" spans="1:10" x14ac:dyDescent="0.25">
      <c r="A7209" t="s">
        <v>23644</v>
      </c>
      <c r="B7209">
        <v>5.5920000000000014</v>
      </c>
      <c r="C7209" t="s">
        <v>23645</v>
      </c>
      <c r="D7209" t="s">
        <v>3175</v>
      </c>
      <c r="E7209" t="s">
        <v>23620</v>
      </c>
      <c r="F7209" t="s">
        <v>7672</v>
      </c>
      <c r="G7209" t="s">
        <v>23621</v>
      </c>
      <c r="H7209" t="s">
        <v>10298</v>
      </c>
      <c r="I7209" t="s">
        <v>3567</v>
      </c>
      <c r="J7209" t="s">
        <v>10150</v>
      </c>
    </row>
    <row r="7210" spans="1:10" x14ac:dyDescent="0.25">
      <c r="A7210" t="s">
        <v>23646</v>
      </c>
      <c r="B7210">
        <v>5.5920000000000014</v>
      </c>
      <c r="C7210" t="s">
        <v>23647</v>
      </c>
      <c r="D7210" t="s">
        <v>4584</v>
      </c>
      <c r="E7210" t="s">
        <v>23620</v>
      </c>
      <c r="F7210" t="s">
        <v>7672</v>
      </c>
      <c r="G7210" t="s">
        <v>23621</v>
      </c>
      <c r="H7210" t="s">
        <v>10298</v>
      </c>
      <c r="I7210" t="s">
        <v>4821</v>
      </c>
      <c r="J7210" t="s">
        <v>10150</v>
      </c>
    </row>
    <row r="7211" spans="1:10" x14ac:dyDescent="0.25">
      <c r="A7211" t="s">
        <v>23648</v>
      </c>
      <c r="B7211">
        <v>5.5920000000000014</v>
      </c>
      <c r="C7211" t="s">
        <v>23649</v>
      </c>
      <c r="D7211" t="s">
        <v>10608</v>
      </c>
      <c r="E7211" t="s">
        <v>23620</v>
      </c>
      <c r="F7211" t="s">
        <v>7672</v>
      </c>
      <c r="G7211" t="s">
        <v>23621</v>
      </c>
      <c r="H7211" t="s">
        <v>10298</v>
      </c>
      <c r="I7211" t="s">
        <v>76</v>
      </c>
      <c r="J7211" t="s">
        <v>10150</v>
      </c>
    </row>
    <row r="7212" spans="1:10" x14ac:dyDescent="0.25">
      <c r="A7212" t="s">
        <v>23650</v>
      </c>
      <c r="B7212">
        <v>5.5920000000000014</v>
      </c>
      <c r="C7212" t="s">
        <v>23651</v>
      </c>
      <c r="D7212" t="s">
        <v>282</v>
      </c>
      <c r="E7212" t="s">
        <v>23620</v>
      </c>
      <c r="F7212" t="s">
        <v>7672</v>
      </c>
      <c r="G7212" t="s">
        <v>23621</v>
      </c>
      <c r="H7212" t="s">
        <v>10298</v>
      </c>
      <c r="I7212" t="s">
        <v>3567</v>
      </c>
      <c r="J7212" t="s">
        <v>15238</v>
      </c>
    </row>
    <row r="7213" spans="1:10" x14ac:dyDescent="0.25">
      <c r="A7213" t="s">
        <v>23652</v>
      </c>
      <c r="B7213">
        <v>5.5920000000000014</v>
      </c>
      <c r="C7213" t="s">
        <v>23653</v>
      </c>
      <c r="D7213" t="s">
        <v>269</v>
      </c>
      <c r="E7213" t="s">
        <v>23620</v>
      </c>
      <c r="F7213" t="s">
        <v>7672</v>
      </c>
      <c r="G7213" t="s">
        <v>23621</v>
      </c>
      <c r="H7213" t="s">
        <v>10298</v>
      </c>
      <c r="I7213" t="s">
        <v>4821</v>
      </c>
      <c r="J7213" t="s">
        <v>15238</v>
      </c>
    </row>
    <row r="7214" spans="1:10" x14ac:dyDescent="0.25">
      <c r="A7214" t="s">
        <v>23654</v>
      </c>
      <c r="B7214">
        <v>5.5920000000000014</v>
      </c>
      <c r="C7214" t="s">
        <v>23655</v>
      </c>
      <c r="D7214" t="s">
        <v>88</v>
      </c>
      <c r="E7214" t="s">
        <v>23620</v>
      </c>
      <c r="F7214" t="s">
        <v>7672</v>
      </c>
      <c r="G7214" t="s">
        <v>23621</v>
      </c>
      <c r="H7214" t="s">
        <v>10298</v>
      </c>
      <c r="I7214" t="s">
        <v>76</v>
      </c>
      <c r="J7214" t="s">
        <v>15238</v>
      </c>
    </row>
    <row r="7215" spans="1:10" x14ac:dyDescent="0.25">
      <c r="A7215" t="s">
        <v>23656</v>
      </c>
      <c r="B7215">
        <v>5.5920000000000014</v>
      </c>
      <c r="C7215" t="s">
        <v>23657</v>
      </c>
      <c r="D7215" t="s">
        <v>290</v>
      </c>
      <c r="E7215" t="s">
        <v>23620</v>
      </c>
      <c r="F7215" t="s">
        <v>7672</v>
      </c>
      <c r="G7215" t="s">
        <v>23621</v>
      </c>
      <c r="H7215" t="s">
        <v>10298</v>
      </c>
      <c r="I7215" t="s">
        <v>3567</v>
      </c>
      <c r="J7215" t="s">
        <v>15070</v>
      </c>
    </row>
    <row r="7216" spans="1:10" x14ac:dyDescent="0.25">
      <c r="A7216" t="s">
        <v>23658</v>
      </c>
      <c r="B7216">
        <v>5.5920000000000014</v>
      </c>
      <c r="C7216" t="s">
        <v>23659</v>
      </c>
      <c r="D7216" t="s">
        <v>352</v>
      </c>
      <c r="E7216" t="s">
        <v>23620</v>
      </c>
      <c r="F7216" t="s">
        <v>7672</v>
      </c>
      <c r="G7216" t="s">
        <v>23621</v>
      </c>
      <c r="H7216" t="s">
        <v>10298</v>
      </c>
      <c r="I7216" t="s">
        <v>4821</v>
      </c>
      <c r="J7216" t="s">
        <v>15070</v>
      </c>
    </row>
    <row r="7217" spans="1:10" x14ac:dyDescent="0.25">
      <c r="A7217" t="s">
        <v>23660</v>
      </c>
      <c r="B7217">
        <v>5.5920000000000014</v>
      </c>
      <c r="C7217" t="s">
        <v>23661</v>
      </c>
      <c r="D7217" t="s">
        <v>290</v>
      </c>
      <c r="E7217" t="s">
        <v>23620</v>
      </c>
      <c r="F7217" t="s">
        <v>7672</v>
      </c>
      <c r="G7217" t="s">
        <v>23621</v>
      </c>
      <c r="H7217" t="s">
        <v>10298</v>
      </c>
      <c r="I7217" t="s">
        <v>76</v>
      </c>
      <c r="J7217" t="s">
        <v>15070</v>
      </c>
    </row>
    <row r="7218" spans="1:10" x14ac:dyDescent="0.25">
      <c r="A7218" t="s">
        <v>23662</v>
      </c>
      <c r="B7218">
        <v>5.5920000000000014</v>
      </c>
      <c r="C7218" t="s">
        <v>23663</v>
      </c>
      <c r="D7218" t="s">
        <v>2879</v>
      </c>
      <c r="E7218" t="s">
        <v>23620</v>
      </c>
      <c r="F7218" t="s">
        <v>7672</v>
      </c>
      <c r="G7218" t="s">
        <v>23621</v>
      </c>
      <c r="H7218" t="s">
        <v>10298</v>
      </c>
      <c r="I7218" t="s">
        <v>3567</v>
      </c>
      <c r="J7218" t="s">
        <v>15073</v>
      </c>
    </row>
    <row r="7219" spans="1:10" x14ac:dyDescent="0.25">
      <c r="A7219" t="s">
        <v>23664</v>
      </c>
      <c r="B7219">
        <v>5.5920000000000014</v>
      </c>
      <c r="C7219" t="s">
        <v>23665</v>
      </c>
      <c r="D7219" t="s">
        <v>250</v>
      </c>
      <c r="E7219" t="s">
        <v>23620</v>
      </c>
      <c r="F7219" t="s">
        <v>7672</v>
      </c>
      <c r="G7219" t="s">
        <v>23621</v>
      </c>
      <c r="H7219" t="s">
        <v>10298</v>
      </c>
      <c r="I7219" t="s">
        <v>4821</v>
      </c>
      <c r="J7219" t="s">
        <v>15073</v>
      </c>
    </row>
    <row r="7220" spans="1:10" x14ac:dyDescent="0.25">
      <c r="A7220" t="s">
        <v>23666</v>
      </c>
      <c r="B7220">
        <v>5.5920000000000014</v>
      </c>
      <c r="C7220" t="s">
        <v>23667</v>
      </c>
      <c r="D7220" t="s">
        <v>1143</v>
      </c>
      <c r="E7220" t="s">
        <v>23620</v>
      </c>
      <c r="F7220" t="s">
        <v>7672</v>
      </c>
      <c r="G7220" t="s">
        <v>23621</v>
      </c>
      <c r="H7220" t="s">
        <v>10298</v>
      </c>
      <c r="I7220" t="s">
        <v>76</v>
      </c>
      <c r="J7220" t="s">
        <v>15073</v>
      </c>
    </row>
    <row r="7221" spans="1:10" x14ac:dyDescent="0.25">
      <c r="A7221" t="s">
        <v>23668</v>
      </c>
      <c r="B7221">
        <v>5.5920000000000014</v>
      </c>
      <c r="C7221" t="s">
        <v>23669</v>
      </c>
      <c r="D7221" t="s">
        <v>1143</v>
      </c>
      <c r="E7221" t="s">
        <v>23620</v>
      </c>
      <c r="F7221" t="s">
        <v>7672</v>
      </c>
      <c r="G7221" t="s">
        <v>23621</v>
      </c>
      <c r="H7221" t="s">
        <v>10298</v>
      </c>
      <c r="I7221" t="s">
        <v>4821</v>
      </c>
      <c r="J7221" t="s">
        <v>15076</v>
      </c>
    </row>
    <row r="7222" spans="1:10" x14ac:dyDescent="0.25">
      <c r="A7222" t="s">
        <v>23670</v>
      </c>
      <c r="B7222">
        <v>5.5920000000000014</v>
      </c>
      <c r="C7222" t="s">
        <v>23671</v>
      </c>
      <c r="D7222" t="s">
        <v>301</v>
      </c>
      <c r="E7222" t="s">
        <v>23620</v>
      </c>
      <c r="F7222" t="s">
        <v>7672</v>
      </c>
      <c r="G7222" t="s">
        <v>23621</v>
      </c>
      <c r="H7222" t="s">
        <v>10298</v>
      </c>
      <c r="I7222" t="s">
        <v>76</v>
      </c>
      <c r="J7222" t="s">
        <v>15076</v>
      </c>
    </row>
    <row r="7223" spans="1:10" x14ac:dyDescent="0.25">
      <c r="A7223" t="s">
        <v>23672</v>
      </c>
      <c r="B7223">
        <v>5.5920000000000014</v>
      </c>
      <c r="C7223" t="s">
        <v>23673</v>
      </c>
      <c r="D7223" t="s">
        <v>2879</v>
      </c>
      <c r="E7223" t="s">
        <v>23620</v>
      </c>
      <c r="F7223" t="s">
        <v>7672</v>
      </c>
      <c r="G7223" t="s">
        <v>23621</v>
      </c>
      <c r="H7223" t="s">
        <v>10298</v>
      </c>
      <c r="I7223" t="s">
        <v>3567</v>
      </c>
      <c r="J7223" t="s">
        <v>15076</v>
      </c>
    </row>
    <row r="7224" spans="1:10" x14ac:dyDescent="0.25">
      <c r="A7224" t="s">
        <v>23674</v>
      </c>
      <c r="B7224">
        <v>5.5920000000000014</v>
      </c>
      <c r="C7224" t="s">
        <v>23675</v>
      </c>
      <c r="D7224" t="s">
        <v>776</v>
      </c>
      <c r="E7224" t="s">
        <v>23620</v>
      </c>
      <c r="F7224" t="s">
        <v>7672</v>
      </c>
      <c r="G7224" t="s">
        <v>23621</v>
      </c>
      <c r="H7224" t="s">
        <v>10298</v>
      </c>
      <c r="I7224" t="s">
        <v>4821</v>
      </c>
      <c r="J7224" t="s">
        <v>15079</v>
      </c>
    </row>
    <row r="7225" spans="1:10" x14ac:dyDescent="0.25">
      <c r="A7225" t="s">
        <v>23676</v>
      </c>
      <c r="B7225">
        <v>5.5920000000000014</v>
      </c>
      <c r="C7225" t="s">
        <v>23677</v>
      </c>
      <c r="D7225" t="s">
        <v>1822</v>
      </c>
      <c r="E7225" t="s">
        <v>23620</v>
      </c>
      <c r="F7225" t="s">
        <v>7672</v>
      </c>
      <c r="G7225" t="s">
        <v>23621</v>
      </c>
      <c r="H7225" t="s">
        <v>10298</v>
      </c>
      <c r="I7225" t="s">
        <v>76</v>
      </c>
      <c r="J7225" t="s">
        <v>15079</v>
      </c>
    </row>
    <row r="7226" spans="1:10" x14ac:dyDescent="0.25">
      <c r="A7226" t="s">
        <v>23678</v>
      </c>
      <c r="B7226">
        <v>5.5920000000000014</v>
      </c>
      <c r="C7226" t="s">
        <v>23679</v>
      </c>
      <c r="D7226" t="s">
        <v>705</v>
      </c>
      <c r="E7226" t="s">
        <v>23620</v>
      </c>
      <c r="F7226" t="s">
        <v>7672</v>
      </c>
      <c r="G7226" t="s">
        <v>23621</v>
      </c>
      <c r="H7226" t="s">
        <v>10298</v>
      </c>
      <c r="I7226" t="s">
        <v>3567</v>
      </c>
      <c r="J7226" t="s">
        <v>15079</v>
      </c>
    </row>
    <row r="7227" spans="1:10" x14ac:dyDescent="0.25">
      <c r="A7227" t="s">
        <v>23680</v>
      </c>
      <c r="B7227">
        <v>8.8160000000000007</v>
      </c>
      <c r="C7227" t="s">
        <v>23681</v>
      </c>
      <c r="D7227" t="s">
        <v>100</v>
      </c>
      <c r="E7227" t="s">
        <v>23682</v>
      </c>
      <c r="F7227" t="s">
        <v>7672</v>
      </c>
      <c r="G7227" t="s">
        <v>23683</v>
      </c>
      <c r="H7227" t="s">
        <v>16745</v>
      </c>
      <c r="I7227" t="s">
        <v>23684</v>
      </c>
      <c r="J7227" t="s">
        <v>7942</v>
      </c>
    </row>
    <row r="7228" spans="1:10" x14ac:dyDescent="0.25">
      <c r="A7228" t="s">
        <v>23685</v>
      </c>
      <c r="B7228">
        <v>8.8160000000000007</v>
      </c>
      <c r="C7228" t="s">
        <v>23686</v>
      </c>
      <c r="D7228" t="s">
        <v>88</v>
      </c>
      <c r="E7228" t="s">
        <v>23682</v>
      </c>
      <c r="F7228" t="s">
        <v>7672</v>
      </c>
      <c r="G7228" t="s">
        <v>23683</v>
      </c>
      <c r="H7228" t="s">
        <v>16745</v>
      </c>
      <c r="I7228" t="s">
        <v>8577</v>
      </c>
      <c r="J7228" t="s">
        <v>7981</v>
      </c>
    </row>
    <row r="7229" spans="1:10" x14ac:dyDescent="0.25">
      <c r="A7229" t="s">
        <v>23687</v>
      </c>
      <c r="B7229">
        <v>8.8160000000000007</v>
      </c>
      <c r="C7229" t="s">
        <v>23688</v>
      </c>
      <c r="D7229" t="s">
        <v>199</v>
      </c>
      <c r="E7229" t="s">
        <v>23682</v>
      </c>
      <c r="F7229" t="s">
        <v>7672</v>
      </c>
      <c r="G7229" t="s">
        <v>23683</v>
      </c>
      <c r="H7229" t="s">
        <v>16745</v>
      </c>
      <c r="I7229" t="s">
        <v>23684</v>
      </c>
      <c r="J7229" t="s">
        <v>7981</v>
      </c>
    </row>
    <row r="7230" spans="1:10" x14ac:dyDescent="0.25">
      <c r="A7230" t="s">
        <v>23689</v>
      </c>
      <c r="B7230">
        <v>8.8160000000000007</v>
      </c>
      <c r="C7230" t="s">
        <v>23690</v>
      </c>
      <c r="D7230" t="s">
        <v>964</v>
      </c>
      <c r="E7230" t="s">
        <v>23682</v>
      </c>
      <c r="F7230" t="s">
        <v>7672</v>
      </c>
      <c r="G7230" t="s">
        <v>23683</v>
      </c>
      <c r="H7230" t="s">
        <v>16745</v>
      </c>
      <c r="I7230" t="s">
        <v>20177</v>
      </c>
      <c r="J7230" t="s">
        <v>7984</v>
      </c>
    </row>
    <row r="7231" spans="1:10" x14ac:dyDescent="0.25">
      <c r="A7231" t="s">
        <v>23691</v>
      </c>
      <c r="B7231">
        <v>8.8160000000000007</v>
      </c>
      <c r="C7231" t="s">
        <v>23692</v>
      </c>
      <c r="D7231" t="s">
        <v>286</v>
      </c>
      <c r="E7231" t="s">
        <v>23682</v>
      </c>
      <c r="F7231" t="s">
        <v>7672</v>
      </c>
      <c r="G7231" t="s">
        <v>23683</v>
      </c>
      <c r="H7231" t="s">
        <v>16745</v>
      </c>
      <c r="I7231" t="s">
        <v>23684</v>
      </c>
      <c r="J7231" t="s">
        <v>7984</v>
      </c>
    </row>
    <row r="7232" spans="1:10" x14ac:dyDescent="0.25">
      <c r="A7232" t="s">
        <v>23693</v>
      </c>
      <c r="B7232">
        <v>8.8160000000000007</v>
      </c>
      <c r="C7232" t="s">
        <v>23694</v>
      </c>
      <c r="D7232" t="s">
        <v>118</v>
      </c>
      <c r="E7232" t="s">
        <v>23682</v>
      </c>
      <c r="F7232" t="s">
        <v>7672</v>
      </c>
      <c r="G7232" t="s">
        <v>23683</v>
      </c>
      <c r="H7232" t="s">
        <v>16745</v>
      </c>
      <c r="I7232" t="s">
        <v>16746</v>
      </c>
      <c r="J7232" t="s">
        <v>7984</v>
      </c>
    </row>
    <row r="7233" spans="1:10" x14ac:dyDescent="0.25">
      <c r="A7233" t="s">
        <v>23695</v>
      </c>
      <c r="B7233">
        <v>8.8160000000000007</v>
      </c>
      <c r="C7233" t="s">
        <v>23696</v>
      </c>
      <c r="D7233" t="s">
        <v>164</v>
      </c>
      <c r="E7233" t="s">
        <v>23682</v>
      </c>
      <c r="F7233" t="s">
        <v>7672</v>
      </c>
      <c r="G7233" t="s">
        <v>23683</v>
      </c>
      <c r="H7233" t="s">
        <v>16745</v>
      </c>
      <c r="I7233" t="s">
        <v>16746</v>
      </c>
      <c r="J7233" t="s">
        <v>7987</v>
      </c>
    </row>
    <row r="7234" spans="1:10" x14ac:dyDescent="0.25">
      <c r="A7234" t="s">
        <v>23697</v>
      </c>
      <c r="B7234">
        <v>8.8160000000000007</v>
      </c>
      <c r="C7234" t="s">
        <v>23698</v>
      </c>
      <c r="D7234" t="s">
        <v>95</v>
      </c>
      <c r="E7234" t="s">
        <v>23682</v>
      </c>
      <c r="F7234" t="s">
        <v>7672</v>
      </c>
      <c r="G7234" t="s">
        <v>23683</v>
      </c>
      <c r="H7234" t="s">
        <v>16745</v>
      </c>
      <c r="I7234" t="s">
        <v>16746</v>
      </c>
      <c r="J7234" t="s">
        <v>8001</v>
      </c>
    </row>
    <row r="7235" spans="1:10" x14ac:dyDescent="0.25">
      <c r="A7235" t="s">
        <v>23699</v>
      </c>
      <c r="B7235">
        <v>8.8160000000000007</v>
      </c>
      <c r="C7235" t="s">
        <v>23700</v>
      </c>
      <c r="D7235" t="s">
        <v>106</v>
      </c>
      <c r="E7235" t="s">
        <v>23682</v>
      </c>
      <c r="F7235" t="s">
        <v>7672</v>
      </c>
      <c r="G7235" t="s">
        <v>23683</v>
      </c>
      <c r="H7235" t="s">
        <v>16745</v>
      </c>
      <c r="I7235" t="s">
        <v>23684</v>
      </c>
      <c r="J7235" t="s">
        <v>8013</v>
      </c>
    </row>
    <row r="7236" spans="1:10" x14ac:dyDescent="0.25">
      <c r="A7236" t="s">
        <v>23701</v>
      </c>
      <c r="B7236">
        <v>6.9840000000000009</v>
      </c>
      <c r="C7236" t="s">
        <v>23702</v>
      </c>
      <c r="D7236" t="s">
        <v>3577</v>
      </c>
      <c r="E7236" t="s">
        <v>23703</v>
      </c>
      <c r="F7236" t="s">
        <v>7672</v>
      </c>
      <c r="G7236" t="s">
        <v>23704</v>
      </c>
      <c r="H7236" t="s">
        <v>13897</v>
      </c>
      <c r="I7236" t="s">
        <v>5202</v>
      </c>
      <c r="J7236" t="s">
        <v>9423</v>
      </c>
    </row>
    <row r="7237" spans="1:10" x14ac:dyDescent="0.25">
      <c r="A7237" t="s">
        <v>23705</v>
      </c>
      <c r="B7237">
        <v>6.9840000000000009</v>
      </c>
      <c r="C7237" t="s">
        <v>23706</v>
      </c>
      <c r="D7237" t="s">
        <v>3944</v>
      </c>
      <c r="E7237" t="s">
        <v>23703</v>
      </c>
      <c r="F7237" t="s">
        <v>7672</v>
      </c>
      <c r="G7237" t="s">
        <v>23704</v>
      </c>
      <c r="H7237" t="s">
        <v>13897</v>
      </c>
      <c r="I7237" t="s">
        <v>5202</v>
      </c>
      <c r="J7237" t="s">
        <v>10862</v>
      </c>
    </row>
    <row r="7238" spans="1:10" x14ac:dyDescent="0.25">
      <c r="A7238" t="s">
        <v>23707</v>
      </c>
      <c r="B7238">
        <v>6.9840000000000009</v>
      </c>
      <c r="C7238" t="s">
        <v>23708</v>
      </c>
      <c r="D7238" t="s">
        <v>4804</v>
      </c>
      <c r="E7238" t="s">
        <v>23703</v>
      </c>
      <c r="F7238" t="s">
        <v>7672</v>
      </c>
      <c r="G7238" t="s">
        <v>23704</v>
      </c>
      <c r="H7238" t="s">
        <v>13897</v>
      </c>
      <c r="I7238" t="s">
        <v>5202</v>
      </c>
      <c r="J7238" t="s">
        <v>9426</v>
      </c>
    </row>
    <row r="7239" spans="1:10" x14ac:dyDescent="0.25">
      <c r="A7239" t="s">
        <v>23709</v>
      </c>
      <c r="B7239">
        <v>6.9840000000000009</v>
      </c>
      <c r="C7239" t="s">
        <v>23710</v>
      </c>
      <c r="D7239" t="s">
        <v>7057</v>
      </c>
      <c r="E7239" t="s">
        <v>23703</v>
      </c>
      <c r="F7239" t="s">
        <v>7672</v>
      </c>
      <c r="G7239" t="s">
        <v>23704</v>
      </c>
      <c r="H7239" t="s">
        <v>13897</v>
      </c>
      <c r="I7239" t="s">
        <v>5202</v>
      </c>
      <c r="J7239" t="s">
        <v>13084</v>
      </c>
    </row>
    <row r="7240" spans="1:10" x14ac:dyDescent="0.25">
      <c r="A7240" t="s">
        <v>23711</v>
      </c>
      <c r="B7240">
        <v>6.9840000000000009</v>
      </c>
      <c r="C7240" t="s">
        <v>23712</v>
      </c>
      <c r="D7240" t="s">
        <v>1965</v>
      </c>
      <c r="E7240" t="s">
        <v>23703</v>
      </c>
      <c r="F7240" t="s">
        <v>7672</v>
      </c>
      <c r="G7240" t="s">
        <v>23704</v>
      </c>
      <c r="H7240" t="s">
        <v>13897</v>
      </c>
      <c r="I7240" t="s">
        <v>5202</v>
      </c>
      <c r="J7240" t="s">
        <v>11767</v>
      </c>
    </row>
    <row r="7241" spans="1:10" x14ac:dyDescent="0.25">
      <c r="A7241" t="s">
        <v>23713</v>
      </c>
      <c r="B7241">
        <v>6.9840000000000009</v>
      </c>
      <c r="C7241" t="s">
        <v>23714</v>
      </c>
      <c r="D7241" t="s">
        <v>2797</v>
      </c>
      <c r="E7241" t="s">
        <v>23703</v>
      </c>
      <c r="F7241" t="s">
        <v>7672</v>
      </c>
      <c r="G7241" t="s">
        <v>23704</v>
      </c>
      <c r="H7241" t="s">
        <v>13897</v>
      </c>
      <c r="I7241" t="s">
        <v>5202</v>
      </c>
      <c r="J7241" t="s">
        <v>11582</v>
      </c>
    </row>
    <row r="7242" spans="1:10" x14ac:dyDescent="0.25">
      <c r="A7242" t="s">
        <v>23715</v>
      </c>
      <c r="B7242">
        <v>6.9840000000000009</v>
      </c>
      <c r="C7242" t="s">
        <v>23716</v>
      </c>
      <c r="D7242" t="s">
        <v>8193</v>
      </c>
      <c r="E7242" t="s">
        <v>23703</v>
      </c>
      <c r="F7242" t="s">
        <v>7672</v>
      </c>
      <c r="G7242" t="s">
        <v>23704</v>
      </c>
      <c r="H7242" t="s">
        <v>13897</v>
      </c>
      <c r="I7242" t="s">
        <v>5202</v>
      </c>
      <c r="J7242" t="s">
        <v>11585</v>
      </c>
    </row>
    <row r="7243" spans="1:10" x14ac:dyDescent="0.25">
      <c r="A7243" t="s">
        <v>23717</v>
      </c>
      <c r="B7243">
        <v>8</v>
      </c>
      <c r="C7243" t="s">
        <v>23718</v>
      </c>
      <c r="D7243" t="s">
        <v>671</v>
      </c>
      <c r="E7243" t="s">
        <v>23719</v>
      </c>
      <c r="F7243" t="s">
        <v>7672</v>
      </c>
      <c r="G7243" t="s">
        <v>23720</v>
      </c>
      <c r="H7243" t="s">
        <v>8301</v>
      </c>
      <c r="I7243" t="s">
        <v>23721</v>
      </c>
      <c r="J7243" t="s">
        <v>8439</v>
      </c>
    </row>
    <row r="7244" spans="1:10" x14ac:dyDescent="0.25">
      <c r="A7244" t="s">
        <v>23722</v>
      </c>
      <c r="B7244">
        <v>8</v>
      </c>
      <c r="C7244" t="s">
        <v>23723</v>
      </c>
      <c r="D7244" t="s">
        <v>2198</v>
      </c>
      <c r="E7244" t="s">
        <v>23719</v>
      </c>
      <c r="F7244" t="s">
        <v>7672</v>
      </c>
      <c r="G7244" t="s">
        <v>23720</v>
      </c>
      <c r="H7244" t="s">
        <v>8301</v>
      </c>
      <c r="I7244" t="s">
        <v>23724</v>
      </c>
      <c r="J7244" t="s">
        <v>8451</v>
      </c>
    </row>
    <row r="7245" spans="1:10" x14ac:dyDescent="0.25">
      <c r="A7245" t="s">
        <v>23725</v>
      </c>
      <c r="B7245">
        <v>8</v>
      </c>
      <c r="C7245" t="s">
        <v>23726</v>
      </c>
      <c r="D7245" t="s">
        <v>3086</v>
      </c>
      <c r="E7245" t="s">
        <v>23719</v>
      </c>
      <c r="F7245" t="s">
        <v>7672</v>
      </c>
      <c r="G7245" t="s">
        <v>23720</v>
      </c>
      <c r="H7245" t="s">
        <v>8301</v>
      </c>
      <c r="I7245" t="s">
        <v>23721</v>
      </c>
      <c r="J7245" t="s">
        <v>8451</v>
      </c>
    </row>
    <row r="7246" spans="1:10" x14ac:dyDescent="0.25">
      <c r="A7246" t="s">
        <v>23727</v>
      </c>
      <c r="B7246">
        <v>8</v>
      </c>
      <c r="C7246" t="s">
        <v>23728</v>
      </c>
      <c r="D7246" t="s">
        <v>306</v>
      </c>
      <c r="E7246" t="s">
        <v>23719</v>
      </c>
      <c r="F7246" t="s">
        <v>7672</v>
      </c>
      <c r="G7246" t="s">
        <v>23720</v>
      </c>
      <c r="H7246" t="s">
        <v>8301</v>
      </c>
      <c r="I7246" t="s">
        <v>23724</v>
      </c>
      <c r="J7246" t="s">
        <v>8462</v>
      </c>
    </row>
    <row r="7247" spans="1:10" x14ac:dyDescent="0.25">
      <c r="A7247" t="s">
        <v>23729</v>
      </c>
      <c r="B7247">
        <v>8</v>
      </c>
      <c r="C7247" t="s">
        <v>23730</v>
      </c>
      <c r="D7247" t="s">
        <v>576</v>
      </c>
      <c r="E7247" t="s">
        <v>23719</v>
      </c>
      <c r="F7247" t="s">
        <v>7672</v>
      </c>
      <c r="G7247" t="s">
        <v>23720</v>
      </c>
      <c r="H7247" t="s">
        <v>8301</v>
      </c>
      <c r="I7247" t="s">
        <v>8158</v>
      </c>
      <c r="J7247" t="s">
        <v>8462</v>
      </c>
    </row>
    <row r="7248" spans="1:10" x14ac:dyDescent="0.25">
      <c r="A7248" t="s">
        <v>23731</v>
      </c>
      <c r="B7248">
        <v>8</v>
      </c>
      <c r="C7248" t="s">
        <v>23732</v>
      </c>
      <c r="D7248" t="s">
        <v>4924</v>
      </c>
      <c r="E7248" t="s">
        <v>23719</v>
      </c>
      <c r="F7248" t="s">
        <v>7672</v>
      </c>
      <c r="G7248" t="s">
        <v>23720</v>
      </c>
      <c r="H7248" t="s">
        <v>8301</v>
      </c>
      <c r="I7248" t="s">
        <v>23721</v>
      </c>
      <c r="J7248" t="s">
        <v>8462</v>
      </c>
    </row>
    <row r="7249" spans="1:10" x14ac:dyDescent="0.25">
      <c r="A7249" t="s">
        <v>23733</v>
      </c>
      <c r="B7249">
        <v>8</v>
      </c>
      <c r="C7249" t="s">
        <v>23734</v>
      </c>
      <c r="D7249" t="s">
        <v>2022</v>
      </c>
      <c r="E7249" t="s">
        <v>23719</v>
      </c>
      <c r="F7249" t="s">
        <v>7672</v>
      </c>
      <c r="G7249" t="s">
        <v>23720</v>
      </c>
      <c r="H7249" t="s">
        <v>8301</v>
      </c>
      <c r="I7249" t="s">
        <v>8158</v>
      </c>
      <c r="J7249" t="s">
        <v>9998</v>
      </c>
    </row>
    <row r="7250" spans="1:10" x14ac:dyDescent="0.25">
      <c r="A7250" t="s">
        <v>23735</v>
      </c>
      <c r="B7250">
        <v>8</v>
      </c>
      <c r="C7250" t="s">
        <v>23736</v>
      </c>
      <c r="D7250" t="s">
        <v>633</v>
      </c>
      <c r="E7250" t="s">
        <v>23719</v>
      </c>
      <c r="F7250" t="s">
        <v>7672</v>
      </c>
      <c r="G7250" t="s">
        <v>23720</v>
      </c>
      <c r="H7250" t="s">
        <v>8301</v>
      </c>
      <c r="I7250" t="s">
        <v>23724</v>
      </c>
      <c r="J7250" t="s">
        <v>9998</v>
      </c>
    </row>
    <row r="7251" spans="1:10" x14ac:dyDescent="0.25">
      <c r="A7251" t="s">
        <v>23737</v>
      </c>
      <c r="B7251">
        <v>8</v>
      </c>
      <c r="C7251" t="s">
        <v>23738</v>
      </c>
      <c r="D7251" t="s">
        <v>4924</v>
      </c>
      <c r="E7251" t="s">
        <v>23719</v>
      </c>
      <c r="F7251" t="s">
        <v>7672</v>
      </c>
      <c r="G7251" t="s">
        <v>23720</v>
      </c>
      <c r="H7251" t="s">
        <v>8301</v>
      </c>
      <c r="I7251" t="s">
        <v>23721</v>
      </c>
      <c r="J7251" t="s">
        <v>9998</v>
      </c>
    </row>
    <row r="7252" spans="1:10" x14ac:dyDescent="0.25">
      <c r="A7252" t="s">
        <v>23739</v>
      </c>
      <c r="B7252">
        <v>7.2</v>
      </c>
      <c r="C7252" t="s">
        <v>23740</v>
      </c>
      <c r="D7252" t="s">
        <v>725</v>
      </c>
      <c r="E7252" t="s">
        <v>23741</v>
      </c>
      <c r="F7252" t="s">
        <v>7672</v>
      </c>
      <c r="G7252" t="s">
        <v>23742</v>
      </c>
      <c r="H7252" t="s">
        <v>16993</v>
      </c>
      <c r="I7252" t="s">
        <v>19544</v>
      </c>
      <c r="J7252" t="s">
        <v>9426</v>
      </c>
    </row>
    <row r="7253" spans="1:10" x14ac:dyDescent="0.25">
      <c r="A7253" t="s">
        <v>23743</v>
      </c>
      <c r="B7253">
        <v>7.2</v>
      </c>
      <c r="C7253" t="s">
        <v>23744</v>
      </c>
      <c r="D7253" t="s">
        <v>941</v>
      </c>
      <c r="E7253" t="s">
        <v>23741</v>
      </c>
      <c r="F7253" t="s">
        <v>7672</v>
      </c>
      <c r="G7253" t="s">
        <v>23742</v>
      </c>
      <c r="H7253" t="s">
        <v>16993</v>
      </c>
      <c r="I7253" t="s">
        <v>23745</v>
      </c>
      <c r="J7253" t="s">
        <v>9426</v>
      </c>
    </row>
    <row r="7254" spans="1:10" x14ac:dyDescent="0.25">
      <c r="A7254" t="s">
        <v>23746</v>
      </c>
      <c r="B7254">
        <v>7.2</v>
      </c>
      <c r="C7254" t="s">
        <v>23747</v>
      </c>
      <c r="D7254" t="s">
        <v>742</v>
      </c>
      <c r="E7254" t="s">
        <v>23741</v>
      </c>
      <c r="F7254" t="s">
        <v>7672</v>
      </c>
      <c r="G7254" t="s">
        <v>23742</v>
      </c>
      <c r="H7254" t="s">
        <v>16993</v>
      </c>
      <c r="I7254" t="s">
        <v>19544</v>
      </c>
      <c r="J7254" t="s">
        <v>10862</v>
      </c>
    </row>
    <row r="7255" spans="1:10" x14ac:dyDescent="0.25">
      <c r="A7255" t="s">
        <v>23748</v>
      </c>
      <c r="B7255">
        <v>7.2</v>
      </c>
      <c r="C7255" t="s">
        <v>23749</v>
      </c>
      <c r="D7255" t="s">
        <v>2099</v>
      </c>
      <c r="E7255" t="s">
        <v>23741</v>
      </c>
      <c r="F7255" t="s">
        <v>7672</v>
      </c>
      <c r="G7255" t="s">
        <v>23742</v>
      </c>
      <c r="H7255" t="s">
        <v>16993</v>
      </c>
      <c r="I7255" t="s">
        <v>23745</v>
      </c>
      <c r="J7255" t="s">
        <v>10862</v>
      </c>
    </row>
    <row r="7256" spans="1:10" x14ac:dyDescent="0.25">
      <c r="A7256" t="s">
        <v>23750</v>
      </c>
      <c r="B7256">
        <v>7.2</v>
      </c>
      <c r="C7256" t="s">
        <v>23751</v>
      </c>
      <c r="D7256" t="s">
        <v>2620</v>
      </c>
      <c r="E7256" t="s">
        <v>23741</v>
      </c>
      <c r="F7256" t="s">
        <v>7672</v>
      </c>
      <c r="G7256" t="s">
        <v>23742</v>
      </c>
      <c r="H7256" t="s">
        <v>16993</v>
      </c>
      <c r="I7256" t="s">
        <v>19544</v>
      </c>
      <c r="J7256" t="s">
        <v>13084</v>
      </c>
    </row>
    <row r="7257" spans="1:10" x14ac:dyDescent="0.25">
      <c r="A7257" t="s">
        <v>23752</v>
      </c>
      <c r="B7257">
        <v>7.2</v>
      </c>
      <c r="C7257" t="s">
        <v>23753</v>
      </c>
      <c r="D7257" t="s">
        <v>626</v>
      </c>
      <c r="E7257" t="s">
        <v>23741</v>
      </c>
      <c r="F7257" t="s">
        <v>7672</v>
      </c>
      <c r="G7257" t="s">
        <v>23742</v>
      </c>
      <c r="H7257" t="s">
        <v>16993</v>
      </c>
      <c r="I7257" t="s">
        <v>23745</v>
      </c>
      <c r="J7257" t="s">
        <v>13084</v>
      </c>
    </row>
    <row r="7258" spans="1:10" x14ac:dyDescent="0.25">
      <c r="A7258" t="s">
        <v>23754</v>
      </c>
      <c r="B7258">
        <v>7.2</v>
      </c>
      <c r="C7258" t="s">
        <v>23755</v>
      </c>
      <c r="D7258" t="s">
        <v>245</v>
      </c>
      <c r="E7258" t="s">
        <v>23741</v>
      </c>
      <c r="F7258" t="s">
        <v>7672</v>
      </c>
      <c r="G7258" t="s">
        <v>23742</v>
      </c>
      <c r="H7258" t="s">
        <v>16993</v>
      </c>
      <c r="I7258" t="s">
        <v>23745</v>
      </c>
      <c r="J7258" t="s">
        <v>11767</v>
      </c>
    </row>
    <row r="7259" spans="1:10" x14ac:dyDescent="0.25">
      <c r="A7259" t="s">
        <v>23756</v>
      </c>
      <c r="B7259">
        <v>7.2</v>
      </c>
      <c r="C7259" t="s">
        <v>23757</v>
      </c>
      <c r="D7259" t="s">
        <v>277</v>
      </c>
      <c r="E7259" t="s">
        <v>23741</v>
      </c>
      <c r="F7259" t="s">
        <v>7672</v>
      </c>
      <c r="G7259" t="s">
        <v>23742</v>
      </c>
      <c r="H7259" t="s">
        <v>16993</v>
      </c>
      <c r="I7259" t="s">
        <v>19544</v>
      </c>
      <c r="J7259" t="s">
        <v>11767</v>
      </c>
    </row>
    <row r="7260" spans="1:10" x14ac:dyDescent="0.25">
      <c r="A7260" t="s">
        <v>23758</v>
      </c>
      <c r="B7260">
        <v>4.16</v>
      </c>
      <c r="C7260" t="s">
        <v>23759</v>
      </c>
      <c r="D7260" t="s">
        <v>359</v>
      </c>
      <c r="E7260" t="s">
        <v>23760</v>
      </c>
      <c r="F7260" t="s">
        <v>7672</v>
      </c>
      <c r="G7260" t="s">
        <v>23761</v>
      </c>
      <c r="H7260" t="s">
        <v>11496</v>
      </c>
      <c r="I7260" t="s">
        <v>23762</v>
      </c>
      <c r="J7260" t="s">
        <v>10862</v>
      </c>
    </row>
    <row r="7261" spans="1:10" x14ac:dyDescent="0.25">
      <c r="A7261" t="s">
        <v>23763</v>
      </c>
      <c r="B7261">
        <v>4.16</v>
      </c>
      <c r="C7261" t="s">
        <v>23764</v>
      </c>
      <c r="D7261" t="s">
        <v>870</v>
      </c>
      <c r="E7261" t="s">
        <v>23760</v>
      </c>
      <c r="F7261" t="s">
        <v>7672</v>
      </c>
      <c r="G7261" t="s">
        <v>23761</v>
      </c>
      <c r="H7261" t="s">
        <v>11496</v>
      </c>
      <c r="I7261" t="s">
        <v>23762</v>
      </c>
      <c r="J7261" t="s">
        <v>13084</v>
      </c>
    </row>
    <row r="7262" spans="1:10" x14ac:dyDescent="0.25">
      <c r="A7262" t="s">
        <v>23765</v>
      </c>
      <c r="B7262">
        <v>9.6000000000000014</v>
      </c>
      <c r="C7262" t="s">
        <v>23766</v>
      </c>
      <c r="D7262" t="s">
        <v>4141</v>
      </c>
      <c r="E7262" t="s">
        <v>23767</v>
      </c>
      <c r="F7262" t="s">
        <v>7672</v>
      </c>
      <c r="G7262" t="s">
        <v>23768</v>
      </c>
      <c r="H7262" t="s">
        <v>11496</v>
      </c>
      <c r="I7262" t="s">
        <v>145</v>
      </c>
      <c r="J7262" t="s">
        <v>9423</v>
      </c>
    </row>
    <row r="7263" spans="1:10" x14ac:dyDescent="0.25">
      <c r="A7263" t="s">
        <v>23769</v>
      </c>
      <c r="B7263">
        <v>9.6000000000000014</v>
      </c>
      <c r="C7263" t="s">
        <v>23770</v>
      </c>
      <c r="D7263" t="s">
        <v>2381</v>
      </c>
      <c r="E7263" t="s">
        <v>23767</v>
      </c>
      <c r="F7263" t="s">
        <v>7672</v>
      </c>
      <c r="G7263" t="s">
        <v>23768</v>
      </c>
      <c r="H7263" t="s">
        <v>11496</v>
      </c>
      <c r="I7263" t="s">
        <v>145</v>
      </c>
      <c r="J7263" t="s">
        <v>10862</v>
      </c>
    </row>
    <row r="7264" spans="1:10" x14ac:dyDescent="0.25">
      <c r="A7264" t="s">
        <v>23771</v>
      </c>
      <c r="B7264">
        <v>9.6000000000000014</v>
      </c>
      <c r="C7264" t="s">
        <v>23772</v>
      </c>
      <c r="D7264" t="s">
        <v>3457</v>
      </c>
      <c r="E7264" t="s">
        <v>23767</v>
      </c>
      <c r="F7264" t="s">
        <v>7672</v>
      </c>
      <c r="G7264" t="s">
        <v>23768</v>
      </c>
      <c r="H7264" t="s">
        <v>11496</v>
      </c>
      <c r="I7264" t="s">
        <v>145</v>
      </c>
      <c r="J7264" t="s">
        <v>9426</v>
      </c>
    </row>
    <row r="7265" spans="1:10" x14ac:dyDescent="0.25">
      <c r="A7265" t="s">
        <v>23773</v>
      </c>
      <c r="B7265">
        <v>9.6000000000000014</v>
      </c>
      <c r="C7265" t="s">
        <v>23774</v>
      </c>
      <c r="D7265" t="s">
        <v>913</v>
      </c>
      <c r="E7265" t="s">
        <v>23767</v>
      </c>
      <c r="F7265" t="s">
        <v>7672</v>
      </c>
      <c r="G7265" t="s">
        <v>23768</v>
      </c>
      <c r="H7265" t="s">
        <v>11496</v>
      </c>
      <c r="I7265" t="s">
        <v>145</v>
      </c>
      <c r="J7265" t="s">
        <v>13084</v>
      </c>
    </row>
    <row r="7266" spans="1:10" x14ac:dyDescent="0.25">
      <c r="A7266" t="s">
        <v>23775</v>
      </c>
      <c r="B7266">
        <v>7.2</v>
      </c>
      <c r="C7266" t="s">
        <v>23776</v>
      </c>
      <c r="D7266" t="s">
        <v>1995</v>
      </c>
      <c r="E7266" t="s">
        <v>23777</v>
      </c>
      <c r="F7266" t="s">
        <v>7672</v>
      </c>
      <c r="G7266" t="s">
        <v>23778</v>
      </c>
      <c r="H7266" t="s">
        <v>7674</v>
      </c>
      <c r="I7266" t="s">
        <v>10802</v>
      </c>
      <c r="J7266" t="s">
        <v>8001</v>
      </c>
    </row>
    <row r="7267" spans="1:10" x14ac:dyDescent="0.25">
      <c r="A7267" t="s">
        <v>23779</v>
      </c>
      <c r="B7267">
        <v>7.2</v>
      </c>
      <c r="C7267" t="s">
        <v>23780</v>
      </c>
      <c r="D7267" t="s">
        <v>13257</v>
      </c>
      <c r="E7267" t="s">
        <v>23777</v>
      </c>
      <c r="F7267" t="s">
        <v>7672</v>
      </c>
      <c r="G7267" t="s">
        <v>23778</v>
      </c>
      <c r="H7267" t="s">
        <v>7674</v>
      </c>
      <c r="I7267" t="s">
        <v>10802</v>
      </c>
      <c r="J7267" t="s">
        <v>8013</v>
      </c>
    </row>
    <row r="7268" spans="1:10" x14ac:dyDescent="0.25">
      <c r="A7268" t="s">
        <v>23781</v>
      </c>
      <c r="B7268">
        <v>8.64</v>
      </c>
      <c r="C7268" t="s">
        <v>23782</v>
      </c>
      <c r="D7268" t="s">
        <v>366</v>
      </c>
      <c r="E7268" t="s">
        <v>23777</v>
      </c>
      <c r="F7268" t="s">
        <v>7672</v>
      </c>
      <c r="G7268" t="s">
        <v>23778</v>
      </c>
      <c r="H7268" t="s">
        <v>7674</v>
      </c>
      <c r="I7268" t="s">
        <v>23783</v>
      </c>
      <c r="J7268" t="s">
        <v>8013</v>
      </c>
    </row>
    <row r="7269" spans="1:10" x14ac:dyDescent="0.25">
      <c r="A7269" t="s">
        <v>6537</v>
      </c>
      <c r="B7269">
        <v>5.4960000000000004</v>
      </c>
      <c r="C7269" t="s">
        <v>6539</v>
      </c>
      <c r="D7269" t="s">
        <v>1143</v>
      </c>
      <c r="E7269" t="s">
        <v>6540</v>
      </c>
      <c r="F7269" t="s">
        <v>7672</v>
      </c>
      <c r="G7269" t="s">
        <v>23784</v>
      </c>
      <c r="H7269" t="s">
        <v>11507</v>
      </c>
      <c r="I7269" t="s">
        <v>76</v>
      </c>
      <c r="J7269" t="s">
        <v>11497</v>
      </c>
    </row>
    <row r="7270" spans="1:10" x14ac:dyDescent="0.25">
      <c r="A7270" t="s">
        <v>6543</v>
      </c>
      <c r="B7270">
        <v>5.4960000000000004</v>
      </c>
      <c r="C7270" t="s">
        <v>6545</v>
      </c>
      <c r="D7270" t="s">
        <v>2910</v>
      </c>
      <c r="E7270" t="s">
        <v>6540</v>
      </c>
      <c r="F7270" t="s">
        <v>7672</v>
      </c>
      <c r="G7270" t="s">
        <v>23784</v>
      </c>
      <c r="H7270" t="s">
        <v>11507</v>
      </c>
      <c r="I7270" t="s">
        <v>76</v>
      </c>
      <c r="J7270" t="s">
        <v>11498</v>
      </c>
    </row>
    <row r="7271" spans="1:10" x14ac:dyDescent="0.25">
      <c r="A7271" t="s">
        <v>6548</v>
      </c>
      <c r="B7271">
        <v>5.4960000000000004</v>
      </c>
      <c r="C7271" t="s">
        <v>6550</v>
      </c>
      <c r="D7271" t="s">
        <v>379</v>
      </c>
      <c r="E7271" t="s">
        <v>6540</v>
      </c>
      <c r="F7271" t="s">
        <v>7672</v>
      </c>
      <c r="G7271" t="s">
        <v>23784</v>
      </c>
      <c r="H7271" t="s">
        <v>11507</v>
      </c>
      <c r="I7271" t="s">
        <v>76</v>
      </c>
      <c r="J7271" t="s">
        <v>11499</v>
      </c>
    </row>
    <row r="7272" spans="1:10" x14ac:dyDescent="0.25">
      <c r="A7272" t="s">
        <v>6553</v>
      </c>
      <c r="B7272">
        <v>5.4960000000000004</v>
      </c>
      <c r="C7272" t="s">
        <v>6555</v>
      </c>
      <c r="D7272" t="s">
        <v>1254</v>
      </c>
      <c r="E7272" t="s">
        <v>6540</v>
      </c>
      <c r="F7272" t="s">
        <v>7672</v>
      </c>
      <c r="G7272" t="s">
        <v>23784</v>
      </c>
      <c r="H7272" t="s">
        <v>11507</v>
      </c>
      <c r="I7272" t="s">
        <v>76</v>
      </c>
      <c r="J7272" t="s">
        <v>11500</v>
      </c>
    </row>
    <row r="7273" spans="1:10" x14ac:dyDescent="0.25">
      <c r="A7273" t="s">
        <v>6558</v>
      </c>
      <c r="B7273">
        <v>5.4960000000000004</v>
      </c>
      <c r="C7273" t="s">
        <v>6560</v>
      </c>
      <c r="D7273" t="s">
        <v>781</v>
      </c>
      <c r="E7273" t="s">
        <v>6540</v>
      </c>
      <c r="F7273" t="s">
        <v>7672</v>
      </c>
      <c r="G7273" t="s">
        <v>23784</v>
      </c>
      <c r="H7273" t="s">
        <v>11507</v>
      </c>
      <c r="I7273" t="s">
        <v>76</v>
      </c>
      <c r="J7273" t="s">
        <v>11501</v>
      </c>
    </row>
    <row r="7274" spans="1:10" x14ac:dyDescent="0.25">
      <c r="A7274" t="s">
        <v>6563</v>
      </c>
      <c r="B7274">
        <v>5.4960000000000004</v>
      </c>
      <c r="C7274" t="s">
        <v>6565</v>
      </c>
      <c r="D7274" t="s">
        <v>776</v>
      </c>
      <c r="E7274" t="s">
        <v>6540</v>
      </c>
      <c r="F7274" t="s">
        <v>7672</v>
      </c>
      <c r="G7274" t="s">
        <v>23784</v>
      </c>
      <c r="H7274" t="s">
        <v>11507</v>
      </c>
      <c r="I7274" t="s">
        <v>76</v>
      </c>
      <c r="J7274" t="s">
        <v>11502</v>
      </c>
    </row>
    <row r="7275" spans="1:10" x14ac:dyDescent="0.25">
      <c r="A7275" t="s">
        <v>6568</v>
      </c>
      <c r="B7275">
        <v>5.4960000000000004</v>
      </c>
      <c r="C7275" t="s">
        <v>6570</v>
      </c>
      <c r="D7275" t="s">
        <v>2099</v>
      </c>
      <c r="E7275" t="s">
        <v>6540</v>
      </c>
      <c r="F7275" t="s">
        <v>7672</v>
      </c>
      <c r="G7275" t="s">
        <v>23784</v>
      </c>
      <c r="H7275" t="s">
        <v>11507</v>
      </c>
      <c r="I7275" t="s">
        <v>76</v>
      </c>
      <c r="J7275" t="s">
        <v>11503</v>
      </c>
    </row>
    <row r="7276" spans="1:10" x14ac:dyDescent="0.25">
      <c r="A7276" t="s">
        <v>6573</v>
      </c>
      <c r="B7276">
        <v>5.4960000000000004</v>
      </c>
      <c r="C7276" t="s">
        <v>6575</v>
      </c>
      <c r="D7276" t="s">
        <v>199</v>
      </c>
      <c r="E7276" t="s">
        <v>6540</v>
      </c>
      <c r="F7276" t="s">
        <v>7672</v>
      </c>
      <c r="G7276" t="s">
        <v>23784</v>
      </c>
      <c r="H7276" t="s">
        <v>11507</v>
      </c>
      <c r="I7276" t="s">
        <v>76</v>
      </c>
      <c r="J7276" t="s">
        <v>282</v>
      </c>
    </row>
    <row r="7277" spans="1:10" x14ac:dyDescent="0.25">
      <c r="A7277" t="s">
        <v>23785</v>
      </c>
      <c r="B7277">
        <v>12.096</v>
      </c>
      <c r="C7277" t="s">
        <v>23786</v>
      </c>
      <c r="D7277" t="s">
        <v>720</v>
      </c>
      <c r="E7277" t="s">
        <v>23787</v>
      </c>
      <c r="F7277" t="s">
        <v>7672</v>
      </c>
      <c r="G7277" t="s">
        <v>23788</v>
      </c>
      <c r="H7277" t="s">
        <v>11622</v>
      </c>
      <c r="I7277" t="s">
        <v>14757</v>
      </c>
      <c r="J7277" t="s">
        <v>7675</v>
      </c>
    </row>
    <row r="7278" spans="1:10" x14ac:dyDescent="0.25">
      <c r="A7278" t="s">
        <v>23789</v>
      </c>
      <c r="B7278">
        <v>12.096</v>
      </c>
      <c r="C7278" t="s">
        <v>23790</v>
      </c>
      <c r="D7278" t="s">
        <v>6194</v>
      </c>
      <c r="E7278" t="s">
        <v>23787</v>
      </c>
      <c r="F7278" t="s">
        <v>7672</v>
      </c>
      <c r="G7278" t="s">
        <v>23788</v>
      </c>
      <c r="H7278" t="s">
        <v>11622</v>
      </c>
      <c r="I7278" t="s">
        <v>361</v>
      </c>
      <c r="J7278" t="s">
        <v>7675</v>
      </c>
    </row>
    <row r="7279" spans="1:10" x14ac:dyDescent="0.25">
      <c r="A7279" t="s">
        <v>23791</v>
      </c>
      <c r="B7279">
        <v>12.096</v>
      </c>
      <c r="C7279" t="s">
        <v>23792</v>
      </c>
      <c r="D7279" t="s">
        <v>1579</v>
      </c>
      <c r="E7279" t="s">
        <v>23787</v>
      </c>
      <c r="F7279" t="s">
        <v>7672</v>
      </c>
      <c r="G7279" t="s">
        <v>23788</v>
      </c>
      <c r="H7279" t="s">
        <v>11622</v>
      </c>
      <c r="I7279" t="s">
        <v>23793</v>
      </c>
      <c r="J7279" t="s">
        <v>7675</v>
      </c>
    </row>
    <row r="7280" spans="1:10" x14ac:dyDescent="0.25">
      <c r="A7280" t="s">
        <v>23794</v>
      </c>
      <c r="B7280">
        <v>12.096</v>
      </c>
      <c r="C7280" t="s">
        <v>23795</v>
      </c>
      <c r="D7280" t="s">
        <v>975</v>
      </c>
      <c r="E7280" t="s">
        <v>23787</v>
      </c>
      <c r="F7280" t="s">
        <v>7672</v>
      </c>
      <c r="G7280" t="s">
        <v>23788</v>
      </c>
      <c r="H7280" t="s">
        <v>11622</v>
      </c>
      <c r="I7280" t="s">
        <v>14757</v>
      </c>
      <c r="J7280" t="s">
        <v>7686</v>
      </c>
    </row>
    <row r="7281" spans="1:10" x14ac:dyDescent="0.25">
      <c r="A7281" t="s">
        <v>23796</v>
      </c>
      <c r="B7281">
        <v>12.096</v>
      </c>
      <c r="C7281" t="s">
        <v>23797</v>
      </c>
      <c r="D7281" t="s">
        <v>5592</v>
      </c>
      <c r="E7281" t="s">
        <v>23787</v>
      </c>
      <c r="F7281" t="s">
        <v>7672</v>
      </c>
      <c r="G7281" t="s">
        <v>23788</v>
      </c>
      <c r="H7281" t="s">
        <v>11622</v>
      </c>
      <c r="I7281" t="s">
        <v>361</v>
      </c>
      <c r="J7281" t="s">
        <v>7686</v>
      </c>
    </row>
    <row r="7282" spans="1:10" x14ac:dyDescent="0.25">
      <c r="A7282" t="s">
        <v>23798</v>
      </c>
      <c r="B7282">
        <v>12.096</v>
      </c>
      <c r="C7282" t="s">
        <v>23799</v>
      </c>
      <c r="D7282" t="s">
        <v>2036</v>
      </c>
      <c r="E7282" t="s">
        <v>23787</v>
      </c>
      <c r="F7282" t="s">
        <v>7672</v>
      </c>
      <c r="G7282" t="s">
        <v>23788</v>
      </c>
      <c r="H7282" t="s">
        <v>11622</v>
      </c>
      <c r="I7282" t="s">
        <v>23793</v>
      </c>
      <c r="J7282" t="s">
        <v>7686</v>
      </c>
    </row>
    <row r="7283" spans="1:10" x14ac:dyDescent="0.25">
      <c r="A7283" t="s">
        <v>23800</v>
      </c>
      <c r="B7283">
        <v>12.096</v>
      </c>
      <c r="C7283" t="s">
        <v>23801</v>
      </c>
      <c r="D7283" t="s">
        <v>959</v>
      </c>
      <c r="E7283" t="s">
        <v>23787</v>
      </c>
      <c r="F7283" t="s">
        <v>7672</v>
      </c>
      <c r="G7283" t="s">
        <v>23788</v>
      </c>
      <c r="H7283" t="s">
        <v>11622</v>
      </c>
      <c r="I7283" t="s">
        <v>14757</v>
      </c>
      <c r="J7283" t="s">
        <v>7703</v>
      </c>
    </row>
    <row r="7284" spans="1:10" x14ac:dyDescent="0.25">
      <c r="A7284" t="s">
        <v>23802</v>
      </c>
      <c r="B7284">
        <v>12.096</v>
      </c>
      <c r="C7284" t="s">
        <v>23803</v>
      </c>
      <c r="D7284" t="s">
        <v>2198</v>
      </c>
      <c r="E7284" t="s">
        <v>23787</v>
      </c>
      <c r="F7284" t="s">
        <v>7672</v>
      </c>
      <c r="G7284" t="s">
        <v>23788</v>
      </c>
      <c r="H7284" t="s">
        <v>11622</v>
      </c>
      <c r="I7284" t="s">
        <v>361</v>
      </c>
      <c r="J7284" t="s">
        <v>7703</v>
      </c>
    </row>
    <row r="7285" spans="1:10" x14ac:dyDescent="0.25">
      <c r="A7285" t="s">
        <v>23804</v>
      </c>
      <c r="B7285">
        <v>12.096</v>
      </c>
      <c r="C7285" t="s">
        <v>23805</v>
      </c>
      <c r="D7285" t="s">
        <v>301</v>
      </c>
      <c r="E7285" t="s">
        <v>23787</v>
      </c>
      <c r="F7285" t="s">
        <v>7672</v>
      </c>
      <c r="G7285" t="s">
        <v>23788</v>
      </c>
      <c r="H7285" t="s">
        <v>11622</v>
      </c>
      <c r="I7285" t="s">
        <v>23793</v>
      </c>
      <c r="J7285" t="s">
        <v>7703</v>
      </c>
    </row>
    <row r="7286" spans="1:10" x14ac:dyDescent="0.25">
      <c r="A7286" t="s">
        <v>23806</v>
      </c>
      <c r="B7286">
        <v>12.096</v>
      </c>
      <c r="C7286" t="s">
        <v>23807</v>
      </c>
      <c r="D7286" t="s">
        <v>3378</v>
      </c>
      <c r="E7286" t="s">
        <v>23787</v>
      </c>
      <c r="F7286" t="s">
        <v>7672</v>
      </c>
      <c r="G7286" t="s">
        <v>23788</v>
      </c>
      <c r="H7286" t="s">
        <v>11622</v>
      </c>
      <c r="I7286" t="s">
        <v>361</v>
      </c>
      <c r="J7286" t="s">
        <v>7719</v>
      </c>
    </row>
    <row r="7287" spans="1:10" x14ac:dyDescent="0.25">
      <c r="A7287" t="s">
        <v>23808</v>
      </c>
      <c r="B7287">
        <v>8.8000000000000007</v>
      </c>
      <c r="C7287" t="s">
        <v>23809</v>
      </c>
      <c r="D7287" t="s">
        <v>7937</v>
      </c>
      <c r="E7287" t="s">
        <v>23810</v>
      </c>
      <c r="F7287" t="s">
        <v>7672</v>
      </c>
      <c r="G7287" t="s">
        <v>23811</v>
      </c>
      <c r="H7287" t="s">
        <v>13951</v>
      </c>
      <c r="I7287" t="s">
        <v>497</v>
      </c>
      <c r="J7287" t="s">
        <v>100</v>
      </c>
    </row>
    <row r="7288" spans="1:10" x14ac:dyDescent="0.25">
      <c r="A7288" t="s">
        <v>23812</v>
      </c>
      <c r="B7288">
        <v>8.8000000000000007</v>
      </c>
      <c r="C7288" t="s">
        <v>23813</v>
      </c>
      <c r="D7288" t="s">
        <v>23814</v>
      </c>
      <c r="E7288" t="s">
        <v>23810</v>
      </c>
      <c r="F7288" t="s">
        <v>7672</v>
      </c>
      <c r="G7288" t="s">
        <v>23811</v>
      </c>
      <c r="H7288" t="s">
        <v>13951</v>
      </c>
      <c r="I7288" t="s">
        <v>497</v>
      </c>
      <c r="J7288" t="s">
        <v>88</v>
      </c>
    </row>
    <row r="7289" spans="1:10" x14ac:dyDescent="0.25">
      <c r="A7289" t="s">
        <v>23815</v>
      </c>
      <c r="B7289">
        <v>8.8000000000000007</v>
      </c>
      <c r="C7289" t="s">
        <v>23816</v>
      </c>
      <c r="D7289" t="s">
        <v>8204</v>
      </c>
      <c r="E7289" t="s">
        <v>23810</v>
      </c>
      <c r="F7289" t="s">
        <v>7672</v>
      </c>
      <c r="G7289" t="s">
        <v>23811</v>
      </c>
      <c r="H7289" t="s">
        <v>13951</v>
      </c>
      <c r="I7289" t="s">
        <v>497</v>
      </c>
      <c r="J7289" t="s">
        <v>269</v>
      </c>
    </row>
    <row r="7290" spans="1:10" x14ac:dyDescent="0.25">
      <c r="A7290" t="s">
        <v>6578</v>
      </c>
      <c r="B7290">
        <v>20.847999999999999</v>
      </c>
      <c r="C7290" t="s">
        <v>6580</v>
      </c>
      <c r="D7290" t="s">
        <v>269</v>
      </c>
      <c r="E7290" t="s">
        <v>6581</v>
      </c>
      <c r="F7290" t="s">
        <v>7672</v>
      </c>
      <c r="G7290" t="s">
        <v>23817</v>
      </c>
      <c r="H7290" t="s">
        <v>10970</v>
      </c>
      <c r="I7290" t="s">
        <v>23818</v>
      </c>
      <c r="J7290" t="s">
        <v>17919</v>
      </c>
    </row>
    <row r="7291" spans="1:10" x14ac:dyDescent="0.25">
      <c r="A7291" t="s">
        <v>6585</v>
      </c>
      <c r="B7291">
        <v>20.847999999999999</v>
      </c>
      <c r="C7291" t="s">
        <v>6587</v>
      </c>
      <c r="D7291" t="s">
        <v>269</v>
      </c>
      <c r="E7291" t="s">
        <v>6581</v>
      </c>
      <c r="F7291" t="s">
        <v>7672</v>
      </c>
      <c r="G7291" t="s">
        <v>23817</v>
      </c>
      <c r="H7291" t="s">
        <v>10970</v>
      </c>
      <c r="I7291" t="s">
        <v>23818</v>
      </c>
      <c r="J7291" t="s">
        <v>17923</v>
      </c>
    </row>
    <row r="7292" spans="1:10" x14ac:dyDescent="0.25">
      <c r="A7292" t="s">
        <v>6589</v>
      </c>
      <c r="B7292">
        <v>20.847999999999999</v>
      </c>
      <c r="C7292" t="s">
        <v>6591</v>
      </c>
      <c r="D7292" t="s">
        <v>53</v>
      </c>
      <c r="E7292" t="s">
        <v>6581</v>
      </c>
      <c r="F7292" t="s">
        <v>7672</v>
      </c>
      <c r="G7292" t="s">
        <v>23817</v>
      </c>
      <c r="H7292" t="s">
        <v>10970</v>
      </c>
      <c r="I7292" t="s">
        <v>23818</v>
      </c>
      <c r="J7292" t="s">
        <v>17927</v>
      </c>
    </row>
    <row r="7293" spans="1:10" x14ac:dyDescent="0.25">
      <c r="A7293" t="s">
        <v>6593</v>
      </c>
      <c r="B7293">
        <v>20.847999999999999</v>
      </c>
      <c r="C7293" t="s">
        <v>6595</v>
      </c>
      <c r="D7293" t="s">
        <v>53</v>
      </c>
      <c r="E7293" t="s">
        <v>6581</v>
      </c>
      <c r="F7293" t="s">
        <v>7672</v>
      </c>
      <c r="G7293" t="s">
        <v>23817</v>
      </c>
      <c r="H7293" t="s">
        <v>10970</v>
      </c>
      <c r="I7293" t="s">
        <v>23818</v>
      </c>
      <c r="J7293" t="s">
        <v>10262</v>
      </c>
    </row>
    <row r="7294" spans="1:10" x14ac:dyDescent="0.25">
      <c r="A7294" t="s">
        <v>6597</v>
      </c>
      <c r="B7294">
        <v>20.847999999999999</v>
      </c>
      <c r="C7294" t="s">
        <v>6599</v>
      </c>
      <c r="D7294" t="s">
        <v>60</v>
      </c>
      <c r="E7294" t="s">
        <v>6581</v>
      </c>
      <c r="F7294" t="s">
        <v>7672</v>
      </c>
      <c r="G7294" t="s">
        <v>23817</v>
      </c>
      <c r="H7294" t="s">
        <v>10970</v>
      </c>
      <c r="I7294" t="s">
        <v>23818</v>
      </c>
      <c r="J7294" t="s">
        <v>17936</v>
      </c>
    </row>
    <row r="7295" spans="1:10" x14ac:dyDescent="0.25">
      <c r="A7295" t="s">
        <v>6601</v>
      </c>
      <c r="B7295">
        <v>20.847999999999999</v>
      </c>
      <c r="C7295" t="s">
        <v>6603</v>
      </c>
      <c r="D7295" t="s">
        <v>53</v>
      </c>
      <c r="E7295" t="s">
        <v>6581</v>
      </c>
      <c r="F7295" t="s">
        <v>7672</v>
      </c>
      <c r="G7295" t="s">
        <v>23817</v>
      </c>
      <c r="H7295" t="s">
        <v>10970</v>
      </c>
      <c r="I7295" t="s">
        <v>23819</v>
      </c>
      <c r="J7295" t="s">
        <v>17936</v>
      </c>
    </row>
    <row r="7296" spans="1:10" x14ac:dyDescent="0.25">
      <c r="A7296" t="s">
        <v>6607</v>
      </c>
      <c r="B7296">
        <v>20.847999999999999</v>
      </c>
      <c r="C7296" t="s">
        <v>6609</v>
      </c>
      <c r="D7296" t="s">
        <v>100</v>
      </c>
      <c r="E7296" t="s">
        <v>6581</v>
      </c>
      <c r="F7296" t="s">
        <v>7672</v>
      </c>
      <c r="G7296" t="s">
        <v>23817</v>
      </c>
      <c r="H7296" t="s">
        <v>10970</v>
      </c>
      <c r="I7296" t="s">
        <v>23818</v>
      </c>
      <c r="J7296" t="s">
        <v>15312</v>
      </c>
    </row>
    <row r="7297" spans="1:10" x14ac:dyDescent="0.25">
      <c r="A7297" t="s">
        <v>6611</v>
      </c>
      <c r="B7297">
        <v>20.847999999999999</v>
      </c>
      <c r="C7297" t="s">
        <v>6613</v>
      </c>
      <c r="D7297" t="s">
        <v>131</v>
      </c>
      <c r="E7297" t="s">
        <v>6581</v>
      </c>
      <c r="F7297" t="s">
        <v>7672</v>
      </c>
      <c r="G7297" t="s">
        <v>23817</v>
      </c>
      <c r="H7297" t="s">
        <v>10970</v>
      </c>
      <c r="I7297" t="s">
        <v>23820</v>
      </c>
      <c r="J7297" t="s">
        <v>10292</v>
      </c>
    </row>
    <row r="7298" spans="1:10" x14ac:dyDescent="0.25">
      <c r="A7298" t="s">
        <v>6617</v>
      </c>
      <c r="B7298">
        <v>20.847999999999999</v>
      </c>
      <c r="C7298" t="s">
        <v>6619</v>
      </c>
      <c r="D7298" t="s">
        <v>60</v>
      </c>
      <c r="E7298" t="s">
        <v>6581</v>
      </c>
      <c r="F7298" t="s">
        <v>7672</v>
      </c>
      <c r="G7298" t="s">
        <v>23817</v>
      </c>
      <c r="H7298" t="s">
        <v>10970</v>
      </c>
      <c r="I7298" t="s">
        <v>23821</v>
      </c>
      <c r="J7298" t="s">
        <v>10292</v>
      </c>
    </row>
    <row r="7299" spans="1:10" x14ac:dyDescent="0.25">
      <c r="A7299" t="s">
        <v>6623</v>
      </c>
      <c r="B7299">
        <v>20.847999999999999</v>
      </c>
      <c r="C7299" t="s">
        <v>6625</v>
      </c>
      <c r="D7299" t="s">
        <v>742</v>
      </c>
      <c r="E7299" t="s">
        <v>6581</v>
      </c>
      <c r="F7299" t="s">
        <v>7672</v>
      </c>
      <c r="G7299" t="s">
        <v>23817</v>
      </c>
      <c r="H7299" t="s">
        <v>10970</v>
      </c>
      <c r="I7299" t="s">
        <v>23819</v>
      </c>
      <c r="J7299" t="s">
        <v>10292</v>
      </c>
    </row>
    <row r="7300" spans="1:10" x14ac:dyDescent="0.25">
      <c r="A7300" t="s">
        <v>23822</v>
      </c>
      <c r="B7300">
        <v>13.6</v>
      </c>
      <c r="C7300" t="s">
        <v>23823</v>
      </c>
      <c r="D7300" t="s">
        <v>250</v>
      </c>
      <c r="E7300" t="s">
        <v>23824</v>
      </c>
      <c r="F7300" t="s">
        <v>7672</v>
      </c>
      <c r="G7300" t="s">
        <v>23825</v>
      </c>
      <c r="H7300" t="s">
        <v>7974</v>
      </c>
      <c r="I7300" t="s">
        <v>76</v>
      </c>
      <c r="J7300" t="s">
        <v>9237</v>
      </c>
    </row>
    <row r="7301" spans="1:10" x14ac:dyDescent="0.25">
      <c r="A7301" t="s">
        <v>23826</v>
      </c>
      <c r="B7301">
        <v>13.6</v>
      </c>
      <c r="C7301" t="s">
        <v>23827</v>
      </c>
      <c r="D7301" t="s">
        <v>301</v>
      </c>
      <c r="E7301" t="s">
        <v>23824</v>
      </c>
      <c r="F7301" t="s">
        <v>7672</v>
      </c>
      <c r="G7301" t="s">
        <v>23825</v>
      </c>
      <c r="H7301" t="s">
        <v>7974</v>
      </c>
      <c r="I7301" t="s">
        <v>23828</v>
      </c>
      <c r="J7301" t="s">
        <v>9237</v>
      </c>
    </row>
    <row r="7302" spans="1:10" x14ac:dyDescent="0.25">
      <c r="A7302" t="s">
        <v>23829</v>
      </c>
      <c r="B7302">
        <v>13.6</v>
      </c>
      <c r="C7302" t="s">
        <v>23830</v>
      </c>
      <c r="D7302" t="s">
        <v>269</v>
      </c>
      <c r="E7302" t="s">
        <v>23824</v>
      </c>
      <c r="F7302" t="s">
        <v>7672</v>
      </c>
      <c r="G7302" t="s">
        <v>23825</v>
      </c>
      <c r="H7302" t="s">
        <v>7974</v>
      </c>
      <c r="I7302" t="s">
        <v>1490</v>
      </c>
      <c r="J7302" t="s">
        <v>9237</v>
      </c>
    </row>
    <row r="7303" spans="1:10" x14ac:dyDescent="0.25">
      <c r="A7303" t="s">
        <v>23831</v>
      </c>
      <c r="B7303">
        <v>13.6</v>
      </c>
      <c r="C7303" t="s">
        <v>23832</v>
      </c>
      <c r="D7303" t="s">
        <v>2238</v>
      </c>
      <c r="E7303" t="s">
        <v>23824</v>
      </c>
      <c r="F7303" t="s">
        <v>7672</v>
      </c>
      <c r="G7303" t="s">
        <v>23825</v>
      </c>
      <c r="H7303" t="s">
        <v>7974</v>
      </c>
      <c r="I7303" t="s">
        <v>76</v>
      </c>
      <c r="J7303" t="s">
        <v>8427</v>
      </c>
    </row>
    <row r="7304" spans="1:10" x14ac:dyDescent="0.25">
      <c r="A7304" t="s">
        <v>23833</v>
      </c>
      <c r="B7304">
        <v>13.6</v>
      </c>
      <c r="C7304" t="s">
        <v>23834</v>
      </c>
      <c r="D7304" t="s">
        <v>2243</v>
      </c>
      <c r="E7304" t="s">
        <v>23824</v>
      </c>
      <c r="F7304" t="s">
        <v>7672</v>
      </c>
      <c r="G7304" t="s">
        <v>23825</v>
      </c>
      <c r="H7304" t="s">
        <v>7974</v>
      </c>
      <c r="I7304" t="s">
        <v>23828</v>
      </c>
      <c r="J7304" t="s">
        <v>8427</v>
      </c>
    </row>
    <row r="7305" spans="1:10" x14ac:dyDescent="0.25">
      <c r="A7305" t="s">
        <v>23835</v>
      </c>
      <c r="B7305">
        <v>13.6</v>
      </c>
      <c r="C7305" t="s">
        <v>23836</v>
      </c>
      <c r="D7305" t="s">
        <v>3023</v>
      </c>
      <c r="E7305" t="s">
        <v>23824</v>
      </c>
      <c r="F7305" t="s">
        <v>7672</v>
      </c>
      <c r="G7305" t="s">
        <v>23825</v>
      </c>
      <c r="H7305" t="s">
        <v>7974</v>
      </c>
      <c r="I7305" t="s">
        <v>1490</v>
      </c>
      <c r="J7305" t="s">
        <v>8427</v>
      </c>
    </row>
    <row r="7306" spans="1:10" x14ac:dyDescent="0.25">
      <c r="A7306" t="s">
        <v>23837</v>
      </c>
      <c r="B7306">
        <v>13.6</v>
      </c>
      <c r="C7306" t="s">
        <v>23838</v>
      </c>
      <c r="D7306" t="s">
        <v>9124</v>
      </c>
      <c r="E7306" t="s">
        <v>23824</v>
      </c>
      <c r="F7306" t="s">
        <v>7672</v>
      </c>
      <c r="G7306" t="s">
        <v>23825</v>
      </c>
      <c r="H7306" t="s">
        <v>7974</v>
      </c>
      <c r="I7306" t="s">
        <v>1490</v>
      </c>
      <c r="J7306" t="s">
        <v>8439</v>
      </c>
    </row>
    <row r="7307" spans="1:10" x14ac:dyDescent="0.25">
      <c r="A7307" t="s">
        <v>23839</v>
      </c>
      <c r="B7307">
        <v>13.6</v>
      </c>
      <c r="C7307" t="s">
        <v>23840</v>
      </c>
      <c r="D7307" t="s">
        <v>1864</v>
      </c>
      <c r="E7307" t="s">
        <v>23824</v>
      </c>
      <c r="F7307" t="s">
        <v>7672</v>
      </c>
      <c r="G7307" t="s">
        <v>23825</v>
      </c>
      <c r="H7307" t="s">
        <v>7974</v>
      </c>
      <c r="I7307" t="s">
        <v>23828</v>
      </c>
      <c r="J7307" t="s">
        <v>8439</v>
      </c>
    </row>
    <row r="7308" spans="1:10" x14ac:dyDescent="0.25">
      <c r="A7308" t="s">
        <v>23841</v>
      </c>
      <c r="B7308">
        <v>13.6</v>
      </c>
      <c r="C7308" t="s">
        <v>23842</v>
      </c>
      <c r="D7308" t="s">
        <v>8530</v>
      </c>
      <c r="E7308" t="s">
        <v>23824</v>
      </c>
      <c r="F7308" t="s">
        <v>7672</v>
      </c>
      <c r="G7308" t="s">
        <v>23825</v>
      </c>
      <c r="H7308" t="s">
        <v>7974</v>
      </c>
      <c r="I7308" t="s">
        <v>76</v>
      </c>
      <c r="J7308" t="s">
        <v>8439</v>
      </c>
    </row>
    <row r="7309" spans="1:10" x14ac:dyDescent="0.25">
      <c r="A7309" t="s">
        <v>23843</v>
      </c>
      <c r="B7309">
        <v>13.6</v>
      </c>
      <c r="C7309" t="s">
        <v>23844</v>
      </c>
      <c r="D7309" t="s">
        <v>1811</v>
      </c>
      <c r="E7309" t="s">
        <v>23824</v>
      </c>
      <c r="F7309" t="s">
        <v>7672</v>
      </c>
      <c r="G7309" t="s">
        <v>23825</v>
      </c>
      <c r="H7309" t="s">
        <v>7974</v>
      </c>
      <c r="I7309" t="s">
        <v>1490</v>
      </c>
      <c r="J7309" t="s">
        <v>8451</v>
      </c>
    </row>
    <row r="7310" spans="1:10" x14ac:dyDescent="0.25">
      <c r="A7310" t="s">
        <v>23845</v>
      </c>
      <c r="B7310">
        <v>13.6</v>
      </c>
      <c r="C7310" t="s">
        <v>23846</v>
      </c>
      <c r="D7310" t="s">
        <v>903</v>
      </c>
      <c r="E7310" t="s">
        <v>23824</v>
      </c>
      <c r="F7310" t="s">
        <v>7672</v>
      </c>
      <c r="G7310" t="s">
        <v>23825</v>
      </c>
      <c r="H7310" t="s">
        <v>7974</v>
      </c>
      <c r="I7310" t="s">
        <v>23828</v>
      </c>
      <c r="J7310" t="s">
        <v>8451</v>
      </c>
    </row>
    <row r="7311" spans="1:10" x14ac:dyDescent="0.25">
      <c r="A7311" t="s">
        <v>23847</v>
      </c>
      <c r="B7311">
        <v>13.6</v>
      </c>
      <c r="C7311" t="s">
        <v>23848</v>
      </c>
      <c r="D7311" t="s">
        <v>2036</v>
      </c>
      <c r="E7311" t="s">
        <v>23824</v>
      </c>
      <c r="F7311" t="s">
        <v>7672</v>
      </c>
      <c r="G7311" t="s">
        <v>23825</v>
      </c>
      <c r="H7311" t="s">
        <v>7974</v>
      </c>
      <c r="I7311" t="s">
        <v>76</v>
      </c>
      <c r="J7311" t="s">
        <v>8451</v>
      </c>
    </row>
    <row r="7312" spans="1:10" x14ac:dyDescent="0.25">
      <c r="A7312" t="s">
        <v>23849</v>
      </c>
      <c r="B7312">
        <v>13.6</v>
      </c>
      <c r="C7312" t="s">
        <v>23850</v>
      </c>
      <c r="D7312" t="s">
        <v>366</v>
      </c>
      <c r="E7312" t="s">
        <v>23824</v>
      </c>
      <c r="F7312" t="s">
        <v>7672</v>
      </c>
      <c r="G7312" t="s">
        <v>23825</v>
      </c>
      <c r="H7312" t="s">
        <v>7974</v>
      </c>
      <c r="I7312" t="s">
        <v>23828</v>
      </c>
      <c r="J7312" t="s">
        <v>8462</v>
      </c>
    </row>
    <row r="7313" spans="1:10" x14ac:dyDescent="0.25">
      <c r="A7313" t="s">
        <v>23851</v>
      </c>
      <c r="B7313">
        <v>13.6</v>
      </c>
      <c r="C7313" t="s">
        <v>23852</v>
      </c>
      <c r="D7313" t="s">
        <v>199</v>
      </c>
      <c r="E7313" t="s">
        <v>23824</v>
      </c>
      <c r="F7313" t="s">
        <v>7672</v>
      </c>
      <c r="G7313" t="s">
        <v>23825</v>
      </c>
      <c r="H7313" t="s">
        <v>7974</v>
      </c>
      <c r="I7313" t="s">
        <v>76</v>
      </c>
      <c r="J7313" t="s">
        <v>8462</v>
      </c>
    </row>
    <row r="7314" spans="1:10" x14ac:dyDescent="0.25">
      <c r="A7314" t="s">
        <v>23853</v>
      </c>
      <c r="B7314">
        <v>13.6</v>
      </c>
      <c r="C7314" t="s">
        <v>23854</v>
      </c>
      <c r="D7314" t="s">
        <v>131</v>
      </c>
      <c r="E7314" t="s">
        <v>23824</v>
      </c>
      <c r="F7314" t="s">
        <v>7672</v>
      </c>
      <c r="G7314" t="s">
        <v>23825</v>
      </c>
      <c r="H7314" t="s">
        <v>7974</v>
      </c>
      <c r="I7314" t="s">
        <v>1490</v>
      </c>
      <c r="J7314" t="s">
        <v>8462</v>
      </c>
    </row>
    <row r="7315" spans="1:10" x14ac:dyDescent="0.25">
      <c r="A7315" t="s">
        <v>23855</v>
      </c>
      <c r="B7315">
        <v>13.6</v>
      </c>
      <c r="C7315" t="s">
        <v>23856</v>
      </c>
      <c r="D7315" t="s">
        <v>849</v>
      </c>
      <c r="E7315" t="s">
        <v>23824</v>
      </c>
      <c r="F7315" t="s">
        <v>7672</v>
      </c>
      <c r="G7315" t="s">
        <v>23825</v>
      </c>
      <c r="H7315" t="s">
        <v>7974</v>
      </c>
      <c r="I7315" t="s">
        <v>76</v>
      </c>
      <c r="J7315" t="s">
        <v>9998</v>
      </c>
    </row>
    <row r="7316" spans="1:10" x14ac:dyDescent="0.25">
      <c r="A7316" t="s">
        <v>23857</v>
      </c>
      <c r="B7316">
        <v>13.6</v>
      </c>
      <c r="C7316" t="s">
        <v>23858</v>
      </c>
      <c r="D7316" t="s">
        <v>290</v>
      </c>
      <c r="E7316" t="s">
        <v>23824</v>
      </c>
      <c r="F7316" t="s">
        <v>7672</v>
      </c>
      <c r="G7316" t="s">
        <v>23825</v>
      </c>
      <c r="H7316" t="s">
        <v>7974</v>
      </c>
      <c r="I7316" t="s">
        <v>1490</v>
      </c>
      <c r="J7316" t="s">
        <v>9998</v>
      </c>
    </row>
    <row r="7317" spans="1:10" x14ac:dyDescent="0.25">
      <c r="A7317" t="s">
        <v>6627</v>
      </c>
      <c r="B7317">
        <v>17.696000000000002</v>
      </c>
      <c r="C7317" t="s">
        <v>6629</v>
      </c>
      <c r="D7317" t="s">
        <v>131</v>
      </c>
      <c r="E7317" t="s">
        <v>6630</v>
      </c>
      <c r="F7317" t="s">
        <v>7672</v>
      </c>
      <c r="G7317" t="s">
        <v>23859</v>
      </c>
      <c r="H7317" t="s">
        <v>10172</v>
      </c>
      <c r="I7317" t="s">
        <v>6633</v>
      </c>
      <c r="J7317" t="s">
        <v>10283</v>
      </c>
    </row>
    <row r="7318" spans="1:10" x14ac:dyDescent="0.25">
      <c r="A7318" t="s">
        <v>6634</v>
      </c>
      <c r="B7318">
        <v>17.696000000000002</v>
      </c>
      <c r="C7318" t="s">
        <v>6636</v>
      </c>
      <c r="D7318" t="s">
        <v>95</v>
      </c>
      <c r="E7318" t="s">
        <v>6630</v>
      </c>
      <c r="F7318" t="s">
        <v>7672</v>
      </c>
      <c r="G7318" t="s">
        <v>23859</v>
      </c>
      <c r="H7318" t="s">
        <v>10172</v>
      </c>
      <c r="I7318" t="s">
        <v>6633</v>
      </c>
      <c r="J7318" t="s">
        <v>8659</v>
      </c>
    </row>
    <row r="7319" spans="1:10" x14ac:dyDescent="0.25">
      <c r="A7319" t="s">
        <v>23860</v>
      </c>
      <c r="B7319">
        <v>17.696000000000002</v>
      </c>
      <c r="C7319" t="s">
        <v>23861</v>
      </c>
      <c r="D7319" t="s">
        <v>277</v>
      </c>
      <c r="E7319" t="s">
        <v>6630</v>
      </c>
      <c r="F7319" t="s">
        <v>7672</v>
      </c>
      <c r="G7319" t="s">
        <v>23859</v>
      </c>
      <c r="H7319" t="s">
        <v>10172</v>
      </c>
      <c r="I7319" t="s">
        <v>6633</v>
      </c>
      <c r="J7319" t="s">
        <v>8659</v>
      </c>
    </row>
    <row r="7320" spans="1:10" x14ac:dyDescent="0.25">
      <c r="A7320" t="s">
        <v>23862</v>
      </c>
      <c r="B7320">
        <v>17.696000000000002</v>
      </c>
      <c r="C7320" t="s">
        <v>23863</v>
      </c>
      <c r="D7320" t="s">
        <v>113</v>
      </c>
      <c r="E7320" t="s">
        <v>6630</v>
      </c>
      <c r="F7320" t="s">
        <v>7672</v>
      </c>
      <c r="G7320" t="s">
        <v>23859</v>
      </c>
      <c r="H7320" t="s">
        <v>10172</v>
      </c>
      <c r="I7320" t="s">
        <v>6653</v>
      </c>
      <c r="J7320" t="s">
        <v>8659</v>
      </c>
    </row>
    <row r="7321" spans="1:10" x14ac:dyDescent="0.25">
      <c r="A7321" t="s">
        <v>6638</v>
      </c>
      <c r="B7321">
        <v>17.696000000000002</v>
      </c>
      <c r="C7321" t="s">
        <v>6640</v>
      </c>
      <c r="D7321" t="s">
        <v>282</v>
      </c>
      <c r="E7321" t="s">
        <v>6630</v>
      </c>
      <c r="F7321" t="s">
        <v>7672</v>
      </c>
      <c r="G7321" t="s">
        <v>23859</v>
      </c>
      <c r="H7321" t="s">
        <v>10172</v>
      </c>
      <c r="I7321" t="s">
        <v>12412</v>
      </c>
      <c r="J7321" t="s">
        <v>16683</v>
      </c>
    </row>
    <row r="7322" spans="1:10" x14ac:dyDescent="0.25">
      <c r="A7322" t="s">
        <v>6644</v>
      </c>
      <c r="B7322">
        <v>17.696000000000002</v>
      </c>
      <c r="C7322" t="s">
        <v>6646</v>
      </c>
      <c r="D7322" t="s">
        <v>342</v>
      </c>
      <c r="E7322" t="s">
        <v>6630</v>
      </c>
      <c r="F7322" t="s">
        <v>7672</v>
      </c>
      <c r="G7322" t="s">
        <v>23859</v>
      </c>
      <c r="H7322" t="s">
        <v>10172</v>
      </c>
      <c r="I7322" t="s">
        <v>6633</v>
      </c>
      <c r="J7322" t="s">
        <v>16683</v>
      </c>
    </row>
    <row r="7323" spans="1:10" x14ac:dyDescent="0.25">
      <c r="A7323" t="s">
        <v>6648</v>
      </c>
      <c r="B7323">
        <v>17.696000000000002</v>
      </c>
      <c r="C7323" t="s">
        <v>6650</v>
      </c>
      <c r="D7323" t="s">
        <v>282</v>
      </c>
      <c r="E7323" t="s">
        <v>6630</v>
      </c>
      <c r="F7323" t="s">
        <v>7672</v>
      </c>
      <c r="G7323" t="s">
        <v>23859</v>
      </c>
      <c r="H7323" t="s">
        <v>10172</v>
      </c>
      <c r="I7323" t="s">
        <v>6653</v>
      </c>
      <c r="J7323" t="s">
        <v>16683</v>
      </c>
    </row>
    <row r="7324" spans="1:10" x14ac:dyDescent="0.25">
      <c r="A7324" t="s">
        <v>23864</v>
      </c>
      <c r="B7324">
        <v>17.696000000000002</v>
      </c>
      <c r="C7324" t="s">
        <v>23865</v>
      </c>
      <c r="D7324" t="s">
        <v>100</v>
      </c>
      <c r="E7324" t="s">
        <v>6630</v>
      </c>
      <c r="F7324" t="s">
        <v>7672</v>
      </c>
      <c r="G7324" t="s">
        <v>23859</v>
      </c>
      <c r="H7324" t="s">
        <v>10172</v>
      </c>
      <c r="I7324" t="s">
        <v>6633</v>
      </c>
      <c r="J7324" t="s">
        <v>16683</v>
      </c>
    </row>
    <row r="7325" spans="1:10" x14ac:dyDescent="0.25">
      <c r="A7325" t="s">
        <v>23866</v>
      </c>
      <c r="B7325">
        <v>17.696000000000002</v>
      </c>
      <c r="C7325" t="s">
        <v>23867</v>
      </c>
      <c r="D7325" t="s">
        <v>2253</v>
      </c>
      <c r="E7325" t="s">
        <v>6630</v>
      </c>
      <c r="F7325" t="s">
        <v>7672</v>
      </c>
      <c r="G7325" t="s">
        <v>23859</v>
      </c>
      <c r="H7325" t="s">
        <v>10172</v>
      </c>
      <c r="I7325" t="s">
        <v>6653</v>
      </c>
      <c r="J7325" t="s">
        <v>16683</v>
      </c>
    </row>
    <row r="7326" spans="1:10" x14ac:dyDescent="0.25">
      <c r="A7326" t="s">
        <v>6654</v>
      </c>
      <c r="B7326">
        <v>17.696000000000002</v>
      </c>
      <c r="C7326" t="s">
        <v>6656</v>
      </c>
      <c r="D7326" t="s">
        <v>282</v>
      </c>
      <c r="E7326" t="s">
        <v>6630</v>
      </c>
      <c r="F7326" t="s">
        <v>7672</v>
      </c>
      <c r="G7326" t="s">
        <v>23859</v>
      </c>
      <c r="H7326" t="s">
        <v>10172</v>
      </c>
      <c r="I7326" t="s">
        <v>6633</v>
      </c>
      <c r="J7326" t="s">
        <v>10292</v>
      </c>
    </row>
    <row r="7327" spans="1:10" x14ac:dyDescent="0.25">
      <c r="A7327" t="s">
        <v>23868</v>
      </c>
      <c r="B7327">
        <v>5.4960000000000004</v>
      </c>
      <c r="C7327" t="s">
        <v>23869</v>
      </c>
      <c r="D7327" t="s">
        <v>3378</v>
      </c>
      <c r="E7327" t="s">
        <v>23870</v>
      </c>
      <c r="F7327" t="s">
        <v>7672</v>
      </c>
      <c r="G7327" t="s">
        <v>23871</v>
      </c>
      <c r="H7327" t="s">
        <v>8027</v>
      </c>
      <c r="I7327" t="s">
        <v>8158</v>
      </c>
      <c r="J7327" t="s">
        <v>8427</v>
      </c>
    </row>
    <row r="7328" spans="1:10" x14ac:dyDescent="0.25">
      <c r="A7328" t="s">
        <v>23872</v>
      </c>
      <c r="B7328">
        <v>5.4960000000000004</v>
      </c>
      <c r="C7328" t="s">
        <v>23873</v>
      </c>
      <c r="D7328" t="s">
        <v>1254</v>
      </c>
      <c r="E7328" t="s">
        <v>23870</v>
      </c>
      <c r="F7328" t="s">
        <v>7672</v>
      </c>
      <c r="G7328" t="s">
        <v>23871</v>
      </c>
      <c r="H7328" t="s">
        <v>8027</v>
      </c>
      <c r="I7328" t="s">
        <v>8194</v>
      </c>
      <c r="J7328" t="s">
        <v>8427</v>
      </c>
    </row>
    <row r="7329" spans="1:10" x14ac:dyDescent="0.25">
      <c r="A7329" t="s">
        <v>23874</v>
      </c>
      <c r="B7329">
        <v>5.4960000000000004</v>
      </c>
      <c r="C7329" t="s">
        <v>23875</v>
      </c>
      <c r="D7329" t="s">
        <v>1014</v>
      </c>
      <c r="E7329" t="s">
        <v>23870</v>
      </c>
      <c r="F7329" t="s">
        <v>7672</v>
      </c>
      <c r="G7329" t="s">
        <v>23871</v>
      </c>
      <c r="H7329" t="s">
        <v>8027</v>
      </c>
      <c r="I7329" t="s">
        <v>8158</v>
      </c>
      <c r="J7329" t="s">
        <v>8439</v>
      </c>
    </row>
    <row r="7330" spans="1:10" x14ac:dyDescent="0.25">
      <c r="A7330" t="s">
        <v>23876</v>
      </c>
      <c r="B7330">
        <v>5.4960000000000004</v>
      </c>
      <c r="C7330" t="s">
        <v>23877</v>
      </c>
      <c r="D7330" t="s">
        <v>791</v>
      </c>
      <c r="E7330" t="s">
        <v>23870</v>
      </c>
      <c r="F7330" t="s">
        <v>7672</v>
      </c>
      <c r="G7330" t="s">
        <v>23871</v>
      </c>
      <c r="H7330" t="s">
        <v>8027</v>
      </c>
      <c r="I7330" t="s">
        <v>8194</v>
      </c>
      <c r="J7330" t="s">
        <v>8439</v>
      </c>
    </row>
    <row r="7331" spans="1:10" x14ac:dyDescent="0.25">
      <c r="A7331" t="s">
        <v>23878</v>
      </c>
      <c r="B7331">
        <v>5.4960000000000004</v>
      </c>
      <c r="C7331" t="s">
        <v>23879</v>
      </c>
      <c r="D7331" t="s">
        <v>1644</v>
      </c>
      <c r="E7331" t="s">
        <v>23870</v>
      </c>
      <c r="F7331" t="s">
        <v>7672</v>
      </c>
      <c r="G7331" t="s">
        <v>23871</v>
      </c>
      <c r="H7331" t="s">
        <v>8027</v>
      </c>
      <c r="I7331" t="s">
        <v>8158</v>
      </c>
      <c r="J7331" t="s">
        <v>8451</v>
      </c>
    </row>
    <row r="7332" spans="1:10" x14ac:dyDescent="0.25">
      <c r="A7332" t="s">
        <v>23880</v>
      </c>
      <c r="B7332">
        <v>5.4960000000000004</v>
      </c>
      <c r="C7332" t="s">
        <v>23881</v>
      </c>
      <c r="D7332" t="s">
        <v>996</v>
      </c>
      <c r="E7332" t="s">
        <v>23870</v>
      </c>
      <c r="F7332" t="s">
        <v>7672</v>
      </c>
      <c r="G7332" t="s">
        <v>23871</v>
      </c>
      <c r="H7332" t="s">
        <v>8027</v>
      </c>
      <c r="I7332" t="s">
        <v>8194</v>
      </c>
      <c r="J7332" t="s">
        <v>8451</v>
      </c>
    </row>
    <row r="7333" spans="1:10" x14ac:dyDescent="0.25">
      <c r="A7333" t="s">
        <v>23882</v>
      </c>
      <c r="B7333">
        <v>5.4960000000000004</v>
      </c>
      <c r="C7333" t="s">
        <v>23883</v>
      </c>
      <c r="D7333" t="s">
        <v>715</v>
      </c>
      <c r="E7333" t="s">
        <v>23870</v>
      </c>
      <c r="F7333" t="s">
        <v>7672</v>
      </c>
      <c r="G7333" t="s">
        <v>23871</v>
      </c>
      <c r="H7333" t="s">
        <v>8027</v>
      </c>
      <c r="I7333" t="s">
        <v>8194</v>
      </c>
      <c r="J7333" t="s">
        <v>8462</v>
      </c>
    </row>
    <row r="7334" spans="1:10" x14ac:dyDescent="0.25">
      <c r="A7334" t="s">
        <v>23884</v>
      </c>
      <c r="B7334">
        <v>5.4960000000000004</v>
      </c>
      <c r="C7334" t="s">
        <v>23885</v>
      </c>
      <c r="D7334" t="s">
        <v>516</v>
      </c>
      <c r="E7334" t="s">
        <v>23870</v>
      </c>
      <c r="F7334" t="s">
        <v>7672</v>
      </c>
      <c r="G7334" t="s">
        <v>23871</v>
      </c>
      <c r="H7334" t="s">
        <v>8027</v>
      </c>
      <c r="I7334" t="s">
        <v>8158</v>
      </c>
      <c r="J7334" t="s">
        <v>8462</v>
      </c>
    </row>
    <row r="7335" spans="1:10" x14ac:dyDescent="0.25">
      <c r="A7335" t="s">
        <v>23886</v>
      </c>
      <c r="B7335">
        <v>6.4960000000000004</v>
      </c>
      <c r="C7335" t="s">
        <v>23887</v>
      </c>
      <c r="D7335" t="s">
        <v>3613</v>
      </c>
      <c r="E7335" t="s">
        <v>23888</v>
      </c>
      <c r="F7335" t="s">
        <v>7672</v>
      </c>
      <c r="G7335" t="s">
        <v>23889</v>
      </c>
      <c r="H7335" t="s">
        <v>8027</v>
      </c>
      <c r="I7335" t="s">
        <v>8158</v>
      </c>
      <c r="J7335" t="s">
        <v>8891</v>
      </c>
    </row>
    <row r="7336" spans="1:10" x14ac:dyDescent="0.25">
      <c r="A7336" t="s">
        <v>23890</v>
      </c>
      <c r="B7336">
        <v>6.4960000000000004</v>
      </c>
      <c r="C7336" t="s">
        <v>23891</v>
      </c>
      <c r="D7336" t="s">
        <v>2804</v>
      </c>
      <c r="E7336" t="s">
        <v>23888</v>
      </c>
      <c r="F7336" t="s">
        <v>7672</v>
      </c>
      <c r="G7336" t="s">
        <v>23889</v>
      </c>
      <c r="H7336" t="s">
        <v>8027</v>
      </c>
      <c r="I7336" t="s">
        <v>23892</v>
      </c>
      <c r="J7336" t="s">
        <v>8891</v>
      </c>
    </row>
    <row r="7337" spans="1:10" x14ac:dyDescent="0.25">
      <c r="A7337" t="s">
        <v>23893</v>
      </c>
      <c r="B7337">
        <v>6.4960000000000004</v>
      </c>
      <c r="C7337" t="s">
        <v>23894</v>
      </c>
      <c r="D7337" t="s">
        <v>255</v>
      </c>
      <c r="E7337" t="s">
        <v>23888</v>
      </c>
      <c r="F7337" t="s">
        <v>7672</v>
      </c>
      <c r="G7337" t="s">
        <v>23889</v>
      </c>
      <c r="H7337" t="s">
        <v>8027</v>
      </c>
      <c r="I7337" t="s">
        <v>23892</v>
      </c>
      <c r="J7337" t="s">
        <v>8418</v>
      </c>
    </row>
    <row r="7338" spans="1:10" x14ac:dyDescent="0.25">
      <c r="A7338" t="s">
        <v>23895</v>
      </c>
      <c r="B7338">
        <v>6.4960000000000004</v>
      </c>
      <c r="C7338" t="s">
        <v>23896</v>
      </c>
      <c r="D7338" t="s">
        <v>849</v>
      </c>
      <c r="E7338" t="s">
        <v>23888</v>
      </c>
      <c r="F7338" t="s">
        <v>7672</v>
      </c>
      <c r="G7338" t="s">
        <v>23889</v>
      </c>
      <c r="H7338" t="s">
        <v>8027</v>
      </c>
      <c r="I7338" t="s">
        <v>8158</v>
      </c>
      <c r="J7338" t="s">
        <v>8418</v>
      </c>
    </row>
    <row r="7339" spans="1:10" x14ac:dyDescent="0.25">
      <c r="A7339" t="s">
        <v>23897</v>
      </c>
      <c r="B7339">
        <v>6.4960000000000004</v>
      </c>
      <c r="C7339" t="s">
        <v>23898</v>
      </c>
      <c r="D7339" t="s">
        <v>23899</v>
      </c>
      <c r="E7339" t="s">
        <v>23888</v>
      </c>
      <c r="F7339" t="s">
        <v>7672</v>
      </c>
      <c r="G7339" t="s">
        <v>23889</v>
      </c>
      <c r="H7339" t="s">
        <v>8027</v>
      </c>
      <c r="I7339" t="s">
        <v>8158</v>
      </c>
      <c r="J7339" t="s">
        <v>8896</v>
      </c>
    </row>
    <row r="7340" spans="1:10" x14ac:dyDescent="0.25">
      <c r="A7340" t="s">
        <v>23900</v>
      </c>
      <c r="B7340">
        <v>6.4960000000000004</v>
      </c>
      <c r="C7340" t="s">
        <v>23901</v>
      </c>
      <c r="D7340" t="s">
        <v>870</v>
      </c>
      <c r="E7340" t="s">
        <v>23888</v>
      </c>
      <c r="F7340" t="s">
        <v>7672</v>
      </c>
      <c r="G7340" t="s">
        <v>23889</v>
      </c>
      <c r="H7340" t="s">
        <v>8027</v>
      </c>
      <c r="I7340" t="s">
        <v>23892</v>
      </c>
      <c r="J7340" t="s">
        <v>8896</v>
      </c>
    </row>
    <row r="7341" spans="1:10" x14ac:dyDescent="0.25">
      <c r="A7341" t="s">
        <v>23902</v>
      </c>
      <c r="B7341">
        <v>6.4960000000000004</v>
      </c>
      <c r="C7341" t="s">
        <v>23903</v>
      </c>
      <c r="D7341" t="s">
        <v>7993</v>
      </c>
      <c r="E7341" t="s">
        <v>23888</v>
      </c>
      <c r="F7341" t="s">
        <v>7672</v>
      </c>
      <c r="G7341" t="s">
        <v>23889</v>
      </c>
      <c r="H7341" t="s">
        <v>8027</v>
      </c>
      <c r="I7341" t="s">
        <v>8158</v>
      </c>
      <c r="J7341" t="s">
        <v>9400</v>
      </c>
    </row>
    <row r="7342" spans="1:10" x14ac:dyDescent="0.25">
      <c r="A7342" t="s">
        <v>23904</v>
      </c>
      <c r="B7342">
        <v>6.4960000000000004</v>
      </c>
      <c r="C7342" t="s">
        <v>23905</v>
      </c>
      <c r="D7342" t="s">
        <v>366</v>
      </c>
      <c r="E7342" t="s">
        <v>23888</v>
      </c>
      <c r="F7342" t="s">
        <v>7672</v>
      </c>
      <c r="G7342" t="s">
        <v>23889</v>
      </c>
      <c r="H7342" t="s">
        <v>8027</v>
      </c>
      <c r="I7342" t="s">
        <v>8158</v>
      </c>
      <c r="J7342" t="s">
        <v>9405</v>
      </c>
    </row>
    <row r="7343" spans="1:10" x14ac:dyDescent="0.25">
      <c r="A7343" t="s">
        <v>23906</v>
      </c>
      <c r="B7343">
        <v>4.4960000000000004</v>
      </c>
      <c r="C7343" t="s">
        <v>23907</v>
      </c>
      <c r="D7343" t="s">
        <v>2879</v>
      </c>
      <c r="E7343" t="s">
        <v>23908</v>
      </c>
      <c r="F7343" t="s">
        <v>7672</v>
      </c>
      <c r="G7343" t="s">
        <v>23909</v>
      </c>
      <c r="H7343" t="s">
        <v>14647</v>
      </c>
      <c r="I7343" t="s">
        <v>19162</v>
      </c>
      <c r="J7343" t="s">
        <v>7981</v>
      </c>
    </row>
    <row r="7344" spans="1:10" x14ac:dyDescent="0.25">
      <c r="A7344" t="s">
        <v>23910</v>
      </c>
      <c r="B7344">
        <v>4.4960000000000004</v>
      </c>
      <c r="C7344" t="s">
        <v>23911</v>
      </c>
      <c r="D7344" t="s">
        <v>2697</v>
      </c>
      <c r="E7344" t="s">
        <v>23908</v>
      </c>
      <c r="F7344" t="s">
        <v>7672</v>
      </c>
      <c r="G7344" t="s">
        <v>23909</v>
      </c>
      <c r="H7344" t="s">
        <v>14647</v>
      </c>
      <c r="I7344" t="s">
        <v>23912</v>
      </c>
      <c r="J7344" t="s">
        <v>7981</v>
      </c>
    </row>
    <row r="7345" spans="1:10" x14ac:dyDescent="0.25">
      <c r="A7345" t="s">
        <v>23913</v>
      </c>
      <c r="B7345">
        <v>4.4960000000000004</v>
      </c>
      <c r="C7345" t="s">
        <v>23914</v>
      </c>
      <c r="D7345" t="s">
        <v>164</v>
      </c>
      <c r="E7345" t="s">
        <v>23908</v>
      </c>
      <c r="F7345" t="s">
        <v>7672</v>
      </c>
      <c r="G7345" t="s">
        <v>23909</v>
      </c>
      <c r="H7345" t="s">
        <v>14647</v>
      </c>
      <c r="I7345" t="s">
        <v>11789</v>
      </c>
      <c r="J7345" t="s">
        <v>7981</v>
      </c>
    </row>
    <row r="7346" spans="1:10" x14ac:dyDescent="0.25">
      <c r="A7346" t="s">
        <v>23915</v>
      </c>
      <c r="B7346">
        <v>4.4960000000000004</v>
      </c>
      <c r="C7346" t="s">
        <v>23916</v>
      </c>
      <c r="D7346" t="s">
        <v>240</v>
      </c>
      <c r="E7346" t="s">
        <v>23908</v>
      </c>
      <c r="F7346" t="s">
        <v>7672</v>
      </c>
      <c r="G7346" t="s">
        <v>23909</v>
      </c>
      <c r="H7346" t="s">
        <v>14647</v>
      </c>
      <c r="I7346" t="s">
        <v>23917</v>
      </c>
      <c r="J7346" t="s">
        <v>7981</v>
      </c>
    </row>
    <row r="7347" spans="1:10" x14ac:dyDescent="0.25">
      <c r="A7347" t="s">
        <v>23918</v>
      </c>
      <c r="B7347">
        <v>4.4960000000000004</v>
      </c>
      <c r="C7347" t="s">
        <v>23919</v>
      </c>
      <c r="D7347" t="s">
        <v>4270</v>
      </c>
      <c r="E7347" t="s">
        <v>23908</v>
      </c>
      <c r="F7347" t="s">
        <v>7672</v>
      </c>
      <c r="G7347" t="s">
        <v>23909</v>
      </c>
      <c r="H7347" t="s">
        <v>14647</v>
      </c>
      <c r="I7347" t="s">
        <v>19162</v>
      </c>
      <c r="J7347" t="s">
        <v>7984</v>
      </c>
    </row>
    <row r="7348" spans="1:10" x14ac:dyDescent="0.25">
      <c r="A7348" t="s">
        <v>23920</v>
      </c>
      <c r="B7348">
        <v>4.4960000000000004</v>
      </c>
      <c r="C7348" t="s">
        <v>23921</v>
      </c>
      <c r="D7348" t="s">
        <v>1822</v>
      </c>
      <c r="E7348" t="s">
        <v>23908</v>
      </c>
      <c r="F7348" t="s">
        <v>7672</v>
      </c>
      <c r="G7348" t="s">
        <v>23909</v>
      </c>
      <c r="H7348" t="s">
        <v>14647</v>
      </c>
      <c r="I7348" t="s">
        <v>23917</v>
      </c>
      <c r="J7348" t="s">
        <v>7984</v>
      </c>
    </row>
    <row r="7349" spans="1:10" x14ac:dyDescent="0.25">
      <c r="A7349" t="s">
        <v>23922</v>
      </c>
      <c r="B7349">
        <v>4.4960000000000004</v>
      </c>
      <c r="C7349" t="s">
        <v>23923</v>
      </c>
      <c r="D7349" t="s">
        <v>1822</v>
      </c>
      <c r="E7349" t="s">
        <v>23908</v>
      </c>
      <c r="F7349" t="s">
        <v>7672</v>
      </c>
      <c r="G7349" t="s">
        <v>23909</v>
      </c>
      <c r="H7349" t="s">
        <v>14647</v>
      </c>
      <c r="I7349" t="s">
        <v>23912</v>
      </c>
      <c r="J7349" t="s">
        <v>7984</v>
      </c>
    </row>
    <row r="7350" spans="1:10" x14ac:dyDescent="0.25">
      <c r="A7350" t="s">
        <v>23924</v>
      </c>
      <c r="B7350">
        <v>4.4960000000000004</v>
      </c>
      <c r="C7350" t="s">
        <v>23925</v>
      </c>
      <c r="D7350" t="s">
        <v>2910</v>
      </c>
      <c r="E7350" t="s">
        <v>23908</v>
      </c>
      <c r="F7350" t="s">
        <v>7672</v>
      </c>
      <c r="G7350" t="s">
        <v>23909</v>
      </c>
      <c r="H7350" t="s">
        <v>14647</v>
      </c>
      <c r="I7350" t="s">
        <v>11789</v>
      </c>
      <c r="J7350" t="s">
        <v>7984</v>
      </c>
    </row>
    <row r="7351" spans="1:10" x14ac:dyDescent="0.25">
      <c r="A7351" t="s">
        <v>23926</v>
      </c>
      <c r="B7351">
        <v>4.4960000000000004</v>
      </c>
      <c r="C7351" t="s">
        <v>23927</v>
      </c>
      <c r="D7351" t="s">
        <v>843</v>
      </c>
      <c r="E7351" t="s">
        <v>23908</v>
      </c>
      <c r="F7351" t="s">
        <v>7672</v>
      </c>
      <c r="G7351" t="s">
        <v>23909</v>
      </c>
      <c r="H7351" t="s">
        <v>14647</v>
      </c>
      <c r="I7351" t="s">
        <v>19162</v>
      </c>
      <c r="J7351" t="s">
        <v>7987</v>
      </c>
    </row>
    <row r="7352" spans="1:10" x14ac:dyDescent="0.25">
      <c r="A7352" t="s">
        <v>23928</v>
      </c>
      <c r="B7352">
        <v>4.4960000000000004</v>
      </c>
      <c r="C7352" t="s">
        <v>23929</v>
      </c>
      <c r="D7352" t="s">
        <v>875</v>
      </c>
      <c r="E7352" t="s">
        <v>23908</v>
      </c>
      <c r="F7352" t="s">
        <v>7672</v>
      </c>
      <c r="G7352" t="s">
        <v>23909</v>
      </c>
      <c r="H7352" t="s">
        <v>14647</v>
      </c>
      <c r="I7352" t="s">
        <v>23917</v>
      </c>
      <c r="J7352" t="s">
        <v>7987</v>
      </c>
    </row>
    <row r="7353" spans="1:10" x14ac:dyDescent="0.25">
      <c r="A7353" t="s">
        <v>23930</v>
      </c>
      <c r="B7353">
        <v>4.4960000000000004</v>
      </c>
      <c r="C7353" t="s">
        <v>23931</v>
      </c>
      <c r="D7353" t="s">
        <v>2022</v>
      </c>
      <c r="E7353" t="s">
        <v>23908</v>
      </c>
      <c r="F7353" t="s">
        <v>7672</v>
      </c>
      <c r="G7353" t="s">
        <v>23909</v>
      </c>
      <c r="H7353" t="s">
        <v>14647</v>
      </c>
      <c r="I7353" t="s">
        <v>23912</v>
      </c>
      <c r="J7353" t="s">
        <v>7987</v>
      </c>
    </row>
    <row r="7354" spans="1:10" x14ac:dyDescent="0.25">
      <c r="A7354" t="s">
        <v>23932</v>
      </c>
      <c r="B7354">
        <v>4.4960000000000004</v>
      </c>
      <c r="C7354" t="s">
        <v>23933</v>
      </c>
      <c r="D7354" t="s">
        <v>671</v>
      </c>
      <c r="E7354" t="s">
        <v>23908</v>
      </c>
      <c r="F7354" t="s">
        <v>7672</v>
      </c>
      <c r="G7354" t="s">
        <v>23909</v>
      </c>
      <c r="H7354" t="s">
        <v>14647</v>
      </c>
      <c r="I7354" t="s">
        <v>11789</v>
      </c>
      <c r="J7354" t="s">
        <v>7987</v>
      </c>
    </row>
    <row r="7355" spans="1:10" x14ac:dyDescent="0.25">
      <c r="A7355" t="s">
        <v>23934</v>
      </c>
      <c r="B7355">
        <v>4.4960000000000004</v>
      </c>
      <c r="C7355" t="s">
        <v>23935</v>
      </c>
      <c r="D7355" t="s">
        <v>113</v>
      </c>
      <c r="E7355" t="s">
        <v>23908</v>
      </c>
      <c r="F7355" t="s">
        <v>7672</v>
      </c>
      <c r="G7355" t="s">
        <v>23909</v>
      </c>
      <c r="H7355" t="s">
        <v>14647</v>
      </c>
      <c r="I7355" t="s">
        <v>23917</v>
      </c>
      <c r="J7355" t="s">
        <v>8001</v>
      </c>
    </row>
    <row r="7356" spans="1:10" x14ac:dyDescent="0.25">
      <c r="A7356" t="s">
        <v>23936</v>
      </c>
      <c r="B7356">
        <v>4.4960000000000004</v>
      </c>
      <c r="C7356" t="s">
        <v>23937</v>
      </c>
      <c r="D7356" t="s">
        <v>1811</v>
      </c>
      <c r="E7356" t="s">
        <v>23908</v>
      </c>
      <c r="F7356" t="s">
        <v>7672</v>
      </c>
      <c r="G7356" t="s">
        <v>23909</v>
      </c>
      <c r="H7356" t="s">
        <v>14647</v>
      </c>
      <c r="I7356" t="s">
        <v>23912</v>
      </c>
      <c r="J7356" t="s">
        <v>8001</v>
      </c>
    </row>
    <row r="7357" spans="1:10" x14ac:dyDescent="0.25">
      <c r="A7357" t="s">
        <v>23938</v>
      </c>
      <c r="B7357">
        <v>4.4960000000000004</v>
      </c>
      <c r="C7357" t="s">
        <v>23939</v>
      </c>
      <c r="D7357" t="s">
        <v>296</v>
      </c>
      <c r="E7357" t="s">
        <v>23908</v>
      </c>
      <c r="F7357" t="s">
        <v>7672</v>
      </c>
      <c r="G7357" t="s">
        <v>23909</v>
      </c>
      <c r="H7357" t="s">
        <v>14647</v>
      </c>
      <c r="I7357" t="s">
        <v>11789</v>
      </c>
      <c r="J7357" t="s">
        <v>8001</v>
      </c>
    </row>
    <row r="7358" spans="1:10" x14ac:dyDescent="0.25">
      <c r="A7358" t="s">
        <v>23940</v>
      </c>
      <c r="B7358">
        <v>4.4960000000000004</v>
      </c>
      <c r="C7358" t="s">
        <v>23941</v>
      </c>
      <c r="D7358" t="s">
        <v>613</v>
      </c>
      <c r="E7358" t="s">
        <v>23908</v>
      </c>
      <c r="F7358" t="s">
        <v>7672</v>
      </c>
      <c r="G7358" t="s">
        <v>23909</v>
      </c>
      <c r="H7358" t="s">
        <v>14647</v>
      </c>
      <c r="I7358" t="s">
        <v>19162</v>
      </c>
      <c r="J7358" t="s">
        <v>8001</v>
      </c>
    </row>
    <row r="7359" spans="1:10" x14ac:dyDescent="0.25">
      <c r="A7359" t="s">
        <v>23942</v>
      </c>
      <c r="B7359">
        <v>4.4800000000000004</v>
      </c>
      <c r="C7359" t="s">
        <v>23943</v>
      </c>
      <c r="D7359" t="s">
        <v>843</v>
      </c>
      <c r="E7359" t="s">
        <v>23944</v>
      </c>
      <c r="F7359" t="s">
        <v>7672</v>
      </c>
      <c r="G7359" t="s">
        <v>23945</v>
      </c>
      <c r="H7359" t="s">
        <v>13951</v>
      </c>
      <c r="I7359" t="s">
        <v>1490</v>
      </c>
      <c r="J7359" t="s">
        <v>7703</v>
      </c>
    </row>
    <row r="7360" spans="1:10" x14ac:dyDescent="0.25">
      <c r="A7360" t="s">
        <v>23946</v>
      </c>
      <c r="B7360">
        <v>5.2</v>
      </c>
      <c r="C7360" t="s">
        <v>23947</v>
      </c>
      <c r="D7360" t="s">
        <v>3944</v>
      </c>
      <c r="E7360" t="s">
        <v>23948</v>
      </c>
      <c r="F7360" t="s">
        <v>7672</v>
      </c>
      <c r="G7360" t="s">
        <v>23949</v>
      </c>
      <c r="H7360" t="s">
        <v>8515</v>
      </c>
      <c r="I7360" t="s">
        <v>497</v>
      </c>
      <c r="J7360" t="s">
        <v>100</v>
      </c>
    </row>
    <row r="7361" spans="1:10" x14ac:dyDescent="0.25">
      <c r="A7361" t="s">
        <v>23950</v>
      </c>
      <c r="B7361">
        <v>5.3920000000000003</v>
      </c>
      <c r="C7361" t="s">
        <v>23951</v>
      </c>
      <c r="D7361" t="s">
        <v>9574</v>
      </c>
      <c r="E7361" t="s">
        <v>23952</v>
      </c>
      <c r="F7361" t="s">
        <v>7672</v>
      </c>
      <c r="G7361" t="s">
        <v>23953</v>
      </c>
      <c r="H7361" t="s">
        <v>21378</v>
      </c>
      <c r="I7361" t="s">
        <v>497</v>
      </c>
      <c r="J7361" t="s">
        <v>9694</v>
      </c>
    </row>
    <row r="7362" spans="1:10" x14ac:dyDescent="0.25">
      <c r="A7362" t="s">
        <v>23954</v>
      </c>
      <c r="B7362">
        <v>10</v>
      </c>
      <c r="C7362" t="s">
        <v>23955</v>
      </c>
      <c r="D7362" t="s">
        <v>131</v>
      </c>
      <c r="E7362" t="s">
        <v>23956</v>
      </c>
      <c r="F7362" t="s">
        <v>7672</v>
      </c>
      <c r="G7362" t="s">
        <v>23957</v>
      </c>
      <c r="H7362" t="s">
        <v>8301</v>
      </c>
      <c r="I7362" t="s">
        <v>23958</v>
      </c>
      <c r="J7362" t="s">
        <v>7942</v>
      </c>
    </row>
    <row r="7363" spans="1:10" x14ac:dyDescent="0.25">
      <c r="A7363" t="s">
        <v>23959</v>
      </c>
      <c r="B7363">
        <v>10</v>
      </c>
      <c r="C7363" t="s">
        <v>23960</v>
      </c>
      <c r="D7363" t="s">
        <v>1811</v>
      </c>
      <c r="E7363" t="s">
        <v>23956</v>
      </c>
      <c r="F7363" t="s">
        <v>7672</v>
      </c>
      <c r="G7363" t="s">
        <v>23957</v>
      </c>
      <c r="H7363" t="s">
        <v>8301</v>
      </c>
      <c r="I7363" t="s">
        <v>23958</v>
      </c>
      <c r="J7363" t="s">
        <v>7981</v>
      </c>
    </row>
    <row r="7364" spans="1:10" x14ac:dyDescent="0.25">
      <c r="A7364" t="s">
        <v>23961</v>
      </c>
      <c r="B7364">
        <v>10</v>
      </c>
      <c r="C7364" t="s">
        <v>23962</v>
      </c>
      <c r="D7364" t="s">
        <v>60</v>
      </c>
      <c r="E7364" t="s">
        <v>23956</v>
      </c>
      <c r="F7364" t="s">
        <v>7672</v>
      </c>
      <c r="G7364" t="s">
        <v>23957</v>
      </c>
      <c r="H7364" t="s">
        <v>8301</v>
      </c>
      <c r="I7364" t="s">
        <v>23958</v>
      </c>
      <c r="J7364" t="s">
        <v>7984</v>
      </c>
    </row>
    <row r="7365" spans="1:10" x14ac:dyDescent="0.25">
      <c r="A7365" t="s">
        <v>6658</v>
      </c>
      <c r="B7365">
        <v>15.6</v>
      </c>
      <c r="C7365" t="s">
        <v>6660</v>
      </c>
      <c r="D7365" t="s">
        <v>582</v>
      </c>
      <c r="E7365" t="s">
        <v>6661</v>
      </c>
      <c r="F7365" t="s">
        <v>7672</v>
      </c>
      <c r="G7365" t="s">
        <v>23963</v>
      </c>
      <c r="H7365" t="s">
        <v>9232</v>
      </c>
      <c r="I7365" t="s">
        <v>6664</v>
      </c>
      <c r="J7365" t="s">
        <v>8439</v>
      </c>
    </row>
    <row r="7366" spans="1:10" x14ac:dyDescent="0.25">
      <c r="A7366" t="s">
        <v>23964</v>
      </c>
      <c r="B7366">
        <v>7.6000000000000014</v>
      </c>
      <c r="C7366" t="s">
        <v>23965</v>
      </c>
      <c r="D7366" t="s">
        <v>113</v>
      </c>
      <c r="E7366" t="s">
        <v>23966</v>
      </c>
      <c r="F7366" t="s">
        <v>7672</v>
      </c>
      <c r="G7366" t="s">
        <v>23967</v>
      </c>
      <c r="H7366" t="s">
        <v>11496</v>
      </c>
      <c r="I7366" t="s">
        <v>1243</v>
      </c>
      <c r="J7366" t="s">
        <v>9423</v>
      </c>
    </row>
    <row r="7367" spans="1:10" x14ac:dyDescent="0.25">
      <c r="A7367" t="s">
        <v>23968</v>
      </c>
      <c r="B7367">
        <v>7.6000000000000014</v>
      </c>
      <c r="C7367" t="s">
        <v>23969</v>
      </c>
      <c r="D7367" t="s">
        <v>1134</v>
      </c>
      <c r="E7367" t="s">
        <v>23966</v>
      </c>
      <c r="F7367" t="s">
        <v>7672</v>
      </c>
      <c r="G7367" t="s">
        <v>23967</v>
      </c>
      <c r="H7367" t="s">
        <v>11496</v>
      </c>
      <c r="I7367" t="s">
        <v>1243</v>
      </c>
      <c r="J7367" t="s">
        <v>9426</v>
      </c>
    </row>
    <row r="7368" spans="1:10" x14ac:dyDescent="0.25">
      <c r="A7368" t="s">
        <v>23970</v>
      </c>
      <c r="B7368">
        <v>7.6000000000000014</v>
      </c>
      <c r="C7368" t="s">
        <v>23971</v>
      </c>
      <c r="D7368" t="s">
        <v>633</v>
      </c>
      <c r="E7368" t="s">
        <v>23966</v>
      </c>
      <c r="F7368" t="s">
        <v>7672</v>
      </c>
      <c r="G7368" t="s">
        <v>23967</v>
      </c>
      <c r="H7368" t="s">
        <v>11496</v>
      </c>
      <c r="I7368" t="s">
        <v>1243</v>
      </c>
      <c r="J7368" t="s">
        <v>13084</v>
      </c>
    </row>
    <row r="7369" spans="1:10" x14ac:dyDescent="0.25">
      <c r="A7369" t="s">
        <v>23972</v>
      </c>
      <c r="B7369">
        <v>7.6000000000000014</v>
      </c>
      <c r="C7369" t="s">
        <v>23973</v>
      </c>
      <c r="D7369" t="s">
        <v>4322</v>
      </c>
      <c r="E7369" t="s">
        <v>23966</v>
      </c>
      <c r="F7369" t="s">
        <v>7672</v>
      </c>
      <c r="G7369" t="s">
        <v>23967</v>
      </c>
      <c r="H7369" t="s">
        <v>11496</v>
      </c>
      <c r="I7369" t="s">
        <v>1243</v>
      </c>
      <c r="J7369" t="s">
        <v>11767</v>
      </c>
    </row>
    <row r="7370" spans="1:10" x14ac:dyDescent="0.25">
      <c r="A7370" t="s">
        <v>23974</v>
      </c>
      <c r="B7370">
        <v>7.6000000000000014</v>
      </c>
      <c r="C7370" t="s">
        <v>23975</v>
      </c>
      <c r="D7370" t="s">
        <v>705</v>
      </c>
      <c r="E7370" t="s">
        <v>23966</v>
      </c>
      <c r="F7370" t="s">
        <v>7672</v>
      </c>
      <c r="G7370" t="s">
        <v>23967</v>
      </c>
      <c r="H7370" t="s">
        <v>11496</v>
      </c>
      <c r="I7370" t="s">
        <v>1243</v>
      </c>
      <c r="J7370" t="s">
        <v>11582</v>
      </c>
    </row>
    <row r="7371" spans="1:10" x14ac:dyDescent="0.25">
      <c r="A7371" t="s">
        <v>23976</v>
      </c>
      <c r="B7371">
        <v>8.8000000000000007</v>
      </c>
      <c r="C7371" t="s">
        <v>23977</v>
      </c>
      <c r="D7371" t="s">
        <v>9325</v>
      </c>
      <c r="E7371" t="s">
        <v>23978</v>
      </c>
      <c r="F7371" t="s">
        <v>7672</v>
      </c>
      <c r="G7371" t="s">
        <v>23979</v>
      </c>
      <c r="H7371" t="s">
        <v>7674</v>
      </c>
      <c r="I7371" t="s">
        <v>23980</v>
      </c>
      <c r="J7371" t="s">
        <v>9998</v>
      </c>
    </row>
    <row r="7372" spans="1:10" x14ac:dyDescent="0.25">
      <c r="A7372" t="s">
        <v>23981</v>
      </c>
      <c r="B7372">
        <v>8.8000000000000007</v>
      </c>
      <c r="C7372" t="s">
        <v>23982</v>
      </c>
      <c r="D7372" t="s">
        <v>9583</v>
      </c>
      <c r="E7372" t="s">
        <v>23978</v>
      </c>
      <c r="F7372" t="s">
        <v>7672</v>
      </c>
      <c r="G7372" t="s">
        <v>23979</v>
      </c>
      <c r="H7372" t="s">
        <v>7674</v>
      </c>
      <c r="I7372" t="s">
        <v>23980</v>
      </c>
      <c r="J7372" t="s">
        <v>8427</v>
      </c>
    </row>
    <row r="7373" spans="1:10" x14ac:dyDescent="0.25">
      <c r="A7373" t="s">
        <v>23983</v>
      </c>
      <c r="B7373">
        <v>8.8000000000000007</v>
      </c>
      <c r="C7373" t="s">
        <v>23984</v>
      </c>
      <c r="D7373" t="s">
        <v>277</v>
      </c>
      <c r="E7373" t="s">
        <v>23978</v>
      </c>
      <c r="F7373" t="s">
        <v>7672</v>
      </c>
      <c r="G7373" t="s">
        <v>23979</v>
      </c>
      <c r="H7373" t="s">
        <v>7674</v>
      </c>
      <c r="I7373" t="s">
        <v>23980</v>
      </c>
      <c r="J7373" t="s">
        <v>8462</v>
      </c>
    </row>
    <row r="7374" spans="1:10" x14ac:dyDescent="0.25">
      <c r="A7374" t="s">
        <v>23985</v>
      </c>
      <c r="B7374">
        <v>8.8000000000000007</v>
      </c>
      <c r="C7374" t="s">
        <v>23986</v>
      </c>
      <c r="D7374" t="s">
        <v>3258</v>
      </c>
      <c r="E7374" t="s">
        <v>23978</v>
      </c>
      <c r="F7374" t="s">
        <v>7672</v>
      </c>
      <c r="G7374" t="s">
        <v>23979</v>
      </c>
      <c r="H7374" t="s">
        <v>7674</v>
      </c>
      <c r="I7374" t="s">
        <v>11082</v>
      </c>
      <c r="J7374" t="s">
        <v>9998</v>
      </c>
    </row>
    <row r="7375" spans="1:10" x14ac:dyDescent="0.25">
      <c r="A7375" t="s">
        <v>6665</v>
      </c>
      <c r="B7375">
        <v>19.600000000000001</v>
      </c>
      <c r="C7375" t="s">
        <v>6667</v>
      </c>
      <c r="D7375" t="s">
        <v>342</v>
      </c>
      <c r="E7375" t="s">
        <v>6668</v>
      </c>
      <c r="F7375" t="s">
        <v>7672</v>
      </c>
      <c r="G7375" t="s">
        <v>23987</v>
      </c>
      <c r="H7375" t="s">
        <v>7954</v>
      </c>
      <c r="I7375" t="s">
        <v>856</v>
      </c>
      <c r="J7375" t="s">
        <v>7942</v>
      </c>
    </row>
    <row r="7376" spans="1:10" x14ac:dyDescent="0.25">
      <c r="A7376" t="s">
        <v>6671</v>
      </c>
      <c r="B7376">
        <v>19.600000000000001</v>
      </c>
      <c r="C7376" t="s">
        <v>6673</v>
      </c>
      <c r="D7376" t="s">
        <v>290</v>
      </c>
      <c r="E7376" t="s">
        <v>6668</v>
      </c>
      <c r="F7376" t="s">
        <v>7672</v>
      </c>
      <c r="G7376" t="s">
        <v>23987</v>
      </c>
      <c r="H7376" t="s">
        <v>7954</v>
      </c>
      <c r="I7376" t="s">
        <v>76</v>
      </c>
      <c r="J7376" t="s">
        <v>7942</v>
      </c>
    </row>
    <row r="7377" spans="1:10" x14ac:dyDescent="0.25">
      <c r="A7377" t="s">
        <v>6675</v>
      </c>
      <c r="B7377">
        <v>19.600000000000001</v>
      </c>
      <c r="C7377" t="s">
        <v>6677</v>
      </c>
      <c r="D7377" t="s">
        <v>698</v>
      </c>
      <c r="E7377" t="s">
        <v>6668</v>
      </c>
      <c r="F7377" t="s">
        <v>7672</v>
      </c>
      <c r="G7377" t="s">
        <v>23987</v>
      </c>
      <c r="H7377" t="s">
        <v>7954</v>
      </c>
      <c r="I7377" t="s">
        <v>76</v>
      </c>
      <c r="J7377" t="s">
        <v>7981</v>
      </c>
    </row>
    <row r="7378" spans="1:10" x14ac:dyDescent="0.25">
      <c r="A7378" t="s">
        <v>6679</v>
      </c>
      <c r="B7378">
        <v>19.600000000000001</v>
      </c>
      <c r="C7378" t="s">
        <v>6681</v>
      </c>
      <c r="D7378" t="s">
        <v>366</v>
      </c>
      <c r="E7378" t="s">
        <v>6668</v>
      </c>
      <c r="F7378" t="s">
        <v>7672</v>
      </c>
      <c r="G7378" t="s">
        <v>23987</v>
      </c>
      <c r="H7378" t="s">
        <v>7954</v>
      </c>
      <c r="I7378" t="s">
        <v>856</v>
      </c>
      <c r="J7378" t="s">
        <v>7981</v>
      </c>
    </row>
    <row r="7379" spans="1:10" x14ac:dyDescent="0.25">
      <c r="A7379" t="s">
        <v>6683</v>
      </c>
      <c r="B7379">
        <v>19.600000000000001</v>
      </c>
      <c r="C7379" t="s">
        <v>6685</v>
      </c>
      <c r="D7379" t="s">
        <v>671</v>
      </c>
      <c r="E7379" t="s">
        <v>6668</v>
      </c>
      <c r="F7379" t="s">
        <v>7672</v>
      </c>
      <c r="G7379" t="s">
        <v>23987</v>
      </c>
      <c r="H7379" t="s">
        <v>7954</v>
      </c>
      <c r="I7379" t="s">
        <v>856</v>
      </c>
      <c r="J7379" t="s">
        <v>7984</v>
      </c>
    </row>
    <row r="7380" spans="1:10" x14ac:dyDescent="0.25">
      <c r="A7380" t="s">
        <v>6687</v>
      </c>
      <c r="B7380">
        <v>19.600000000000001</v>
      </c>
      <c r="C7380" t="s">
        <v>6689</v>
      </c>
      <c r="D7380" t="s">
        <v>3378</v>
      </c>
      <c r="E7380" t="s">
        <v>6668</v>
      </c>
      <c r="F7380" t="s">
        <v>7672</v>
      </c>
      <c r="G7380" t="s">
        <v>23987</v>
      </c>
      <c r="H7380" t="s">
        <v>7954</v>
      </c>
      <c r="I7380" t="s">
        <v>76</v>
      </c>
      <c r="J7380" t="s">
        <v>7984</v>
      </c>
    </row>
    <row r="7381" spans="1:10" x14ac:dyDescent="0.25">
      <c r="A7381" t="s">
        <v>6691</v>
      </c>
      <c r="B7381">
        <v>19.600000000000001</v>
      </c>
      <c r="C7381" t="s">
        <v>6693</v>
      </c>
      <c r="D7381" t="s">
        <v>301</v>
      </c>
      <c r="E7381" t="s">
        <v>6668</v>
      </c>
      <c r="F7381" t="s">
        <v>7672</v>
      </c>
      <c r="G7381" t="s">
        <v>23987</v>
      </c>
      <c r="H7381" t="s">
        <v>7954</v>
      </c>
      <c r="I7381" t="s">
        <v>856</v>
      </c>
      <c r="J7381" t="s">
        <v>7987</v>
      </c>
    </row>
    <row r="7382" spans="1:10" x14ac:dyDescent="0.25">
      <c r="A7382" t="s">
        <v>6695</v>
      </c>
      <c r="B7382">
        <v>19.600000000000001</v>
      </c>
      <c r="C7382" t="s">
        <v>6697</v>
      </c>
      <c r="D7382" t="s">
        <v>1236</v>
      </c>
      <c r="E7382" t="s">
        <v>6668</v>
      </c>
      <c r="F7382" t="s">
        <v>7672</v>
      </c>
      <c r="G7382" t="s">
        <v>23987</v>
      </c>
      <c r="H7382" t="s">
        <v>7954</v>
      </c>
      <c r="I7382" t="s">
        <v>76</v>
      </c>
      <c r="J7382" t="s">
        <v>7987</v>
      </c>
    </row>
    <row r="7383" spans="1:10" x14ac:dyDescent="0.25">
      <c r="A7383" t="s">
        <v>6699</v>
      </c>
      <c r="B7383">
        <v>19.600000000000001</v>
      </c>
      <c r="C7383" t="s">
        <v>6701</v>
      </c>
      <c r="D7383" t="s">
        <v>964</v>
      </c>
      <c r="E7383" t="s">
        <v>6668</v>
      </c>
      <c r="F7383" t="s">
        <v>7672</v>
      </c>
      <c r="G7383" t="s">
        <v>23987</v>
      </c>
      <c r="H7383" t="s">
        <v>7954</v>
      </c>
      <c r="I7383" t="s">
        <v>856</v>
      </c>
      <c r="J7383" t="s">
        <v>8001</v>
      </c>
    </row>
    <row r="7384" spans="1:10" x14ac:dyDescent="0.25">
      <c r="A7384" t="s">
        <v>6703</v>
      </c>
      <c r="B7384">
        <v>19.600000000000001</v>
      </c>
      <c r="C7384" t="s">
        <v>6705</v>
      </c>
      <c r="D7384" t="s">
        <v>385</v>
      </c>
      <c r="E7384" t="s">
        <v>6668</v>
      </c>
      <c r="F7384" t="s">
        <v>7672</v>
      </c>
      <c r="G7384" t="s">
        <v>23987</v>
      </c>
      <c r="H7384" t="s">
        <v>7954</v>
      </c>
      <c r="I7384" t="s">
        <v>76</v>
      </c>
      <c r="J7384" t="s">
        <v>8001</v>
      </c>
    </row>
    <row r="7385" spans="1:10" x14ac:dyDescent="0.25">
      <c r="A7385" t="s">
        <v>23988</v>
      </c>
      <c r="B7385">
        <v>4.9920000000000009</v>
      </c>
      <c r="C7385" t="s">
        <v>23989</v>
      </c>
      <c r="D7385" t="s">
        <v>2697</v>
      </c>
      <c r="E7385" t="s">
        <v>23990</v>
      </c>
      <c r="F7385" t="s">
        <v>7672</v>
      </c>
      <c r="G7385" t="s">
        <v>23991</v>
      </c>
      <c r="H7385" t="s">
        <v>13951</v>
      </c>
      <c r="I7385" t="s">
        <v>23992</v>
      </c>
      <c r="J7385" t="s">
        <v>282</v>
      </c>
    </row>
    <row r="7386" spans="1:10" x14ac:dyDescent="0.25">
      <c r="A7386" t="s">
        <v>23993</v>
      </c>
      <c r="B7386">
        <v>4.9920000000000009</v>
      </c>
      <c r="C7386" t="s">
        <v>23994</v>
      </c>
      <c r="D7386" t="s">
        <v>199</v>
      </c>
      <c r="E7386" t="s">
        <v>23990</v>
      </c>
      <c r="F7386" t="s">
        <v>7672</v>
      </c>
      <c r="G7386" t="s">
        <v>23991</v>
      </c>
      <c r="H7386" t="s">
        <v>13951</v>
      </c>
      <c r="I7386" t="s">
        <v>23992</v>
      </c>
      <c r="J7386" t="s">
        <v>277</v>
      </c>
    </row>
    <row r="7387" spans="1:10" x14ac:dyDescent="0.25">
      <c r="A7387" t="s">
        <v>23995</v>
      </c>
      <c r="B7387">
        <v>4.9920000000000009</v>
      </c>
      <c r="C7387" t="s">
        <v>23996</v>
      </c>
      <c r="D7387" t="s">
        <v>118</v>
      </c>
      <c r="E7387" t="s">
        <v>23990</v>
      </c>
      <c r="F7387" t="s">
        <v>7672</v>
      </c>
      <c r="G7387" t="s">
        <v>23991</v>
      </c>
      <c r="H7387" t="s">
        <v>13951</v>
      </c>
      <c r="I7387" t="s">
        <v>23992</v>
      </c>
      <c r="J7387" t="s">
        <v>436</v>
      </c>
    </row>
    <row r="7388" spans="1:10" x14ac:dyDescent="0.25">
      <c r="A7388" t="s">
        <v>23997</v>
      </c>
      <c r="B7388">
        <v>4.9920000000000009</v>
      </c>
      <c r="C7388" t="s">
        <v>23998</v>
      </c>
      <c r="D7388" t="s">
        <v>835</v>
      </c>
      <c r="E7388" t="s">
        <v>23990</v>
      </c>
      <c r="F7388" t="s">
        <v>7672</v>
      </c>
      <c r="G7388" t="s">
        <v>23991</v>
      </c>
      <c r="H7388" t="s">
        <v>13951</v>
      </c>
      <c r="I7388" t="s">
        <v>23992</v>
      </c>
      <c r="J7388" t="s">
        <v>53</v>
      </c>
    </row>
    <row r="7389" spans="1:10" x14ac:dyDescent="0.25">
      <c r="A7389" t="s">
        <v>23999</v>
      </c>
      <c r="B7389">
        <v>4.9920000000000009</v>
      </c>
      <c r="C7389" t="s">
        <v>24000</v>
      </c>
      <c r="D7389" t="s">
        <v>2099</v>
      </c>
      <c r="E7389" t="s">
        <v>23990</v>
      </c>
      <c r="F7389" t="s">
        <v>7672</v>
      </c>
      <c r="G7389" t="s">
        <v>23991</v>
      </c>
      <c r="H7389" t="s">
        <v>13951</v>
      </c>
      <c r="I7389" t="s">
        <v>23992</v>
      </c>
      <c r="J7389" t="s">
        <v>60</v>
      </c>
    </row>
    <row r="7390" spans="1:10" x14ac:dyDescent="0.25">
      <c r="A7390" t="s">
        <v>24001</v>
      </c>
      <c r="B7390">
        <v>12.8</v>
      </c>
      <c r="C7390" t="s">
        <v>24002</v>
      </c>
      <c r="D7390" t="s">
        <v>199</v>
      </c>
      <c r="E7390" t="s">
        <v>24003</v>
      </c>
      <c r="F7390" t="s">
        <v>7672</v>
      </c>
      <c r="G7390" t="s">
        <v>24004</v>
      </c>
      <c r="H7390" t="s">
        <v>15122</v>
      </c>
      <c r="I7390" t="s">
        <v>935</v>
      </c>
      <c r="J7390" t="s">
        <v>100</v>
      </c>
    </row>
    <row r="7391" spans="1:10" x14ac:dyDescent="0.25">
      <c r="A7391" t="s">
        <v>24005</v>
      </c>
      <c r="B7391">
        <v>12.8</v>
      </c>
      <c r="C7391" t="s">
        <v>24006</v>
      </c>
      <c r="D7391" t="s">
        <v>379</v>
      </c>
      <c r="E7391" t="s">
        <v>24003</v>
      </c>
      <c r="F7391" t="s">
        <v>7672</v>
      </c>
      <c r="G7391" t="s">
        <v>24004</v>
      </c>
      <c r="H7391" t="s">
        <v>15122</v>
      </c>
      <c r="I7391" t="s">
        <v>935</v>
      </c>
      <c r="J7391" t="s">
        <v>106</v>
      </c>
    </row>
    <row r="7392" spans="1:10" x14ac:dyDescent="0.25">
      <c r="A7392" t="s">
        <v>24007</v>
      </c>
      <c r="B7392">
        <v>14</v>
      </c>
      <c r="C7392" t="s">
        <v>24008</v>
      </c>
      <c r="D7392" t="s">
        <v>3572</v>
      </c>
      <c r="E7392" t="s">
        <v>24003</v>
      </c>
      <c r="F7392" t="s">
        <v>7672</v>
      </c>
      <c r="G7392" t="s">
        <v>24004</v>
      </c>
      <c r="H7392" t="s">
        <v>15122</v>
      </c>
      <c r="I7392" t="s">
        <v>935</v>
      </c>
      <c r="J7392" t="s">
        <v>269</v>
      </c>
    </row>
    <row r="7393" spans="1:10" x14ac:dyDescent="0.25">
      <c r="A7393" t="s">
        <v>24009</v>
      </c>
      <c r="B7393">
        <v>14</v>
      </c>
      <c r="C7393" t="s">
        <v>24010</v>
      </c>
      <c r="D7393" t="s">
        <v>3389</v>
      </c>
      <c r="E7393" t="s">
        <v>24003</v>
      </c>
      <c r="F7393" t="s">
        <v>7672</v>
      </c>
      <c r="G7393" t="s">
        <v>24004</v>
      </c>
      <c r="H7393" t="s">
        <v>15122</v>
      </c>
      <c r="I7393" t="s">
        <v>935</v>
      </c>
      <c r="J7393" t="s">
        <v>255</v>
      </c>
    </row>
    <row r="7394" spans="1:10" x14ac:dyDescent="0.25">
      <c r="A7394" t="s">
        <v>24011</v>
      </c>
      <c r="B7394">
        <v>14</v>
      </c>
      <c r="C7394" t="s">
        <v>24012</v>
      </c>
      <c r="D7394" t="s">
        <v>6257</v>
      </c>
      <c r="E7394" t="s">
        <v>24003</v>
      </c>
      <c r="F7394" t="s">
        <v>7672</v>
      </c>
      <c r="G7394" t="s">
        <v>24004</v>
      </c>
      <c r="H7394" t="s">
        <v>15122</v>
      </c>
      <c r="I7394" t="s">
        <v>935</v>
      </c>
      <c r="J7394" t="s">
        <v>277</v>
      </c>
    </row>
    <row r="7395" spans="1:10" x14ac:dyDescent="0.25">
      <c r="A7395" t="s">
        <v>24013</v>
      </c>
      <c r="B7395">
        <v>14</v>
      </c>
      <c r="C7395" t="s">
        <v>24014</v>
      </c>
      <c r="D7395" t="s">
        <v>3253</v>
      </c>
      <c r="E7395" t="s">
        <v>24003</v>
      </c>
      <c r="F7395" t="s">
        <v>7672</v>
      </c>
      <c r="G7395" t="s">
        <v>24004</v>
      </c>
      <c r="H7395" t="s">
        <v>15122</v>
      </c>
      <c r="I7395" t="s">
        <v>935</v>
      </c>
      <c r="J7395" t="s">
        <v>164</v>
      </c>
    </row>
    <row r="7396" spans="1:10" x14ac:dyDescent="0.25">
      <c r="A7396" t="s">
        <v>24015</v>
      </c>
      <c r="B7396">
        <v>14</v>
      </c>
      <c r="C7396" t="s">
        <v>24016</v>
      </c>
      <c r="D7396" t="s">
        <v>13859</v>
      </c>
      <c r="E7396" t="s">
        <v>24003</v>
      </c>
      <c r="F7396" t="s">
        <v>7672</v>
      </c>
      <c r="G7396" t="s">
        <v>24004</v>
      </c>
      <c r="H7396" t="s">
        <v>15122</v>
      </c>
      <c r="I7396" t="s">
        <v>935</v>
      </c>
      <c r="J7396" t="s">
        <v>290</v>
      </c>
    </row>
    <row r="7397" spans="1:10" x14ac:dyDescent="0.25">
      <c r="A7397" t="s">
        <v>24017</v>
      </c>
      <c r="B7397">
        <v>14</v>
      </c>
      <c r="C7397" t="s">
        <v>24018</v>
      </c>
      <c r="D7397" t="s">
        <v>385</v>
      </c>
      <c r="E7397" t="s">
        <v>24003</v>
      </c>
      <c r="F7397" t="s">
        <v>7672</v>
      </c>
      <c r="G7397" t="s">
        <v>24004</v>
      </c>
      <c r="H7397" t="s">
        <v>15122</v>
      </c>
      <c r="I7397" t="s">
        <v>935</v>
      </c>
      <c r="J7397" t="s">
        <v>15238</v>
      </c>
    </row>
    <row r="7398" spans="1:10" x14ac:dyDescent="0.25">
      <c r="A7398" t="s">
        <v>24019</v>
      </c>
      <c r="B7398">
        <v>14</v>
      </c>
      <c r="C7398" t="s">
        <v>24020</v>
      </c>
      <c r="D7398" t="s">
        <v>255</v>
      </c>
      <c r="E7398" t="s">
        <v>24003</v>
      </c>
      <c r="F7398" t="s">
        <v>7672</v>
      </c>
      <c r="G7398" t="s">
        <v>24004</v>
      </c>
      <c r="H7398" t="s">
        <v>15122</v>
      </c>
      <c r="I7398" t="s">
        <v>935</v>
      </c>
      <c r="J7398" t="s">
        <v>15070</v>
      </c>
    </row>
    <row r="7399" spans="1:10" x14ac:dyDescent="0.25">
      <c r="A7399" t="s">
        <v>24021</v>
      </c>
      <c r="B7399">
        <v>7.6000000000000014</v>
      </c>
      <c r="C7399" t="s">
        <v>24022</v>
      </c>
      <c r="D7399" t="s">
        <v>8618</v>
      </c>
      <c r="E7399" t="s">
        <v>24023</v>
      </c>
      <c r="F7399" t="s">
        <v>7672</v>
      </c>
      <c r="G7399" t="s">
        <v>24024</v>
      </c>
      <c r="H7399" t="s">
        <v>11496</v>
      </c>
      <c r="I7399" t="s">
        <v>24025</v>
      </c>
      <c r="J7399" t="s">
        <v>11767</v>
      </c>
    </row>
    <row r="7400" spans="1:10" x14ac:dyDescent="0.25">
      <c r="A7400" t="s">
        <v>6707</v>
      </c>
      <c r="B7400">
        <v>63</v>
      </c>
      <c r="C7400" t="s">
        <v>6709</v>
      </c>
      <c r="D7400" t="s">
        <v>1386</v>
      </c>
      <c r="E7400" t="s">
        <v>6710</v>
      </c>
      <c r="F7400" t="s">
        <v>7672</v>
      </c>
      <c r="G7400" t="s">
        <v>24026</v>
      </c>
      <c r="H7400" t="s">
        <v>21219</v>
      </c>
      <c r="I7400" t="s">
        <v>76</v>
      </c>
      <c r="J7400" t="s">
        <v>7981</v>
      </c>
    </row>
    <row r="7401" spans="1:10" x14ac:dyDescent="0.25">
      <c r="A7401" t="s">
        <v>6713</v>
      </c>
      <c r="B7401">
        <v>63</v>
      </c>
      <c r="C7401" t="s">
        <v>6715</v>
      </c>
      <c r="D7401" t="s">
        <v>379</v>
      </c>
      <c r="E7401" t="s">
        <v>6710</v>
      </c>
      <c r="F7401" t="s">
        <v>7672</v>
      </c>
      <c r="G7401" t="s">
        <v>24026</v>
      </c>
      <c r="H7401" t="s">
        <v>21219</v>
      </c>
      <c r="I7401" t="s">
        <v>6717</v>
      </c>
      <c r="J7401" t="s">
        <v>7981</v>
      </c>
    </row>
    <row r="7402" spans="1:10" x14ac:dyDescent="0.25">
      <c r="A7402" t="s">
        <v>6718</v>
      </c>
      <c r="B7402">
        <v>63</v>
      </c>
      <c r="C7402" t="s">
        <v>6720</v>
      </c>
      <c r="D7402" t="s">
        <v>613</v>
      </c>
      <c r="E7402" t="s">
        <v>6710</v>
      </c>
      <c r="F7402" t="s">
        <v>7672</v>
      </c>
      <c r="G7402" t="s">
        <v>24026</v>
      </c>
      <c r="H7402" t="s">
        <v>21219</v>
      </c>
      <c r="I7402" t="s">
        <v>138</v>
      </c>
      <c r="J7402" t="s">
        <v>7981</v>
      </c>
    </row>
    <row r="7403" spans="1:10" x14ac:dyDescent="0.25">
      <c r="A7403" t="s">
        <v>6722</v>
      </c>
      <c r="B7403">
        <v>63</v>
      </c>
      <c r="C7403" t="s">
        <v>6724</v>
      </c>
      <c r="D7403" t="s">
        <v>3060</v>
      </c>
      <c r="E7403" t="s">
        <v>6710</v>
      </c>
      <c r="F7403" t="s">
        <v>7672</v>
      </c>
      <c r="G7403" t="s">
        <v>24026</v>
      </c>
      <c r="H7403" t="s">
        <v>21219</v>
      </c>
      <c r="I7403" t="s">
        <v>76</v>
      </c>
      <c r="J7403" t="s">
        <v>7984</v>
      </c>
    </row>
    <row r="7404" spans="1:10" x14ac:dyDescent="0.25">
      <c r="A7404" t="s">
        <v>6726</v>
      </c>
      <c r="B7404">
        <v>63</v>
      </c>
      <c r="C7404" t="s">
        <v>6728</v>
      </c>
      <c r="D7404" t="s">
        <v>598</v>
      </c>
      <c r="E7404" t="s">
        <v>6710</v>
      </c>
      <c r="F7404" t="s">
        <v>7672</v>
      </c>
      <c r="G7404" t="s">
        <v>24026</v>
      </c>
      <c r="H7404" t="s">
        <v>21219</v>
      </c>
      <c r="I7404" t="s">
        <v>6717</v>
      </c>
      <c r="J7404" t="s">
        <v>7984</v>
      </c>
    </row>
    <row r="7405" spans="1:10" x14ac:dyDescent="0.25">
      <c r="A7405" t="s">
        <v>6730</v>
      </c>
      <c r="B7405">
        <v>63</v>
      </c>
      <c r="C7405" t="s">
        <v>6732</v>
      </c>
      <c r="D7405" t="s">
        <v>118</v>
      </c>
      <c r="E7405" t="s">
        <v>6710</v>
      </c>
      <c r="F7405" t="s">
        <v>7672</v>
      </c>
      <c r="G7405" t="s">
        <v>24026</v>
      </c>
      <c r="H7405" t="s">
        <v>21219</v>
      </c>
      <c r="I7405" t="s">
        <v>138</v>
      </c>
      <c r="J7405" t="s">
        <v>7984</v>
      </c>
    </row>
    <row r="7406" spans="1:10" x14ac:dyDescent="0.25">
      <c r="A7406" t="s">
        <v>6734</v>
      </c>
      <c r="B7406">
        <v>63</v>
      </c>
      <c r="C7406" t="s">
        <v>6736</v>
      </c>
      <c r="D7406" t="s">
        <v>436</v>
      </c>
      <c r="E7406" t="s">
        <v>6710</v>
      </c>
      <c r="F7406" t="s">
        <v>7672</v>
      </c>
      <c r="G7406" t="s">
        <v>24026</v>
      </c>
      <c r="H7406" t="s">
        <v>21219</v>
      </c>
      <c r="I7406" t="s">
        <v>76</v>
      </c>
      <c r="J7406" t="s">
        <v>7987</v>
      </c>
    </row>
    <row r="7407" spans="1:10" x14ac:dyDescent="0.25">
      <c r="A7407" t="s">
        <v>6738</v>
      </c>
      <c r="B7407">
        <v>63</v>
      </c>
      <c r="C7407" t="s">
        <v>6740</v>
      </c>
      <c r="D7407" t="s">
        <v>60</v>
      </c>
      <c r="E7407" t="s">
        <v>6710</v>
      </c>
      <c r="F7407" t="s">
        <v>7672</v>
      </c>
      <c r="G7407" t="s">
        <v>24026</v>
      </c>
      <c r="H7407" t="s">
        <v>21219</v>
      </c>
      <c r="I7407" t="s">
        <v>6717</v>
      </c>
      <c r="J7407" t="s">
        <v>7987</v>
      </c>
    </row>
    <row r="7408" spans="1:10" x14ac:dyDescent="0.25">
      <c r="A7408" t="s">
        <v>24027</v>
      </c>
      <c r="B7408">
        <v>5.5920000000000014</v>
      </c>
      <c r="C7408" t="s">
        <v>24028</v>
      </c>
      <c r="D7408" t="s">
        <v>277</v>
      </c>
      <c r="E7408" t="s">
        <v>24029</v>
      </c>
      <c r="F7408" t="s">
        <v>7672</v>
      </c>
      <c r="G7408" t="s">
        <v>24030</v>
      </c>
      <c r="H7408" t="s">
        <v>7974</v>
      </c>
      <c r="I7408" t="s">
        <v>76</v>
      </c>
      <c r="J7408" t="s">
        <v>7942</v>
      </c>
    </row>
    <row r="7409" spans="1:10" x14ac:dyDescent="0.25">
      <c r="A7409" t="s">
        <v>24031</v>
      </c>
      <c r="B7409">
        <v>5.5920000000000014</v>
      </c>
      <c r="C7409" t="s">
        <v>24032</v>
      </c>
      <c r="D7409" t="s">
        <v>776</v>
      </c>
      <c r="E7409" t="s">
        <v>24029</v>
      </c>
      <c r="F7409" t="s">
        <v>7672</v>
      </c>
      <c r="G7409" t="s">
        <v>24030</v>
      </c>
      <c r="H7409" t="s">
        <v>7974</v>
      </c>
      <c r="I7409" t="s">
        <v>76</v>
      </c>
      <c r="J7409" t="s">
        <v>8013</v>
      </c>
    </row>
    <row r="7410" spans="1:10" x14ac:dyDescent="0.25">
      <c r="A7410" t="s">
        <v>24033</v>
      </c>
      <c r="B7410">
        <v>5.5920000000000014</v>
      </c>
      <c r="C7410" t="s">
        <v>24034</v>
      </c>
      <c r="D7410" t="s">
        <v>996</v>
      </c>
      <c r="E7410" t="s">
        <v>24029</v>
      </c>
      <c r="F7410" t="s">
        <v>7672</v>
      </c>
      <c r="G7410" t="s">
        <v>24030</v>
      </c>
      <c r="H7410" t="s">
        <v>7974</v>
      </c>
      <c r="I7410" t="s">
        <v>24035</v>
      </c>
      <c r="J7410" t="s">
        <v>8013</v>
      </c>
    </row>
    <row r="7411" spans="1:10" x14ac:dyDescent="0.25">
      <c r="A7411" t="s">
        <v>24036</v>
      </c>
      <c r="B7411">
        <v>6.6000000000000014</v>
      </c>
      <c r="C7411" t="s">
        <v>24037</v>
      </c>
      <c r="D7411" t="s">
        <v>7057</v>
      </c>
      <c r="E7411" t="s">
        <v>24038</v>
      </c>
      <c r="F7411" t="s">
        <v>7672</v>
      </c>
      <c r="G7411" t="s">
        <v>24039</v>
      </c>
      <c r="H7411" t="s">
        <v>17992</v>
      </c>
      <c r="I7411" t="s">
        <v>11206</v>
      </c>
      <c r="J7411" t="s">
        <v>8001</v>
      </c>
    </row>
    <row r="7412" spans="1:10" x14ac:dyDescent="0.25">
      <c r="A7412" t="s">
        <v>24040</v>
      </c>
      <c r="B7412">
        <v>6.6000000000000014</v>
      </c>
      <c r="C7412" t="s">
        <v>24041</v>
      </c>
      <c r="D7412" t="s">
        <v>2787</v>
      </c>
      <c r="E7412" t="s">
        <v>24038</v>
      </c>
      <c r="F7412" t="s">
        <v>7672</v>
      </c>
      <c r="G7412" t="s">
        <v>24039</v>
      </c>
      <c r="H7412" t="s">
        <v>17992</v>
      </c>
      <c r="I7412" t="s">
        <v>11206</v>
      </c>
      <c r="J7412" t="s">
        <v>8013</v>
      </c>
    </row>
    <row r="7413" spans="1:10" x14ac:dyDescent="0.25">
      <c r="A7413" t="s">
        <v>24042</v>
      </c>
      <c r="B7413">
        <v>11.192</v>
      </c>
      <c r="C7413" t="s">
        <v>24043</v>
      </c>
      <c r="D7413" t="s">
        <v>7934</v>
      </c>
      <c r="E7413" t="s">
        <v>24044</v>
      </c>
      <c r="F7413" t="s">
        <v>7672</v>
      </c>
      <c r="G7413" t="s">
        <v>24045</v>
      </c>
      <c r="H7413" t="s">
        <v>24046</v>
      </c>
      <c r="I7413" t="s">
        <v>497</v>
      </c>
      <c r="J7413" t="s">
        <v>9694</v>
      </c>
    </row>
    <row r="7414" spans="1:10" x14ac:dyDescent="0.25">
      <c r="A7414" t="s">
        <v>24047</v>
      </c>
      <c r="B7414">
        <v>7.1920000000000002</v>
      </c>
      <c r="C7414" t="s">
        <v>24048</v>
      </c>
      <c r="D7414" t="s">
        <v>88</v>
      </c>
      <c r="E7414" t="s">
        <v>24049</v>
      </c>
      <c r="F7414" t="s">
        <v>7672</v>
      </c>
      <c r="G7414" t="s">
        <v>24050</v>
      </c>
      <c r="H7414" t="s">
        <v>7674</v>
      </c>
      <c r="I7414" t="s">
        <v>15136</v>
      </c>
      <c r="J7414" t="s">
        <v>12676</v>
      </c>
    </row>
    <row r="7415" spans="1:10" x14ac:dyDescent="0.25">
      <c r="A7415" t="s">
        <v>24051</v>
      </c>
      <c r="B7415">
        <v>7.1920000000000002</v>
      </c>
      <c r="C7415" t="s">
        <v>24052</v>
      </c>
      <c r="D7415" t="s">
        <v>366</v>
      </c>
      <c r="E7415" t="s">
        <v>24049</v>
      </c>
      <c r="F7415" t="s">
        <v>7672</v>
      </c>
      <c r="G7415" t="s">
        <v>24050</v>
      </c>
      <c r="H7415" t="s">
        <v>7674</v>
      </c>
      <c r="I7415" t="s">
        <v>24053</v>
      </c>
      <c r="J7415" t="s">
        <v>12676</v>
      </c>
    </row>
    <row r="7416" spans="1:10" x14ac:dyDescent="0.25">
      <c r="A7416" t="s">
        <v>24054</v>
      </c>
      <c r="B7416">
        <v>9</v>
      </c>
      <c r="C7416" t="s">
        <v>24055</v>
      </c>
      <c r="D7416" t="s">
        <v>131</v>
      </c>
      <c r="E7416" t="s">
        <v>24056</v>
      </c>
      <c r="F7416" t="s">
        <v>7672</v>
      </c>
      <c r="G7416" t="s">
        <v>24057</v>
      </c>
      <c r="H7416" t="s">
        <v>10298</v>
      </c>
      <c r="I7416" t="s">
        <v>24058</v>
      </c>
      <c r="J7416" t="s">
        <v>11696</v>
      </c>
    </row>
    <row r="7417" spans="1:10" x14ac:dyDescent="0.25">
      <c r="A7417" t="s">
        <v>24059</v>
      </c>
      <c r="B7417">
        <v>9</v>
      </c>
      <c r="C7417" t="s">
        <v>24060</v>
      </c>
      <c r="D7417" t="s">
        <v>843</v>
      </c>
      <c r="E7417" t="s">
        <v>24056</v>
      </c>
      <c r="F7417" t="s">
        <v>7672</v>
      </c>
      <c r="G7417" t="s">
        <v>24057</v>
      </c>
      <c r="H7417" t="s">
        <v>10298</v>
      </c>
      <c r="I7417" t="s">
        <v>24058</v>
      </c>
      <c r="J7417" t="s">
        <v>11702</v>
      </c>
    </row>
    <row r="7418" spans="1:10" x14ac:dyDescent="0.25">
      <c r="A7418" t="s">
        <v>24061</v>
      </c>
      <c r="B7418">
        <v>9</v>
      </c>
      <c r="C7418" t="s">
        <v>24062</v>
      </c>
      <c r="D7418" t="s">
        <v>2376</v>
      </c>
      <c r="E7418" t="s">
        <v>24056</v>
      </c>
      <c r="F7418" t="s">
        <v>7672</v>
      </c>
      <c r="G7418" t="s">
        <v>24057</v>
      </c>
      <c r="H7418" t="s">
        <v>10298</v>
      </c>
      <c r="I7418" t="s">
        <v>24058</v>
      </c>
      <c r="J7418" t="s">
        <v>11710</v>
      </c>
    </row>
    <row r="7419" spans="1:10" x14ac:dyDescent="0.25">
      <c r="A7419" t="s">
        <v>24063</v>
      </c>
      <c r="B7419">
        <v>9</v>
      </c>
      <c r="C7419" t="s">
        <v>24064</v>
      </c>
      <c r="D7419" t="s">
        <v>3999</v>
      </c>
      <c r="E7419" t="s">
        <v>24056</v>
      </c>
      <c r="F7419" t="s">
        <v>7672</v>
      </c>
      <c r="G7419" t="s">
        <v>24057</v>
      </c>
      <c r="H7419" t="s">
        <v>10298</v>
      </c>
      <c r="I7419" t="s">
        <v>24058</v>
      </c>
      <c r="J7419" t="s">
        <v>12182</v>
      </c>
    </row>
    <row r="7420" spans="1:10" x14ac:dyDescent="0.25">
      <c r="A7420" t="s">
        <v>24065</v>
      </c>
      <c r="B7420">
        <v>9</v>
      </c>
      <c r="C7420" t="s">
        <v>24066</v>
      </c>
      <c r="D7420" t="s">
        <v>835</v>
      </c>
      <c r="E7420" t="s">
        <v>24056</v>
      </c>
      <c r="F7420" t="s">
        <v>7672</v>
      </c>
      <c r="G7420" t="s">
        <v>24057</v>
      </c>
      <c r="H7420" t="s">
        <v>10298</v>
      </c>
      <c r="I7420" t="s">
        <v>24058</v>
      </c>
      <c r="J7420" t="s">
        <v>15238</v>
      </c>
    </row>
    <row r="7421" spans="1:10" x14ac:dyDescent="0.25">
      <c r="A7421" t="s">
        <v>24067</v>
      </c>
      <c r="B7421">
        <v>9</v>
      </c>
      <c r="C7421" t="s">
        <v>24068</v>
      </c>
      <c r="D7421" t="s">
        <v>60</v>
      </c>
      <c r="E7421" t="s">
        <v>24056</v>
      </c>
      <c r="F7421" t="s">
        <v>7672</v>
      </c>
      <c r="G7421" t="s">
        <v>24057</v>
      </c>
      <c r="H7421" t="s">
        <v>10298</v>
      </c>
      <c r="I7421" t="s">
        <v>24069</v>
      </c>
      <c r="J7421" t="s">
        <v>15070</v>
      </c>
    </row>
    <row r="7422" spans="1:10" x14ac:dyDescent="0.25">
      <c r="A7422" t="s">
        <v>24070</v>
      </c>
      <c r="B7422">
        <v>9</v>
      </c>
      <c r="C7422" t="s">
        <v>24071</v>
      </c>
      <c r="D7422" t="s">
        <v>959</v>
      </c>
      <c r="E7422" t="s">
        <v>24056</v>
      </c>
      <c r="F7422" t="s">
        <v>7672</v>
      </c>
      <c r="G7422" t="s">
        <v>24057</v>
      </c>
      <c r="H7422" t="s">
        <v>10298</v>
      </c>
      <c r="I7422" t="s">
        <v>24058</v>
      </c>
      <c r="J7422" t="s">
        <v>15070</v>
      </c>
    </row>
    <row r="7423" spans="1:10" x14ac:dyDescent="0.25">
      <c r="A7423" t="s">
        <v>24072</v>
      </c>
      <c r="B7423">
        <v>9</v>
      </c>
      <c r="C7423" t="s">
        <v>24073</v>
      </c>
      <c r="D7423" t="s">
        <v>60</v>
      </c>
      <c r="E7423" t="s">
        <v>24056</v>
      </c>
      <c r="F7423" t="s">
        <v>7672</v>
      </c>
      <c r="G7423" t="s">
        <v>24057</v>
      </c>
      <c r="H7423" t="s">
        <v>10298</v>
      </c>
      <c r="I7423" t="s">
        <v>24069</v>
      </c>
      <c r="J7423" t="s">
        <v>15076</v>
      </c>
    </row>
    <row r="7424" spans="1:10" x14ac:dyDescent="0.25">
      <c r="A7424" t="s">
        <v>24074</v>
      </c>
      <c r="B7424">
        <v>9</v>
      </c>
      <c r="C7424" t="s">
        <v>24075</v>
      </c>
      <c r="D7424" t="s">
        <v>131</v>
      </c>
      <c r="E7424" t="s">
        <v>24056</v>
      </c>
      <c r="F7424" t="s">
        <v>7672</v>
      </c>
      <c r="G7424" t="s">
        <v>24057</v>
      </c>
      <c r="H7424" t="s">
        <v>10298</v>
      </c>
      <c r="I7424" t="s">
        <v>24058</v>
      </c>
      <c r="J7424" t="s">
        <v>15076</v>
      </c>
    </row>
    <row r="7425" spans="1:10" x14ac:dyDescent="0.25">
      <c r="A7425" t="s">
        <v>24076</v>
      </c>
      <c r="B7425">
        <v>9</v>
      </c>
      <c r="C7425" t="s">
        <v>24077</v>
      </c>
      <c r="D7425" t="s">
        <v>875</v>
      </c>
      <c r="E7425" t="s">
        <v>24056</v>
      </c>
      <c r="F7425" t="s">
        <v>7672</v>
      </c>
      <c r="G7425" t="s">
        <v>24057</v>
      </c>
      <c r="H7425" t="s">
        <v>10298</v>
      </c>
      <c r="I7425" t="s">
        <v>24069</v>
      </c>
      <c r="J7425" t="s">
        <v>15079</v>
      </c>
    </row>
    <row r="7426" spans="1:10" x14ac:dyDescent="0.25">
      <c r="A7426" t="s">
        <v>24078</v>
      </c>
      <c r="B7426">
        <v>9</v>
      </c>
      <c r="C7426" t="s">
        <v>24079</v>
      </c>
      <c r="D7426" t="s">
        <v>250</v>
      </c>
      <c r="E7426" t="s">
        <v>24056</v>
      </c>
      <c r="F7426" t="s">
        <v>7672</v>
      </c>
      <c r="G7426" t="s">
        <v>24057</v>
      </c>
      <c r="H7426" t="s">
        <v>10298</v>
      </c>
      <c r="I7426" t="s">
        <v>24058</v>
      </c>
      <c r="J7426" t="s">
        <v>15079</v>
      </c>
    </row>
    <row r="7427" spans="1:10" x14ac:dyDescent="0.25">
      <c r="A7427" t="s">
        <v>24080</v>
      </c>
      <c r="B7427">
        <v>9</v>
      </c>
      <c r="C7427" t="s">
        <v>24081</v>
      </c>
      <c r="D7427" t="s">
        <v>311</v>
      </c>
      <c r="E7427" t="s">
        <v>24056</v>
      </c>
      <c r="F7427" t="s">
        <v>7672</v>
      </c>
      <c r="G7427" t="s">
        <v>24057</v>
      </c>
      <c r="H7427" t="s">
        <v>10298</v>
      </c>
      <c r="I7427" t="s">
        <v>24082</v>
      </c>
      <c r="J7427" t="s">
        <v>15079</v>
      </c>
    </row>
    <row r="7428" spans="1:10" x14ac:dyDescent="0.25">
      <c r="A7428" t="s">
        <v>6742</v>
      </c>
      <c r="B7428">
        <v>13.72</v>
      </c>
      <c r="C7428" t="s">
        <v>6744</v>
      </c>
      <c r="D7428" t="s">
        <v>342</v>
      </c>
      <c r="E7428" t="s">
        <v>6745</v>
      </c>
      <c r="F7428" t="s">
        <v>7672</v>
      </c>
      <c r="G7428" t="s">
        <v>24083</v>
      </c>
      <c r="H7428" t="s">
        <v>11335</v>
      </c>
      <c r="I7428" t="s">
        <v>14757</v>
      </c>
      <c r="J7428" t="s">
        <v>7942</v>
      </c>
    </row>
    <row r="7429" spans="1:10" x14ac:dyDescent="0.25">
      <c r="A7429" t="s">
        <v>6748</v>
      </c>
      <c r="B7429">
        <v>13.72</v>
      </c>
      <c r="C7429" t="s">
        <v>6750</v>
      </c>
      <c r="D7429" t="s">
        <v>277</v>
      </c>
      <c r="E7429" t="s">
        <v>6745</v>
      </c>
      <c r="F7429" t="s">
        <v>7672</v>
      </c>
      <c r="G7429" t="s">
        <v>24083</v>
      </c>
      <c r="H7429" t="s">
        <v>11335</v>
      </c>
      <c r="I7429" t="s">
        <v>14757</v>
      </c>
      <c r="J7429" t="s">
        <v>7987</v>
      </c>
    </row>
    <row r="7430" spans="1:10" x14ac:dyDescent="0.25">
      <c r="A7430" t="s">
        <v>6752</v>
      </c>
      <c r="B7430">
        <v>13.72</v>
      </c>
      <c r="C7430" t="s">
        <v>6754</v>
      </c>
      <c r="D7430" t="s">
        <v>60</v>
      </c>
      <c r="E7430" t="s">
        <v>6745</v>
      </c>
      <c r="F7430" t="s">
        <v>7672</v>
      </c>
      <c r="G7430" t="s">
        <v>24083</v>
      </c>
      <c r="H7430" t="s">
        <v>11335</v>
      </c>
      <c r="I7430" t="s">
        <v>14757</v>
      </c>
      <c r="J7430" t="s">
        <v>8001</v>
      </c>
    </row>
    <row r="7431" spans="1:10" x14ac:dyDescent="0.25">
      <c r="A7431" t="s">
        <v>6756</v>
      </c>
      <c r="B7431">
        <v>12</v>
      </c>
      <c r="C7431" t="s">
        <v>6758</v>
      </c>
      <c r="D7431" t="s">
        <v>53</v>
      </c>
      <c r="E7431" t="s">
        <v>6759</v>
      </c>
      <c r="F7431" t="s">
        <v>7672</v>
      </c>
      <c r="G7431" t="s">
        <v>24084</v>
      </c>
      <c r="H7431" t="s">
        <v>24085</v>
      </c>
      <c r="I7431" t="s">
        <v>9807</v>
      </c>
      <c r="J7431" t="s">
        <v>15482</v>
      </c>
    </row>
    <row r="7432" spans="1:10" x14ac:dyDescent="0.25">
      <c r="A7432" t="s">
        <v>24086</v>
      </c>
      <c r="B7432">
        <v>12</v>
      </c>
      <c r="C7432" t="s">
        <v>24087</v>
      </c>
      <c r="D7432" t="s">
        <v>8618</v>
      </c>
      <c r="E7432" t="s">
        <v>6759</v>
      </c>
      <c r="F7432" t="s">
        <v>7672</v>
      </c>
      <c r="G7432" t="s">
        <v>24084</v>
      </c>
      <c r="H7432" t="s">
        <v>24085</v>
      </c>
      <c r="I7432" t="s">
        <v>9807</v>
      </c>
      <c r="J7432" t="s">
        <v>24088</v>
      </c>
    </row>
    <row r="7433" spans="1:10" x14ac:dyDescent="0.25">
      <c r="A7433" t="s">
        <v>24089</v>
      </c>
      <c r="B7433">
        <v>10.4</v>
      </c>
      <c r="C7433" t="s">
        <v>24090</v>
      </c>
      <c r="D7433" t="s">
        <v>8730</v>
      </c>
      <c r="E7433" t="s">
        <v>24091</v>
      </c>
      <c r="F7433" t="s">
        <v>7672</v>
      </c>
      <c r="G7433" t="s">
        <v>24092</v>
      </c>
      <c r="H7433" t="s">
        <v>15122</v>
      </c>
      <c r="I7433" t="s">
        <v>935</v>
      </c>
      <c r="J7433" t="s">
        <v>10369</v>
      </c>
    </row>
    <row r="7434" spans="1:10" x14ac:dyDescent="0.25">
      <c r="A7434" t="s">
        <v>24093</v>
      </c>
      <c r="B7434">
        <v>10.4</v>
      </c>
      <c r="C7434" t="s">
        <v>24094</v>
      </c>
      <c r="D7434" t="s">
        <v>7670</v>
      </c>
      <c r="E7434" t="s">
        <v>24091</v>
      </c>
      <c r="F7434" t="s">
        <v>7672</v>
      </c>
      <c r="G7434" t="s">
        <v>24092</v>
      </c>
      <c r="H7434" t="s">
        <v>15122</v>
      </c>
      <c r="I7434" t="s">
        <v>935</v>
      </c>
      <c r="J7434" t="s">
        <v>11590</v>
      </c>
    </row>
    <row r="7435" spans="1:10" x14ac:dyDescent="0.25">
      <c r="A7435" t="s">
        <v>24095</v>
      </c>
      <c r="B7435">
        <v>10.4</v>
      </c>
      <c r="C7435" t="s">
        <v>24096</v>
      </c>
      <c r="D7435" t="s">
        <v>654</v>
      </c>
      <c r="E7435" t="s">
        <v>24091</v>
      </c>
      <c r="F7435" t="s">
        <v>7672</v>
      </c>
      <c r="G7435" t="s">
        <v>24092</v>
      </c>
      <c r="H7435" t="s">
        <v>15122</v>
      </c>
      <c r="I7435" t="s">
        <v>935</v>
      </c>
      <c r="J7435" t="s">
        <v>11593</v>
      </c>
    </row>
    <row r="7436" spans="1:10" x14ac:dyDescent="0.25">
      <c r="A7436" t="s">
        <v>24097</v>
      </c>
      <c r="B7436">
        <v>20.792000000000002</v>
      </c>
      <c r="C7436" t="s">
        <v>24098</v>
      </c>
      <c r="D7436" t="s">
        <v>24099</v>
      </c>
      <c r="E7436" t="s">
        <v>24100</v>
      </c>
      <c r="F7436" t="s">
        <v>7672</v>
      </c>
      <c r="G7436" t="s">
        <v>24101</v>
      </c>
      <c r="H7436" t="s">
        <v>22153</v>
      </c>
      <c r="I7436" t="s">
        <v>497</v>
      </c>
      <c r="J7436" t="s">
        <v>9694</v>
      </c>
    </row>
    <row r="7437" spans="1:10" x14ac:dyDescent="0.25">
      <c r="A7437" t="s">
        <v>24102</v>
      </c>
      <c r="B7437">
        <v>5.4</v>
      </c>
      <c r="C7437" t="s">
        <v>24103</v>
      </c>
      <c r="D7437" t="s">
        <v>316</v>
      </c>
      <c r="E7437" t="s">
        <v>6764</v>
      </c>
      <c r="F7437" t="s">
        <v>7672</v>
      </c>
      <c r="G7437" t="s">
        <v>24104</v>
      </c>
      <c r="H7437" t="s">
        <v>15980</v>
      </c>
      <c r="I7437" t="s">
        <v>76</v>
      </c>
      <c r="J7437" t="s">
        <v>15981</v>
      </c>
    </row>
    <row r="7438" spans="1:10" x14ac:dyDescent="0.25">
      <c r="A7438" t="s">
        <v>6761</v>
      </c>
      <c r="B7438">
        <v>5.4</v>
      </c>
      <c r="C7438" t="s">
        <v>6763</v>
      </c>
      <c r="D7438" t="s">
        <v>2253</v>
      </c>
      <c r="E7438" t="s">
        <v>6764</v>
      </c>
      <c r="F7438" t="s">
        <v>7672</v>
      </c>
      <c r="G7438" t="s">
        <v>24104</v>
      </c>
      <c r="H7438" t="s">
        <v>15980</v>
      </c>
      <c r="I7438" t="s">
        <v>76</v>
      </c>
      <c r="J7438" t="s">
        <v>7675</v>
      </c>
    </row>
    <row r="7439" spans="1:10" x14ac:dyDescent="0.25">
      <c r="A7439" t="s">
        <v>6767</v>
      </c>
      <c r="B7439">
        <v>5.4</v>
      </c>
      <c r="C7439" t="s">
        <v>6769</v>
      </c>
      <c r="D7439" t="s">
        <v>3060</v>
      </c>
      <c r="E7439" t="s">
        <v>6764</v>
      </c>
      <c r="F7439" t="s">
        <v>7672</v>
      </c>
      <c r="G7439" t="s">
        <v>24104</v>
      </c>
      <c r="H7439" t="s">
        <v>15980</v>
      </c>
      <c r="I7439" t="s">
        <v>76</v>
      </c>
      <c r="J7439" t="s">
        <v>7686</v>
      </c>
    </row>
    <row r="7440" spans="1:10" x14ac:dyDescent="0.25">
      <c r="A7440" t="s">
        <v>6772</v>
      </c>
      <c r="B7440">
        <v>5.4</v>
      </c>
      <c r="C7440" t="s">
        <v>6774</v>
      </c>
      <c r="D7440" t="s">
        <v>4584</v>
      </c>
      <c r="E7440" t="s">
        <v>6764</v>
      </c>
      <c r="F7440" t="s">
        <v>7672</v>
      </c>
      <c r="G7440" t="s">
        <v>24104</v>
      </c>
      <c r="H7440" t="s">
        <v>15980</v>
      </c>
      <c r="I7440" t="s">
        <v>76</v>
      </c>
      <c r="J7440" t="s">
        <v>7703</v>
      </c>
    </row>
    <row r="7441" spans="1:10" x14ac:dyDescent="0.25">
      <c r="A7441" t="s">
        <v>6777</v>
      </c>
      <c r="B7441">
        <v>5.4</v>
      </c>
      <c r="C7441" t="s">
        <v>6779</v>
      </c>
      <c r="D7441" t="s">
        <v>613</v>
      </c>
      <c r="E7441" t="s">
        <v>6764</v>
      </c>
      <c r="F7441" t="s">
        <v>7672</v>
      </c>
      <c r="G7441" t="s">
        <v>24104</v>
      </c>
      <c r="H7441" t="s">
        <v>15980</v>
      </c>
      <c r="I7441" t="s">
        <v>76</v>
      </c>
      <c r="J7441" t="s">
        <v>7713</v>
      </c>
    </row>
    <row r="7442" spans="1:10" x14ac:dyDescent="0.25">
      <c r="A7442" t="s">
        <v>24105</v>
      </c>
      <c r="B7442">
        <v>13.52</v>
      </c>
      <c r="C7442" t="s">
        <v>24106</v>
      </c>
      <c r="D7442" t="s">
        <v>959</v>
      </c>
      <c r="E7442" t="s">
        <v>24107</v>
      </c>
      <c r="F7442" t="s">
        <v>7672</v>
      </c>
      <c r="G7442" t="s">
        <v>24108</v>
      </c>
      <c r="H7442" t="s">
        <v>12519</v>
      </c>
      <c r="I7442" t="s">
        <v>17045</v>
      </c>
      <c r="J7442" t="s">
        <v>7981</v>
      </c>
    </row>
    <row r="7443" spans="1:10" x14ac:dyDescent="0.25">
      <c r="A7443" t="s">
        <v>24109</v>
      </c>
      <c r="B7443">
        <v>13.52</v>
      </c>
      <c r="C7443" t="s">
        <v>24110</v>
      </c>
      <c r="D7443" t="s">
        <v>234</v>
      </c>
      <c r="E7443" t="s">
        <v>24107</v>
      </c>
      <c r="F7443" t="s">
        <v>7672</v>
      </c>
      <c r="G7443" t="s">
        <v>24108</v>
      </c>
      <c r="H7443" t="s">
        <v>12519</v>
      </c>
      <c r="I7443" t="s">
        <v>76</v>
      </c>
      <c r="J7443" t="s">
        <v>7981</v>
      </c>
    </row>
    <row r="7444" spans="1:10" x14ac:dyDescent="0.25">
      <c r="A7444" t="s">
        <v>24111</v>
      </c>
      <c r="B7444">
        <v>13.52</v>
      </c>
      <c r="C7444" t="s">
        <v>24112</v>
      </c>
      <c r="D7444" t="s">
        <v>715</v>
      </c>
      <c r="E7444" t="s">
        <v>24107</v>
      </c>
      <c r="F7444" t="s">
        <v>7672</v>
      </c>
      <c r="G7444" t="s">
        <v>24108</v>
      </c>
      <c r="H7444" t="s">
        <v>12519</v>
      </c>
      <c r="I7444" t="s">
        <v>17045</v>
      </c>
      <c r="J7444" t="s">
        <v>7984</v>
      </c>
    </row>
    <row r="7445" spans="1:10" x14ac:dyDescent="0.25">
      <c r="A7445" t="s">
        <v>24113</v>
      </c>
      <c r="B7445">
        <v>13.52</v>
      </c>
      <c r="C7445" t="s">
        <v>24114</v>
      </c>
      <c r="D7445" t="s">
        <v>4327</v>
      </c>
      <c r="E7445" t="s">
        <v>24107</v>
      </c>
      <c r="F7445" t="s">
        <v>7672</v>
      </c>
      <c r="G7445" t="s">
        <v>24108</v>
      </c>
      <c r="H7445" t="s">
        <v>12519</v>
      </c>
      <c r="I7445" t="s">
        <v>76</v>
      </c>
      <c r="J7445" t="s">
        <v>7984</v>
      </c>
    </row>
    <row r="7446" spans="1:10" x14ac:dyDescent="0.25">
      <c r="A7446" t="s">
        <v>24115</v>
      </c>
      <c r="B7446">
        <v>13.52</v>
      </c>
      <c r="C7446" t="s">
        <v>24116</v>
      </c>
      <c r="D7446" t="s">
        <v>1573</v>
      </c>
      <c r="E7446" t="s">
        <v>24107</v>
      </c>
      <c r="F7446" t="s">
        <v>7672</v>
      </c>
      <c r="G7446" t="s">
        <v>24108</v>
      </c>
      <c r="H7446" t="s">
        <v>12519</v>
      </c>
      <c r="I7446" t="s">
        <v>17045</v>
      </c>
      <c r="J7446" t="s">
        <v>7987</v>
      </c>
    </row>
    <row r="7447" spans="1:10" x14ac:dyDescent="0.25">
      <c r="A7447" t="s">
        <v>24117</v>
      </c>
      <c r="B7447">
        <v>13.52</v>
      </c>
      <c r="C7447" t="s">
        <v>24118</v>
      </c>
      <c r="D7447" t="s">
        <v>2078</v>
      </c>
      <c r="E7447" t="s">
        <v>24107</v>
      </c>
      <c r="F7447" t="s">
        <v>7672</v>
      </c>
      <c r="G7447" t="s">
        <v>24108</v>
      </c>
      <c r="H7447" t="s">
        <v>12519</v>
      </c>
      <c r="I7447" t="s">
        <v>76</v>
      </c>
      <c r="J7447" t="s">
        <v>7987</v>
      </c>
    </row>
    <row r="7448" spans="1:10" x14ac:dyDescent="0.25">
      <c r="A7448" t="s">
        <v>24119</v>
      </c>
      <c r="B7448">
        <v>13.52</v>
      </c>
      <c r="C7448" t="s">
        <v>24120</v>
      </c>
      <c r="D7448" t="s">
        <v>234</v>
      </c>
      <c r="E7448" t="s">
        <v>24107</v>
      </c>
      <c r="F7448" t="s">
        <v>7672</v>
      </c>
      <c r="G7448" t="s">
        <v>24108</v>
      </c>
      <c r="H7448" t="s">
        <v>12519</v>
      </c>
      <c r="I7448" t="s">
        <v>17045</v>
      </c>
      <c r="J7448" t="s">
        <v>8001</v>
      </c>
    </row>
    <row r="7449" spans="1:10" x14ac:dyDescent="0.25">
      <c r="A7449" t="s">
        <v>24121</v>
      </c>
      <c r="B7449">
        <v>13.52</v>
      </c>
      <c r="C7449" t="s">
        <v>24122</v>
      </c>
      <c r="D7449" t="s">
        <v>234</v>
      </c>
      <c r="E7449" t="s">
        <v>24107</v>
      </c>
      <c r="F7449" t="s">
        <v>7672</v>
      </c>
      <c r="G7449" t="s">
        <v>24108</v>
      </c>
      <c r="H7449" t="s">
        <v>12519</v>
      </c>
      <c r="I7449" t="s">
        <v>76</v>
      </c>
      <c r="J7449" t="s">
        <v>8001</v>
      </c>
    </row>
    <row r="7450" spans="1:10" x14ac:dyDescent="0.25">
      <c r="A7450" t="s">
        <v>6782</v>
      </c>
      <c r="B7450">
        <v>6</v>
      </c>
      <c r="C7450" t="s">
        <v>6784</v>
      </c>
      <c r="D7450" t="s">
        <v>6480</v>
      </c>
      <c r="E7450" t="s">
        <v>6785</v>
      </c>
      <c r="F7450" t="s">
        <v>7672</v>
      </c>
      <c r="G7450" t="s">
        <v>24123</v>
      </c>
      <c r="H7450" t="s">
        <v>11496</v>
      </c>
      <c r="I7450" t="s">
        <v>497</v>
      </c>
      <c r="J7450" t="s">
        <v>9423</v>
      </c>
    </row>
    <row r="7451" spans="1:10" x14ac:dyDescent="0.25">
      <c r="A7451" t="s">
        <v>6788</v>
      </c>
      <c r="B7451">
        <v>6</v>
      </c>
      <c r="C7451" t="s">
        <v>6790</v>
      </c>
      <c r="D7451" t="s">
        <v>664</v>
      </c>
      <c r="E7451" t="s">
        <v>6785</v>
      </c>
      <c r="F7451" t="s">
        <v>7672</v>
      </c>
      <c r="G7451" t="s">
        <v>24123</v>
      </c>
      <c r="H7451" t="s">
        <v>11496</v>
      </c>
      <c r="I7451" t="s">
        <v>497</v>
      </c>
      <c r="J7451" t="s">
        <v>9426</v>
      </c>
    </row>
    <row r="7452" spans="1:10" x14ac:dyDescent="0.25">
      <c r="A7452" t="s">
        <v>24124</v>
      </c>
      <c r="B7452">
        <v>5.9920000000000009</v>
      </c>
      <c r="C7452" t="s">
        <v>24125</v>
      </c>
      <c r="D7452" t="s">
        <v>593</v>
      </c>
      <c r="E7452" t="s">
        <v>24126</v>
      </c>
      <c r="F7452" t="s">
        <v>7672</v>
      </c>
      <c r="G7452" t="s">
        <v>24127</v>
      </c>
      <c r="H7452" t="s">
        <v>13951</v>
      </c>
      <c r="I7452" t="s">
        <v>145</v>
      </c>
      <c r="J7452" t="s">
        <v>282</v>
      </c>
    </row>
    <row r="7453" spans="1:10" x14ac:dyDescent="0.25">
      <c r="A7453" t="s">
        <v>24128</v>
      </c>
      <c r="B7453">
        <v>5.9920000000000009</v>
      </c>
      <c r="C7453" t="s">
        <v>24129</v>
      </c>
      <c r="D7453" t="s">
        <v>67</v>
      </c>
      <c r="E7453" t="s">
        <v>24126</v>
      </c>
      <c r="F7453" t="s">
        <v>7672</v>
      </c>
      <c r="G7453" t="s">
        <v>24127</v>
      </c>
      <c r="H7453" t="s">
        <v>13951</v>
      </c>
      <c r="I7453" t="s">
        <v>145</v>
      </c>
      <c r="J7453" t="s">
        <v>277</v>
      </c>
    </row>
    <row r="7454" spans="1:10" x14ac:dyDescent="0.25">
      <c r="A7454" t="s">
        <v>24130</v>
      </c>
      <c r="B7454">
        <v>5.9920000000000009</v>
      </c>
      <c r="C7454" t="s">
        <v>24131</v>
      </c>
      <c r="D7454" t="s">
        <v>626</v>
      </c>
      <c r="E7454" t="s">
        <v>24126</v>
      </c>
      <c r="F7454" t="s">
        <v>7672</v>
      </c>
      <c r="G7454" t="s">
        <v>24127</v>
      </c>
      <c r="H7454" t="s">
        <v>13951</v>
      </c>
      <c r="I7454" t="s">
        <v>145</v>
      </c>
      <c r="J7454" t="s">
        <v>436</v>
      </c>
    </row>
    <row r="7455" spans="1:10" x14ac:dyDescent="0.25">
      <c r="A7455" t="s">
        <v>24132</v>
      </c>
      <c r="B7455">
        <v>5.9920000000000009</v>
      </c>
      <c r="C7455" t="s">
        <v>24133</v>
      </c>
      <c r="D7455" t="s">
        <v>913</v>
      </c>
      <c r="E7455" t="s">
        <v>24126</v>
      </c>
      <c r="F7455" t="s">
        <v>7672</v>
      </c>
      <c r="G7455" t="s">
        <v>24127</v>
      </c>
      <c r="H7455" t="s">
        <v>13951</v>
      </c>
      <c r="I7455" t="s">
        <v>145</v>
      </c>
      <c r="J7455" t="s">
        <v>53</v>
      </c>
    </row>
    <row r="7456" spans="1:10" x14ac:dyDescent="0.25">
      <c r="A7456" t="s">
        <v>24134</v>
      </c>
      <c r="B7456">
        <v>5.9920000000000009</v>
      </c>
      <c r="C7456" t="s">
        <v>24135</v>
      </c>
      <c r="D7456" t="s">
        <v>301</v>
      </c>
      <c r="E7456" t="s">
        <v>24126</v>
      </c>
      <c r="F7456" t="s">
        <v>7672</v>
      </c>
      <c r="G7456" t="s">
        <v>24127</v>
      </c>
      <c r="H7456" t="s">
        <v>13951</v>
      </c>
      <c r="I7456" t="s">
        <v>145</v>
      </c>
      <c r="J7456" t="s">
        <v>60</v>
      </c>
    </row>
    <row r="7457" spans="1:10" x14ac:dyDescent="0.25">
      <c r="A7457" t="s">
        <v>24136</v>
      </c>
      <c r="B7457">
        <v>5.9920000000000009</v>
      </c>
      <c r="C7457" t="s">
        <v>24137</v>
      </c>
      <c r="D7457" t="s">
        <v>164</v>
      </c>
      <c r="E7457" t="s">
        <v>24126</v>
      </c>
      <c r="F7457" t="s">
        <v>7672</v>
      </c>
      <c r="G7457" t="s">
        <v>24127</v>
      </c>
      <c r="H7457" t="s">
        <v>13951</v>
      </c>
      <c r="I7457" t="s">
        <v>145</v>
      </c>
      <c r="J7457" t="s">
        <v>342</v>
      </c>
    </row>
    <row r="7458" spans="1:10" x14ac:dyDescent="0.25">
      <c r="A7458" t="s">
        <v>24138</v>
      </c>
      <c r="B7458">
        <v>7.2</v>
      </c>
      <c r="C7458" t="s">
        <v>24139</v>
      </c>
      <c r="D7458" t="s">
        <v>1143</v>
      </c>
      <c r="E7458" t="s">
        <v>6795</v>
      </c>
      <c r="F7458" t="s">
        <v>7672</v>
      </c>
      <c r="G7458" t="s">
        <v>24140</v>
      </c>
      <c r="H7458" t="s">
        <v>7947</v>
      </c>
      <c r="I7458" t="s">
        <v>235</v>
      </c>
      <c r="J7458" t="s">
        <v>7984</v>
      </c>
    </row>
    <row r="7459" spans="1:10" x14ac:dyDescent="0.25">
      <c r="A7459" t="s">
        <v>24141</v>
      </c>
      <c r="B7459">
        <v>6</v>
      </c>
      <c r="C7459" t="s">
        <v>24142</v>
      </c>
      <c r="D7459" t="s">
        <v>835</v>
      </c>
      <c r="E7459" t="s">
        <v>6795</v>
      </c>
      <c r="F7459" t="s">
        <v>7672</v>
      </c>
      <c r="G7459" t="s">
        <v>24140</v>
      </c>
      <c r="H7459" t="s">
        <v>7947</v>
      </c>
      <c r="I7459" t="s">
        <v>235</v>
      </c>
      <c r="J7459" t="s">
        <v>7987</v>
      </c>
    </row>
    <row r="7460" spans="1:10" x14ac:dyDescent="0.25">
      <c r="A7460" t="s">
        <v>6792</v>
      </c>
      <c r="B7460">
        <v>7.2</v>
      </c>
      <c r="C7460" t="s">
        <v>6794</v>
      </c>
      <c r="D7460" t="s">
        <v>1134</v>
      </c>
      <c r="E7460" t="s">
        <v>6795</v>
      </c>
      <c r="F7460" t="s">
        <v>7672</v>
      </c>
      <c r="G7460" t="s">
        <v>24140</v>
      </c>
      <c r="H7460" t="s">
        <v>7947</v>
      </c>
      <c r="I7460" t="s">
        <v>235</v>
      </c>
      <c r="J7460" t="s">
        <v>8001</v>
      </c>
    </row>
    <row r="7461" spans="1:10" x14ac:dyDescent="0.25">
      <c r="A7461" t="s">
        <v>24143</v>
      </c>
      <c r="B7461">
        <v>4.4800000000000004</v>
      </c>
      <c r="C7461" t="s">
        <v>24144</v>
      </c>
      <c r="D7461" t="s">
        <v>100</v>
      </c>
      <c r="E7461" t="s">
        <v>24145</v>
      </c>
      <c r="F7461" t="s">
        <v>7672</v>
      </c>
      <c r="G7461" t="s">
        <v>24146</v>
      </c>
      <c r="H7461" t="s">
        <v>8515</v>
      </c>
      <c r="I7461" t="s">
        <v>24147</v>
      </c>
      <c r="J7461" t="s">
        <v>255</v>
      </c>
    </row>
    <row r="7462" spans="1:10" x14ac:dyDescent="0.25">
      <c r="A7462" t="s">
        <v>24148</v>
      </c>
      <c r="B7462">
        <v>4.4800000000000004</v>
      </c>
      <c r="C7462" t="s">
        <v>24149</v>
      </c>
      <c r="D7462" t="s">
        <v>964</v>
      </c>
      <c r="E7462" t="s">
        <v>24145</v>
      </c>
      <c r="F7462" t="s">
        <v>7672</v>
      </c>
      <c r="G7462" t="s">
        <v>24146</v>
      </c>
      <c r="H7462" t="s">
        <v>8515</v>
      </c>
      <c r="I7462" t="s">
        <v>24147</v>
      </c>
      <c r="J7462" t="s">
        <v>277</v>
      </c>
    </row>
    <row r="7463" spans="1:10" x14ac:dyDescent="0.25">
      <c r="A7463" t="s">
        <v>24150</v>
      </c>
      <c r="B7463">
        <v>4.4800000000000004</v>
      </c>
      <c r="C7463" t="s">
        <v>24151</v>
      </c>
      <c r="D7463" t="s">
        <v>330</v>
      </c>
      <c r="E7463" t="s">
        <v>24145</v>
      </c>
      <c r="F7463" t="s">
        <v>7672</v>
      </c>
      <c r="G7463" t="s">
        <v>24146</v>
      </c>
      <c r="H7463" t="s">
        <v>8515</v>
      </c>
      <c r="I7463" t="s">
        <v>24152</v>
      </c>
      <c r="J7463" t="s">
        <v>277</v>
      </c>
    </row>
    <row r="7464" spans="1:10" x14ac:dyDescent="0.25">
      <c r="A7464" t="s">
        <v>24153</v>
      </c>
      <c r="B7464">
        <v>4.4800000000000004</v>
      </c>
      <c r="C7464" t="s">
        <v>24154</v>
      </c>
      <c r="D7464" t="s">
        <v>240</v>
      </c>
      <c r="E7464" t="s">
        <v>24145</v>
      </c>
      <c r="F7464" t="s">
        <v>7672</v>
      </c>
      <c r="G7464" t="s">
        <v>24146</v>
      </c>
      <c r="H7464" t="s">
        <v>8515</v>
      </c>
      <c r="I7464" t="s">
        <v>19624</v>
      </c>
      <c r="J7464" t="s">
        <v>277</v>
      </c>
    </row>
    <row r="7465" spans="1:10" x14ac:dyDescent="0.25">
      <c r="A7465" t="s">
        <v>24155</v>
      </c>
      <c r="B7465">
        <v>11.2</v>
      </c>
      <c r="C7465" t="s">
        <v>24156</v>
      </c>
      <c r="D7465" t="s">
        <v>330</v>
      </c>
      <c r="E7465" t="s">
        <v>24157</v>
      </c>
      <c r="F7465" t="s">
        <v>7672</v>
      </c>
      <c r="G7465" t="s">
        <v>24158</v>
      </c>
      <c r="H7465" t="s">
        <v>15474</v>
      </c>
      <c r="I7465" t="s">
        <v>1243</v>
      </c>
      <c r="J7465" t="s">
        <v>100</v>
      </c>
    </row>
    <row r="7466" spans="1:10" x14ac:dyDescent="0.25">
      <c r="A7466" t="s">
        <v>24159</v>
      </c>
      <c r="B7466">
        <v>11.2</v>
      </c>
      <c r="C7466" t="s">
        <v>24160</v>
      </c>
      <c r="D7466" t="s">
        <v>781</v>
      </c>
      <c r="E7466" t="s">
        <v>24157</v>
      </c>
      <c r="F7466" t="s">
        <v>7672</v>
      </c>
      <c r="G7466" t="s">
        <v>24158</v>
      </c>
      <c r="H7466" t="s">
        <v>15474</v>
      </c>
      <c r="I7466" t="s">
        <v>1243</v>
      </c>
      <c r="J7466" t="s">
        <v>106</v>
      </c>
    </row>
    <row r="7467" spans="1:10" x14ac:dyDescent="0.25">
      <c r="A7467" t="s">
        <v>24161</v>
      </c>
      <c r="B7467">
        <v>11.2</v>
      </c>
      <c r="C7467" t="s">
        <v>24162</v>
      </c>
      <c r="D7467" t="s">
        <v>106</v>
      </c>
      <c r="E7467" t="s">
        <v>24157</v>
      </c>
      <c r="F7467" t="s">
        <v>7672</v>
      </c>
      <c r="G7467" t="s">
        <v>24158</v>
      </c>
      <c r="H7467" t="s">
        <v>15474</v>
      </c>
      <c r="I7467" t="s">
        <v>1243</v>
      </c>
      <c r="J7467" t="s">
        <v>88</v>
      </c>
    </row>
    <row r="7468" spans="1:10" x14ac:dyDescent="0.25">
      <c r="A7468" t="s">
        <v>24163</v>
      </c>
      <c r="B7468">
        <v>12.8</v>
      </c>
      <c r="C7468" t="s">
        <v>24164</v>
      </c>
      <c r="D7468" t="s">
        <v>60</v>
      </c>
      <c r="E7468" t="s">
        <v>24157</v>
      </c>
      <c r="F7468" t="s">
        <v>7672</v>
      </c>
      <c r="G7468" t="s">
        <v>24158</v>
      </c>
      <c r="H7468" t="s">
        <v>15474</v>
      </c>
      <c r="I7468" t="s">
        <v>1243</v>
      </c>
      <c r="J7468" t="s">
        <v>15482</v>
      </c>
    </row>
    <row r="7469" spans="1:10" x14ac:dyDescent="0.25">
      <c r="A7469" t="s">
        <v>24165</v>
      </c>
      <c r="B7469">
        <v>5.4</v>
      </c>
      <c r="C7469" t="s">
        <v>24166</v>
      </c>
      <c r="D7469" t="s">
        <v>626</v>
      </c>
      <c r="E7469" t="s">
        <v>24167</v>
      </c>
      <c r="F7469" t="s">
        <v>7672</v>
      </c>
      <c r="G7469" t="s">
        <v>24168</v>
      </c>
      <c r="H7469" t="s">
        <v>24169</v>
      </c>
      <c r="I7469" t="s">
        <v>278</v>
      </c>
      <c r="J7469" t="s">
        <v>7942</v>
      </c>
    </row>
    <row r="7470" spans="1:10" x14ac:dyDescent="0.25">
      <c r="A7470" t="s">
        <v>24170</v>
      </c>
      <c r="B7470">
        <v>5.4</v>
      </c>
      <c r="C7470" t="s">
        <v>24171</v>
      </c>
      <c r="D7470" t="s">
        <v>124</v>
      </c>
      <c r="E7470" t="s">
        <v>24167</v>
      </c>
      <c r="F7470" t="s">
        <v>7672</v>
      </c>
      <c r="G7470" t="s">
        <v>24168</v>
      </c>
      <c r="H7470" t="s">
        <v>24169</v>
      </c>
      <c r="I7470" t="s">
        <v>278</v>
      </c>
      <c r="J7470" t="s">
        <v>7981</v>
      </c>
    </row>
    <row r="7471" spans="1:10" x14ac:dyDescent="0.25">
      <c r="A7471" t="s">
        <v>24172</v>
      </c>
      <c r="B7471">
        <v>5.4</v>
      </c>
      <c r="C7471" t="s">
        <v>24173</v>
      </c>
      <c r="D7471" t="s">
        <v>282</v>
      </c>
      <c r="E7471" t="s">
        <v>24167</v>
      </c>
      <c r="F7471" t="s">
        <v>7672</v>
      </c>
      <c r="G7471" t="s">
        <v>24168</v>
      </c>
      <c r="H7471" t="s">
        <v>24169</v>
      </c>
      <c r="I7471" t="s">
        <v>278</v>
      </c>
      <c r="J7471" t="s">
        <v>7984</v>
      </c>
    </row>
    <row r="7472" spans="1:10" x14ac:dyDescent="0.25">
      <c r="A7472" t="s">
        <v>24174</v>
      </c>
      <c r="B7472">
        <v>5.4</v>
      </c>
      <c r="C7472" t="s">
        <v>24175</v>
      </c>
      <c r="D7472" t="s">
        <v>1874</v>
      </c>
      <c r="E7472" t="s">
        <v>24167</v>
      </c>
      <c r="F7472" t="s">
        <v>7672</v>
      </c>
      <c r="G7472" t="s">
        <v>24168</v>
      </c>
      <c r="H7472" t="s">
        <v>24169</v>
      </c>
      <c r="I7472" t="s">
        <v>278</v>
      </c>
      <c r="J7472" t="s">
        <v>7987</v>
      </c>
    </row>
    <row r="7473" spans="1:10" x14ac:dyDescent="0.25">
      <c r="A7473" t="s">
        <v>24176</v>
      </c>
      <c r="B7473">
        <v>5.4</v>
      </c>
      <c r="C7473" t="s">
        <v>24177</v>
      </c>
      <c r="D7473" t="s">
        <v>12707</v>
      </c>
      <c r="E7473" t="s">
        <v>24167</v>
      </c>
      <c r="F7473" t="s">
        <v>7672</v>
      </c>
      <c r="G7473" t="s">
        <v>24168</v>
      </c>
      <c r="H7473" t="s">
        <v>24169</v>
      </c>
      <c r="I7473" t="s">
        <v>278</v>
      </c>
      <c r="J7473" t="s">
        <v>8001</v>
      </c>
    </row>
    <row r="7474" spans="1:10" x14ac:dyDescent="0.25">
      <c r="A7474" t="s">
        <v>24178</v>
      </c>
      <c r="B7474">
        <v>5.4</v>
      </c>
      <c r="C7474" t="s">
        <v>24179</v>
      </c>
      <c r="D7474" t="s">
        <v>1924</v>
      </c>
      <c r="E7474" t="s">
        <v>24167</v>
      </c>
      <c r="F7474" t="s">
        <v>7672</v>
      </c>
      <c r="G7474" t="s">
        <v>24168</v>
      </c>
      <c r="H7474" t="s">
        <v>24169</v>
      </c>
      <c r="I7474" t="s">
        <v>278</v>
      </c>
      <c r="J7474" t="s">
        <v>8013</v>
      </c>
    </row>
    <row r="7475" spans="1:10" x14ac:dyDescent="0.25">
      <c r="A7475" t="s">
        <v>24180</v>
      </c>
      <c r="B7475">
        <v>6</v>
      </c>
      <c r="C7475" t="s">
        <v>24181</v>
      </c>
      <c r="D7475" t="s">
        <v>10785</v>
      </c>
      <c r="E7475" t="s">
        <v>24182</v>
      </c>
      <c r="F7475" t="s">
        <v>7672</v>
      </c>
      <c r="G7475" t="s">
        <v>24183</v>
      </c>
      <c r="H7475" t="s">
        <v>11496</v>
      </c>
      <c r="I7475" t="s">
        <v>145</v>
      </c>
      <c r="J7475" t="s">
        <v>9423</v>
      </c>
    </row>
    <row r="7476" spans="1:10" x14ac:dyDescent="0.25">
      <c r="A7476" t="s">
        <v>24184</v>
      </c>
      <c r="B7476">
        <v>6</v>
      </c>
      <c r="C7476" t="s">
        <v>24185</v>
      </c>
      <c r="D7476" t="s">
        <v>12707</v>
      </c>
      <c r="E7476" t="s">
        <v>24182</v>
      </c>
      <c r="F7476" t="s">
        <v>7672</v>
      </c>
      <c r="G7476" t="s">
        <v>24183</v>
      </c>
      <c r="H7476" t="s">
        <v>11496</v>
      </c>
      <c r="I7476" t="s">
        <v>145</v>
      </c>
      <c r="J7476" t="s">
        <v>9426</v>
      </c>
    </row>
    <row r="7477" spans="1:10" x14ac:dyDescent="0.25">
      <c r="A7477" t="s">
        <v>24186</v>
      </c>
      <c r="B7477">
        <v>6</v>
      </c>
      <c r="C7477" t="s">
        <v>24187</v>
      </c>
      <c r="D7477" t="s">
        <v>9124</v>
      </c>
      <c r="E7477" t="s">
        <v>24182</v>
      </c>
      <c r="F7477" t="s">
        <v>7672</v>
      </c>
      <c r="G7477" t="s">
        <v>24183</v>
      </c>
      <c r="H7477" t="s">
        <v>11496</v>
      </c>
      <c r="I7477" t="s">
        <v>145</v>
      </c>
      <c r="J7477" t="s">
        <v>10862</v>
      </c>
    </row>
    <row r="7478" spans="1:10" x14ac:dyDescent="0.25">
      <c r="A7478" t="s">
        <v>24188</v>
      </c>
      <c r="B7478">
        <v>6</v>
      </c>
      <c r="C7478" t="s">
        <v>24189</v>
      </c>
      <c r="D7478" t="s">
        <v>7735</v>
      </c>
      <c r="E7478" t="s">
        <v>24182</v>
      </c>
      <c r="F7478" t="s">
        <v>7672</v>
      </c>
      <c r="G7478" t="s">
        <v>24183</v>
      </c>
      <c r="H7478" t="s">
        <v>11496</v>
      </c>
      <c r="I7478" t="s">
        <v>145</v>
      </c>
      <c r="J7478" t="s">
        <v>13084</v>
      </c>
    </row>
    <row r="7479" spans="1:10" x14ac:dyDescent="0.25">
      <c r="A7479" t="s">
        <v>24190</v>
      </c>
      <c r="B7479">
        <v>11.696</v>
      </c>
      <c r="C7479" t="s">
        <v>24191</v>
      </c>
      <c r="D7479" t="s">
        <v>1893</v>
      </c>
      <c r="E7479" t="s">
        <v>24192</v>
      </c>
      <c r="F7479" t="s">
        <v>7672</v>
      </c>
      <c r="G7479" t="s">
        <v>24193</v>
      </c>
      <c r="H7479" t="s">
        <v>17992</v>
      </c>
      <c r="I7479" t="s">
        <v>1675</v>
      </c>
      <c r="J7479" t="s">
        <v>8427</v>
      </c>
    </row>
    <row r="7480" spans="1:10" x14ac:dyDescent="0.25">
      <c r="A7480" t="s">
        <v>24194</v>
      </c>
      <c r="B7480">
        <v>11.696</v>
      </c>
      <c r="C7480" t="s">
        <v>24195</v>
      </c>
      <c r="D7480" t="s">
        <v>8762</v>
      </c>
      <c r="E7480" t="s">
        <v>24192</v>
      </c>
      <c r="F7480" t="s">
        <v>7672</v>
      </c>
      <c r="G7480" t="s">
        <v>24193</v>
      </c>
      <c r="H7480" t="s">
        <v>17992</v>
      </c>
      <c r="I7480" t="s">
        <v>1675</v>
      </c>
      <c r="J7480" t="s">
        <v>8439</v>
      </c>
    </row>
    <row r="7481" spans="1:10" x14ac:dyDescent="0.25">
      <c r="A7481" t="s">
        <v>24196</v>
      </c>
      <c r="B7481">
        <v>11.696</v>
      </c>
      <c r="C7481" t="s">
        <v>24197</v>
      </c>
      <c r="D7481" t="s">
        <v>2317</v>
      </c>
      <c r="E7481" t="s">
        <v>24192</v>
      </c>
      <c r="F7481" t="s">
        <v>7672</v>
      </c>
      <c r="G7481" t="s">
        <v>24193</v>
      </c>
      <c r="H7481" t="s">
        <v>17992</v>
      </c>
      <c r="I7481" t="s">
        <v>1675</v>
      </c>
      <c r="J7481" t="s">
        <v>8451</v>
      </c>
    </row>
    <row r="7482" spans="1:10" x14ac:dyDescent="0.25">
      <c r="A7482" t="s">
        <v>24198</v>
      </c>
      <c r="B7482">
        <v>11.696</v>
      </c>
      <c r="C7482" t="s">
        <v>24199</v>
      </c>
      <c r="D7482" t="s">
        <v>2762</v>
      </c>
      <c r="E7482" t="s">
        <v>24192</v>
      </c>
      <c r="F7482" t="s">
        <v>7672</v>
      </c>
      <c r="G7482" t="s">
        <v>24193</v>
      </c>
      <c r="H7482" t="s">
        <v>17992</v>
      </c>
      <c r="I7482" t="s">
        <v>1675</v>
      </c>
      <c r="J7482" t="s">
        <v>8462</v>
      </c>
    </row>
    <row r="7483" spans="1:10" x14ac:dyDescent="0.25">
      <c r="A7483" t="s">
        <v>6799</v>
      </c>
      <c r="C7483" t="s">
        <v>6801</v>
      </c>
      <c r="D7483" t="s">
        <v>6804</v>
      </c>
      <c r="E7483" t="s">
        <v>6802</v>
      </c>
      <c r="F7483" t="s">
        <v>7672</v>
      </c>
      <c r="G7483" t="s">
        <v>24200</v>
      </c>
      <c r="H7483" t="s">
        <v>7947</v>
      </c>
      <c r="I7483" t="s">
        <v>76</v>
      </c>
      <c r="J7483" t="s">
        <v>9694</v>
      </c>
    </row>
    <row r="7484" spans="1:10" x14ac:dyDescent="0.25">
      <c r="A7484" t="s">
        <v>24201</v>
      </c>
      <c r="B7484">
        <v>8</v>
      </c>
      <c r="C7484" t="s">
        <v>24202</v>
      </c>
      <c r="D7484" t="s">
        <v>330</v>
      </c>
      <c r="E7484" t="s">
        <v>24203</v>
      </c>
      <c r="F7484" t="s">
        <v>7672</v>
      </c>
      <c r="G7484" t="s">
        <v>24204</v>
      </c>
      <c r="H7484" t="s">
        <v>21510</v>
      </c>
      <c r="I7484" t="s">
        <v>15475</v>
      </c>
      <c r="J7484" t="s">
        <v>7981</v>
      </c>
    </row>
    <row r="7485" spans="1:10" x14ac:dyDescent="0.25">
      <c r="A7485" t="s">
        <v>24205</v>
      </c>
      <c r="B7485">
        <v>8</v>
      </c>
      <c r="C7485" t="s">
        <v>24206</v>
      </c>
      <c r="D7485" t="s">
        <v>366</v>
      </c>
      <c r="E7485" t="s">
        <v>24203</v>
      </c>
      <c r="F7485" t="s">
        <v>7672</v>
      </c>
      <c r="G7485" t="s">
        <v>24204</v>
      </c>
      <c r="H7485" t="s">
        <v>21510</v>
      </c>
      <c r="I7485" t="s">
        <v>76</v>
      </c>
      <c r="J7485" t="s">
        <v>7981</v>
      </c>
    </row>
    <row r="7486" spans="1:10" x14ac:dyDescent="0.25">
      <c r="A7486" t="s">
        <v>24207</v>
      </c>
      <c r="B7486">
        <v>8</v>
      </c>
      <c r="C7486" t="s">
        <v>24208</v>
      </c>
      <c r="D7486" t="s">
        <v>1134</v>
      </c>
      <c r="E7486" t="s">
        <v>24203</v>
      </c>
      <c r="F7486" t="s">
        <v>7672</v>
      </c>
      <c r="G7486" t="s">
        <v>24204</v>
      </c>
      <c r="H7486" t="s">
        <v>21510</v>
      </c>
      <c r="I7486" t="s">
        <v>15475</v>
      </c>
      <c r="J7486" t="s">
        <v>7984</v>
      </c>
    </row>
    <row r="7487" spans="1:10" x14ac:dyDescent="0.25">
      <c r="A7487" t="s">
        <v>24209</v>
      </c>
      <c r="B7487">
        <v>8</v>
      </c>
      <c r="C7487" t="s">
        <v>24210</v>
      </c>
      <c r="D7487" t="s">
        <v>975</v>
      </c>
      <c r="E7487" t="s">
        <v>24203</v>
      </c>
      <c r="F7487" t="s">
        <v>7672</v>
      </c>
      <c r="G7487" t="s">
        <v>24204</v>
      </c>
      <c r="H7487" t="s">
        <v>21510</v>
      </c>
      <c r="I7487" t="s">
        <v>76</v>
      </c>
      <c r="J7487" t="s">
        <v>7984</v>
      </c>
    </row>
    <row r="7488" spans="1:10" x14ac:dyDescent="0.25">
      <c r="A7488" t="s">
        <v>24211</v>
      </c>
      <c r="B7488">
        <v>8</v>
      </c>
      <c r="C7488" t="s">
        <v>24212</v>
      </c>
      <c r="D7488" t="s">
        <v>450</v>
      </c>
      <c r="E7488" t="s">
        <v>24203</v>
      </c>
      <c r="F7488" t="s">
        <v>7672</v>
      </c>
      <c r="G7488" t="s">
        <v>24204</v>
      </c>
      <c r="H7488" t="s">
        <v>21510</v>
      </c>
      <c r="I7488" t="s">
        <v>15475</v>
      </c>
      <c r="J7488" t="s">
        <v>7987</v>
      </c>
    </row>
    <row r="7489" spans="1:10" x14ac:dyDescent="0.25">
      <c r="A7489" t="s">
        <v>24213</v>
      </c>
      <c r="B7489">
        <v>8</v>
      </c>
      <c r="C7489" t="s">
        <v>24214</v>
      </c>
      <c r="D7489" t="s">
        <v>3577</v>
      </c>
      <c r="E7489" t="s">
        <v>24203</v>
      </c>
      <c r="F7489" t="s">
        <v>7672</v>
      </c>
      <c r="G7489" t="s">
        <v>24204</v>
      </c>
      <c r="H7489" t="s">
        <v>21510</v>
      </c>
      <c r="I7489" t="s">
        <v>76</v>
      </c>
      <c r="J7489" t="s">
        <v>7987</v>
      </c>
    </row>
    <row r="7490" spans="1:10" x14ac:dyDescent="0.25">
      <c r="A7490" t="s">
        <v>24215</v>
      </c>
      <c r="B7490">
        <v>8</v>
      </c>
      <c r="C7490" t="s">
        <v>24216</v>
      </c>
      <c r="D7490" t="s">
        <v>366</v>
      </c>
      <c r="E7490" t="s">
        <v>24203</v>
      </c>
      <c r="F7490" t="s">
        <v>7672</v>
      </c>
      <c r="G7490" t="s">
        <v>24204</v>
      </c>
      <c r="H7490" t="s">
        <v>21510</v>
      </c>
      <c r="I7490" t="s">
        <v>15475</v>
      </c>
      <c r="J7490" t="s">
        <v>8001</v>
      </c>
    </row>
    <row r="7491" spans="1:10" x14ac:dyDescent="0.25">
      <c r="A7491" t="s">
        <v>24217</v>
      </c>
      <c r="B7491">
        <v>8</v>
      </c>
      <c r="C7491" t="s">
        <v>24218</v>
      </c>
      <c r="D7491" t="s">
        <v>959</v>
      </c>
      <c r="E7491" t="s">
        <v>24203</v>
      </c>
      <c r="F7491" t="s">
        <v>7672</v>
      </c>
      <c r="G7491" t="s">
        <v>24204</v>
      </c>
      <c r="H7491" t="s">
        <v>21510</v>
      </c>
      <c r="I7491" t="s">
        <v>76</v>
      </c>
      <c r="J7491" t="s">
        <v>8001</v>
      </c>
    </row>
    <row r="7492" spans="1:10" x14ac:dyDescent="0.25">
      <c r="A7492" t="s">
        <v>24219</v>
      </c>
      <c r="B7492">
        <v>13.6</v>
      </c>
      <c r="C7492" t="s">
        <v>24220</v>
      </c>
      <c r="D7492" t="s">
        <v>1811</v>
      </c>
      <c r="E7492" t="s">
        <v>24221</v>
      </c>
      <c r="F7492" t="s">
        <v>7672</v>
      </c>
      <c r="G7492" t="s">
        <v>24222</v>
      </c>
      <c r="H7492" t="s">
        <v>12232</v>
      </c>
      <c r="I7492" t="s">
        <v>24223</v>
      </c>
      <c r="J7492" t="s">
        <v>8427</v>
      </c>
    </row>
    <row r="7493" spans="1:10" x14ac:dyDescent="0.25">
      <c r="A7493" t="s">
        <v>24224</v>
      </c>
      <c r="B7493">
        <v>13.6</v>
      </c>
      <c r="C7493" t="s">
        <v>24225</v>
      </c>
      <c r="D7493" t="s">
        <v>2138</v>
      </c>
      <c r="E7493" t="s">
        <v>24221</v>
      </c>
      <c r="F7493" t="s">
        <v>7672</v>
      </c>
      <c r="G7493" t="s">
        <v>24222</v>
      </c>
      <c r="H7493" t="s">
        <v>12232</v>
      </c>
      <c r="I7493" t="s">
        <v>24223</v>
      </c>
      <c r="J7493" t="s">
        <v>8439</v>
      </c>
    </row>
    <row r="7494" spans="1:10" x14ac:dyDescent="0.25">
      <c r="A7494" t="s">
        <v>24226</v>
      </c>
      <c r="B7494">
        <v>13.6</v>
      </c>
      <c r="C7494" t="s">
        <v>24227</v>
      </c>
      <c r="D7494" t="s">
        <v>2587</v>
      </c>
      <c r="E7494" t="s">
        <v>24221</v>
      </c>
      <c r="F7494" t="s">
        <v>7672</v>
      </c>
      <c r="G7494" t="s">
        <v>24222</v>
      </c>
      <c r="H7494" t="s">
        <v>12232</v>
      </c>
      <c r="I7494" t="s">
        <v>24223</v>
      </c>
      <c r="J7494" t="s">
        <v>8451</v>
      </c>
    </row>
    <row r="7495" spans="1:10" x14ac:dyDescent="0.25">
      <c r="A7495" t="s">
        <v>24228</v>
      </c>
      <c r="B7495">
        <v>16</v>
      </c>
      <c r="C7495" t="s">
        <v>24229</v>
      </c>
      <c r="D7495" t="s">
        <v>286</v>
      </c>
      <c r="E7495" t="s">
        <v>24230</v>
      </c>
      <c r="F7495" t="s">
        <v>7672</v>
      </c>
      <c r="G7495" t="s">
        <v>24231</v>
      </c>
      <c r="H7495" t="s">
        <v>10368</v>
      </c>
      <c r="I7495" t="s">
        <v>4821</v>
      </c>
      <c r="J7495" t="s">
        <v>277</v>
      </c>
    </row>
    <row r="7496" spans="1:10" x14ac:dyDescent="0.25">
      <c r="A7496" t="s">
        <v>24232</v>
      </c>
      <c r="B7496">
        <v>16</v>
      </c>
      <c r="C7496" t="s">
        <v>24233</v>
      </c>
      <c r="D7496" t="s">
        <v>100</v>
      </c>
      <c r="E7496" t="s">
        <v>24230</v>
      </c>
      <c r="F7496" t="s">
        <v>7672</v>
      </c>
      <c r="G7496" t="s">
        <v>24231</v>
      </c>
      <c r="H7496" t="s">
        <v>10368</v>
      </c>
      <c r="I7496" t="s">
        <v>4821</v>
      </c>
      <c r="J7496" t="s">
        <v>290</v>
      </c>
    </row>
    <row r="7497" spans="1:10" x14ac:dyDescent="0.25">
      <c r="A7497" t="s">
        <v>24234</v>
      </c>
      <c r="B7497">
        <v>15.6</v>
      </c>
      <c r="C7497" t="s">
        <v>24235</v>
      </c>
      <c r="D7497" t="s">
        <v>342</v>
      </c>
      <c r="E7497" t="s">
        <v>24236</v>
      </c>
      <c r="F7497" t="s">
        <v>7672</v>
      </c>
      <c r="G7497" t="s">
        <v>24237</v>
      </c>
      <c r="H7497" t="s">
        <v>8087</v>
      </c>
      <c r="I7497" t="s">
        <v>8088</v>
      </c>
      <c r="J7497" t="s">
        <v>835</v>
      </c>
    </row>
    <row r="7498" spans="1:10" x14ac:dyDescent="0.25">
      <c r="A7498" t="s">
        <v>24238</v>
      </c>
      <c r="B7498">
        <v>25.295999999999999</v>
      </c>
      <c r="C7498" t="s">
        <v>24239</v>
      </c>
      <c r="D7498" t="s">
        <v>742</v>
      </c>
      <c r="E7498" t="s">
        <v>24240</v>
      </c>
      <c r="F7498" t="s">
        <v>7672</v>
      </c>
      <c r="G7498" t="s">
        <v>24241</v>
      </c>
      <c r="H7498" t="s">
        <v>16463</v>
      </c>
      <c r="I7498" t="s">
        <v>76</v>
      </c>
      <c r="J7498" t="s">
        <v>9023</v>
      </c>
    </row>
    <row r="7499" spans="1:10" x14ac:dyDescent="0.25">
      <c r="A7499" t="s">
        <v>24242</v>
      </c>
      <c r="B7499">
        <v>25.295999999999999</v>
      </c>
      <c r="C7499" t="s">
        <v>24243</v>
      </c>
      <c r="D7499" t="s">
        <v>385</v>
      </c>
      <c r="E7499" t="s">
        <v>24240</v>
      </c>
      <c r="F7499" t="s">
        <v>7672</v>
      </c>
      <c r="G7499" t="s">
        <v>24241</v>
      </c>
      <c r="H7499" t="s">
        <v>16463</v>
      </c>
      <c r="I7499" t="s">
        <v>9391</v>
      </c>
      <c r="J7499" t="s">
        <v>9023</v>
      </c>
    </row>
    <row r="7500" spans="1:10" x14ac:dyDescent="0.25">
      <c r="A7500" t="s">
        <v>24244</v>
      </c>
      <c r="B7500">
        <v>25.295999999999999</v>
      </c>
      <c r="C7500" t="s">
        <v>24245</v>
      </c>
      <c r="D7500" t="s">
        <v>959</v>
      </c>
      <c r="E7500" t="s">
        <v>24240</v>
      </c>
      <c r="F7500" t="s">
        <v>7672</v>
      </c>
      <c r="G7500" t="s">
        <v>24241</v>
      </c>
      <c r="H7500" t="s">
        <v>16463</v>
      </c>
      <c r="I7500" t="s">
        <v>14558</v>
      </c>
      <c r="J7500" t="s">
        <v>9023</v>
      </c>
    </row>
    <row r="7501" spans="1:10" x14ac:dyDescent="0.25">
      <c r="A7501" t="s">
        <v>24246</v>
      </c>
      <c r="B7501">
        <v>25.295999999999999</v>
      </c>
      <c r="C7501" t="s">
        <v>24247</v>
      </c>
      <c r="D7501" t="s">
        <v>88</v>
      </c>
      <c r="E7501" t="s">
        <v>24240</v>
      </c>
      <c r="F7501" t="s">
        <v>7672</v>
      </c>
      <c r="G7501" t="s">
        <v>24241</v>
      </c>
      <c r="H7501" t="s">
        <v>16463</v>
      </c>
      <c r="I7501" t="s">
        <v>14558</v>
      </c>
      <c r="J7501" t="s">
        <v>8883</v>
      </c>
    </row>
    <row r="7502" spans="1:10" x14ac:dyDescent="0.25">
      <c r="A7502" t="s">
        <v>24248</v>
      </c>
      <c r="B7502">
        <v>25.295999999999999</v>
      </c>
      <c r="C7502" t="s">
        <v>24249</v>
      </c>
      <c r="D7502" t="s">
        <v>269</v>
      </c>
      <c r="E7502" t="s">
        <v>24240</v>
      </c>
      <c r="F7502" t="s">
        <v>7672</v>
      </c>
      <c r="G7502" t="s">
        <v>24241</v>
      </c>
      <c r="H7502" t="s">
        <v>16463</v>
      </c>
      <c r="I7502" t="s">
        <v>9391</v>
      </c>
      <c r="J7502" t="s">
        <v>8883</v>
      </c>
    </row>
    <row r="7503" spans="1:10" x14ac:dyDescent="0.25">
      <c r="A7503" t="s">
        <v>24250</v>
      </c>
      <c r="B7503">
        <v>25.295999999999999</v>
      </c>
      <c r="C7503" t="s">
        <v>24251</v>
      </c>
      <c r="D7503" t="s">
        <v>290</v>
      </c>
      <c r="E7503" t="s">
        <v>24240</v>
      </c>
      <c r="F7503" t="s">
        <v>7672</v>
      </c>
      <c r="G7503" t="s">
        <v>24241</v>
      </c>
      <c r="H7503" t="s">
        <v>16463</v>
      </c>
      <c r="I7503" t="s">
        <v>9391</v>
      </c>
      <c r="J7503" t="s">
        <v>8885</v>
      </c>
    </row>
    <row r="7504" spans="1:10" x14ac:dyDescent="0.25">
      <c r="A7504" t="s">
        <v>24252</v>
      </c>
      <c r="B7504">
        <v>25.295999999999999</v>
      </c>
      <c r="C7504" t="s">
        <v>24253</v>
      </c>
      <c r="D7504" t="s">
        <v>250</v>
      </c>
      <c r="E7504" t="s">
        <v>24240</v>
      </c>
      <c r="F7504" t="s">
        <v>7672</v>
      </c>
      <c r="G7504" t="s">
        <v>24241</v>
      </c>
      <c r="H7504" t="s">
        <v>16463</v>
      </c>
      <c r="I7504" t="s">
        <v>9391</v>
      </c>
      <c r="J7504" t="s">
        <v>10908</v>
      </c>
    </row>
    <row r="7505" spans="1:10" x14ac:dyDescent="0.25">
      <c r="A7505" t="s">
        <v>24254</v>
      </c>
      <c r="B7505">
        <v>25.295999999999999</v>
      </c>
      <c r="C7505" t="s">
        <v>24255</v>
      </c>
      <c r="D7505" t="s">
        <v>1143</v>
      </c>
      <c r="E7505" t="s">
        <v>24240</v>
      </c>
      <c r="F7505" t="s">
        <v>7672</v>
      </c>
      <c r="G7505" t="s">
        <v>24241</v>
      </c>
      <c r="H7505" t="s">
        <v>16463</v>
      </c>
      <c r="I7505" t="s">
        <v>14558</v>
      </c>
      <c r="J7505" t="s">
        <v>10908</v>
      </c>
    </row>
    <row r="7506" spans="1:10" x14ac:dyDescent="0.25">
      <c r="A7506" t="s">
        <v>24256</v>
      </c>
      <c r="B7506">
        <v>25.295999999999999</v>
      </c>
      <c r="C7506" t="s">
        <v>24257</v>
      </c>
      <c r="D7506" t="s">
        <v>290</v>
      </c>
      <c r="E7506" t="s">
        <v>24240</v>
      </c>
      <c r="F7506" t="s">
        <v>7672</v>
      </c>
      <c r="G7506" t="s">
        <v>24241</v>
      </c>
      <c r="H7506" t="s">
        <v>16463</v>
      </c>
      <c r="I7506" t="s">
        <v>76</v>
      </c>
      <c r="J7506" t="s">
        <v>10908</v>
      </c>
    </row>
    <row r="7507" spans="1:10" x14ac:dyDescent="0.25">
      <c r="A7507" t="s">
        <v>24258</v>
      </c>
      <c r="B7507">
        <v>25.295999999999999</v>
      </c>
      <c r="C7507" t="s">
        <v>24259</v>
      </c>
      <c r="D7507" t="s">
        <v>131</v>
      </c>
      <c r="E7507" t="s">
        <v>24240</v>
      </c>
      <c r="F7507" t="s">
        <v>7672</v>
      </c>
      <c r="G7507" t="s">
        <v>24241</v>
      </c>
      <c r="H7507" t="s">
        <v>16463</v>
      </c>
      <c r="I7507" t="s">
        <v>9391</v>
      </c>
      <c r="J7507" t="s">
        <v>10918</v>
      </c>
    </row>
    <row r="7508" spans="1:10" x14ac:dyDescent="0.25">
      <c r="A7508" t="s">
        <v>24260</v>
      </c>
      <c r="B7508">
        <v>25.295999999999999</v>
      </c>
      <c r="C7508" t="s">
        <v>24261</v>
      </c>
      <c r="D7508" t="s">
        <v>352</v>
      </c>
      <c r="E7508" t="s">
        <v>24240</v>
      </c>
      <c r="F7508" t="s">
        <v>7672</v>
      </c>
      <c r="G7508" t="s">
        <v>24241</v>
      </c>
      <c r="H7508" t="s">
        <v>16463</v>
      </c>
      <c r="I7508" t="s">
        <v>9391</v>
      </c>
      <c r="J7508" t="s">
        <v>10926</v>
      </c>
    </row>
    <row r="7509" spans="1:10" x14ac:dyDescent="0.25">
      <c r="A7509" t="s">
        <v>24262</v>
      </c>
      <c r="B7509">
        <v>25.295999999999999</v>
      </c>
      <c r="C7509" t="s">
        <v>24263</v>
      </c>
      <c r="D7509" t="s">
        <v>964</v>
      </c>
      <c r="E7509" t="s">
        <v>24240</v>
      </c>
      <c r="F7509" t="s">
        <v>7672</v>
      </c>
      <c r="G7509" t="s">
        <v>24241</v>
      </c>
      <c r="H7509" t="s">
        <v>16463</v>
      </c>
      <c r="I7509" t="s">
        <v>14558</v>
      </c>
      <c r="J7509" t="s">
        <v>10926</v>
      </c>
    </row>
    <row r="7510" spans="1:10" x14ac:dyDescent="0.25">
      <c r="A7510" t="s">
        <v>24264</v>
      </c>
      <c r="B7510">
        <v>25.295999999999999</v>
      </c>
      <c r="C7510" t="s">
        <v>24265</v>
      </c>
      <c r="D7510" t="s">
        <v>131</v>
      </c>
      <c r="E7510" t="s">
        <v>24240</v>
      </c>
      <c r="F7510" t="s">
        <v>7672</v>
      </c>
      <c r="G7510" t="s">
        <v>24241</v>
      </c>
      <c r="H7510" t="s">
        <v>16463</v>
      </c>
      <c r="I7510" t="s">
        <v>14558</v>
      </c>
      <c r="J7510" t="s">
        <v>9061</v>
      </c>
    </row>
    <row r="7511" spans="1:10" x14ac:dyDescent="0.25">
      <c r="A7511" t="s">
        <v>24266</v>
      </c>
      <c r="B7511">
        <v>25.295999999999999</v>
      </c>
      <c r="C7511" t="s">
        <v>24267</v>
      </c>
      <c r="D7511" t="s">
        <v>95</v>
      </c>
      <c r="E7511" t="s">
        <v>24240</v>
      </c>
      <c r="F7511" t="s">
        <v>7672</v>
      </c>
      <c r="G7511" t="s">
        <v>24241</v>
      </c>
      <c r="H7511" t="s">
        <v>16463</v>
      </c>
      <c r="I7511" t="s">
        <v>9391</v>
      </c>
      <c r="J7511" t="s">
        <v>9061</v>
      </c>
    </row>
    <row r="7512" spans="1:10" x14ac:dyDescent="0.25">
      <c r="A7512" t="s">
        <v>24268</v>
      </c>
      <c r="B7512">
        <v>4.4800000000000004</v>
      </c>
      <c r="C7512" t="s">
        <v>24269</v>
      </c>
      <c r="D7512" t="s">
        <v>2253</v>
      </c>
      <c r="E7512" t="s">
        <v>24270</v>
      </c>
      <c r="F7512" t="s">
        <v>7672</v>
      </c>
      <c r="G7512" t="s">
        <v>24271</v>
      </c>
      <c r="H7512" t="s">
        <v>11496</v>
      </c>
      <c r="I7512" t="s">
        <v>24272</v>
      </c>
      <c r="J7512" t="s">
        <v>9423</v>
      </c>
    </row>
    <row r="7513" spans="1:10" x14ac:dyDescent="0.25">
      <c r="A7513" t="s">
        <v>24273</v>
      </c>
      <c r="B7513">
        <v>4.4800000000000004</v>
      </c>
      <c r="C7513" t="s">
        <v>24274</v>
      </c>
      <c r="D7513" t="s">
        <v>4327</v>
      </c>
      <c r="E7513" t="s">
        <v>24270</v>
      </c>
      <c r="F7513" t="s">
        <v>7672</v>
      </c>
      <c r="G7513" t="s">
        <v>24271</v>
      </c>
      <c r="H7513" t="s">
        <v>11496</v>
      </c>
      <c r="I7513" t="s">
        <v>24272</v>
      </c>
      <c r="J7513" t="s">
        <v>9426</v>
      </c>
    </row>
    <row r="7514" spans="1:10" x14ac:dyDescent="0.25">
      <c r="A7514" t="s">
        <v>24275</v>
      </c>
      <c r="B7514">
        <v>4.4800000000000004</v>
      </c>
      <c r="C7514" t="s">
        <v>24276</v>
      </c>
      <c r="D7514" t="s">
        <v>229</v>
      </c>
      <c r="E7514" t="s">
        <v>24270</v>
      </c>
      <c r="F7514" t="s">
        <v>7672</v>
      </c>
      <c r="G7514" t="s">
        <v>24271</v>
      </c>
      <c r="H7514" t="s">
        <v>11496</v>
      </c>
      <c r="I7514" t="s">
        <v>24272</v>
      </c>
      <c r="J7514" t="s">
        <v>10862</v>
      </c>
    </row>
    <row r="7515" spans="1:10" x14ac:dyDescent="0.25">
      <c r="A7515" t="s">
        <v>24277</v>
      </c>
      <c r="B7515">
        <v>10</v>
      </c>
      <c r="C7515" t="s">
        <v>24278</v>
      </c>
      <c r="D7515" t="s">
        <v>849</v>
      </c>
      <c r="E7515" t="s">
        <v>24279</v>
      </c>
      <c r="F7515" t="s">
        <v>7672</v>
      </c>
      <c r="G7515" t="s">
        <v>24280</v>
      </c>
      <c r="H7515" t="s">
        <v>8301</v>
      </c>
      <c r="I7515" t="s">
        <v>6928</v>
      </c>
      <c r="J7515" t="s">
        <v>7984</v>
      </c>
    </row>
    <row r="7516" spans="1:10" x14ac:dyDescent="0.25">
      <c r="A7516" t="s">
        <v>24281</v>
      </c>
      <c r="B7516">
        <v>19.2</v>
      </c>
      <c r="C7516" t="s">
        <v>24282</v>
      </c>
      <c r="D7516" t="s">
        <v>4584</v>
      </c>
      <c r="E7516" t="s">
        <v>6809</v>
      </c>
      <c r="F7516" t="s">
        <v>7672</v>
      </c>
      <c r="G7516" t="s">
        <v>24283</v>
      </c>
      <c r="H7516" t="s">
        <v>8087</v>
      </c>
      <c r="I7516" t="s">
        <v>8096</v>
      </c>
      <c r="J7516" t="s">
        <v>776</v>
      </c>
    </row>
    <row r="7517" spans="1:10" x14ac:dyDescent="0.25">
      <c r="A7517" t="s">
        <v>6806</v>
      </c>
      <c r="B7517">
        <v>19.2</v>
      </c>
      <c r="C7517" t="s">
        <v>6808</v>
      </c>
      <c r="D7517" t="s">
        <v>2587</v>
      </c>
      <c r="E7517" t="s">
        <v>6809</v>
      </c>
      <c r="F7517" t="s">
        <v>7672</v>
      </c>
      <c r="G7517" t="s">
        <v>24283</v>
      </c>
      <c r="H7517" t="s">
        <v>8087</v>
      </c>
      <c r="I7517" t="s">
        <v>4045</v>
      </c>
      <c r="J7517" t="s">
        <v>776</v>
      </c>
    </row>
    <row r="7518" spans="1:10" x14ac:dyDescent="0.25">
      <c r="A7518" t="s">
        <v>24284</v>
      </c>
      <c r="B7518">
        <v>19.2</v>
      </c>
      <c r="C7518" t="s">
        <v>24285</v>
      </c>
      <c r="D7518" t="s">
        <v>4141</v>
      </c>
      <c r="E7518" t="s">
        <v>6809</v>
      </c>
      <c r="F7518" t="s">
        <v>7672</v>
      </c>
      <c r="G7518" t="s">
        <v>24283</v>
      </c>
      <c r="H7518" t="s">
        <v>8087</v>
      </c>
      <c r="I7518" t="s">
        <v>61</v>
      </c>
      <c r="J7518" t="s">
        <v>776</v>
      </c>
    </row>
    <row r="7519" spans="1:10" x14ac:dyDescent="0.25">
      <c r="A7519" t="s">
        <v>24286</v>
      </c>
      <c r="B7519">
        <v>19.2</v>
      </c>
      <c r="C7519" t="s">
        <v>24287</v>
      </c>
      <c r="D7519" t="s">
        <v>1459</v>
      </c>
      <c r="E7519" t="s">
        <v>6809</v>
      </c>
      <c r="F7519" t="s">
        <v>7672</v>
      </c>
      <c r="G7519" t="s">
        <v>24283</v>
      </c>
      <c r="H7519" t="s">
        <v>8087</v>
      </c>
      <c r="I7519" t="s">
        <v>11715</v>
      </c>
      <c r="J7519" t="s">
        <v>776</v>
      </c>
    </row>
    <row r="7520" spans="1:10" x14ac:dyDescent="0.25">
      <c r="A7520" t="s">
        <v>24288</v>
      </c>
      <c r="B7520">
        <v>19.2</v>
      </c>
      <c r="C7520" t="s">
        <v>24289</v>
      </c>
      <c r="D7520" t="s">
        <v>3999</v>
      </c>
      <c r="E7520" t="s">
        <v>6809</v>
      </c>
      <c r="F7520" t="s">
        <v>7672</v>
      </c>
      <c r="G7520" t="s">
        <v>24283</v>
      </c>
      <c r="H7520" t="s">
        <v>8087</v>
      </c>
      <c r="I7520" t="s">
        <v>8088</v>
      </c>
      <c r="J7520" t="s">
        <v>776</v>
      </c>
    </row>
    <row r="7521" spans="1:10" x14ac:dyDescent="0.25">
      <c r="A7521" t="s">
        <v>24290</v>
      </c>
      <c r="B7521">
        <v>19.2</v>
      </c>
      <c r="C7521" t="s">
        <v>24291</v>
      </c>
      <c r="D7521" t="s">
        <v>4327</v>
      </c>
      <c r="E7521" t="s">
        <v>6809</v>
      </c>
      <c r="F7521" t="s">
        <v>7672</v>
      </c>
      <c r="G7521" t="s">
        <v>24283</v>
      </c>
      <c r="H7521" t="s">
        <v>8087</v>
      </c>
      <c r="I7521" t="s">
        <v>8088</v>
      </c>
      <c r="J7521" t="s">
        <v>124</v>
      </c>
    </row>
    <row r="7522" spans="1:10" x14ac:dyDescent="0.25">
      <c r="A7522" t="s">
        <v>24292</v>
      </c>
      <c r="B7522">
        <v>19.2</v>
      </c>
      <c r="C7522" t="s">
        <v>24293</v>
      </c>
      <c r="D7522" t="s">
        <v>4322</v>
      </c>
      <c r="E7522" t="s">
        <v>6809</v>
      </c>
      <c r="F7522" t="s">
        <v>7672</v>
      </c>
      <c r="G7522" t="s">
        <v>24283</v>
      </c>
      <c r="H7522" t="s">
        <v>8087</v>
      </c>
      <c r="I7522" t="s">
        <v>8096</v>
      </c>
      <c r="J7522" t="s">
        <v>124</v>
      </c>
    </row>
    <row r="7523" spans="1:10" x14ac:dyDescent="0.25">
      <c r="A7523" t="s">
        <v>24294</v>
      </c>
      <c r="B7523">
        <v>19.2</v>
      </c>
      <c r="C7523" t="s">
        <v>24295</v>
      </c>
      <c r="D7523" t="s">
        <v>725</v>
      </c>
      <c r="E7523" t="s">
        <v>6809</v>
      </c>
      <c r="F7523" t="s">
        <v>7672</v>
      </c>
      <c r="G7523" t="s">
        <v>24283</v>
      </c>
      <c r="H7523" t="s">
        <v>8087</v>
      </c>
      <c r="I7523" t="s">
        <v>4045</v>
      </c>
      <c r="J7523" t="s">
        <v>124</v>
      </c>
    </row>
    <row r="7524" spans="1:10" x14ac:dyDescent="0.25">
      <c r="A7524" t="s">
        <v>24296</v>
      </c>
      <c r="B7524">
        <v>19.2</v>
      </c>
      <c r="C7524" t="s">
        <v>24297</v>
      </c>
      <c r="D7524" t="s">
        <v>903</v>
      </c>
      <c r="E7524" t="s">
        <v>6809</v>
      </c>
      <c r="F7524" t="s">
        <v>7672</v>
      </c>
      <c r="G7524" t="s">
        <v>24283</v>
      </c>
      <c r="H7524" t="s">
        <v>8087</v>
      </c>
      <c r="I7524" t="s">
        <v>11715</v>
      </c>
      <c r="J7524" t="s">
        <v>124</v>
      </c>
    </row>
    <row r="7525" spans="1:10" x14ac:dyDescent="0.25">
      <c r="A7525" t="s">
        <v>24298</v>
      </c>
      <c r="B7525">
        <v>19.2</v>
      </c>
      <c r="C7525" t="s">
        <v>24299</v>
      </c>
      <c r="D7525" t="s">
        <v>865</v>
      </c>
      <c r="E7525" t="s">
        <v>6809</v>
      </c>
      <c r="F7525" t="s">
        <v>7672</v>
      </c>
      <c r="G7525" t="s">
        <v>24283</v>
      </c>
      <c r="H7525" t="s">
        <v>8087</v>
      </c>
      <c r="I7525" t="s">
        <v>61</v>
      </c>
      <c r="J7525" t="s">
        <v>124</v>
      </c>
    </row>
    <row r="7526" spans="1:10" x14ac:dyDescent="0.25">
      <c r="A7526" t="s">
        <v>6811</v>
      </c>
      <c r="B7526">
        <v>13.72</v>
      </c>
      <c r="C7526" t="s">
        <v>6813</v>
      </c>
      <c r="D7526" t="s">
        <v>53</v>
      </c>
      <c r="E7526" t="s">
        <v>6814</v>
      </c>
      <c r="F7526" t="s">
        <v>7672</v>
      </c>
      <c r="G7526" t="s">
        <v>24300</v>
      </c>
      <c r="H7526" t="s">
        <v>11335</v>
      </c>
      <c r="I7526" t="s">
        <v>6817</v>
      </c>
      <c r="J7526" t="s">
        <v>7942</v>
      </c>
    </row>
    <row r="7527" spans="1:10" x14ac:dyDescent="0.25">
      <c r="A7527" t="s">
        <v>24301</v>
      </c>
      <c r="B7527">
        <v>4.16</v>
      </c>
      <c r="C7527" t="s">
        <v>24302</v>
      </c>
      <c r="D7527" t="s">
        <v>330</v>
      </c>
      <c r="E7527" t="s">
        <v>24303</v>
      </c>
      <c r="F7527" t="s">
        <v>7672</v>
      </c>
      <c r="G7527" t="s">
        <v>24304</v>
      </c>
      <c r="H7527" t="s">
        <v>11496</v>
      </c>
      <c r="I7527" t="s">
        <v>24305</v>
      </c>
      <c r="J7527" t="s">
        <v>9426</v>
      </c>
    </row>
    <row r="7528" spans="1:10" x14ac:dyDescent="0.25">
      <c r="A7528" t="s">
        <v>24306</v>
      </c>
      <c r="B7528">
        <v>2.8559999999999999</v>
      </c>
      <c r="C7528" t="s">
        <v>24307</v>
      </c>
      <c r="D7528" t="s">
        <v>7885</v>
      </c>
      <c r="E7528" t="s">
        <v>24308</v>
      </c>
      <c r="F7528" t="s">
        <v>7672</v>
      </c>
      <c r="G7528" t="s">
        <v>24309</v>
      </c>
      <c r="H7528" t="s">
        <v>24310</v>
      </c>
      <c r="I7528" t="s">
        <v>497</v>
      </c>
      <c r="J7528" t="s">
        <v>9694</v>
      </c>
    </row>
    <row r="7529" spans="1:10" x14ac:dyDescent="0.25">
      <c r="A7529" t="s">
        <v>24311</v>
      </c>
      <c r="B7529">
        <v>5.4</v>
      </c>
      <c r="C7529" t="s">
        <v>24312</v>
      </c>
      <c r="D7529" t="s">
        <v>7993</v>
      </c>
      <c r="E7529" t="s">
        <v>24313</v>
      </c>
      <c r="F7529" t="s">
        <v>7672</v>
      </c>
      <c r="G7529" t="s">
        <v>24314</v>
      </c>
      <c r="H7529" t="s">
        <v>10298</v>
      </c>
      <c r="I7529" t="s">
        <v>11699</v>
      </c>
      <c r="J7529" t="s">
        <v>11696</v>
      </c>
    </row>
    <row r="7530" spans="1:10" x14ac:dyDescent="0.25">
      <c r="A7530" t="s">
        <v>24315</v>
      </c>
      <c r="B7530">
        <v>5.4</v>
      </c>
      <c r="C7530" t="s">
        <v>24316</v>
      </c>
      <c r="D7530" t="s">
        <v>4679</v>
      </c>
      <c r="E7530" t="s">
        <v>24313</v>
      </c>
      <c r="F7530" t="s">
        <v>7672</v>
      </c>
      <c r="G7530" t="s">
        <v>24314</v>
      </c>
      <c r="H7530" t="s">
        <v>10298</v>
      </c>
      <c r="I7530" t="s">
        <v>11699</v>
      </c>
      <c r="J7530" t="s">
        <v>11702</v>
      </c>
    </row>
    <row r="7531" spans="1:10" x14ac:dyDescent="0.25">
      <c r="A7531" t="s">
        <v>24317</v>
      </c>
      <c r="B7531">
        <v>5.4</v>
      </c>
      <c r="C7531" t="s">
        <v>24318</v>
      </c>
      <c r="D7531" t="s">
        <v>9325</v>
      </c>
      <c r="E7531" t="s">
        <v>24313</v>
      </c>
      <c r="F7531" t="s">
        <v>7672</v>
      </c>
      <c r="G7531" t="s">
        <v>24314</v>
      </c>
      <c r="H7531" t="s">
        <v>10298</v>
      </c>
      <c r="I7531" t="s">
        <v>11699</v>
      </c>
      <c r="J7531" t="s">
        <v>11710</v>
      </c>
    </row>
    <row r="7532" spans="1:10" x14ac:dyDescent="0.25">
      <c r="A7532" t="s">
        <v>24319</v>
      </c>
      <c r="B7532">
        <v>6.8000000000000007</v>
      </c>
      <c r="C7532" t="s">
        <v>24320</v>
      </c>
      <c r="D7532" t="s">
        <v>88</v>
      </c>
      <c r="E7532" t="s">
        <v>24321</v>
      </c>
      <c r="F7532" t="s">
        <v>7672</v>
      </c>
      <c r="G7532" t="s">
        <v>18755</v>
      </c>
      <c r="H7532" t="s">
        <v>11496</v>
      </c>
      <c r="I7532" t="s">
        <v>145</v>
      </c>
      <c r="J7532" t="s">
        <v>100</v>
      </c>
    </row>
    <row r="7533" spans="1:10" x14ac:dyDescent="0.25">
      <c r="A7533" t="s">
        <v>24322</v>
      </c>
      <c r="B7533">
        <v>6.8000000000000007</v>
      </c>
      <c r="C7533" t="s">
        <v>24323</v>
      </c>
      <c r="D7533" t="s">
        <v>311</v>
      </c>
      <c r="E7533" t="s">
        <v>24321</v>
      </c>
      <c r="F7533" t="s">
        <v>7672</v>
      </c>
      <c r="G7533" t="s">
        <v>18755</v>
      </c>
      <c r="H7533" t="s">
        <v>11496</v>
      </c>
      <c r="I7533" t="s">
        <v>145</v>
      </c>
      <c r="J7533" t="s">
        <v>106</v>
      </c>
    </row>
    <row r="7534" spans="1:10" x14ac:dyDescent="0.25">
      <c r="A7534" t="s">
        <v>24324</v>
      </c>
      <c r="B7534">
        <v>6.8000000000000007</v>
      </c>
      <c r="C7534" t="s">
        <v>24325</v>
      </c>
      <c r="D7534" t="s">
        <v>396</v>
      </c>
      <c r="E7534" t="s">
        <v>24321</v>
      </c>
      <c r="F7534" t="s">
        <v>7672</v>
      </c>
      <c r="G7534" t="s">
        <v>18755</v>
      </c>
      <c r="H7534" t="s">
        <v>11496</v>
      </c>
      <c r="I7534" t="s">
        <v>145</v>
      </c>
      <c r="J7534" t="s">
        <v>131</v>
      </c>
    </row>
    <row r="7535" spans="1:10" x14ac:dyDescent="0.25">
      <c r="A7535" t="s">
        <v>24326</v>
      </c>
      <c r="B7535">
        <v>6.8000000000000007</v>
      </c>
      <c r="C7535" t="s">
        <v>24327</v>
      </c>
      <c r="D7535" t="s">
        <v>316</v>
      </c>
      <c r="E7535" t="s">
        <v>24321</v>
      </c>
      <c r="F7535" t="s">
        <v>7672</v>
      </c>
      <c r="G7535" t="s">
        <v>18755</v>
      </c>
      <c r="H7535" t="s">
        <v>11496</v>
      </c>
      <c r="I7535" t="s">
        <v>145</v>
      </c>
      <c r="J7535" t="s">
        <v>269</v>
      </c>
    </row>
    <row r="7536" spans="1:10" x14ac:dyDescent="0.25">
      <c r="A7536" t="s">
        <v>24328</v>
      </c>
      <c r="B7536">
        <v>6.8000000000000007</v>
      </c>
      <c r="C7536" t="s">
        <v>24329</v>
      </c>
      <c r="D7536" t="s">
        <v>659</v>
      </c>
      <c r="E7536" t="s">
        <v>24321</v>
      </c>
      <c r="F7536" t="s">
        <v>7672</v>
      </c>
      <c r="G7536" t="s">
        <v>18755</v>
      </c>
      <c r="H7536" t="s">
        <v>11496</v>
      </c>
      <c r="I7536" t="s">
        <v>145</v>
      </c>
      <c r="J7536" t="s">
        <v>8789</v>
      </c>
    </row>
    <row r="7537" spans="1:10" x14ac:dyDescent="0.25">
      <c r="A7537" t="s">
        <v>24330</v>
      </c>
      <c r="B7537">
        <v>6.8000000000000007</v>
      </c>
      <c r="C7537" t="s">
        <v>24331</v>
      </c>
      <c r="D7537" t="s">
        <v>4322</v>
      </c>
      <c r="E7537" t="s">
        <v>24321</v>
      </c>
      <c r="F7537" t="s">
        <v>7672</v>
      </c>
      <c r="G7537" t="s">
        <v>18755</v>
      </c>
      <c r="H7537" t="s">
        <v>11496</v>
      </c>
      <c r="I7537" t="s">
        <v>145</v>
      </c>
      <c r="J7537" t="s">
        <v>255</v>
      </c>
    </row>
    <row r="7538" spans="1:10" x14ac:dyDescent="0.25">
      <c r="A7538" t="s">
        <v>24332</v>
      </c>
      <c r="B7538">
        <v>6.8000000000000007</v>
      </c>
      <c r="C7538" t="s">
        <v>24333</v>
      </c>
      <c r="D7538" t="s">
        <v>124</v>
      </c>
      <c r="E7538" t="s">
        <v>24321</v>
      </c>
      <c r="F7538" t="s">
        <v>7672</v>
      </c>
      <c r="G7538" t="s">
        <v>18755</v>
      </c>
      <c r="H7538" t="s">
        <v>11496</v>
      </c>
      <c r="I7538" t="s">
        <v>145</v>
      </c>
      <c r="J7538" t="s">
        <v>277</v>
      </c>
    </row>
    <row r="7539" spans="1:10" x14ac:dyDescent="0.25">
      <c r="A7539" t="s">
        <v>24334</v>
      </c>
      <c r="B7539">
        <v>6.8000000000000007</v>
      </c>
      <c r="C7539" t="s">
        <v>24335</v>
      </c>
      <c r="D7539" t="s">
        <v>981</v>
      </c>
      <c r="E7539" t="s">
        <v>24321</v>
      </c>
      <c r="F7539" t="s">
        <v>7672</v>
      </c>
      <c r="G7539" t="s">
        <v>18755</v>
      </c>
      <c r="H7539" t="s">
        <v>11496</v>
      </c>
      <c r="I7539" t="s">
        <v>145</v>
      </c>
      <c r="J7539" t="s">
        <v>164</v>
      </c>
    </row>
    <row r="7540" spans="1:10" x14ac:dyDescent="0.25">
      <c r="A7540" t="s">
        <v>6818</v>
      </c>
      <c r="B7540">
        <v>15.4</v>
      </c>
      <c r="C7540" t="s">
        <v>6820</v>
      </c>
      <c r="D7540" t="s">
        <v>60</v>
      </c>
      <c r="E7540" t="s">
        <v>6821</v>
      </c>
      <c r="F7540" t="s">
        <v>7672</v>
      </c>
      <c r="G7540" t="s">
        <v>24336</v>
      </c>
      <c r="H7540" t="s">
        <v>7954</v>
      </c>
      <c r="I7540" t="s">
        <v>1490</v>
      </c>
      <c r="J7540" t="s">
        <v>7942</v>
      </c>
    </row>
    <row r="7541" spans="1:10" x14ac:dyDescent="0.25">
      <c r="A7541" t="s">
        <v>6823</v>
      </c>
      <c r="B7541">
        <v>15.4</v>
      </c>
      <c r="C7541" t="s">
        <v>6825</v>
      </c>
      <c r="D7541" t="s">
        <v>53</v>
      </c>
      <c r="E7541" t="s">
        <v>6821</v>
      </c>
      <c r="F7541" t="s">
        <v>7672</v>
      </c>
      <c r="G7541" t="s">
        <v>24336</v>
      </c>
      <c r="H7541" t="s">
        <v>7954</v>
      </c>
      <c r="I7541" t="s">
        <v>1490</v>
      </c>
      <c r="J7541" t="s">
        <v>7981</v>
      </c>
    </row>
    <row r="7542" spans="1:10" x14ac:dyDescent="0.25">
      <c r="A7542" t="s">
        <v>24337</v>
      </c>
      <c r="B7542">
        <v>14.295999999999999</v>
      </c>
      <c r="C7542" t="s">
        <v>24338</v>
      </c>
      <c r="D7542" t="s">
        <v>290</v>
      </c>
      <c r="E7542" t="s">
        <v>24339</v>
      </c>
      <c r="F7542" t="s">
        <v>7672</v>
      </c>
      <c r="G7542" t="s">
        <v>24340</v>
      </c>
      <c r="H7542" t="s">
        <v>18003</v>
      </c>
      <c r="I7542" t="s">
        <v>24341</v>
      </c>
      <c r="J7542" t="s">
        <v>436</v>
      </c>
    </row>
    <row r="7543" spans="1:10" x14ac:dyDescent="0.25">
      <c r="A7543" t="s">
        <v>24342</v>
      </c>
      <c r="B7543">
        <v>14.295999999999999</v>
      </c>
      <c r="C7543" t="s">
        <v>24343</v>
      </c>
      <c r="D7543" t="s">
        <v>698</v>
      </c>
      <c r="E7543" t="s">
        <v>24339</v>
      </c>
      <c r="F7543" t="s">
        <v>7672</v>
      </c>
      <c r="G7543" t="s">
        <v>24340</v>
      </c>
      <c r="H7543" t="s">
        <v>18003</v>
      </c>
      <c r="I7543" t="s">
        <v>24341</v>
      </c>
      <c r="J7543" t="s">
        <v>53</v>
      </c>
    </row>
    <row r="7544" spans="1:10" x14ac:dyDescent="0.25">
      <c r="A7544" t="s">
        <v>24344</v>
      </c>
      <c r="B7544">
        <v>14.295999999999999</v>
      </c>
      <c r="C7544" t="s">
        <v>24345</v>
      </c>
      <c r="D7544" t="s">
        <v>3577</v>
      </c>
      <c r="E7544" t="s">
        <v>24339</v>
      </c>
      <c r="F7544" t="s">
        <v>7672</v>
      </c>
      <c r="G7544" t="s">
        <v>24340</v>
      </c>
      <c r="H7544" t="s">
        <v>18003</v>
      </c>
      <c r="I7544" t="s">
        <v>24341</v>
      </c>
      <c r="J7544" t="s">
        <v>60</v>
      </c>
    </row>
    <row r="7545" spans="1:10" x14ac:dyDescent="0.25">
      <c r="A7545" t="s">
        <v>24346</v>
      </c>
      <c r="B7545">
        <v>14.295999999999999</v>
      </c>
      <c r="C7545" t="s">
        <v>24347</v>
      </c>
      <c r="D7545" t="s">
        <v>450</v>
      </c>
      <c r="E7545" t="s">
        <v>24339</v>
      </c>
      <c r="F7545" t="s">
        <v>7672</v>
      </c>
      <c r="G7545" t="s">
        <v>24340</v>
      </c>
      <c r="H7545" t="s">
        <v>18003</v>
      </c>
      <c r="I7545" t="s">
        <v>24341</v>
      </c>
      <c r="J7545" t="s">
        <v>342</v>
      </c>
    </row>
    <row r="7546" spans="1:10" x14ac:dyDescent="0.25">
      <c r="A7546" t="s">
        <v>24348</v>
      </c>
      <c r="B7546">
        <v>14.295999999999999</v>
      </c>
      <c r="C7546" t="s">
        <v>24349</v>
      </c>
      <c r="D7546" t="s">
        <v>975</v>
      </c>
      <c r="E7546" t="s">
        <v>24339</v>
      </c>
      <c r="F7546" t="s">
        <v>7672</v>
      </c>
      <c r="G7546" t="s">
        <v>24340</v>
      </c>
      <c r="H7546" t="s">
        <v>18003</v>
      </c>
      <c r="I7546" t="s">
        <v>24341</v>
      </c>
      <c r="J7546" t="s">
        <v>100</v>
      </c>
    </row>
    <row r="7547" spans="1:10" x14ac:dyDescent="0.25">
      <c r="A7547" t="s">
        <v>24350</v>
      </c>
      <c r="B7547">
        <v>14.295999999999999</v>
      </c>
      <c r="C7547" t="s">
        <v>24351</v>
      </c>
      <c r="D7547" t="s">
        <v>3153</v>
      </c>
      <c r="E7547" t="s">
        <v>24339</v>
      </c>
      <c r="F7547" t="s">
        <v>7672</v>
      </c>
      <c r="G7547" t="s">
        <v>24340</v>
      </c>
      <c r="H7547" t="s">
        <v>18003</v>
      </c>
      <c r="I7547" t="s">
        <v>24341</v>
      </c>
      <c r="J7547" t="s">
        <v>106</v>
      </c>
    </row>
    <row r="7548" spans="1:10" x14ac:dyDescent="0.25">
      <c r="A7548" t="s">
        <v>24352</v>
      </c>
      <c r="B7548">
        <v>1.8160000000000001</v>
      </c>
      <c r="C7548" t="s">
        <v>24353</v>
      </c>
      <c r="D7548" t="s">
        <v>24354</v>
      </c>
      <c r="E7548" t="s">
        <v>24355</v>
      </c>
      <c r="F7548" t="s">
        <v>7672</v>
      </c>
      <c r="G7548" t="s">
        <v>24356</v>
      </c>
      <c r="H7548" t="s">
        <v>24357</v>
      </c>
      <c r="I7548" t="s">
        <v>497</v>
      </c>
      <c r="J7548" t="s">
        <v>9694</v>
      </c>
    </row>
    <row r="7549" spans="1:10" x14ac:dyDescent="0.25">
      <c r="A7549" t="s">
        <v>24358</v>
      </c>
      <c r="B7549">
        <v>7.2</v>
      </c>
      <c r="C7549" t="s">
        <v>24359</v>
      </c>
      <c r="D7549" t="s">
        <v>2022</v>
      </c>
      <c r="E7549" t="s">
        <v>24360</v>
      </c>
      <c r="F7549" t="s">
        <v>7672</v>
      </c>
      <c r="G7549" t="s">
        <v>24361</v>
      </c>
      <c r="H7549" t="s">
        <v>7974</v>
      </c>
      <c r="I7549" t="s">
        <v>1490</v>
      </c>
      <c r="J7549" t="s">
        <v>9237</v>
      </c>
    </row>
    <row r="7550" spans="1:10" x14ac:dyDescent="0.25">
      <c r="A7550" t="s">
        <v>24362</v>
      </c>
      <c r="B7550">
        <v>7.2</v>
      </c>
      <c r="C7550" t="s">
        <v>24363</v>
      </c>
      <c r="D7550" t="s">
        <v>306</v>
      </c>
      <c r="E7550" t="s">
        <v>24360</v>
      </c>
      <c r="F7550" t="s">
        <v>7672</v>
      </c>
      <c r="G7550" t="s">
        <v>24361</v>
      </c>
      <c r="H7550" t="s">
        <v>7974</v>
      </c>
      <c r="I7550" t="s">
        <v>76</v>
      </c>
      <c r="J7550" t="s">
        <v>9237</v>
      </c>
    </row>
    <row r="7551" spans="1:10" x14ac:dyDescent="0.25">
      <c r="A7551" t="s">
        <v>24364</v>
      </c>
      <c r="B7551">
        <v>7.2</v>
      </c>
      <c r="C7551" t="s">
        <v>24365</v>
      </c>
      <c r="D7551" t="s">
        <v>654</v>
      </c>
      <c r="E7551" t="s">
        <v>24360</v>
      </c>
      <c r="F7551" t="s">
        <v>7672</v>
      </c>
      <c r="G7551" t="s">
        <v>24361</v>
      </c>
      <c r="H7551" t="s">
        <v>7974</v>
      </c>
      <c r="I7551" t="s">
        <v>76</v>
      </c>
      <c r="J7551" t="s">
        <v>8427</v>
      </c>
    </row>
    <row r="7552" spans="1:10" x14ac:dyDescent="0.25">
      <c r="A7552" t="s">
        <v>24366</v>
      </c>
      <c r="B7552">
        <v>7.2</v>
      </c>
      <c r="C7552" t="s">
        <v>24367</v>
      </c>
      <c r="D7552" t="s">
        <v>2036</v>
      </c>
      <c r="E7552" t="s">
        <v>24360</v>
      </c>
      <c r="F7552" t="s">
        <v>7672</v>
      </c>
      <c r="G7552" t="s">
        <v>24361</v>
      </c>
      <c r="H7552" t="s">
        <v>7974</v>
      </c>
      <c r="I7552" t="s">
        <v>1490</v>
      </c>
      <c r="J7552" t="s">
        <v>8427</v>
      </c>
    </row>
    <row r="7553" spans="1:10" x14ac:dyDescent="0.25">
      <c r="A7553" t="s">
        <v>24368</v>
      </c>
      <c r="B7553">
        <v>7.2</v>
      </c>
      <c r="C7553" t="s">
        <v>24369</v>
      </c>
      <c r="D7553" t="s">
        <v>613</v>
      </c>
      <c r="E7553" t="s">
        <v>24360</v>
      </c>
      <c r="F7553" t="s">
        <v>7672</v>
      </c>
      <c r="G7553" t="s">
        <v>24361</v>
      </c>
      <c r="H7553" t="s">
        <v>7974</v>
      </c>
      <c r="I7553" t="s">
        <v>24370</v>
      </c>
      <c r="J7553" t="s">
        <v>8427</v>
      </c>
    </row>
    <row r="7554" spans="1:10" x14ac:dyDescent="0.25">
      <c r="A7554" t="s">
        <v>24371</v>
      </c>
      <c r="B7554">
        <v>7.2</v>
      </c>
      <c r="C7554" t="s">
        <v>24372</v>
      </c>
      <c r="D7554" t="s">
        <v>352</v>
      </c>
      <c r="E7554" t="s">
        <v>24360</v>
      </c>
      <c r="F7554" t="s">
        <v>7672</v>
      </c>
      <c r="G7554" t="s">
        <v>24361</v>
      </c>
      <c r="H7554" t="s">
        <v>7974</v>
      </c>
      <c r="I7554" t="s">
        <v>76</v>
      </c>
      <c r="J7554" t="s">
        <v>8439</v>
      </c>
    </row>
    <row r="7555" spans="1:10" x14ac:dyDescent="0.25">
      <c r="A7555" t="s">
        <v>24373</v>
      </c>
      <c r="B7555">
        <v>7.2</v>
      </c>
      <c r="C7555" t="s">
        <v>24374</v>
      </c>
      <c r="D7555" t="s">
        <v>1236</v>
      </c>
      <c r="E7555" t="s">
        <v>24360</v>
      </c>
      <c r="F7555" t="s">
        <v>7672</v>
      </c>
      <c r="G7555" t="s">
        <v>24361</v>
      </c>
      <c r="H7555" t="s">
        <v>7974</v>
      </c>
      <c r="I7555" t="s">
        <v>24370</v>
      </c>
      <c r="J7555" t="s">
        <v>8439</v>
      </c>
    </row>
    <row r="7556" spans="1:10" x14ac:dyDescent="0.25">
      <c r="A7556" t="s">
        <v>24375</v>
      </c>
      <c r="B7556">
        <v>7.2</v>
      </c>
      <c r="C7556" t="s">
        <v>24376</v>
      </c>
      <c r="D7556" t="s">
        <v>3110</v>
      </c>
      <c r="E7556" t="s">
        <v>24360</v>
      </c>
      <c r="F7556" t="s">
        <v>7672</v>
      </c>
      <c r="G7556" t="s">
        <v>24361</v>
      </c>
      <c r="H7556" t="s">
        <v>7974</v>
      </c>
      <c r="I7556" t="s">
        <v>1490</v>
      </c>
      <c r="J7556" t="s">
        <v>8439</v>
      </c>
    </row>
    <row r="7557" spans="1:10" x14ac:dyDescent="0.25">
      <c r="A7557" t="s">
        <v>24377</v>
      </c>
      <c r="B7557">
        <v>7.2</v>
      </c>
      <c r="C7557" t="s">
        <v>24378</v>
      </c>
      <c r="D7557" t="s">
        <v>53</v>
      </c>
      <c r="E7557" t="s">
        <v>24360</v>
      </c>
      <c r="F7557" t="s">
        <v>7672</v>
      </c>
      <c r="G7557" t="s">
        <v>24361</v>
      </c>
      <c r="H7557" t="s">
        <v>7974</v>
      </c>
      <c r="I7557" t="s">
        <v>7399</v>
      </c>
      <c r="J7557" t="s">
        <v>8451</v>
      </c>
    </row>
    <row r="7558" spans="1:10" x14ac:dyDescent="0.25">
      <c r="A7558" t="s">
        <v>24379</v>
      </c>
      <c r="B7558">
        <v>7.2</v>
      </c>
      <c r="C7558" t="s">
        <v>24380</v>
      </c>
      <c r="D7558" t="s">
        <v>229</v>
      </c>
      <c r="E7558" t="s">
        <v>24360</v>
      </c>
      <c r="F7558" t="s">
        <v>7672</v>
      </c>
      <c r="G7558" t="s">
        <v>24361</v>
      </c>
      <c r="H7558" t="s">
        <v>7974</v>
      </c>
      <c r="I7558" t="s">
        <v>76</v>
      </c>
      <c r="J7558" t="s">
        <v>9998</v>
      </c>
    </row>
    <row r="7559" spans="1:10" x14ac:dyDescent="0.25">
      <c r="A7559" t="s">
        <v>24381</v>
      </c>
      <c r="B7559">
        <v>7.2</v>
      </c>
      <c r="C7559" t="s">
        <v>24382</v>
      </c>
      <c r="D7559" t="s">
        <v>100</v>
      </c>
      <c r="E7559" t="s">
        <v>24360</v>
      </c>
      <c r="F7559" t="s">
        <v>7672</v>
      </c>
      <c r="G7559" t="s">
        <v>24361</v>
      </c>
      <c r="H7559" t="s">
        <v>7974</v>
      </c>
      <c r="I7559" t="s">
        <v>1490</v>
      </c>
      <c r="J7559" t="s">
        <v>9998</v>
      </c>
    </row>
    <row r="7560" spans="1:10" x14ac:dyDescent="0.25">
      <c r="A7560" t="s">
        <v>24383</v>
      </c>
      <c r="B7560">
        <v>7.2</v>
      </c>
      <c r="C7560" t="s">
        <v>24384</v>
      </c>
      <c r="D7560" t="s">
        <v>113</v>
      </c>
      <c r="E7560" t="s">
        <v>24360</v>
      </c>
      <c r="F7560" t="s">
        <v>7672</v>
      </c>
      <c r="G7560" t="s">
        <v>24361</v>
      </c>
      <c r="H7560" t="s">
        <v>7974</v>
      </c>
      <c r="I7560" t="s">
        <v>24370</v>
      </c>
      <c r="J7560" t="s">
        <v>9998</v>
      </c>
    </row>
    <row r="7561" spans="1:10" x14ac:dyDescent="0.25">
      <c r="A7561" t="s">
        <v>6827</v>
      </c>
      <c r="B7561">
        <v>8.4</v>
      </c>
      <c r="C7561" t="s">
        <v>6829</v>
      </c>
      <c r="D7561" t="s">
        <v>849</v>
      </c>
      <c r="E7561" t="s">
        <v>6830</v>
      </c>
      <c r="F7561" t="s">
        <v>7672</v>
      </c>
      <c r="G7561" t="s">
        <v>24385</v>
      </c>
      <c r="H7561" t="s">
        <v>8078</v>
      </c>
      <c r="I7561" t="s">
        <v>24386</v>
      </c>
      <c r="J7561" t="s">
        <v>8439</v>
      </c>
    </row>
    <row r="7562" spans="1:10" x14ac:dyDescent="0.25">
      <c r="A7562" t="s">
        <v>6834</v>
      </c>
      <c r="B7562">
        <v>8.4</v>
      </c>
      <c r="C7562" t="s">
        <v>6836</v>
      </c>
      <c r="D7562" t="s">
        <v>301</v>
      </c>
      <c r="E7562" t="s">
        <v>6830</v>
      </c>
      <c r="F7562" t="s">
        <v>7672</v>
      </c>
      <c r="G7562" t="s">
        <v>24385</v>
      </c>
      <c r="H7562" t="s">
        <v>8078</v>
      </c>
      <c r="I7562" t="s">
        <v>24386</v>
      </c>
      <c r="J7562" t="s">
        <v>8451</v>
      </c>
    </row>
    <row r="7563" spans="1:10" x14ac:dyDescent="0.25">
      <c r="A7563" t="s">
        <v>24387</v>
      </c>
      <c r="B7563">
        <v>5.7600000000000007</v>
      </c>
      <c r="C7563" t="s">
        <v>24388</v>
      </c>
      <c r="D7563" t="s">
        <v>835</v>
      </c>
      <c r="E7563" t="s">
        <v>24389</v>
      </c>
      <c r="F7563" t="s">
        <v>7672</v>
      </c>
      <c r="G7563" t="s">
        <v>24390</v>
      </c>
      <c r="H7563" t="s">
        <v>7674</v>
      </c>
      <c r="I7563" t="s">
        <v>4659</v>
      </c>
      <c r="J7563" t="s">
        <v>24391</v>
      </c>
    </row>
    <row r="7564" spans="1:10" x14ac:dyDescent="0.25">
      <c r="A7564" t="s">
        <v>24392</v>
      </c>
      <c r="B7564">
        <v>5.7600000000000007</v>
      </c>
      <c r="C7564" t="s">
        <v>24393</v>
      </c>
      <c r="D7564" t="s">
        <v>959</v>
      </c>
      <c r="E7564" t="s">
        <v>24389</v>
      </c>
      <c r="F7564" t="s">
        <v>7672</v>
      </c>
      <c r="G7564" t="s">
        <v>24390</v>
      </c>
      <c r="H7564" t="s">
        <v>7674</v>
      </c>
      <c r="I7564" t="s">
        <v>4821</v>
      </c>
      <c r="J7564" t="s">
        <v>24391</v>
      </c>
    </row>
    <row r="7565" spans="1:10" x14ac:dyDescent="0.25">
      <c r="A7565" t="s">
        <v>24394</v>
      </c>
      <c r="B7565">
        <v>5.7600000000000007</v>
      </c>
      <c r="C7565" t="s">
        <v>24395</v>
      </c>
      <c r="D7565" t="s">
        <v>282</v>
      </c>
      <c r="E7565" t="s">
        <v>24389</v>
      </c>
      <c r="F7565" t="s">
        <v>7672</v>
      </c>
      <c r="G7565" t="s">
        <v>24390</v>
      </c>
      <c r="H7565" t="s">
        <v>7674</v>
      </c>
      <c r="I7565" t="s">
        <v>24396</v>
      </c>
      <c r="J7565" t="s">
        <v>24391</v>
      </c>
    </row>
    <row r="7566" spans="1:10" x14ac:dyDescent="0.25">
      <c r="A7566" t="s">
        <v>24397</v>
      </c>
      <c r="B7566">
        <v>5.7600000000000007</v>
      </c>
      <c r="C7566" t="s">
        <v>24398</v>
      </c>
      <c r="D7566" t="s">
        <v>8618</v>
      </c>
      <c r="E7566" t="s">
        <v>24389</v>
      </c>
      <c r="F7566" t="s">
        <v>7672</v>
      </c>
      <c r="G7566" t="s">
        <v>24390</v>
      </c>
      <c r="H7566" t="s">
        <v>7674</v>
      </c>
      <c r="I7566" t="s">
        <v>4659</v>
      </c>
      <c r="J7566" t="s">
        <v>24399</v>
      </c>
    </row>
    <row r="7567" spans="1:10" x14ac:dyDescent="0.25">
      <c r="A7567" t="s">
        <v>24400</v>
      </c>
      <c r="B7567">
        <v>5.7600000000000007</v>
      </c>
      <c r="C7567" t="s">
        <v>24401</v>
      </c>
      <c r="D7567" t="s">
        <v>151</v>
      </c>
      <c r="E7567" t="s">
        <v>24389</v>
      </c>
      <c r="F7567" t="s">
        <v>7672</v>
      </c>
      <c r="G7567" t="s">
        <v>24390</v>
      </c>
      <c r="H7567" t="s">
        <v>7674</v>
      </c>
      <c r="I7567" t="s">
        <v>4821</v>
      </c>
      <c r="J7567" t="s">
        <v>24399</v>
      </c>
    </row>
    <row r="7568" spans="1:10" x14ac:dyDescent="0.25">
      <c r="A7568" t="s">
        <v>24402</v>
      </c>
      <c r="B7568">
        <v>5.7600000000000007</v>
      </c>
      <c r="C7568" t="s">
        <v>24403</v>
      </c>
      <c r="D7568" t="s">
        <v>698</v>
      </c>
      <c r="E7568" t="s">
        <v>24389</v>
      </c>
      <c r="F7568" t="s">
        <v>7672</v>
      </c>
      <c r="G7568" t="s">
        <v>24390</v>
      </c>
      <c r="H7568" t="s">
        <v>7674</v>
      </c>
      <c r="I7568" t="s">
        <v>4821</v>
      </c>
      <c r="J7568" t="s">
        <v>24404</v>
      </c>
    </row>
    <row r="7569" spans="1:10" x14ac:dyDescent="0.25">
      <c r="A7569" t="s">
        <v>24405</v>
      </c>
      <c r="B7569">
        <v>5.7600000000000007</v>
      </c>
      <c r="C7569" t="s">
        <v>24406</v>
      </c>
      <c r="D7569" t="s">
        <v>8786</v>
      </c>
      <c r="E7569" t="s">
        <v>24389</v>
      </c>
      <c r="F7569" t="s">
        <v>7672</v>
      </c>
      <c r="G7569" t="s">
        <v>24390</v>
      </c>
      <c r="H7569" t="s">
        <v>7674</v>
      </c>
      <c r="I7569" t="s">
        <v>4821</v>
      </c>
      <c r="J7569" t="s">
        <v>24407</v>
      </c>
    </row>
    <row r="7570" spans="1:10" x14ac:dyDescent="0.25">
      <c r="A7570" t="s">
        <v>24408</v>
      </c>
      <c r="B7570">
        <v>5.7600000000000007</v>
      </c>
      <c r="C7570" t="s">
        <v>24409</v>
      </c>
      <c r="D7570" t="s">
        <v>870</v>
      </c>
      <c r="E7570" t="s">
        <v>24389</v>
      </c>
      <c r="F7570" t="s">
        <v>7672</v>
      </c>
      <c r="G7570" t="s">
        <v>24390</v>
      </c>
      <c r="H7570" t="s">
        <v>7674</v>
      </c>
      <c r="I7570" t="s">
        <v>4659</v>
      </c>
      <c r="J7570" t="s">
        <v>24407</v>
      </c>
    </row>
    <row r="7571" spans="1:10" x14ac:dyDescent="0.25">
      <c r="A7571" t="s">
        <v>24410</v>
      </c>
      <c r="B7571">
        <v>5.7600000000000007</v>
      </c>
      <c r="C7571" t="s">
        <v>24411</v>
      </c>
      <c r="D7571" t="s">
        <v>996</v>
      </c>
      <c r="E7571" t="s">
        <v>24389</v>
      </c>
      <c r="F7571" t="s">
        <v>7672</v>
      </c>
      <c r="G7571" t="s">
        <v>24390</v>
      </c>
      <c r="H7571" t="s">
        <v>7674</v>
      </c>
      <c r="I7571" t="s">
        <v>4659</v>
      </c>
      <c r="J7571" t="s">
        <v>24412</v>
      </c>
    </row>
    <row r="7572" spans="1:10" x14ac:dyDescent="0.25">
      <c r="A7572" t="s">
        <v>24413</v>
      </c>
      <c r="B7572">
        <v>5.7600000000000007</v>
      </c>
      <c r="C7572" t="s">
        <v>24414</v>
      </c>
      <c r="D7572" t="s">
        <v>2253</v>
      </c>
      <c r="E7572" t="s">
        <v>24389</v>
      </c>
      <c r="F7572" t="s">
        <v>7672</v>
      </c>
      <c r="G7572" t="s">
        <v>24390</v>
      </c>
      <c r="H7572" t="s">
        <v>7674</v>
      </c>
      <c r="I7572" t="s">
        <v>4821</v>
      </c>
      <c r="J7572" t="s">
        <v>24412</v>
      </c>
    </row>
    <row r="7573" spans="1:10" x14ac:dyDescent="0.25">
      <c r="A7573" t="s">
        <v>24415</v>
      </c>
      <c r="B7573">
        <v>13.2</v>
      </c>
      <c r="C7573" t="s">
        <v>24416</v>
      </c>
      <c r="D7573" t="s">
        <v>3604</v>
      </c>
      <c r="E7573" t="s">
        <v>24417</v>
      </c>
      <c r="F7573" t="s">
        <v>7672</v>
      </c>
      <c r="G7573" t="s">
        <v>24418</v>
      </c>
      <c r="H7573" t="s">
        <v>11622</v>
      </c>
      <c r="I7573" t="s">
        <v>8357</v>
      </c>
      <c r="J7573" t="s">
        <v>7675</v>
      </c>
    </row>
    <row r="7574" spans="1:10" x14ac:dyDescent="0.25">
      <c r="A7574" t="s">
        <v>24419</v>
      </c>
      <c r="B7574">
        <v>13.2</v>
      </c>
      <c r="C7574" t="s">
        <v>24420</v>
      </c>
      <c r="D7574" t="s">
        <v>4327</v>
      </c>
      <c r="E7574" t="s">
        <v>24417</v>
      </c>
      <c r="F7574" t="s">
        <v>7672</v>
      </c>
      <c r="G7574" t="s">
        <v>24418</v>
      </c>
      <c r="H7574" t="s">
        <v>11622</v>
      </c>
      <c r="I7574" t="s">
        <v>11630</v>
      </c>
      <c r="J7574" t="s">
        <v>7675</v>
      </c>
    </row>
    <row r="7575" spans="1:10" x14ac:dyDescent="0.25">
      <c r="A7575" t="s">
        <v>24421</v>
      </c>
      <c r="B7575">
        <v>13.2</v>
      </c>
      <c r="C7575" t="s">
        <v>24422</v>
      </c>
      <c r="D7575" t="s">
        <v>6843</v>
      </c>
      <c r="E7575" t="s">
        <v>24417</v>
      </c>
      <c r="F7575" t="s">
        <v>7672</v>
      </c>
      <c r="G7575" t="s">
        <v>24418</v>
      </c>
      <c r="H7575" t="s">
        <v>11622</v>
      </c>
      <c r="I7575" t="s">
        <v>8357</v>
      </c>
      <c r="J7575" t="s">
        <v>7686</v>
      </c>
    </row>
    <row r="7576" spans="1:10" x14ac:dyDescent="0.25">
      <c r="A7576" t="s">
        <v>24423</v>
      </c>
      <c r="B7576">
        <v>13.2</v>
      </c>
      <c r="C7576" t="s">
        <v>24424</v>
      </c>
      <c r="D7576" t="s">
        <v>3613</v>
      </c>
      <c r="E7576" t="s">
        <v>24417</v>
      </c>
      <c r="F7576" t="s">
        <v>7672</v>
      </c>
      <c r="G7576" t="s">
        <v>24418</v>
      </c>
      <c r="H7576" t="s">
        <v>11622</v>
      </c>
      <c r="I7576" t="s">
        <v>11630</v>
      </c>
      <c r="J7576" t="s">
        <v>7686</v>
      </c>
    </row>
    <row r="7577" spans="1:10" x14ac:dyDescent="0.25">
      <c r="A7577" t="s">
        <v>24425</v>
      </c>
      <c r="B7577">
        <v>13.2</v>
      </c>
      <c r="C7577" t="s">
        <v>24426</v>
      </c>
      <c r="D7577" t="s">
        <v>2850</v>
      </c>
      <c r="E7577" t="s">
        <v>24417</v>
      </c>
      <c r="F7577" t="s">
        <v>7672</v>
      </c>
      <c r="G7577" t="s">
        <v>24418</v>
      </c>
      <c r="H7577" t="s">
        <v>11622</v>
      </c>
      <c r="I7577" t="s">
        <v>11630</v>
      </c>
      <c r="J7577" t="s">
        <v>7703</v>
      </c>
    </row>
    <row r="7578" spans="1:10" x14ac:dyDescent="0.25">
      <c r="A7578" t="s">
        <v>24427</v>
      </c>
      <c r="B7578">
        <v>13.2</v>
      </c>
      <c r="C7578" t="s">
        <v>24428</v>
      </c>
      <c r="D7578" t="s">
        <v>16605</v>
      </c>
      <c r="E7578" t="s">
        <v>24417</v>
      </c>
      <c r="F7578" t="s">
        <v>7672</v>
      </c>
      <c r="G7578" t="s">
        <v>24418</v>
      </c>
      <c r="H7578" t="s">
        <v>11622</v>
      </c>
      <c r="I7578" t="s">
        <v>8357</v>
      </c>
      <c r="J7578" t="s">
        <v>7703</v>
      </c>
    </row>
    <row r="7579" spans="1:10" x14ac:dyDescent="0.25">
      <c r="A7579" t="s">
        <v>24429</v>
      </c>
      <c r="B7579">
        <v>13.2</v>
      </c>
      <c r="C7579" t="s">
        <v>24430</v>
      </c>
      <c r="D7579" t="s">
        <v>15940</v>
      </c>
      <c r="E7579" t="s">
        <v>24417</v>
      </c>
      <c r="F7579" t="s">
        <v>7672</v>
      </c>
      <c r="G7579" t="s">
        <v>24418</v>
      </c>
      <c r="H7579" t="s">
        <v>11622</v>
      </c>
      <c r="I7579" t="s">
        <v>11630</v>
      </c>
      <c r="J7579" t="s">
        <v>7713</v>
      </c>
    </row>
    <row r="7580" spans="1:10" x14ac:dyDescent="0.25">
      <c r="A7580" t="s">
        <v>24431</v>
      </c>
      <c r="B7580">
        <v>13.2</v>
      </c>
      <c r="C7580" t="s">
        <v>24432</v>
      </c>
      <c r="D7580" t="s">
        <v>2317</v>
      </c>
      <c r="E7580" t="s">
        <v>24417</v>
      </c>
      <c r="F7580" t="s">
        <v>7672</v>
      </c>
      <c r="G7580" t="s">
        <v>24418</v>
      </c>
      <c r="H7580" t="s">
        <v>11622</v>
      </c>
      <c r="I7580" t="s">
        <v>8357</v>
      </c>
      <c r="J7580" t="s">
        <v>7713</v>
      </c>
    </row>
    <row r="7581" spans="1:10" x14ac:dyDescent="0.25">
      <c r="A7581" t="s">
        <v>24433</v>
      </c>
      <c r="B7581">
        <v>13.2</v>
      </c>
      <c r="C7581" t="s">
        <v>24434</v>
      </c>
      <c r="D7581" t="s">
        <v>8450</v>
      </c>
      <c r="E7581" t="s">
        <v>24417</v>
      </c>
      <c r="F7581" t="s">
        <v>7672</v>
      </c>
      <c r="G7581" t="s">
        <v>24418</v>
      </c>
      <c r="H7581" t="s">
        <v>11622</v>
      </c>
      <c r="I7581" t="s">
        <v>11630</v>
      </c>
      <c r="J7581" t="s">
        <v>7719</v>
      </c>
    </row>
    <row r="7582" spans="1:10" x14ac:dyDescent="0.25">
      <c r="A7582" t="s">
        <v>24435</v>
      </c>
      <c r="B7582">
        <v>13.2</v>
      </c>
      <c r="C7582" t="s">
        <v>24436</v>
      </c>
      <c r="D7582" t="s">
        <v>791</v>
      </c>
      <c r="E7582" t="s">
        <v>24417</v>
      </c>
      <c r="F7582" t="s">
        <v>7672</v>
      </c>
      <c r="G7582" t="s">
        <v>24418</v>
      </c>
      <c r="H7582" t="s">
        <v>11622</v>
      </c>
      <c r="I7582" t="s">
        <v>8357</v>
      </c>
      <c r="J7582" t="s">
        <v>7719</v>
      </c>
    </row>
    <row r="7583" spans="1:10" x14ac:dyDescent="0.25">
      <c r="A7583" t="s">
        <v>24437</v>
      </c>
      <c r="B7583">
        <v>11.992000000000001</v>
      </c>
      <c r="C7583" t="s">
        <v>24438</v>
      </c>
      <c r="D7583" t="s">
        <v>250</v>
      </c>
      <c r="E7583" t="s">
        <v>24439</v>
      </c>
      <c r="F7583" t="s">
        <v>7672</v>
      </c>
      <c r="G7583" t="s">
        <v>24440</v>
      </c>
      <c r="H7583" t="s">
        <v>10298</v>
      </c>
      <c r="I7583" t="s">
        <v>24441</v>
      </c>
      <c r="J7583" t="s">
        <v>7942</v>
      </c>
    </row>
    <row r="7584" spans="1:10" x14ac:dyDescent="0.25">
      <c r="A7584" t="s">
        <v>24442</v>
      </c>
      <c r="B7584">
        <v>11.992000000000001</v>
      </c>
      <c r="C7584" t="s">
        <v>24443</v>
      </c>
      <c r="D7584" t="s">
        <v>296</v>
      </c>
      <c r="E7584" t="s">
        <v>24439</v>
      </c>
      <c r="F7584" t="s">
        <v>7672</v>
      </c>
      <c r="G7584" t="s">
        <v>24440</v>
      </c>
      <c r="H7584" t="s">
        <v>10298</v>
      </c>
      <c r="I7584" t="s">
        <v>24441</v>
      </c>
      <c r="J7584" t="s">
        <v>7981</v>
      </c>
    </row>
    <row r="7585" spans="1:10" x14ac:dyDescent="0.25">
      <c r="A7585" t="s">
        <v>24444</v>
      </c>
      <c r="B7585">
        <v>11.992000000000001</v>
      </c>
      <c r="C7585" t="s">
        <v>24445</v>
      </c>
      <c r="D7585" t="s">
        <v>4924</v>
      </c>
      <c r="E7585" t="s">
        <v>24439</v>
      </c>
      <c r="F7585" t="s">
        <v>7672</v>
      </c>
      <c r="G7585" t="s">
        <v>24440</v>
      </c>
      <c r="H7585" t="s">
        <v>10298</v>
      </c>
      <c r="I7585" t="s">
        <v>24441</v>
      </c>
      <c r="J7585" t="s">
        <v>7984</v>
      </c>
    </row>
    <row r="7586" spans="1:10" x14ac:dyDescent="0.25">
      <c r="A7586" t="s">
        <v>24446</v>
      </c>
      <c r="B7586">
        <v>11.992000000000001</v>
      </c>
      <c r="C7586" t="s">
        <v>24447</v>
      </c>
      <c r="D7586" t="s">
        <v>633</v>
      </c>
      <c r="E7586" t="s">
        <v>24439</v>
      </c>
      <c r="F7586" t="s">
        <v>7672</v>
      </c>
      <c r="G7586" t="s">
        <v>24440</v>
      </c>
      <c r="H7586" t="s">
        <v>10298</v>
      </c>
      <c r="I7586" t="s">
        <v>24441</v>
      </c>
      <c r="J7586" t="s">
        <v>7987</v>
      </c>
    </row>
    <row r="7587" spans="1:10" x14ac:dyDescent="0.25">
      <c r="A7587" t="s">
        <v>24448</v>
      </c>
      <c r="B7587">
        <v>11.992000000000001</v>
      </c>
      <c r="C7587" t="s">
        <v>24449</v>
      </c>
      <c r="D7587" t="s">
        <v>705</v>
      </c>
      <c r="E7587" t="s">
        <v>24439</v>
      </c>
      <c r="F7587" t="s">
        <v>7672</v>
      </c>
      <c r="G7587" t="s">
        <v>24440</v>
      </c>
      <c r="H7587" t="s">
        <v>10298</v>
      </c>
      <c r="I7587" t="s">
        <v>24441</v>
      </c>
      <c r="J7587" t="s">
        <v>8001</v>
      </c>
    </row>
    <row r="7588" spans="1:10" x14ac:dyDescent="0.25">
      <c r="A7588" t="s">
        <v>24450</v>
      </c>
      <c r="B7588">
        <v>11.992000000000001</v>
      </c>
      <c r="C7588" t="s">
        <v>24451</v>
      </c>
      <c r="D7588" t="s">
        <v>849</v>
      </c>
      <c r="E7588" t="s">
        <v>24452</v>
      </c>
      <c r="F7588" t="s">
        <v>7672</v>
      </c>
      <c r="G7588" t="s">
        <v>24453</v>
      </c>
      <c r="H7588" t="s">
        <v>24454</v>
      </c>
      <c r="I7588" t="s">
        <v>23992</v>
      </c>
      <c r="J7588" t="s">
        <v>60</v>
      </c>
    </row>
    <row r="7589" spans="1:10" x14ac:dyDescent="0.25">
      <c r="A7589" t="s">
        <v>24455</v>
      </c>
      <c r="B7589">
        <v>11.992000000000001</v>
      </c>
      <c r="C7589" t="s">
        <v>24456</v>
      </c>
      <c r="D7589" t="s">
        <v>5592</v>
      </c>
      <c r="E7589" t="s">
        <v>24452</v>
      </c>
      <c r="F7589" t="s">
        <v>7672</v>
      </c>
      <c r="G7589" t="s">
        <v>24453</v>
      </c>
      <c r="H7589" t="s">
        <v>24454</v>
      </c>
      <c r="I7589" t="s">
        <v>23992</v>
      </c>
      <c r="J7589" t="s">
        <v>342</v>
      </c>
    </row>
    <row r="7590" spans="1:10" x14ac:dyDescent="0.25">
      <c r="A7590" t="s">
        <v>24457</v>
      </c>
      <c r="B7590">
        <v>11.992000000000001</v>
      </c>
      <c r="C7590" t="s">
        <v>24458</v>
      </c>
      <c r="D7590" t="s">
        <v>3060</v>
      </c>
      <c r="E7590" t="s">
        <v>24452</v>
      </c>
      <c r="F7590" t="s">
        <v>7672</v>
      </c>
      <c r="G7590" t="s">
        <v>24453</v>
      </c>
      <c r="H7590" t="s">
        <v>24454</v>
      </c>
      <c r="I7590" t="s">
        <v>23992</v>
      </c>
      <c r="J7590" t="s">
        <v>100</v>
      </c>
    </row>
    <row r="7591" spans="1:10" x14ac:dyDescent="0.25">
      <c r="A7591" t="s">
        <v>24459</v>
      </c>
      <c r="B7591">
        <v>11.992000000000001</v>
      </c>
      <c r="C7591" t="s">
        <v>24460</v>
      </c>
      <c r="D7591" t="s">
        <v>2804</v>
      </c>
      <c r="E7591" t="s">
        <v>24452</v>
      </c>
      <c r="F7591" t="s">
        <v>7672</v>
      </c>
      <c r="G7591" t="s">
        <v>24453</v>
      </c>
      <c r="H7591" t="s">
        <v>24454</v>
      </c>
      <c r="I7591" t="s">
        <v>23992</v>
      </c>
      <c r="J7591" t="s">
        <v>106</v>
      </c>
    </row>
    <row r="7592" spans="1:10" x14ac:dyDescent="0.25">
      <c r="A7592" t="s">
        <v>24461</v>
      </c>
      <c r="B7592">
        <v>10.4</v>
      </c>
      <c r="C7592" t="s">
        <v>24462</v>
      </c>
      <c r="D7592" t="s">
        <v>2099</v>
      </c>
      <c r="E7592" t="s">
        <v>24463</v>
      </c>
      <c r="F7592" t="s">
        <v>7672</v>
      </c>
      <c r="G7592" t="s">
        <v>24464</v>
      </c>
      <c r="H7592" t="s">
        <v>10368</v>
      </c>
      <c r="I7592" t="s">
        <v>1490</v>
      </c>
      <c r="J7592" t="s">
        <v>11767</v>
      </c>
    </row>
    <row r="7593" spans="1:10" x14ac:dyDescent="0.25">
      <c r="A7593" t="s">
        <v>24465</v>
      </c>
      <c r="B7593">
        <v>10.4</v>
      </c>
      <c r="C7593" t="s">
        <v>24466</v>
      </c>
      <c r="D7593" t="s">
        <v>255</v>
      </c>
      <c r="E7593" t="s">
        <v>24463</v>
      </c>
      <c r="F7593" t="s">
        <v>7672</v>
      </c>
      <c r="G7593" t="s">
        <v>24464</v>
      </c>
      <c r="H7593" t="s">
        <v>10368</v>
      </c>
      <c r="I7593" t="s">
        <v>1490</v>
      </c>
      <c r="J7593" t="s">
        <v>11582</v>
      </c>
    </row>
    <row r="7594" spans="1:10" x14ac:dyDescent="0.25">
      <c r="A7594" t="s">
        <v>24467</v>
      </c>
      <c r="B7594">
        <v>10.4</v>
      </c>
      <c r="C7594" t="s">
        <v>24468</v>
      </c>
      <c r="D7594" t="s">
        <v>2149</v>
      </c>
      <c r="E7594" t="s">
        <v>24463</v>
      </c>
      <c r="F7594" t="s">
        <v>7672</v>
      </c>
      <c r="G7594" t="s">
        <v>24464</v>
      </c>
      <c r="H7594" t="s">
        <v>10368</v>
      </c>
      <c r="I7594" t="s">
        <v>1490</v>
      </c>
      <c r="J7594" t="s">
        <v>11585</v>
      </c>
    </row>
    <row r="7595" spans="1:10" x14ac:dyDescent="0.25">
      <c r="A7595" t="s">
        <v>24469</v>
      </c>
      <c r="B7595">
        <v>10.4</v>
      </c>
      <c r="C7595" t="s">
        <v>24470</v>
      </c>
      <c r="D7595" t="s">
        <v>14332</v>
      </c>
      <c r="E7595" t="s">
        <v>24463</v>
      </c>
      <c r="F7595" t="s">
        <v>7672</v>
      </c>
      <c r="G7595" t="s">
        <v>24464</v>
      </c>
      <c r="H7595" t="s">
        <v>10368</v>
      </c>
      <c r="I7595" t="s">
        <v>1490</v>
      </c>
      <c r="J7595" t="s">
        <v>10369</v>
      </c>
    </row>
    <row r="7596" spans="1:10" x14ac:dyDescent="0.25">
      <c r="A7596" t="s">
        <v>24471</v>
      </c>
      <c r="B7596">
        <v>10.4</v>
      </c>
      <c r="C7596" t="s">
        <v>24472</v>
      </c>
      <c r="D7596" t="s">
        <v>24473</v>
      </c>
      <c r="E7596" t="s">
        <v>24463</v>
      </c>
      <c r="F7596" t="s">
        <v>7672</v>
      </c>
      <c r="G7596" t="s">
        <v>24464</v>
      </c>
      <c r="H7596" t="s">
        <v>10368</v>
      </c>
      <c r="I7596" t="s">
        <v>1490</v>
      </c>
      <c r="J7596" t="s">
        <v>11590</v>
      </c>
    </row>
    <row r="7597" spans="1:10" x14ac:dyDescent="0.25">
      <c r="A7597" t="s">
        <v>24474</v>
      </c>
      <c r="B7597">
        <v>10.4</v>
      </c>
      <c r="C7597" t="s">
        <v>24475</v>
      </c>
      <c r="D7597" t="s">
        <v>9842</v>
      </c>
      <c r="E7597" t="s">
        <v>24463</v>
      </c>
      <c r="F7597" t="s">
        <v>7672</v>
      </c>
      <c r="G7597" t="s">
        <v>24464</v>
      </c>
      <c r="H7597" t="s">
        <v>10368</v>
      </c>
      <c r="I7597" t="s">
        <v>1490</v>
      </c>
      <c r="J7597" t="s">
        <v>11593</v>
      </c>
    </row>
    <row r="7598" spans="1:10" x14ac:dyDescent="0.25">
      <c r="A7598" t="s">
        <v>24476</v>
      </c>
      <c r="B7598">
        <v>13.32</v>
      </c>
      <c r="C7598" t="s">
        <v>24477</v>
      </c>
      <c r="D7598" t="s">
        <v>436</v>
      </c>
      <c r="E7598" t="s">
        <v>24478</v>
      </c>
      <c r="F7598" t="s">
        <v>7672</v>
      </c>
      <c r="G7598" t="s">
        <v>24479</v>
      </c>
      <c r="H7598" t="s">
        <v>11496</v>
      </c>
      <c r="I7598" t="s">
        <v>5202</v>
      </c>
      <c r="J7598" t="s">
        <v>100</v>
      </c>
    </row>
    <row r="7599" spans="1:10" x14ac:dyDescent="0.25">
      <c r="A7599" t="s">
        <v>24480</v>
      </c>
      <c r="B7599">
        <v>13.32</v>
      </c>
      <c r="C7599" t="s">
        <v>24481</v>
      </c>
      <c r="D7599" t="s">
        <v>40</v>
      </c>
      <c r="E7599" t="s">
        <v>24478</v>
      </c>
      <c r="F7599" t="s">
        <v>7672</v>
      </c>
      <c r="G7599" t="s">
        <v>24479</v>
      </c>
      <c r="H7599" t="s">
        <v>11496</v>
      </c>
      <c r="I7599" t="s">
        <v>5202</v>
      </c>
      <c r="J7599" t="s">
        <v>20051</v>
      </c>
    </row>
    <row r="7600" spans="1:10" x14ac:dyDescent="0.25">
      <c r="A7600" t="s">
        <v>24482</v>
      </c>
      <c r="B7600">
        <v>13.32</v>
      </c>
      <c r="C7600" t="s">
        <v>24483</v>
      </c>
      <c r="D7600" t="s">
        <v>576</v>
      </c>
      <c r="E7600" t="s">
        <v>24478</v>
      </c>
      <c r="F7600" t="s">
        <v>7672</v>
      </c>
      <c r="G7600" t="s">
        <v>24479</v>
      </c>
      <c r="H7600" t="s">
        <v>11496</v>
      </c>
      <c r="I7600" t="s">
        <v>5202</v>
      </c>
      <c r="J7600" t="s">
        <v>8531</v>
      </c>
    </row>
    <row r="7601" spans="1:10" x14ac:dyDescent="0.25">
      <c r="A7601" t="s">
        <v>24484</v>
      </c>
      <c r="B7601">
        <v>3.8959999999999999</v>
      </c>
      <c r="C7601" t="s">
        <v>24485</v>
      </c>
      <c r="D7601" t="s">
        <v>2596</v>
      </c>
      <c r="E7601" t="s">
        <v>24486</v>
      </c>
      <c r="F7601" t="s">
        <v>7672</v>
      </c>
      <c r="G7601" t="s">
        <v>24487</v>
      </c>
      <c r="H7601" t="s">
        <v>7674</v>
      </c>
      <c r="I7601" t="s">
        <v>17529</v>
      </c>
      <c r="J7601" t="s">
        <v>7981</v>
      </c>
    </row>
    <row r="7602" spans="1:10" x14ac:dyDescent="0.25">
      <c r="A7602" t="s">
        <v>24488</v>
      </c>
      <c r="B7602">
        <v>3.8959999999999999</v>
      </c>
      <c r="C7602" t="s">
        <v>24489</v>
      </c>
      <c r="D7602" t="s">
        <v>8762</v>
      </c>
      <c r="E7602" t="s">
        <v>24486</v>
      </c>
      <c r="F7602" t="s">
        <v>7672</v>
      </c>
      <c r="G7602" t="s">
        <v>24487</v>
      </c>
      <c r="H7602" t="s">
        <v>7674</v>
      </c>
      <c r="I7602" t="s">
        <v>10194</v>
      </c>
      <c r="J7602" t="s">
        <v>7981</v>
      </c>
    </row>
    <row r="7603" spans="1:10" x14ac:dyDescent="0.25">
      <c r="A7603" t="s">
        <v>24490</v>
      </c>
      <c r="B7603">
        <v>3.8959999999999999</v>
      </c>
      <c r="C7603" t="s">
        <v>24491</v>
      </c>
      <c r="D7603" t="s">
        <v>8123</v>
      </c>
      <c r="E7603" t="s">
        <v>24486</v>
      </c>
      <c r="F7603" t="s">
        <v>7672</v>
      </c>
      <c r="G7603" t="s">
        <v>24487</v>
      </c>
      <c r="H7603" t="s">
        <v>7674</v>
      </c>
      <c r="I7603" t="s">
        <v>17526</v>
      </c>
      <c r="J7603" t="s">
        <v>7981</v>
      </c>
    </row>
    <row r="7604" spans="1:10" x14ac:dyDescent="0.25">
      <c r="A7604" t="s">
        <v>24492</v>
      </c>
      <c r="B7604">
        <v>3.8959999999999999</v>
      </c>
      <c r="C7604" t="s">
        <v>24493</v>
      </c>
      <c r="D7604" t="s">
        <v>13346</v>
      </c>
      <c r="E7604" t="s">
        <v>24486</v>
      </c>
      <c r="F7604" t="s">
        <v>7672</v>
      </c>
      <c r="G7604" t="s">
        <v>24487</v>
      </c>
      <c r="H7604" t="s">
        <v>7674</v>
      </c>
      <c r="I7604" t="s">
        <v>17534</v>
      </c>
      <c r="J7604" t="s">
        <v>7981</v>
      </c>
    </row>
    <row r="7605" spans="1:10" x14ac:dyDescent="0.25">
      <c r="A7605" t="s">
        <v>24494</v>
      </c>
      <c r="B7605">
        <v>3.8959999999999999</v>
      </c>
      <c r="C7605" t="s">
        <v>24495</v>
      </c>
      <c r="D7605" t="s">
        <v>20631</v>
      </c>
      <c r="E7605" t="s">
        <v>24486</v>
      </c>
      <c r="F7605" t="s">
        <v>7672</v>
      </c>
      <c r="G7605" t="s">
        <v>24487</v>
      </c>
      <c r="H7605" t="s">
        <v>7674</v>
      </c>
      <c r="I7605" t="s">
        <v>17529</v>
      </c>
      <c r="J7605" t="s">
        <v>7984</v>
      </c>
    </row>
    <row r="7606" spans="1:10" x14ac:dyDescent="0.25">
      <c r="A7606" t="s">
        <v>24496</v>
      </c>
      <c r="B7606">
        <v>3.8959999999999999</v>
      </c>
      <c r="C7606" t="s">
        <v>24497</v>
      </c>
      <c r="D7606" t="s">
        <v>8631</v>
      </c>
      <c r="E7606" t="s">
        <v>24486</v>
      </c>
      <c r="F7606" t="s">
        <v>7672</v>
      </c>
      <c r="G7606" t="s">
        <v>24487</v>
      </c>
      <c r="H7606" t="s">
        <v>7674</v>
      </c>
      <c r="I7606" t="s">
        <v>10194</v>
      </c>
      <c r="J7606" t="s">
        <v>7984</v>
      </c>
    </row>
    <row r="7607" spans="1:10" x14ac:dyDescent="0.25">
      <c r="A7607" t="s">
        <v>24498</v>
      </c>
      <c r="B7607">
        <v>3.8959999999999999</v>
      </c>
      <c r="C7607" t="s">
        <v>24499</v>
      </c>
      <c r="D7607" t="s">
        <v>4679</v>
      </c>
      <c r="E7607" t="s">
        <v>24486</v>
      </c>
      <c r="F7607" t="s">
        <v>7672</v>
      </c>
      <c r="G7607" t="s">
        <v>24487</v>
      </c>
      <c r="H7607" t="s">
        <v>7674</v>
      </c>
      <c r="I7607" t="s">
        <v>17526</v>
      </c>
      <c r="J7607" t="s">
        <v>7984</v>
      </c>
    </row>
    <row r="7608" spans="1:10" x14ac:dyDescent="0.25">
      <c r="A7608" t="s">
        <v>24500</v>
      </c>
      <c r="B7608">
        <v>3.8959999999999999</v>
      </c>
      <c r="C7608" t="s">
        <v>24501</v>
      </c>
      <c r="D7608" t="s">
        <v>18645</v>
      </c>
      <c r="E7608" t="s">
        <v>24486</v>
      </c>
      <c r="F7608" t="s">
        <v>7672</v>
      </c>
      <c r="G7608" t="s">
        <v>24487</v>
      </c>
      <c r="H7608" t="s">
        <v>7674</v>
      </c>
      <c r="I7608" t="s">
        <v>17534</v>
      </c>
      <c r="J7608" t="s">
        <v>7984</v>
      </c>
    </row>
    <row r="7609" spans="1:10" x14ac:dyDescent="0.25">
      <c r="A7609" t="s">
        <v>24502</v>
      </c>
      <c r="B7609">
        <v>3.8959999999999999</v>
      </c>
      <c r="C7609" t="s">
        <v>24503</v>
      </c>
      <c r="D7609" t="s">
        <v>3239</v>
      </c>
      <c r="E7609" t="s">
        <v>24486</v>
      </c>
      <c r="F7609" t="s">
        <v>7672</v>
      </c>
      <c r="G7609" t="s">
        <v>24487</v>
      </c>
      <c r="H7609" t="s">
        <v>7674</v>
      </c>
      <c r="I7609" t="s">
        <v>17534</v>
      </c>
      <c r="J7609" t="s">
        <v>7987</v>
      </c>
    </row>
    <row r="7610" spans="1:10" x14ac:dyDescent="0.25">
      <c r="A7610" t="s">
        <v>24504</v>
      </c>
      <c r="B7610">
        <v>3.8959999999999999</v>
      </c>
      <c r="C7610" t="s">
        <v>24505</v>
      </c>
      <c r="D7610" t="s">
        <v>2845</v>
      </c>
      <c r="E7610" t="s">
        <v>24486</v>
      </c>
      <c r="F7610" t="s">
        <v>7672</v>
      </c>
      <c r="G7610" t="s">
        <v>24487</v>
      </c>
      <c r="H7610" t="s">
        <v>7674</v>
      </c>
      <c r="I7610" t="s">
        <v>10194</v>
      </c>
      <c r="J7610" t="s">
        <v>7987</v>
      </c>
    </row>
    <row r="7611" spans="1:10" x14ac:dyDescent="0.25">
      <c r="A7611" t="s">
        <v>24506</v>
      </c>
      <c r="B7611">
        <v>3.8959999999999999</v>
      </c>
      <c r="C7611" t="s">
        <v>24507</v>
      </c>
      <c r="D7611" t="s">
        <v>12338</v>
      </c>
      <c r="E7611" t="s">
        <v>24486</v>
      </c>
      <c r="F7611" t="s">
        <v>7672</v>
      </c>
      <c r="G7611" t="s">
        <v>24487</v>
      </c>
      <c r="H7611" t="s">
        <v>7674</v>
      </c>
      <c r="I7611" t="s">
        <v>17529</v>
      </c>
      <c r="J7611" t="s">
        <v>7987</v>
      </c>
    </row>
    <row r="7612" spans="1:10" x14ac:dyDescent="0.25">
      <c r="A7612" t="s">
        <v>24508</v>
      </c>
      <c r="B7612">
        <v>3.8959999999999999</v>
      </c>
      <c r="C7612" t="s">
        <v>24509</v>
      </c>
      <c r="D7612" t="s">
        <v>3224</v>
      </c>
      <c r="E7612" t="s">
        <v>24486</v>
      </c>
      <c r="F7612" t="s">
        <v>7672</v>
      </c>
      <c r="G7612" t="s">
        <v>24487</v>
      </c>
      <c r="H7612" t="s">
        <v>7674</v>
      </c>
      <c r="I7612" t="s">
        <v>17526</v>
      </c>
      <c r="J7612" t="s">
        <v>7987</v>
      </c>
    </row>
    <row r="7613" spans="1:10" x14ac:dyDescent="0.25">
      <c r="A7613" t="s">
        <v>24510</v>
      </c>
      <c r="B7613">
        <v>3.6320000000000001</v>
      </c>
      <c r="C7613" t="s">
        <v>24511</v>
      </c>
      <c r="D7613" t="s">
        <v>301</v>
      </c>
      <c r="E7613" t="s">
        <v>24512</v>
      </c>
      <c r="F7613" t="s">
        <v>7672</v>
      </c>
      <c r="G7613" t="s">
        <v>24513</v>
      </c>
      <c r="H7613" t="s">
        <v>8515</v>
      </c>
      <c r="I7613" t="s">
        <v>20437</v>
      </c>
      <c r="J7613" t="s">
        <v>100</v>
      </c>
    </row>
    <row r="7614" spans="1:10" x14ac:dyDescent="0.25">
      <c r="A7614" t="s">
        <v>24514</v>
      </c>
      <c r="B7614">
        <v>3.6320000000000001</v>
      </c>
      <c r="C7614" t="s">
        <v>24515</v>
      </c>
      <c r="D7614" t="s">
        <v>1644</v>
      </c>
      <c r="E7614" t="s">
        <v>24512</v>
      </c>
      <c r="F7614" t="s">
        <v>7672</v>
      </c>
      <c r="G7614" t="s">
        <v>24513</v>
      </c>
      <c r="H7614" t="s">
        <v>8515</v>
      </c>
      <c r="I7614" t="s">
        <v>20437</v>
      </c>
      <c r="J7614" t="s">
        <v>106</v>
      </c>
    </row>
    <row r="7615" spans="1:10" x14ac:dyDescent="0.25">
      <c r="A7615" t="s">
        <v>24516</v>
      </c>
      <c r="B7615">
        <v>3.6320000000000001</v>
      </c>
      <c r="C7615" t="s">
        <v>24517</v>
      </c>
      <c r="D7615" t="s">
        <v>118</v>
      </c>
      <c r="E7615" t="s">
        <v>24512</v>
      </c>
      <c r="F7615" t="s">
        <v>7672</v>
      </c>
      <c r="G7615" t="s">
        <v>24513</v>
      </c>
      <c r="H7615" t="s">
        <v>8515</v>
      </c>
      <c r="I7615" t="s">
        <v>20437</v>
      </c>
      <c r="J7615" t="s">
        <v>8531</v>
      </c>
    </row>
    <row r="7616" spans="1:10" x14ac:dyDescent="0.25">
      <c r="A7616" t="s">
        <v>6838</v>
      </c>
      <c r="B7616">
        <v>6.5920000000000014</v>
      </c>
      <c r="C7616" t="s">
        <v>6840</v>
      </c>
      <c r="D7616" t="s">
        <v>6843</v>
      </c>
      <c r="E7616" t="s">
        <v>6841</v>
      </c>
      <c r="F7616" t="s">
        <v>7672</v>
      </c>
      <c r="G7616" t="s">
        <v>24518</v>
      </c>
      <c r="H7616" t="s">
        <v>24519</v>
      </c>
      <c r="I7616" t="s">
        <v>497</v>
      </c>
      <c r="J7616" t="s">
        <v>9694</v>
      </c>
    </row>
    <row r="7617" spans="1:10" x14ac:dyDescent="0.25">
      <c r="A7617" t="s">
        <v>24520</v>
      </c>
      <c r="B7617">
        <v>5.5920000000000014</v>
      </c>
      <c r="C7617" t="s">
        <v>24521</v>
      </c>
      <c r="D7617" t="s">
        <v>131</v>
      </c>
      <c r="E7617" t="s">
        <v>24522</v>
      </c>
      <c r="F7617" t="s">
        <v>7672</v>
      </c>
      <c r="G7617" t="s">
        <v>24523</v>
      </c>
      <c r="H7617" t="s">
        <v>7674</v>
      </c>
      <c r="I7617" t="s">
        <v>24524</v>
      </c>
      <c r="J7617" t="s">
        <v>9107</v>
      </c>
    </row>
    <row r="7618" spans="1:10" x14ac:dyDescent="0.25">
      <c r="A7618" t="s">
        <v>24525</v>
      </c>
      <c r="B7618">
        <v>5.5920000000000014</v>
      </c>
      <c r="C7618" t="s">
        <v>24526</v>
      </c>
      <c r="D7618" t="s">
        <v>588</v>
      </c>
      <c r="E7618" t="s">
        <v>24522</v>
      </c>
      <c r="F7618" t="s">
        <v>7672</v>
      </c>
      <c r="G7618" t="s">
        <v>24523</v>
      </c>
      <c r="H7618" t="s">
        <v>7674</v>
      </c>
      <c r="I7618" t="s">
        <v>24527</v>
      </c>
      <c r="J7618" t="s">
        <v>9107</v>
      </c>
    </row>
    <row r="7619" spans="1:10" x14ac:dyDescent="0.25">
      <c r="A7619" t="s">
        <v>24528</v>
      </c>
      <c r="B7619">
        <v>5.5920000000000014</v>
      </c>
      <c r="C7619" t="s">
        <v>24529</v>
      </c>
      <c r="D7619" t="s">
        <v>396</v>
      </c>
      <c r="E7619" t="s">
        <v>24522</v>
      </c>
      <c r="F7619" t="s">
        <v>7672</v>
      </c>
      <c r="G7619" t="s">
        <v>24523</v>
      </c>
      <c r="H7619" t="s">
        <v>7674</v>
      </c>
      <c r="I7619" t="s">
        <v>24527</v>
      </c>
      <c r="J7619" t="s">
        <v>9110</v>
      </c>
    </row>
    <row r="7620" spans="1:10" x14ac:dyDescent="0.25">
      <c r="A7620" t="s">
        <v>24530</v>
      </c>
      <c r="B7620">
        <v>5.5920000000000014</v>
      </c>
      <c r="C7620" t="s">
        <v>24531</v>
      </c>
      <c r="D7620" t="s">
        <v>4270</v>
      </c>
      <c r="E7620" t="s">
        <v>24522</v>
      </c>
      <c r="F7620" t="s">
        <v>7672</v>
      </c>
      <c r="G7620" t="s">
        <v>24523</v>
      </c>
      <c r="H7620" t="s">
        <v>7674</v>
      </c>
      <c r="I7620" t="s">
        <v>24524</v>
      </c>
      <c r="J7620" t="s">
        <v>9110</v>
      </c>
    </row>
    <row r="7621" spans="1:10" x14ac:dyDescent="0.25">
      <c r="A7621" t="s">
        <v>24532</v>
      </c>
      <c r="B7621">
        <v>5.5920000000000014</v>
      </c>
      <c r="C7621" t="s">
        <v>24533</v>
      </c>
      <c r="D7621" t="s">
        <v>95</v>
      </c>
      <c r="E7621" t="s">
        <v>24522</v>
      </c>
      <c r="F7621" t="s">
        <v>7672</v>
      </c>
      <c r="G7621" t="s">
        <v>24523</v>
      </c>
      <c r="H7621" t="s">
        <v>7674</v>
      </c>
      <c r="I7621" t="s">
        <v>24527</v>
      </c>
      <c r="J7621" t="s">
        <v>11373</v>
      </c>
    </row>
    <row r="7622" spans="1:10" x14ac:dyDescent="0.25">
      <c r="A7622" t="s">
        <v>24534</v>
      </c>
      <c r="B7622">
        <v>5.5920000000000014</v>
      </c>
      <c r="C7622" t="s">
        <v>24535</v>
      </c>
      <c r="D7622" t="s">
        <v>875</v>
      </c>
      <c r="E7622" t="s">
        <v>24522</v>
      </c>
      <c r="F7622" t="s">
        <v>7672</v>
      </c>
      <c r="G7622" t="s">
        <v>24523</v>
      </c>
      <c r="H7622" t="s">
        <v>7674</v>
      </c>
      <c r="I7622" t="s">
        <v>24524</v>
      </c>
      <c r="J7622" t="s">
        <v>11373</v>
      </c>
    </row>
    <row r="7623" spans="1:10" x14ac:dyDescent="0.25">
      <c r="A7623" t="s">
        <v>24536</v>
      </c>
      <c r="B7623">
        <v>7.56</v>
      </c>
      <c r="C7623" t="s">
        <v>24537</v>
      </c>
      <c r="D7623" t="s">
        <v>416</v>
      </c>
      <c r="E7623" t="s">
        <v>24538</v>
      </c>
      <c r="F7623" t="s">
        <v>7672</v>
      </c>
      <c r="G7623" t="s">
        <v>24539</v>
      </c>
      <c r="H7623" t="s">
        <v>13951</v>
      </c>
      <c r="I7623" t="s">
        <v>497</v>
      </c>
      <c r="J7623" t="s">
        <v>100</v>
      </c>
    </row>
    <row r="7624" spans="1:10" x14ac:dyDescent="0.25">
      <c r="A7624" t="s">
        <v>24540</v>
      </c>
      <c r="B7624">
        <v>7.56</v>
      </c>
      <c r="C7624" t="s">
        <v>24541</v>
      </c>
      <c r="D7624" t="s">
        <v>21209</v>
      </c>
      <c r="E7624" t="s">
        <v>24538</v>
      </c>
      <c r="F7624" t="s">
        <v>7672</v>
      </c>
      <c r="G7624" t="s">
        <v>24539</v>
      </c>
      <c r="H7624" t="s">
        <v>13951</v>
      </c>
      <c r="I7624" t="s">
        <v>497</v>
      </c>
      <c r="J7624" t="s">
        <v>88</v>
      </c>
    </row>
    <row r="7625" spans="1:10" x14ac:dyDescent="0.25">
      <c r="A7625" t="s">
        <v>24542</v>
      </c>
      <c r="B7625">
        <v>7.56</v>
      </c>
      <c r="C7625" t="s">
        <v>24543</v>
      </c>
      <c r="D7625" t="s">
        <v>17312</v>
      </c>
      <c r="E7625" t="s">
        <v>24538</v>
      </c>
      <c r="F7625" t="s">
        <v>7672</v>
      </c>
      <c r="G7625" t="s">
        <v>24539</v>
      </c>
      <c r="H7625" t="s">
        <v>13951</v>
      </c>
      <c r="I7625" t="s">
        <v>497</v>
      </c>
      <c r="J7625" t="s">
        <v>269</v>
      </c>
    </row>
    <row r="7626" spans="1:10" x14ac:dyDescent="0.25">
      <c r="A7626" t="s">
        <v>24544</v>
      </c>
      <c r="B7626">
        <v>7.56</v>
      </c>
      <c r="C7626" t="s">
        <v>24545</v>
      </c>
      <c r="D7626" t="s">
        <v>14110</v>
      </c>
      <c r="E7626" t="s">
        <v>24538</v>
      </c>
      <c r="F7626" t="s">
        <v>7672</v>
      </c>
      <c r="G7626" t="s">
        <v>24539</v>
      </c>
      <c r="H7626" t="s">
        <v>13951</v>
      </c>
      <c r="I7626" t="s">
        <v>497</v>
      </c>
      <c r="J7626" t="s">
        <v>255</v>
      </c>
    </row>
    <row r="7627" spans="1:10" x14ac:dyDescent="0.25">
      <c r="A7627" t="s">
        <v>24546</v>
      </c>
      <c r="B7627">
        <v>5.4960000000000004</v>
      </c>
      <c r="C7627" t="s">
        <v>24547</v>
      </c>
      <c r="D7627" t="s">
        <v>282</v>
      </c>
      <c r="E7627" t="s">
        <v>24548</v>
      </c>
      <c r="F7627" t="s">
        <v>7672</v>
      </c>
      <c r="G7627" t="s">
        <v>24549</v>
      </c>
      <c r="H7627" t="s">
        <v>8027</v>
      </c>
      <c r="I7627" t="s">
        <v>8158</v>
      </c>
      <c r="J7627" t="s">
        <v>8001</v>
      </c>
    </row>
    <row r="7628" spans="1:10" x14ac:dyDescent="0.25">
      <c r="A7628" t="s">
        <v>24550</v>
      </c>
      <c r="B7628">
        <v>5.4960000000000004</v>
      </c>
      <c r="C7628" t="s">
        <v>24551</v>
      </c>
      <c r="D7628" t="s">
        <v>3409</v>
      </c>
      <c r="E7628" t="s">
        <v>24548</v>
      </c>
      <c r="F7628" t="s">
        <v>7672</v>
      </c>
      <c r="G7628" t="s">
        <v>24549</v>
      </c>
      <c r="H7628" t="s">
        <v>8027</v>
      </c>
      <c r="I7628" t="s">
        <v>8158</v>
      </c>
      <c r="J7628" t="s">
        <v>8013</v>
      </c>
    </row>
    <row r="7629" spans="1:10" x14ac:dyDescent="0.25">
      <c r="A7629" t="s">
        <v>24552</v>
      </c>
      <c r="B7629">
        <v>4.8000000000000007</v>
      </c>
      <c r="C7629" t="s">
        <v>24553</v>
      </c>
      <c r="D7629" t="s">
        <v>118</v>
      </c>
      <c r="E7629" t="s">
        <v>24554</v>
      </c>
      <c r="F7629" t="s">
        <v>7672</v>
      </c>
      <c r="G7629" t="s">
        <v>24555</v>
      </c>
      <c r="H7629" t="s">
        <v>11496</v>
      </c>
      <c r="I7629" t="s">
        <v>19800</v>
      </c>
      <c r="J7629" t="s">
        <v>9423</v>
      </c>
    </row>
    <row r="7630" spans="1:10" x14ac:dyDescent="0.25">
      <c r="A7630" t="s">
        <v>24556</v>
      </c>
      <c r="B7630">
        <v>4.8000000000000007</v>
      </c>
      <c r="C7630" t="s">
        <v>24557</v>
      </c>
      <c r="D7630" t="s">
        <v>975</v>
      </c>
      <c r="E7630" t="s">
        <v>24554</v>
      </c>
      <c r="F7630" t="s">
        <v>7672</v>
      </c>
      <c r="G7630" t="s">
        <v>24555</v>
      </c>
      <c r="H7630" t="s">
        <v>11496</v>
      </c>
      <c r="I7630" t="s">
        <v>19800</v>
      </c>
      <c r="J7630" t="s">
        <v>9426</v>
      </c>
    </row>
    <row r="7631" spans="1:10" x14ac:dyDescent="0.25">
      <c r="A7631" t="s">
        <v>24558</v>
      </c>
      <c r="B7631">
        <v>4.8000000000000007</v>
      </c>
      <c r="C7631" t="s">
        <v>24559</v>
      </c>
      <c r="D7631" t="s">
        <v>2371</v>
      </c>
      <c r="E7631" t="s">
        <v>24554</v>
      </c>
      <c r="F7631" t="s">
        <v>7672</v>
      </c>
      <c r="G7631" t="s">
        <v>24555</v>
      </c>
      <c r="H7631" t="s">
        <v>11496</v>
      </c>
      <c r="I7631" t="s">
        <v>19800</v>
      </c>
      <c r="J7631" t="s">
        <v>10862</v>
      </c>
    </row>
    <row r="7632" spans="1:10" x14ac:dyDescent="0.25">
      <c r="A7632" t="s">
        <v>24560</v>
      </c>
      <c r="B7632">
        <v>4.8000000000000007</v>
      </c>
      <c r="C7632" t="s">
        <v>24561</v>
      </c>
      <c r="D7632" t="s">
        <v>2198</v>
      </c>
      <c r="E7632" t="s">
        <v>24554</v>
      </c>
      <c r="F7632" t="s">
        <v>7672</v>
      </c>
      <c r="G7632" t="s">
        <v>24555</v>
      </c>
      <c r="H7632" t="s">
        <v>11496</v>
      </c>
      <c r="I7632" t="s">
        <v>19800</v>
      </c>
      <c r="J7632" t="s">
        <v>13084</v>
      </c>
    </row>
    <row r="7633" spans="1:10" x14ac:dyDescent="0.25">
      <c r="A7633" t="s">
        <v>24562</v>
      </c>
      <c r="B7633">
        <v>4.8000000000000007</v>
      </c>
      <c r="C7633" t="s">
        <v>24563</v>
      </c>
      <c r="D7633" t="s">
        <v>144</v>
      </c>
      <c r="E7633" t="s">
        <v>24554</v>
      </c>
      <c r="F7633" t="s">
        <v>7672</v>
      </c>
      <c r="G7633" t="s">
        <v>24555</v>
      </c>
      <c r="H7633" t="s">
        <v>11496</v>
      </c>
      <c r="I7633" t="s">
        <v>19800</v>
      </c>
      <c r="J7633" t="s">
        <v>11767</v>
      </c>
    </row>
    <row r="7634" spans="1:10" x14ac:dyDescent="0.25">
      <c r="A7634" t="s">
        <v>24564</v>
      </c>
      <c r="B7634">
        <v>4.8000000000000007</v>
      </c>
      <c r="C7634" t="s">
        <v>24565</v>
      </c>
      <c r="D7634" t="s">
        <v>144</v>
      </c>
      <c r="E7634" t="s">
        <v>24554</v>
      </c>
      <c r="F7634" t="s">
        <v>7672</v>
      </c>
      <c r="G7634" t="s">
        <v>24555</v>
      </c>
      <c r="H7634" t="s">
        <v>11496</v>
      </c>
      <c r="I7634" t="s">
        <v>19800</v>
      </c>
      <c r="J7634" t="s">
        <v>11582</v>
      </c>
    </row>
    <row r="7635" spans="1:10" x14ac:dyDescent="0.25">
      <c r="A7635" t="s">
        <v>24566</v>
      </c>
      <c r="B7635">
        <v>4.8000000000000007</v>
      </c>
      <c r="C7635" t="s">
        <v>24567</v>
      </c>
      <c r="D7635" t="s">
        <v>875</v>
      </c>
      <c r="E7635" t="s">
        <v>24554</v>
      </c>
      <c r="F7635" t="s">
        <v>7672</v>
      </c>
      <c r="G7635" t="s">
        <v>24555</v>
      </c>
      <c r="H7635" t="s">
        <v>11496</v>
      </c>
      <c r="I7635" t="s">
        <v>19800</v>
      </c>
      <c r="J7635" t="s">
        <v>11585</v>
      </c>
    </row>
    <row r="7636" spans="1:10" x14ac:dyDescent="0.25">
      <c r="A7636" t="s">
        <v>24568</v>
      </c>
      <c r="B7636">
        <v>8.3920000000000012</v>
      </c>
      <c r="C7636" t="s">
        <v>24569</v>
      </c>
      <c r="D7636" t="s">
        <v>53</v>
      </c>
      <c r="E7636" t="s">
        <v>24570</v>
      </c>
      <c r="F7636" t="s">
        <v>7672</v>
      </c>
      <c r="G7636" t="s">
        <v>24571</v>
      </c>
      <c r="H7636" t="s">
        <v>10298</v>
      </c>
      <c r="I7636" t="s">
        <v>24572</v>
      </c>
      <c r="J7636" t="s">
        <v>15079</v>
      </c>
    </row>
    <row r="7637" spans="1:10" x14ac:dyDescent="0.25">
      <c r="A7637" t="s">
        <v>24573</v>
      </c>
      <c r="B7637">
        <v>16</v>
      </c>
      <c r="C7637" t="s">
        <v>24574</v>
      </c>
      <c r="D7637" t="s">
        <v>113</v>
      </c>
      <c r="E7637" t="s">
        <v>24575</v>
      </c>
      <c r="F7637" t="s">
        <v>7672</v>
      </c>
      <c r="G7637" t="s">
        <v>24576</v>
      </c>
      <c r="H7637" t="s">
        <v>15122</v>
      </c>
      <c r="I7637" t="s">
        <v>145</v>
      </c>
      <c r="J7637" t="s">
        <v>255</v>
      </c>
    </row>
    <row r="7638" spans="1:10" x14ac:dyDescent="0.25">
      <c r="A7638" t="s">
        <v>24577</v>
      </c>
      <c r="B7638">
        <v>16</v>
      </c>
      <c r="C7638" t="s">
        <v>24578</v>
      </c>
      <c r="D7638" t="s">
        <v>53</v>
      </c>
      <c r="E7638" t="s">
        <v>24575</v>
      </c>
      <c r="F7638" t="s">
        <v>7672</v>
      </c>
      <c r="G7638" t="s">
        <v>24576</v>
      </c>
      <c r="H7638" t="s">
        <v>15122</v>
      </c>
      <c r="I7638" t="s">
        <v>145</v>
      </c>
      <c r="J7638" t="s">
        <v>277</v>
      </c>
    </row>
    <row r="7639" spans="1:10" x14ac:dyDescent="0.25">
      <c r="A7639" t="s">
        <v>24579</v>
      </c>
      <c r="B7639">
        <v>16</v>
      </c>
      <c r="C7639" t="s">
        <v>24580</v>
      </c>
      <c r="D7639" t="s">
        <v>240</v>
      </c>
      <c r="E7639" t="s">
        <v>24575</v>
      </c>
      <c r="F7639" t="s">
        <v>7672</v>
      </c>
      <c r="G7639" t="s">
        <v>24576</v>
      </c>
      <c r="H7639" t="s">
        <v>15122</v>
      </c>
      <c r="I7639" t="s">
        <v>145</v>
      </c>
      <c r="J7639" t="s">
        <v>164</v>
      </c>
    </row>
    <row r="7640" spans="1:10" x14ac:dyDescent="0.25">
      <c r="A7640" t="s">
        <v>24581</v>
      </c>
      <c r="B7640">
        <v>16</v>
      </c>
      <c r="C7640" t="s">
        <v>24582</v>
      </c>
      <c r="D7640" t="s">
        <v>250</v>
      </c>
      <c r="E7640" t="s">
        <v>24575</v>
      </c>
      <c r="F7640" t="s">
        <v>7672</v>
      </c>
      <c r="G7640" t="s">
        <v>24576</v>
      </c>
      <c r="H7640" t="s">
        <v>15122</v>
      </c>
      <c r="I7640" t="s">
        <v>145</v>
      </c>
      <c r="J7640" t="s">
        <v>290</v>
      </c>
    </row>
    <row r="7641" spans="1:10" x14ac:dyDescent="0.25">
      <c r="A7641" t="s">
        <v>24583</v>
      </c>
      <c r="B7641">
        <v>16</v>
      </c>
      <c r="C7641" t="s">
        <v>24584</v>
      </c>
      <c r="D7641" t="s">
        <v>95</v>
      </c>
      <c r="E7641" t="s">
        <v>24575</v>
      </c>
      <c r="F7641" t="s">
        <v>7672</v>
      </c>
      <c r="G7641" t="s">
        <v>24576</v>
      </c>
      <c r="H7641" t="s">
        <v>15122</v>
      </c>
      <c r="I7641" t="s">
        <v>145</v>
      </c>
      <c r="J7641" t="s">
        <v>15238</v>
      </c>
    </row>
    <row r="7642" spans="1:10" x14ac:dyDescent="0.25">
      <c r="A7642" t="s">
        <v>24585</v>
      </c>
      <c r="B7642">
        <v>16</v>
      </c>
      <c r="C7642" t="s">
        <v>24586</v>
      </c>
      <c r="D7642" t="s">
        <v>436</v>
      </c>
      <c r="E7642" t="s">
        <v>24575</v>
      </c>
      <c r="F7642" t="s">
        <v>7672</v>
      </c>
      <c r="G7642" t="s">
        <v>24576</v>
      </c>
      <c r="H7642" t="s">
        <v>15122</v>
      </c>
      <c r="I7642" t="s">
        <v>145</v>
      </c>
      <c r="J7642" t="s">
        <v>15070</v>
      </c>
    </row>
    <row r="7643" spans="1:10" x14ac:dyDescent="0.25">
      <c r="A7643" t="s">
        <v>24587</v>
      </c>
      <c r="B7643">
        <v>16</v>
      </c>
      <c r="C7643" t="s">
        <v>24588</v>
      </c>
      <c r="D7643" t="s">
        <v>269</v>
      </c>
      <c r="E7643" t="s">
        <v>24575</v>
      </c>
      <c r="F7643" t="s">
        <v>7672</v>
      </c>
      <c r="G7643" t="s">
        <v>24576</v>
      </c>
      <c r="H7643" t="s">
        <v>15122</v>
      </c>
      <c r="I7643" t="s">
        <v>145</v>
      </c>
      <c r="J7643" t="s">
        <v>15073</v>
      </c>
    </row>
    <row r="7644" spans="1:10" x14ac:dyDescent="0.25">
      <c r="A7644" t="s">
        <v>24589</v>
      </c>
      <c r="B7644">
        <v>16</v>
      </c>
      <c r="C7644" t="s">
        <v>24590</v>
      </c>
      <c r="D7644" t="s">
        <v>352</v>
      </c>
      <c r="E7644" t="s">
        <v>24575</v>
      </c>
      <c r="F7644" t="s">
        <v>7672</v>
      </c>
      <c r="G7644" t="s">
        <v>24576</v>
      </c>
      <c r="H7644" t="s">
        <v>15122</v>
      </c>
      <c r="I7644" t="s">
        <v>145</v>
      </c>
      <c r="J7644" t="s">
        <v>15076</v>
      </c>
    </row>
    <row r="7645" spans="1:10" x14ac:dyDescent="0.25">
      <c r="A7645" t="s">
        <v>24591</v>
      </c>
      <c r="B7645">
        <v>7.2</v>
      </c>
      <c r="C7645" t="s">
        <v>24592</v>
      </c>
      <c r="D7645" t="s">
        <v>1644</v>
      </c>
      <c r="E7645" t="s">
        <v>24593</v>
      </c>
      <c r="F7645" t="s">
        <v>7672</v>
      </c>
      <c r="G7645" t="s">
        <v>24594</v>
      </c>
      <c r="H7645" t="s">
        <v>13951</v>
      </c>
      <c r="I7645" t="s">
        <v>9116</v>
      </c>
      <c r="J7645" t="s">
        <v>11710</v>
      </c>
    </row>
    <row r="7646" spans="1:10" x14ac:dyDescent="0.25">
      <c r="A7646" t="s">
        <v>6845</v>
      </c>
      <c r="B7646">
        <v>14.576000000000001</v>
      </c>
      <c r="C7646" t="s">
        <v>6847</v>
      </c>
      <c r="D7646" t="s">
        <v>342</v>
      </c>
      <c r="E7646" t="s">
        <v>6848</v>
      </c>
      <c r="F7646" t="s">
        <v>7672</v>
      </c>
      <c r="G7646" t="s">
        <v>24595</v>
      </c>
      <c r="H7646" t="s">
        <v>18744</v>
      </c>
      <c r="I7646" t="s">
        <v>6851</v>
      </c>
      <c r="J7646" t="s">
        <v>7675</v>
      </c>
    </row>
    <row r="7647" spans="1:10" x14ac:dyDescent="0.25">
      <c r="A7647" t="s">
        <v>6852</v>
      </c>
      <c r="B7647">
        <v>14.576000000000001</v>
      </c>
      <c r="C7647" t="s">
        <v>6854</v>
      </c>
      <c r="D7647" t="s">
        <v>53</v>
      </c>
      <c r="E7647" t="s">
        <v>6848</v>
      </c>
      <c r="F7647" t="s">
        <v>7672</v>
      </c>
      <c r="G7647" t="s">
        <v>24595</v>
      </c>
      <c r="H7647" t="s">
        <v>18744</v>
      </c>
      <c r="I7647" t="s">
        <v>6857</v>
      </c>
      <c r="J7647" t="s">
        <v>7675</v>
      </c>
    </row>
    <row r="7648" spans="1:10" x14ac:dyDescent="0.25">
      <c r="A7648" t="s">
        <v>6858</v>
      </c>
      <c r="B7648">
        <v>14.576000000000001</v>
      </c>
      <c r="C7648" t="s">
        <v>6860</v>
      </c>
      <c r="D7648" t="s">
        <v>60</v>
      </c>
      <c r="E7648" t="s">
        <v>6848</v>
      </c>
      <c r="F7648" t="s">
        <v>7672</v>
      </c>
      <c r="G7648" t="s">
        <v>24595</v>
      </c>
      <c r="H7648" t="s">
        <v>18744</v>
      </c>
      <c r="I7648" t="s">
        <v>24596</v>
      </c>
      <c r="J7648" t="s">
        <v>7675</v>
      </c>
    </row>
    <row r="7649" spans="1:10" x14ac:dyDescent="0.25">
      <c r="A7649" t="s">
        <v>6864</v>
      </c>
      <c r="B7649">
        <v>14.576000000000001</v>
      </c>
      <c r="C7649" t="s">
        <v>6866</v>
      </c>
      <c r="D7649" t="s">
        <v>342</v>
      </c>
      <c r="E7649" t="s">
        <v>6848</v>
      </c>
      <c r="F7649" t="s">
        <v>7672</v>
      </c>
      <c r="G7649" t="s">
        <v>24595</v>
      </c>
      <c r="H7649" t="s">
        <v>18744</v>
      </c>
      <c r="I7649" t="s">
        <v>24596</v>
      </c>
      <c r="J7649" t="s">
        <v>7686</v>
      </c>
    </row>
    <row r="7650" spans="1:10" x14ac:dyDescent="0.25">
      <c r="A7650" t="s">
        <v>6868</v>
      </c>
      <c r="B7650">
        <v>14.576000000000001</v>
      </c>
      <c r="C7650" t="s">
        <v>6870</v>
      </c>
      <c r="D7650" t="s">
        <v>255</v>
      </c>
      <c r="E7650" t="s">
        <v>6848</v>
      </c>
      <c r="F7650" t="s">
        <v>7672</v>
      </c>
      <c r="G7650" t="s">
        <v>24595</v>
      </c>
      <c r="H7650" t="s">
        <v>18744</v>
      </c>
      <c r="I7650" t="s">
        <v>24596</v>
      </c>
      <c r="J7650" t="s">
        <v>7703</v>
      </c>
    </row>
    <row r="7651" spans="1:10" x14ac:dyDescent="0.25">
      <c r="A7651" t="s">
        <v>24597</v>
      </c>
      <c r="B7651">
        <v>4.1920000000000002</v>
      </c>
      <c r="C7651" t="s">
        <v>24598</v>
      </c>
      <c r="D7651" t="s">
        <v>2381</v>
      </c>
      <c r="E7651" t="s">
        <v>24599</v>
      </c>
      <c r="F7651" t="s">
        <v>7672</v>
      </c>
      <c r="G7651" t="s">
        <v>16038</v>
      </c>
      <c r="H7651" t="s">
        <v>7674</v>
      </c>
      <c r="I7651" t="s">
        <v>15658</v>
      </c>
      <c r="J7651" t="s">
        <v>16125</v>
      </c>
    </row>
    <row r="7652" spans="1:10" x14ac:dyDescent="0.25">
      <c r="A7652" t="s">
        <v>24600</v>
      </c>
      <c r="B7652">
        <v>4.1920000000000002</v>
      </c>
      <c r="C7652" t="s">
        <v>24601</v>
      </c>
      <c r="D7652" t="s">
        <v>1097</v>
      </c>
      <c r="E7652" t="s">
        <v>24599</v>
      </c>
      <c r="F7652" t="s">
        <v>7672</v>
      </c>
      <c r="G7652" t="s">
        <v>16038</v>
      </c>
      <c r="H7652" t="s">
        <v>7674</v>
      </c>
      <c r="I7652" t="s">
        <v>3655</v>
      </c>
      <c r="J7652" t="s">
        <v>16143</v>
      </c>
    </row>
    <row r="7653" spans="1:10" x14ac:dyDescent="0.25">
      <c r="A7653" t="s">
        <v>24602</v>
      </c>
      <c r="B7653">
        <v>9</v>
      </c>
      <c r="C7653" t="s">
        <v>24603</v>
      </c>
      <c r="D7653" t="s">
        <v>385</v>
      </c>
      <c r="E7653" t="s">
        <v>24604</v>
      </c>
      <c r="F7653" t="s">
        <v>7672</v>
      </c>
      <c r="G7653" t="s">
        <v>24605</v>
      </c>
      <c r="H7653" t="s">
        <v>16977</v>
      </c>
      <c r="I7653" t="s">
        <v>24606</v>
      </c>
      <c r="J7653" t="s">
        <v>16979</v>
      </c>
    </row>
    <row r="7654" spans="1:10" x14ac:dyDescent="0.25">
      <c r="A7654" t="s">
        <v>24607</v>
      </c>
      <c r="B7654">
        <v>9</v>
      </c>
      <c r="C7654" t="s">
        <v>24608</v>
      </c>
      <c r="D7654" t="s">
        <v>234</v>
      </c>
      <c r="E7654" t="s">
        <v>24604</v>
      </c>
      <c r="F7654" t="s">
        <v>7672</v>
      </c>
      <c r="G7654" t="s">
        <v>24605</v>
      </c>
      <c r="H7654" t="s">
        <v>16977</v>
      </c>
      <c r="I7654" t="s">
        <v>24606</v>
      </c>
      <c r="J7654" t="s">
        <v>16982</v>
      </c>
    </row>
    <row r="7655" spans="1:10" x14ac:dyDescent="0.25">
      <c r="A7655" t="s">
        <v>24609</v>
      </c>
      <c r="B7655">
        <v>9</v>
      </c>
      <c r="C7655" t="s">
        <v>24610</v>
      </c>
      <c r="D7655" t="s">
        <v>1621</v>
      </c>
      <c r="E7655" t="s">
        <v>24604</v>
      </c>
      <c r="F7655" t="s">
        <v>7672</v>
      </c>
      <c r="G7655" t="s">
        <v>24605</v>
      </c>
      <c r="H7655" t="s">
        <v>16977</v>
      </c>
      <c r="I7655" t="s">
        <v>24606</v>
      </c>
      <c r="J7655" t="s">
        <v>16985</v>
      </c>
    </row>
    <row r="7656" spans="1:10" x14ac:dyDescent="0.25">
      <c r="A7656" t="s">
        <v>24611</v>
      </c>
      <c r="B7656">
        <v>9</v>
      </c>
      <c r="C7656" t="s">
        <v>24612</v>
      </c>
      <c r="D7656" t="s">
        <v>255</v>
      </c>
      <c r="E7656" t="s">
        <v>24604</v>
      </c>
      <c r="F7656" t="s">
        <v>7672</v>
      </c>
      <c r="G7656" t="s">
        <v>24605</v>
      </c>
      <c r="H7656" t="s">
        <v>16977</v>
      </c>
      <c r="I7656" t="s">
        <v>24606</v>
      </c>
      <c r="J7656" t="s">
        <v>16988</v>
      </c>
    </row>
    <row r="7657" spans="1:10" x14ac:dyDescent="0.25">
      <c r="A7657" t="s">
        <v>24613</v>
      </c>
      <c r="B7657">
        <v>9.5920000000000005</v>
      </c>
      <c r="C7657" t="s">
        <v>24614</v>
      </c>
      <c r="D7657" t="s">
        <v>290</v>
      </c>
      <c r="E7657" t="s">
        <v>24615</v>
      </c>
      <c r="F7657" t="s">
        <v>7672</v>
      </c>
      <c r="G7657" t="s">
        <v>24616</v>
      </c>
      <c r="H7657" t="s">
        <v>7674</v>
      </c>
      <c r="I7657" t="s">
        <v>24617</v>
      </c>
      <c r="J7657" t="s">
        <v>9694</v>
      </c>
    </row>
    <row r="7658" spans="1:10" x14ac:dyDescent="0.25">
      <c r="A7658" t="s">
        <v>6872</v>
      </c>
      <c r="B7658">
        <v>8.4</v>
      </c>
      <c r="C7658" t="s">
        <v>6874</v>
      </c>
      <c r="D7658" t="s">
        <v>6877</v>
      </c>
      <c r="E7658" t="s">
        <v>6875</v>
      </c>
      <c r="F7658" t="s">
        <v>7672</v>
      </c>
      <c r="G7658" t="s">
        <v>24618</v>
      </c>
      <c r="H7658" t="s">
        <v>7954</v>
      </c>
      <c r="I7658" t="s">
        <v>76</v>
      </c>
      <c r="J7658" t="s">
        <v>21847</v>
      </c>
    </row>
    <row r="7659" spans="1:10" x14ac:dyDescent="0.25">
      <c r="A7659" t="s">
        <v>6879</v>
      </c>
      <c r="B7659">
        <v>8.4</v>
      </c>
      <c r="C7659" t="s">
        <v>6881</v>
      </c>
      <c r="D7659" t="s">
        <v>6883</v>
      </c>
      <c r="E7659" t="s">
        <v>6875</v>
      </c>
      <c r="F7659" t="s">
        <v>7672</v>
      </c>
      <c r="G7659" t="s">
        <v>24618</v>
      </c>
      <c r="H7659" t="s">
        <v>7954</v>
      </c>
      <c r="I7659" t="s">
        <v>76</v>
      </c>
      <c r="J7659" t="s">
        <v>15482</v>
      </c>
    </row>
    <row r="7660" spans="1:10" x14ac:dyDescent="0.25">
      <c r="A7660" t="s">
        <v>6884</v>
      </c>
      <c r="B7660">
        <v>8.4</v>
      </c>
      <c r="C7660" t="s">
        <v>6886</v>
      </c>
      <c r="D7660" t="s">
        <v>6888</v>
      </c>
      <c r="E7660" t="s">
        <v>6875</v>
      </c>
      <c r="F7660" t="s">
        <v>7672</v>
      </c>
      <c r="G7660" t="s">
        <v>24618</v>
      </c>
      <c r="H7660" t="s">
        <v>7954</v>
      </c>
      <c r="I7660" t="s">
        <v>76</v>
      </c>
      <c r="J7660" t="s">
        <v>15485</v>
      </c>
    </row>
    <row r="7661" spans="1:10" x14ac:dyDescent="0.25">
      <c r="A7661" t="s">
        <v>6889</v>
      </c>
      <c r="B7661">
        <v>8.4</v>
      </c>
      <c r="C7661" t="s">
        <v>6891</v>
      </c>
      <c r="D7661" t="s">
        <v>6893</v>
      </c>
      <c r="E7661" t="s">
        <v>6875</v>
      </c>
      <c r="F7661" t="s">
        <v>7672</v>
      </c>
      <c r="G7661" t="s">
        <v>24618</v>
      </c>
      <c r="H7661" t="s">
        <v>7954</v>
      </c>
      <c r="I7661" t="s">
        <v>76</v>
      </c>
      <c r="J7661" t="s">
        <v>21328</v>
      </c>
    </row>
    <row r="7662" spans="1:10" x14ac:dyDescent="0.25">
      <c r="A7662" t="s">
        <v>6894</v>
      </c>
      <c r="B7662">
        <v>13</v>
      </c>
      <c r="C7662" t="s">
        <v>6896</v>
      </c>
      <c r="D7662" t="s">
        <v>199</v>
      </c>
      <c r="E7662" t="s">
        <v>6897</v>
      </c>
      <c r="F7662" t="s">
        <v>7672</v>
      </c>
      <c r="G7662" t="s">
        <v>24619</v>
      </c>
      <c r="H7662" t="s">
        <v>9232</v>
      </c>
      <c r="I7662" t="s">
        <v>24620</v>
      </c>
      <c r="J7662" t="s">
        <v>7981</v>
      </c>
    </row>
    <row r="7663" spans="1:10" x14ac:dyDescent="0.25">
      <c r="A7663" t="s">
        <v>6901</v>
      </c>
      <c r="B7663">
        <v>13</v>
      </c>
      <c r="C7663" t="s">
        <v>6903</v>
      </c>
      <c r="D7663" t="s">
        <v>290</v>
      </c>
      <c r="E7663" t="s">
        <v>6897</v>
      </c>
      <c r="F7663" t="s">
        <v>7672</v>
      </c>
      <c r="G7663" t="s">
        <v>24619</v>
      </c>
      <c r="H7663" t="s">
        <v>9232</v>
      </c>
      <c r="I7663" t="s">
        <v>24621</v>
      </c>
      <c r="J7663" t="s">
        <v>7981</v>
      </c>
    </row>
    <row r="7664" spans="1:10" x14ac:dyDescent="0.25">
      <c r="A7664" t="s">
        <v>6906</v>
      </c>
      <c r="B7664">
        <v>13</v>
      </c>
      <c r="C7664" t="s">
        <v>6908</v>
      </c>
      <c r="D7664" t="s">
        <v>2253</v>
      </c>
      <c r="E7664" t="s">
        <v>6897</v>
      </c>
      <c r="F7664" t="s">
        <v>7672</v>
      </c>
      <c r="G7664" t="s">
        <v>24619</v>
      </c>
      <c r="H7664" t="s">
        <v>9232</v>
      </c>
      <c r="I7664" t="s">
        <v>24621</v>
      </c>
      <c r="J7664" t="s">
        <v>7984</v>
      </c>
    </row>
    <row r="7665" spans="1:10" x14ac:dyDescent="0.25">
      <c r="A7665" t="s">
        <v>6910</v>
      </c>
      <c r="B7665">
        <v>13</v>
      </c>
      <c r="C7665" t="s">
        <v>6912</v>
      </c>
      <c r="D7665" t="s">
        <v>671</v>
      </c>
      <c r="E7665" t="s">
        <v>6897</v>
      </c>
      <c r="F7665" t="s">
        <v>7672</v>
      </c>
      <c r="G7665" t="s">
        <v>24619</v>
      </c>
      <c r="H7665" t="s">
        <v>9232</v>
      </c>
      <c r="I7665" t="s">
        <v>24620</v>
      </c>
      <c r="J7665" t="s">
        <v>7984</v>
      </c>
    </row>
    <row r="7666" spans="1:10" x14ac:dyDescent="0.25">
      <c r="A7666" t="s">
        <v>6914</v>
      </c>
      <c r="B7666">
        <v>13</v>
      </c>
      <c r="C7666" t="s">
        <v>6916</v>
      </c>
      <c r="D7666" t="s">
        <v>342</v>
      </c>
      <c r="E7666" t="s">
        <v>6897</v>
      </c>
      <c r="F7666" t="s">
        <v>7672</v>
      </c>
      <c r="G7666" t="s">
        <v>24619</v>
      </c>
      <c r="H7666" t="s">
        <v>9232</v>
      </c>
      <c r="I7666" t="s">
        <v>24621</v>
      </c>
      <c r="J7666" t="s">
        <v>7987</v>
      </c>
    </row>
    <row r="7667" spans="1:10" x14ac:dyDescent="0.25">
      <c r="A7667" t="s">
        <v>6918</v>
      </c>
      <c r="B7667">
        <v>13</v>
      </c>
      <c r="C7667" t="s">
        <v>6920</v>
      </c>
      <c r="D7667" t="s">
        <v>330</v>
      </c>
      <c r="E7667" t="s">
        <v>6897</v>
      </c>
      <c r="F7667" t="s">
        <v>7672</v>
      </c>
      <c r="G7667" t="s">
        <v>24619</v>
      </c>
      <c r="H7667" t="s">
        <v>9232</v>
      </c>
      <c r="I7667" t="s">
        <v>24620</v>
      </c>
      <c r="J7667" t="s">
        <v>7987</v>
      </c>
    </row>
    <row r="7668" spans="1:10" x14ac:dyDescent="0.25">
      <c r="A7668" t="s">
        <v>24622</v>
      </c>
      <c r="B7668">
        <v>96</v>
      </c>
      <c r="C7668" t="s">
        <v>24623</v>
      </c>
      <c r="D7668" t="s">
        <v>4270</v>
      </c>
      <c r="E7668" t="s">
        <v>24624</v>
      </c>
      <c r="F7668" t="s">
        <v>7672</v>
      </c>
      <c r="G7668" t="s">
        <v>24625</v>
      </c>
      <c r="H7668" t="s">
        <v>9693</v>
      </c>
      <c r="I7668" t="s">
        <v>18323</v>
      </c>
      <c r="J7668" t="s">
        <v>9694</v>
      </c>
    </row>
    <row r="7669" spans="1:10" x14ac:dyDescent="0.25">
      <c r="A7669" t="s">
        <v>6922</v>
      </c>
      <c r="B7669">
        <v>12</v>
      </c>
      <c r="C7669" t="s">
        <v>6924</v>
      </c>
      <c r="D7669" t="s">
        <v>742</v>
      </c>
      <c r="E7669" t="s">
        <v>6925</v>
      </c>
      <c r="F7669" t="s">
        <v>7672</v>
      </c>
      <c r="G7669" t="s">
        <v>24626</v>
      </c>
      <c r="H7669" t="s">
        <v>24627</v>
      </c>
      <c r="I7669" t="s">
        <v>6928</v>
      </c>
      <c r="J7669" t="s">
        <v>106</v>
      </c>
    </row>
    <row r="7670" spans="1:10" x14ac:dyDescent="0.25">
      <c r="A7670" t="s">
        <v>24628</v>
      </c>
      <c r="B7670">
        <v>9.9920000000000009</v>
      </c>
      <c r="C7670" t="s">
        <v>24629</v>
      </c>
      <c r="D7670" t="s">
        <v>1822</v>
      </c>
      <c r="E7670" t="s">
        <v>24630</v>
      </c>
      <c r="F7670" t="s">
        <v>7672</v>
      </c>
      <c r="G7670" t="s">
        <v>24631</v>
      </c>
      <c r="H7670" t="s">
        <v>12137</v>
      </c>
      <c r="I7670" t="s">
        <v>2997</v>
      </c>
      <c r="J7670" t="s">
        <v>11498</v>
      </c>
    </row>
    <row r="7671" spans="1:10" x14ac:dyDescent="0.25">
      <c r="A7671" t="s">
        <v>24632</v>
      </c>
      <c r="B7671">
        <v>9.9920000000000009</v>
      </c>
      <c r="C7671" t="s">
        <v>24633</v>
      </c>
      <c r="D7671" t="s">
        <v>6257</v>
      </c>
      <c r="E7671" t="s">
        <v>24630</v>
      </c>
      <c r="F7671" t="s">
        <v>7672</v>
      </c>
      <c r="G7671" t="s">
        <v>24631</v>
      </c>
      <c r="H7671" t="s">
        <v>12137</v>
      </c>
      <c r="I7671" t="s">
        <v>76</v>
      </c>
      <c r="J7671" t="s">
        <v>11498</v>
      </c>
    </row>
    <row r="7672" spans="1:10" x14ac:dyDescent="0.25">
      <c r="A7672" t="s">
        <v>24634</v>
      </c>
      <c r="B7672">
        <v>9.9920000000000009</v>
      </c>
      <c r="C7672" t="s">
        <v>24635</v>
      </c>
      <c r="D7672" t="s">
        <v>306</v>
      </c>
      <c r="E7672" t="s">
        <v>24630</v>
      </c>
      <c r="F7672" t="s">
        <v>7672</v>
      </c>
      <c r="G7672" t="s">
        <v>24631</v>
      </c>
      <c r="H7672" t="s">
        <v>12137</v>
      </c>
      <c r="I7672" t="s">
        <v>2997</v>
      </c>
      <c r="J7672" t="s">
        <v>11499</v>
      </c>
    </row>
    <row r="7673" spans="1:10" x14ac:dyDescent="0.25">
      <c r="A7673" t="s">
        <v>24636</v>
      </c>
      <c r="B7673">
        <v>9.9920000000000009</v>
      </c>
      <c r="C7673" t="s">
        <v>24637</v>
      </c>
      <c r="D7673" t="s">
        <v>3110</v>
      </c>
      <c r="E7673" t="s">
        <v>24630</v>
      </c>
      <c r="F7673" t="s">
        <v>7672</v>
      </c>
      <c r="G7673" t="s">
        <v>24631</v>
      </c>
      <c r="H7673" t="s">
        <v>12137</v>
      </c>
      <c r="I7673" t="s">
        <v>76</v>
      </c>
      <c r="J7673" t="s">
        <v>11499</v>
      </c>
    </row>
    <row r="7674" spans="1:10" x14ac:dyDescent="0.25">
      <c r="A7674" t="s">
        <v>24638</v>
      </c>
      <c r="B7674">
        <v>9.9920000000000009</v>
      </c>
      <c r="C7674" t="s">
        <v>24639</v>
      </c>
      <c r="D7674" t="s">
        <v>379</v>
      </c>
      <c r="E7674" t="s">
        <v>24630</v>
      </c>
      <c r="F7674" t="s">
        <v>7672</v>
      </c>
      <c r="G7674" t="s">
        <v>24631</v>
      </c>
      <c r="H7674" t="s">
        <v>12137</v>
      </c>
      <c r="I7674" t="s">
        <v>2997</v>
      </c>
      <c r="J7674" t="s">
        <v>11500</v>
      </c>
    </row>
    <row r="7675" spans="1:10" x14ac:dyDescent="0.25">
      <c r="A7675" t="s">
        <v>24640</v>
      </c>
      <c r="B7675">
        <v>9.9920000000000009</v>
      </c>
      <c r="C7675" t="s">
        <v>24641</v>
      </c>
      <c r="D7675" t="s">
        <v>2652</v>
      </c>
      <c r="E7675" t="s">
        <v>24630</v>
      </c>
      <c r="F7675" t="s">
        <v>7672</v>
      </c>
      <c r="G7675" t="s">
        <v>24631</v>
      </c>
      <c r="H7675" t="s">
        <v>12137</v>
      </c>
      <c r="I7675" t="s">
        <v>76</v>
      </c>
      <c r="J7675" t="s">
        <v>11500</v>
      </c>
    </row>
    <row r="7676" spans="1:10" x14ac:dyDescent="0.25">
      <c r="A7676" t="s">
        <v>24642</v>
      </c>
      <c r="B7676">
        <v>9.9920000000000009</v>
      </c>
      <c r="C7676" t="s">
        <v>24643</v>
      </c>
      <c r="D7676" t="s">
        <v>3184</v>
      </c>
      <c r="E7676" t="s">
        <v>24630</v>
      </c>
      <c r="F7676" t="s">
        <v>7672</v>
      </c>
      <c r="G7676" t="s">
        <v>24631</v>
      </c>
      <c r="H7676" t="s">
        <v>12137</v>
      </c>
      <c r="I7676" t="s">
        <v>2997</v>
      </c>
      <c r="J7676" t="s">
        <v>11501</v>
      </c>
    </row>
    <row r="7677" spans="1:10" x14ac:dyDescent="0.25">
      <c r="A7677" t="s">
        <v>24644</v>
      </c>
      <c r="B7677">
        <v>9.9920000000000009</v>
      </c>
      <c r="C7677" t="s">
        <v>24645</v>
      </c>
      <c r="D7677" t="s">
        <v>2056</v>
      </c>
      <c r="E7677" t="s">
        <v>24630</v>
      </c>
      <c r="F7677" t="s">
        <v>7672</v>
      </c>
      <c r="G7677" t="s">
        <v>24631</v>
      </c>
      <c r="H7677" t="s">
        <v>12137</v>
      </c>
      <c r="I7677" t="s">
        <v>76</v>
      </c>
      <c r="J7677" t="s">
        <v>11501</v>
      </c>
    </row>
    <row r="7678" spans="1:10" x14ac:dyDescent="0.25">
      <c r="A7678" t="s">
        <v>24646</v>
      </c>
      <c r="B7678">
        <v>9.9920000000000009</v>
      </c>
      <c r="C7678" t="s">
        <v>24647</v>
      </c>
      <c r="D7678" t="s">
        <v>1097</v>
      </c>
      <c r="E7678" t="s">
        <v>24630</v>
      </c>
      <c r="F7678" t="s">
        <v>7672</v>
      </c>
      <c r="G7678" t="s">
        <v>24631</v>
      </c>
      <c r="H7678" t="s">
        <v>12137</v>
      </c>
      <c r="I7678" t="s">
        <v>2997</v>
      </c>
      <c r="J7678" t="s">
        <v>11502</v>
      </c>
    </row>
    <row r="7679" spans="1:10" x14ac:dyDescent="0.25">
      <c r="A7679" t="s">
        <v>24648</v>
      </c>
      <c r="B7679">
        <v>9.9920000000000009</v>
      </c>
      <c r="C7679" t="s">
        <v>24649</v>
      </c>
      <c r="D7679" t="s">
        <v>908</v>
      </c>
      <c r="E7679" t="s">
        <v>24630</v>
      </c>
      <c r="F7679" t="s">
        <v>7672</v>
      </c>
      <c r="G7679" t="s">
        <v>24631</v>
      </c>
      <c r="H7679" t="s">
        <v>12137</v>
      </c>
      <c r="I7679" t="s">
        <v>76</v>
      </c>
      <c r="J7679" t="s">
        <v>11502</v>
      </c>
    </row>
    <row r="7680" spans="1:10" x14ac:dyDescent="0.25">
      <c r="A7680" t="s">
        <v>24650</v>
      </c>
      <c r="B7680">
        <v>9.9920000000000009</v>
      </c>
      <c r="C7680" t="s">
        <v>24651</v>
      </c>
      <c r="D7680" t="s">
        <v>1536</v>
      </c>
      <c r="E7680" t="s">
        <v>24630</v>
      </c>
      <c r="F7680" t="s">
        <v>7672</v>
      </c>
      <c r="G7680" t="s">
        <v>24631</v>
      </c>
      <c r="H7680" t="s">
        <v>12137</v>
      </c>
      <c r="I7680" t="s">
        <v>2997</v>
      </c>
      <c r="J7680" t="s">
        <v>11503</v>
      </c>
    </row>
    <row r="7681" spans="1:10" x14ac:dyDescent="0.25">
      <c r="A7681" t="s">
        <v>24652</v>
      </c>
      <c r="B7681">
        <v>9.9920000000000009</v>
      </c>
      <c r="C7681" t="s">
        <v>24653</v>
      </c>
      <c r="D7681" t="s">
        <v>2652</v>
      </c>
      <c r="E7681" t="s">
        <v>24630</v>
      </c>
      <c r="F7681" t="s">
        <v>7672</v>
      </c>
      <c r="G7681" t="s">
        <v>24631</v>
      </c>
      <c r="H7681" t="s">
        <v>12137</v>
      </c>
      <c r="I7681" t="s">
        <v>76</v>
      </c>
      <c r="J7681" t="s">
        <v>11503</v>
      </c>
    </row>
    <row r="7682" spans="1:10" x14ac:dyDescent="0.25">
      <c r="A7682" t="s">
        <v>24654</v>
      </c>
      <c r="B7682">
        <v>9.9920000000000009</v>
      </c>
      <c r="C7682" t="s">
        <v>24655</v>
      </c>
      <c r="D7682" t="s">
        <v>1621</v>
      </c>
      <c r="E7682" t="s">
        <v>24630</v>
      </c>
      <c r="F7682" t="s">
        <v>7672</v>
      </c>
      <c r="G7682" t="s">
        <v>24631</v>
      </c>
      <c r="H7682" t="s">
        <v>12137</v>
      </c>
      <c r="I7682" t="s">
        <v>2997</v>
      </c>
      <c r="J7682" t="s">
        <v>24656</v>
      </c>
    </row>
    <row r="7683" spans="1:10" x14ac:dyDescent="0.25">
      <c r="A7683" t="s">
        <v>24657</v>
      </c>
      <c r="B7683">
        <v>9.9920000000000009</v>
      </c>
      <c r="C7683" t="s">
        <v>24658</v>
      </c>
      <c r="D7683" t="s">
        <v>1795</v>
      </c>
      <c r="E7683" t="s">
        <v>24630</v>
      </c>
      <c r="F7683" t="s">
        <v>7672</v>
      </c>
      <c r="G7683" t="s">
        <v>24631</v>
      </c>
      <c r="H7683" t="s">
        <v>12137</v>
      </c>
      <c r="I7683" t="s">
        <v>76</v>
      </c>
      <c r="J7683" t="s">
        <v>24656</v>
      </c>
    </row>
    <row r="7684" spans="1:10" x14ac:dyDescent="0.25">
      <c r="A7684" t="s">
        <v>6929</v>
      </c>
      <c r="B7684">
        <v>15.6</v>
      </c>
      <c r="C7684" t="s">
        <v>6931</v>
      </c>
      <c r="D7684" t="s">
        <v>2879</v>
      </c>
      <c r="E7684" t="s">
        <v>6932</v>
      </c>
      <c r="F7684" t="s">
        <v>7672</v>
      </c>
      <c r="G7684" t="s">
        <v>24659</v>
      </c>
      <c r="H7684" t="s">
        <v>8078</v>
      </c>
      <c r="I7684" t="s">
        <v>24660</v>
      </c>
      <c r="J7684" t="s">
        <v>8427</v>
      </c>
    </row>
    <row r="7685" spans="1:10" x14ac:dyDescent="0.25">
      <c r="A7685" t="s">
        <v>6936</v>
      </c>
      <c r="B7685">
        <v>15.6</v>
      </c>
      <c r="C7685" t="s">
        <v>6938</v>
      </c>
      <c r="D7685" t="s">
        <v>582</v>
      </c>
      <c r="E7685" t="s">
        <v>6932</v>
      </c>
      <c r="F7685" t="s">
        <v>7672</v>
      </c>
      <c r="G7685" t="s">
        <v>24659</v>
      </c>
      <c r="H7685" t="s">
        <v>8078</v>
      </c>
      <c r="I7685" t="s">
        <v>13703</v>
      </c>
      <c r="J7685" t="s">
        <v>8427</v>
      </c>
    </row>
    <row r="7686" spans="1:10" x14ac:dyDescent="0.25">
      <c r="A7686" t="s">
        <v>6940</v>
      </c>
      <c r="B7686">
        <v>15.6</v>
      </c>
      <c r="C7686" t="s">
        <v>6942</v>
      </c>
      <c r="D7686" t="s">
        <v>626</v>
      </c>
      <c r="E7686" t="s">
        <v>6932</v>
      </c>
      <c r="F7686" t="s">
        <v>7672</v>
      </c>
      <c r="G7686" t="s">
        <v>24659</v>
      </c>
      <c r="H7686" t="s">
        <v>8078</v>
      </c>
      <c r="I7686" t="s">
        <v>24660</v>
      </c>
      <c r="J7686" t="s">
        <v>8439</v>
      </c>
    </row>
    <row r="7687" spans="1:10" x14ac:dyDescent="0.25">
      <c r="A7687" t="s">
        <v>6944</v>
      </c>
      <c r="B7687">
        <v>15.6</v>
      </c>
      <c r="C7687" t="s">
        <v>6946</v>
      </c>
      <c r="D7687" t="s">
        <v>2022</v>
      </c>
      <c r="E7687" t="s">
        <v>6932</v>
      </c>
      <c r="F7687" t="s">
        <v>7672</v>
      </c>
      <c r="G7687" t="s">
        <v>24659</v>
      </c>
      <c r="H7687" t="s">
        <v>8078</v>
      </c>
      <c r="I7687" t="s">
        <v>13703</v>
      </c>
      <c r="J7687" t="s">
        <v>8439</v>
      </c>
    </row>
    <row r="7688" spans="1:10" x14ac:dyDescent="0.25">
      <c r="A7688" t="s">
        <v>6948</v>
      </c>
      <c r="B7688">
        <v>15.6</v>
      </c>
      <c r="C7688" t="s">
        <v>6950</v>
      </c>
      <c r="D7688" t="s">
        <v>286</v>
      </c>
      <c r="E7688" t="s">
        <v>6932</v>
      </c>
      <c r="F7688" t="s">
        <v>7672</v>
      </c>
      <c r="G7688" t="s">
        <v>24659</v>
      </c>
      <c r="H7688" t="s">
        <v>8078</v>
      </c>
      <c r="I7688" t="s">
        <v>13703</v>
      </c>
      <c r="J7688" t="s">
        <v>8451</v>
      </c>
    </row>
    <row r="7689" spans="1:10" x14ac:dyDescent="0.25">
      <c r="A7689" t="s">
        <v>6952</v>
      </c>
      <c r="B7689">
        <v>15.6</v>
      </c>
      <c r="C7689" t="s">
        <v>6954</v>
      </c>
      <c r="D7689" t="s">
        <v>296</v>
      </c>
      <c r="E7689" t="s">
        <v>6932</v>
      </c>
      <c r="F7689" t="s">
        <v>7672</v>
      </c>
      <c r="G7689" t="s">
        <v>24659</v>
      </c>
      <c r="H7689" t="s">
        <v>8078</v>
      </c>
      <c r="I7689" t="s">
        <v>24660</v>
      </c>
      <c r="J7689" t="s">
        <v>8451</v>
      </c>
    </row>
    <row r="7690" spans="1:10" x14ac:dyDescent="0.25">
      <c r="A7690" t="s">
        <v>24661</v>
      </c>
      <c r="B7690">
        <v>3.6</v>
      </c>
      <c r="C7690" t="s">
        <v>24662</v>
      </c>
      <c r="D7690" t="s">
        <v>2879</v>
      </c>
      <c r="E7690" t="s">
        <v>24663</v>
      </c>
      <c r="F7690" t="s">
        <v>7672</v>
      </c>
      <c r="G7690" t="s">
        <v>24664</v>
      </c>
      <c r="H7690" t="s">
        <v>10298</v>
      </c>
      <c r="I7690" t="s">
        <v>8158</v>
      </c>
      <c r="J7690" t="s">
        <v>8427</v>
      </c>
    </row>
    <row r="7691" spans="1:10" x14ac:dyDescent="0.25">
      <c r="A7691" t="s">
        <v>24665</v>
      </c>
      <c r="B7691">
        <v>3.6</v>
      </c>
      <c r="C7691" t="s">
        <v>24666</v>
      </c>
      <c r="D7691" t="s">
        <v>2381</v>
      </c>
      <c r="E7691" t="s">
        <v>24663</v>
      </c>
      <c r="F7691" t="s">
        <v>7672</v>
      </c>
      <c r="G7691" t="s">
        <v>24664</v>
      </c>
      <c r="H7691" t="s">
        <v>10298</v>
      </c>
      <c r="I7691" t="s">
        <v>16429</v>
      </c>
      <c r="J7691" t="s">
        <v>8427</v>
      </c>
    </row>
    <row r="7692" spans="1:10" x14ac:dyDescent="0.25">
      <c r="A7692" t="s">
        <v>24667</v>
      </c>
      <c r="B7692">
        <v>3.6</v>
      </c>
      <c r="C7692" t="s">
        <v>24668</v>
      </c>
      <c r="D7692" t="s">
        <v>199</v>
      </c>
      <c r="E7692" t="s">
        <v>24663</v>
      </c>
      <c r="F7692" t="s">
        <v>7672</v>
      </c>
      <c r="G7692" t="s">
        <v>24664</v>
      </c>
      <c r="H7692" t="s">
        <v>10298</v>
      </c>
      <c r="I7692" t="s">
        <v>11206</v>
      </c>
      <c r="J7692" t="s">
        <v>8427</v>
      </c>
    </row>
    <row r="7693" spans="1:10" x14ac:dyDescent="0.25">
      <c r="A7693" t="s">
        <v>24669</v>
      </c>
      <c r="B7693">
        <v>3.6</v>
      </c>
      <c r="C7693" t="s">
        <v>24670</v>
      </c>
      <c r="D7693" t="s">
        <v>2850</v>
      </c>
      <c r="E7693" t="s">
        <v>24663</v>
      </c>
      <c r="F7693" t="s">
        <v>7672</v>
      </c>
      <c r="G7693" t="s">
        <v>24664</v>
      </c>
      <c r="H7693" t="s">
        <v>10298</v>
      </c>
      <c r="I7693" t="s">
        <v>8158</v>
      </c>
      <c r="J7693" t="s">
        <v>8439</v>
      </c>
    </row>
    <row r="7694" spans="1:10" x14ac:dyDescent="0.25">
      <c r="A7694" t="s">
        <v>24671</v>
      </c>
      <c r="B7694">
        <v>3.6</v>
      </c>
      <c r="C7694" t="s">
        <v>24672</v>
      </c>
      <c r="D7694" t="s">
        <v>3389</v>
      </c>
      <c r="E7694" t="s">
        <v>24663</v>
      </c>
      <c r="F7694" t="s">
        <v>7672</v>
      </c>
      <c r="G7694" t="s">
        <v>24664</v>
      </c>
      <c r="H7694" t="s">
        <v>10298</v>
      </c>
      <c r="I7694" t="s">
        <v>16429</v>
      </c>
      <c r="J7694" t="s">
        <v>8439</v>
      </c>
    </row>
    <row r="7695" spans="1:10" x14ac:dyDescent="0.25">
      <c r="A7695" t="s">
        <v>24673</v>
      </c>
      <c r="B7695">
        <v>3.6</v>
      </c>
      <c r="C7695" t="s">
        <v>24674</v>
      </c>
      <c r="D7695" t="s">
        <v>593</v>
      </c>
      <c r="E7695" t="s">
        <v>24663</v>
      </c>
      <c r="F7695" t="s">
        <v>7672</v>
      </c>
      <c r="G7695" t="s">
        <v>24664</v>
      </c>
      <c r="H7695" t="s">
        <v>10298</v>
      </c>
      <c r="I7695" t="s">
        <v>11206</v>
      </c>
      <c r="J7695" t="s">
        <v>8439</v>
      </c>
    </row>
    <row r="7696" spans="1:10" x14ac:dyDescent="0.25">
      <c r="A7696" t="s">
        <v>24675</v>
      </c>
      <c r="B7696">
        <v>3.6</v>
      </c>
      <c r="C7696" t="s">
        <v>24676</v>
      </c>
      <c r="D7696" t="s">
        <v>11140</v>
      </c>
      <c r="E7696" t="s">
        <v>24663</v>
      </c>
      <c r="F7696" t="s">
        <v>7672</v>
      </c>
      <c r="G7696" t="s">
        <v>24664</v>
      </c>
      <c r="H7696" t="s">
        <v>10298</v>
      </c>
      <c r="I7696" t="s">
        <v>8158</v>
      </c>
      <c r="J7696" t="s">
        <v>8451</v>
      </c>
    </row>
    <row r="7697" spans="1:10" x14ac:dyDescent="0.25">
      <c r="A7697" t="s">
        <v>24677</v>
      </c>
      <c r="B7697">
        <v>3.6</v>
      </c>
      <c r="C7697" t="s">
        <v>24678</v>
      </c>
      <c r="D7697" t="s">
        <v>2596</v>
      </c>
      <c r="E7697" t="s">
        <v>24663</v>
      </c>
      <c r="F7697" t="s">
        <v>7672</v>
      </c>
      <c r="G7697" t="s">
        <v>24664</v>
      </c>
      <c r="H7697" t="s">
        <v>10298</v>
      </c>
      <c r="I7697" t="s">
        <v>16429</v>
      </c>
      <c r="J7697" t="s">
        <v>8451</v>
      </c>
    </row>
    <row r="7698" spans="1:10" x14ac:dyDescent="0.25">
      <c r="A7698" t="s">
        <v>24679</v>
      </c>
      <c r="B7698">
        <v>3.6</v>
      </c>
      <c r="C7698" t="s">
        <v>24680</v>
      </c>
      <c r="D7698" t="s">
        <v>1020</v>
      </c>
      <c r="E7698" t="s">
        <v>24663</v>
      </c>
      <c r="F7698" t="s">
        <v>7672</v>
      </c>
      <c r="G7698" t="s">
        <v>24664</v>
      </c>
      <c r="H7698" t="s">
        <v>10298</v>
      </c>
      <c r="I7698" t="s">
        <v>11206</v>
      </c>
      <c r="J7698" t="s">
        <v>8451</v>
      </c>
    </row>
    <row r="7699" spans="1:10" x14ac:dyDescent="0.25">
      <c r="A7699" t="s">
        <v>24681</v>
      </c>
      <c r="B7699">
        <v>11.6</v>
      </c>
      <c r="C7699" t="s">
        <v>24682</v>
      </c>
      <c r="D7699" t="s">
        <v>124</v>
      </c>
      <c r="E7699" t="s">
        <v>24683</v>
      </c>
      <c r="F7699" t="s">
        <v>7672</v>
      </c>
      <c r="G7699" t="s">
        <v>24684</v>
      </c>
      <c r="H7699" t="s">
        <v>8301</v>
      </c>
      <c r="I7699" t="s">
        <v>8158</v>
      </c>
      <c r="J7699" t="s">
        <v>8439</v>
      </c>
    </row>
    <row r="7700" spans="1:10" x14ac:dyDescent="0.25">
      <c r="A7700" t="s">
        <v>24685</v>
      </c>
      <c r="B7700">
        <v>11.6</v>
      </c>
      <c r="C7700" t="s">
        <v>24686</v>
      </c>
      <c r="D7700" t="s">
        <v>875</v>
      </c>
      <c r="E7700" t="s">
        <v>24683</v>
      </c>
      <c r="F7700" t="s">
        <v>7672</v>
      </c>
      <c r="G7700" t="s">
        <v>24684</v>
      </c>
      <c r="H7700" t="s">
        <v>8301</v>
      </c>
      <c r="I7700" t="s">
        <v>24687</v>
      </c>
      <c r="J7700" t="s">
        <v>8451</v>
      </c>
    </row>
    <row r="7701" spans="1:10" x14ac:dyDescent="0.25">
      <c r="A7701" t="s">
        <v>24688</v>
      </c>
      <c r="B7701">
        <v>11.6</v>
      </c>
      <c r="C7701" t="s">
        <v>24689</v>
      </c>
      <c r="D7701" t="s">
        <v>40</v>
      </c>
      <c r="E7701" t="s">
        <v>24683</v>
      </c>
      <c r="F7701" t="s">
        <v>7672</v>
      </c>
      <c r="G7701" t="s">
        <v>24684</v>
      </c>
      <c r="H7701" t="s">
        <v>8301</v>
      </c>
      <c r="I7701" t="s">
        <v>8158</v>
      </c>
      <c r="J7701" t="s">
        <v>8451</v>
      </c>
    </row>
    <row r="7702" spans="1:10" x14ac:dyDescent="0.25">
      <c r="A7702" t="s">
        <v>24690</v>
      </c>
      <c r="B7702">
        <v>11.6</v>
      </c>
      <c r="C7702" t="s">
        <v>24691</v>
      </c>
      <c r="D7702" t="s">
        <v>106</v>
      </c>
      <c r="E7702" t="s">
        <v>24683</v>
      </c>
      <c r="F7702" t="s">
        <v>7672</v>
      </c>
      <c r="G7702" t="s">
        <v>24684</v>
      </c>
      <c r="H7702" t="s">
        <v>8301</v>
      </c>
      <c r="I7702" t="s">
        <v>24692</v>
      </c>
      <c r="J7702" t="s">
        <v>8462</v>
      </c>
    </row>
    <row r="7703" spans="1:10" x14ac:dyDescent="0.25">
      <c r="A7703" t="s">
        <v>24693</v>
      </c>
      <c r="B7703">
        <v>11.6</v>
      </c>
      <c r="C7703" t="s">
        <v>24694</v>
      </c>
      <c r="D7703" t="s">
        <v>255</v>
      </c>
      <c r="E7703" t="s">
        <v>24683</v>
      </c>
      <c r="F7703" t="s">
        <v>7672</v>
      </c>
      <c r="G7703" t="s">
        <v>24684</v>
      </c>
      <c r="H7703" t="s">
        <v>8301</v>
      </c>
      <c r="I7703" t="s">
        <v>24687</v>
      </c>
      <c r="J7703" t="s">
        <v>8462</v>
      </c>
    </row>
    <row r="7704" spans="1:10" x14ac:dyDescent="0.25">
      <c r="A7704" t="s">
        <v>24695</v>
      </c>
      <c r="B7704">
        <v>11.6</v>
      </c>
      <c r="C7704" t="s">
        <v>24696</v>
      </c>
      <c r="D7704" t="s">
        <v>88</v>
      </c>
      <c r="E7704" t="s">
        <v>24683</v>
      </c>
      <c r="F7704" t="s">
        <v>7672</v>
      </c>
      <c r="G7704" t="s">
        <v>24684</v>
      </c>
      <c r="H7704" t="s">
        <v>8301</v>
      </c>
      <c r="I7704" t="s">
        <v>24697</v>
      </c>
      <c r="J7704" t="s">
        <v>8462</v>
      </c>
    </row>
    <row r="7705" spans="1:10" x14ac:dyDescent="0.25">
      <c r="A7705" t="s">
        <v>24698</v>
      </c>
      <c r="B7705">
        <v>11.6</v>
      </c>
      <c r="C7705" t="s">
        <v>24699</v>
      </c>
      <c r="D7705" t="s">
        <v>613</v>
      </c>
      <c r="E7705" t="s">
        <v>24683</v>
      </c>
      <c r="F7705" t="s">
        <v>7672</v>
      </c>
      <c r="G7705" t="s">
        <v>24684</v>
      </c>
      <c r="H7705" t="s">
        <v>8301</v>
      </c>
      <c r="I7705" t="s">
        <v>8158</v>
      </c>
      <c r="J7705" t="s">
        <v>8462</v>
      </c>
    </row>
    <row r="7706" spans="1:10" x14ac:dyDescent="0.25">
      <c r="A7706" t="s">
        <v>24700</v>
      </c>
      <c r="B7706">
        <v>8.4</v>
      </c>
      <c r="C7706" t="s">
        <v>24701</v>
      </c>
      <c r="D7706" t="s">
        <v>720</v>
      </c>
      <c r="E7706" t="s">
        <v>24702</v>
      </c>
      <c r="F7706" t="s">
        <v>7672</v>
      </c>
      <c r="G7706" t="s">
        <v>24703</v>
      </c>
      <c r="H7706" t="s">
        <v>7954</v>
      </c>
      <c r="I7706" t="s">
        <v>21802</v>
      </c>
      <c r="J7706" t="s">
        <v>7981</v>
      </c>
    </row>
    <row r="7707" spans="1:10" x14ac:dyDescent="0.25">
      <c r="A7707" t="s">
        <v>24704</v>
      </c>
      <c r="B7707">
        <v>8.4</v>
      </c>
      <c r="C7707" t="s">
        <v>24705</v>
      </c>
      <c r="D7707" t="s">
        <v>986</v>
      </c>
      <c r="E7707" t="s">
        <v>24702</v>
      </c>
      <c r="F7707" t="s">
        <v>7672</v>
      </c>
      <c r="G7707" t="s">
        <v>24703</v>
      </c>
      <c r="H7707" t="s">
        <v>7954</v>
      </c>
      <c r="I7707" t="s">
        <v>21802</v>
      </c>
      <c r="J7707" t="s">
        <v>7984</v>
      </c>
    </row>
    <row r="7708" spans="1:10" x14ac:dyDescent="0.25">
      <c r="A7708" t="s">
        <v>24706</v>
      </c>
      <c r="B7708">
        <v>8.4</v>
      </c>
      <c r="C7708" t="s">
        <v>24707</v>
      </c>
      <c r="D7708" t="s">
        <v>2149</v>
      </c>
      <c r="E7708" t="s">
        <v>24702</v>
      </c>
      <c r="F7708" t="s">
        <v>7672</v>
      </c>
      <c r="G7708" t="s">
        <v>24703</v>
      </c>
      <c r="H7708" t="s">
        <v>7954</v>
      </c>
      <c r="I7708" t="s">
        <v>21802</v>
      </c>
      <c r="J7708" t="s">
        <v>7987</v>
      </c>
    </row>
    <row r="7709" spans="1:10" x14ac:dyDescent="0.25">
      <c r="A7709" t="s">
        <v>24708</v>
      </c>
      <c r="B7709">
        <v>8.4</v>
      </c>
      <c r="C7709" t="s">
        <v>24709</v>
      </c>
      <c r="D7709" t="s">
        <v>1822</v>
      </c>
      <c r="E7709" t="s">
        <v>24702</v>
      </c>
      <c r="F7709" t="s">
        <v>7672</v>
      </c>
      <c r="G7709" t="s">
        <v>24703</v>
      </c>
      <c r="H7709" t="s">
        <v>7954</v>
      </c>
      <c r="I7709" t="s">
        <v>21802</v>
      </c>
      <c r="J7709" t="s">
        <v>8001</v>
      </c>
    </row>
    <row r="7710" spans="1:10" x14ac:dyDescent="0.25">
      <c r="A7710" t="s">
        <v>6956</v>
      </c>
      <c r="B7710">
        <v>7.5439999999999996</v>
      </c>
      <c r="C7710" t="s">
        <v>6958</v>
      </c>
      <c r="D7710" t="s">
        <v>396</v>
      </c>
      <c r="E7710" t="s">
        <v>6959</v>
      </c>
      <c r="F7710" t="s">
        <v>7672</v>
      </c>
      <c r="G7710" t="s">
        <v>24710</v>
      </c>
      <c r="H7710" t="s">
        <v>13897</v>
      </c>
      <c r="I7710" t="s">
        <v>6962</v>
      </c>
      <c r="J7710" t="s">
        <v>9423</v>
      </c>
    </row>
    <row r="7711" spans="1:10" x14ac:dyDescent="0.25">
      <c r="A7711" t="s">
        <v>6963</v>
      </c>
      <c r="B7711">
        <v>7.5439999999999996</v>
      </c>
      <c r="C7711" t="s">
        <v>6965</v>
      </c>
      <c r="D7711" t="s">
        <v>4322</v>
      </c>
      <c r="E7711" t="s">
        <v>6959</v>
      </c>
      <c r="F7711" t="s">
        <v>7672</v>
      </c>
      <c r="G7711" t="s">
        <v>24710</v>
      </c>
      <c r="H7711" t="s">
        <v>13897</v>
      </c>
      <c r="I7711" t="s">
        <v>6962</v>
      </c>
      <c r="J7711" t="s">
        <v>10862</v>
      </c>
    </row>
    <row r="7712" spans="1:10" x14ac:dyDescent="0.25">
      <c r="A7712" t="s">
        <v>6967</v>
      </c>
      <c r="B7712">
        <v>7.5439999999999996</v>
      </c>
      <c r="C7712" t="s">
        <v>6969</v>
      </c>
      <c r="D7712" t="s">
        <v>986</v>
      </c>
      <c r="E7712" t="s">
        <v>6959</v>
      </c>
      <c r="F7712" t="s">
        <v>7672</v>
      </c>
      <c r="G7712" t="s">
        <v>24710</v>
      </c>
      <c r="H7712" t="s">
        <v>13897</v>
      </c>
      <c r="I7712" t="s">
        <v>6962</v>
      </c>
      <c r="J7712" t="s">
        <v>9426</v>
      </c>
    </row>
    <row r="7713" spans="1:10" x14ac:dyDescent="0.25">
      <c r="A7713" t="s">
        <v>6971</v>
      </c>
      <c r="B7713">
        <v>7.5439999999999996</v>
      </c>
      <c r="C7713" t="s">
        <v>6973</v>
      </c>
      <c r="D7713" t="s">
        <v>1579</v>
      </c>
      <c r="E7713" t="s">
        <v>6959</v>
      </c>
      <c r="F7713" t="s">
        <v>7672</v>
      </c>
      <c r="G7713" t="s">
        <v>24710</v>
      </c>
      <c r="H7713" t="s">
        <v>13897</v>
      </c>
      <c r="I7713" t="s">
        <v>6962</v>
      </c>
      <c r="J7713" t="s">
        <v>13084</v>
      </c>
    </row>
    <row r="7714" spans="1:10" x14ac:dyDescent="0.25">
      <c r="A7714" t="s">
        <v>6975</v>
      </c>
      <c r="B7714">
        <v>7.5439999999999996</v>
      </c>
      <c r="C7714" t="s">
        <v>6977</v>
      </c>
      <c r="D7714" t="s">
        <v>664</v>
      </c>
      <c r="E7714" t="s">
        <v>6959</v>
      </c>
      <c r="F7714" t="s">
        <v>7672</v>
      </c>
      <c r="G7714" t="s">
        <v>24710</v>
      </c>
      <c r="H7714" t="s">
        <v>13897</v>
      </c>
      <c r="I7714" t="s">
        <v>6962</v>
      </c>
      <c r="J7714" t="s">
        <v>11767</v>
      </c>
    </row>
    <row r="7715" spans="1:10" x14ac:dyDescent="0.25">
      <c r="A7715" t="s">
        <v>6979</v>
      </c>
      <c r="B7715">
        <v>7.5439999999999996</v>
      </c>
      <c r="C7715" t="s">
        <v>6981</v>
      </c>
      <c r="D7715" t="s">
        <v>664</v>
      </c>
      <c r="E7715" t="s">
        <v>6959</v>
      </c>
      <c r="F7715" t="s">
        <v>7672</v>
      </c>
      <c r="G7715" t="s">
        <v>24710</v>
      </c>
      <c r="H7715" t="s">
        <v>13897</v>
      </c>
      <c r="I7715" t="s">
        <v>6962</v>
      </c>
      <c r="J7715" t="s">
        <v>11582</v>
      </c>
    </row>
    <row r="7716" spans="1:10" x14ac:dyDescent="0.25">
      <c r="A7716" t="s">
        <v>6983</v>
      </c>
      <c r="B7716">
        <v>7.5439999999999996</v>
      </c>
      <c r="C7716" t="s">
        <v>6985</v>
      </c>
      <c r="D7716" t="s">
        <v>588</v>
      </c>
      <c r="E7716" t="s">
        <v>6959</v>
      </c>
      <c r="F7716" t="s">
        <v>7672</v>
      </c>
      <c r="G7716" t="s">
        <v>24710</v>
      </c>
      <c r="H7716" t="s">
        <v>13897</v>
      </c>
      <c r="I7716" t="s">
        <v>6962</v>
      </c>
      <c r="J7716" t="s">
        <v>11585</v>
      </c>
    </row>
    <row r="7717" spans="1:10" x14ac:dyDescent="0.25">
      <c r="A7717" t="s">
        <v>24711</v>
      </c>
      <c r="B7717">
        <v>2.8</v>
      </c>
      <c r="C7717" t="s">
        <v>24712</v>
      </c>
      <c r="D7717" t="s">
        <v>124</v>
      </c>
      <c r="E7717" t="s">
        <v>24713</v>
      </c>
      <c r="F7717" t="s">
        <v>7672</v>
      </c>
      <c r="G7717" t="s">
        <v>24714</v>
      </c>
      <c r="H7717" t="s">
        <v>8515</v>
      </c>
      <c r="I7717" t="s">
        <v>935</v>
      </c>
      <c r="J7717" t="s">
        <v>100</v>
      </c>
    </row>
    <row r="7718" spans="1:10" x14ac:dyDescent="0.25">
      <c r="A7718" t="s">
        <v>24715</v>
      </c>
      <c r="B7718">
        <v>2.8</v>
      </c>
      <c r="C7718" t="s">
        <v>24716</v>
      </c>
      <c r="D7718" t="s">
        <v>3572</v>
      </c>
      <c r="E7718" t="s">
        <v>24713</v>
      </c>
      <c r="F7718" t="s">
        <v>7672</v>
      </c>
      <c r="G7718" t="s">
        <v>24714</v>
      </c>
      <c r="H7718" t="s">
        <v>8515</v>
      </c>
      <c r="I7718" t="s">
        <v>935</v>
      </c>
      <c r="J7718" t="s">
        <v>88</v>
      </c>
    </row>
    <row r="7719" spans="1:10" x14ac:dyDescent="0.25">
      <c r="A7719" t="s">
        <v>24717</v>
      </c>
      <c r="B7719">
        <v>2.8</v>
      </c>
      <c r="C7719" t="s">
        <v>24718</v>
      </c>
      <c r="D7719" t="s">
        <v>2488</v>
      </c>
      <c r="E7719" t="s">
        <v>24713</v>
      </c>
      <c r="F7719" t="s">
        <v>7672</v>
      </c>
      <c r="G7719" t="s">
        <v>24714</v>
      </c>
      <c r="H7719" t="s">
        <v>8515</v>
      </c>
      <c r="I7719" t="s">
        <v>935</v>
      </c>
      <c r="J7719" t="s">
        <v>131</v>
      </c>
    </row>
    <row r="7720" spans="1:10" x14ac:dyDescent="0.25">
      <c r="A7720" t="s">
        <v>24719</v>
      </c>
      <c r="B7720">
        <v>11.192</v>
      </c>
      <c r="C7720" t="s">
        <v>24720</v>
      </c>
      <c r="D7720" t="s">
        <v>100</v>
      </c>
      <c r="E7720" t="s">
        <v>24721</v>
      </c>
      <c r="F7720" t="s">
        <v>7672</v>
      </c>
      <c r="G7720" t="s">
        <v>24722</v>
      </c>
      <c r="H7720" t="s">
        <v>10298</v>
      </c>
      <c r="I7720" t="s">
        <v>24723</v>
      </c>
      <c r="J7720" t="s">
        <v>7942</v>
      </c>
    </row>
    <row r="7721" spans="1:10" x14ac:dyDescent="0.25">
      <c r="A7721" t="s">
        <v>24724</v>
      </c>
      <c r="B7721">
        <v>11.192</v>
      </c>
      <c r="C7721" t="s">
        <v>24725</v>
      </c>
      <c r="D7721" t="s">
        <v>849</v>
      </c>
      <c r="E7721" t="s">
        <v>24721</v>
      </c>
      <c r="F7721" t="s">
        <v>7672</v>
      </c>
      <c r="G7721" t="s">
        <v>24722</v>
      </c>
      <c r="H7721" t="s">
        <v>10298</v>
      </c>
      <c r="I7721" t="s">
        <v>24723</v>
      </c>
      <c r="J7721" t="s">
        <v>7984</v>
      </c>
    </row>
    <row r="7722" spans="1:10" x14ac:dyDescent="0.25">
      <c r="A7722" t="s">
        <v>24726</v>
      </c>
      <c r="B7722">
        <v>11.192</v>
      </c>
      <c r="C7722" t="s">
        <v>24727</v>
      </c>
      <c r="D7722" t="s">
        <v>330</v>
      </c>
      <c r="E7722" t="s">
        <v>24721</v>
      </c>
      <c r="F7722" t="s">
        <v>7672</v>
      </c>
      <c r="G7722" t="s">
        <v>24722</v>
      </c>
      <c r="H7722" t="s">
        <v>10298</v>
      </c>
      <c r="I7722" t="s">
        <v>24723</v>
      </c>
      <c r="J7722" t="s">
        <v>7987</v>
      </c>
    </row>
    <row r="7723" spans="1:10" x14ac:dyDescent="0.25">
      <c r="A7723" t="s">
        <v>24728</v>
      </c>
      <c r="B7723">
        <v>11.192</v>
      </c>
      <c r="C7723" t="s">
        <v>24729</v>
      </c>
      <c r="D7723" t="s">
        <v>588</v>
      </c>
      <c r="E7723" t="s">
        <v>24721</v>
      </c>
      <c r="F7723" t="s">
        <v>7672</v>
      </c>
      <c r="G7723" t="s">
        <v>24722</v>
      </c>
      <c r="H7723" t="s">
        <v>10298</v>
      </c>
      <c r="I7723" t="s">
        <v>24723</v>
      </c>
      <c r="J7723" t="s">
        <v>8001</v>
      </c>
    </row>
    <row r="7724" spans="1:10" x14ac:dyDescent="0.25">
      <c r="A7724" t="s">
        <v>24730</v>
      </c>
      <c r="B7724">
        <v>9.1760000000000002</v>
      </c>
      <c r="C7724" t="s">
        <v>24731</v>
      </c>
      <c r="D7724" t="s">
        <v>88</v>
      </c>
      <c r="E7724" t="s">
        <v>24732</v>
      </c>
      <c r="F7724" t="s">
        <v>7672</v>
      </c>
      <c r="G7724" t="s">
        <v>24733</v>
      </c>
      <c r="H7724" t="s">
        <v>16745</v>
      </c>
      <c r="I7724" t="s">
        <v>24734</v>
      </c>
      <c r="J7724" t="s">
        <v>7984</v>
      </c>
    </row>
    <row r="7725" spans="1:10" x14ac:dyDescent="0.25">
      <c r="A7725" t="s">
        <v>24735</v>
      </c>
      <c r="B7725">
        <v>9.1760000000000002</v>
      </c>
      <c r="C7725" t="s">
        <v>24736</v>
      </c>
      <c r="D7725" t="s">
        <v>53</v>
      </c>
      <c r="E7725" t="s">
        <v>24732</v>
      </c>
      <c r="F7725" t="s">
        <v>7672</v>
      </c>
      <c r="G7725" t="s">
        <v>24733</v>
      </c>
      <c r="H7725" t="s">
        <v>16745</v>
      </c>
      <c r="I7725" t="s">
        <v>8577</v>
      </c>
      <c r="J7725" t="s">
        <v>7984</v>
      </c>
    </row>
    <row r="7726" spans="1:10" x14ac:dyDescent="0.25">
      <c r="A7726" t="s">
        <v>24737</v>
      </c>
      <c r="B7726">
        <v>9.1760000000000002</v>
      </c>
      <c r="C7726" t="s">
        <v>24738</v>
      </c>
      <c r="D7726" t="s">
        <v>330</v>
      </c>
      <c r="E7726" t="s">
        <v>24732</v>
      </c>
      <c r="F7726" t="s">
        <v>7672</v>
      </c>
      <c r="G7726" t="s">
        <v>24733</v>
      </c>
      <c r="H7726" t="s">
        <v>16745</v>
      </c>
      <c r="I7726" t="s">
        <v>8577</v>
      </c>
      <c r="J7726" t="s">
        <v>7987</v>
      </c>
    </row>
    <row r="7727" spans="1:10" x14ac:dyDescent="0.25">
      <c r="A7727" t="s">
        <v>24739</v>
      </c>
      <c r="B7727">
        <v>9.1760000000000002</v>
      </c>
      <c r="C7727" t="s">
        <v>24740</v>
      </c>
      <c r="D7727" t="s">
        <v>118</v>
      </c>
      <c r="E7727" t="s">
        <v>24732</v>
      </c>
      <c r="F7727" t="s">
        <v>7672</v>
      </c>
      <c r="G7727" t="s">
        <v>24733</v>
      </c>
      <c r="H7727" t="s">
        <v>16745</v>
      </c>
      <c r="I7727" t="s">
        <v>24734</v>
      </c>
      <c r="J7727" t="s">
        <v>7987</v>
      </c>
    </row>
    <row r="7728" spans="1:10" x14ac:dyDescent="0.25">
      <c r="A7728" t="s">
        <v>24741</v>
      </c>
      <c r="B7728">
        <v>9.1760000000000002</v>
      </c>
      <c r="C7728" t="s">
        <v>24742</v>
      </c>
      <c r="D7728" t="s">
        <v>359</v>
      </c>
      <c r="E7728" t="s">
        <v>24732</v>
      </c>
      <c r="F7728" t="s">
        <v>7672</v>
      </c>
      <c r="G7728" t="s">
        <v>24733</v>
      </c>
      <c r="H7728" t="s">
        <v>16745</v>
      </c>
      <c r="I7728" t="s">
        <v>24734</v>
      </c>
      <c r="J7728" t="s">
        <v>8001</v>
      </c>
    </row>
    <row r="7729" spans="1:10" x14ac:dyDescent="0.25">
      <c r="A7729" t="s">
        <v>24743</v>
      </c>
      <c r="B7729">
        <v>9.1760000000000002</v>
      </c>
      <c r="C7729" t="s">
        <v>24744</v>
      </c>
      <c r="D7729" t="s">
        <v>95</v>
      </c>
      <c r="E7729" t="s">
        <v>24732</v>
      </c>
      <c r="F7729" t="s">
        <v>7672</v>
      </c>
      <c r="G7729" t="s">
        <v>24733</v>
      </c>
      <c r="H7729" t="s">
        <v>16745</v>
      </c>
      <c r="I7729" t="s">
        <v>8577</v>
      </c>
      <c r="J7729" t="s">
        <v>8001</v>
      </c>
    </row>
    <row r="7730" spans="1:10" x14ac:dyDescent="0.25">
      <c r="A7730" t="s">
        <v>24745</v>
      </c>
      <c r="B7730">
        <v>9.1760000000000002</v>
      </c>
      <c r="C7730" t="s">
        <v>24746</v>
      </c>
      <c r="D7730" t="s">
        <v>342</v>
      </c>
      <c r="E7730" t="s">
        <v>24732</v>
      </c>
      <c r="F7730" t="s">
        <v>7672</v>
      </c>
      <c r="G7730" t="s">
        <v>24733</v>
      </c>
      <c r="H7730" t="s">
        <v>16745</v>
      </c>
      <c r="I7730" t="s">
        <v>16746</v>
      </c>
      <c r="J7730" t="s">
        <v>8001</v>
      </c>
    </row>
    <row r="7731" spans="1:10" x14ac:dyDescent="0.25">
      <c r="A7731" t="s">
        <v>24747</v>
      </c>
      <c r="B7731">
        <v>9.1760000000000002</v>
      </c>
      <c r="C7731" t="s">
        <v>24748</v>
      </c>
      <c r="D7731" t="s">
        <v>53</v>
      </c>
      <c r="E7731" t="s">
        <v>24732</v>
      </c>
      <c r="F7731" t="s">
        <v>7672</v>
      </c>
      <c r="G7731" t="s">
        <v>24733</v>
      </c>
      <c r="H7731" t="s">
        <v>16745</v>
      </c>
      <c r="I7731" t="s">
        <v>24734</v>
      </c>
      <c r="J7731" t="s">
        <v>8013</v>
      </c>
    </row>
    <row r="7732" spans="1:10" x14ac:dyDescent="0.25">
      <c r="A7732" t="s">
        <v>24749</v>
      </c>
      <c r="B7732">
        <v>5.2</v>
      </c>
      <c r="C7732" t="s">
        <v>24750</v>
      </c>
      <c r="D7732" t="s">
        <v>164</v>
      </c>
      <c r="E7732" t="s">
        <v>24751</v>
      </c>
      <c r="F7732" t="s">
        <v>7672</v>
      </c>
      <c r="G7732" t="s">
        <v>24752</v>
      </c>
      <c r="H7732" t="s">
        <v>11496</v>
      </c>
      <c r="I7732" t="s">
        <v>5986</v>
      </c>
      <c r="J7732" t="s">
        <v>9426</v>
      </c>
    </row>
    <row r="7733" spans="1:10" x14ac:dyDescent="0.25">
      <c r="A7733" t="s">
        <v>24753</v>
      </c>
      <c r="B7733">
        <v>5.2</v>
      </c>
      <c r="C7733" t="s">
        <v>24754</v>
      </c>
      <c r="D7733" t="s">
        <v>286</v>
      </c>
      <c r="E7733" t="s">
        <v>24751</v>
      </c>
      <c r="F7733" t="s">
        <v>7672</v>
      </c>
      <c r="G7733" t="s">
        <v>24752</v>
      </c>
      <c r="H7733" t="s">
        <v>11496</v>
      </c>
      <c r="I7733" t="s">
        <v>5202</v>
      </c>
      <c r="J7733" t="s">
        <v>9426</v>
      </c>
    </row>
    <row r="7734" spans="1:10" x14ac:dyDescent="0.25">
      <c r="A7734" t="s">
        <v>24755</v>
      </c>
      <c r="B7734">
        <v>5.2</v>
      </c>
      <c r="C7734" t="s">
        <v>24756</v>
      </c>
      <c r="D7734" t="s">
        <v>106</v>
      </c>
      <c r="E7734" t="s">
        <v>24751</v>
      </c>
      <c r="F7734" t="s">
        <v>7672</v>
      </c>
      <c r="G7734" t="s">
        <v>24752</v>
      </c>
      <c r="H7734" t="s">
        <v>11496</v>
      </c>
      <c r="I7734" t="s">
        <v>5986</v>
      </c>
      <c r="J7734" t="s">
        <v>10862</v>
      </c>
    </row>
    <row r="7735" spans="1:10" x14ac:dyDescent="0.25">
      <c r="A7735" t="s">
        <v>24757</v>
      </c>
      <c r="B7735">
        <v>5.2</v>
      </c>
      <c r="C7735" t="s">
        <v>24758</v>
      </c>
      <c r="D7735" t="s">
        <v>250</v>
      </c>
      <c r="E7735" t="s">
        <v>24751</v>
      </c>
      <c r="F7735" t="s">
        <v>7672</v>
      </c>
      <c r="G7735" t="s">
        <v>24752</v>
      </c>
      <c r="H7735" t="s">
        <v>11496</v>
      </c>
      <c r="I7735" t="s">
        <v>5202</v>
      </c>
      <c r="J7735" t="s">
        <v>10862</v>
      </c>
    </row>
    <row r="7736" spans="1:10" x14ac:dyDescent="0.25">
      <c r="A7736" t="s">
        <v>24759</v>
      </c>
      <c r="B7736">
        <v>5.2</v>
      </c>
      <c r="C7736" t="s">
        <v>24760</v>
      </c>
      <c r="D7736" t="s">
        <v>269</v>
      </c>
      <c r="E7736" t="s">
        <v>24751</v>
      </c>
      <c r="F7736" t="s">
        <v>7672</v>
      </c>
      <c r="G7736" t="s">
        <v>24752</v>
      </c>
      <c r="H7736" t="s">
        <v>11496</v>
      </c>
      <c r="I7736" t="s">
        <v>1490</v>
      </c>
      <c r="J7736" t="s">
        <v>10862</v>
      </c>
    </row>
    <row r="7737" spans="1:10" x14ac:dyDescent="0.25">
      <c r="A7737" t="s">
        <v>24761</v>
      </c>
      <c r="B7737">
        <v>5.2</v>
      </c>
      <c r="C7737" t="s">
        <v>24762</v>
      </c>
      <c r="D7737" t="s">
        <v>2879</v>
      </c>
      <c r="E7737" t="s">
        <v>24751</v>
      </c>
      <c r="F7737" t="s">
        <v>7672</v>
      </c>
      <c r="G7737" t="s">
        <v>24752</v>
      </c>
      <c r="H7737" t="s">
        <v>11496</v>
      </c>
      <c r="I7737" t="s">
        <v>5202</v>
      </c>
      <c r="J7737" t="s">
        <v>13084</v>
      </c>
    </row>
    <row r="7738" spans="1:10" x14ac:dyDescent="0.25">
      <c r="A7738" t="s">
        <v>24763</v>
      </c>
      <c r="B7738">
        <v>5.2</v>
      </c>
      <c r="C7738" t="s">
        <v>24764</v>
      </c>
      <c r="D7738" t="s">
        <v>290</v>
      </c>
      <c r="E7738" t="s">
        <v>24751</v>
      </c>
      <c r="F7738" t="s">
        <v>7672</v>
      </c>
      <c r="G7738" t="s">
        <v>24752</v>
      </c>
      <c r="H7738" t="s">
        <v>11496</v>
      </c>
      <c r="I7738" t="s">
        <v>5986</v>
      </c>
      <c r="J7738" t="s">
        <v>13084</v>
      </c>
    </row>
    <row r="7739" spans="1:10" x14ac:dyDescent="0.25">
      <c r="A7739" t="s">
        <v>24765</v>
      </c>
      <c r="B7739">
        <v>5.2</v>
      </c>
      <c r="C7739" t="s">
        <v>24766</v>
      </c>
      <c r="D7739" t="s">
        <v>106</v>
      </c>
      <c r="E7739" t="s">
        <v>24751</v>
      </c>
      <c r="F7739" t="s">
        <v>7672</v>
      </c>
      <c r="G7739" t="s">
        <v>24752</v>
      </c>
      <c r="H7739" t="s">
        <v>11496</v>
      </c>
      <c r="I7739" t="s">
        <v>1490</v>
      </c>
      <c r="J7739" t="s">
        <v>13084</v>
      </c>
    </row>
    <row r="7740" spans="1:10" x14ac:dyDescent="0.25">
      <c r="A7740" t="s">
        <v>24767</v>
      </c>
      <c r="B7740">
        <v>5.2</v>
      </c>
      <c r="C7740" t="s">
        <v>24768</v>
      </c>
      <c r="D7740" t="s">
        <v>385</v>
      </c>
      <c r="E7740" t="s">
        <v>24751</v>
      </c>
      <c r="F7740" t="s">
        <v>7672</v>
      </c>
      <c r="G7740" t="s">
        <v>24752</v>
      </c>
      <c r="H7740" t="s">
        <v>11496</v>
      </c>
      <c r="I7740" t="s">
        <v>5202</v>
      </c>
      <c r="J7740" t="s">
        <v>11767</v>
      </c>
    </row>
    <row r="7741" spans="1:10" x14ac:dyDescent="0.25">
      <c r="A7741" t="s">
        <v>24769</v>
      </c>
      <c r="B7741">
        <v>5.2</v>
      </c>
      <c r="C7741" t="s">
        <v>24770</v>
      </c>
      <c r="D7741" t="s">
        <v>290</v>
      </c>
      <c r="E7741" t="s">
        <v>24751</v>
      </c>
      <c r="F7741" t="s">
        <v>7672</v>
      </c>
      <c r="G7741" t="s">
        <v>24752</v>
      </c>
      <c r="H7741" t="s">
        <v>11496</v>
      </c>
      <c r="I7741" t="s">
        <v>1490</v>
      </c>
      <c r="J7741" t="s">
        <v>11767</v>
      </c>
    </row>
    <row r="7742" spans="1:10" x14ac:dyDescent="0.25">
      <c r="A7742" t="s">
        <v>24771</v>
      </c>
      <c r="B7742">
        <v>15.6</v>
      </c>
      <c r="C7742" t="s">
        <v>24772</v>
      </c>
      <c r="D7742" t="s">
        <v>106</v>
      </c>
      <c r="E7742" t="s">
        <v>24773</v>
      </c>
      <c r="F7742" t="s">
        <v>7672</v>
      </c>
      <c r="G7742" t="s">
        <v>24774</v>
      </c>
      <c r="H7742" t="s">
        <v>8087</v>
      </c>
      <c r="I7742" t="s">
        <v>24775</v>
      </c>
      <c r="J7742" t="s">
        <v>240</v>
      </c>
    </row>
    <row r="7743" spans="1:10" x14ac:dyDescent="0.25">
      <c r="A7743" t="s">
        <v>24776</v>
      </c>
      <c r="B7743">
        <v>15.6</v>
      </c>
      <c r="C7743" t="s">
        <v>24777</v>
      </c>
      <c r="D7743" t="s">
        <v>576</v>
      </c>
      <c r="E7743" t="s">
        <v>24773</v>
      </c>
      <c r="F7743" t="s">
        <v>7672</v>
      </c>
      <c r="G7743" t="s">
        <v>24774</v>
      </c>
      <c r="H7743" t="s">
        <v>8087</v>
      </c>
      <c r="I7743" t="s">
        <v>24775</v>
      </c>
      <c r="J7743" t="s">
        <v>311</v>
      </c>
    </row>
    <row r="7744" spans="1:10" x14ac:dyDescent="0.25">
      <c r="A7744" t="s">
        <v>24778</v>
      </c>
      <c r="B7744">
        <v>15.6</v>
      </c>
      <c r="C7744" t="s">
        <v>24779</v>
      </c>
      <c r="D7744" t="s">
        <v>100</v>
      </c>
      <c r="E7744" t="s">
        <v>24773</v>
      </c>
      <c r="F7744" t="s">
        <v>7672</v>
      </c>
      <c r="G7744" t="s">
        <v>24774</v>
      </c>
      <c r="H7744" t="s">
        <v>8087</v>
      </c>
      <c r="I7744" t="s">
        <v>24775</v>
      </c>
      <c r="J7744" t="s">
        <v>875</v>
      </c>
    </row>
    <row r="7745" spans="1:10" x14ac:dyDescent="0.25">
      <c r="A7745" t="s">
        <v>24780</v>
      </c>
      <c r="B7745">
        <v>15.6</v>
      </c>
      <c r="C7745" t="s">
        <v>24781</v>
      </c>
      <c r="D7745" t="s">
        <v>290</v>
      </c>
      <c r="E7745" t="s">
        <v>24773</v>
      </c>
      <c r="F7745" t="s">
        <v>7672</v>
      </c>
      <c r="G7745" t="s">
        <v>24774</v>
      </c>
      <c r="H7745" t="s">
        <v>8087</v>
      </c>
      <c r="I7745" t="s">
        <v>24775</v>
      </c>
      <c r="J7745" t="s">
        <v>582</v>
      </c>
    </row>
    <row r="7746" spans="1:10" x14ac:dyDescent="0.25">
      <c r="A7746" t="s">
        <v>6987</v>
      </c>
      <c r="B7746">
        <v>13.496</v>
      </c>
      <c r="C7746" t="s">
        <v>6989</v>
      </c>
      <c r="D7746" t="s">
        <v>60</v>
      </c>
      <c r="E7746" t="s">
        <v>6990</v>
      </c>
      <c r="F7746" t="s">
        <v>7672</v>
      </c>
      <c r="G7746" t="s">
        <v>24782</v>
      </c>
      <c r="H7746" t="s">
        <v>18744</v>
      </c>
      <c r="I7746" t="s">
        <v>6857</v>
      </c>
      <c r="J7746" t="s">
        <v>7675</v>
      </c>
    </row>
    <row r="7747" spans="1:10" x14ac:dyDescent="0.25">
      <c r="A7747" t="s">
        <v>6993</v>
      </c>
      <c r="B7747">
        <v>13.496</v>
      </c>
      <c r="C7747" t="s">
        <v>6995</v>
      </c>
      <c r="D7747" t="s">
        <v>342</v>
      </c>
      <c r="E7747" t="s">
        <v>6990</v>
      </c>
      <c r="F7747" t="s">
        <v>7672</v>
      </c>
      <c r="G7747" t="s">
        <v>24782</v>
      </c>
      <c r="H7747" t="s">
        <v>18744</v>
      </c>
      <c r="I7747" t="s">
        <v>6851</v>
      </c>
      <c r="J7747" t="s">
        <v>7675</v>
      </c>
    </row>
    <row r="7748" spans="1:10" x14ac:dyDescent="0.25">
      <c r="A7748" t="s">
        <v>6997</v>
      </c>
      <c r="B7748">
        <v>13.496</v>
      </c>
      <c r="C7748" t="s">
        <v>6999</v>
      </c>
      <c r="D7748" t="s">
        <v>53</v>
      </c>
      <c r="E7748" t="s">
        <v>6990</v>
      </c>
      <c r="F7748" t="s">
        <v>7672</v>
      </c>
      <c r="G7748" t="s">
        <v>24782</v>
      </c>
      <c r="H7748" t="s">
        <v>18744</v>
      </c>
      <c r="I7748" t="s">
        <v>76</v>
      </c>
      <c r="J7748" t="s">
        <v>7675</v>
      </c>
    </row>
    <row r="7749" spans="1:10" x14ac:dyDescent="0.25">
      <c r="A7749" t="s">
        <v>7002</v>
      </c>
      <c r="B7749">
        <v>13.496</v>
      </c>
      <c r="C7749" t="s">
        <v>7004</v>
      </c>
      <c r="D7749" t="s">
        <v>53</v>
      </c>
      <c r="E7749" t="s">
        <v>6990</v>
      </c>
      <c r="F7749" t="s">
        <v>7672</v>
      </c>
      <c r="G7749" t="s">
        <v>24782</v>
      </c>
      <c r="H7749" t="s">
        <v>18744</v>
      </c>
      <c r="I7749" t="s">
        <v>6851</v>
      </c>
      <c r="J7749" t="s">
        <v>7686</v>
      </c>
    </row>
    <row r="7750" spans="1:10" x14ac:dyDescent="0.25">
      <c r="A7750" t="s">
        <v>7007</v>
      </c>
      <c r="B7750">
        <v>13.496</v>
      </c>
      <c r="C7750" t="s">
        <v>7009</v>
      </c>
      <c r="D7750" t="s">
        <v>60</v>
      </c>
      <c r="E7750" t="s">
        <v>6990</v>
      </c>
      <c r="F7750" t="s">
        <v>7672</v>
      </c>
      <c r="G7750" t="s">
        <v>24782</v>
      </c>
      <c r="H7750" t="s">
        <v>18744</v>
      </c>
      <c r="I7750" t="s">
        <v>6857</v>
      </c>
      <c r="J7750" t="s">
        <v>7686</v>
      </c>
    </row>
    <row r="7751" spans="1:10" x14ac:dyDescent="0.25">
      <c r="A7751" t="s">
        <v>7011</v>
      </c>
      <c r="B7751">
        <v>13.496</v>
      </c>
      <c r="C7751" t="s">
        <v>7013</v>
      </c>
      <c r="D7751" t="s">
        <v>53</v>
      </c>
      <c r="E7751" t="s">
        <v>6990</v>
      </c>
      <c r="F7751" t="s">
        <v>7672</v>
      </c>
      <c r="G7751" t="s">
        <v>24782</v>
      </c>
      <c r="H7751" t="s">
        <v>18744</v>
      </c>
      <c r="I7751" t="s">
        <v>24596</v>
      </c>
      <c r="J7751" t="s">
        <v>7686</v>
      </c>
    </row>
    <row r="7752" spans="1:10" x14ac:dyDescent="0.25">
      <c r="A7752" t="s">
        <v>7016</v>
      </c>
      <c r="B7752">
        <v>13.496</v>
      </c>
      <c r="C7752" t="s">
        <v>7018</v>
      </c>
      <c r="D7752" t="s">
        <v>106</v>
      </c>
      <c r="E7752" t="s">
        <v>6990</v>
      </c>
      <c r="F7752" t="s">
        <v>7672</v>
      </c>
      <c r="G7752" t="s">
        <v>24782</v>
      </c>
      <c r="H7752" t="s">
        <v>18744</v>
      </c>
      <c r="I7752" t="s">
        <v>76</v>
      </c>
      <c r="J7752" t="s">
        <v>7686</v>
      </c>
    </row>
    <row r="7753" spans="1:10" x14ac:dyDescent="0.25">
      <c r="A7753" t="s">
        <v>7020</v>
      </c>
      <c r="B7753">
        <v>13.496</v>
      </c>
      <c r="C7753" t="s">
        <v>7022</v>
      </c>
      <c r="D7753" t="s">
        <v>53</v>
      </c>
      <c r="E7753" t="s">
        <v>6990</v>
      </c>
      <c r="F7753" t="s">
        <v>7672</v>
      </c>
      <c r="G7753" t="s">
        <v>24782</v>
      </c>
      <c r="H7753" t="s">
        <v>18744</v>
      </c>
      <c r="I7753" t="s">
        <v>24596</v>
      </c>
      <c r="J7753" t="s">
        <v>7719</v>
      </c>
    </row>
    <row r="7754" spans="1:10" x14ac:dyDescent="0.25">
      <c r="A7754" t="s">
        <v>24783</v>
      </c>
      <c r="B7754">
        <v>6.4</v>
      </c>
      <c r="C7754" t="s">
        <v>24784</v>
      </c>
      <c r="D7754" t="s">
        <v>835</v>
      </c>
      <c r="E7754" t="s">
        <v>7027</v>
      </c>
      <c r="F7754" t="s">
        <v>7672</v>
      </c>
      <c r="G7754" t="s">
        <v>24785</v>
      </c>
      <c r="H7754" t="s">
        <v>11496</v>
      </c>
      <c r="I7754" t="s">
        <v>1490</v>
      </c>
      <c r="J7754" t="s">
        <v>9423</v>
      </c>
    </row>
    <row r="7755" spans="1:10" x14ac:dyDescent="0.25">
      <c r="A7755" t="s">
        <v>7024</v>
      </c>
      <c r="B7755">
        <v>6.4</v>
      </c>
      <c r="C7755" t="s">
        <v>7026</v>
      </c>
      <c r="D7755" t="s">
        <v>613</v>
      </c>
      <c r="E7755" t="s">
        <v>7027</v>
      </c>
      <c r="F7755" t="s">
        <v>7672</v>
      </c>
      <c r="G7755" t="s">
        <v>24785</v>
      </c>
      <c r="H7755" t="s">
        <v>11496</v>
      </c>
      <c r="I7755" t="s">
        <v>1490</v>
      </c>
      <c r="J7755" t="s">
        <v>9426</v>
      </c>
    </row>
    <row r="7756" spans="1:10" x14ac:dyDescent="0.25">
      <c r="A7756" t="s">
        <v>7030</v>
      </c>
      <c r="B7756">
        <v>6.4</v>
      </c>
      <c r="C7756" t="s">
        <v>7032</v>
      </c>
      <c r="D7756" t="s">
        <v>286</v>
      </c>
      <c r="E7756" t="s">
        <v>7027</v>
      </c>
      <c r="F7756" t="s">
        <v>7672</v>
      </c>
      <c r="G7756" t="s">
        <v>24785</v>
      </c>
      <c r="H7756" t="s">
        <v>11496</v>
      </c>
      <c r="I7756" t="s">
        <v>1490</v>
      </c>
      <c r="J7756" t="s">
        <v>13084</v>
      </c>
    </row>
    <row r="7757" spans="1:10" x14ac:dyDescent="0.25">
      <c r="A7757" t="s">
        <v>7034</v>
      </c>
      <c r="B7757">
        <v>6.4</v>
      </c>
      <c r="C7757" t="s">
        <v>7036</v>
      </c>
      <c r="D7757" t="s">
        <v>698</v>
      </c>
      <c r="E7757" t="s">
        <v>7027</v>
      </c>
      <c r="F7757" t="s">
        <v>7672</v>
      </c>
      <c r="G7757" t="s">
        <v>24785</v>
      </c>
      <c r="H7757" t="s">
        <v>11496</v>
      </c>
      <c r="I7757" t="s">
        <v>1490</v>
      </c>
      <c r="J7757" t="s">
        <v>11767</v>
      </c>
    </row>
    <row r="7758" spans="1:10" x14ac:dyDescent="0.25">
      <c r="A7758" t="s">
        <v>24786</v>
      </c>
      <c r="B7758">
        <v>9.9920000000000009</v>
      </c>
      <c r="C7758" t="s">
        <v>24787</v>
      </c>
      <c r="D7758" t="s">
        <v>2381</v>
      </c>
      <c r="E7758" t="s">
        <v>24788</v>
      </c>
      <c r="F7758" t="s">
        <v>7672</v>
      </c>
      <c r="G7758" t="s">
        <v>24789</v>
      </c>
      <c r="H7758" t="s">
        <v>12232</v>
      </c>
      <c r="I7758" t="s">
        <v>76</v>
      </c>
      <c r="J7758" t="s">
        <v>8451</v>
      </c>
    </row>
    <row r="7759" spans="1:10" x14ac:dyDescent="0.25">
      <c r="A7759" t="s">
        <v>24790</v>
      </c>
      <c r="B7759">
        <v>9</v>
      </c>
      <c r="C7759" t="s">
        <v>24791</v>
      </c>
      <c r="D7759" t="s">
        <v>106</v>
      </c>
      <c r="E7759" t="s">
        <v>24792</v>
      </c>
      <c r="F7759" t="s">
        <v>7672</v>
      </c>
      <c r="G7759" t="s">
        <v>24793</v>
      </c>
      <c r="H7759" t="s">
        <v>16977</v>
      </c>
      <c r="I7759" t="s">
        <v>24794</v>
      </c>
      <c r="J7759" t="s">
        <v>16985</v>
      </c>
    </row>
    <row r="7760" spans="1:10" x14ac:dyDescent="0.25">
      <c r="A7760" t="s">
        <v>24795</v>
      </c>
      <c r="B7760">
        <v>6.7120000000000006</v>
      </c>
      <c r="C7760" t="s">
        <v>24796</v>
      </c>
      <c r="D7760" t="s">
        <v>352</v>
      </c>
      <c r="E7760" t="s">
        <v>24797</v>
      </c>
      <c r="F7760" t="s">
        <v>7672</v>
      </c>
      <c r="G7760" t="s">
        <v>24798</v>
      </c>
      <c r="H7760" t="s">
        <v>10298</v>
      </c>
      <c r="I7760" t="s">
        <v>14701</v>
      </c>
      <c r="J7760" t="s">
        <v>8980</v>
      </c>
    </row>
    <row r="7761" spans="1:10" x14ac:dyDescent="0.25">
      <c r="A7761" t="s">
        <v>24799</v>
      </c>
      <c r="B7761">
        <v>6.7120000000000006</v>
      </c>
      <c r="C7761" t="s">
        <v>24800</v>
      </c>
      <c r="D7761" t="s">
        <v>330</v>
      </c>
      <c r="E7761" t="s">
        <v>24797</v>
      </c>
      <c r="F7761" t="s">
        <v>7672</v>
      </c>
      <c r="G7761" t="s">
        <v>24798</v>
      </c>
      <c r="H7761" t="s">
        <v>10298</v>
      </c>
      <c r="I7761" t="s">
        <v>76</v>
      </c>
      <c r="J7761" t="s">
        <v>8980</v>
      </c>
    </row>
    <row r="7762" spans="1:10" x14ac:dyDescent="0.25">
      <c r="A7762" t="s">
        <v>24801</v>
      </c>
      <c r="B7762">
        <v>6.7120000000000006</v>
      </c>
      <c r="C7762" t="s">
        <v>24802</v>
      </c>
      <c r="D7762" t="s">
        <v>2697</v>
      </c>
      <c r="E7762" t="s">
        <v>24797</v>
      </c>
      <c r="F7762" t="s">
        <v>7672</v>
      </c>
      <c r="G7762" t="s">
        <v>24798</v>
      </c>
      <c r="H7762" t="s">
        <v>10298</v>
      </c>
      <c r="I7762" t="s">
        <v>14842</v>
      </c>
      <c r="J7762" t="s">
        <v>8980</v>
      </c>
    </row>
    <row r="7763" spans="1:10" x14ac:dyDescent="0.25">
      <c r="A7763" t="s">
        <v>24803</v>
      </c>
      <c r="B7763">
        <v>6.7120000000000006</v>
      </c>
      <c r="C7763" t="s">
        <v>24804</v>
      </c>
      <c r="D7763" t="s">
        <v>301</v>
      </c>
      <c r="E7763" t="s">
        <v>24797</v>
      </c>
      <c r="F7763" t="s">
        <v>7672</v>
      </c>
      <c r="G7763" t="s">
        <v>24798</v>
      </c>
      <c r="H7763" t="s">
        <v>10298</v>
      </c>
      <c r="I7763" t="s">
        <v>76</v>
      </c>
      <c r="J7763" t="s">
        <v>53</v>
      </c>
    </row>
    <row r="7764" spans="1:10" x14ac:dyDescent="0.25">
      <c r="A7764" t="s">
        <v>24805</v>
      </c>
      <c r="B7764">
        <v>6.7120000000000006</v>
      </c>
      <c r="C7764" t="s">
        <v>24806</v>
      </c>
      <c r="D7764" t="s">
        <v>95</v>
      </c>
      <c r="E7764" t="s">
        <v>24797</v>
      </c>
      <c r="F7764" t="s">
        <v>7672</v>
      </c>
      <c r="G7764" t="s">
        <v>24798</v>
      </c>
      <c r="H7764" t="s">
        <v>10298</v>
      </c>
      <c r="I7764" t="s">
        <v>14701</v>
      </c>
      <c r="J7764" t="s">
        <v>53</v>
      </c>
    </row>
    <row r="7765" spans="1:10" x14ac:dyDescent="0.25">
      <c r="A7765" t="s">
        <v>24807</v>
      </c>
      <c r="B7765">
        <v>6.7120000000000006</v>
      </c>
      <c r="C7765" t="s">
        <v>24808</v>
      </c>
      <c r="D7765" t="s">
        <v>240</v>
      </c>
      <c r="E7765" t="s">
        <v>24797</v>
      </c>
      <c r="F7765" t="s">
        <v>7672</v>
      </c>
      <c r="G7765" t="s">
        <v>24798</v>
      </c>
      <c r="H7765" t="s">
        <v>10298</v>
      </c>
      <c r="I7765" t="s">
        <v>14842</v>
      </c>
      <c r="J7765" t="s">
        <v>53</v>
      </c>
    </row>
    <row r="7766" spans="1:10" x14ac:dyDescent="0.25">
      <c r="A7766" t="s">
        <v>24809</v>
      </c>
      <c r="B7766">
        <v>6.7120000000000006</v>
      </c>
      <c r="C7766" t="s">
        <v>24810</v>
      </c>
      <c r="D7766" t="s">
        <v>835</v>
      </c>
      <c r="E7766" t="s">
        <v>24797</v>
      </c>
      <c r="F7766" t="s">
        <v>7672</v>
      </c>
      <c r="G7766" t="s">
        <v>24798</v>
      </c>
      <c r="H7766" t="s">
        <v>10298</v>
      </c>
      <c r="I7766" t="s">
        <v>76</v>
      </c>
      <c r="J7766" t="s">
        <v>342</v>
      </c>
    </row>
    <row r="7767" spans="1:10" x14ac:dyDescent="0.25">
      <c r="A7767" t="s">
        <v>24811</v>
      </c>
      <c r="B7767">
        <v>6.7120000000000006</v>
      </c>
      <c r="C7767" t="s">
        <v>24812</v>
      </c>
      <c r="D7767" t="s">
        <v>849</v>
      </c>
      <c r="E7767" t="s">
        <v>24797</v>
      </c>
      <c r="F7767" t="s">
        <v>7672</v>
      </c>
      <c r="G7767" t="s">
        <v>24798</v>
      </c>
      <c r="H7767" t="s">
        <v>10298</v>
      </c>
      <c r="I7767" t="s">
        <v>14842</v>
      </c>
      <c r="J7767" t="s">
        <v>342</v>
      </c>
    </row>
    <row r="7768" spans="1:10" x14ac:dyDescent="0.25">
      <c r="A7768" t="s">
        <v>24813</v>
      </c>
      <c r="B7768">
        <v>6.7120000000000006</v>
      </c>
      <c r="C7768" t="s">
        <v>24814</v>
      </c>
      <c r="D7768" t="s">
        <v>95</v>
      </c>
      <c r="E7768" t="s">
        <v>24797</v>
      </c>
      <c r="F7768" t="s">
        <v>7672</v>
      </c>
      <c r="G7768" t="s">
        <v>24798</v>
      </c>
      <c r="H7768" t="s">
        <v>10298</v>
      </c>
      <c r="I7768" t="s">
        <v>14701</v>
      </c>
      <c r="J7768" t="s">
        <v>342</v>
      </c>
    </row>
    <row r="7769" spans="1:10" x14ac:dyDescent="0.25">
      <c r="A7769" t="s">
        <v>24815</v>
      </c>
      <c r="B7769">
        <v>6.7120000000000006</v>
      </c>
      <c r="C7769" t="s">
        <v>24816</v>
      </c>
      <c r="D7769" t="s">
        <v>301</v>
      </c>
      <c r="E7769" t="s">
        <v>24797</v>
      </c>
      <c r="F7769" t="s">
        <v>7672</v>
      </c>
      <c r="G7769" t="s">
        <v>24798</v>
      </c>
      <c r="H7769" t="s">
        <v>10298</v>
      </c>
      <c r="I7769" t="s">
        <v>76</v>
      </c>
      <c r="J7769" t="s">
        <v>106</v>
      </c>
    </row>
    <row r="7770" spans="1:10" x14ac:dyDescent="0.25">
      <c r="A7770" t="s">
        <v>24817</v>
      </c>
      <c r="B7770">
        <v>6.7120000000000006</v>
      </c>
      <c r="C7770" t="s">
        <v>24818</v>
      </c>
      <c r="D7770" t="s">
        <v>835</v>
      </c>
      <c r="E7770" t="s">
        <v>24797</v>
      </c>
      <c r="F7770" t="s">
        <v>7672</v>
      </c>
      <c r="G7770" t="s">
        <v>24798</v>
      </c>
      <c r="H7770" t="s">
        <v>10298</v>
      </c>
      <c r="I7770" t="s">
        <v>14842</v>
      </c>
      <c r="J7770" t="s">
        <v>106</v>
      </c>
    </row>
    <row r="7771" spans="1:10" x14ac:dyDescent="0.25">
      <c r="A7771" t="s">
        <v>24819</v>
      </c>
      <c r="B7771">
        <v>6.7120000000000006</v>
      </c>
      <c r="C7771" t="s">
        <v>24820</v>
      </c>
      <c r="D7771" t="s">
        <v>330</v>
      </c>
      <c r="E7771" t="s">
        <v>24797</v>
      </c>
      <c r="F7771" t="s">
        <v>7672</v>
      </c>
      <c r="G7771" t="s">
        <v>24798</v>
      </c>
      <c r="H7771" t="s">
        <v>10298</v>
      </c>
      <c r="I7771" t="s">
        <v>14701</v>
      </c>
      <c r="J7771" t="s">
        <v>106</v>
      </c>
    </row>
    <row r="7772" spans="1:10" x14ac:dyDescent="0.25">
      <c r="A7772" t="s">
        <v>24821</v>
      </c>
      <c r="B7772">
        <v>6.7120000000000006</v>
      </c>
      <c r="C7772" t="s">
        <v>24822</v>
      </c>
      <c r="D7772" t="s">
        <v>366</v>
      </c>
      <c r="E7772" t="s">
        <v>24797</v>
      </c>
      <c r="F7772" t="s">
        <v>7672</v>
      </c>
      <c r="G7772" t="s">
        <v>24798</v>
      </c>
      <c r="H7772" t="s">
        <v>10298</v>
      </c>
      <c r="I7772" t="s">
        <v>76</v>
      </c>
      <c r="J7772" t="s">
        <v>131</v>
      </c>
    </row>
    <row r="7773" spans="1:10" x14ac:dyDescent="0.25">
      <c r="A7773" t="s">
        <v>24823</v>
      </c>
      <c r="B7773">
        <v>10.4</v>
      </c>
      <c r="C7773" t="s">
        <v>24824</v>
      </c>
      <c r="D7773" t="s">
        <v>2371</v>
      </c>
      <c r="E7773" t="s">
        <v>24825</v>
      </c>
      <c r="F7773" t="s">
        <v>7672</v>
      </c>
      <c r="G7773" t="s">
        <v>24826</v>
      </c>
      <c r="H7773" t="s">
        <v>15122</v>
      </c>
      <c r="I7773" t="s">
        <v>1440</v>
      </c>
      <c r="J7773" t="s">
        <v>11767</v>
      </c>
    </row>
    <row r="7774" spans="1:10" x14ac:dyDescent="0.25">
      <c r="A7774" t="s">
        <v>24827</v>
      </c>
      <c r="B7774">
        <v>10.4</v>
      </c>
      <c r="C7774" t="s">
        <v>24828</v>
      </c>
      <c r="D7774" t="s">
        <v>8618</v>
      </c>
      <c r="E7774" t="s">
        <v>24825</v>
      </c>
      <c r="F7774" t="s">
        <v>7672</v>
      </c>
      <c r="G7774" t="s">
        <v>24826</v>
      </c>
      <c r="H7774" t="s">
        <v>15122</v>
      </c>
      <c r="I7774" t="s">
        <v>1440</v>
      </c>
      <c r="J7774" t="s">
        <v>11582</v>
      </c>
    </row>
    <row r="7775" spans="1:10" x14ac:dyDescent="0.25">
      <c r="A7775" t="s">
        <v>24829</v>
      </c>
      <c r="B7775">
        <v>10.4</v>
      </c>
      <c r="C7775" t="s">
        <v>24830</v>
      </c>
      <c r="D7775" t="s">
        <v>5592</v>
      </c>
      <c r="E7775" t="s">
        <v>24825</v>
      </c>
      <c r="F7775" t="s">
        <v>7672</v>
      </c>
      <c r="G7775" t="s">
        <v>24826</v>
      </c>
      <c r="H7775" t="s">
        <v>15122</v>
      </c>
      <c r="I7775" t="s">
        <v>1440</v>
      </c>
      <c r="J7775" t="s">
        <v>11585</v>
      </c>
    </row>
    <row r="7776" spans="1:10" x14ac:dyDescent="0.25">
      <c r="A7776" t="s">
        <v>24831</v>
      </c>
      <c r="B7776">
        <v>10.4</v>
      </c>
      <c r="C7776" t="s">
        <v>24832</v>
      </c>
      <c r="D7776" t="s">
        <v>18881</v>
      </c>
      <c r="E7776" t="s">
        <v>24825</v>
      </c>
      <c r="F7776" t="s">
        <v>7672</v>
      </c>
      <c r="G7776" t="s">
        <v>24826</v>
      </c>
      <c r="H7776" t="s">
        <v>15122</v>
      </c>
      <c r="I7776" t="s">
        <v>1440</v>
      </c>
      <c r="J7776" t="s">
        <v>10369</v>
      </c>
    </row>
    <row r="7777" spans="1:10" x14ac:dyDescent="0.25">
      <c r="A7777" t="s">
        <v>24833</v>
      </c>
      <c r="B7777">
        <v>10.4</v>
      </c>
      <c r="C7777" t="s">
        <v>24834</v>
      </c>
      <c r="D7777" t="s">
        <v>19854</v>
      </c>
      <c r="E7777" t="s">
        <v>24825</v>
      </c>
      <c r="F7777" t="s">
        <v>7672</v>
      </c>
      <c r="G7777" t="s">
        <v>24826</v>
      </c>
      <c r="H7777" t="s">
        <v>15122</v>
      </c>
      <c r="I7777" t="s">
        <v>1440</v>
      </c>
      <c r="J7777" t="s">
        <v>11590</v>
      </c>
    </row>
    <row r="7778" spans="1:10" x14ac:dyDescent="0.25">
      <c r="A7778" t="s">
        <v>24835</v>
      </c>
      <c r="B7778">
        <v>10.4</v>
      </c>
      <c r="C7778" t="s">
        <v>24836</v>
      </c>
      <c r="D7778" t="s">
        <v>3613</v>
      </c>
      <c r="E7778" t="s">
        <v>24825</v>
      </c>
      <c r="F7778" t="s">
        <v>7672</v>
      </c>
      <c r="G7778" t="s">
        <v>24826</v>
      </c>
      <c r="H7778" t="s">
        <v>15122</v>
      </c>
      <c r="I7778" t="s">
        <v>1440</v>
      </c>
      <c r="J7778" t="s">
        <v>11593</v>
      </c>
    </row>
    <row r="7779" spans="1:10" x14ac:dyDescent="0.25">
      <c r="A7779" t="s">
        <v>24837</v>
      </c>
      <c r="B7779">
        <v>5.9359999999999999</v>
      </c>
      <c r="C7779" t="s">
        <v>24838</v>
      </c>
      <c r="D7779" t="s">
        <v>720</v>
      </c>
      <c r="E7779" t="s">
        <v>24839</v>
      </c>
      <c r="F7779" t="s">
        <v>7672</v>
      </c>
      <c r="G7779" t="s">
        <v>24840</v>
      </c>
      <c r="H7779" t="s">
        <v>9693</v>
      </c>
      <c r="I7779" t="s">
        <v>497</v>
      </c>
      <c r="J7779" t="s">
        <v>9694</v>
      </c>
    </row>
    <row r="7780" spans="1:10" x14ac:dyDescent="0.25">
      <c r="A7780" t="s">
        <v>24841</v>
      </c>
      <c r="B7780">
        <v>11.44</v>
      </c>
      <c r="C7780" t="s">
        <v>24842</v>
      </c>
      <c r="D7780" t="s">
        <v>908</v>
      </c>
      <c r="E7780" t="s">
        <v>24843</v>
      </c>
      <c r="F7780" t="s">
        <v>7672</v>
      </c>
      <c r="G7780" t="s">
        <v>24844</v>
      </c>
      <c r="H7780" t="s">
        <v>12519</v>
      </c>
      <c r="I7780" t="s">
        <v>18854</v>
      </c>
      <c r="J7780" t="s">
        <v>7981</v>
      </c>
    </row>
    <row r="7781" spans="1:10" x14ac:dyDescent="0.25">
      <c r="A7781" t="s">
        <v>24845</v>
      </c>
      <c r="B7781">
        <v>11.44</v>
      </c>
      <c r="C7781" t="s">
        <v>24846</v>
      </c>
      <c r="D7781" t="s">
        <v>2797</v>
      </c>
      <c r="E7781" t="s">
        <v>24843</v>
      </c>
      <c r="F7781" t="s">
        <v>7672</v>
      </c>
      <c r="G7781" t="s">
        <v>24844</v>
      </c>
      <c r="H7781" t="s">
        <v>12519</v>
      </c>
      <c r="I7781" t="s">
        <v>18854</v>
      </c>
      <c r="J7781" t="s">
        <v>7984</v>
      </c>
    </row>
    <row r="7782" spans="1:10" x14ac:dyDescent="0.25">
      <c r="A7782" t="s">
        <v>24847</v>
      </c>
      <c r="B7782">
        <v>11.192</v>
      </c>
      <c r="C7782" t="s">
        <v>24848</v>
      </c>
      <c r="D7782" t="s">
        <v>88</v>
      </c>
      <c r="E7782" t="s">
        <v>24849</v>
      </c>
      <c r="F7782" t="s">
        <v>7672</v>
      </c>
      <c r="G7782" t="s">
        <v>24850</v>
      </c>
      <c r="H7782" t="s">
        <v>9127</v>
      </c>
      <c r="I7782" t="s">
        <v>24851</v>
      </c>
      <c r="J7782" t="s">
        <v>8462</v>
      </c>
    </row>
    <row r="7783" spans="1:10" x14ac:dyDescent="0.25">
      <c r="A7783" t="s">
        <v>24852</v>
      </c>
      <c r="B7783">
        <v>11.192</v>
      </c>
      <c r="C7783" t="s">
        <v>24853</v>
      </c>
      <c r="D7783" t="s">
        <v>100</v>
      </c>
      <c r="E7783" t="s">
        <v>24849</v>
      </c>
      <c r="F7783" t="s">
        <v>7672</v>
      </c>
      <c r="G7783" t="s">
        <v>24850</v>
      </c>
      <c r="H7783" t="s">
        <v>9127</v>
      </c>
      <c r="I7783" t="s">
        <v>10117</v>
      </c>
      <c r="J7783" t="s">
        <v>8462</v>
      </c>
    </row>
    <row r="7784" spans="1:10" x14ac:dyDescent="0.25">
      <c r="A7784" t="s">
        <v>24854</v>
      </c>
      <c r="B7784">
        <v>9</v>
      </c>
      <c r="C7784" t="s">
        <v>24855</v>
      </c>
      <c r="D7784" t="s">
        <v>164</v>
      </c>
      <c r="E7784" t="s">
        <v>24856</v>
      </c>
      <c r="F7784" t="s">
        <v>7672</v>
      </c>
      <c r="G7784" t="s">
        <v>24857</v>
      </c>
      <c r="H7784" t="s">
        <v>8027</v>
      </c>
      <c r="I7784" t="s">
        <v>8257</v>
      </c>
      <c r="J7784" t="s">
        <v>7981</v>
      </c>
    </row>
    <row r="7785" spans="1:10" x14ac:dyDescent="0.25">
      <c r="A7785" t="s">
        <v>24858</v>
      </c>
      <c r="B7785">
        <v>9</v>
      </c>
      <c r="C7785" t="s">
        <v>24859</v>
      </c>
      <c r="D7785" t="s">
        <v>1134</v>
      </c>
      <c r="E7785" t="s">
        <v>24856</v>
      </c>
      <c r="F7785" t="s">
        <v>7672</v>
      </c>
      <c r="G7785" t="s">
        <v>24857</v>
      </c>
      <c r="H7785" t="s">
        <v>8027</v>
      </c>
      <c r="I7785" t="s">
        <v>8257</v>
      </c>
      <c r="J7785" t="s">
        <v>7984</v>
      </c>
    </row>
    <row r="7786" spans="1:10" x14ac:dyDescent="0.25">
      <c r="A7786" t="s">
        <v>24860</v>
      </c>
      <c r="B7786">
        <v>9</v>
      </c>
      <c r="C7786" t="s">
        <v>24861</v>
      </c>
      <c r="D7786" t="s">
        <v>124</v>
      </c>
      <c r="E7786" t="s">
        <v>24856</v>
      </c>
      <c r="F7786" t="s">
        <v>7672</v>
      </c>
      <c r="G7786" t="s">
        <v>24857</v>
      </c>
      <c r="H7786" t="s">
        <v>8027</v>
      </c>
      <c r="I7786" t="s">
        <v>8257</v>
      </c>
      <c r="J7786" t="s">
        <v>7987</v>
      </c>
    </row>
    <row r="7787" spans="1:10" x14ac:dyDescent="0.25">
      <c r="A7787" t="s">
        <v>24862</v>
      </c>
      <c r="B7787">
        <v>9</v>
      </c>
      <c r="C7787" t="s">
        <v>24863</v>
      </c>
      <c r="D7787" t="s">
        <v>1134</v>
      </c>
      <c r="E7787" t="s">
        <v>24856</v>
      </c>
      <c r="F7787" t="s">
        <v>7672</v>
      </c>
      <c r="G7787" t="s">
        <v>24857</v>
      </c>
      <c r="H7787" t="s">
        <v>8027</v>
      </c>
      <c r="I7787" t="s">
        <v>8257</v>
      </c>
      <c r="J7787" t="s">
        <v>8001</v>
      </c>
    </row>
    <row r="7788" spans="1:10" x14ac:dyDescent="0.25">
      <c r="A7788" t="s">
        <v>24864</v>
      </c>
      <c r="B7788">
        <v>16.52</v>
      </c>
      <c r="C7788" t="s">
        <v>24865</v>
      </c>
      <c r="D7788" t="s">
        <v>88</v>
      </c>
      <c r="E7788" t="s">
        <v>24866</v>
      </c>
      <c r="F7788" t="s">
        <v>7672</v>
      </c>
      <c r="G7788" t="s">
        <v>24867</v>
      </c>
      <c r="H7788" t="s">
        <v>11335</v>
      </c>
      <c r="I7788" t="s">
        <v>24868</v>
      </c>
      <c r="J7788" t="s">
        <v>8001</v>
      </c>
    </row>
    <row r="7789" spans="1:10" x14ac:dyDescent="0.25">
      <c r="A7789" t="s">
        <v>7038</v>
      </c>
      <c r="B7789">
        <v>14</v>
      </c>
      <c r="C7789" t="s">
        <v>7040</v>
      </c>
      <c r="D7789" t="s">
        <v>164</v>
      </c>
      <c r="E7789" t="s">
        <v>7041</v>
      </c>
      <c r="F7789" t="s">
        <v>7672</v>
      </c>
      <c r="G7789" t="s">
        <v>24869</v>
      </c>
      <c r="H7789" t="s">
        <v>8081</v>
      </c>
      <c r="I7789" t="s">
        <v>7044</v>
      </c>
      <c r="J7789" t="s">
        <v>24870</v>
      </c>
    </row>
    <row r="7790" spans="1:10" x14ac:dyDescent="0.25">
      <c r="A7790" t="s">
        <v>24871</v>
      </c>
      <c r="B7790">
        <v>5.3920000000000003</v>
      </c>
      <c r="C7790" t="s">
        <v>24872</v>
      </c>
      <c r="D7790" t="s">
        <v>53</v>
      </c>
      <c r="E7790" t="s">
        <v>24873</v>
      </c>
      <c r="F7790" t="s">
        <v>7672</v>
      </c>
      <c r="G7790" t="s">
        <v>24874</v>
      </c>
      <c r="H7790" t="s">
        <v>8301</v>
      </c>
      <c r="I7790" t="s">
        <v>24875</v>
      </c>
      <c r="J7790" t="s">
        <v>9114</v>
      </c>
    </row>
    <row r="7791" spans="1:10" x14ac:dyDescent="0.25">
      <c r="A7791" t="s">
        <v>24876</v>
      </c>
      <c r="B7791">
        <v>8.3920000000000012</v>
      </c>
      <c r="C7791" t="s">
        <v>24877</v>
      </c>
      <c r="D7791" t="s">
        <v>342</v>
      </c>
      <c r="E7791" t="s">
        <v>24878</v>
      </c>
      <c r="F7791" t="s">
        <v>7672</v>
      </c>
      <c r="G7791" t="s">
        <v>13396</v>
      </c>
      <c r="H7791" t="s">
        <v>8673</v>
      </c>
      <c r="I7791" t="s">
        <v>13452</v>
      </c>
      <c r="J7791" t="s">
        <v>8675</v>
      </c>
    </row>
    <row r="7792" spans="1:10" x14ac:dyDescent="0.25">
      <c r="A7792" t="s">
        <v>24879</v>
      </c>
      <c r="B7792">
        <v>8.3920000000000012</v>
      </c>
      <c r="C7792" t="s">
        <v>24880</v>
      </c>
      <c r="D7792" t="s">
        <v>742</v>
      </c>
      <c r="E7792" t="s">
        <v>24878</v>
      </c>
      <c r="F7792" t="s">
        <v>7672</v>
      </c>
      <c r="G7792" t="s">
        <v>13396</v>
      </c>
      <c r="H7792" t="s">
        <v>8673</v>
      </c>
      <c r="I7792" t="s">
        <v>13426</v>
      </c>
      <c r="J7792" t="s">
        <v>8684</v>
      </c>
    </row>
    <row r="7793" spans="1:10" x14ac:dyDescent="0.25">
      <c r="A7793" t="s">
        <v>24881</v>
      </c>
      <c r="B7793">
        <v>8.3920000000000012</v>
      </c>
      <c r="C7793" t="s">
        <v>24882</v>
      </c>
      <c r="D7793" t="s">
        <v>60</v>
      </c>
      <c r="E7793" t="s">
        <v>24878</v>
      </c>
      <c r="F7793" t="s">
        <v>7672</v>
      </c>
      <c r="G7793" t="s">
        <v>13396</v>
      </c>
      <c r="H7793" t="s">
        <v>8673</v>
      </c>
      <c r="I7793" t="s">
        <v>13452</v>
      </c>
      <c r="J7793" t="s">
        <v>8692</v>
      </c>
    </row>
    <row r="7794" spans="1:10" x14ac:dyDescent="0.25">
      <c r="A7794" t="s">
        <v>24883</v>
      </c>
      <c r="B7794">
        <v>8.3920000000000012</v>
      </c>
      <c r="C7794" t="s">
        <v>24884</v>
      </c>
      <c r="D7794" t="s">
        <v>88</v>
      </c>
      <c r="E7794" t="s">
        <v>24878</v>
      </c>
      <c r="F7794" t="s">
        <v>7672</v>
      </c>
      <c r="G7794" t="s">
        <v>13396</v>
      </c>
      <c r="H7794" t="s">
        <v>8673</v>
      </c>
      <c r="I7794" t="s">
        <v>13426</v>
      </c>
      <c r="J7794" t="s">
        <v>8699</v>
      </c>
    </row>
    <row r="7795" spans="1:10" x14ac:dyDescent="0.25">
      <c r="A7795" t="s">
        <v>24885</v>
      </c>
      <c r="B7795">
        <v>8.3920000000000012</v>
      </c>
      <c r="C7795" t="s">
        <v>24886</v>
      </c>
      <c r="D7795" t="s">
        <v>199</v>
      </c>
      <c r="E7795" t="s">
        <v>24878</v>
      </c>
      <c r="F7795" t="s">
        <v>7672</v>
      </c>
      <c r="G7795" t="s">
        <v>13396</v>
      </c>
      <c r="H7795" t="s">
        <v>8673</v>
      </c>
      <c r="I7795" t="s">
        <v>13477</v>
      </c>
      <c r="J7795" t="s">
        <v>8712</v>
      </c>
    </row>
    <row r="7796" spans="1:10" x14ac:dyDescent="0.25">
      <c r="A7796" t="s">
        <v>24887</v>
      </c>
      <c r="B7796">
        <v>8.3920000000000012</v>
      </c>
      <c r="C7796" t="s">
        <v>24888</v>
      </c>
      <c r="D7796" t="s">
        <v>60</v>
      </c>
      <c r="E7796" t="s">
        <v>24878</v>
      </c>
      <c r="F7796" t="s">
        <v>7672</v>
      </c>
      <c r="G7796" t="s">
        <v>13396</v>
      </c>
      <c r="H7796" t="s">
        <v>8673</v>
      </c>
      <c r="I7796" t="s">
        <v>13452</v>
      </c>
      <c r="J7796" t="s">
        <v>8712</v>
      </c>
    </row>
    <row r="7797" spans="1:10" x14ac:dyDescent="0.25">
      <c r="A7797" t="s">
        <v>24889</v>
      </c>
      <c r="B7797">
        <v>8.3920000000000012</v>
      </c>
      <c r="C7797" t="s">
        <v>24890</v>
      </c>
      <c r="D7797" t="s">
        <v>255</v>
      </c>
      <c r="E7797" t="s">
        <v>24878</v>
      </c>
      <c r="F7797" t="s">
        <v>7672</v>
      </c>
      <c r="G7797" t="s">
        <v>13396</v>
      </c>
      <c r="H7797" t="s">
        <v>8673</v>
      </c>
      <c r="I7797" t="s">
        <v>13477</v>
      </c>
      <c r="J7797" t="s">
        <v>9540</v>
      </c>
    </row>
    <row r="7798" spans="1:10" x14ac:dyDescent="0.25">
      <c r="A7798" t="s">
        <v>7045</v>
      </c>
      <c r="B7798">
        <v>4.9359999999999999</v>
      </c>
      <c r="C7798" t="s">
        <v>7047</v>
      </c>
      <c r="D7798" t="s">
        <v>2347</v>
      </c>
      <c r="E7798" t="s">
        <v>7048</v>
      </c>
      <c r="F7798" t="s">
        <v>7672</v>
      </c>
      <c r="G7798" t="s">
        <v>24891</v>
      </c>
      <c r="H7798" t="s">
        <v>24519</v>
      </c>
      <c r="I7798" t="s">
        <v>497</v>
      </c>
      <c r="J7798" t="s">
        <v>9694</v>
      </c>
    </row>
    <row r="7799" spans="1:10" x14ac:dyDescent="0.25">
      <c r="A7799" t="s">
        <v>24892</v>
      </c>
      <c r="B7799">
        <v>3.84</v>
      </c>
      <c r="C7799" t="s">
        <v>24893</v>
      </c>
      <c r="D7799" t="s">
        <v>436</v>
      </c>
      <c r="E7799" t="s">
        <v>24894</v>
      </c>
      <c r="F7799" t="s">
        <v>7672</v>
      </c>
      <c r="G7799" t="s">
        <v>24895</v>
      </c>
      <c r="H7799" t="s">
        <v>16993</v>
      </c>
      <c r="I7799" t="s">
        <v>24896</v>
      </c>
      <c r="J7799" t="s">
        <v>9423</v>
      </c>
    </row>
    <row r="7800" spans="1:10" x14ac:dyDescent="0.25">
      <c r="A7800" t="s">
        <v>24897</v>
      </c>
      <c r="B7800">
        <v>3.84</v>
      </c>
      <c r="C7800" t="s">
        <v>24898</v>
      </c>
      <c r="D7800" t="s">
        <v>613</v>
      </c>
      <c r="E7800" t="s">
        <v>24894</v>
      </c>
      <c r="F7800" t="s">
        <v>7672</v>
      </c>
      <c r="G7800" t="s">
        <v>24895</v>
      </c>
      <c r="H7800" t="s">
        <v>16993</v>
      </c>
      <c r="I7800" t="s">
        <v>24896</v>
      </c>
      <c r="J7800" t="s">
        <v>9426</v>
      </c>
    </row>
    <row r="7801" spans="1:10" x14ac:dyDescent="0.25">
      <c r="A7801" t="s">
        <v>24899</v>
      </c>
      <c r="B7801">
        <v>3.84</v>
      </c>
      <c r="C7801" t="s">
        <v>24900</v>
      </c>
      <c r="D7801" t="s">
        <v>875</v>
      </c>
      <c r="E7801" t="s">
        <v>24894</v>
      </c>
      <c r="F7801" t="s">
        <v>7672</v>
      </c>
      <c r="G7801" t="s">
        <v>24895</v>
      </c>
      <c r="H7801" t="s">
        <v>16993</v>
      </c>
      <c r="I7801" t="s">
        <v>24896</v>
      </c>
      <c r="J7801" t="s">
        <v>10862</v>
      </c>
    </row>
    <row r="7802" spans="1:10" x14ac:dyDescent="0.25">
      <c r="A7802" t="s">
        <v>24901</v>
      </c>
      <c r="B7802">
        <v>3.84</v>
      </c>
      <c r="C7802" t="s">
        <v>24902</v>
      </c>
      <c r="D7802" t="s">
        <v>3184</v>
      </c>
      <c r="E7802" t="s">
        <v>24894</v>
      </c>
      <c r="F7802" t="s">
        <v>7672</v>
      </c>
      <c r="G7802" t="s">
        <v>24895</v>
      </c>
      <c r="H7802" t="s">
        <v>16993</v>
      </c>
      <c r="I7802" t="s">
        <v>24896</v>
      </c>
      <c r="J7802" t="s">
        <v>13084</v>
      </c>
    </row>
    <row r="7803" spans="1:10" x14ac:dyDescent="0.25">
      <c r="A7803" t="s">
        <v>24903</v>
      </c>
      <c r="B7803">
        <v>3.84</v>
      </c>
      <c r="C7803" t="s">
        <v>24904</v>
      </c>
      <c r="D7803" t="s">
        <v>903</v>
      </c>
      <c r="E7803" t="s">
        <v>24894</v>
      </c>
      <c r="F7803" t="s">
        <v>7672</v>
      </c>
      <c r="G7803" t="s">
        <v>24895</v>
      </c>
      <c r="H7803" t="s">
        <v>16993</v>
      </c>
      <c r="I7803" t="s">
        <v>24896</v>
      </c>
      <c r="J7803" t="s">
        <v>11767</v>
      </c>
    </row>
    <row r="7804" spans="1:10" x14ac:dyDescent="0.25">
      <c r="A7804" t="s">
        <v>24905</v>
      </c>
      <c r="B7804">
        <v>3.84</v>
      </c>
      <c r="C7804" t="s">
        <v>24906</v>
      </c>
      <c r="D7804" t="s">
        <v>1573</v>
      </c>
      <c r="E7804" t="s">
        <v>24894</v>
      </c>
      <c r="F7804" t="s">
        <v>7672</v>
      </c>
      <c r="G7804" t="s">
        <v>24895</v>
      </c>
      <c r="H7804" t="s">
        <v>16993</v>
      </c>
      <c r="I7804" t="s">
        <v>24896</v>
      </c>
      <c r="J7804" t="s">
        <v>11582</v>
      </c>
    </row>
    <row r="7805" spans="1:10" x14ac:dyDescent="0.25">
      <c r="A7805" t="s">
        <v>24907</v>
      </c>
      <c r="B7805">
        <v>3.84</v>
      </c>
      <c r="C7805" t="s">
        <v>24908</v>
      </c>
      <c r="D7805" t="s">
        <v>1852</v>
      </c>
      <c r="E7805" t="s">
        <v>24894</v>
      </c>
      <c r="F7805" t="s">
        <v>7672</v>
      </c>
      <c r="G7805" t="s">
        <v>24895</v>
      </c>
      <c r="H7805" t="s">
        <v>16993</v>
      </c>
      <c r="I7805" t="s">
        <v>24896</v>
      </c>
      <c r="J7805" t="s">
        <v>11585</v>
      </c>
    </row>
    <row r="7806" spans="1:10" x14ac:dyDescent="0.25">
      <c r="A7806" t="s">
        <v>24909</v>
      </c>
      <c r="B7806">
        <v>3.84</v>
      </c>
      <c r="C7806" t="s">
        <v>24910</v>
      </c>
      <c r="D7806" t="s">
        <v>2587</v>
      </c>
      <c r="E7806" t="s">
        <v>24894</v>
      </c>
      <c r="F7806" t="s">
        <v>7672</v>
      </c>
      <c r="G7806" t="s">
        <v>24895</v>
      </c>
      <c r="H7806" t="s">
        <v>16993</v>
      </c>
      <c r="I7806" t="s">
        <v>24896</v>
      </c>
      <c r="J7806" t="s">
        <v>10369</v>
      </c>
    </row>
    <row r="7807" spans="1:10" x14ac:dyDescent="0.25">
      <c r="A7807" t="s">
        <v>24911</v>
      </c>
      <c r="B7807">
        <v>3.84</v>
      </c>
      <c r="C7807" t="s">
        <v>24912</v>
      </c>
      <c r="D7807" t="s">
        <v>8759</v>
      </c>
      <c r="E7807" t="s">
        <v>24894</v>
      </c>
      <c r="F7807" t="s">
        <v>7672</v>
      </c>
      <c r="G7807" t="s">
        <v>24895</v>
      </c>
      <c r="H7807" t="s">
        <v>16993</v>
      </c>
      <c r="I7807" t="s">
        <v>24896</v>
      </c>
      <c r="J7807" t="s">
        <v>11590</v>
      </c>
    </row>
    <row r="7808" spans="1:10" x14ac:dyDescent="0.25">
      <c r="A7808" t="s">
        <v>24913</v>
      </c>
      <c r="B7808">
        <v>3.84</v>
      </c>
      <c r="C7808" t="s">
        <v>24914</v>
      </c>
      <c r="D7808" t="s">
        <v>144</v>
      </c>
      <c r="E7808" t="s">
        <v>24894</v>
      </c>
      <c r="F7808" t="s">
        <v>7672</v>
      </c>
      <c r="G7808" t="s">
        <v>24895</v>
      </c>
      <c r="H7808" t="s">
        <v>16993</v>
      </c>
      <c r="I7808" t="s">
        <v>24896</v>
      </c>
      <c r="J7808" t="s">
        <v>11593</v>
      </c>
    </row>
    <row r="7809" spans="1:10" x14ac:dyDescent="0.25">
      <c r="A7809" t="s">
        <v>24915</v>
      </c>
      <c r="B7809">
        <v>3.84</v>
      </c>
      <c r="C7809" t="s">
        <v>24916</v>
      </c>
      <c r="D7809" t="s">
        <v>4270</v>
      </c>
      <c r="E7809" t="s">
        <v>24894</v>
      </c>
      <c r="F7809" t="s">
        <v>7672</v>
      </c>
      <c r="G7809" t="s">
        <v>24895</v>
      </c>
      <c r="H7809" t="s">
        <v>16993</v>
      </c>
      <c r="I7809" t="s">
        <v>24896</v>
      </c>
      <c r="J7809" t="s">
        <v>11783</v>
      </c>
    </row>
    <row r="7810" spans="1:10" x14ac:dyDescent="0.25">
      <c r="A7810" t="s">
        <v>24917</v>
      </c>
      <c r="B7810">
        <v>20.399999999999999</v>
      </c>
      <c r="C7810" t="s">
        <v>24918</v>
      </c>
      <c r="D7810" t="s">
        <v>588</v>
      </c>
      <c r="E7810" t="s">
        <v>24919</v>
      </c>
      <c r="F7810" t="s">
        <v>7672</v>
      </c>
      <c r="G7810" t="s">
        <v>24920</v>
      </c>
      <c r="H7810" t="s">
        <v>8087</v>
      </c>
      <c r="I7810" t="s">
        <v>4045</v>
      </c>
      <c r="J7810" t="s">
        <v>12722</v>
      </c>
    </row>
    <row r="7811" spans="1:10" x14ac:dyDescent="0.25">
      <c r="A7811" t="s">
        <v>24921</v>
      </c>
      <c r="B7811">
        <v>20.399999999999999</v>
      </c>
      <c r="C7811" t="s">
        <v>24922</v>
      </c>
      <c r="D7811" t="s">
        <v>875</v>
      </c>
      <c r="E7811" t="s">
        <v>24919</v>
      </c>
      <c r="F7811" t="s">
        <v>7672</v>
      </c>
      <c r="G7811" t="s">
        <v>24920</v>
      </c>
      <c r="H7811" t="s">
        <v>8087</v>
      </c>
      <c r="I7811" t="s">
        <v>61</v>
      </c>
      <c r="J7811" t="s">
        <v>12722</v>
      </c>
    </row>
    <row r="7812" spans="1:10" x14ac:dyDescent="0.25">
      <c r="A7812" t="s">
        <v>24923</v>
      </c>
      <c r="B7812">
        <v>20.399999999999999</v>
      </c>
      <c r="C7812" t="s">
        <v>24924</v>
      </c>
      <c r="D7812" t="s">
        <v>286</v>
      </c>
      <c r="E7812" t="s">
        <v>24919</v>
      </c>
      <c r="F7812" t="s">
        <v>7672</v>
      </c>
      <c r="G7812" t="s">
        <v>24920</v>
      </c>
      <c r="H7812" t="s">
        <v>8087</v>
      </c>
      <c r="I7812" t="s">
        <v>4045</v>
      </c>
      <c r="J7812" t="s">
        <v>24925</v>
      </c>
    </row>
    <row r="7813" spans="1:10" x14ac:dyDescent="0.25">
      <c r="A7813" t="s">
        <v>24926</v>
      </c>
      <c r="B7813">
        <v>20.399999999999999</v>
      </c>
      <c r="C7813" t="s">
        <v>24927</v>
      </c>
      <c r="D7813" t="s">
        <v>2697</v>
      </c>
      <c r="E7813" t="s">
        <v>24919</v>
      </c>
      <c r="F7813" t="s">
        <v>7672</v>
      </c>
      <c r="G7813" t="s">
        <v>24920</v>
      </c>
      <c r="H7813" t="s">
        <v>8087</v>
      </c>
      <c r="I7813" t="s">
        <v>61</v>
      </c>
      <c r="J7813" t="s">
        <v>24925</v>
      </c>
    </row>
    <row r="7814" spans="1:10" x14ac:dyDescent="0.25">
      <c r="A7814" t="s">
        <v>24928</v>
      </c>
      <c r="B7814">
        <v>20.399999999999999</v>
      </c>
      <c r="C7814" t="s">
        <v>24929</v>
      </c>
      <c r="D7814" t="s">
        <v>576</v>
      </c>
      <c r="E7814" t="s">
        <v>24919</v>
      </c>
      <c r="F7814" t="s">
        <v>7672</v>
      </c>
      <c r="G7814" t="s">
        <v>24920</v>
      </c>
      <c r="H7814" t="s">
        <v>8087</v>
      </c>
      <c r="I7814" t="s">
        <v>4045</v>
      </c>
      <c r="J7814" t="s">
        <v>12746</v>
      </c>
    </row>
    <row r="7815" spans="1:10" x14ac:dyDescent="0.25">
      <c r="A7815" t="s">
        <v>24930</v>
      </c>
      <c r="B7815">
        <v>20.399999999999999</v>
      </c>
      <c r="C7815" t="s">
        <v>24931</v>
      </c>
      <c r="D7815" t="s">
        <v>875</v>
      </c>
      <c r="E7815" t="s">
        <v>24919</v>
      </c>
      <c r="F7815" t="s">
        <v>7672</v>
      </c>
      <c r="G7815" t="s">
        <v>24920</v>
      </c>
      <c r="H7815" t="s">
        <v>8087</v>
      </c>
      <c r="I7815" t="s">
        <v>61</v>
      </c>
      <c r="J7815" t="s">
        <v>12746</v>
      </c>
    </row>
    <row r="7816" spans="1:10" x14ac:dyDescent="0.25">
      <c r="A7816" t="s">
        <v>24932</v>
      </c>
      <c r="B7816">
        <v>20.399999999999999</v>
      </c>
      <c r="C7816" t="s">
        <v>24933</v>
      </c>
      <c r="D7816" t="s">
        <v>1097</v>
      </c>
      <c r="E7816" t="s">
        <v>24919</v>
      </c>
      <c r="F7816" t="s">
        <v>7672</v>
      </c>
      <c r="G7816" t="s">
        <v>24920</v>
      </c>
      <c r="H7816" t="s">
        <v>8087</v>
      </c>
      <c r="I7816" t="s">
        <v>4045</v>
      </c>
      <c r="J7816" t="s">
        <v>12752</v>
      </c>
    </row>
    <row r="7817" spans="1:10" x14ac:dyDescent="0.25">
      <c r="A7817" t="s">
        <v>24934</v>
      </c>
      <c r="B7817">
        <v>20.399999999999999</v>
      </c>
      <c r="C7817" t="s">
        <v>24935</v>
      </c>
      <c r="D7817" t="s">
        <v>240</v>
      </c>
      <c r="E7817" t="s">
        <v>24919</v>
      </c>
      <c r="F7817" t="s">
        <v>7672</v>
      </c>
      <c r="G7817" t="s">
        <v>24920</v>
      </c>
      <c r="H7817" t="s">
        <v>8087</v>
      </c>
      <c r="I7817" t="s">
        <v>61</v>
      </c>
      <c r="J7817" t="s">
        <v>12752</v>
      </c>
    </row>
    <row r="7818" spans="1:10" x14ac:dyDescent="0.25">
      <c r="A7818" t="s">
        <v>24936</v>
      </c>
      <c r="B7818">
        <v>20.399999999999999</v>
      </c>
      <c r="C7818" t="s">
        <v>24937</v>
      </c>
      <c r="D7818" t="s">
        <v>301</v>
      </c>
      <c r="E7818" t="s">
        <v>24919</v>
      </c>
      <c r="F7818" t="s">
        <v>7672</v>
      </c>
      <c r="G7818" t="s">
        <v>24920</v>
      </c>
      <c r="H7818" t="s">
        <v>8087</v>
      </c>
      <c r="I7818" t="s">
        <v>61</v>
      </c>
      <c r="J7818" t="s">
        <v>24938</v>
      </c>
    </row>
    <row r="7819" spans="1:10" x14ac:dyDescent="0.25">
      <c r="A7819" t="s">
        <v>24939</v>
      </c>
      <c r="B7819">
        <v>20.399999999999999</v>
      </c>
      <c r="C7819" t="s">
        <v>24940</v>
      </c>
      <c r="D7819" t="s">
        <v>164</v>
      </c>
      <c r="E7819" t="s">
        <v>24919</v>
      </c>
      <c r="F7819" t="s">
        <v>7672</v>
      </c>
      <c r="G7819" t="s">
        <v>24920</v>
      </c>
      <c r="H7819" t="s">
        <v>8087</v>
      </c>
      <c r="I7819" t="s">
        <v>61</v>
      </c>
      <c r="J7819" t="s">
        <v>24941</v>
      </c>
    </row>
    <row r="7820" spans="1:10" x14ac:dyDescent="0.25">
      <c r="A7820" t="s">
        <v>24942</v>
      </c>
      <c r="B7820">
        <v>20.399999999999999</v>
      </c>
      <c r="C7820" t="s">
        <v>24943</v>
      </c>
      <c r="D7820" t="s">
        <v>255</v>
      </c>
      <c r="E7820" t="s">
        <v>24919</v>
      </c>
      <c r="F7820" t="s">
        <v>7672</v>
      </c>
      <c r="G7820" t="s">
        <v>24920</v>
      </c>
      <c r="H7820" t="s">
        <v>8087</v>
      </c>
      <c r="I7820" t="s">
        <v>61</v>
      </c>
      <c r="J7820" t="s">
        <v>24944</v>
      </c>
    </row>
    <row r="7821" spans="1:10" x14ac:dyDescent="0.25">
      <c r="A7821" t="s">
        <v>24945</v>
      </c>
      <c r="B7821">
        <v>20.399999999999999</v>
      </c>
      <c r="C7821" t="s">
        <v>24946</v>
      </c>
      <c r="D7821" t="s">
        <v>282</v>
      </c>
      <c r="E7821" t="s">
        <v>24919</v>
      </c>
      <c r="F7821" t="s">
        <v>7672</v>
      </c>
      <c r="G7821" t="s">
        <v>24920</v>
      </c>
      <c r="H7821" t="s">
        <v>8087</v>
      </c>
      <c r="I7821" t="s">
        <v>4045</v>
      </c>
      <c r="J7821" t="s">
        <v>24944</v>
      </c>
    </row>
    <row r="7822" spans="1:10" x14ac:dyDescent="0.25">
      <c r="A7822" t="s">
        <v>24947</v>
      </c>
      <c r="B7822">
        <v>8.0960000000000001</v>
      </c>
      <c r="C7822" t="s">
        <v>24948</v>
      </c>
      <c r="D7822" t="s">
        <v>2072</v>
      </c>
      <c r="E7822" t="s">
        <v>24949</v>
      </c>
      <c r="F7822" t="s">
        <v>7672</v>
      </c>
      <c r="G7822" t="s">
        <v>24950</v>
      </c>
      <c r="H7822" t="s">
        <v>7674</v>
      </c>
      <c r="I7822" t="s">
        <v>497</v>
      </c>
      <c r="J7822" t="s">
        <v>9694</v>
      </c>
    </row>
    <row r="7823" spans="1:10" x14ac:dyDescent="0.25">
      <c r="A7823" t="s">
        <v>7052</v>
      </c>
      <c r="B7823">
        <v>15.6</v>
      </c>
      <c r="C7823" t="s">
        <v>7054</v>
      </c>
      <c r="D7823" t="s">
        <v>7057</v>
      </c>
      <c r="E7823" t="s">
        <v>7055</v>
      </c>
      <c r="F7823" t="s">
        <v>7672</v>
      </c>
      <c r="G7823" t="s">
        <v>24951</v>
      </c>
      <c r="H7823" t="s">
        <v>8078</v>
      </c>
      <c r="I7823" t="s">
        <v>76</v>
      </c>
      <c r="J7823" t="s">
        <v>7675</v>
      </c>
    </row>
    <row r="7824" spans="1:10" x14ac:dyDescent="0.25">
      <c r="A7824" t="s">
        <v>24952</v>
      </c>
      <c r="B7824">
        <v>9.5920000000000005</v>
      </c>
      <c r="C7824" t="s">
        <v>24953</v>
      </c>
      <c r="D7824" t="s">
        <v>2099</v>
      </c>
      <c r="E7824" t="s">
        <v>24954</v>
      </c>
      <c r="F7824" t="s">
        <v>7672</v>
      </c>
      <c r="G7824" t="s">
        <v>24955</v>
      </c>
      <c r="H7824" t="s">
        <v>7674</v>
      </c>
      <c r="I7824" t="s">
        <v>1622</v>
      </c>
      <c r="J7824" t="s">
        <v>9694</v>
      </c>
    </row>
    <row r="7825" spans="1:10" x14ac:dyDescent="0.25">
      <c r="A7825" t="s">
        <v>24956</v>
      </c>
      <c r="B7825">
        <v>7.2</v>
      </c>
      <c r="C7825" t="s">
        <v>24957</v>
      </c>
      <c r="D7825" t="s">
        <v>24958</v>
      </c>
      <c r="E7825" t="s">
        <v>24959</v>
      </c>
      <c r="F7825" t="s">
        <v>7672</v>
      </c>
      <c r="G7825" t="s">
        <v>24960</v>
      </c>
      <c r="H7825" t="s">
        <v>24169</v>
      </c>
      <c r="I7825" t="s">
        <v>24961</v>
      </c>
      <c r="J7825" t="s">
        <v>100</v>
      </c>
    </row>
    <row r="7826" spans="1:10" x14ac:dyDescent="0.25">
      <c r="A7826" t="s">
        <v>24962</v>
      </c>
      <c r="B7826">
        <v>7.2</v>
      </c>
      <c r="C7826" t="s">
        <v>24963</v>
      </c>
      <c r="D7826" t="s">
        <v>8111</v>
      </c>
      <c r="E7826" t="s">
        <v>24959</v>
      </c>
      <c r="F7826" t="s">
        <v>7672</v>
      </c>
      <c r="G7826" t="s">
        <v>24960</v>
      </c>
      <c r="H7826" t="s">
        <v>24169</v>
      </c>
      <c r="I7826" t="s">
        <v>24961</v>
      </c>
      <c r="J7826" t="s">
        <v>88</v>
      </c>
    </row>
    <row r="7827" spans="1:10" x14ac:dyDescent="0.25">
      <c r="A7827" t="s">
        <v>24964</v>
      </c>
      <c r="B7827">
        <v>7.2</v>
      </c>
      <c r="C7827" t="s">
        <v>24965</v>
      </c>
      <c r="D7827" t="s">
        <v>24966</v>
      </c>
      <c r="E7827" t="s">
        <v>24959</v>
      </c>
      <c r="F7827" t="s">
        <v>7672</v>
      </c>
      <c r="G7827" t="s">
        <v>24960</v>
      </c>
      <c r="H7827" t="s">
        <v>24169</v>
      </c>
      <c r="I7827" t="s">
        <v>24961</v>
      </c>
      <c r="J7827" t="s">
        <v>269</v>
      </c>
    </row>
    <row r="7828" spans="1:10" x14ac:dyDescent="0.25">
      <c r="A7828" t="s">
        <v>24967</v>
      </c>
      <c r="B7828">
        <v>7.2</v>
      </c>
      <c r="C7828" t="s">
        <v>24968</v>
      </c>
      <c r="D7828" t="s">
        <v>24969</v>
      </c>
      <c r="E7828" t="s">
        <v>24959</v>
      </c>
      <c r="F7828" t="s">
        <v>7672</v>
      </c>
      <c r="G7828" t="s">
        <v>24960</v>
      </c>
      <c r="H7828" t="s">
        <v>24169</v>
      </c>
      <c r="I7828" t="s">
        <v>24961</v>
      </c>
      <c r="J7828" t="s">
        <v>255</v>
      </c>
    </row>
    <row r="7829" spans="1:10" x14ac:dyDescent="0.25">
      <c r="A7829" t="s">
        <v>24970</v>
      </c>
      <c r="B7829">
        <v>2.8</v>
      </c>
      <c r="C7829" t="s">
        <v>24971</v>
      </c>
      <c r="D7829" t="s">
        <v>24972</v>
      </c>
      <c r="E7829" t="s">
        <v>24973</v>
      </c>
      <c r="F7829" t="s">
        <v>7672</v>
      </c>
      <c r="G7829" t="s">
        <v>24974</v>
      </c>
      <c r="H7829" t="s">
        <v>13951</v>
      </c>
      <c r="I7829" t="s">
        <v>935</v>
      </c>
      <c r="J7829" t="s">
        <v>7675</v>
      </c>
    </row>
    <row r="7830" spans="1:10" x14ac:dyDescent="0.25">
      <c r="A7830" t="s">
        <v>24975</v>
      </c>
      <c r="B7830">
        <v>2.8</v>
      </c>
      <c r="C7830" t="s">
        <v>24976</v>
      </c>
      <c r="D7830" t="s">
        <v>24977</v>
      </c>
      <c r="E7830" t="s">
        <v>24973</v>
      </c>
      <c r="F7830" t="s">
        <v>7672</v>
      </c>
      <c r="G7830" t="s">
        <v>24974</v>
      </c>
      <c r="H7830" t="s">
        <v>13951</v>
      </c>
      <c r="I7830" t="s">
        <v>935</v>
      </c>
      <c r="J7830" t="s">
        <v>7686</v>
      </c>
    </row>
    <row r="7831" spans="1:10" x14ac:dyDescent="0.25">
      <c r="A7831" t="s">
        <v>24978</v>
      </c>
      <c r="B7831">
        <v>2.8</v>
      </c>
      <c r="C7831" t="s">
        <v>24979</v>
      </c>
      <c r="D7831" t="s">
        <v>7835</v>
      </c>
      <c r="E7831" t="s">
        <v>24973</v>
      </c>
      <c r="F7831" t="s">
        <v>7672</v>
      </c>
      <c r="G7831" t="s">
        <v>24974</v>
      </c>
      <c r="H7831" t="s">
        <v>13951</v>
      </c>
      <c r="I7831" t="s">
        <v>935</v>
      </c>
      <c r="J7831" t="s">
        <v>7703</v>
      </c>
    </row>
    <row r="7832" spans="1:10" x14ac:dyDescent="0.25">
      <c r="A7832" t="s">
        <v>24980</v>
      </c>
      <c r="B7832">
        <v>2.8</v>
      </c>
      <c r="C7832" t="s">
        <v>24981</v>
      </c>
      <c r="D7832" t="s">
        <v>24982</v>
      </c>
      <c r="E7832" t="s">
        <v>24973</v>
      </c>
      <c r="F7832" t="s">
        <v>7672</v>
      </c>
      <c r="G7832" t="s">
        <v>24974</v>
      </c>
      <c r="H7832" t="s">
        <v>13951</v>
      </c>
      <c r="I7832" t="s">
        <v>935</v>
      </c>
      <c r="J7832" t="s">
        <v>7713</v>
      </c>
    </row>
    <row r="7833" spans="1:10" x14ac:dyDescent="0.25">
      <c r="A7833" t="s">
        <v>24983</v>
      </c>
      <c r="B7833">
        <v>2.8</v>
      </c>
      <c r="C7833" t="s">
        <v>24984</v>
      </c>
      <c r="D7833" t="s">
        <v>14110</v>
      </c>
      <c r="E7833" t="s">
        <v>24973</v>
      </c>
      <c r="F7833" t="s">
        <v>7672</v>
      </c>
      <c r="G7833" t="s">
        <v>24974</v>
      </c>
      <c r="H7833" t="s">
        <v>13951</v>
      </c>
      <c r="I7833" t="s">
        <v>935</v>
      </c>
      <c r="J7833" t="s">
        <v>7719</v>
      </c>
    </row>
    <row r="7834" spans="1:10" x14ac:dyDescent="0.25">
      <c r="A7834" t="s">
        <v>24985</v>
      </c>
      <c r="B7834">
        <v>12.592000000000001</v>
      </c>
      <c r="C7834" t="s">
        <v>24986</v>
      </c>
      <c r="D7834" t="s">
        <v>12223</v>
      </c>
      <c r="E7834" t="s">
        <v>24987</v>
      </c>
      <c r="F7834" t="s">
        <v>7672</v>
      </c>
      <c r="G7834" t="s">
        <v>24988</v>
      </c>
      <c r="H7834" t="s">
        <v>24046</v>
      </c>
      <c r="I7834" t="s">
        <v>497</v>
      </c>
      <c r="J7834" t="s">
        <v>9694</v>
      </c>
    </row>
    <row r="7835" spans="1:10" x14ac:dyDescent="0.25">
      <c r="A7835" t="s">
        <v>24989</v>
      </c>
      <c r="B7835">
        <v>8.104000000000001</v>
      </c>
      <c r="C7835" t="s">
        <v>24990</v>
      </c>
      <c r="D7835" t="s">
        <v>913</v>
      </c>
      <c r="E7835" t="s">
        <v>24991</v>
      </c>
      <c r="F7835" t="s">
        <v>7672</v>
      </c>
      <c r="G7835" t="s">
        <v>24992</v>
      </c>
      <c r="H7835" t="s">
        <v>13897</v>
      </c>
      <c r="I7835" t="s">
        <v>24993</v>
      </c>
      <c r="J7835" t="s">
        <v>9423</v>
      </c>
    </row>
    <row r="7836" spans="1:10" x14ac:dyDescent="0.25">
      <c r="A7836" t="s">
        <v>24994</v>
      </c>
      <c r="B7836">
        <v>8.104000000000001</v>
      </c>
      <c r="C7836" t="s">
        <v>24995</v>
      </c>
      <c r="D7836" t="s">
        <v>7934</v>
      </c>
      <c r="E7836" t="s">
        <v>24991</v>
      </c>
      <c r="F7836" t="s">
        <v>7672</v>
      </c>
      <c r="G7836" t="s">
        <v>24992</v>
      </c>
      <c r="H7836" t="s">
        <v>13897</v>
      </c>
      <c r="I7836" t="s">
        <v>24993</v>
      </c>
      <c r="J7836" t="s">
        <v>10862</v>
      </c>
    </row>
    <row r="7837" spans="1:10" x14ac:dyDescent="0.25">
      <c r="A7837" t="s">
        <v>24996</v>
      </c>
      <c r="B7837">
        <v>8.104000000000001</v>
      </c>
      <c r="C7837" t="s">
        <v>24997</v>
      </c>
      <c r="D7837" t="s">
        <v>8164</v>
      </c>
      <c r="E7837" t="s">
        <v>24991</v>
      </c>
      <c r="F7837" t="s">
        <v>7672</v>
      </c>
      <c r="G7837" t="s">
        <v>24992</v>
      </c>
      <c r="H7837" t="s">
        <v>13897</v>
      </c>
      <c r="I7837" t="s">
        <v>24993</v>
      </c>
      <c r="J7837" t="s">
        <v>9426</v>
      </c>
    </row>
    <row r="7838" spans="1:10" x14ac:dyDescent="0.25">
      <c r="A7838" t="s">
        <v>24998</v>
      </c>
      <c r="B7838">
        <v>8.104000000000001</v>
      </c>
      <c r="C7838" t="s">
        <v>24999</v>
      </c>
      <c r="D7838" t="s">
        <v>3815</v>
      </c>
      <c r="E7838" t="s">
        <v>24991</v>
      </c>
      <c r="F7838" t="s">
        <v>7672</v>
      </c>
      <c r="G7838" t="s">
        <v>24992</v>
      </c>
      <c r="H7838" t="s">
        <v>13897</v>
      </c>
      <c r="I7838" t="s">
        <v>24993</v>
      </c>
      <c r="J7838" t="s">
        <v>13084</v>
      </c>
    </row>
    <row r="7839" spans="1:10" x14ac:dyDescent="0.25">
      <c r="A7839" t="s">
        <v>25000</v>
      </c>
      <c r="B7839">
        <v>8.104000000000001</v>
      </c>
      <c r="C7839" t="s">
        <v>25001</v>
      </c>
      <c r="D7839" t="s">
        <v>2376</v>
      </c>
      <c r="E7839" t="s">
        <v>24991</v>
      </c>
      <c r="F7839" t="s">
        <v>7672</v>
      </c>
      <c r="G7839" t="s">
        <v>24992</v>
      </c>
      <c r="H7839" t="s">
        <v>13897</v>
      </c>
      <c r="I7839" t="s">
        <v>24993</v>
      </c>
      <c r="J7839" t="s">
        <v>11767</v>
      </c>
    </row>
    <row r="7840" spans="1:10" x14ac:dyDescent="0.25">
      <c r="A7840" t="s">
        <v>25002</v>
      </c>
      <c r="B7840">
        <v>8.104000000000001</v>
      </c>
      <c r="C7840" t="s">
        <v>25003</v>
      </c>
      <c r="D7840" t="s">
        <v>8164</v>
      </c>
      <c r="E7840" t="s">
        <v>24991</v>
      </c>
      <c r="F7840" t="s">
        <v>7672</v>
      </c>
      <c r="G7840" t="s">
        <v>24992</v>
      </c>
      <c r="H7840" t="s">
        <v>13897</v>
      </c>
      <c r="I7840" t="s">
        <v>24993</v>
      </c>
      <c r="J7840" t="s">
        <v>11582</v>
      </c>
    </row>
    <row r="7841" spans="1:10" x14ac:dyDescent="0.25">
      <c r="A7841" t="s">
        <v>25004</v>
      </c>
      <c r="B7841">
        <v>8.104000000000001</v>
      </c>
      <c r="C7841" t="s">
        <v>25005</v>
      </c>
      <c r="D7841" t="s">
        <v>3944</v>
      </c>
      <c r="E7841" t="s">
        <v>24991</v>
      </c>
      <c r="F7841" t="s">
        <v>7672</v>
      </c>
      <c r="G7841" t="s">
        <v>24992</v>
      </c>
      <c r="H7841" t="s">
        <v>13897</v>
      </c>
      <c r="I7841" t="s">
        <v>24993</v>
      </c>
      <c r="J7841" t="s">
        <v>11585</v>
      </c>
    </row>
    <row r="7842" spans="1:10" x14ac:dyDescent="0.25">
      <c r="A7842" t="s">
        <v>25006</v>
      </c>
      <c r="B7842">
        <v>9.120000000000001</v>
      </c>
      <c r="C7842" t="s">
        <v>25007</v>
      </c>
      <c r="D7842" t="s">
        <v>113</v>
      </c>
      <c r="E7842" t="s">
        <v>25008</v>
      </c>
      <c r="F7842" t="s">
        <v>7672</v>
      </c>
      <c r="G7842" t="s">
        <v>25009</v>
      </c>
      <c r="H7842" t="s">
        <v>11037</v>
      </c>
      <c r="I7842" t="s">
        <v>2647</v>
      </c>
      <c r="J7842" t="s">
        <v>8427</v>
      </c>
    </row>
    <row r="7843" spans="1:10" x14ac:dyDescent="0.25">
      <c r="A7843" t="s">
        <v>25010</v>
      </c>
      <c r="B7843">
        <v>9.120000000000001</v>
      </c>
      <c r="C7843" t="s">
        <v>25011</v>
      </c>
      <c r="D7843" t="s">
        <v>2620</v>
      </c>
      <c r="E7843" t="s">
        <v>25008</v>
      </c>
      <c r="F7843" t="s">
        <v>7672</v>
      </c>
      <c r="G7843" t="s">
        <v>25009</v>
      </c>
      <c r="H7843" t="s">
        <v>11037</v>
      </c>
      <c r="I7843" t="s">
        <v>2647</v>
      </c>
      <c r="J7843" t="s">
        <v>8439</v>
      </c>
    </row>
    <row r="7844" spans="1:10" x14ac:dyDescent="0.25">
      <c r="A7844" t="s">
        <v>25012</v>
      </c>
      <c r="B7844">
        <v>9.120000000000001</v>
      </c>
      <c r="C7844" t="s">
        <v>25013</v>
      </c>
      <c r="D7844" t="s">
        <v>835</v>
      </c>
      <c r="E7844" t="s">
        <v>25008</v>
      </c>
      <c r="F7844" t="s">
        <v>7672</v>
      </c>
      <c r="G7844" t="s">
        <v>25009</v>
      </c>
      <c r="H7844" t="s">
        <v>11037</v>
      </c>
      <c r="I7844" t="s">
        <v>2647</v>
      </c>
      <c r="J7844" t="s">
        <v>8451</v>
      </c>
    </row>
    <row r="7845" spans="1:10" x14ac:dyDescent="0.25">
      <c r="A7845" t="s">
        <v>7059</v>
      </c>
      <c r="B7845">
        <v>7.2</v>
      </c>
      <c r="C7845" t="s">
        <v>7061</v>
      </c>
      <c r="D7845" t="s">
        <v>2099</v>
      </c>
      <c r="E7845" t="s">
        <v>7062</v>
      </c>
      <c r="F7845" t="s">
        <v>7672</v>
      </c>
      <c r="G7845" t="s">
        <v>25014</v>
      </c>
      <c r="H7845" t="s">
        <v>7954</v>
      </c>
      <c r="I7845" t="s">
        <v>25015</v>
      </c>
      <c r="J7845" t="s">
        <v>7984</v>
      </c>
    </row>
    <row r="7846" spans="1:10" x14ac:dyDescent="0.25">
      <c r="A7846" t="s">
        <v>7066</v>
      </c>
      <c r="B7846">
        <v>7.2</v>
      </c>
      <c r="C7846" t="s">
        <v>7068</v>
      </c>
      <c r="D7846" t="s">
        <v>1710</v>
      </c>
      <c r="E7846" t="s">
        <v>7062</v>
      </c>
      <c r="F7846" t="s">
        <v>7672</v>
      </c>
      <c r="G7846" t="s">
        <v>25014</v>
      </c>
      <c r="H7846" t="s">
        <v>7954</v>
      </c>
      <c r="I7846" t="s">
        <v>25015</v>
      </c>
      <c r="J7846" t="s">
        <v>7987</v>
      </c>
    </row>
    <row r="7847" spans="1:10" x14ac:dyDescent="0.25">
      <c r="A7847" t="s">
        <v>7069</v>
      </c>
      <c r="B7847">
        <v>7.2</v>
      </c>
      <c r="C7847" t="s">
        <v>7071</v>
      </c>
      <c r="D7847" t="s">
        <v>164</v>
      </c>
      <c r="E7847" t="s">
        <v>7062</v>
      </c>
      <c r="F7847" t="s">
        <v>7672</v>
      </c>
      <c r="G7847" t="s">
        <v>25014</v>
      </c>
      <c r="H7847" t="s">
        <v>7954</v>
      </c>
      <c r="I7847" t="s">
        <v>25015</v>
      </c>
      <c r="J7847" t="s">
        <v>8001</v>
      </c>
    </row>
    <row r="7848" spans="1:10" x14ac:dyDescent="0.25">
      <c r="A7848" t="s">
        <v>25016</v>
      </c>
      <c r="B7848">
        <v>8</v>
      </c>
      <c r="C7848" t="s">
        <v>25017</v>
      </c>
      <c r="D7848" t="s">
        <v>95</v>
      </c>
      <c r="E7848" t="s">
        <v>25018</v>
      </c>
      <c r="F7848" t="s">
        <v>7672</v>
      </c>
      <c r="G7848" t="s">
        <v>25019</v>
      </c>
      <c r="H7848" t="s">
        <v>8301</v>
      </c>
      <c r="I7848" t="s">
        <v>8158</v>
      </c>
      <c r="J7848" t="s">
        <v>7942</v>
      </c>
    </row>
    <row r="7849" spans="1:10" x14ac:dyDescent="0.25">
      <c r="A7849" t="s">
        <v>25020</v>
      </c>
      <c r="B7849">
        <v>8</v>
      </c>
      <c r="C7849" t="s">
        <v>25021</v>
      </c>
      <c r="D7849" t="s">
        <v>598</v>
      </c>
      <c r="E7849" t="s">
        <v>25018</v>
      </c>
      <c r="F7849" t="s">
        <v>7672</v>
      </c>
      <c r="G7849" t="s">
        <v>25019</v>
      </c>
      <c r="H7849" t="s">
        <v>8301</v>
      </c>
      <c r="I7849" t="s">
        <v>2496</v>
      </c>
      <c r="J7849" t="s">
        <v>7981</v>
      </c>
    </row>
    <row r="7850" spans="1:10" x14ac:dyDescent="0.25">
      <c r="A7850" t="s">
        <v>25022</v>
      </c>
      <c r="B7850">
        <v>8</v>
      </c>
      <c r="C7850" t="s">
        <v>25023</v>
      </c>
      <c r="D7850" t="s">
        <v>245</v>
      </c>
      <c r="E7850" t="s">
        <v>25018</v>
      </c>
      <c r="F7850" t="s">
        <v>7672</v>
      </c>
      <c r="G7850" t="s">
        <v>25019</v>
      </c>
      <c r="H7850" t="s">
        <v>8301</v>
      </c>
      <c r="I7850" t="s">
        <v>23724</v>
      </c>
      <c r="J7850" t="s">
        <v>7981</v>
      </c>
    </row>
    <row r="7851" spans="1:10" x14ac:dyDescent="0.25">
      <c r="A7851" t="s">
        <v>25024</v>
      </c>
      <c r="B7851">
        <v>8</v>
      </c>
      <c r="C7851" t="s">
        <v>25025</v>
      </c>
      <c r="D7851" t="s">
        <v>5145</v>
      </c>
      <c r="E7851" t="s">
        <v>25018</v>
      </c>
      <c r="F7851" t="s">
        <v>7672</v>
      </c>
      <c r="G7851" t="s">
        <v>25019</v>
      </c>
      <c r="H7851" t="s">
        <v>8301</v>
      </c>
      <c r="I7851" t="s">
        <v>8158</v>
      </c>
      <c r="J7851" t="s">
        <v>7981</v>
      </c>
    </row>
    <row r="7852" spans="1:10" x14ac:dyDescent="0.25">
      <c r="A7852" t="s">
        <v>25026</v>
      </c>
      <c r="B7852">
        <v>8</v>
      </c>
      <c r="C7852" t="s">
        <v>25027</v>
      </c>
      <c r="D7852" t="s">
        <v>255</v>
      </c>
      <c r="E7852" t="s">
        <v>25018</v>
      </c>
      <c r="F7852" t="s">
        <v>7672</v>
      </c>
      <c r="G7852" t="s">
        <v>25019</v>
      </c>
      <c r="H7852" t="s">
        <v>8301</v>
      </c>
      <c r="I7852" t="s">
        <v>23724</v>
      </c>
      <c r="J7852" t="s">
        <v>7984</v>
      </c>
    </row>
    <row r="7853" spans="1:10" x14ac:dyDescent="0.25">
      <c r="A7853" t="s">
        <v>25028</v>
      </c>
      <c r="B7853">
        <v>8</v>
      </c>
      <c r="C7853" t="s">
        <v>25029</v>
      </c>
      <c r="D7853" t="s">
        <v>88</v>
      </c>
      <c r="E7853" t="s">
        <v>25018</v>
      </c>
      <c r="F7853" t="s">
        <v>7672</v>
      </c>
      <c r="G7853" t="s">
        <v>25019</v>
      </c>
      <c r="H7853" t="s">
        <v>8301</v>
      </c>
      <c r="I7853" t="s">
        <v>2496</v>
      </c>
      <c r="J7853" t="s">
        <v>7984</v>
      </c>
    </row>
    <row r="7854" spans="1:10" x14ac:dyDescent="0.25">
      <c r="A7854" t="s">
        <v>25030</v>
      </c>
      <c r="B7854">
        <v>13.992000000000001</v>
      </c>
      <c r="C7854" t="s">
        <v>25031</v>
      </c>
      <c r="D7854" t="s">
        <v>342</v>
      </c>
      <c r="E7854" t="s">
        <v>25032</v>
      </c>
      <c r="F7854" t="s">
        <v>7672</v>
      </c>
      <c r="G7854" t="s">
        <v>25033</v>
      </c>
      <c r="H7854" t="s">
        <v>11598</v>
      </c>
      <c r="I7854" t="s">
        <v>76</v>
      </c>
      <c r="J7854" t="s">
        <v>9107</v>
      </c>
    </row>
    <row r="7855" spans="1:10" x14ac:dyDescent="0.25">
      <c r="A7855" t="s">
        <v>25034</v>
      </c>
      <c r="B7855">
        <v>13.992000000000001</v>
      </c>
      <c r="C7855" t="s">
        <v>25035</v>
      </c>
      <c r="D7855" t="s">
        <v>352</v>
      </c>
      <c r="E7855" t="s">
        <v>25032</v>
      </c>
      <c r="F7855" t="s">
        <v>7672</v>
      </c>
      <c r="G7855" t="s">
        <v>25033</v>
      </c>
      <c r="H7855" t="s">
        <v>11598</v>
      </c>
      <c r="I7855" t="s">
        <v>76</v>
      </c>
      <c r="J7855" t="s">
        <v>9110</v>
      </c>
    </row>
    <row r="7856" spans="1:10" x14ac:dyDescent="0.25">
      <c r="A7856" t="s">
        <v>25036</v>
      </c>
      <c r="B7856">
        <v>13.992000000000001</v>
      </c>
      <c r="C7856" t="s">
        <v>25037</v>
      </c>
      <c r="D7856" t="s">
        <v>131</v>
      </c>
      <c r="E7856" t="s">
        <v>25032</v>
      </c>
      <c r="F7856" t="s">
        <v>7672</v>
      </c>
      <c r="G7856" t="s">
        <v>25033</v>
      </c>
      <c r="H7856" t="s">
        <v>11598</v>
      </c>
      <c r="I7856" t="s">
        <v>76</v>
      </c>
      <c r="J7856" t="s">
        <v>11373</v>
      </c>
    </row>
    <row r="7857" spans="1:10" x14ac:dyDescent="0.25">
      <c r="A7857" t="s">
        <v>25038</v>
      </c>
      <c r="B7857">
        <v>13.992000000000001</v>
      </c>
      <c r="C7857" t="s">
        <v>25039</v>
      </c>
      <c r="D7857" t="s">
        <v>60</v>
      </c>
      <c r="E7857" t="s">
        <v>25032</v>
      </c>
      <c r="F7857" t="s">
        <v>7672</v>
      </c>
      <c r="G7857" t="s">
        <v>25033</v>
      </c>
      <c r="H7857" t="s">
        <v>11598</v>
      </c>
      <c r="I7857" t="s">
        <v>76</v>
      </c>
      <c r="J7857" t="s">
        <v>11376</v>
      </c>
    </row>
    <row r="7858" spans="1:10" x14ac:dyDescent="0.25">
      <c r="A7858" t="s">
        <v>25040</v>
      </c>
      <c r="B7858">
        <v>13.992000000000001</v>
      </c>
      <c r="C7858" t="s">
        <v>25041</v>
      </c>
      <c r="D7858" t="s">
        <v>255</v>
      </c>
      <c r="E7858" t="s">
        <v>25032</v>
      </c>
      <c r="F7858" t="s">
        <v>7672</v>
      </c>
      <c r="G7858" t="s">
        <v>25033</v>
      </c>
      <c r="H7858" t="s">
        <v>11598</v>
      </c>
      <c r="I7858" t="s">
        <v>14319</v>
      </c>
      <c r="J7858" t="s">
        <v>11376</v>
      </c>
    </row>
    <row r="7859" spans="1:10" x14ac:dyDescent="0.25">
      <c r="A7859" t="s">
        <v>25042</v>
      </c>
      <c r="B7859">
        <v>10.56</v>
      </c>
      <c r="C7859" t="s">
        <v>25043</v>
      </c>
      <c r="D7859" t="s">
        <v>282</v>
      </c>
      <c r="E7859" t="s">
        <v>25044</v>
      </c>
      <c r="F7859" t="s">
        <v>7672</v>
      </c>
      <c r="G7859" t="s">
        <v>25045</v>
      </c>
      <c r="H7859" t="s">
        <v>10298</v>
      </c>
      <c r="I7859" t="s">
        <v>25046</v>
      </c>
      <c r="J7859" t="s">
        <v>8980</v>
      </c>
    </row>
    <row r="7860" spans="1:10" x14ac:dyDescent="0.25">
      <c r="A7860" t="s">
        <v>25047</v>
      </c>
      <c r="B7860">
        <v>10.56</v>
      </c>
      <c r="C7860" t="s">
        <v>25048</v>
      </c>
      <c r="D7860" t="s">
        <v>277</v>
      </c>
      <c r="E7860" t="s">
        <v>25044</v>
      </c>
      <c r="F7860" t="s">
        <v>7672</v>
      </c>
      <c r="G7860" t="s">
        <v>25045</v>
      </c>
      <c r="H7860" t="s">
        <v>10298</v>
      </c>
      <c r="I7860" t="s">
        <v>25046</v>
      </c>
      <c r="J7860" t="s">
        <v>53</v>
      </c>
    </row>
    <row r="7861" spans="1:10" x14ac:dyDescent="0.25">
      <c r="A7861" t="s">
        <v>25049</v>
      </c>
      <c r="B7861">
        <v>9.68</v>
      </c>
      <c r="C7861" t="s">
        <v>25050</v>
      </c>
      <c r="D7861" t="s">
        <v>131</v>
      </c>
      <c r="E7861" t="s">
        <v>25044</v>
      </c>
      <c r="F7861" t="s">
        <v>7672</v>
      </c>
      <c r="G7861" t="s">
        <v>25045</v>
      </c>
      <c r="H7861" t="s">
        <v>10298</v>
      </c>
      <c r="I7861" t="s">
        <v>15041</v>
      </c>
      <c r="J7861" t="s">
        <v>53</v>
      </c>
    </row>
    <row r="7862" spans="1:10" x14ac:dyDescent="0.25">
      <c r="A7862" t="s">
        <v>25051</v>
      </c>
      <c r="B7862">
        <v>9.68</v>
      </c>
      <c r="C7862" t="s">
        <v>25052</v>
      </c>
      <c r="D7862" t="s">
        <v>964</v>
      </c>
      <c r="E7862" t="s">
        <v>25044</v>
      </c>
      <c r="F7862" t="s">
        <v>7672</v>
      </c>
      <c r="G7862" t="s">
        <v>25045</v>
      </c>
      <c r="H7862" t="s">
        <v>10298</v>
      </c>
      <c r="I7862" t="s">
        <v>15041</v>
      </c>
      <c r="J7862" t="s">
        <v>342</v>
      </c>
    </row>
    <row r="7863" spans="1:10" x14ac:dyDescent="0.25">
      <c r="A7863" t="s">
        <v>25053</v>
      </c>
      <c r="B7863">
        <v>11.44</v>
      </c>
      <c r="C7863" t="s">
        <v>25054</v>
      </c>
      <c r="D7863" t="s">
        <v>436</v>
      </c>
      <c r="E7863" t="s">
        <v>25044</v>
      </c>
      <c r="F7863" t="s">
        <v>7672</v>
      </c>
      <c r="G7863" t="s">
        <v>25045</v>
      </c>
      <c r="H7863" t="s">
        <v>10298</v>
      </c>
      <c r="I7863" t="s">
        <v>14842</v>
      </c>
      <c r="J7863" t="s">
        <v>342</v>
      </c>
    </row>
    <row r="7864" spans="1:10" x14ac:dyDescent="0.25">
      <c r="A7864" t="s">
        <v>25055</v>
      </c>
      <c r="B7864">
        <v>9.68</v>
      </c>
      <c r="C7864" t="s">
        <v>25056</v>
      </c>
      <c r="D7864" t="s">
        <v>342</v>
      </c>
      <c r="E7864" t="s">
        <v>25044</v>
      </c>
      <c r="F7864" t="s">
        <v>7672</v>
      </c>
      <c r="G7864" t="s">
        <v>25045</v>
      </c>
      <c r="H7864" t="s">
        <v>10298</v>
      </c>
      <c r="I7864" t="s">
        <v>15041</v>
      </c>
      <c r="J7864" t="s">
        <v>106</v>
      </c>
    </row>
    <row r="7865" spans="1:10" x14ac:dyDescent="0.25">
      <c r="A7865" t="s">
        <v>25057</v>
      </c>
      <c r="B7865">
        <v>9.68</v>
      </c>
      <c r="C7865" t="s">
        <v>25058</v>
      </c>
      <c r="D7865" t="s">
        <v>60</v>
      </c>
      <c r="E7865" t="s">
        <v>25044</v>
      </c>
      <c r="F7865" t="s">
        <v>7672</v>
      </c>
      <c r="G7865" t="s">
        <v>25045</v>
      </c>
      <c r="H7865" t="s">
        <v>10298</v>
      </c>
      <c r="I7865" t="s">
        <v>15041</v>
      </c>
      <c r="J7865" t="s">
        <v>131</v>
      </c>
    </row>
    <row r="7866" spans="1:10" x14ac:dyDescent="0.25">
      <c r="A7866" t="s">
        <v>25059</v>
      </c>
      <c r="B7866">
        <v>11.44</v>
      </c>
      <c r="C7866" t="s">
        <v>25060</v>
      </c>
      <c r="D7866" t="s">
        <v>131</v>
      </c>
      <c r="E7866" t="s">
        <v>25044</v>
      </c>
      <c r="F7866" t="s">
        <v>7672</v>
      </c>
      <c r="G7866" t="s">
        <v>25045</v>
      </c>
      <c r="H7866" t="s">
        <v>10298</v>
      </c>
      <c r="I7866" t="s">
        <v>15041</v>
      </c>
      <c r="J7866" t="s">
        <v>25061</v>
      </c>
    </row>
    <row r="7867" spans="1:10" x14ac:dyDescent="0.25">
      <c r="A7867" t="s">
        <v>25062</v>
      </c>
      <c r="B7867">
        <v>4.4000000000000004</v>
      </c>
      <c r="C7867" t="s">
        <v>25063</v>
      </c>
      <c r="D7867" t="s">
        <v>53</v>
      </c>
      <c r="E7867" t="s">
        <v>25064</v>
      </c>
      <c r="F7867" t="s">
        <v>7672</v>
      </c>
      <c r="G7867" t="s">
        <v>25065</v>
      </c>
      <c r="H7867" t="s">
        <v>10298</v>
      </c>
      <c r="I7867" t="s">
        <v>76</v>
      </c>
      <c r="J7867" t="s">
        <v>11696</v>
      </c>
    </row>
    <row r="7868" spans="1:10" x14ac:dyDescent="0.25">
      <c r="A7868" t="s">
        <v>25066</v>
      </c>
      <c r="B7868">
        <v>4.4000000000000004</v>
      </c>
      <c r="C7868" t="s">
        <v>25067</v>
      </c>
      <c r="D7868" t="s">
        <v>366</v>
      </c>
      <c r="E7868" t="s">
        <v>25064</v>
      </c>
      <c r="F7868" t="s">
        <v>7672</v>
      </c>
      <c r="G7868" t="s">
        <v>25065</v>
      </c>
      <c r="H7868" t="s">
        <v>10298</v>
      </c>
      <c r="I7868" t="s">
        <v>76</v>
      </c>
      <c r="J7868" t="s">
        <v>11702</v>
      </c>
    </row>
    <row r="7869" spans="1:10" x14ac:dyDescent="0.25">
      <c r="A7869" t="s">
        <v>25068</v>
      </c>
      <c r="B7869">
        <v>4.4000000000000004</v>
      </c>
      <c r="C7869" t="s">
        <v>25069</v>
      </c>
      <c r="D7869" t="s">
        <v>106</v>
      </c>
      <c r="E7869" t="s">
        <v>25064</v>
      </c>
      <c r="F7869" t="s">
        <v>7672</v>
      </c>
      <c r="G7869" t="s">
        <v>25065</v>
      </c>
      <c r="H7869" t="s">
        <v>10298</v>
      </c>
      <c r="I7869" t="s">
        <v>25070</v>
      </c>
      <c r="J7869" t="s">
        <v>11702</v>
      </c>
    </row>
    <row r="7870" spans="1:10" x14ac:dyDescent="0.25">
      <c r="A7870" t="s">
        <v>25071</v>
      </c>
      <c r="B7870">
        <v>4.4000000000000004</v>
      </c>
      <c r="C7870" t="s">
        <v>25072</v>
      </c>
      <c r="D7870" t="s">
        <v>277</v>
      </c>
      <c r="E7870" t="s">
        <v>25064</v>
      </c>
      <c r="F7870" t="s">
        <v>7672</v>
      </c>
      <c r="G7870" t="s">
        <v>25065</v>
      </c>
      <c r="H7870" t="s">
        <v>10298</v>
      </c>
      <c r="I7870" t="s">
        <v>76</v>
      </c>
      <c r="J7870" t="s">
        <v>11710</v>
      </c>
    </row>
    <row r="7871" spans="1:10" x14ac:dyDescent="0.25">
      <c r="A7871" t="s">
        <v>25073</v>
      </c>
      <c r="B7871">
        <v>4.4000000000000004</v>
      </c>
      <c r="C7871" t="s">
        <v>25074</v>
      </c>
      <c r="D7871" t="s">
        <v>282</v>
      </c>
      <c r="E7871" t="s">
        <v>25064</v>
      </c>
      <c r="F7871" t="s">
        <v>7672</v>
      </c>
      <c r="G7871" t="s">
        <v>25065</v>
      </c>
      <c r="H7871" t="s">
        <v>10298</v>
      </c>
      <c r="I7871" t="s">
        <v>25070</v>
      </c>
      <c r="J7871" t="s">
        <v>11710</v>
      </c>
    </row>
    <row r="7872" spans="1:10" x14ac:dyDescent="0.25">
      <c r="A7872" t="s">
        <v>25075</v>
      </c>
      <c r="B7872">
        <v>4.4000000000000004</v>
      </c>
      <c r="C7872" t="s">
        <v>25076</v>
      </c>
      <c r="D7872" t="s">
        <v>100</v>
      </c>
      <c r="E7872" t="s">
        <v>25064</v>
      </c>
      <c r="F7872" t="s">
        <v>7672</v>
      </c>
      <c r="G7872" t="s">
        <v>25065</v>
      </c>
      <c r="H7872" t="s">
        <v>10298</v>
      </c>
      <c r="I7872" t="s">
        <v>76</v>
      </c>
      <c r="J7872" t="s">
        <v>12182</v>
      </c>
    </row>
    <row r="7873" spans="1:10" x14ac:dyDescent="0.25">
      <c r="A7873" t="s">
        <v>25077</v>
      </c>
      <c r="B7873">
        <v>4.4000000000000004</v>
      </c>
      <c r="C7873" t="s">
        <v>25078</v>
      </c>
      <c r="D7873" t="s">
        <v>113</v>
      </c>
      <c r="E7873" t="s">
        <v>25064</v>
      </c>
      <c r="F7873" t="s">
        <v>7672</v>
      </c>
      <c r="G7873" t="s">
        <v>25065</v>
      </c>
      <c r="H7873" t="s">
        <v>10298</v>
      </c>
      <c r="I7873" t="s">
        <v>25079</v>
      </c>
      <c r="J7873" t="s">
        <v>12182</v>
      </c>
    </row>
    <row r="7874" spans="1:10" x14ac:dyDescent="0.25">
      <c r="A7874" t="s">
        <v>25080</v>
      </c>
      <c r="B7874">
        <v>4.4000000000000004</v>
      </c>
      <c r="C7874" t="s">
        <v>25081</v>
      </c>
      <c r="D7874" t="s">
        <v>164</v>
      </c>
      <c r="E7874" t="s">
        <v>25064</v>
      </c>
      <c r="F7874" t="s">
        <v>7672</v>
      </c>
      <c r="G7874" t="s">
        <v>25065</v>
      </c>
      <c r="H7874" t="s">
        <v>10298</v>
      </c>
      <c r="I7874" t="s">
        <v>25070</v>
      </c>
      <c r="J7874" t="s">
        <v>12182</v>
      </c>
    </row>
    <row r="7875" spans="1:10" x14ac:dyDescent="0.25">
      <c r="A7875" t="s">
        <v>25082</v>
      </c>
      <c r="B7875">
        <v>4.4000000000000004</v>
      </c>
      <c r="C7875" t="s">
        <v>25083</v>
      </c>
      <c r="D7875" t="s">
        <v>255</v>
      </c>
      <c r="E7875" t="s">
        <v>25064</v>
      </c>
      <c r="F7875" t="s">
        <v>7672</v>
      </c>
      <c r="G7875" t="s">
        <v>25065</v>
      </c>
      <c r="H7875" t="s">
        <v>10298</v>
      </c>
      <c r="I7875" t="s">
        <v>25079</v>
      </c>
      <c r="J7875" t="s">
        <v>10150</v>
      </c>
    </row>
    <row r="7876" spans="1:10" x14ac:dyDescent="0.25">
      <c r="A7876" t="s">
        <v>25084</v>
      </c>
      <c r="B7876">
        <v>4.4000000000000004</v>
      </c>
      <c r="C7876" t="s">
        <v>25085</v>
      </c>
      <c r="D7876" t="s">
        <v>60</v>
      </c>
      <c r="E7876" t="s">
        <v>25064</v>
      </c>
      <c r="F7876" t="s">
        <v>7672</v>
      </c>
      <c r="G7876" t="s">
        <v>25065</v>
      </c>
      <c r="H7876" t="s">
        <v>10298</v>
      </c>
      <c r="I7876" t="s">
        <v>25086</v>
      </c>
      <c r="J7876" t="s">
        <v>10150</v>
      </c>
    </row>
    <row r="7877" spans="1:10" x14ac:dyDescent="0.25">
      <c r="A7877" t="s">
        <v>25087</v>
      </c>
      <c r="B7877">
        <v>4.4000000000000004</v>
      </c>
      <c r="C7877" t="s">
        <v>25088</v>
      </c>
      <c r="D7877" t="s">
        <v>385</v>
      </c>
      <c r="E7877" t="s">
        <v>25064</v>
      </c>
      <c r="F7877" t="s">
        <v>7672</v>
      </c>
      <c r="G7877" t="s">
        <v>25065</v>
      </c>
      <c r="H7877" t="s">
        <v>10298</v>
      </c>
      <c r="I7877" t="s">
        <v>25070</v>
      </c>
      <c r="J7877" t="s">
        <v>10150</v>
      </c>
    </row>
    <row r="7878" spans="1:10" x14ac:dyDescent="0.25">
      <c r="A7878" t="s">
        <v>25089</v>
      </c>
      <c r="B7878">
        <v>4.4000000000000004</v>
      </c>
      <c r="C7878" t="s">
        <v>25090</v>
      </c>
      <c r="D7878" t="s">
        <v>742</v>
      </c>
      <c r="E7878" t="s">
        <v>25064</v>
      </c>
      <c r="F7878" t="s">
        <v>7672</v>
      </c>
      <c r="G7878" t="s">
        <v>25065</v>
      </c>
      <c r="H7878" t="s">
        <v>10298</v>
      </c>
      <c r="I7878" t="s">
        <v>25079</v>
      </c>
      <c r="J7878" t="s">
        <v>15238</v>
      </c>
    </row>
    <row r="7879" spans="1:10" x14ac:dyDescent="0.25">
      <c r="A7879" t="s">
        <v>25091</v>
      </c>
      <c r="B7879">
        <v>4.4000000000000004</v>
      </c>
      <c r="C7879" t="s">
        <v>25092</v>
      </c>
      <c r="D7879" t="s">
        <v>742</v>
      </c>
      <c r="E7879" t="s">
        <v>25064</v>
      </c>
      <c r="F7879" t="s">
        <v>7672</v>
      </c>
      <c r="G7879" t="s">
        <v>25065</v>
      </c>
      <c r="H7879" t="s">
        <v>10298</v>
      </c>
      <c r="I7879" t="s">
        <v>76</v>
      </c>
      <c r="J7879" t="s">
        <v>15238</v>
      </c>
    </row>
    <row r="7880" spans="1:10" x14ac:dyDescent="0.25">
      <c r="A7880" t="s">
        <v>25093</v>
      </c>
      <c r="B7880">
        <v>4.4000000000000004</v>
      </c>
      <c r="C7880" t="s">
        <v>25094</v>
      </c>
      <c r="D7880" t="s">
        <v>60</v>
      </c>
      <c r="E7880" t="s">
        <v>25064</v>
      </c>
      <c r="F7880" t="s">
        <v>7672</v>
      </c>
      <c r="G7880" t="s">
        <v>25065</v>
      </c>
      <c r="H7880" t="s">
        <v>10298</v>
      </c>
      <c r="I7880" t="s">
        <v>25070</v>
      </c>
      <c r="J7880" t="s">
        <v>15238</v>
      </c>
    </row>
    <row r="7881" spans="1:10" x14ac:dyDescent="0.25">
      <c r="A7881" t="s">
        <v>25095</v>
      </c>
      <c r="B7881">
        <v>4.4000000000000004</v>
      </c>
      <c r="C7881" t="s">
        <v>25096</v>
      </c>
      <c r="D7881" t="s">
        <v>53</v>
      </c>
      <c r="E7881" t="s">
        <v>25064</v>
      </c>
      <c r="F7881" t="s">
        <v>7672</v>
      </c>
      <c r="G7881" t="s">
        <v>25065</v>
      </c>
      <c r="H7881" t="s">
        <v>10298</v>
      </c>
      <c r="I7881" t="s">
        <v>25086</v>
      </c>
      <c r="J7881" t="s">
        <v>15070</v>
      </c>
    </row>
    <row r="7882" spans="1:10" x14ac:dyDescent="0.25">
      <c r="A7882" t="s">
        <v>25097</v>
      </c>
      <c r="B7882">
        <v>4.4000000000000004</v>
      </c>
      <c r="C7882" t="s">
        <v>25098</v>
      </c>
      <c r="D7882" t="s">
        <v>742</v>
      </c>
      <c r="E7882" t="s">
        <v>25064</v>
      </c>
      <c r="F7882" t="s">
        <v>7672</v>
      </c>
      <c r="G7882" t="s">
        <v>25065</v>
      </c>
      <c r="H7882" t="s">
        <v>10298</v>
      </c>
      <c r="I7882" t="s">
        <v>25079</v>
      </c>
      <c r="J7882" t="s">
        <v>15070</v>
      </c>
    </row>
    <row r="7883" spans="1:10" x14ac:dyDescent="0.25">
      <c r="A7883" t="s">
        <v>25099</v>
      </c>
      <c r="B7883">
        <v>4.4000000000000004</v>
      </c>
      <c r="C7883" t="s">
        <v>25100</v>
      </c>
      <c r="D7883" t="s">
        <v>88</v>
      </c>
      <c r="E7883" t="s">
        <v>25064</v>
      </c>
      <c r="F7883" t="s">
        <v>7672</v>
      </c>
      <c r="G7883" t="s">
        <v>25065</v>
      </c>
      <c r="H7883" t="s">
        <v>10298</v>
      </c>
      <c r="I7883" t="s">
        <v>76</v>
      </c>
      <c r="J7883" t="s">
        <v>15070</v>
      </c>
    </row>
    <row r="7884" spans="1:10" x14ac:dyDescent="0.25">
      <c r="A7884" t="s">
        <v>25101</v>
      </c>
      <c r="B7884">
        <v>4.4000000000000004</v>
      </c>
      <c r="C7884" t="s">
        <v>25102</v>
      </c>
      <c r="D7884" t="s">
        <v>290</v>
      </c>
      <c r="E7884" t="s">
        <v>25064</v>
      </c>
      <c r="F7884" t="s">
        <v>7672</v>
      </c>
      <c r="G7884" t="s">
        <v>25065</v>
      </c>
      <c r="H7884" t="s">
        <v>10298</v>
      </c>
      <c r="I7884" t="s">
        <v>76</v>
      </c>
      <c r="J7884" t="s">
        <v>15073</v>
      </c>
    </row>
    <row r="7885" spans="1:10" x14ac:dyDescent="0.25">
      <c r="A7885" t="s">
        <v>25103</v>
      </c>
      <c r="B7885">
        <v>4.4000000000000004</v>
      </c>
      <c r="C7885" t="s">
        <v>25104</v>
      </c>
      <c r="D7885" t="s">
        <v>366</v>
      </c>
      <c r="E7885" t="s">
        <v>25064</v>
      </c>
      <c r="F7885" t="s">
        <v>7672</v>
      </c>
      <c r="G7885" t="s">
        <v>25065</v>
      </c>
      <c r="H7885" t="s">
        <v>10298</v>
      </c>
      <c r="I7885" t="s">
        <v>25079</v>
      </c>
      <c r="J7885" t="s">
        <v>15073</v>
      </c>
    </row>
    <row r="7886" spans="1:10" x14ac:dyDescent="0.25">
      <c r="A7886" t="s">
        <v>25105</v>
      </c>
      <c r="B7886">
        <v>4.4000000000000004</v>
      </c>
      <c r="C7886" t="s">
        <v>25106</v>
      </c>
      <c r="D7886" t="s">
        <v>959</v>
      </c>
      <c r="E7886" t="s">
        <v>25064</v>
      </c>
      <c r="F7886" t="s">
        <v>7672</v>
      </c>
      <c r="G7886" t="s">
        <v>25065</v>
      </c>
      <c r="H7886" t="s">
        <v>10298</v>
      </c>
      <c r="I7886" t="s">
        <v>25086</v>
      </c>
      <c r="J7886" t="s">
        <v>15076</v>
      </c>
    </row>
    <row r="7887" spans="1:10" x14ac:dyDescent="0.25">
      <c r="A7887" t="s">
        <v>25107</v>
      </c>
      <c r="B7887">
        <v>4.4000000000000004</v>
      </c>
      <c r="C7887" t="s">
        <v>25108</v>
      </c>
      <c r="D7887" t="s">
        <v>964</v>
      </c>
      <c r="E7887" t="s">
        <v>25064</v>
      </c>
      <c r="F7887" t="s">
        <v>7672</v>
      </c>
      <c r="G7887" t="s">
        <v>25065</v>
      </c>
      <c r="H7887" t="s">
        <v>10298</v>
      </c>
      <c r="I7887" t="s">
        <v>25070</v>
      </c>
      <c r="J7887" t="s">
        <v>15076</v>
      </c>
    </row>
    <row r="7888" spans="1:10" x14ac:dyDescent="0.25">
      <c r="A7888" t="s">
        <v>25109</v>
      </c>
      <c r="B7888">
        <v>4.4000000000000004</v>
      </c>
      <c r="C7888" t="s">
        <v>25110</v>
      </c>
      <c r="D7888" t="s">
        <v>245</v>
      </c>
      <c r="E7888" t="s">
        <v>25064</v>
      </c>
      <c r="F7888" t="s">
        <v>7672</v>
      </c>
      <c r="G7888" t="s">
        <v>25065</v>
      </c>
      <c r="H7888" t="s">
        <v>10298</v>
      </c>
      <c r="I7888" t="s">
        <v>25079</v>
      </c>
      <c r="J7888" t="s">
        <v>15076</v>
      </c>
    </row>
    <row r="7889" spans="1:10" x14ac:dyDescent="0.25">
      <c r="A7889" t="s">
        <v>25111</v>
      </c>
      <c r="B7889">
        <v>4.4000000000000004</v>
      </c>
      <c r="C7889" t="s">
        <v>25112</v>
      </c>
      <c r="D7889" t="s">
        <v>1097</v>
      </c>
      <c r="E7889" t="s">
        <v>25064</v>
      </c>
      <c r="F7889" t="s">
        <v>7672</v>
      </c>
      <c r="G7889" t="s">
        <v>25065</v>
      </c>
      <c r="H7889" t="s">
        <v>10298</v>
      </c>
      <c r="I7889" t="s">
        <v>76</v>
      </c>
      <c r="J7889" t="s">
        <v>15076</v>
      </c>
    </row>
    <row r="7890" spans="1:10" x14ac:dyDescent="0.25">
      <c r="A7890" t="s">
        <v>25113</v>
      </c>
      <c r="B7890">
        <v>4.4000000000000004</v>
      </c>
      <c r="C7890" t="s">
        <v>25114</v>
      </c>
      <c r="D7890" t="s">
        <v>2879</v>
      </c>
      <c r="E7890" t="s">
        <v>25064</v>
      </c>
      <c r="F7890" t="s">
        <v>7672</v>
      </c>
      <c r="G7890" t="s">
        <v>25065</v>
      </c>
      <c r="H7890" t="s">
        <v>10298</v>
      </c>
      <c r="I7890" t="s">
        <v>25070</v>
      </c>
      <c r="J7890" t="s">
        <v>15079</v>
      </c>
    </row>
    <row r="7891" spans="1:10" x14ac:dyDescent="0.25">
      <c r="A7891" t="s">
        <v>25115</v>
      </c>
      <c r="B7891">
        <v>4.4000000000000004</v>
      </c>
      <c r="C7891" t="s">
        <v>25116</v>
      </c>
      <c r="D7891" t="s">
        <v>229</v>
      </c>
      <c r="E7891" t="s">
        <v>25064</v>
      </c>
      <c r="F7891" t="s">
        <v>7672</v>
      </c>
      <c r="G7891" t="s">
        <v>25065</v>
      </c>
      <c r="H7891" t="s">
        <v>10298</v>
      </c>
      <c r="I7891" t="s">
        <v>25086</v>
      </c>
      <c r="J7891" t="s">
        <v>15079</v>
      </c>
    </row>
    <row r="7892" spans="1:10" x14ac:dyDescent="0.25">
      <c r="A7892" t="s">
        <v>25117</v>
      </c>
      <c r="B7892">
        <v>4.4000000000000004</v>
      </c>
      <c r="C7892" t="s">
        <v>25118</v>
      </c>
      <c r="D7892" t="s">
        <v>2253</v>
      </c>
      <c r="E7892" t="s">
        <v>25064</v>
      </c>
      <c r="F7892" t="s">
        <v>7672</v>
      </c>
      <c r="G7892" t="s">
        <v>25065</v>
      </c>
      <c r="H7892" t="s">
        <v>10298</v>
      </c>
      <c r="I7892" t="s">
        <v>76</v>
      </c>
      <c r="J7892" t="s">
        <v>15079</v>
      </c>
    </row>
    <row r="7893" spans="1:10" x14ac:dyDescent="0.25">
      <c r="A7893" t="s">
        <v>25119</v>
      </c>
      <c r="B7893">
        <v>4.4000000000000004</v>
      </c>
      <c r="C7893" t="s">
        <v>25120</v>
      </c>
      <c r="D7893" t="s">
        <v>776</v>
      </c>
      <c r="E7893" t="s">
        <v>25064</v>
      </c>
      <c r="F7893" t="s">
        <v>7672</v>
      </c>
      <c r="G7893" t="s">
        <v>25065</v>
      </c>
      <c r="H7893" t="s">
        <v>10298</v>
      </c>
      <c r="I7893" t="s">
        <v>25079</v>
      </c>
      <c r="J7893" t="s">
        <v>15079</v>
      </c>
    </row>
    <row r="7894" spans="1:10" x14ac:dyDescent="0.25">
      <c r="A7894" t="s">
        <v>7072</v>
      </c>
      <c r="B7894">
        <v>14.304</v>
      </c>
      <c r="C7894" t="s">
        <v>7074</v>
      </c>
      <c r="D7894" t="s">
        <v>131</v>
      </c>
      <c r="E7894" t="s">
        <v>7075</v>
      </c>
      <c r="F7894" t="s">
        <v>7672</v>
      </c>
      <c r="G7894" t="s">
        <v>25121</v>
      </c>
      <c r="H7894" t="s">
        <v>10970</v>
      </c>
      <c r="I7894" t="s">
        <v>25122</v>
      </c>
      <c r="J7894" t="s">
        <v>11315</v>
      </c>
    </row>
    <row r="7895" spans="1:10" x14ac:dyDescent="0.25">
      <c r="A7895" t="s">
        <v>7079</v>
      </c>
      <c r="B7895">
        <v>14.304</v>
      </c>
      <c r="C7895" t="s">
        <v>7081</v>
      </c>
      <c r="D7895" t="s">
        <v>342</v>
      </c>
      <c r="E7895" t="s">
        <v>7075</v>
      </c>
      <c r="F7895" t="s">
        <v>7672</v>
      </c>
      <c r="G7895" t="s">
        <v>25121</v>
      </c>
      <c r="H7895" t="s">
        <v>10970</v>
      </c>
      <c r="I7895" t="s">
        <v>25122</v>
      </c>
      <c r="J7895" t="s">
        <v>9730</v>
      </c>
    </row>
    <row r="7896" spans="1:10" x14ac:dyDescent="0.25">
      <c r="A7896" t="s">
        <v>7083</v>
      </c>
      <c r="B7896">
        <v>14.304</v>
      </c>
      <c r="C7896" t="s">
        <v>7085</v>
      </c>
      <c r="D7896" t="s">
        <v>282</v>
      </c>
      <c r="E7896" t="s">
        <v>7075</v>
      </c>
      <c r="F7896" t="s">
        <v>7672</v>
      </c>
      <c r="G7896" t="s">
        <v>25121</v>
      </c>
      <c r="H7896" t="s">
        <v>10970</v>
      </c>
      <c r="I7896" t="s">
        <v>25122</v>
      </c>
      <c r="J7896" t="s">
        <v>9739</v>
      </c>
    </row>
    <row r="7897" spans="1:10" x14ac:dyDescent="0.25">
      <c r="A7897" t="s">
        <v>7087</v>
      </c>
      <c r="B7897">
        <v>14.304</v>
      </c>
      <c r="C7897" t="s">
        <v>7089</v>
      </c>
      <c r="D7897" t="s">
        <v>131</v>
      </c>
      <c r="E7897" t="s">
        <v>7075</v>
      </c>
      <c r="F7897" t="s">
        <v>7672</v>
      </c>
      <c r="G7897" t="s">
        <v>25121</v>
      </c>
      <c r="H7897" t="s">
        <v>10970</v>
      </c>
      <c r="I7897" t="s">
        <v>25122</v>
      </c>
      <c r="J7897" t="s">
        <v>9746</v>
      </c>
    </row>
    <row r="7898" spans="1:10" x14ac:dyDescent="0.25">
      <c r="A7898" t="s">
        <v>7091</v>
      </c>
      <c r="B7898">
        <v>14.304</v>
      </c>
      <c r="C7898" t="s">
        <v>7093</v>
      </c>
      <c r="D7898" t="s">
        <v>277</v>
      </c>
      <c r="E7898" t="s">
        <v>7075</v>
      </c>
      <c r="F7898" t="s">
        <v>7672</v>
      </c>
      <c r="G7898" t="s">
        <v>25121</v>
      </c>
      <c r="H7898" t="s">
        <v>10970</v>
      </c>
      <c r="I7898" t="s">
        <v>25122</v>
      </c>
      <c r="J7898" t="s">
        <v>11326</v>
      </c>
    </row>
    <row r="7899" spans="1:10" x14ac:dyDescent="0.25">
      <c r="A7899" t="s">
        <v>25123</v>
      </c>
      <c r="B7899">
        <v>9.6000000000000014</v>
      </c>
      <c r="C7899" t="s">
        <v>25124</v>
      </c>
      <c r="D7899" t="s">
        <v>835</v>
      </c>
      <c r="E7899" t="s">
        <v>25125</v>
      </c>
      <c r="F7899" t="s">
        <v>7672</v>
      </c>
      <c r="G7899" t="s">
        <v>25126</v>
      </c>
      <c r="H7899" t="s">
        <v>8673</v>
      </c>
      <c r="I7899" t="s">
        <v>8158</v>
      </c>
      <c r="J7899" t="s">
        <v>8293</v>
      </c>
    </row>
    <row r="7900" spans="1:10" x14ac:dyDescent="0.25">
      <c r="A7900" t="s">
        <v>25127</v>
      </c>
      <c r="B7900">
        <v>9.6000000000000014</v>
      </c>
      <c r="C7900" t="s">
        <v>25128</v>
      </c>
      <c r="D7900" t="s">
        <v>742</v>
      </c>
      <c r="E7900" t="s">
        <v>25125</v>
      </c>
      <c r="F7900" t="s">
        <v>7672</v>
      </c>
      <c r="G7900" t="s">
        <v>25126</v>
      </c>
      <c r="H7900" t="s">
        <v>8673</v>
      </c>
      <c r="I7900" t="s">
        <v>10330</v>
      </c>
      <c r="J7900" t="s">
        <v>8293</v>
      </c>
    </row>
    <row r="7901" spans="1:10" x14ac:dyDescent="0.25">
      <c r="A7901" t="s">
        <v>25129</v>
      </c>
      <c r="B7901">
        <v>9.6000000000000014</v>
      </c>
      <c r="C7901" t="s">
        <v>25130</v>
      </c>
      <c r="D7901" t="s">
        <v>2697</v>
      </c>
      <c r="E7901" t="s">
        <v>25125</v>
      </c>
      <c r="F7901" t="s">
        <v>7672</v>
      </c>
      <c r="G7901" t="s">
        <v>25126</v>
      </c>
      <c r="H7901" t="s">
        <v>8673</v>
      </c>
      <c r="I7901" t="s">
        <v>15568</v>
      </c>
      <c r="J7901" t="s">
        <v>8293</v>
      </c>
    </row>
    <row r="7902" spans="1:10" x14ac:dyDescent="0.25">
      <c r="A7902" t="s">
        <v>25131</v>
      </c>
      <c r="B7902">
        <v>9.6000000000000014</v>
      </c>
      <c r="C7902" t="s">
        <v>25132</v>
      </c>
      <c r="D7902" t="s">
        <v>342</v>
      </c>
      <c r="E7902" t="s">
        <v>25125</v>
      </c>
      <c r="F7902" t="s">
        <v>7672</v>
      </c>
      <c r="G7902" t="s">
        <v>25126</v>
      </c>
      <c r="H7902" t="s">
        <v>8673</v>
      </c>
      <c r="I7902" t="s">
        <v>11206</v>
      </c>
      <c r="J7902" t="s">
        <v>8293</v>
      </c>
    </row>
    <row r="7903" spans="1:10" x14ac:dyDescent="0.25">
      <c r="A7903" t="s">
        <v>25133</v>
      </c>
      <c r="B7903">
        <v>9.6000000000000014</v>
      </c>
      <c r="C7903" t="s">
        <v>25134</v>
      </c>
      <c r="D7903" t="s">
        <v>664</v>
      </c>
      <c r="E7903" t="s">
        <v>25125</v>
      </c>
      <c r="F7903" t="s">
        <v>7672</v>
      </c>
      <c r="G7903" t="s">
        <v>25126</v>
      </c>
      <c r="H7903" t="s">
        <v>8673</v>
      </c>
      <c r="I7903" t="s">
        <v>1243</v>
      </c>
      <c r="J7903" t="s">
        <v>8293</v>
      </c>
    </row>
    <row r="7904" spans="1:10" x14ac:dyDescent="0.25">
      <c r="A7904" t="s">
        <v>25135</v>
      </c>
      <c r="B7904">
        <v>9.6000000000000014</v>
      </c>
      <c r="C7904" t="s">
        <v>25136</v>
      </c>
      <c r="D7904" t="s">
        <v>835</v>
      </c>
      <c r="E7904" t="s">
        <v>25125</v>
      </c>
      <c r="F7904" t="s">
        <v>7672</v>
      </c>
      <c r="G7904" t="s">
        <v>25126</v>
      </c>
      <c r="H7904" t="s">
        <v>8673</v>
      </c>
      <c r="I7904" t="s">
        <v>25137</v>
      </c>
      <c r="J7904" t="s">
        <v>8293</v>
      </c>
    </row>
    <row r="7905" spans="1:10" x14ac:dyDescent="0.25">
      <c r="A7905" t="s">
        <v>25138</v>
      </c>
      <c r="B7905">
        <v>9.6000000000000014</v>
      </c>
      <c r="C7905" t="s">
        <v>25139</v>
      </c>
      <c r="D7905" t="s">
        <v>269</v>
      </c>
      <c r="E7905" t="s">
        <v>25125</v>
      </c>
      <c r="F7905" t="s">
        <v>7672</v>
      </c>
      <c r="G7905" t="s">
        <v>25126</v>
      </c>
      <c r="H7905" t="s">
        <v>8673</v>
      </c>
      <c r="I7905" t="s">
        <v>25140</v>
      </c>
      <c r="J7905" t="s">
        <v>8293</v>
      </c>
    </row>
    <row r="7906" spans="1:10" x14ac:dyDescent="0.25">
      <c r="A7906" t="s">
        <v>25141</v>
      </c>
      <c r="B7906">
        <v>9.6000000000000014</v>
      </c>
      <c r="C7906" t="s">
        <v>25142</v>
      </c>
      <c r="D7906" t="s">
        <v>286</v>
      </c>
      <c r="E7906" t="s">
        <v>25125</v>
      </c>
      <c r="F7906" t="s">
        <v>7672</v>
      </c>
      <c r="G7906" t="s">
        <v>25126</v>
      </c>
      <c r="H7906" t="s">
        <v>8673</v>
      </c>
      <c r="I7906" t="s">
        <v>10349</v>
      </c>
      <c r="J7906" t="s">
        <v>8293</v>
      </c>
    </row>
    <row r="7907" spans="1:10" x14ac:dyDescent="0.25">
      <c r="A7907" t="s">
        <v>25143</v>
      </c>
      <c r="B7907">
        <v>9.6000000000000014</v>
      </c>
      <c r="C7907" t="s">
        <v>25144</v>
      </c>
      <c r="D7907" t="s">
        <v>359</v>
      </c>
      <c r="E7907" t="s">
        <v>25125</v>
      </c>
      <c r="F7907" t="s">
        <v>7672</v>
      </c>
      <c r="G7907" t="s">
        <v>25126</v>
      </c>
      <c r="H7907" t="s">
        <v>8673</v>
      </c>
      <c r="I7907" t="s">
        <v>1243</v>
      </c>
      <c r="J7907" t="s">
        <v>9023</v>
      </c>
    </row>
    <row r="7908" spans="1:10" x14ac:dyDescent="0.25">
      <c r="A7908" t="s">
        <v>25145</v>
      </c>
      <c r="B7908">
        <v>9.6000000000000014</v>
      </c>
      <c r="C7908" t="s">
        <v>25146</v>
      </c>
      <c r="D7908" t="s">
        <v>301</v>
      </c>
      <c r="E7908" t="s">
        <v>25125</v>
      </c>
      <c r="F7908" t="s">
        <v>7672</v>
      </c>
      <c r="G7908" t="s">
        <v>25126</v>
      </c>
      <c r="H7908" t="s">
        <v>8673</v>
      </c>
      <c r="I7908" t="s">
        <v>11206</v>
      </c>
      <c r="J7908" t="s">
        <v>9079</v>
      </c>
    </row>
    <row r="7909" spans="1:10" x14ac:dyDescent="0.25">
      <c r="A7909" t="s">
        <v>25147</v>
      </c>
      <c r="B7909">
        <v>9.6000000000000014</v>
      </c>
      <c r="C7909" t="s">
        <v>25148</v>
      </c>
      <c r="D7909" t="s">
        <v>282</v>
      </c>
      <c r="E7909" t="s">
        <v>25125</v>
      </c>
      <c r="F7909" t="s">
        <v>7672</v>
      </c>
      <c r="G7909" t="s">
        <v>25126</v>
      </c>
      <c r="H7909" t="s">
        <v>8673</v>
      </c>
      <c r="I7909" t="s">
        <v>1243</v>
      </c>
      <c r="J7909" t="s">
        <v>9079</v>
      </c>
    </row>
    <row r="7910" spans="1:10" x14ac:dyDescent="0.25">
      <c r="A7910" t="s">
        <v>25149</v>
      </c>
      <c r="B7910">
        <v>12.8</v>
      </c>
      <c r="C7910" t="s">
        <v>25150</v>
      </c>
      <c r="D7910" t="s">
        <v>113</v>
      </c>
      <c r="E7910" t="s">
        <v>25151</v>
      </c>
      <c r="F7910" t="s">
        <v>7672</v>
      </c>
      <c r="G7910" t="s">
        <v>25152</v>
      </c>
      <c r="H7910" t="s">
        <v>24085</v>
      </c>
      <c r="I7910" t="s">
        <v>1243</v>
      </c>
      <c r="J7910" t="s">
        <v>100</v>
      </c>
    </row>
    <row r="7911" spans="1:10" x14ac:dyDescent="0.25">
      <c r="A7911" t="s">
        <v>25153</v>
      </c>
      <c r="B7911">
        <v>12.8</v>
      </c>
      <c r="C7911" t="s">
        <v>25154</v>
      </c>
      <c r="D7911" t="s">
        <v>875</v>
      </c>
      <c r="E7911" t="s">
        <v>25151</v>
      </c>
      <c r="F7911" t="s">
        <v>7672</v>
      </c>
      <c r="G7911" t="s">
        <v>25152</v>
      </c>
      <c r="H7911" t="s">
        <v>24085</v>
      </c>
      <c r="I7911" t="s">
        <v>935</v>
      </c>
      <c r="J7911" t="s">
        <v>100</v>
      </c>
    </row>
    <row r="7912" spans="1:10" x14ac:dyDescent="0.25">
      <c r="A7912" t="s">
        <v>25155</v>
      </c>
      <c r="B7912">
        <v>12.8</v>
      </c>
      <c r="C7912" t="s">
        <v>25156</v>
      </c>
      <c r="D7912" t="s">
        <v>379</v>
      </c>
      <c r="E7912" t="s">
        <v>25151</v>
      </c>
      <c r="F7912" t="s">
        <v>7672</v>
      </c>
      <c r="G7912" t="s">
        <v>25152</v>
      </c>
      <c r="H7912" t="s">
        <v>24085</v>
      </c>
      <c r="I7912" t="s">
        <v>1243</v>
      </c>
      <c r="J7912" t="s">
        <v>106</v>
      </c>
    </row>
    <row r="7913" spans="1:10" x14ac:dyDescent="0.25">
      <c r="A7913" t="s">
        <v>25157</v>
      </c>
      <c r="B7913">
        <v>12.8</v>
      </c>
      <c r="C7913" t="s">
        <v>25158</v>
      </c>
      <c r="D7913" t="s">
        <v>3378</v>
      </c>
      <c r="E7913" t="s">
        <v>25151</v>
      </c>
      <c r="F7913" t="s">
        <v>7672</v>
      </c>
      <c r="G7913" t="s">
        <v>25152</v>
      </c>
      <c r="H7913" t="s">
        <v>24085</v>
      </c>
      <c r="I7913" t="s">
        <v>935</v>
      </c>
      <c r="J7913" t="s">
        <v>106</v>
      </c>
    </row>
    <row r="7914" spans="1:10" x14ac:dyDescent="0.25">
      <c r="A7914" t="s">
        <v>25159</v>
      </c>
      <c r="B7914">
        <v>12.8</v>
      </c>
      <c r="C7914" t="s">
        <v>25160</v>
      </c>
      <c r="D7914" t="s">
        <v>330</v>
      </c>
      <c r="E7914" t="s">
        <v>25151</v>
      </c>
      <c r="F7914" t="s">
        <v>7672</v>
      </c>
      <c r="G7914" t="s">
        <v>25152</v>
      </c>
      <c r="H7914" t="s">
        <v>24085</v>
      </c>
      <c r="I7914" t="s">
        <v>1243</v>
      </c>
      <c r="J7914" t="s">
        <v>88</v>
      </c>
    </row>
    <row r="7915" spans="1:10" x14ac:dyDescent="0.25">
      <c r="A7915" t="s">
        <v>25161</v>
      </c>
      <c r="B7915">
        <v>12.8</v>
      </c>
      <c r="C7915" t="s">
        <v>25162</v>
      </c>
      <c r="D7915" t="s">
        <v>1097</v>
      </c>
      <c r="E7915" t="s">
        <v>25151</v>
      </c>
      <c r="F7915" t="s">
        <v>7672</v>
      </c>
      <c r="G7915" t="s">
        <v>25152</v>
      </c>
      <c r="H7915" t="s">
        <v>24085</v>
      </c>
      <c r="I7915" t="s">
        <v>935</v>
      </c>
      <c r="J7915" t="s">
        <v>88</v>
      </c>
    </row>
    <row r="7916" spans="1:10" x14ac:dyDescent="0.25">
      <c r="A7916" t="s">
        <v>25163</v>
      </c>
      <c r="B7916">
        <v>12.8</v>
      </c>
      <c r="C7916" t="s">
        <v>25164</v>
      </c>
      <c r="D7916" t="s">
        <v>277</v>
      </c>
      <c r="E7916" t="s">
        <v>25151</v>
      </c>
      <c r="F7916" t="s">
        <v>7672</v>
      </c>
      <c r="G7916" t="s">
        <v>25152</v>
      </c>
      <c r="H7916" t="s">
        <v>24085</v>
      </c>
      <c r="I7916" t="s">
        <v>935</v>
      </c>
      <c r="J7916" t="s">
        <v>8531</v>
      </c>
    </row>
    <row r="7917" spans="1:10" x14ac:dyDescent="0.25">
      <c r="A7917" t="s">
        <v>25165</v>
      </c>
      <c r="B7917">
        <v>14</v>
      </c>
      <c r="C7917" t="s">
        <v>25166</v>
      </c>
      <c r="D7917" t="s">
        <v>2036</v>
      </c>
      <c r="E7917" t="s">
        <v>25151</v>
      </c>
      <c r="F7917" t="s">
        <v>7672</v>
      </c>
      <c r="G7917" t="s">
        <v>25152</v>
      </c>
      <c r="H7917" t="s">
        <v>24085</v>
      </c>
      <c r="I7917" t="s">
        <v>935</v>
      </c>
      <c r="J7917" t="s">
        <v>255</v>
      </c>
    </row>
    <row r="7918" spans="1:10" x14ac:dyDescent="0.25">
      <c r="A7918" t="s">
        <v>25167</v>
      </c>
      <c r="B7918">
        <v>14</v>
      </c>
      <c r="C7918" t="s">
        <v>25168</v>
      </c>
      <c r="D7918" t="s">
        <v>330</v>
      </c>
      <c r="E7918" t="s">
        <v>25151</v>
      </c>
      <c r="F7918" t="s">
        <v>7672</v>
      </c>
      <c r="G7918" t="s">
        <v>25152</v>
      </c>
      <c r="H7918" t="s">
        <v>24085</v>
      </c>
      <c r="I7918" t="s">
        <v>1243</v>
      </c>
      <c r="J7918" t="s">
        <v>277</v>
      </c>
    </row>
    <row r="7919" spans="1:10" x14ac:dyDescent="0.25">
      <c r="A7919" t="s">
        <v>25169</v>
      </c>
      <c r="B7919">
        <v>14</v>
      </c>
      <c r="C7919" t="s">
        <v>25170</v>
      </c>
      <c r="D7919" t="s">
        <v>2371</v>
      </c>
      <c r="E7919" t="s">
        <v>25151</v>
      </c>
      <c r="F7919" t="s">
        <v>7672</v>
      </c>
      <c r="G7919" t="s">
        <v>25152</v>
      </c>
      <c r="H7919" t="s">
        <v>24085</v>
      </c>
      <c r="I7919" t="s">
        <v>935</v>
      </c>
      <c r="J7919" t="s">
        <v>277</v>
      </c>
    </row>
    <row r="7920" spans="1:10" x14ac:dyDescent="0.25">
      <c r="A7920" t="s">
        <v>25171</v>
      </c>
      <c r="B7920">
        <v>14</v>
      </c>
      <c r="C7920" t="s">
        <v>25172</v>
      </c>
      <c r="D7920" t="s">
        <v>88</v>
      </c>
      <c r="E7920" t="s">
        <v>25151</v>
      </c>
      <c r="F7920" t="s">
        <v>7672</v>
      </c>
      <c r="G7920" t="s">
        <v>25152</v>
      </c>
      <c r="H7920" t="s">
        <v>24085</v>
      </c>
      <c r="I7920" t="s">
        <v>935</v>
      </c>
      <c r="J7920" t="s">
        <v>164</v>
      </c>
    </row>
    <row r="7921" spans="1:10" x14ac:dyDescent="0.25">
      <c r="A7921" t="s">
        <v>25173</v>
      </c>
      <c r="B7921">
        <v>14</v>
      </c>
      <c r="C7921" t="s">
        <v>25174</v>
      </c>
      <c r="D7921" t="s">
        <v>113</v>
      </c>
      <c r="E7921" t="s">
        <v>25151</v>
      </c>
      <c r="F7921" t="s">
        <v>7672</v>
      </c>
      <c r="G7921" t="s">
        <v>25152</v>
      </c>
      <c r="H7921" t="s">
        <v>24085</v>
      </c>
      <c r="I7921" t="s">
        <v>935</v>
      </c>
      <c r="J7921" t="s">
        <v>290</v>
      </c>
    </row>
    <row r="7922" spans="1:10" x14ac:dyDescent="0.25">
      <c r="A7922" t="s">
        <v>25175</v>
      </c>
      <c r="B7922">
        <v>14</v>
      </c>
      <c r="C7922" t="s">
        <v>25176</v>
      </c>
      <c r="D7922" t="s">
        <v>113</v>
      </c>
      <c r="E7922" t="s">
        <v>25151</v>
      </c>
      <c r="F7922" t="s">
        <v>7672</v>
      </c>
      <c r="G7922" t="s">
        <v>25152</v>
      </c>
      <c r="H7922" t="s">
        <v>24085</v>
      </c>
      <c r="I7922" t="s">
        <v>935</v>
      </c>
      <c r="J7922" t="s">
        <v>15482</v>
      </c>
    </row>
    <row r="7923" spans="1:10" x14ac:dyDescent="0.25">
      <c r="A7923" t="s">
        <v>25177</v>
      </c>
      <c r="B7923">
        <v>14</v>
      </c>
      <c r="C7923" t="s">
        <v>25178</v>
      </c>
      <c r="D7923" t="s">
        <v>301</v>
      </c>
      <c r="E7923" t="s">
        <v>25151</v>
      </c>
      <c r="F7923" t="s">
        <v>7672</v>
      </c>
      <c r="G7923" t="s">
        <v>25152</v>
      </c>
      <c r="H7923" t="s">
        <v>24085</v>
      </c>
      <c r="I7923" t="s">
        <v>1243</v>
      </c>
      <c r="J7923" t="s">
        <v>15482</v>
      </c>
    </row>
    <row r="7924" spans="1:10" x14ac:dyDescent="0.25">
      <c r="A7924" t="s">
        <v>25179</v>
      </c>
      <c r="B7924">
        <v>14</v>
      </c>
      <c r="C7924" t="s">
        <v>25180</v>
      </c>
      <c r="D7924" t="s">
        <v>964</v>
      </c>
      <c r="E7924" t="s">
        <v>25151</v>
      </c>
      <c r="F7924" t="s">
        <v>7672</v>
      </c>
      <c r="G7924" t="s">
        <v>25152</v>
      </c>
      <c r="H7924" t="s">
        <v>24085</v>
      </c>
      <c r="I7924" t="s">
        <v>935</v>
      </c>
      <c r="J7924" t="s">
        <v>15485</v>
      </c>
    </row>
    <row r="7925" spans="1:10" x14ac:dyDescent="0.25">
      <c r="A7925" t="s">
        <v>25181</v>
      </c>
      <c r="B7925">
        <v>14</v>
      </c>
      <c r="C7925" t="s">
        <v>25182</v>
      </c>
      <c r="D7925" t="s">
        <v>269</v>
      </c>
      <c r="E7925" t="s">
        <v>25151</v>
      </c>
      <c r="F7925" t="s">
        <v>7672</v>
      </c>
      <c r="G7925" t="s">
        <v>25152</v>
      </c>
      <c r="H7925" t="s">
        <v>24085</v>
      </c>
      <c r="I7925" t="s">
        <v>1243</v>
      </c>
      <c r="J7925" t="s">
        <v>15485</v>
      </c>
    </row>
    <row r="7926" spans="1:10" x14ac:dyDescent="0.25">
      <c r="A7926" t="s">
        <v>25183</v>
      </c>
      <c r="B7926">
        <v>14</v>
      </c>
      <c r="C7926" t="s">
        <v>25184</v>
      </c>
      <c r="D7926" t="s">
        <v>436</v>
      </c>
      <c r="E7926" t="s">
        <v>25151</v>
      </c>
      <c r="F7926" t="s">
        <v>7672</v>
      </c>
      <c r="G7926" t="s">
        <v>25152</v>
      </c>
      <c r="H7926" t="s">
        <v>24085</v>
      </c>
      <c r="I7926" t="s">
        <v>935</v>
      </c>
      <c r="J7926" t="s">
        <v>21328</v>
      </c>
    </row>
    <row r="7927" spans="1:10" x14ac:dyDescent="0.25">
      <c r="A7927" t="s">
        <v>25185</v>
      </c>
      <c r="B7927">
        <v>14</v>
      </c>
      <c r="C7927" t="s">
        <v>25186</v>
      </c>
      <c r="D7927" t="s">
        <v>60</v>
      </c>
      <c r="E7927" t="s">
        <v>25151</v>
      </c>
      <c r="F7927" t="s">
        <v>7672</v>
      </c>
      <c r="G7927" t="s">
        <v>25152</v>
      </c>
      <c r="H7927" t="s">
        <v>24085</v>
      </c>
      <c r="I7927" t="s">
        <v>935</v>
      </c>
      <c r="J7927" t="s">
        <v>15488</v>
      </c>
    </row>
    <row r="7928" spans="1:10" x14ac:dyDescent="0.25">
      <c r="A7928" t="s">
        <v>7095</v>
      </c>
      <c r="B7928">
        <v>20.992000000000001</v>
      </c>
      <c r="C7928" t="s">
        <v>7097</v>
      </c>
      <c r="D7928" t="s">
        <v>7100</v>
      </c>
      <c r="E7928" t="s">
        <v>7098</v>
      </c>
      <c r="F7928" t="s">
        <v>7672</v>
      </c>
      <c r="G7928" t="s">
        <v>25187</v>
      </c>
      <c r="H7928" t="s">
        <v>25188</v>
      </c>
      <c r="I7928" t="s">
        <v>497</v>
      </c>
      <c r="J7928" t="s">
        <v>9694</v>
      </c>
    </row>
    <row r="7929" spans="1:10" x14ac:dyDescent="0.25">
      <c r="A7929" t="s">
        <v>7101</v>
      </c>
      <c r="B7929">
        <v>5.1920000000000002</v>
      </c>
      <c r="C7929" t="s">
        <v>7103</v>
      </c>
      <c r="D7929" t="s">
        <v>7106</v>
      </c>
      <c r="E7929" t="s">
        <v>7104</v>
      </c>
      <c r="F7929" t="s">
        <v>7672</v>
      </c>
      <c r="G7929" t="s">
        <v>25189</v>
      </c>
      <c r="H7929" t="s">
        <v>25190</v>
      </c>
      <c r="I7929" t="s">
        <v>497</v>
      </c>
      <c r="J7929" t="s">
        <v>9694</v>
      </c>
    </row>
    <row r="7930" spans="1:10" x14ac:dyDescent="0.25">
      <c r="A7930" t="s">
        <v>25191</v>
      </c>
      <c r="B7930">
        <v>6.120000000000001</v>
      </c>
      <c r="C7930" t="s">
        <v>25192</v>
      </c>
      <c r="D7930" t="s">
        <v>10904</v>
      </c>
      <c r="E7930" t="s">
        <v>25193</v>
      </c>
      <c r="F7930" t="s">
        <v>7672</v>
      </c>
      <c r="G7930" t="s">
        <v>25194</v>
      </c>
      <c r="H7930" t="s">
        <v>7674</v>
      </c>
      <c r="I7930" t="s">
        <v>76</v>
      </c>
      <c r="J7930" t="s">
        <v>9023</v>
      </c>
    </row>
    <row r="7931" spans="1:10" x14ac:dyDescent="0.25">
      <c r="A7931" t="s">
        <v>25195</v>
      </c>
      <c r="B7931">
        <v>6.120000000000001</v>
      </c>
      <c r="C7931" t="s">
        <v>25196</v>
      </c>
      <c r="D7931" t="s">
        <v>25197</v>
      </c>
      <c r="E7931" t="s">
        <v>25193</v>
      </c>
      <c r="F7931" t="s">
        <v>7672</v>
      </c>
      <c r="G7931" t="s">
        <v>25194</v>
      </c>
      <c r="H7931" t="s">
        <v>7674</v>
      </c>
      <c r="I7931" t="s">
        <v>76</v>
      </c>
      <c r="J7931" t="s">
        <v>8883</v>
      </c>
    </row>
    <row r="7932" spans="1:10" x14ac:dyDescent="0.25">
      <c r="A7932" t="s">
        <v>25198</v>
      </c>
      <c r="B7932">
        <v>6.120000000000001</v>
      </c>
      <c r="C7932" t="s">
        <v>25199</v>
      </c>
      <c r="D7932" t="s">
        <v>10439</v>
      </c>
      <c r="E7932" t="s">
        <v>25193</v>
      </c>
      <c r="F7932" t="s">
        <v>7672</v>
      </c>
      <c r="G7932" t="s">
        <v>25194</v>
      </c>
      <c r="H7932" t="s">
        <v>7674</v>
      </c>
      <c r="I7932" t="s">
        <v>76</v>
      </c>
      <c r="J7932" t="s">
        <v>10908</v>
      </c>
    </row>
    <row r="7933" spans="1:10" x14ac:dyDescent="0.25">
      <c r="A7933" t="s">
        <v>25200</v>
      </c>
      <c r="B7933">
        <v>6.120000000000001</v>
      </c>
      <c r="C7933" t="s">
        <v>25201</v>
      </c>
      <c r="D7933" t="s">
        <v>8232</v>
      </c>
      <c r="E7933" t="s">
        <v>25193</v>
      </c>
      <c r="F7933" t="s">
        <v>7672</v>
      </c>
      <c r="G7933" t="s">
        <v>25194</v>
      </c>
      <c r="H7933" t="s">
        <v>7674</v>
      </c>
      <c r="I7933" t="s">
        <v>76</v>
      </c>
      <c r="J7933" t="s">
        <v>8885</v>
      </c>
    </row>
    <row r="7934" spans="1:10" x14ac:dyDescent="0.25">
      <c r="A7934" t="s">
        <v>25202</v>
      </c>
      <c r="B7934">
        <v>6.120000000000001</v>
      </c>
      <c r="C7934" t="s">
        <v>25203</v>
      </c>
      <c r="D7934" t="s">
        <v>15974</v>
      </c>
      <c r="E7934" t="s">
        <v>25193</v>
      </c>
      <c r="F7934" t="s">
        <v>7672</v>
      </c>
      <c r="G7934" t="s">
        <v>25194</v>
      </c>
      <c r="H7934" t="s">
        <v>7674</v>
      </c>
      <c r="I7934" t="s">
        <v>76</v>
      </c>
      <c r="J7934" t="s">
        <v>10918</v>
      </c>
    </row>
    <row r="7935" spans="1:10" x14ac:dyDescent="0.25">
      <c r="A7935" t="s">
        <v>25204</v>
      </c>
      <c r="B7935">
        <v>6.120000000000001</v>
      </c>
      <c r="C7935" t="s">
        <v>25205</v>
      </c>
      <c r="D7935" t="s">
        <v>245</v>
      </c>
      <c r="E7935" t="s">
        <v>25193</v>
      </c>
      <c r="F7935" t="s">
        <v>7672</v>
      </c>
      <c r="G7935" t="s">
        <v>25194</v>
      </c>
      <c r="H7935" t="s">
        <v>7674</v>
      </c>
      <c r="I7935" t="s">
        <v>76</v>
      </c>
      <c r="J7935" t="s">
        <v>9061</v>
      </c>
    </row>
    <row r="7936" spans="1:10" x14ac:dyDescent="0.25">
      <c r="A7936" t="s">
        <v>7108</v>
      </c>
      <c r="B7936">
        <v>8.16</v>
      </c>
      <c r="C7936" t="s">
        <v>7110</v>
      </c>
      <c r="D7936" t="s">
        <v>113</v>
      </c>
      <c r="E7936" t="s">
        <v>7111</v>
      </c>
      <c r="F7936" t="s">
        <v>7672</v>
      </c>
      <c r="G7936" t="s">
        <v>25206</v>
      </c>
      <c r="H7936" t="s">
        <v>25207</v>
      </c>
      <c r="I7936" t="s">
        <v>497</v>
      </c>
      <c r="J7936" t="s">
        <v>9694</v>
      </c>
    </row>
    <row r="7937" spans="1:10" x14ac:dyDescent="0.25">
      <c r="A7937" t="s">
        <v>25208</v>
      </c>
      <c r="B7937">
        <v>4.4960000000000004</v>
      </c>
      <c r="C7937" t="s">
        <v>25209</v>
      </c>
      <c r="D7937" t="s">
        <v>4322</v>
      </c>
      <c r="E7937" t="s">
        <v>25210</v>
      </c>
      <c r="F7937" t="s">
        <v>7672</v>
      </c>
      <c r="G7937" t="s">
        <v>25211</v>
      </c>
      <c r="H7937" t="s">
        <v>25212</v>
      </c>
      <c r="I7937" t="s">
        <v>1243</v>
      </c>
      <c r="J7937" t="s">
        <v>7942</v>
      </c>
    </row>
    <row r="7938" spans="1:10" x14ac:dyDescent="0.25">
      <c r="A7938" t="s">
        <v>25213</v>
      </c>
      <c r="B7938">
        <v>4.4960000000000004</v>
      </c>
      <c r="C7938" t="s">
        <v>25214</v>
      </c>
      <c r="D7938" t="s">
        <v>3944</v>
      </c>
      <c r="E7938" t="s">
        <v>25210</v>
      </c>
      <c r="F7938" t="s">
        <v>7672</v>
      </c>
      <c r="G7938" t="s">
        <v>25211</v>
      </c>
      <c r="H7938" t="s">
        <v>25212</v>
      </c>
      <c r="I7938" t="s">
        <v>25215</v>
      </c>
      <c r="J7938" t="s">
        <v>7942</v>
      </c>
    </row>
    <row r="7939" spans="1:10" x14ac:dyDescent="0.25">
      <c r="A7939" t="s">
        <v>25216</v>
      </c>
      <c r="B7939">
        <v>4.4960000000000004</v>
      </c>
      <c r="C7939" t="s">
        <v>25217</v>
      </c>
      <c r="D7939" t="s">
        <v>4136</v>
      </c>
      <c r="E7939" t="s">
        <v>25210</v>
      </c>
      <c r="F7939" t="s">
        <v>7672</v>
      </c>
      <c r="G7939" t="s">
        <v>25211</v>
      </c>
      <c r="H7939" t="s">
        <v>25212</v>
      </c>
      <c r="I7939" t="s">
        <v>25218</v>
      </c>
      <c r="J7939" t="s">
        <v>7942</v>
      </c>
    </row>
    <row r="7940" spans="1:10" x14ac:dyDescent="0.25">
      <c r="A7940" t="s">
        <v>25219</v>
      </c>
      <c r="B7940">
        <v>4.4960000000000004</v>
      </c>
      <c r="C7940" t="s">
        <v>25220</v>
      </c>
      <c r="D7940" t="s">
        <v>10785</v>
      </c>
      <c r="E7940" t="s">
        <v>25210</v>
      </c>
      <c r="F7940" t="s">
        <v>7672</v>
      </c>
      <c r="G7940" t="s">
        <v>25211</v>
      </c>
      <c r="H7940" t="s">
        <v>25212</v>
      </c>
      <c r="I7940" t="s">
        <v>25218</v>
      </c>
      <c r="J7940" t="s">
        <v>7981</v>
      </c>
    </row>
    <row r="7941" spans="1:10" x14ac:dyDescent="0.25">
      <c r="A7941" t="s">
        <v>25221</v>
      </c>
      <c r="B7941">
        <v>4.4960000000000004</v>
      </c>
      <c r="C7941" t="s">
        <v>25222</v>
      </c>
      <c r="D7941" t="s">
        <v>2001</v>
      </c>
      <c r="E7941" t="s">
        <v>25210</v>
      </c>
      <c r="F7941" t="s">
        <v>7672</v>
      </c>
      <c r="G7941" t="s">
        <v>25211</v>
      </c>
      <c r="H7941" t="s">
        <v>25212</v>
      </c>
      <c r="I7941" t="s">
        <v>1243</v>
      </c>
      <c r="J7941" t="s">
        <v>7981</v>
      </c>
    </row>
    <row r="7942" spans="1:10" x14ac:dyDescent="0.25">
      <c r="A7942" t="s">
        <v>25223</v>
      </c>
      <c r="B7942">
        <v>4.4960000000000004</v>
      </c>
      <c r="C7942" t="s">
        <v>25224</v>
      </c>
      <c r="D7942" t="s">
        <v>7670</v>
      </c>
      <c r="E7942" t="s">
        <v>25210</v>
      </c>
      <c r="F7942" t="s">
        <v>7672</v>
      </c>
      <c r="G7942" t="s">
        <v>25211</v>
      </c>
      <c r="H7942" t="s">
        <v>25212</v>
      </c>
      <c r="I7942" t="s">
        <v>25215</v>
      </c>
      <c r="J7942" t="s">
        <v>7981</v>
      </c>
    </row>
    <row r="7943" spans="1:10" x14ac:dyDescent="0.25">
      <c r="A7943" t="s">
        <v>25225</v>
      </c>
      <c r="B7943">
        <v>4.4960000000000004</v>
      </c>
      <c r="C7943" t="s">
        <v>25226</v>
      </c>
      <c r="D7943" t="s">
        <v>9134</v>
      </c>
      <c r="E7943" t="s">
        <v>25210</v>
      </c>
      <c r="F7943" t="s">
        <v>7672</v>
      </c>
      <c r="G7943" t="s">
        <v>25211</v>
      </c>
      <c r="H7943" t="s">
        <v>25212</v>
      </c>
      <c r="I7943" t="s">
        <v>25215</v>
      </c>
      <c r="J7943" t="s">
        <v>7984</v>
      </c>
    </row>
    <row r="7944" spans="1:10" x14ac:dyDescent="0.25">
      <c r="A7944" t="s">
        <v>25227</v>
      </c>
      <c r="B7944">
        <v>4.4960000000000004</v>
      </c>
      <c r="C7944" t="s">
        <v>25228</v>
      </c>
      <c r="D7944" t="s">
        <v>12784</v>
      </c>
      <c r="E7944" t="s">
        <v>25210</v>
      </c>
      <c r="F7944" t="s">
        <v>7672</v>
      </c>
      <c r="G7944" t="s">
        <v>25211</v>
      </c>
      <c r="H7944" t="s">
        <v>25212</v>
      </c>
      <c r="I7944" t="s">
        <v>25218</v>
      </c>
      <c r="J7944" t="s">
        <v>7984</v>
      </c>
    </row>
    <row r="7945" spans="1:10" x14ac:dyDescent="0.25">
      <c r="A7945" t="s">
        <v>25229</v>
      </c>
      <c r="B7945">
        <v>4.4960000000000004</v>
      </c>
      <c r="C7945" t="s">
        <v>25230</v>
      </c>
      <c r="D7945" t="s">
        <v>3832</v>
      </c>
      <c r="E7945" t="s">
        <v>25210</v>
      </c>
      <c r="F7945" t="s">
        <v>7672</v>
      </c>
      <c r="G7945" t="s">
        <v>25211</v>
      </c>
      <c r="H7945" t="s">
        <v>25212</v>
      </c>
      <c r="I7945" t="s">
        <v>1243</v>
      </c>
      <c r="J7945" t="s">
        <v>7984</v>
      </c>
    </row>
    <row r="7946" spans="1:10" x14ac:dyDescent="0.25">
      <c r="A7946" t="s">
        <v>25231</v>
      </c>
      <c r="B7946">
        <v>4.4960000000000004</v>
      </c>
      <c r="C7946" t="s">
        <v>25232</v>
      </c>
      <c r="D7946" t="s">
        <v>991</v>
      </c>
      <c r="E7946" t="s">
        <v>25210</v>
      </c>
      <c r="F7946" t="s">
        <v>7672</v>
      </c>
      <c r="G7946" t="s">
        <v>25211</v>
      </c>
      <c r="H7946" t="s">
        <v>25212</v>
      </c>
      <c r="I7946" t="s">
        <v>1243</v>
      </c>
      <c r="J7946" t="s">
        <v>7987</v>
      </c>
    </row>
    <row r="7947" spans="1:10" x14ac:dyDescent="0.25">
      <c r="A7947" t="s">
        <v>25233</v>
      </c>
      <c r="B7947">
        <v>4.4960000000000004</v>
      </c>
      <c r="C7947" t="s">
        <v>25234</v>
      </c>
      <c r="D7947" t="s">
        <v>4794</v>
      </c>
      <c r="E7947" t="s">
        <v>25210</v>
      </c>
      <c r="F7947" t="s">
        <v>7672</v>
      </c>
      <c r="G7947" t="s">
        <v>25211</v>
      </c>
      <c r="H7947" t="s">
        <v>25212</v>
      </c>
      <c r="I7947" t="s">
        <v>25215</v>
      </c>
      <c r="J7947" t="s">
        <v>7987</v>
      </c>
    </row>
    <row r="7948" spans="1:10" x14ac:dyDescent="0.25">
      <c r="A7948" t="s">
        <v>25235</v>
      </c>
      <c r="B7948">
        <v>4.4960000000000004</v>
      </c>
      <c r="C7948" t="s">
        <v>25236</v>
      </c>
      <c r="D7948" t="s">
        <v>8759</v>
      </c>
      <c r="E7948" t="s">
        <v>25210</v>
      </c>
      <c r="F7948" t="s">
        <v>7672</v>
      </c>
      <c r="G7948" t="s">
        <v>25211</v>
      </c>
      <c r="H7948" t="s">
        <v>25212</v>
      </c>
      <c r="I7948" t="s">
        <v>25218</v>
      </c>
      <c r="J7948" t="s">
        <v>7987</v>
      </c>
    </row>
    <row r="7949" spans="1:10" x14ac:dyDescent="0.25">
      <c r="A7949" t="s">
        <v>25237</v>
      </c>
      <c r="B7949">
        <v>4.4960000000000004</v>
      </c>
      <c r="C7949" t="s">
        <v>25238</v>
      </c>
      <c r="D7949" t="s">
        <v>633</v>
      </c>
      <c r="E7949" t="s">
        <v>25210</v>
      </c>
      <c r="F7949" t="s">
        <v>7672</v>
      </c>
      <c r="G7949" t="s">
        <v>25211</v>
      </c>
      <c r="H7949" t="s">
        <v>25212</v>
      </c>
      <c r="I7949" t="s">
        <v>1243</v>
      </c>
      <c r="J7949" t="s">
        <v>8001</v>
      </c>
    </row>
    <row r="7950" spans="1:10" x14ac:dyDescent="0.25">
      <c r="A7950" t="s">
        <v>25239</v>
      </c>
      <c r="B7950">
        <v>4.4960000000000004</v>
      </c>
      <c r="C7950" t="s">
        <v>25240</v>
      </c>
      <c r="D7950" t="s">
        <v>5592</v>
      </c>
      <c r="E7950" t="s">
        <v>25210</v>
      </c>
      <c r="F7950" t="s">
        <v>7672</v>
      </c>
      <c r="G7950" t="s">
        <v>25211</v>
      </c>
      <c r="H7950" t="s">
        <v>25212</v>
      </c>
      <c r="I7950" t="s">
        <v>25215</v>
      </c>
      <c r="J7950" t="s">
        <v>8001</v>
      </c>
    </row>
    <row r="7951" spans="1:10" x14ac:dyDescent="0.25">
      <c r="A7951" t="s">
        <v>25241</v>
      </c>
      <c r="B7951">
        <v>4.4960000000000004</v>
      </c>
      <c r="C7951" t="s">
        <v>25242</v>
      </c>
      <c r="D7951" t="s">
        <v>2652</v>
      </c>
      <c r="E7951" t="s">
        <v>25210</v>
      </c>
      <c r="F7951" t="s">
        <v>7672</v>
      </c>
      <c r="G7951" t="s">
        <v>25211</v>
      </c>
      <c r="H7951" t="s">
        <v>25212</v>
      </c>
      <c r="I7951" t="s">
        <v>25218</v>
      </c>
      <c r="J7951" t="s">
        <v>8001</v>
      </c>
    </row>
    <row r="7952" spans="1:10" x14ac:dyDescent="0.25">
      <c r="A7952" t="s">
        <v>25243</v>
      </c>
      <c r="B7952">
        <v>3.992</v>
      </c>
      <c r="C7952" t="s">
        <v>25244</v>
      </c>
      <c r="D7952" t="s">
        <v>301</v>
      </c>
      <c r="E7952" t="s">
        <v>25245</v>
      </c>
      <c r="F7952" t="s">
        <v>7672</v>
      </c>
      <c r="G7952" t="s">
        <v>25246</v>
      </c>
      <c r="H7952" t="s">
        <v>24046</v>
      </c>
      <c r="I7952" t="s">
        <v>497</v>
      </c>
      <c r="J7952" t="s">
        <v>9694</v>
      </c>
    </row>
    <row r="7953" spans="1:10" x14ac:dyDescent="0.25">
      <c r="A7953" t="s">
        <v>25247</v>
      </c>
      <c r="B7953">
        <v>9.7200000000000006</v>
      </c>
      <c r="C7953" t="s">
        <v>25248</v>
      </c>
      <c r="D7953" t="s">
        <v>2652</v>
      </c>
      <c r="E7953" t="s">
        <v>25249</v>
      </c>
      <c r="F7953" t="s">
        <v>7672</v>
      </c>
      <c r="G7953" t="s">
        <v>25250</v>
      </c>
      <c r="H7953" t="s">
        <v>11381</v>
      </c>
      <c r="I7953" t="s">
        <v>25251</v>
      </c>
      <c r="J7953" t="s">
        <v>7703</v>
      </c>
    </row>
    <row r="7954" spans="1:10" x14ac:dyDescent="0.25">
      <c r="A7954" t="s">
        <v>25252</v>
      </c>
      <c r="B7954">
        <v>9.7200000000000006</v>
      </c>
      <c r="C7954" t="s">
        <v>25253</v>
      </c>
      <c r="D7954" t="s">
        <v>286</v>
      </c>
      <c r="E7954" t="s">
        <v>25249</v>
      </c>
      <c r="F7954" t="s">
        <v>7672</v>
      </c>
      <c r="G7954" t="s">
        <v>25250</v>
      </c>
      <c r="H7954" t="s">
        <v>11381</v>
      </c>
      <c r="I7954" t="s">
        <v>76</v>
      </c>
      <c r="J7954" t="s">
        <v>7713</v>
      </c>
    </row>
    <row r="7955" spans="1:10" x14ac:dyDescent="0.25">
      <c r="A7955" t="s">
        <v>25254</v>
      </c>
      <c r="B7955">
        <v>9.7200000000000006</v>
      </c>
      <c r="C7955" t="s">
        <v>25255</v>
      </c>
      <c r="D7955" t="s">
        <v>613</v>
      </c>
      <c r="E7955" t="s">
        <v>25249</v>
      </c>
      <c r="F7955" t="s">
        <v>7672</v>
      </c>
      <c r="G7955" t="s">
        <v>25250</v>
      </c>
      <c r="H7955" t="s">
        <v>11381</v>
      </c>
      <c r="I7955" t="s">
        <v>25251</v>
      </c>
      <c r="J7955" t="s">
        <v>7713</v>
      </c>
    </row>
    <row r="7956" spans="1:10" x14ac:dyDescent="0.25">
      <c r="A7956" t="s">
        <v>25256</v>
      </c>
      <c r="B7956">
        <v>9.7200000000000006</v>
      </c>
      <c r="C7956" t="s">
        <v>25257</v>
      </c>
      <c r="D7956" t="s">
        <v>286</v>
      </c>
      <c r="E7956" t="s">
        <v>25249</v>
      </c>
      <c r="F7956" t="s">
        <v>7672</v>
      </c>
      <c r="G7956" t="s">
        <v>25250</v>
      </c>
      <c r="H7956" t="s">
        <v>11381</v>
      </c>
      <c r="I7956" t="s">
        <v>76</v>
      </c>
      <c r="J7956" t="s">
        <v>7719</v>
      </c>
    </row>
    <row r="7957" spans="1:10" x14ac:dyDescent="0.25">
      <c r="A7957" t="s">
        <v>25258</v>
      </c>
      <c r="B7957">
        <v>9.7200000000000006</v>
      </c>
      <c r="C7957" t="s">
        <v>25259</v>
      </c>
      <c r="D7957" t="s">
        <v>366</v>
      </c>
      <c r="E7957" t="s">
        <v>25249</v>
      </c>
      <c r="F7957" t="s">
        <v>7672</v>
      </c>
      <c r="G7957" t="s">
        <v>25250</v>
      </c>
      <c r="H7957" t="s">
        <v>11381</v>
      </c>
      <c r="I7957" t="s">
        <v>25251</v>
      </c>
      <c r="J7957" t="s">
        <v>7719</v>
      </c>
    </row>
    <row r="7958" spans="1:10" x14ac:dyDescent="0.25">
      <c r="A7958" t="s">
        <v>25260</v>
      </c>
      <c r="B7958">
        <v>10.4</v>
      </c>
      <c r="C7958" t="s">
        <v>25261</v>
      </c>
      <c r="D7958" t="s">
        <v>385</v>
      </c>
      <c r="E7958" t="s">
        <v>25262</v>
      </c>
      <c r="F7958" t="s">
        <v>7672</v>
      </c>
      <c r="G7958" t="s">
        <v>25263</v>
      </c>
      <c r="H7958" t="s">
        <v>8027</v>
      </c>
      <c r="I7958" t="s">
        <v>21008</v>
      </c>
      <c r="J7958" t="s">
        <v>8427</v>
      </c>
    </row>
    <row r="7959" spans="1:10" x14ac:dyDescent="0.25">
      <c r="A7959" t="s">
        <v>25264</v>
      </c>
      <c r="B7959">
        <v>10.4</v>
      </c>
      <c r="C7959" t="s">
        <v>25265</v>
      </c>
      <c r="D7959" t="s">
        <v>742</v>
      </c>
      <c r="E7959" t="s">
        <v>25262</v>
      </c>
      <c r="F7959" t="s">
        <v>7672</v>
      </c>
      <c r="G7959" t="s">
        <v>25263</v>
      </c>
      <c r="H7959" t="s">
        <v>8027</v>
      </c>
      <c r="I7959" t="s">
        <v>10655</v>
      </c>
      <c r="J7959" t="s">
        <v>8427</v>
      </c>
    </row>
    <row r="7960" spans="1:10" x14ac:dyDescent="0.25">
      <c r="A7960" t="s">
        <v>25266</v>
      </c>
      <c r="B7960">
        <v>10.4</v>
      </c>
      <c r="C7960" t="s">
        <v>25267</v>
      </c>
      <c r="D7960" t="s">
        <v>964</v>
      </c>
      <c r="E7960" t="s">
        <v>25262</v>
      </c>
      <c r="F7960" t="s">
        <v>7672</v>
      </c>
      <c r="G7960" t="s">
        <v>25263</v>
      </c>
      <c r="H7960" t="s">
        <v>8027</v>
      </c>
      <c r="I7960" t="s">
        <v>21008</v>
      </c>
      <c r="J7960" t="s">
        <v>8439</v>
      </c>
    </row>
    <row r="7961" spans="1:10" x14ac:dyDescent="0.25">
      <c r="A7961" t="s">
        <v>25268</v>
      </c>
      <c r="B7961">
        <v>10.4</v>
      </c>
      <c r="C7961" t="s">
        <v>25269</v>
      </c>
      <c r="D7961" t="s">
        <v>164</v>
      </c>
      <c r="E7961" t="s">
        <v>25262</v>
      </c>
      <c r="F7961" t="s">
        <v>7672</v>
      </c>
      <c r="G7961" t="s">
        <v>25263</v>
      </c>
      <c r="H7961" t="s">
        <v>8027</v>
      </c>
      <c r="I7961" t="s">
        <v>25270</v>
      </c>
      <c r="J7961" t="s">
        <v>8439</v>
      </c>
    </row>
    <row r="7962" spans="1:10" x14ac:dyDescent="0.25">
      <c r="A7962" t="s">
        <v>25271</v>
      </c>
      <c r="B7962">
        <v>10.4</v>
      </c>
      <c r="C7962" t="s">
        <v>25272</v>
      </c>
      <c r="D7962" t="s">
        <v>301</v>
      </c>
      <c r="E7962" t="s">
        <v>25262</v>
      </c>
      <c r="F7962" t="s">
        <v>7672</v>
      </c>
      <c r="G7962" t="s">
        <v>25263</v>
      </c>
      <c r="H7962" t="s">
        <v>8027</v>
      </c>
      <c r="I7962" t="s">
        <v>21011</v>
      </c>
      <c r="J7962" t="s">
        <v>8439</v>
      </c>
    </row>
    <row r="7963" spans="1:10" x14ac:dyDescent="0.25">
      <c r="A7963" t="s">
        <v>25273</v>
      </c>
      <c r="B7963">
        <v>10.4</v>
      </c>
      <c r="C7963" t="s">
        <v>25274</v>
      </c>
      <c r="D7963" t="s">
        <v>835</v>
      </c>
      <c r="E7963" t="s">
        <v>25262</v>
      </c>
      <c r="F7963" t="s">
        <v>7672</v>
      </c>
      <c r="G7963" t="s">
        <v>25263</v>
      </c>
      <c r="H7963" t="s">
        <v>8027</v>
      </c>
      <c r="I7963" t="s">
        <v>10655</v>
      </c>
      <c r="J7963" t="s">
        <v>8439</v>
      </c>
    </row>
    <row r="7964" spans="1:10" x14ac:dyDescent="0.25">
      <c r="A7964" t="s">
        <v>25275</v>
      </c>
      <c r="B7964">
        <v>10.4</v>
      </c>
      <c r="C7964" t="s">
        <v>25276</v>
      </c>
      <c r="D7964" t="s">
        <v>250</v>
      </c>
      <c r="E7964" t="s">
        <v>25262</v>
      </c>
      <c r="F7964" t="s">
        <v>7672</v>
      </c>
      <c r="G7964" t="s">
        <v>25263</v>
      </c>
      <c r="H7964" t="s">
        <v>8027</v>
      </c>
      <c r="I7964" t="s">
        <v>10655</v>
      </c>
      <c r="J7964" t="s">
        <v>8451</v>
      </c>
    </row>
    <row r="7965" spans="1:10" x14ac:dyDescent="0.25">
      <c r="A7965" t="s">
        <v>25277</v>
      </c>
      <c r="B7965">
        <v>10.4</v>
      </c>
      <c r="C7965" t="s">
        <v>25278</v>
      </c>
      <c r="D7965" t="s">
        <v>113</v>
      </c>
      <c r="E7965" t="s">
        <v>25262</v>
      </c>
      <c r="F7965" t="s">
        <v>7672</v>
      </c>
      <c r="G7965" t="s">
        <v>25263</v>
      </c>
      <c r="H7965" t="s">
        <v>8027</v>
      </c>
      <c r="I7965" t="s">
        <v>25270</v>
      </c>
      <c r="J7965" t="s">
        <v>8451</v>
      </c>
    </row>
    <row r="7966" spans="1:10" x14ac:dyDescent="0.25">
      <c r="A7966" t="s">
        <v>25279</v>
      </c>
      <c r="B7966">
        <v>10.4</v>
      </c>
      <c r="C7966" t="s">
        <v>25280</v>
      </c>
      <c r="D7966" t="s">
        <v>113</v>
      </c>
      <c r="E7966" t="s">
        <v>25262</v>
      </c>
      <c r="F7966" t="s">
        <v>7672</v>
      </c>
      <c r="G7966" t="s">
        <v>25263</v>
      </c>
      <c r="H7966" t="s">
        <v>8027</v>
      </c>
      <c r="I7966" t="s">
        <v>21008</v>
      </c>
      <c r="J7966" t="s">
        <v>8451</v>
      </c>
    </row>
    <row r="7967" spans="1:10" x14ac:dyDescent="0.25">
      <c r="A7967" t="s">
        <v>25281</v>
      </c>
      <c r="B7967">
        <v>10.4</v>
      </c>
      <c r="C7967" t="s">
        <v>25282</v>
      </c>
      <c r="D7967" t="s">
        <v>366</v>
      </c>
      <c r="E7967" t="s">
        <v>25262</v>
      </c>
      <c r="F7967" t="s">
        <v>7672</v>
      </c>
      <c r="G7967" t="s">
        <v>25263</v>
      </c>
      <c r="H7967" t="s">
        <v>8027</v>
      </c>
      <c r="I7967" t="s">
        <v>21011</v>
      </c>
      <c r="J7967" t="s">
        <v>8451</v>
      </c>
    </row>
    <row r="7968" spans="1:10" x14ac:dyDescent="0.25">
      <c r="A7968" t="s">
        <v>25283</v>
      </c>
      <c r="B7968">
        <v>10.4</v>
      </c>
      <c r="C7968" t="s">
        <v>25284</v>
      </c>
      <c r="D7968" t="s">
        <v>352</v>
      </c>
      <c r="E7968" t="s">
        <v>25262</v>
      </c>
      <c r="F7968" t="s">
        <v>7672</v>
      </c>
      <c r="G7968" t="s">
        <v>25263</v>
      </c>
      <c r="H7968" t="s">
        <v>8027</v>
      </c>
      <c r="I7968" t="s">
        <v>10655</v>
      </c>
      <c r="J7968" t="s">
        <v>8462</v>
      </c>
    </row>
    <row r="7969" spans="1:10" x14ac:dyDescent="0.25">
      <c r="A7969" t="s">
        <v>25285</v>
      </c>
      <c r="B7969">
        <v>10.4</v>
      </c>
      <c r="C7969" t="s">
        <v>25286</v>
      </c>
      <c r="D7969" t="s">
        <v>2697</v>
      </c>
      <c r="E7969" t="s">
        <v>25262</v>
      </c>
      <c r="F7969" t="s">
        <v>7672</v>
      </c>
      <c r="G7969" t="s">
        <v>25263</v>
      </c>
      <c r="H7969" t="s">
        <v>8027</v>
      </c>
      <c r="I7969" t="s">
        <v>21008</v>
      </c>
      <c r="J7969" t="s">
        <v>8462</v>
      </c>
    </row>
    <row r="7970" spans="1:10" x14ac:dyDescent="0.25">
      <c r="A7970" t="s">
        <v>25287</v>
      </c>
      <c r="B7970">
        <v>6.4960000000000004</v>
      </c>
      <c r="C7970" t="s">
        <v>25288</v>
      </c>
      <c r="D7970" t="s">
        <v>516</v>
      </c>
      <c r="E7970" t="s">
        <v>25289</v>
      </c>
      <c r="F7970" t="s">
        <v>7672</v>
      </c>
      <c r="G7970" t="s">
        <v>25290</v>
      </c>
      <c r="H7970" t="s">
        <v>8027</v>
      </c>
      <c r="I7970" t="s">
        <v>11206</v>
      </c>
      <c r="J7970" t="s">
        <v>8891</v>
      </c>
    </row>
    <row r="7971" spans="1:10" x14ac:dyDescent="0.25">
      <c r="A7971" t="s">
        <v>25291</v>
      </c>
      <c r="B7971">
        <v>6.4960000000000004</v>
      </c>
      <c r="C7971" t="s">
        <v>25292</v>
      </c>
      <c r="D7971" t="s">
        <v>3060</v>
      </c>
      <c r="E7971" t="s">
        <v>25289</v>
      </c>
      <c r="F7971" t="s">
        <v>7672</v>
      </c>
      <c r="G7971" t="s">
        <v>25290</v>
      </c>
      <c r="H7971" t="s">
        <v>8027</v>
      </c>
      <c r="I7971" t="s">
        <v>17229</v>
      </c>
      <c r="J7971" t="s">
        <v>8891</v>
      </c>
    </row>
    <row r="7972" spans="1:10" x14ac:dyDescent="0.25">
      <c r="A7972" t="s">
        <v>25293</v>
      </c>
      <c r="B7972">
        <v>6.4960000000000004</v>
      </c>
      <c r="C7972" t="s">
        <v>25294</v>
      </c>
      <c r="D7972" t="s">
        <v>639</v>
      </c>
      <c r="E7972" t="s">
        <v>25289</v>
      </c>
      <c r="F7972" t="s">
        <v>7672</v>
      </c>
      <c r="G7972" t="s">
        <v>25290</v>
      </c>
      <c r="H7972" t="s">
        <v>8027</v>
      </c>
      <c r="I7972" t="s">
        <v>17229</v>
      </c>
      <c r="J7972" t="s">
        <v>8896</v>
      </c>
    </row>
    <row r="7973" spans="1:10" x14ac:dyDescent="0.25">
      <c r="A7973" t="s">
        <v>25295</v>
      </c>
      <c r="B7973">
        <v>6.4960000000000004</v>
      </c>
      <c r="C7973" t="s">
        <v>25296</v>
      </c>
      <c r="D7973" t="s">
        <v>342</v>
      </c>
      <c r="E7973" t="s">
        <v>25289</v>
      </c>
      <c r="F7973" t="s">
        <v>7672</v>
      </c>
      <c r="G7973" t="s">
        <v>25290</v>
      </c>
      <c r="H7973" t="s">
        <v>8027</v>
      </c>
      <c r="I7973" t="s">
        <v>11206</v>
      </c>
      <c r="J7973" t="s">
        <v>8896</v>
      </c>
    </row>
    <row r="7974" spans="1:10" x14ac:dyDescent="0.25">
      <c r="A7974" t="s">
        <v>25297</v>
      </c>
      <c r="B7974">
        <v>6.4960000000000004</v>
      </c>
      <c r="C7974" t="s">
        <v>25298</v>
      </c>
      <c r="D7974" t="s">
        <v>240</v>
      </c>
      <c r="E7974" t="s">
        <v>25289</v>
      </c>
      <c r="F7974" t="s">
        <v>7672</v>
      </c>
      <c r="G7974" t="s">
        <v>25290</v>
      </c>
      <c r="H7974" t="s">
        <v>8027</v>
      </c>
      <c r="I7974" t="s">
        <v>11206</v>
      </c>
      <c r="J7974" t="s">
        <v>9400</v>
      </c>
    </row>
    <row r="7975" spans="1:10" x14ac:dyDescent="0.25">
      <c r="A7975" t="s">
        <v>25299</v>
      </c>
      <c r="B7975">
        <v>6.4960000000000004</v>
      </c>
      <c r="C7975" t="s">
        <v>25300</v>
      </c>
      <c r="D7975" t="s">
        <v>843</v>
      </c>
      <c r="E7975" t="s">
        <v>25289</v>
      </c>
      <c r="F7975" t="s">
        <v>7672</v>
      </c>
      <c r="G7975" t="s">
        <v>25290</v>
      </c>
      <c r="H7975" t="s">
        <v>8027</v>
      </c>
      <c r="I7975" t="s">
        <v>17229</v>
      </c>
      <c r="J7975" t="s">
        <v>9400</v>
      </c>
    </row>
    <row r="7976" spans="1:10" x14ac:dyDescent="0.25">
      <c r="A7976" t="s">
        <v>25301</v>
      </c>
      <c r="B7976">
        <v>6.4960000000000004</v>
      </c>
      <c r="C7976" t="s">
        <v>25302</v>
      </c>
      <c r="D7976" t="s">
        <v>113</v>
      </c>
      <c r="E7976" t="s">
        <v>25289</v>
      </c>
      <c r="F7976" t="s">
        <v>7672</v>
      </c>
      <c r="G7976" t="s">
        <v>25290</v>
      </c>
      <c r="H7976" t="s">
        <v>8027</v>
      </c>
      <c r="I7976" t="s">
        <v>11206</v>
      </c>
      <c r="J7976" t="s">
        <v>9405</v>
      </c>
    </row>
    <row r="7977" spans="1:10" x14ac:dyDescent="0.25">
      <c r="A7977" t="s">
        <v>25303</v>
      </c>
      <c r="B7977">
        <v>13.992000000000001</v>
      </c>
      <c r="C7977" t="s">
        <v>25304</v>
      </c>
      <c r="D7977" t="s">
        <v>53</v>
      </c>
      <c r="E7977" t="s">
        <v>25305</v>
      </c>
      <c r="F7977" t="s">
        <v>7672</v>
      </c>
      <c r="G7977" t="s">
        <v>25306</v>
      </c>
      <c r="H7977" t="s">
        <v>9127</v>
      </c>
      <c r="I7977" t="s">
        <v>25307</v>
      </c>
      <c r="J7977" t="s">
        <v>9110</v>
      </c>
    </row>
    <row r="7978" spans="1:10" x14ac:dyDescent="0.25">
      <c r="A7978" t="s">
        <v>25308</v>
      </c>
      <c r="B7978">
        <v>4.32</v>
      </c>
      <c r="C7978" t="s">
        <v>25309</v>
      </c>
      <c r="D7978" t="s">
        <v>3086</v>
      </c>
      <c r="E7978" t="s">
        <v>25310</v>
      </c>
      <c r="F7978" t="s">
        <v>7672</v>
      </c>
      <c r="G7978" t="s">
        <v>25311</v>
      </c>
      <c r="H7978" t="s">
        <v>25312</v>
      </c>
      <c r="I7978" t="s">
        <v>25313</v>
      </c>
      <c r="J7978" t="s">
        <v>9694</v>
      </c>
    </row>
    <row r="7979" spans="1:10" x14ac:dyDescent="0.25">
      <c r="A7979" t="s">
        <v>25314</v>
      </c>
      <c r="B7979">
        <v>11.192</v>
      </c>
      <c r="C7979" t="s">
        <v>25315</v>
      </c>
      <c r="D7979" t="s">
        <v>3577</v>
      </c>
      <c r="E7979" t="s">
        <v>25316</v>
      </c>
      <c r="F7979" t="s">
        <v>7672</v>
      </c>
      <c r="G7979" t="s">
        <v>25317</v>
      </c>
      <c r="H7979" t="s">
        <v>9127</v>
      </c>
      <c r="I7979" t="s">
        <v>76</v>
      </c>
      <c r="J7979" t="s">
        <v>15795</v>
      </c>
    </row>
    <row r="7980" spans="1:10" x14ac:dyDescent="0.25">
      <c r="A7980" t="s">
        <v>25318</v>
      </c>
      <c r="B7980">
        <v>11.192</v>
      </c>
      <c r="C7980" t="s">
        <v>25319</v>
      </c>
      <c r="D7980" t="s">
        <v>588</v>
      </c>
      <c r="E7980" t="s">
        <v>25316</v>
      </c>
      <c r="F7980" t="s">
        <v>7672</v>
      </c>
      <c r="G7980" t="s">
        <v>25317</v>
      </c>
      <c r="H7980" t="s">
        <v>9127</v>
      </c>
      <c r="I7980" t="s">
        <v>25320</v>
      </c>
      <c r="J7980" t="s">
        <v>15795</v>
      </c>
    </row>
    <row r="7981" spans="1:10" x14ac:dyDescent="0.25">
      <c r="A7981" t="s">
        <v>25321</v>
      </c>
      <c r="B7981">
        <v>11.192</v>
      </c>
      <c r="C7981" t="s">
        <v>25322</v>
      </c>
      <c r="D7981" t="s">
        <v>277</v>
      </c>
      <c r="E7981" t="s">
        <v>25316</v>
      </c>
      <c r="F7981" t="s">
        <v>7672</v>
      </c>
      <c r="G7981" t="s">
        <v>25317</v>
      </c>
      <c r="H7981" t="s">
        <v>9127</v>
      </c>
      <c r="I7981" t="s">
        <v>25323</v>
      </c>
      <c r="J7981" t="s">
        <v>15795</v>
      </c>
    </row>
    <row r="7982" spans="1:10" x14ac:dyDescent="0.25">
      <c r="A7982" t="s">
        <v>25324</v>
      </c>
      <c r="B7982">
        <v>11.192</v>
      </c>
      <c r="C7982" t="s">
        <v>25325</v>
      </c>
      <c r="D7982" t="s">
        <v>199</v>
      </c>
      <c r="E7982" t="s">
        <v>25316</v>
      </c>
      <c r="F7982" t="s">
        <v>7672</v>
      </c>
      <c r="G7982" t="s">
        <v>25317</v>
      </c>
      <c r="H7982" t="s">
        <v>9127</v>
      </c>
      <c r="I7982" t="s">
        <v>76</v>
      </c>
      <c r="J7982" t="s">
        <v>9489</v>
      </c>
    </row>
    <row r="7983" spans="1:10" x14ac:dyDescent="0.25">
      <c r="A7983" t="s">
        <v>25326</v>
      </c>
      <c r="B7983">
        <v>13.2</v>
      </c>
      <c r="C7983" t="s">
        <v>25327</v>
      </c>
      <c r="D7983" t="s">
        <v>277</v>
      </c>
      <c r="E7983" t="s">
        <v>25328</v>
      </c>
      <c r="F7983" t="s">
        <v>7672</v>
      </c>
      <c r="G7983" t="s">
        <v>25329</v>
      </c>
      <c r="H7983" t="s">
        <v>17992</v>
      </c>
      <c r="I7983" t="s">
        <v>25330</v>
      </c>
      <c r="J7983" t="s">
        <v>7942</v>
      </c>
    </row>
    <row r="7984" spans="1:10" x14ac:dyDescent="0.25">
      <c r="A7984" t="s">
        <v>25331</v>
      </c>
      <c r="B7984">
        <v>13.2</v>
      </c>
      <c r="C7984" t="s">
        <v>25332</v>
      </c>
      <c r="D7984" t="s">
        <v>8618</v>
      </c>
      <c r="E7984" t="s">
        <v>25328</v>
      </c>
      <c r="F7984" t="s">
        <v>7672</v>
      </c>
      <c r="G7984" t="s">
        <v>25329</v>
      </c>
      <c r="H7984" t="s">
        <v>17992</v>
      </c>
      <c r="I7984" t="s">
        <v>25330</v>
      </c>
      <c r="J7984" t="s">
        <v>8013</v>
      </c>
    </row>
    <row r="7985" spans="1:10" x14ac:dyDescent="0.25">
      <c r="A7985" t="s">
        <v>7114</v>
      </c>
      <c r="B7985">
        <v>19.8</v>
      </c>
      <c r="C7985" t="s">
        <v>7116</v>
      </c>
      <c r="D7985" t="s">
        <v>53</v>
      </c>
      <c r="E7985" t="s">
        <v>7117</v>
      </c>
      <c r="F7985" t="s">
        <v>7672</v>
      </c>
      <c r="G7985" t="s">
        <v>25333</v>
      </c>
      <c r="H7985" t="s">
        <v>9232</v>
      </c>
      <c r="I7985" t="s">
        <v>25334</v>
      </c>
      <c r="J7985" t="s">
        <v>7675</v>
      </c>
    </row>
    <row r="7986" spans="1:10" x14ac:dyDescent="0.25">
      <c r="A7986" t="s">
        <v>7121</v>
      </c>
      <c r="B7986">
        <v>19.8</v>
      </c>
      <c r="C7986" t="s">
        <v>7123</v>
      </c>
      <c r="D7986" t="s">
        <v>100</v>
      </c>
      <c r="E7986" t="s">
        <v>7117</v>
      </c>
      <c r="F7986" t="s">
        <v>7672</v>
      </c>
      <c r="G7986" t="s">
        <v>25333</v>
      </c>
      <c r="H7986" t="s">
        <v>9232</v>
      </c>
      <c r="I7986" t="s">
        <v>25335</v>
      </c>
      <c r="J7986" t="s">
        <v>7675</v>
      </c>
    </row>
    <row r="7987" spans="1:10" x14ac:dyDescent="0.25">
      <c r="A7987" t="s">
        <v>7125</v>
      </c>
      <c r="B7987">
        <v>19.8</v>
      </c>
      <c r="C7987" t="s">
        <v>7127</v>
      </c>
      <c r="D7987" t="s">
        <v>366</v>
      </c>
      <c r="E7987" t="s">
        <v>7117</v>
      </c>
      <c r="F7987" t="s">
        <v>7672</v>
      </c>
      <c r="G7987" t="s">
        <v>25333</v>
      </c>
      <c r="H7987" t="s">
        <v>9232</v>
      </c>
      <c r="I7987" t="s">
        <v>25335</v>
      </c>
      <c r="J7987" t="s">
        <v>7686</v>
      </c>
    </row>
    <row r="7988" spans="1:10" x14ac:dyDescent="0.25">
      <c r="A7988" t="s">
        <v>7129</v>
      </c>
      <c r="B7988">
        <v>19.8</v>
      </c>
      <c r="C7988" t="s">
        <v>7131</v>
      </c>
      <c r="D7988" t="s">
        <v>88</v>
      </c>
      <c r="E7988" t="s">
        <v>7117</v>
      </c>
      <c r="F7988" t="s">
        <v>7672</v>
      </c>
      <c r="G7988" t="s">
        <v>25333</v>
      </c>
      <c r="H7988" t="s">
        <v>9232</v>
      </c>
      <c r="I7988" t="s">
        <v>25335</v>
      </c>
      <c r="J7988" t="s">
        <v>7703</v>
      </c>
    </row>
    <row r="7989" spans="1:10" x14ac:dyDescent="0.25">
      <c r="A7989" t="s">
        <v>7133</v>
      </c>
      <c r="B7989">
        <v>19.8</v>
      </c>
      <c r="C7989" t="s">
        <v>7135</v>
      </c>
      <c r="D7989" t="s">
        <v>60</v>
      </c>
      <c r="E7989" t="s">
        <v>7117</v>
      </c>
      <c r="F7989" t="s">
        <v>7672</v>
      </c>
      <c r="G7989" t="s">
        <v>25333</v>
      </c>
      <c r="H7989" t="s">
        <v>9232</v>
      </c>
      <c r="I7989" t="s">
        <v>25336</v>
      </c>
      <c r="J7989" t="s">
        <v>7703</v>
      </c>
    </row>
    <row r="7990" spans="1:10" x14ac:dyDescent="0.25">
      <c r="A7990" t="s">
        <v>25337</v>
      </c>
      <c r="B7990">
        <v>2.3359999999999999</v>
      </c>
      <c r="C7990" t="s">
        <v>25338</v>
      </c>
      <c r="D7990" t="s">
        <v>16072</v>
      </c>
      <c r="E7990" t="s">
        <v>25339</v>
      </c>
      <c r="F7990" t="s">
        <v>7672</v>
      </c>
      <c r="G7990" t="s">
        <v>25340</v>
      </c>
      <c r="H7990" t="s">
        <v>24357</v>
      </c>
      <c r="I7990" t="s">
        <v>497</v>
      </c>
      <c r="J7990" t="s">
        <v>9694</v>
      </c>
    </row>
    <row r="7991" spans="1:10" x14ac:dyDescent="0.25">
      <c r="A7991" t="s">
        <v>25341</v>
      </c>
      <c r="B7991">
        <v>7.8000000000000007</v>
      </c>
      <c r="C7991" t="s">
        <v>25342</v>
      </c>
      <c r="D7991" t="s">
        <v>199</v>
      </c>
      <c r="E7991" t="s">
        <v>25343</v>
      </c>
      <c r="F7991" t="s">
        <v>7672</v>
      </c>
      <c r="G7991" t="s">
        <v>25344</v>
      </c>
      <c r="H7991" t="s">
        <v>7947</v>
      </c>
      <c r="I7991" t="s">
        <v>278</v>
      </c>
      <c r="J7991" t="s">
        <v>7981</v>
      </c>
    </row>
    <row r="7992" spans="1:10" x14ac:dyDescent="0.25">
      <c r="A7992" t="s">
        <v>25345</v>
      </c>
      <c r="B7992">
        <v>7.8000000000000007</v>
      </c>
      <c r="C7992" t="s">
        <v>25346</v>
      </c>
      <c r="D7992" t="s">
        <v>60</v>
      </c>
      <c r="E7992" t="s">
        <v>25343</v>
      </c>
      <c r="F7992" t="s">
        <v>7672</v>
      </c>
      <c r="G7992" t="s">
        <v>25344</v>
      </c>
      <c r="H7992" t="s">
        <v>7947</v>
      </c>
      <c r="I7992" t="s">
        <v>278</v>
      </c>
      <c r="J7992" t="s">
        <v>7987</v>
      </c>
    </row>
    <row r="7993" spans="1:10" x14ac:dyDescent="0.25">
      <c r="A7993" t="s">
        <v>25347</v>
      </c>
      <c r="B7993">
        <v>7.8000000000000007</v>
      </c>
      <c r="C7993" t="s">
        <v>25348</v>
      </c>
      <c r="D7993" t="s">
        <v>100</v>
      </c>
      <c r="E7993" t="s">
        <v>25343</v>
      </c>
      <c r="F7993" t="s">
        <v>7672</v>
      </c>
      <c r="G7993" t="s">
        <v>25344</v>
      </c>
      <c r="H7993" t="s">
        <v>7947</v>
      </c>
      <c r="I7993" t="s">
        <v>278</v>
      </c>
      <c r="J7993" t="s">
        <v>8001</v>
      </c>
    </row>
    <row r="7994" spans="1:10" x14ac:dyDescent="0.25">
      <c r="A7994" t="s">
        <v>25349</v>
      </c>
      <c r="B7994">
        <v>9.5920000000000005</v>
      </c>
      <c r="C7994" t="s">
        <v>25350</v>
      </c>
      <c r="D7994" t="s">
        <v>106</v>
      </c>
      <c r="E7994" t="s">
        <v>25351</v>
      </c>
      <c r="F7994" t="s">
        <v>7672</v>
      </c>
      <c r="G7994" t="s">
        <v>25352</v>
      </c>
      <c r="H7994" t="s">
        <v>7674</v>
      </c>
      <c r="I7994" t="s">
        <v>10802</v>
      </c>
      <c r="J7994" t="s">
        <v>9694</v>
      </c>
    </row>
    <row r="7995" spans="1:10" x14ac:dyDescent="0.25">
      <c r="A7995" t="s">
        <v>25353</v>
      </c>
      <c r="B7995">
        <v>8.3920000000000012</v>
      </c>
      <c r="C7995" t="s">
        <v>25354</v>
      </c>
      <c r="D7995" t="s">
        <v>2879</v>
      </c>
      <c r="E7995" t="s">
        <v>25355</v>
      </c>
      <c r="F7995" t="s">
        <v>7672</v>
      </c>
      <c r="G7995" t="s">
        <v>25356</v>
      </c>
      <c r="H7995" t="s">
        <v>8087</v>
      </c>
      <c r="I7995" t="s">
        <v>25357</v>
      </c>
      <c r="J7995" t="s">
        <v>7719</v>
      </c>
    </row>
    <row r="7996" spans="1:10" x14ac:dyDescent="0.25">
      <c r="A7996" t="s">
        <v>25358</v>
      </c>
      <c r="B7996">
        <v>8.3920000000000012</v>
      </c>
      <c r="C7996" t="s">
        <v>25359</v>
      </c>
      <c r="D7996" t="s">
        <v>3577</v>
      </c>
      <c r="E7996" t="s">
        <v>25355</v>
      </c>
      <c r="F7996" t="s">
        <v>7672</v>
      </c>
      <c r="G7996" t="s">
        <v>25356</v>
      </c>
      <c r="H7996" t="s">
        <v>8087</v>
      </c>
      <c r="I7996" t="s">
        <v>1357</v>
      </c>
      <c r="J7996" t="s">
        <v>7719</v>
      </c>
    </row>
    <row r="7997" spans="1:10" x14ac:dyDescent="0.25">
      <c r="A7997" t="s">
        <v>7138</v>
      </c>
      <c r="B7997">
        <v>6.76</v>
      </c>
      <c r="C7997" t="s">
        <v>7140</v>
      </c>
      <c r="D7997" t="s">
        <v>742</v>
      </c>
      <c r="E7997" t="s">
        <v>7141</v>
      </c>
      <c r="F7997" t="s">
        <v>7672</v>
      </c>
      <c r="G7997" t="s">
        <v>25360</v>
      </c>
      <c r="H7997" t="s">
        <v>12519</v>
      </c>
      <c r="I7997" t="s">
        <v>76</v>
      </c>
      <c r="J7997" t="s">
        <v>7987</v>
      </c>
    </row>
    <row r="7998" spans="1:10" x14ac:dyDescent="0.25">
      <c r="A7998" t="s">
        <v>25361</v>
      </c>
      <c r="B7998">
        <v>4.9920000000000009</v>
      </c>
      <c r="C7998" t="s">
        <v>25362</v>
      </c>
      <c r="D7998" t="s">
        <v>269</v>
      </c>
      <c r="E7998" t="s">
        <v>25363</v>
      </c>
      <c r="F7998" t="s">
        <v>7672</v>
      </c>
      <c r="G7998" t="s">
        <v>25364</v>
      </c>
      <c r="H7998" t="s">
        <v>25365</v>
      </c>
      <c r="I7998" t="s">
        <v>497</v>
      </c>
      <c r="J7998" t="s">
        <v>9694</v>
      </c>
    </row>
    <row r="7999" spans="1:10" x14ac:dyDescent="0.25">
      <c r="A7999" t="s">
        <v>25366</v>
      </c>
      <c r="B7999">
        <v>9</v>
      </c>
      <c r="C7999" t="s">
        <v>25367</v>
      </c>
      <c r="D7999" t="s">
        <v>576</v>
      </c>
      <c r="E7999" t="s">
        <v>25368</v>
      </c>
      <c r="F7999" t="s">
        <v>7672</v>
      </c>
      <c r="G7999" t="s">
        <v>25369</v>
      </c>
      <c r="H7999" t="s">
        <v>11381</v>
      </c>
      <c r="I7999" t="s">
        <v>76</v>
      </c>
      <c r="J7999" t="s">
        <v>7719</v>
      </c>
    </row>
    <row r="8000" spans="1:10" x14ac:dyDescent="0.25">
      <c r="A8000" t="s">
        <v>7143</v>
      </c>
      <c r="B8000">
        <v>2.88</v>
      </c>
      <c r="C8000" t="s">
        <v>7145</v>
      </c>
      <c r="D8000" t="s">
        <v>67</v>
      </c>
      <c r="E8000" t="s">
        <v>7146</v>
      </c>
      <c r="F8000" t="s">
        <v>7672</v>
      </c>
      <c r="G8000" t="s">
        <v>25370</v>
      </c>
      <c r="H8000" t="s">
        <v>10820</v>
      </c>
      <c r="I8000" t="s">
        <v>76</v>
      </c>
      <c r="J8000" t="s">
        <v>7981</v>
      </c>
    </row>
    <row r="8001" spans="1:10" x14ac:dyDescent="0.25">
      <c r="A8001" t="s">
        <v>7150</v>
      </c>
      <c r="B8001">
        <v>2.88</v>
      </c>
      <c r="C8001" t="s">
        <v>7152</v>
      </c>
      <c r="D8001" t="s">
        <v>450</v>
      </c>
      <c r="E8001" t="s">
        <v>7146</v>
      </c>
      <c r="F8001" t="s">
        <v>7672</v>
      </c>
      <c r="G8001" t="s">
        <v>25370</v>
      </c>
      <c r="H8001" t="s">
        <v>10820</v>
      </c>
      <c r="I8001" t="s">
        <v>76</v>
      </c>
      <c r="J8001" t="s">
        <v>7984</v>
      </c>
    </row>
    <row r="8002" spans="1:10" x14ac:dyDescent="0.25">
      <c r="A8002" t="s">
        <v>25371</v>
      </c>
      <c r="B8002">
        <v>14.295999999999999</v>
      </c>
      <c r="C8002" t="s">
        <v>25372</v>
      </c>
      <c r="D8002" t="s">
        <v>3444</v>
      </c>
      <c r="E8002" t="s">
        <v>25373</v>
      </c>
      <c r="F8002" t="s">
        <v>7672</v>
      </c>
      <c r="G8002" t="s">
        <v>25374</v>
      </c>
      <c r="H8002" t="s">
        <v>17992</v>
      </c>
      <c r="I8002" t="s">
        <v>76</v>
      </c>
      <c r="J8002" t="s">
        <v>7675</v>
      </c>
    </row>
    <row r="8003" spans="1:10" x14ac:dyDescent="0.25">
      <c r="A8003" t="s">
        <v>25375</v>
      </c>
      <c r="B8003">
        <v>14.295999999999999</v>
      </c>
      <c r="C8003" t="s">
        <v>25376</v>
      </c>
      <c r="D8003" t="s">
        <v>3604</v>
      </c>
      <c r="E8003" t="s">
        <v>25373</v>
      </c>
      <c r="F8003" t="s">
        <v>7672</v>
      </c>
      <c r="G8003" t="s">
        <v>25374</v>
      </c>
      <c r="H8003" t="s">
        <v>17992</v>
      </c>
      <c r="I8003" t="s">
        <v>76</v>
      </c>
      <c r="J8003" t="s">
        <v>7686</v>
      </c>
    </row>
    <row r="8004" spans="1:10" x14ac:dyDescent="0.25">
      <c r="A8004" t="s">
        <v>25377</v>
      </c>
      <c r="B8004">
        <v>14.295999999999999</v>
      </c>
      <c r="C8004" t="s">
        <v>25378</v>
      </c>
      <c r="D8004" t="s">
        <v>359</v>
      </c>
      <c r="E8004" t="s">
        <v>25373</v>
      </c>
      <c r="F8004" t="s">
        <v>7672</v>
      </c>
      <c r="G8004" t="s">
        <v>25374</v>
      </c>
      <c r="H8004" t="s">
        <v>17992</v>
      </c>
      <c r="I8004" t="s">
        <v>76</v>
      </c>
      <c r="J8004" t="s">
        <v>7713</v>
      </c>
    </row>
    <row r="8005" spans="1:10" x14ac:dyDescent="0.25">
      <c r="A8005" t="s">
        <v>25379</v>
      </c>
      <c r="B8005">
        <v>14.295999999999999</v>
      </c>
      <c r="C8005" t="s">
        <v>25380</v>
      </c>
      <c r="D8005" t="s">
        <v>2238</v>
      </c>
      <c r="E8005" t="s">
        <v>25373</v>
      </c>
      <c r="F8005" t="s">
        <v>7672</v>
      </c>
      <c r="G8005" t="s">
        <v>25374</v>
      </c>
      <c r="H8005" t="s">
        <v>17992</v>
      </c>
      <c r="I8005" t="s">
        <v>76</v>
      </c>
      <c r="J8005" t="s">
        <v>7719</v>
      </c>
    </row>
    <row r="8006" spans="1:10" x14ac:dyDescent="0.25">
      <c r="A8006" t="s">
        <v>25381</v>
      </c>
      <c r="B8006">
        <v>7.8000000000000007</v>
      </c>
      <c r="C8006" t="s">
        <v>25382</v>
      </c>
      <c r="D8006" t="s">
        <v>1805</v>
      </c>
      <c r="E8006" t="s">
        <v>25383</v>
      </c>
      <c r="F8006" t="s">
        <v>7672</v>
      </c>
      <c r="G8006" t="s">
        <v>20481</v>
      </c>
      <c r="H8006" t="s">
        <v>7965</v>
      </c>
      <c r="I8006" t="s">
        <v>9116</v>
      </c>
      <c r="J8006" t="s">
        <v>7984</v>
      </c>
    </row>
    <row r="8007" spans="1:10" x14ac:dyDescent="0.25">
      <c r="A8007" t="s">
        <v>25384</v>
      </c>
      <c r="B8007">
        <v>7.8000000000000007</v>
      </c>
      <c r="C8007" t="s">
        <v>25385</v>
      </c>
      <c r="D8007" t="s">
        <v>19045</v>
      </c>
      <c r="E8007" t="s">
        <v>25383</v>
      </c>
      <c r="F8007" t="s">
        <v>7672</v>
      </c>
      <c r="G8007" t="s">
        <v>20481</v>
      </c>
      <c r="H8007" t="s">
        <v>7965</v>
      </c>
      <c r="I8007" t="s">
        <v>9116</v>
      </c>
      <c r="J8007" t="s">
        <v>7987</v>
      </c>
    </row>
    <row r="8008" spans="1:10" x14ac:dyDescent="0.25">
      <c r="A8008" t="s">
        <v>25386</v>
      </c>
      <c r="B8008">
        <v>7.8000000000000007</v>
      </c>
      <c r="C8008" t="s">
        <v>25387</v>
      </c>
      <c r="D8008" t="s">
        <v>7841</v>
      </c>
      <c r="E8008" t="s">
        <v>25383</v>
      </c>
      <c r="F8008" t="s">
        <v>7672</v>
      </c>
      <c r="G8008" t="s">
        <v>20481</v>
      </c>
      <c r="H8008" t="s">
        <v>7965</v>
      </c>
      <c r="I8008" t="s">
        <v>9116</v>
      </c>
      <c r="J8008" t="s">
        <v>8001</v>
      </c>
    </row>
    <row r="8009" spans="1:10" x14ac:dyDescent="0.25">
      <c r="A8009" t="s">
        <v>7155</v>
      </c>
      <c r="B8009">
        <v>11.52</v>
      </c>
      <c r="C8009" t="s">
        <v>7157</v>
      </c>
      <c r="D8009" t="s">
        <v>95</v>
      </c>
      <c r="E8009" t="s">
        <v>7158</v>
      </c>
      <c r="F8009" t="s">
        <v>7672</v>
      </c>
      <c r="G8009" t="s">
        <v>25388</v>
      </c>
      <c r="H8009" t="s">
        <v>8979</v>
      </c>
      <c r="I8009" t="s">
        <v>7161</v>
      </c>
      <c r="J8009" t="s">
        <v>95</v>
      </c>
    </row>
    <row r="8010" spans="1:10" x14ac:dyDescent="0.25">
      <c r="A8010" t="s">
        <v>7162</v>
      </c>
      <c r="B8010">
        <v>11.52</v>
      </c>
      <c r="C8010" t="s">
        <v>7164</v>
      </c>
      <c r="D8010" t="s">
        <v>3258</v>
      </c>
      <c r="E8010" t="s">
        <v>7158</v>
      </c>
      <c r="F8010" t="s">
        <v>7672</v>
      </c>
      <c r="G8010" t="s">
        <v>25388</v>
      </c>
      <c r="H8010" t="s">
        <v>8979</v>
      </c>
      <c r="I8010" t="s">
        <v>7161</v>
      </c>
      <c r="J8010" t="s">
        <v>849</v>
      </c>
    </row>
    <row r="8011" spans="1:10" x14ac:dyDescent="0.25">
      <c r="A8011" t="s">
        <v>7166</v>
      </c>
      <c r="B8011">
        <v>11.52</v>
      </c>
      <c r="C8011" t="s">
        <v>7168</v>
      </c>
      <c r="D8011" t="s">
        <v>296</v>
      </c>
      <c r="E8011" t="s">
        <v>7158</v>
      </c>
      <c r="F8011" t="s">
        <v>7672</v>
      </c>
      <c r="G8011" t="s">
        <v>25388</v>
      </c>
      <c r="H8011" t="s">
        <v>8979</v>
      </c>
      <c r="I8011" t="s">
        <v>7170</v>
      </c>
      <c r="J8011" t="s">
        <v>849</v>
      </c>
    </row>
    <row r="8012" spans="1:10" x14ac:dyDescent="0.25">
      <c r="A8012" t="s">
        <v>7171</v>
      </c>
      <c r="B8012">
        <v>11.52</v>
      </c>
      <c r="C8012" t="s">
        <v>7173</v>
      </c>
      <c r="D8012" t="s">
        <v>598</v>
      </c>
      <c r="E8012" t="s">
        <v>7158</v>
      </c>
      <c r="F8012" t="s">
        <v>7672</v>
      </c>
      <c r="G8012" t="s">
        <v>25388</v>
      </c>
      <c r="H8012" t="s">
        <v>8979</v>
      </c>
      <c r="I8012" t="s">
        <v>7161</v>
      </c>
      <c r="J8012" t="s">
        <v>286</v>
      </c>
    </row>
    <row r="8013" spans="1:10" x14ac:dyDescent="0.25">
      <c r="A8013" t="s">
        <v>7175</v>
      </c>
      <c r="B8013">
        <v>11.52</v>
      </c>
      <c r="C8013" t="s">
        <v>7177</v>
      </c>
      <c r="D8013" t="s">
        <v>316</v>
      </c>
      <c r="E8013" t="s">
        <v>7158</v>
      </c>
      <c r="F8013" t="s">
        <v>7672</v>
      </c>
      <c r="G8013" t="s">
        <v>25388</v>
      </c>
      <c r="H8013" t="s">
        <v>8979</v>
      </c>
      <c r="I8013" t="s">
        <v>7170</v>
      </c>
      <c r="J8013" t="s">
        <v>286</v>
      </c>
    </row>
    <row r="8014" spans="1:10" x14ac:dyDescent="0.25">
      <c r="A8014" t="s">
        <v>7179</v>
      </c>
      <c r="B8014">
        <v>11.52</v>
      </c>
      <c r="C8014" t="s">
        <v>7181</v>
      </c>
      <c r="D8014" t="s">
        <v>301</v>
      </c>
      <c r="E8014" t="s">
        <v>7158</v>
      </c>
      <c r="F8014" t="s">
        <v>7672</v>
      </c>
      <c r="G8014" t="s">
        <v>25388</v>
      </c>
      <c r="H8014" t="s">
        <v>8979</v>
      </c>
      <c r="I8014" t="s">
        <v>7183</v>
      </c>
      <c r="J8014" t="s">
        <v>286</v>
      </c>
    </row>
    <row r="8015" spans="1:10" x14ac:dyDescent="0.25">
      <c r="A8015" t="s">
        <v>7184</v>
      </c>
      <c r="B8015">
        <v>25.992000000000001</v>
      </c>
      <c r="C8015" t="s">
        <v>7186</v>
      </c>
      <c r="D8015" t="s">
        <v>100</v>
      </c>
      <c r="E8015" t="s">
        <v>7187</v>
      </c>
      <c r="F8015" t="s">
        <v>7672</v>
      </c>
      <c r="G8015" t="s">
        <v>25389</v>
      </c>
      <c r="H8015" t="s">
        <v>8301</v>
      </c>
      <c r="I8015" t="s">
        <v>76</v>
      </c>
      <c r="J8015" t="s">
        <v>106</v>
      </c>
    </row>
    <row r="8016" spans="1:10" x14ac:dyDescent="0.25">
      <c r="A8016" t="s">
        <v>7191</v>
      </c>
      <c r="B8016">
        <v>25.992000000000001</v>
      </c>
      <c r="C8016" t="s">
        <v>7193</v>
      </c>
      <c r="D8016" t="s">
        <v>106</v>
      </c>
      <c r="E8016" t="s">
        <v>7187</v>
      </c>
      <c r="F8016" t="s">
        <v>7672</v>
      </c>
      <c r="G8016" t="s">
        <v>25389</v>
      </c>
      <c r="H8016" t="s">
        <v>8301</v>
      </c>
      <c r="I8016" t="s">
        <v>76</v>
      </c>
      <c r="J8016" t="s">
        <v>11421</v>
      </c>
    </row>
    <row r="8017" spans="1:10" x14ac:dyDescent="0.25">
      <c r="A8017" t="s">
        <v>7195</v>
      </c>
      <c r="B8017">
        <v>25.992000000000001</v>
      </c>
      <c r="C8017" t="s">
        <v>7197</v>
      </c>
      <c r="D8017" t="s">
        <v>385</v>
      </c>
      <c r="E8017" t="s">
        <v>7187</v>
      </c>
      <c r="F8017" t="s">
        <v>7672</v>
      </c>
      <c r="G8017" t="s">
        <v>25389</v>
      </c>
      <c r="H8017" t="s">
        <v>8301</v>
      </c>
      <c r="I8017" t="s">
        <v>76</v>
      </c>
      <c r="J8017" t="s">
        <v>88</v>
      </c>
    </row>
    <row r="8018" spans="1:10" x14ac:dyDescent="0.25">
      <c r="A8018" t="s">
        <v>7199</v>
      </c>
      <c r="B8018">
        <v>25.992000000000001</v>
      </c>
      <c r="C8018" t="s">
        <v>7201</v>
      </c>
      <c r="D8018" t="s">
        <v>835</v>
      </c>
      <c r="E8018" t="s">
        <v>7187</v>
      </c>
      <c r="F8018" t="s">
        <v>7672</v>
      </c>
      <c r="G8018" t="s">
        <v>25389</v>
      </c>
      <c r="H8018" t="s">
        <v>8301</v>
      </c>
      <c r="I8018" t="s">
        <v>76</v>
      </c>
      <c r="J8018" t="s">
        <v>7966</v>
      </c>
    </row>
    <row r="8019" spans="1:10" x14ac:dyDescent="0.25">
      <c r="A8019" t="s">
        <v>7203</v>
      </c>
      <c r="B8019">
        <v>25.992000000000001</v>
      </c>
      <c r="C8019" t="s">
        <v>7205</v>
      </c>
      <c r="D8019" t="s">
        <v>301</v>
      </c>
      <c r="E8019" t="s">
        <v>7187</v>
      </c>
      <c r="F8019" t="s">
        <v>7672</v>
      </c>
      <c r="G8019" t="s">
        <v>25389</v>
      </c>
      <c r="H8019" t="s">
        <v>8301</v>
      </c>
      <c r="I8019" t="s">
        <v>76</v>
      </c>
      <c r="J8019" t="s">
        <v>131</v>
      </c>
    </row>
    <row r="8020" spans="1:10" x14ac:dyDescent="0.25">
      <c r="A8020" t="s">
        <v>7207</v>
      </c>
      <c r="B8020">
        <v>25.992000000000001</v>
      </c>
      <c r="C8020" t="s">
        <v>7209</v>
      </c>
      <c r="D8020" t="s">
        <v>53</v>
      </c>
      <c r="E8020" t="s">
        <v>7187</v>
      </c>
      <c r="F8020" t="s">
        <v>7672</v>
      </c>
      <c r="G8020" t="s">
        <v>25389</v>
      </c>
      <c r="H8020" t="s">
        <v>8301</v>
      </c>
      <c r="I8020" t="s">
        <v>76</v>
      </c>
      <c r="J8020" t="s">
        <v>7967</v>
      </c>
    </row>
    <row r="8021" spans="1:10" x14ac:dyDescent="0.25">
      <c r="A8021" t="s">
        <v>25390</v>
      </c>
      <c r="B8021">
        <v>7.7920000000000007</v>
      </c>
      <c r="C8021" t="s">
        <v>25391</v>
      </c>
      <c r="D8021" t="s">
        <v>342</v>
      </c>
      <c r="E8021" t="s">
        <v>25392</v>
      </c>
      <c r="F8021" t="s">
        <v>7672</v>
      </c>
      <c r="G8021" t="s">
        <v>23451</v>
      </c>
      <c r="H8021" t="s">
        <v>8027</v>
      </c>
      <c r="I8021" t="s">
        <v>20849</v>
      </c>
      <c r="J8021" t="s">
        <v>8439</v>
      </c>
    </row>
    <row r="8022" spans="1:10" x14ac:dyDescent="0.25">
      <c r="A8022" t="s">
        <v>7211</v>
      </c>
      <c r="B8022">
        <v>7.6000000000000014</v>
      </c>
      <c r="C8022" t="s">
        <v>7213</v>
      </c>
      <c r="D8022" t="s">
        <v>1014</v>
      </c>
      <c r="E8022" t="s">
        <v>7214</v>
      </c>
      <c r="F8022" t="s">
        <v>7672</v>
      </c>
      <c r="G8022" t="s">
        <v>25393</v>
      </c>
      <c r="H8022" t="s">
        <v>11496</v>
      </c>
      <c r="I8022" t="s">
        <v>25394</v>
      </c>
      <c r="J8022" t="s">
        <v>11767</v>
      </c>
    </row>
    <row r="8023" spans="1:10" x14ac:dyDescent="0.25">
      <c r="A8023" t="s">
        <v>25395</v>
      </c>
      <c r="B8023">
        <v>8.2799999999999994</v>
      </c>
      <c r="C8023" t="s">
        <v>25396</v>
      </c>
      <c r="D8023" t="s">
        <v>164</v>
      </c>
      <c r="E8023" t="s">
        <v>7220</v>
      </c>
      <c r="F8023" t="s">
        <v>7672</v>
      </c>
      <c r="G8023" t="s">
        <v>25397</v>
      </c>
      <c r="H8023" t="s">
        <v>16164</v>
      </c>
      <c r="I8023" t="s">
        <v>25398</v>
      </c>
      <c r="J8023" t="s">
        <v>7686</v>
      </c>
    </row>
    <row r="8024" spans="1:10" x14ac:dyDescent="0.25">
      <c r="A8024" t="s">
        <v>7217</v>
      </c>
      <c r="B8024">
        <v>8.2799999999999994</v>
      </c>
      <c r="C8024" t="s">
        <v>7219</v>
      </c>
      <c r="D8024" t="s">
        <v>131</v>
      </c>
      <c r="E8024" t="s">
        <v>7220</v>
      </c>
      <c r="F8024" t="s">
        <v>7672</v>
      </c>
      <c r="G8024" t="s">
        <v>25397</v>
      </c>
      <c r="H8024" t="s">
        <v>16164</v>
      </c>
      <c r="I8024" t="s">
        <v>76</v>
      </c>
      <c r="J8024" t="s">
        <v>7686</v>
      </c>
    </row>
    <row r="8025" spans="1:10" x14ac:dyDescent="0.25">
      <c r="A8025" t="s">
        <v>7223</v>
      </c>
      <c r="B8025">
        <v>8.2799999999999994</v>
      </c>
      <c r="C8025" t="s">
        <v>7225</v>
      </c>
      <c r="D8025" t="s">
        <v>164</v>
      </c>
      <c r="E8025" t="s">
        <v>7220</v>
      </c>
      <c r="F8025" t="s">
        <v>7672</v>
      </c>
      <c r="G8025" t="s">
        <v>25397</v>
      </c>
      <c r="H8025" t="s">
        <v>16164</v>
      </c>
      <c r="I8025" t="s">
        <v>76</v>
      </c>
      <c r="J8025" t="s">
        <v>7703</v>
      </c>
    </row>
    <row r="8026" spans="1:10" x14ac:dyDescent="0.25">
      <c r="A8026" t="s">
        <v>25399</v>
      </c>
      <c r="B8026">
        <v>8.2799999999999994</v>
      </c>
      <c r="C8026" t="s">
        <v>25400</v>
      </c>
      <c r="D8026" t="s">
        <v>88</v>
      </c>
      <c r="E8026" t="s">
        <v>7220</v>
      </c>
      <c r="F8026" t="s">
        <v>7672</v>
      </c>
      <c r="G8026" t="s">
        <v>25397</v>
      </c>
      <c r="H8026" t="s">
        <v>16164</v>
      </c>
      <c r="I8026" t="s">
        <v>25398</v>
      </c>
      <c r="J8026" t="s">
        <v>7703</v>
      </c>
    </row>
    <row r="8027" spans="1:10" x14ac:dyDescent="0.25">
      <c r="A8027" t="s">
        <v>25401</v>
      </c>
      <c r="B8027">
        <v>48</v>
      </c>
      <c r="C8027" t="s">
        <v>25402</v>
      </c>
      <c r="D8027" t="s">
        <v>613</v>
      </c>
      <c r="E8027" t="s">
        <v>25403</v>
      </c>
      <c r="F8027" t="s">
        <v>7672</v>
      </c>
      <c r="G8027" t="s">
        <v>25404</v>
      </c>
      <c r="H8027" t="s">
        <v>9693</v>
      </c>
      <c r="I8027" t="s">
        <v>18323</v>
      </c>
      <c r="J8027" t="s">
        <v>9694</v>
      </c>
    </row>
    <row r="8028" spans="1:10" x14ac:dyDescent="0.25">
      <c r="A8028" t="s">
        <v>25405</v>
      </c>
      <c r="B8028">
        <v>9.5920000000000005</v>
      </c>
      <c r="C8028" t="s">
        <v>25406</v>
      </c>
      <c r="D8028" t="s">
        <v>124</v>
      </c>
      <c r="E8028" t="s">
        <v>25407</v>
      </c>
      <c r="F8028" t="s">
        <v>7672</v>
      </c>
      <c r="G8028" t="s">
        <v>25408</v>
      </c>
      <c r="H8028" t="s">
        <v>7674</v>
      </c>
      <c r="I8028" t="s">
        <v>2496</v>
      </c>
      <c r="J8028" t="s">
        <v>9694</v>
      </c>
    </row>
    <row r="8029" spans="1:10" x14ac:dyDescent="0.25">
      <c r="A8029" t="s">
        <v>25409</v>
      </c>
      <c r="B8029">
        <v>7.56</v>
      </c>
      <c r="C8029" t="s">
        <v>25410</v>
      </c>
      <c r="D8029" t="s">
        <v>277</v>
      </c>
      <c r="E8029" t="s">
        <v>25411</v>
      </c>
      <c r="F8029" t="s">
        <v>7672</v>
      </c>
      <c r="G8029" t="s">
        <v>25412</v>
      </c>
      <c r="H8029" t="s">
        <v>11381</v>
      </c>
      <c r="I8029" t="s">
        <v>21290</v>
      </c>
      <c r="J8029" t="s">
        <v>16039</v>
      </c>
    </row>
    <row r="8030" spans="1:10" x14ac:dyDescent="0.25">
      <c r="A8030" t="s">
        <v>25413</v>
      </c>
      <c r="B8030">
        <v>7.56</v>
      </c>
      <c r="C8030" t="s">
        <v>25414</v>
      </c>
      <c r="D8030" t="s">
        <v>100</v>
      </c>
      <c r="E8030" t="s">
        <v>25411</v>
      </c>
      <c r="F8030" t="s">
        <v>7672</v>
      </c>
      <c r="G8030" t="s">
        <v>25412</v>
      </c>
      <c r="H8030" t="s">
        <v>11381</v>
      </c>
      <c r="I8030" t="s">
        <v>76</v>
      </c>
      <c r="J8030" t="s">
        <v>16039</v>
      </c>
    </row>
    <row r="8031" spans="1:10" x14ac:dyDescent="0.25">
      <c r="A8031" t="s">
        <v>25415</v>
      </c>
      <c r="B8031">
        <v>7.56</v>
      </c>
      <c r="C8031" t="s">
        <v>25416</v>
      </c>
      <c r="D8031" t="s">
        <v>88</v>
      </c>
      <c r="E8031" t="s">
        <v>25411</v>
      </c>
      <c r="F8031" t="s">
        <v>7672</v>
      </c>
      <c r="G8031" t="s">
        <v>25412</v>
      </c>
      <c r="H8031" t="s">
        <v>11381</v>
      </c>
      <c r="I8031" t="s">
        <v>3030</v>
      </c>
      <c r="J8031" t="s">
        <v>16039</v>
      </c>
    </row>
    <row r="8032" spans="1:10" x14ac:dyDescent="0.25">
      <c r="A8032" t="s">
        <v>25417</v>
      </c>
      <c r="B8032">
        <v>7.56</v>
      </c>
      <c r="C8032" t="s">
        <v>25418</v>
      </c>
      <c r="D8032" t="s">
        <v>576</v>
      </c>
      <c r="E8032" t="s">
        <v>25411</v>
      </c>
      <c r="F8032" t="s">
        <v>7672</v>
      </c>
      <c r="G8032" t="s">
        <v>25412</v>
      </c>
      <c r="H8032" t="s">
        <v>11381</v>
      </c>
      <c r="I8032" t="s">
        <v>15727</v>
      </c>
      <c r="J8032" t="s">
        <v>16039</v>
      </c>
    </row>
    <row r="8033" spans="1:10" x14ac:dyDescent="0.25">
      <c r="A8033" t="s">
        <v>25419</v>
      </c>
      <c r="B8033">
        <v>7.56</v>
      </c>
      <c r="C8033" t="s">
        <v>25420</v>
      </c>
      <c r="D8033" t="s">
        <v>359</v>
      </c>
      <c r="E8033" t="s">
        <v>25411</v>
      </c>
      <c r="F8033" t="s">
        <v>7672</v>
      </c>
      <c r="G8033" t="s">
        <v>25412</v>
      </c>
      <c r="H8033" t="s">
        <v>11381</v>
      </c>
      <c r="I8033" t="s">
        <v>76</v>
      </c>
      <c r="J8033" t="s">
        <v>16064</v>
      </c>
    </row>
    <row r="8034" spans="1:10" x14ac:dyDescent="0.25">
      <c r="A8034" t="s">
        <v>25421</v>
      </c>
      <c r="B8034">
        <v>7.56</v>
      </c>
      <c r="C8034" t="s">
        <v>25422</v>
      </c>
      <c r="D8034" t="s">
        <v>516</v>
      </c>
      <c r="E8034" t="s">
        <v>25411</v>
      </c>
      <c r="F8034" t="s">
        <v>7672</v>
      </c>
      <c r="G8034" t="s">
        <v>25412</v>
      </c>
      <c r="H8034" t="s">
        <v>11381</v>
      </c>
      <c r="I8034" t="s">
        <v>21290</v>
      </c>
      <c r="J8034" t="s">
        <v>16064</v>
      </c>
    </row>
    <row r="8035" spans="1:10" x14ac:dyDescent="0.25">
      <c r="A8035" t="s">
        <v>25423</v>
      </c>
      <c r="B8035">
        <v>7.56</v>
      </c>
      <c r="C8035" t="s">
        <v>25424</v>
      </c>
      <c r="D8035" t="s">
        <v>582</v>
      </c>
      <c r="E8035" t="s">
        <v>25411</v>
      </c>
      <c r="F8035" t="s">
        <v>7672</v>
      </c>
      <c r="G8035" t="s">
        <v>25412</v>
      </c>
      <c r="H8035" t="s">
        <v>11381</v>
      </c>
      <c r="I8035" t="s">
        <v>3030</v>
      </c>
      <c r="J8035" t="s">
        <v>16064</v>
      </c>
    </row>
    <row r="8036" spans="1:10" x14ac:dyDescent="0.25">
      <c r="A8036" t="s">
        <v>25425</v>
      </c>
      <c r="B8036">
        <v>7.56</v>
      </c>
      <c r="C8036" t="s">
        <v>25426</v>
      </c>
      <c r="D8036" t="s">
        <v>698</v>
      </c>
      <c r="E8036" t="s">
        <v>25411</v>
      </c>
      <c r="F8036" t="s">
        <v>7672</v>
      </c>
      <c r="G8036" t="s">
        <v>25412</v>
      </c>
      <c r="H8036" t="s">
        <v>11381</v>
      </c>
      <c r="I8036" t="s">
        <v>15727</v>
      </c>
      <c r="J8036" t="s">
        <v>16064</v>
      </c>
    </row>
    <row r="8037" spans="1:10" x14ac:dyDescent="0.25">
      <c r="A8037" t="s">
        <v>25427</v>
      </c>
      <c r="B8037">
        <v>7.56</v>
      </c>
      <c r="C8037" t="s">
        <v>25428</v>
      </c>
      <c r="D8037" t="s">
        <v>229</v>
      </c>
      <c r="E8037" t="s">
        <v>25411</v>
      </c>
      <c r="F8037" t="s">
        <v>7672</v>
      </c>
      <c r="G8037" t="s">
        <v>25412</v>
      </c>
      <c r="H8037" t="s">
        <v>11381</v>
      </c>
      <c r="I8037" t="s">
        <v>21290</v>
      </c>
      <c r="J8037" t="s">
        <v>16089</v>
      </c>
    </row>
    <row r="8038" spans="1:10" x14ac:dyDescent="0.25">
      <c r="A8038" t="s">
        <v>25429</v>
      </c>
      <c r="B8038">
        <v>7.56</v>
      </c>
      <c r="C8038" t="s">
        <v>25430</v>
      </c>
      <c r="D8038" t="s">
        <v>60</v>
      </c>
      <c r="E8038" t="s">
        <v>25411</v>
      </c>
      <c r="F8038" t="s">
        <v>7672</v>
      </c>
      <c r="G8038" t="s">
        <v>25412</v>
      </c>
      <c r="H8038" t="s">
        <v>11381</v>
      </c>
      <c r="I8038" t="s">
        <v>3030</v>
      </c>
      <c r="J8038" t="s">
        <v>16089</v>
      </c>
    </row>
    <row r="8039" spans="1:10" x14ac:dyDescent="0.25">
      <c r="A8039" t="s">
        <v>25431</v>
      </c>
      <c r="B8039">
        <v>7.56</v>
      </c>
      <c r="C8039" t="s">
        <v>25432</v>
      </c>
      <c r="D8039" t="s">
        <v>1254</v>
      </c>
      <c r="E8039" t="s">
        <v>25411</v>
      </c>
      <c r="F8039" t="s">
        <v>7672</v>
      </c>
      <c r="G8039" t="s">
        <v>25412</v>
      </c>
      <c r="H8039" t="s">
        <v>11381</v>
      </c>
      <c r="I8039" t="s">
        <v>15727</v>
      </c>
      <c r="J8039" t="s">
        <v>16089</v>
      </c>
    </row>
    <row r="8040" spans="1:10" x14ac:dyDescent="0.25">
      <c r="A8040" t="s">
        <v>25433</v>
      </c>
      <c r="B8040">
        <v>7.56</v>
      </c>
      <c r="C8040" t="s">
        <v>25434</v>
      </c>
      <c r="D8040" t="s">
        <v>234</v>
      </c>
      <c r="E8040" t="s">
        <v>25411</v>
      </c>
      <c r="F8040" t="s">
        <v>7672</v>
      </c>
      <c r="G8040" t="s">
        <v>25412</v>
      </c>
      <c r="H8040" t="s">
        <v>11381</v>
      </c>
      <c r="I8040" t="s">
        <v>21290</v>
      </c>
      <c r="J8040" t="s">
        <v>16104</v>
      </c>
    </row>
    <row r="8041" spans="1:10" x14ac:dyDescent="0.25">
      <c r="A8041" t="s">
        <v>25435</v>
      </c>
      <c r="B8041">
        <v>7.56</v>
      </c>
      <c r="C8041" t="s">
        <v>25436</v>
      </c>
      <c r="D8041" t="s">
        <v>742</v>
      </c>
      <c r="E8041" t="s">
        <v>25411</v>
      </c>
      <c r="F8041" t="s">
        <v>7672</v>
      </c>
      <c r="G8041" t="s">
        <v>25412</v>
      </c>
      <c r="H8041" t="s">
        <v>11381</v>
      </c>
      <c r="I8041" t="s">
        <v>3030</v>
      </c>
      <c r="J8041" t="s">
        <v>16104</v>
      </c>
    </row>
    <row r="8042" spans="1:10" x14ac:dyDescent="0.25">
      <c r="A8042" t="s">
        <v>25437</v>
      </c>
      <c r="B8042">
        <v>7.56</v>
      </c>
      <c r="C8042" t="s">
        <v>25438</v>
      </c>
      <c r="D8042" t="s">
        <v>2910</v>
      </c>
      <c r="E8042" t="s">
        <v>25411</v>
      </c>
      <c r="F8042" t="s">
        <v>7672</v>
      </c>
      <c r="G8042" t="s">
        <v>25412</v>
      </c>
      <c r="H8042" t="s">
        <v>11381</v>
      </c>
      <c r="I8042" t="s">
        <v>15727</v>
      </c>
      <c r="J8042" t="s">
        <v>16104</v>
      </c>
    </row>
    <row r="8043" spans="1:10" x14ac:dyDescent="0.25">
      <c r="A8043" t="s">
        <v>25439</v>
      </c>
      <c r="B8043">
        <v>7.56</v>
      </c>
      <c r="C8043" t="s">
        <v>25440</v>
      </c>
      <c r="D8043" t="s">
        <v>2253</v>
      </c>
      <c r="E8043" t="s">
        <v>25411</v>
      </c>
      <c r="F8043" t="s">
        <v>7672</v>
      </c>
      <c r="G8043" t="s">
        <v>25412</v>
      </c>
      <c r="H8043" t="s">
        <v>11381</v>
      </c>
      <c r="I8043" t="s">
        <v>21290</v>
      </c>
      <c r="J8043" t="s">
        <v>16125</v>
      </c>
    </row>
    <row r="8044" spans="1:10" x14ac:dyDescent="0.25">
      <c r="A8044" t="s">
        <v>25441</v>
      </c>
      <c r="B8044">
        <v>7.56</v>
      </c>
      <c r="C8044" t="s">
        <v>25442</v>
      </c>
      <c r="D8044" t="s">
        <v>926</v>
      </c>
      <c r="E8044" t="s">
        <v>25411</v>
      </c>
      <c r="F8044" t="s">
        <v>7672</v>
      </c>
      <c r="G8044" t="s">
        <v>25412</v>
      </c>
      <c r="H8044" t="s">
        <v>11381</v>
      </c>
      <c r="I8044" t="s">
        <v>3030</v>
      </c>
      <c r="J8044" t="s">
        <v>16125</v>
      </c>
    </row>
    <row r="8045" spans="1:10" x14ac:dyDescent="0.25">
      <c r="A8045" t="s">
        <v>25443</v>
      </c>
      <c r="B8045">
        <v>7.56</v>
      </c>
      <c r="C8045" t="s">
        <v>25444</v>
      </c>
      <c r="D8045" t="s">
        <v>277</v>
      </c>
      <c r="E8045" t="s">
        <v>25411</v>
      </c>
      <c r="F8045" t="s">
        <v>7672</v>
      </c>
      <c r="G8045" t="s">
        <v>25412</v>
      </c>
      <c r="H8045" t="s">
        <v>11381</v>
      </c>
      <c r="I8045" t="s">
        <v>76</v>
      </c>
      <c r="J8045" t="s">
        <v>16125</v>
      </c>
    </row>
    <row r="8046" spans="1:10" x14ac:dyDescent="0.25">
      <c r="A8046" t="s">
        <v>25445</v>
      </c>
      <c r="B8046">
        <v>7.56</v>
      </c>
      <c r="C8046" t="s">
        <v>25446</v>
      </c>
      <c r="D8046" t="s">
        <v>234</v>
      </c>
      <c r="E8046" t="s">
        <v>25411</v>
      </c>
      <c r="F8046" t="s">
        <v>7672</v>
      </c>
      <c r="G8046" t="s">
        <v>25412</v>
      </c>
      <c r="H8046" t="s">
        <v>11381</v>
      </c>
      <c r="I8046" t="s">
        <v>15727</v>
      </c>
      <c r="J8046" t="s">
        <v>16125</v>
      </c>
    </row>
    <row r="8047" spans="1:10" x14ac:dyDescent="0.25">
      <c r="A8047" t="s">
        <v>25447</v>
      </c>
      <c r="B8047">
        <v>7.56</v>
      </c>
      <c r="C8047" t="s">
        <v>25448</v>
      </c>
      <c r="D8047" t="s">
        <v>379</v>
      </c>
      <c r="E8047" t="s">
        <v>25411</v>
      </c>
      <c r="F8047" t="s">
        <v>7672</v>
      </c>
      <c r="G8047" t="s">
        <v>25412</v>
      </c>
      <c r="H8047" t="s">
        <v>11381</v>
      </c>
      <c r="I8047" t="s">
        <v>3030</v>
      </c>
      <c r="J8047" t="s">
        <v>16143</v>
      </c>
    </row>
    <row r="8048" spans="1:10" x14ac:dyDescent="0.25">
      <c r="A8048" t="s">
        <v>25449</v>
      </c>
      <c r="B8048">
        <v>7.56</v>
      </c>
      <c r="C8048" t="s">
        <v>25450</v>
      </c>
      <c r="D8048" t="s">
        <v>311</v>
      </c>
      <c r="E8048" t="s">
        <v>25411</v>
      </c>
      <c r="F8048" t="s">
        <v>7672</v>
      </c>
      <c r="G8048" t="s">
        <v>25412</v>
      </c>
      <c r="H8048" t="s">
        <v>11381</v>
      </c>
      <c r="I8048" t="s">
        <v>21290</v>
      </c>
      <c r="J8048" t="s">
        <v>16143</v>
      </c>
    </row>
    <row r="8049" spans="1:10" x14ac:dyDescent="0.25">
      <c r="A8049" t="s">
        <v>25451</v>
      </c>
      <c r="B8049">
        <v>7.56</v>
      </c>
      <c r="C8049" t="s">
        <v>25452</v>
      </c>
      <c r="D8049" t="s">
        <v>959</v>
      </c>
      <c r="E8049" t="s">
        <v>25411</v>
      </c>
      <c r="F8049" t="s">
        <v>7672</v>
      </c>
      <c r="G8049" t="s">
        <v>25412</v>
      </c>
      <c r="H8049" t="s">
        <v>11381</v>
      </c>
      <c r="I8049" t="s">
        <v>76</v>
      </c>
      <c r="J8049" t="s">
        <v>16143</v>
      </c>
    </row>
    <row r="8050" spans="1:10" x14ac:dyDescent="0.25">
      <c r="A8050" t="s">
        <v>25453</v>
      </c>
      <c r="B8050">
        <v>7.56</v>
      </c>
      <c r="C8050" t="s">
        <v>25454</v>
      </c>
      <c r="D8050" t="s">
        <v>352</v>
      </c>
      <c r="E8050" t="s">
        <v>25411</v>
      </c>
      <c r="F8050" t="s">
        <v>7672</v>
      </c>
      <c r="G8050" t="s">
        <v>25412</v>
      </c>
      <c r="H8050" t="s">
        <v>11381</v>
      </c>
      <c r="I8050" t="s">
        <v>15727</v>
      </c>
      <c r="J8050" t="s">
        <v>16143</v>
      </c>
    </row>
    <row r="8051" spans="1:10" x14ac:dyDescent="0.25">
      <c r="A8051" t="s">
        <v>25455</v>
      </c>
      <c r="B8051">
        <v>25.760000000000009</v>
      </c>
      <c r="C8051" t="s">
        <v>25456</v>
      </c>
      <c r="D8051" t="s">
        <v>875</v>
      </c>
      <c r="E8051" t="s">
        <v>25457</v>
      </c>
      <c r="F8051" t="s">
        <v>7672</v>
      </c>
      <c r="G8051" t="s">
        <v>25458</v>
      </c>
      <c r="H8051" t="s">
        <v>9127</v>
      </c>
      <c r="I8051" t="s">
        <v>9807</v>
      </c>
      <c r="J8051" t="s">
        <v>8427</v>
      </c>
    </row>
    <row r="8052" spans="1:10" x14ac:dyDescent="0.25">
      <c r="A8052" t="s">
        <v>25459</v>
      </c>
      <c r="B8052">
        <v>25.760000000000009</v>
      </c>
      <c r="C8052" t="s">
        <v>25460</v>
      </c>
      <c r="D8052" t="s">
        <v>1536</v>
      </c>
      <c r="E8052" t="s">
        <v>25457</v>
      </c>
      <c r="F8052" t="s">
        <v>7672</v>
      </c>
      <c r="G8052" t="s">
        <v>25458</v>
      </c>
      <c r="H8052" t="s">
        <v>9127</v>
      </c>
      <c r="I8052" t="s">
        <v>9807</v>
      </c>
      <c r="J8052" t="s">
        <v>8439</v>
      </c>
    </row>
    <row r="8053" spans="1:10" x14ac:dyDescent="0.25">
      <c r="A8053" t="s">
        <v>25461</v>
      </c>
      <c r="B8053">
        <v>25.760000000000009</v>
      </c>
      <c r="C8053" t="s">
        <v>25462</v>
      </c>
      <c r="D8053" t="s">
        <v>588</v>
      </c>
      <c r="E8053" t="s">
        <v>25457</v>
      </c>
      <c r="F8053" t="s">
        <v>7672</v>
      </c>
      <c r="G8053" t="s">
        <v>25458</v>
      </c>
      <c r="H8053" t="s">
        <v>9127</v>
      </c>
      <c r="I8053" t="s">
        <v>9807</v>
      </c>
      <c r="J8053" t="s">
        <v>8451</v>
      </c>
    </row>
    <row r="8054" spans="1:10" x14ac:dyDescent="0.25">
      <c r="A8054" t="s">
        <v>25463</v>
      </c>
      <c r="B8054">
        <v>25.760000000000009</v>
      </c>
      <c r="C8054" t="s">
        <v>25464</v>
      </c>
      <c r="D8054" t="s">
        <v>88</v>
      </c>
      <c r="E8054" t="s">
        <v>25457</v>
      </c>
      <c r="F8054" t="s">
        <v>7672</v>
      </c>
      <c r="G8054" t="s">
        <v>25458</v>
      </c>
      <c r="H8054" t="s">
        <v>9127</v>
      </c>
      <c r="I8054" t="s">
        <v>9807</v>
      </c>
      <c r="J8054" t="s">
        <v>8462</v>
      </c>
    </row>
    <row r="8055" spans="1:10" x14ac:dyDescent="0.25">
      <c r="A8055" t="s">
        <v>25465</v>
      </c>
      <c r="B8055">
        <v>13.2</v>
      </c>
      <c r="C8055" t="s">
        <v>25466</v>
      </c>
      <c r="D8055" t="s">
        <v>2022</v>
      </c>
      <c r="E8055" t="s">
        <v>25467</v>
      </c>
      <c r="F8055" t="s">
        <v>7672</v>
      </c>
      <c r="G8055" t="s">
        <v>25468</v>
      </c>
      <c r="H8055" t="s">
        <v>17992</v>
      </c>
      <c r="I8055" t="s">
        <v>8158</v>
      </c>
      <c r="J8055" t="s">
        <v>7942</v>
      </c>
    </row>
    <row r="8056" spans="1:10" x14ac:dyDescent="0.25">
      <c r="A8056" t="s">
        <v>25469</v>
      </c>
      <c r="B8056">
        <v>13.2</v>
      </c>
      <c r="C8056" t="s">
        <v>25470</v>
      </c>
      <c r="D8056" t="s">
        <v>2879</v>
      </c>
      <c r="E8056" t="s">
        <v>25467</v>
      </c>
      <c r="F8056" t="s">
        <v>7672</v>
      </c>
      <c r="G8056" t="s">
        <v>25468</v>
      </c>
      <c r="H8056" t="s">
        <v>17992</v>
      </c>
      <c r="I8056" t="s">
        <v>8158</v>
      </c>
      <c r="J8056" t="s">
        <v>7981</v>
      </c>
    </row>
    <row r="8057" spans="1:10" x14ac:dyDescent="0.25">
      <c r="A8057" t="s">
        <v>25471</v>
      </c>
      <c r="B8057">
        <v>10</v>
      </c>
      <c r="C8057" t="s">
        <v>25472</v>
      </c>
      <c r="D8057" t="s">
        <v>53</v>
      </c>
      <c r="E8057" t="s">
        <v>25473</v>
      </c>
      <c r="F8057" t="s">
        <v>7672</v>
      </c>
      <c r="G8057" t="s">
        <v>25474</v>
      </c>
      <c r="H8057" t="s">
        <v>24085</v>
      </c>
      <c r="I8057" t="s">
        <v>1243</v>
      </c>
      <c r="J8057" t="s">
        <v>15482</v>
      </c>
    </row>
    <row r="8058" spans="1:10" x14ac:dyDescent="0.25">
      <c r="A8058" t="s">
        <v>25475</v>
      </c>
      <c r="B8058">
        <v>4.8000000000000007</v>
      </c>
      <c r="C8058" t="s">
        <v>25476</v>
      </c>
      <c r="D8058" t="s">
        <v>2787</v>
      </c>
      <c r="E8058" t="s">
        <v>25477</v>
      </c>
      <c r="F8058" t="s">
        <v>7672</v>
      </c>
      <c r="G8058" t="s">
        <v>25478</v>
      </c>
      <c r="H8058" t="s">
        <v>7674</v>
      </c>
      <c r="I8058" t="s">
        <v>21206</v>
      </c>
      <c r="J8058" t="s">
        <v>10908</v>
      </c>
    </row>
    <row r="8059" spans="1:10" x14ac:dyDescent="0.25">
      <c r="A8059" t="s">
        <v>25479</v>
      </c>
      <c r="B8059">
        <v>4.8000000000000007</v>
      </c>
      <c r="C8059" t="s">
        <v>25480</v>
      </c>
      <c r="D8059" t="s">
        <v>913</v>
      </c>
      <c r="E8059" t="s">
        <v>25477</v>
      </c>
      <c r="F8059" t="s">
        <v>7672</v>
      </c>
      <c r="G8059" t="s">
        <v>25478</v>
      </c>
      <c r="H8059" t="s">
        <v>7674</v>
      </c>
      <c r="I8059" t="s">
        <v>25481</v>
      </c>
      <c r="J8059" t="s">
        <v>10908</v>
      </c>
    </row>
    <row r="8060" spans="1:10" x14ac:dyDescent="0.25">
      <c r="A8060" t="s">
        <v>25482</v>
      </c>
      <c r="B8060">
        <v>4.8000000000000007</v>
      </c>
      <c r="C8060" t="s">
        <v>25483</v>
      </c>
      <c r="D8060" t="s">
        <v>396</v>
      </c>
      <c r="E8060" t="s">
        <v>25477</v>
      </c>
      <c r="F8060" t="s">
        <v>7672</v>
      </c>
      <c r="G8060" t="s">
        <v>25478</v>
      </c>
      <c r="H8060" t="s">
        <v>7674</v>
      </c>
      <c r="I8060" t="s">
        <v>25484</v>
      </c>
      <c r="J8060" t="s">
        <v>10908</v>
      </c>
    </row>
    <row r="8061" spans="1:10" x14ac:dyDescent="0.25">
      <c r="A8061" t="s">
        <v>25485</v>
      </c>
      <c r="B8061">
        <v>4.8000000000000007</v>
      </c>
      <c r="C8061" t="s">
        <v>25486</v>
      </c>
      <c r="D8061" t="s">
        <v>981</v>
      </c>
      <c r="E8061" t="s">
        <v>25477</v>
      </c>
      <c r="F8061" t="s">
        <v>7672</v>
      </c>
      <c r="G8061" t="s">
        <v>25478</v>
      </c>
      <c r="H8061" t="s">
        <v>7674</v>
      </c>
      <c r="I8061" t="s">
        <v>6036</v>
      </c>
      <c r="J8061" t="s">
        <v>10908</v>
      </c>
    </row>
    <row r="8062" spans="1:10" x14ac:dyDescent="0.25">
      <c r="A8062" t="s">
        <v>25487</v>
      </c>
      <c r="B8062">
        <v>4.8000000000000007</v>
      </c>
      <c r="C8062" t="s">
        <v>25488</v>
      </c>
      <c r="D8062" t="s">
        <v>8823</v>
      </c>
      <c r="E8062" t="s">
        <v>25477</v>
      </c>
      <c r="F8062" t="s">
        <v>7672</v>
      </c>
      <c r="G8062" t="s">
        <v>25478</v>
      </c>
      <c r="H8062" t="s">
        <v>7674</v>
      </c>
      <c r="I8062" t="s">
        <v>6036</v>
      </c>
      <c r="J8062" t="s">
        <v>8885</v>
      </c>
    </row>
    <row r="8063" spans="1:10" x14ac:dyDescent="0.25">
      <c r="A8063" t="s">
        <v>25489</v>
      </c>
      <c r="B8063">
        <v>4.8000000000000007</v>
      </c>
      <c r="C8063" t="s">
        <v>25490</v>
      </c>
      <c r="D8063" t="s">
        <v>8076</v>
      </c>
      <c r="E8063" t="s">
        <v>25477</v>
      </c>
      <c r="F8063" t="s">
        <v>7672</v>
      </c>
      <c r="G8063" t="s">
        <v>25478</v>
      </c>
      <c r="H8063" t="s">
        <v>7674</v>
      </c>
      <c r="I8063" t="s">
        <v>25481</v>
      </c>
      <c r="J8063" t="s">
        <v>8885</v>
      </c>
    </row>
    <row r="8064" spans="1:10" x14ac:dyDescent="0.25">
      <c r="A8064" t="s">
        <v>25491</v>
      </c>
      <c r="B8064">
        <v>4.8000000000000007</v>
      </c>
      <c r="C8064" t="s">
        <v>25492</v>
      </c>
      <c r="D8064" t="s">
        <v>11485</v>
      </c>
      <c r="E8064" t="s">
        <v>25477</v>
      </c>
      <c r="F8064" t="s">
        <v>7672</v>
      </c>
      <c r="G8064" t="s">
        <v>25478</v>
      </c>
      <c r="H8064" t="s">
        <v>7674</v>
      </c>
      <c r="I8064" t="s">
        <v>25484</v>
      </c>
      <c r="J8064" t="s">
        <v>8885</v>
      </c>
    </row>
    <row r="8065" spans="1:10" x14ac:dyDescent="0.25">
      <c r="A8065" t="s">
        <v>25493</v>
      </c>
      <c r="B8065">
        <v>4.8000000000000007</v>
      </c>
      <c r="C8065" t="s">
        <v>25494</v>
      </c>
      <c r="D8065" t="s">
        <v>13122</v>
      </c>
      <c r="E8065" t="s">
        <v>25477</v>
      </c>
      <c r="F8065" t="s">
        <v>7672</v>
      </c>
      <c r="G8065" t="s">
        <v>25478</v>
      </c>
      <c r="H8065" t="s">
        <v>7674</v>
      </c>
      <c r="I8065" t="s">
        <v>21206</v>
      </c>
      <c r="J8065" t="s">
        <v>8885</v>
      </c>
    </row>
    <row r="8066" spans="1:10" x14ac:dyDescent="0.25">
      <c r="A8066" t="s">
        <v>25495</v>
      </c>
      <c r="B8066">
        <v>4.8000000000000007</v>
      </c>
      <c r="C8066" t="s">
        <v>25496</v>
      </c>
      <c r="D8066" t="s">
        <v>17693</v>
      </c>
      <c r="E8066" t="s">
        <v>25477</v>
      </c>
      <c r="F8066" t="s">
        <v>7672</v>
      </c>
      <c r="G8066" t="s">
        <v>25478</v>
      </c>
      <c r="H8066" t="s">
        <v>7674</v>
      </c>
      <c r="I8066" t="s">
        <v>21206</v>
      </c>
      <c r="J8066" t="s">
        <v>10918</v>
      </c>
    </row>
    <row r="8067" spans="1:10" x14ac:dyDescent="0.25">
      <c r="A8067" t="s">
        <v>25497</v>
      </c>
      <c r="B8067">
        <v>4.8000000000000007</v>
      </c>
      <c r="C8067" t="s">
        <v>25498</v>
      </c>
      <c r="D8067" t="s">
        <v>9810</v>
      </c>
      <c r="E8067" t="s">
        <v>25477</v>
      </c>
      <c r="F8067" t="s">
        <v>7672</v>
      </c>
      <c r="G8067" t="s">
        <v>25478</v>
      </c>
      <c r="H8067" t="s">
        <v>7674</v>
      </c>
      <c r="I8067" t="s">
        <v>6036</v>
      </c>
      <c r="J8067" t="s">
        <v>10918</v>
      </c>
    </row>
    <row r="8068" spans="1:10" x14ac:dyDescent="0.25">
      <c r="A8068" t="s">
        <v>25499</v>
      </c>
      <c r="B8068">
        <v>4.8000000000000007</v>
      </c>
      <c r="C8068" t="s">
        <v>25500</v>
      </c>
      <c r="D8068" t="s">
        <v>3234</v>
      </c>
      <c r="E8068" t="s">
        <v>25477</v>
      </c>
      <c r="F8068" t="s">
        <v>7672</v>
      </c>
      <c r="G8068" t="s">
        <v>25478</v>
      </c>
      <c r="H8068" t="s">
        <v>7674</v>
      </c>
      <c r="I8068" t="s">
        <v>25481</v>
      </c>
      <c r="J8068" t="s">
        <v>10918</v>
      </c>
    </row>
    <row r="8069" spans="1:10" x14ac:dyDescent="0.25">
      <c r="A8069" t="s">
        <v>25501</v>
      </c>
      <c r="B8069">
        <v>4.8000000000000007</v>
      </c>
      <c r="C8069" t="s">
        <v>25502</v>
      </c>
      <c r="D8069" t="s">
        <v>40</v>
      </c>
      <c r="E8069" t="s">
        <v>25477</v>
      </c>
      <c r="F8069" t="s">
        <v>7672</v>
      </c>
      <c r="G8069" t="s">
        <v>25478</v>
      </c>
      <c r="H8069" t="s">
        <v>7674</v>
      </c>
      <c r="I8069" t="s">
        <v>25503</v>
      </c>
      <c r="J8069" t="s">
        <v>10918</v>
      </c>
    </row>
    <row r="8070" spans="1:10" x14ac:dyDescent="0.25">
      <c r="A8070" t="s">
        <v>25504</v>
      </c>
      <c r="B8070">
        <v>4.8000000000000007</v>
      </c>
      <c r="C8070" t="s">
        <v>25505</v>
      </c>
      <c r="D8070" t="s">
        <v>3872</v>
      </c>
      <c r="E8070" t="s">
        <v>25477</v>
      </c>
      <c r="F8070" t="s">
        <v>7672</v>
      </c>
      <c r="G8070" t="s">
        <v>25478</v>
      </c>
      <c r="H8070" t="s">
        <v>7674</v>
      </c>
      <c r="I8070" t="s">
        <v>25484</v>
      </c>
      <c r="J8070" t="s">
        <v>10918</v>
      </c>
    </row>
    <row r="8071" spans="1:10" x14ac:dyDescent="0.25">
      <c r="A8071" t="s">
        <v>25506</v>
      </c>
      <c r="B8071">
        <v>4.8000000000000007</v>
      </c>
      <c r="C8071" t="s">
        <v>25507</v>
      </c>
      <c r="D8071" t="s">
        <v>306</v>
      </c>
      <c r="E8071" t="s">
        <v>25477</v>
      </c>
      <c r="F8071" t="s">
        <v>7672</v>
      </c>
      <c r="G8071" t="s">
        <v>25478</v>
      </c>
      <c r="H8071" t="s">
        <v>7674</v>
      </c>
      <c r="I8071" t="s">
        <v>25508</v>
      </c>
      <c r="J8071" t="s">
        <v>10918</v>
      </c>
    </row>
    <row r="8072" spans="1:10" x14ac:dyDescent="0.25">
      <c r="A8072" t="s">
        <v>25509</v>
      </c>
      <c r="B8072">
        <v>5.976</v>
      </c>
      <c r="C8072" t="s">
        <v>25510</v>
      </c>
      <c r="D8072" t="s">
        <v>100</v>
      </c>
      <c r="E8072" t="s">
        <v>25511</v>
      </c>
      <c r="F8072" t="s">
        <v>7672</v>
      </c>
      <c r="G8072" t="s">
        <v>25512</v>
      </c>
      <c r="H8072" t="s">
        <v>25513</v>
      </c>
      <c r="I8072" t="s">
        <v>497</v>
      </c>
      <c r="J8072" t="s">
        <v>9694</v>
      </c>
    </row>
    <row r="8073" spans="1:10" x14ac:dyDescent="0.25">
      <c r="A8073" t="s">
        <v>25514</v>
      </c>
      <c r="B8073">
        <v>12</v>
      </c>
      <c r="C8073" t="s">
        <v>25515</v>
      </c>
      <c r="D8073" t="s">
        <v>835</v>
      </c>
      <c r="E8073" t="s">
        <v>25516</v>
      </c>
      <c r="F8073" t="s">
        <v>7672</v>
      </c>
      <c r="G8073" t="s">
        <v>25517</v>
      </c>
      <c r="H8073" t="s">
        <v>8779</v>
      </c>
      <c r="I8073" t="s">
        <v>25518</v>
      </c>
      <c r="J8073" t="s">
        <v>7984</v>
      </c>
    </row>
    <row r="8074" spans="1:10" x14ac:dyDescent="0.25">
      <c r="A8074" t="s">
        <v>25519</v>
      </c>
      <c r="B8074">
        <v>12</v>
      </c>
      <c r="C8074" t="s">
        <v>25520</v>
      </c>
      <c r="D8074" t="s">
        <v>576</v>
      </c>
      <c r="E8074" t="s">
        <v>25516</v>
      </c>
      <c r="F8074" t="s">
        <v>7672</v>
      </c>
      <c r="G8074" t="s">
        <v>25517</v>
      </c>
      <c r="H8074" t="s">
        <v>8779</v>
      </c>
      <c r="I8074" t="s">
        <v>17437</v>
      </c>
      <c r="J8074" t="s">
        <v>7984</v>
      </c>
    </row>
    <row r="8075" spans="1:10" x14ac:dyDescent="0.25">
      <c r="A8075" t="s">
        <v>25521</v>
      </c>
      <c r="B8075">
        <v>12</v>
      </c>
      <c r="C8075" t="s">
        <v>25522</v>
      </c>
      <c r="D8075" t="s">
        <v>118</v>
      </c>
      <c r="E8075" t="s">
        <v>25516</v>
      </c>
      <c r="F8075" t="s">
        <v>7672</v>
      </c>
      <c r="G8075" t="s">
        <v>25517</v>
      </c>
      <c r="H8075" t="s">
        <v>8779</v>
      </c>
      <c r="I8075" t="s">
        <v>25518</v>
      </c>
      <c r="J8075" t="s">
        <v>7987</v>
      </c>
    </row>
    <row r="8076" spans="1:10" x14ac:dyDescent="0.25">
      <c r="A8076" t="s">
        <v>25523</v>
      </c>
      <c r="B8076">
        <v>12</v>
      </c>
      <c r="C8076" t="s">
        <v>25524</v>
      </c>
      <c r="D8076" t="s">
        <v>250</v>
      </c>
      <c r="E8076" t="s">
        <v>25516</v>
      </c>
      <c r="F8076" t="s">
        <v>7672</v>
      </c>
      <c r="G8076" t="s">
        <v>25517</v>
      </c>
      <c r="H8076" t="s">
        <v>8779</v>
      </c>
      <c r="I8076" t="s">
        <v>17437</v>
      </c>
      <c r="J8076" t="s">
        <v>7987</v>
      </c>
    </row>
    <row r="8077" spans="1:10" x14ac:dyDescent="0.25">
      <c r="A8077" t="s">
        <v>25525</v>
      </c>
      <c r="B8077">
        <v>3.3519999999999999</v>
      </c>
      <c r="C8077" t="s">
        <v>25526</v>
      </c>
      <c r="D8077" t="s">
        <v>88</v>
      </c>
      <c r="E8077" t="s">
        <v>25527</v>
      </c>
      <c r="F8077" t="s">
        <v>7672</v>
      </c>
      <c r="G8077" t="s">
        <v>25528</v>
      </c>
      <c r="H8077" t="s">
        <v>7974</v>
      </c>
      <c r="I8077" t="s">
        <v>25529</v>
      </c>
      <c r="J8077" t="s">
        <v>7942</v>
      </c>
    </row>
    <row r="8078" spans="1:10" x14ac:dyDescent="0.25">
      <c r="A8078" t="s">
        <v>25530</v>
      </c>
      <c r="B8078">
        <v>3.3519999999999999</v>
      </c>
      <c r="C8078" t="s">
        <v>25531</v>
      </c>
      <c r="D8078" t="s">
        <v>255</v>
      </c>
      <c r="E8078" t="s">
        <v>25527</v>
      </c>
      <c r="F8078" t="s">
        <v>7672</v>
      </c>
      <c r="G8078" t="s">
        <v>25528</v>
      </c>
      <c r="H8078" t="s">
        <v>7974</v>
      </c>
      <c r="I8078" t="s">
        <v>25529</v>
      </c>
      <c r="J8078" t="s">
        <v>7981</v>
      </c>
    </row>
    <row r="8079" spans="1:10" x14ac:dyDescent="0.25">
      <c r="A8079" t="s">
        <v>25532</v>
      </c>
      <c r="B8079">
        <v>7.1920000000000002</v>
      </c>
      <c r="C8079" t="s">
        <v>25533</v>
      </c>
      <c r="D8079" t="s">
        <v>240</v>
      </c>
      <c r="E8079" t="s">
        <v>25534</v>
      </c>
      <c r="F8079" t="s">
        <v>7672</v>
      </c>
      <c r="G8079" t="s">
        <v>25535</v>
      </c>
      <c r="H8079" t="s">
        <v>10298</v>
      </c>
      <c r="I8079" t="s">
        <v>76</v>
      </c>
      <c r="J8079" t="s">
        <v>436</v>
      </c>
    </row>
    <row r="8080" spans="1:10" x14ac:dyDescent="0.25">
      <c r="A8080" t="s">
        <v>25536</v>
      </c>
      <c r="B8080">
        <v>7.1920000000000002</v>
      </c>
      <c r="C8080" t="s">
        <v>25537</v>
      </c>
      <c r="D8080" t="s">
        <v>5592</v>
      </c>
      <c r="E8080" t="s">
        <v>25534</v>
      </c>
      <c r="F8080" t="s">
        <v>7672</v>
      </c>
      <c r="G8080" t="s">
        <v>25535</v>
      </c>
      <c r="H8080" t="s">
        <v>10298</v>
      </c>
      <c r="I8080" t="s">
        <v>76</v>
      </c>
      <c r="J8080" t="s">
        <v>53</v>
      </c>
    </row>
    <row r="8081" spans="1:10" x14ac:dyDescent="0.25">
      <c r="A8081" t="s">
        <v>25538</v>
      </c>
      <c r="B8081">
        <v>7.1920000000000002</v>
      </c>
      <c r="C8081" t="s">
        <v>25539</v>
      </c>
      <c r="D8081" t="s">
        <v>4141</v>
      </c>
      <c r="E8081" t="s">
        <v>25534</v>
      </c>
      <c r="F8081" t="s">
        <v>7672</v>
      </c>
      <c r="G8081" t="s">
        <v>25535</v>
      </c>
      <c r="H8081" t="s">
        <v>10298</v>
      </c>
      <c r="I8081" t="s">
        <v>9326</v>
      </c>
      <c r="J8081" t="s">
        <v>60</v>
      </c>
    </row>
    <row r="8082" spans="1:10" x14ac:dyDescent="0.25">
      <c r="A8082" t="s">
        <v>25540</v>
      </c>
      <c r="B8082">
        <v>7.1920000000000002</v>
      </c>
      <c r="C8082" t="s">
        <v>25541</v>
      </c>
      <c r="D8082" t="s">
        <v>7850</v>
      </c>
      <c r="E8082" t="s">
        <v>25534</v>
      </c>
      <c r="F8082" t="s">
        <v>7672</v>
      </c>
      <c r="G8082" t="s">
        <v>25535</v>
      </c>
      <c r="H8082" t="s">
        <v>10298</v>
      </c>
      <c r="I8082" t="s">
        <v>76</v>
      </c>
      <c r="J8082" t="s">
        <v>60</v>
      </c>
    </row>
    <row r="8083" spans="1:10" x14ac:dyDescent="0.25">
      <c r="A8083" t="s">
        <v>25542</v>
      </c>
      <c r="B8083">
        <v>7.1920000000000002</v>
      </c>
      <c r="C8083" t="s">
        <v>25543</v>
      </c>
      <c r="D8083" t="s">
        <v>9566</v>
      </c>
      <c r="E8083" t="s">
        <v>25534</v>
      </c>
      <c r="F8083" t="s">
        <v>7672</v>
      </c>
      <c r="G8083" t="s">
        <v>25535</v>
      </c>
      <c r="H8083" t="s">
        <v>10298</v>
      </c>
      <c r="I8083" t="s">
        <v>9326</v>
      </c>
      <c r="J8083" t="s">
        <v>342</v>
      </c>
    </row>
    <row r="8084" spans="1:10" x14ac:dyDescent="0.25">
      <c r="A8084" t="s">
        <v>25544</v>
      </c>
      <c r="B8084">
        <v>7.1920000000000002</v>
      </c>
      <c r="C8084" t="s">
        <v>25545</v>
      </c>
      <c r="D8084" t="s">
        <v>13346</v>
      </c>
      <c r="E8084" t="s">
        <v>25534</v>
      </c>
      <c r="F8084" t="s">
        <v>7672</v>
      </c>
      <c r="G8084" t="s">
        <v>25535</v>
      </c>
      <c r="H8084" t="s">
        <v>10298</v>
      </c>
      <c r="I8084" t="s">
        <v>76</v>
      </c>
      <c r="J8084" t="s">
        <v>342</v>
      </c>
    </row>
    <row r="8085" spans="1:10" x14ac:dyDescent="0.25">
      <c r="A8085" t="s">
        <v>25546</v>
      </c>
      <c r="B8085">
        <v>7.1920000000000002</v>
      </c>
      <c r="C8085" t="s">
        <v>25547</v>
      </c>
      <c r="D8085" t="s">
        <v>7934</v>
      </c>
      <c r="E8085" t="s">
        <v>25534</v>
      </c>
      <c r="F8085" t="s">
        <v>7672</v>
      </c>
      <c r="G8085" t="s">
        <v>25535</v>
      </c>
      <c r="H8085" t="s">
        <v>10298</v>
      </c>
      <c r="I8085" t="s">
        <v>76</v>
      </c>
      <c r="J8085" t="s">
        <v>100</v>
      </c>
    </row>
    <row r="8086" spans="1:10" x14ac:dyDescent="0.25">
      <c r="A8086" t="s">
        <v>25548</v>
      </c>
      <c r="B8086">
        <v>7.1920000000000002</v>
      </c>
      <c r="C8086" t="s">
        <v>25549</v>
      </c>
      <c r="D8086" t="s">
        <v>3832</v>
      </c>
      <c r="E8086" t="s">
        <v>25534</v>
      </c>
      <c r="F8086" t="s">
        <v>7672</v>
      </c>
      <c r="G8086" t="s">
        <v>25535</v>
      </c>
      <c r="H8086" t="s">
        <v>10298</v>
      </c>
      <c r="I8086" t="s">
        <v>9326</v>
      </c>
      <c r="J8086" t="s">
        <v>100</v>
      </c>
    </row>
    <row r="8087" spans="1:10" x14ac:dyDescent="0.25">
      <c r="A8087" t="s">
        <v>25550</v>
      </c>
      <c r="B8087">
        <v>7.1920000000000002</v>
      </c>
      <c r="C8087" t="s">
        <v>25551</v>
      </c>
      <c r="D8087" t="s">
        <v>3944</v>
      </c>
      <c r="E8087" t="s">
        <v>25534</v>
      </c>
      <c r="F8087" t="s">
        <v>7672</v>
      </c>
      <c r="G8087" t="s">
        <v>25535</v>
      </c>
      <c r="H8087" t="s">
        <v>10298</v>
      </c>
      <c r="I8087" t="s">
        <v>9326</v>
      </c>
      <c r="J8087" t="s">
        <v>106</v>
      </c>
    </row>
    <row r="8088" spans="1:10" x14ac:dyDescent="0.25">
      <c r="A8088" t="s">
        <v>25552</v>
      </c>
      <c r="B8088">
        <v>7.1920000000000002</v>
      </c>
      <c r="C8088" t="s">
        <v>25553</v>
      </c>
      <c r="D8088" t="s">
        <v>1965</v>
      </c>
      <c r="E8088" t="s">
        <v>25534</v>
      </c>
      <c r="F8088" t="s">
        <v>7672</v>
      </c>
      <c r="G8088" t="s">
        <v>25535</v>
      </c>
      <c r="H8088" t="s">
        <v>10298</v>
      </c>
      <c r="I8088" t="s">
        <v>76</v>
      </c>
      <c r="J8088" t="s">
        <v>106</v>
      </c>
    </row>
    <row r="8089" spans="1:10" x14ac:dyDescent="0.25">
      <c r="A8089" t="s">
        <v>25554</v>
      </c>
      <c r="B8089">
        <v>7.1920000000000002</v>
      </c>
      <c r="C8089" t="s">
        <v>25555</v>
      </c>
      <c r="D8089" t="s">
        <v>306</v>
      </c>
      <c r="E8089" t="s">
        <v>25534</v>
      </c>
      <c r="F8089" t="s">
        <v>7672</v>
      </c>
      <c r="G8089" t="s">
        <v>25535</v>
      </c>
      <c r="H8089" t="s">
        <v>10298</v>
      </c>
      <c r="I8089" t="s">
        <v>9326</v>
      </c>
      <c r="J8089" t="s">
        <v>88</v>
      </c>
    </row>
    <row r="8090" spans="1:10" x14ac:dyDescent="0.25">
      <c r="A8090" t="s">
        <v>25556</v>
      </c>
      <c r="B8090">
        <v>7.1920000000000002</v>
      </c>
      <c r="C8090" t="s">
        <v>25557</v>
      </c>
      <c r="D8090" t="s">
        <v>3184</v>
      </c>
      <c r="E8090" t="s">
        <v>25534</v>
      </c>
      <c r="F8090" t="s">
        <v>7672</v>
      </c>
      <c r="G8090" t="s">
        <v>25535</v>
      </c>
      <c r="H8090" t="s">
        <v>10298</v>
      </c>
      <c r="I8090" t="s">
        <v>76</v>
      </c>
      <c r="J8090" t="s">
        <v>88</v>
      </c>
    </row>
    <row r="8091" spans="1:10" x14ac:dyDescent="0.25">
      <c r="A8091" t="s">
        <v>25558</v>
      </c>
      <c r="B8091">
        <v>9.8800000000000008</v>
      </c>
      <c r="C8091" t="s">
        <v>25559</v>
      </c>
      <c r="D8091" t="s">
        <v>100</v>
      </c>
      <c r="E8091" t="s">
        <v>25560</v>
      </c>
      <c r="F8091" t="s">
        <v>7672</v>
      </c>
      <c r="G8091" t="s">
        <v>25561</v>
      </c>
      <c r="H8091" t="s">
        <v>7947</v>
      </c>
      <c r="I8091" t="s">
        <v>25562</v>
      </c>
      <c r="J8091" t="s">
        <v>7981</v>
      </c>
    </row>
    <row r="8092" spans="1:10" x14ac:dyDescent="0.25">
      <c r="A8092" t="s">
        <v>25563</v>
      </c>
      <c r="B8092">
        <v>9.8800000000000008</v>
      </c>
      <c r="C8092" t="s">
        <v>25564</v>
      </c>
      <c r="D8092" t="s">
        <v>199</v>
      </c>
      <c r="E8092" t="s">
        <v>25560</v>
      </c>
      <c r="F8092" t="s">
        <v>7672</v>
      </c>
      <c r="G8092" t="s">
        <v>25561</v>
      </c>
      <c r="H8092" t="s">
        <v>7947</v>
      </c>
      <c r="I8092" t="s">
        <v>76</v>
      </c>
      <c r="J8092" t="s">
        <v>7981</v>
      </c>
    </row>
    <row r="8093" spans="1:10" x14ac:dyDescent="0.25">
      <c r="A8093" t="s">
        <v>25565</v>
      </c>
      <c r="B8093">
        <v>9.8800000000000008</v>
      </c>
      <c r="C8093" t="s">
        <v>25566</v>
      </c>
      <c r="D8093" t="s">
        <v>255</v>
      </c>
      <c r="E8093" t="s">
        <v>25560</v>
      </c>
      <c r="F8093" t="s">
        <v>7672</v>
      </c>
      <c r="G8093" t="s">
        <v>25561</v>
      </c>
      <c r="H8093" t="s">
        <v>7947</v>
      </c>
      <c r="I8093" t="s">
        <v>25562</v>
      </c>
      <c r="J8093" t="s">
        <v>7984</v>
      </c>
    </row>
    <row r="8094" spans="1:10" x14ac:dyDescent="0.25">
      <c r="A8094" t="s">
        <v>25567</v>
      </c>
      <c r="B8094">
        <v>9.8800000000000008</v>
      </c>
      <c r="C8094" t="s">
        <v>25568</v>
      </c>
      <c r="D8094" t="s">
        <v>164</v>
      </c>
      <c r="E8094" t="s">
        <v>25560</v>
      </c>
      <c r="F8094" t="s">
        <v>7672</v>
      </c>
      <c r="G8094" t="s">
        <v>25561</v>
      </c>
      <c r="H8094" t="s">
        <v>7947</v>
      </c>
      <c r="I8094" t="s">
        <v>76</v>
      </c>
      <c r="J8094" t="s">
        <v>7984</v>
      </c>
    </row>
    <row r="8095" spans="1:10" x14ac:dyDescent="0.25">
      <c r="A8095" t="s">
        <v>25569</v>
      </c>
      <c r="B8095">
        <v>9.8800000000000008</v>
      </c>
      <c r="C8095" t="s">
        <v>25570</v>
      </c>
      <c r="D8095" t="s">
        <v>359</v>
      </c>
      <c r="E8095" t="s">
        <v>25560</v>
      </c>
      <c r="F8095" t="s">
        <v>7672</v>
      </c>
      <c r="G8095" t="s">
        <v>25561</v>
      </c>
      <c r="H8095" t="s">
        <v>7947</v>
      </c>
      <c r="I8095" t="s">
        <v>25562</v>
      </c>
      <c r="J8095" t="s">
        <v>7987</v>
      </c>
    </row>
    <row r="8096" spans="1:10" x14ac:dyDescent="0.25">
      <c r="A8096" t="s">
        <v>25571</v>
      </c>
      <c r="B8096">
        <v>9.8800000000000008</v>
      </c>
      <c r="C8096" t="s">
        <v>25572</v>
      </c>
      <c r="D8096" t="s">
        <v>240</v>
      </c>
      <c r="E8096" t="s">
        <v>25560</v>
      </c>
      <c r="F8096" t="s">
        <v>7672</v>
      </c>
      <c r="G8096" t="s">
        <v>25561</v>
      </c>
      <c r="H8096" t="s">
        <v>7947</v>
      </c>
      <c r="I8096" t="s">
        <v>76</v>
      </c>
      <c r="J8096" t="s">
        <v>7987</v>
      </c>
    </row>
    <row r="8097" spans="1:10" x14ac:dyDescent="0.25">
      <c r="A8097" t="s">
        <v>25573</v>
      </c>
      <c r="B8097">
        <v>9.8800000000000008</v>
      </c>
      <c r="C8097" t="s">
        <v>25574</v>
      </c>
      <c r="D8097" t="s">
        <v>359</v>
      </c>
      <c r="E8097" t="s">
        <v>25560</v>
      </c>
      <c r="F8097" t="s">
        <v>7672</v>
      </c>
      <c r="G8097" t="s">
        <v>25561</v>
      </c>
      <c r="H8097" t="s">
        <v>7947</v>
      </c>
      <c r="I8097" t="s">
        <v>25562</v>
      </c>
      <c r="J8097" t="s">
        <v>8001</v>
      </c>
    </row>
    <row r="8098" spans="1:10" x14ac:dyDescent="0.25">
      <c r="A8098" t="s">
        <v>25575</v>
      </c>
      <c r="B8098">
        <v>9.8800000000000008</v>
      </c>
      <c r="C8098" t="s">
        <v>25576</v>
      </c>
      <c r="D8098" t="s">
        <v>959</v>
      </c>
      <c r="E8098" t="s">
        <v>25560</v>
      </c>
      <c r="F8098" t="s">
        <v>7672</v>
      </c>
      <c r="G8098" t="s">
        <v>25561</v>
      </c>
      <c r="H8098" t="s">
        <v>7947</v>
      </c>
      <c r="I8098" t="s">
        <v>76</v>
      </c>
      <c r="J8098" t="s">
        <v>8001</v>
      </c>
    </row>
    <row r="8099" spans="1:10" x14ac:dyDescent="0.25">
      <c r="A8099" t="s">
        <v>7227</v>
      </c>
      <c r="B8099">
        <v>6.7200000000000006</v>
      </c>
      <c r="C8099" t="s">
        <v>7229</v>
      </c>
      <c r="D8099" t="s">
        <v>144</v>
      </c>
      <c r="E8099" t="s">
        <v>7230</v>
      </c>
      <c r="F8099" t="s">
        <v>7672</v>
      </c>
      <c r="G8099" t="s">
        <v>25577</v>
      </c>
      <c r="H8099" t="s">
        <v>11496</v>
      </c>
      <c r="I8099" t="s">
        <v>935</v>
      </c>
      <c r="J8099" t="s">
        <v>9423</v>
      </c>
    </row>
    <row r="8100" spans="1:10" x14ac:dyDescent="0.25">
      <c r="A8100" t="s">
        <v>7232</v>
      </c>
      <c r="B8100">
        <v>6.7200000000000006</v>
      </c>
      <c r="C8100" t="s">
        <v>7234</v>
      </c>
      <c r="D8100" t="s">
        <v>4270</v>
      </c>
      <c r="E8100" t="s">
        <v>7230</v>
      </c>
      <c r="F8100" t="s">
        <v>7672</v>
      </c>
      <c r="G8100" t="s">
        <v>25577</v>
      </c>
      <c r="H8100" t="s">
        <v>11496</v>
      </c>
      <c r="I8100" t="s">
        <v>935</v>
      </c>
      <c r="J8100" t="s">
        <v>9426</v>
      </c>
    </row>
    <row r="8101" spans="1:10" x14ac:dyDescent="0.25">
      <c r="A8101" t="s">
        <v>25578</v>
      </c>
      <c r="B8101">
        <v>11.992000000000001</v>
      </c>
      <c r="C8101" t="s">
        <v>25579</v>
      </c>
      <c r="D8101" t="s">
        <v>286</v>
      </c>
      <c r="E8101" t="s">
        <v>25580</v>
      </c>
      <c r="F8101" t="s">
        <v>7672</v>
      </c>
      <c r="G8101" t="s">
        <v>25581</v>
      </c>
      <c r="H8101" t="s">
        <v>12137</v>
      </c>
      <c r="I8101" t="s">
        <v>25582</v>
      </c>
      <c r="J8101" t="s">
        <v>277</v>
      </c>
    </row>
    <row r="8102" spans="1:10" x14ac:dyDescent="0.25">
      <c r="A8102" t="s">
        <v>25583</v>
      </c>
      <c r="B8102">
        <v>11.992000000000001</v>
      </c>
      <c r="C8102" t="s">
        <v>25584</v>
      </c>
      <c r="D8102" t="s">
        <v>118</v>
      </c>
      <c r="E8102" t="s">
        <v>25580</v>
      </c>
      <c r="F8102" t="s">
        <v>7672</v>
      </c>
      <c r="G8102" t="s">
        <v>25581</v>
      </c>
      <c r="H8102" t="s">
        <v>12137</v>
      </c>
      <c r="I8102" t="s">
        <v>25585</v>
      </c>
      <c r="J8102" t="s">
        <v>277</v>
      </c>
    </row>
    <row r="8103" spans="1:10" x14ac:dyDescent="0.25">
      <c r="A8103" t="s">
        <v>25586</v>
      </c>
      <c r="B8103">
        <v>11.992000000000001</v>
      </c>
      <c r="C8103" t="s">
        <v>25587</v>
      </c>
      <c r="D8103" t="s">
        <v>776</v>
      </c>
      <c r="E8103" t="s">
        <v>25580</v>
      </c>
      <c r="F8103" t="s">
        <v>7672</v>
      </c>
      <c r="G8103" t="s">
        <v>25581</v>
      </c>
      <c r="H8103" t="s">
        <v>12137</v>
      </c>
      <c r="I8103" t="s">
        <v>25585</v>
      </c>
      <c r="J8103" t="s">
        <v>436</v>
      </c>
    </row>
    <row r="8104" spans="1:10" x14ac:dyDescent="0.25">
      <c r="A8104" t="s">
        <v>25588</v>
      </c>
      <c r="B8104">
        <v>11.992000000000001</v>
      </c>
      <c r="C8104" t="s">
        <v>25589</v>
      </c>
      <c r="D8104" t="s">
        <v>781</v>
      </c>
      <c r="E8104" t="s">
        <v>25580</v>
      </c>
      <c r="F8104" t="s">
        <v>7672</v>
      </c>
      <c r="G8104" t="s">
        <v>25581</v>
      </c>
      <c r="H8104" t="s">
        <v>12137</v>
      </c>
      <c r="I8104" t="s">
        <v>25582</v>
      </c>
      <c r="J8104" t="s">
        <v>436</v>
      </c>
    </row>
    <row r="8105" spans="1:10" x14ac:dyDescent="0.25">
      <c r="A8105" t="s">
        <v>25590</v>
      </c>
      <c r="B8105">
        <v>11.992000000000001</v>
      </c>
      <c r="C8105" t="s">
        <v>25591</v>
      </c>
      <c r="D8105" t="s">
        <v>1134</v>
      </c>
      <c r="E8105" t="s">
        <v>25580</v>
      </c>
      <c r="F8105" t="s">
        <v>7672</v>
      </c>
      <c r="G8105" t="s">
        <v>25581</v>
      </c>
      <c r="H8105" t="s">
        <v>12137</v>
      </c>
      <c r="I8105" t="s">
        <v>25585</v>
      </c>
      <c r="J8105" t="s">
        <v>53</v>
      </c>
    </row>
    <row r="8106" spans="1:10" x14ac:dyDescent="0.25">
      <c r="A8106" t="s">
        <v>25592</v>
      </c>
      <c r="B8106">
        <v>11.992000000000001</v>
      </c>
      <c r="C8106" t="s">
        <v>25593</v>
      </c>
      <c r="D8106" t="s">
        <v>2022</v>
      </c>
      <c r="E8106" t="s">
        <v>25580</v>
      </c>
      <c r="F8106" t="s">
        <v>7672</v>
      </c>
      <c r="G8106" t="s">
        <v>25581</v>
      </c>
      <c r="H8106" t="s">
        <v>12137</v>
      </c>
      <c r="I8106" t="s">
        <v>25582</v>
      </c>
      <c r="J8106" t="s">
        <v>53</v>
      </c>
    </row>
    <row r="8107" spans="1:10" x14ac:dyDescent="0.25">
      <c r="A8107" t="s">
        <v>25594</v>
      </c>
      <c r="B8107">
        <v>12.6</v>
      </c>
      <c r="C8107" t="s">
        <v>25595</v>
      </c>
      <c r="D8107" t="s">
        <v>959</v>
      </c>
      <c r="E8107" t="s">
        <v>25596</v>
      </c>
      <c r="F8107" t="s">
        <v>7672</v>
      </c>
      <c r="G8107" t="s">
        <v>25597</v>
      </c>
      <c r="H8107" t="s">
        <v>7947</v>
      </c>
      <c r="I8107" t="s">
        <v>25598</v>
      </c>
      <c r="J8107" t="s">
        <v>8001</v>
      </c>
    </row>
    <row r="8108" spans="1:10" x14ac:dyDescent="0.25">
      <c r="A8108" t="s">
        <v>25599</v>
      </c>
      <c r="B8108">
        <v>12.6</v>
      </c>
      <c r="C8108" t="s">
        <v>25600</v>
      </c>
      <c r="D8108" t="s">
        <v>100</v>
      </c>
      <c r="E8108" t="s">
        <v>25596</v>
      </c>
      <c r="F8108" t="s">
        <v>7672</v>
      </c>
      <c r="G8108" t="s">
        <v>25597</v>
      </c>
      <c r="H8108" t="s">
        <v>7947</v>
      </c>
      <c r="I8108" t="s">
        <v>25601</v>
      </c>
      <c r="J8108" t="s">
        <v>8013</v>
      </c>
    </row>
    <row r="8109" spans="1:10" x14ac:dyDescent="0.25">
      <c r="A8109" t="s">
        <v>25602</v>
      </c>
      <c r="B8109">
        <v>12.6</v>
      </c>
      <c r="C8109" t="s">
        <v>25603</v>
      </c>
      <c r="D8109" t="s">
        <v>131</v>
      </c>
      <c r="E8109" t="s">
        <v>25596</v>
      </c>
      <c r="F8109" t="s">
        <v>7672</v>
      </c>
      <c r="G8109" t="s">
        <v>25597</v>
      </c>
      <c r="H8109" t="s">
        <v>7947</v>
      </c>
      <c r="I8109" t="s">
        <v>25598</v>
      </c>
      <c r="J8109" t="s">
        <v>8013</v>
      </c>
    </row>
    <row r="8110" spans="1:10" x14ac:dyDescent="0.25">
      <c r="A8110" t="s">
        <v>25604</v>
      </c>
      <c r="B8110">
        <v>7.2</v>
      </c>
      <c r="C8110" t="s">
        <v>25605</v>
      </c>
      <c r="D8110" t="s">
        <v>250</v>
      </c>
      <c r="E8110" t="s">
        <v>25606</v>
      </c>
      <c r="F8110" t="s">
        <v>7672</v>
      </c>
      <c r="G8110" t="s">
        <v>25607</v>
      </c>
      <c r="H8110" t="s">
        <v>7674</v>
      </c>
      <c r="I8110" t="s">
        <v>76</v>
      </c>
      <c r="J8110" t="s">
        <v>11373</v>
      </c>
    </row>
    <row r="8111" spans="1:10" x14ac:dyDescent="0.25">
      <c r="A8111" t="s">
        <v>25608</v>
      </c>
      <c r="B8111">
        <v>7.2</v>
      </c>
      <c r="C8111" t="s">
        <v>25609</v>
      </c>
      <c r="D8111" t="s">
        <v>1254</v>
      </c>
      <c r="E8111" t="s">
        <v>25606</v>
      </c>
      <c r="F8111" t="s">
        <v>7672</v>
      </c>
      <c r="G8111" t="s">
        <v>25607</v>
      </c>
      <c r="H8111" t="s">
        <v>7674</v>
      </c>
      <c r="I8111" t="s">
        <v>10802</v>
      </c>
      <c r="J8111" t="s">
        <v>11373</v>
      </c>
    </row>
    <row r="8112" spans="1:10" x14ac:dyDescent="0.25">
      <c r="A8112" t="s">
        <v>25610</v>
      </c>
      <c r="B8112">
        <v>7.2</v>
      </c>
      <c r="C8112" t="s">
        <v>25611</v>
      </c>
      <c r="D8112" t="s">
        <v>639</v>
      </c>
      <c r="E8112" t="s">
        <v>25606</v>
      </c>
      <c r="F8112" t="s">
        <v>7672</v>
      </c>
      <c r="G8112" t="s">
        <v>25607</v>
      </c>
      <c r="H8112" t="s">
        <v>7674</v>
      </c>
      <c r="I8112" t="s">
        <v>76</v>
      </c>
      <c r="J8112" t="s">
        <v>11376</v>
      </c>
    </row>
    <row r="8113" spans="1:10" x14ac:dyDescent="0.25">
      <c r="A8113" t="s">
        <v>25612</v>
      </c>
      <c r="B8113">
        <v>7.2</v>
      </c>
      <c r="C8113" t="s">
        <v>25613</v>
      </c>
      <c r="D8113" t="s">
        <v>4804</v>
      </c>
      <c r="E8113" t="s">
        <v>25606</v>
      </c>
      <c r="F8113" t="s">
        <v>7672</v>
      </c>
      <c r="G8113" t="s">
        <v>25607</v>
      </c>
      <c r="H8113" t="s">
        <v>7674</v>
      </c>
      <c r="I8113" t="s">
        <v>10802</v>
      </c>
      <c r="J8113" t="s">
        <v>11376</v>
      </c>
    </row>
    <row r="8114" spans="1:10" x14ac:dyDescent="0.25">
      <c r="A8114" t="s">
        <v>25614</v>
      </c>
      <c r="B8114">
        <v>7.2</v>
      </c>
      <c r="C8114" t="s">
        <v>25615</v>
      </c>
      <c r="D8114" t="s">
        <v>8530</v>
      </c>
      <c r="E8114" t="s">
        <v>25606</v>
      </c>
      <c r="F8114" t="s">
        <v>7672</v>
      </c>
      <c r="G8114" t="s">
        <v>25607</v>
      </c>
      <c r="H8114" t="s">
        <v>7674</v>
      </c>
      <c r="I8114" t="s">
        <v>10802</v>
      </c>
      <c r="J8114" t="s">
        <v>9114</v>
      </c>
    </row>
    <row r="8115" spans="1:10" x14ac:dyDescent="0.25">
      <c r="A8115" t="s">
        <v>25616</v>
      </c>
      <c r="B8115">
        <v>7.2</v>
      </c>
      <c r="C8115" t="s">
        <v>25617</v>
      </c>
      <c r="D8115" t="s">
        <v>5119</v>
      </c>
      <c r="E8115" t="s">
        <v>25606</v>
      </c>
      <c r="F8115" t="s">
        <v>7672</v>
      </c>
      <c r="G8115" t="s">
        <v>25607</v>
      </c>
      <c r="H8115" t="s">
        <v>7674</v>
      </c>
      <c r="I8115" t="s">
        <v>76</v>
      </c>
      <c r="J8115" t="s">
        <v>9114</v>
      </c>
    </row>
    <row r="8116" spans="1:10" x14ac:dyDescent="0.25">
      <c r="A8116" t="s">
        <v>25618</v>
      </c>
      <c r="B8116">
        <v>7.2</v>
      </c>
      <c r="C8116" t="s">
        <v>25619</v>
      </c>
      <c r="D8116" t="s">
        <v>321</v>
      </c>
      <c r="E8116" t="s">
        <v>25606</v>
      </c>
      <c r="F8116" t="s">
        <v>7672</v>
      </c>
      <c r="G8116" t="s">
        <v>25607</v>
      </c>
      <c r="H8116" t="s">
        <v>7674</v>
      </c>
      <c r="I8116" t="s">
        <v>935</v>
      </c>
      <c r="J8116" t="s">
        <v>9114</v>
      </c>
    </row>
    <row r="8117" spans="1:10" x14ac:dyDescent="0.25">
      <c r="A8117" t="s">
        <v>25620</v>
      </c>
      <c r="B8117">
        <v>7.2</v>
      </c>
      <c r="C8117" t="s">
        <v>25621</v>
      </c>
      <c r="D8117" t="s">
        <v>1811</v>
      </c>
      <c r="E8117" t="s">
        <v>25606</v>
      </c>
      <c r="F8117" t="s">
        <v>7672</v>
      </c>
      <c r="G8117" t="s">
        <v>25607</v>
      </c>
      <c r="H8117" t="s">
        <v>7674</v>
      </c>
      <c r="I8117" t="s">
        <v>1490</v>
      </c>
      <c r="J8117" t="s">
        <v>9114</v>
      </c>
    </row>
    <row r="8118" spans="1:10" x14ac:dyDescent="0.25">
      <c r="A8118" t="s">
        <v>25622</v>
      </c>
      <c r="B8118">
        <v>11.52</v>
      </c>
      <c r="C8118" t="s">
        <v>25623</v>
      </c>
      <c r="D8118" t="s">
        <v>843</v>
      </c>
      <c r="E8118" t="s">
        <v>25624</v>
      </c>
      <c r="F8118" t="s">
        <v>7672</v>
      </c>
      <c r="G8118" t="s">
        <v>25625</v>
      </c>
      <c r="H8118" t="s">
        <v>10298</v>
      </c>
      <c r="I8118" t="s">
        <v>9736</v>
      </c>
      <c r="J8118" t="s">
        <v>199</v>
      </c>
    </row>
    <row r="8119" spans="1:10" x14ac:dyDescent="0.25">
      <c r="A8119" t="s">
        <v>25626</v>
      </c>
      <c r="B8119">
        <v>11.52</v>
      </c>
      <c r="C8119" t="s">
        <v>25627</v>
      </c>
      <c r="D8119" t="s">
        <v>3258</v>
      </c>
      <c r="E8119" t="s">
        <v>25624</v>
      </c>
      <c r="F8119" t="s">
        <v>7672</v>
      </c>
      <c r="G8119" t="s">
        <v>25625</v>
      </c>
      <c r="H8119" t="s">
        <v>10298</v>
      </c>
      <c r="I8119" t="s">
        <v>15041</v>
      </c>
      <c r="J8119" t="s">
        <v>199</v>
      </c>
    </row>
    <row r="8120" spans="1:10" x14ac:dyDescent="0.25">
      <c r="A8120" t="s">
        <v>25628</v>
      </c>
      <c r="B8120">
        <v>11.52</v>
      </c>
      <c r="C8120" t="s">
        <v>25629</v>
      </c>
      <c r="D8120" t="s">
        <v>633</v>
      </c>
      <c r="E8120" t="s">
        <v>25624</v>
      </c>
      <c r="F8120" t="s">
        <v>7672</v>
      </c>
      <c r="G8120" t="s">
        <v>25625</v>
      </c>
      <c r="H8120" t="s">
        <v>10298</v>
      </c>
      <c r="I8120" t="s">
        <v>14842</v>
      </c>
      <c r="J8120" t="s">
        <v>199</v>
      </c>
    </row>
    <row r="8121" spans="1:10" x14ac:dyDescent="0.25">
      <c r="A8121" t="s">
        <v>25630</v>
      </c>
      <c r="B8121">
        <v>11.52</v>
      </c>
      <c r="C8121" t="s">
        <v>25631</v>
      </c>
      <c r="D8121" t="s">
        <v>301</v>
      </c>
      <c r="E8121" t="s">
        <v>25624</v>
      </c>
      <c r="F8121" t="s">
        <v>7672</v>
      </c>
      <c r="G8121" t="s">
        <v>25625</v>
      </c>
      <c r="H8121" t="s">
        <v>10298</v>
      </c>
      <c r="I8121" t="s">
        <v>9736</v>
      </c>
      <c r="J8121" t="s">
        <v>95</v>
      </c>
    </row>
    <row r="8122" spans="1:10" x14ac:dyDescent="0.25">
      <c r="A8122" t="s">
        <v>25632</v>
      </c>
      <c r="B8122">
        <v>11.52</v>
      </c>
      <c r="C8122" t="s">
        <v>25633</v>
      </c>
      <c r="D8122" t="s">
        <v>3258</v>
      </c>
      <c r="E8122" t="s">
        <v>25624</v>
      </c>
      <c r="F8122" t="s">
        <v>7672</v>
      </c>
      <c r="G8122" t="s">
        <v>25625</v>
      </c>
      <c r="H8122" t="s">
        <v>10298</v>
      </c>
      <c r="I8122" t="s">
        <v>15041</v>
      </c>
      <c r="J8122" t="s">
        <v>95</v>
      </c>
    </row>
    <row r="8123" spans="1:10" x14ac:dyDescent="0.25">
      <c r="A8123" t="s">
        <v>25634</v>
      </c>
      <c r="B8123">
        <v>11.52</v>
      </c>
      <c r="C8123" t="s">
        <v>25635</v>
      </c>
      <c r="D8123" t="s">
        <v>516</v>
      </c>
      <c r="E8123" t="s">
        <v>25624</v>
      </c>
      <c r="F8123" t="s">
        <v>7672</v>
      </c>
      <c r="G8123" t="s">
        <v>25625</v>
      </c>
      <c r="H8123" t="s">
        <v>10298</v>
      </c>
      <c r="I8123" t="s">
        <v>14842</v>
      </c>
      <c r="J8123" t="s">
        <v>95</v>
      </c>
    </row>
    <row r="8124" spans="1:10" x14ac:dyDescent="0.25">
      <c r="A8124" t="s">
        <v>25636</v>
      </c>
      <c r="B8124">
        <v>11.52</v>
      </c>
      <c r="C8124" t="s">
        <v>25637</v>
      </c>
      <c r="D8124" t="s">
        <v>124</v>
      </c>
      <c r="E8124" t="s">
        <v>25624</v>
      </c>
      <c r="F8124" t="s">
        <v>7672</v>
      </c>
      <c r="G8124" t="s">
        <v>25625</v>
      </c>
      <c r="H8124" t="s">
        <v>10298</v>
      </c>
      <c r="I8124" t="s">
        <v>15041</v>
      </c>
      <c r="J8124" t="s">
        <v>849</v>
      </c>
    </row>
    <row r="8125" spans="1:10" x14ac:dyDescent="0.25">
      <c r="A8125" t="s">
        <v>25638</v>
      </c>
      <c r="B8125">
        <v>11.52</v>
      </c>
      <c r="C8125" t="s">
        <v>25639</v>
      </c>
      <c r="D8125" t="s">
        <v>2910</v>
      </c>
      <c r="E8125" t="s">
        <v>25624</v>
      </c>
      <c r="F8125" t="s">
        <v>7672</v>
      </c>
      <c r="G8125" t="s">
        <v>25625</v>
      </c>
      <c r="H8125" t="s">
        <v>10298</v>
      </c>
      <c r="I8125" t="s">
        <v>14842</v>
      </c>
      <c r="J8125" t="s">
        <v>849</v>
      </c>
    </row>
    <row r="8126" spans="1:10" x14ac:dyDescent="0.25">
      <c r="A8126" t="s">
        <v>25640</v>
      </c>
      <c r="B8126">
        <v>11.52</v>
      </c>
      <c r="C8126" t="s">
        <v>25641</v>
      </c>
      <c r="D8126" t="s">
        <v>164</v>
      </c>
      <c r="E8126" t="s">
        <v>25624</v>
      </c>
      <c r="F8126" t="s">
        <v>7672</v>
      </c>
      <c r="G8126" t="s">
        <v>25625</v>
      </c>
      <c r="H8126" t="s">
        <v>10298</v>
      </c>
      <c r="I8126" t="s">
        <v>9736</v>
      </c>
      <c r="J8126" t="s">
        <v>849</v>
      </c>
    </row>
    <row r="8127" spans="1:10" x14ac:dyDescent="0.25">
      <c r="A8127" t="s">
        <v>25642</v>
      </c>
      <c r="B8127">
        <v>11.52</v>
      </c>
      <c r="C8127" t="s">
        <v>25643</v>
      </c>
      <c r="D8127" t="s">
        <v>342</v>
      </c>
      <c r="E8127" t="s">
        <v>25624</v>
      </c>
      <c r="F8127" t="s">
        <v>7672</v>
      </c>
      <c r="G8127" t="s">
        <v>25625</v>
      </c>
      <c r="H8127" t="s">
        <v>10298</v>
      </c>
      <c r="I8127" t="s">
        <v>9736</v>
      </c>
      <c r="J8127" t="s">
        <v>286</v>
      </c>
    </row>
    <row r="8128" spans="1:10" x14ac:dyDescent="0.25">
      <c r="A8128" t="s">
        <v>25644</v>
      </c>
      <c r="B8128">
        <v>6</v>
      </c>
      <c r="C8128" t="s">
        <v>25645</v>
      </c>
      <c r="D8128" t="s">
        <v>742</v>
      </c>
      <c r="E8128" t="s">
        <v>7239</v>
      </c>
      <c r="F8128" t="s">
        <v>7672</v>
      </c>
      <c r="G8128" t="s">
        <v>25646</v>
      </c>
      <c r="H8128" t="s">
        <v>11496</v>
      </c>
      <c r="I8128" t="s">
        <v>25647</v>
      </c>
      <c r="J8128" t="s">
        <v>100</v>
      </c>
    </row>
    <row r="8129" spans="1:10" x14ac:dyDescent="0.25">
      <c r="A8129" t="s">
        <v>7236</v>
      </c>
      <c r="B8129">
        <v>6</v>
      </c>
      <c r="C8129" t="s">
        <v>7238</v>
      </c>
      <c r="D8129" t="s">
        <v>296</v>
      </c>
      <c r="E8129" t="s">
        <v>7239</v>
      </c>
      <c r="F8129" t="s">
        <v>7672</v>
      </c>
      <c r="G8129" t="s">
        <v>25646</v>
      </c>
      <c r="H8129" t="s">
        <v>11496</v>
      </c>
      <c r="I8129" t="s">
        <v>25648</v>
      </c>
      <c r="J8129" t="s">
        <v>164</v>
      </c>
    </row>
    <row r="8130" spans="1:10" x14ac:dyDescent="0.25">
      <c r="A8130" t="s">
        <v>25649</v>
      </c>
      <c r="B8130">
        <v>6</v>
      </c>
      <c r="C8130" t="s">
        <v>25650</v>
      </c>
      <c r="D8130" t="s">
        <v>2072</v>
      </c>
      <c r="E8130" t="s">
        <v>7239</v>
      </c>
      <c r="F8130" t="s">
        <v>7672</v>
      </c>
      <c r="G8130" t="s">
        <v>25646</v>
      </c>
      <c r="H8130" t="s">
        <v>11496</v>
      </c>
      <c r="I8130" t="s">
        <v>25647</v>
      </c>
      <c r="J8130" t="s">
        <v>164</v>
      </c>
    </row>
    <row r="8131" spans="1:10" x14ac:dyDescent="0.25">
      <c r="A8131" t="s">
        <v>25651</v>
      </c>
      <c r="B8131">
        <v>9.120000000000001</v>
      </c>
      <c r="C8131" t="s">
        <v>25652</v>
      </c>
      <c r="D8131" t="s">
        <v>725</v>
      </c>
      <c r="E8131" t="s">
        <v>25653</v>
      </c>
      <c r="F8131" t="s">
        <v>7672</v>
      </c>
      <c r="G8131" t="s">
        <v>25654</v>
      </c>
      <c r="H8131" t="s">
        <v>11037</v>
      </c>
      <c r="I8131" t="s">
        <v>935</v>
      </c>
      <c r="J8131" t="s">
        <v>8427</v>
      </c>
    </row>
    <row r="8132" spans="1:10" x14ac:dyDescent="0.25">
      <c r="A8132" t="s">
        <v>25655</v>
      </c>
      <c r="B8132">
        <v>9.120000000000001</v>
      </c>
      <c r="C8132" t="s">
        <v>25656</v>
      </c>
      <c r="D8132" t="s">
        <v>1644</v>
      </c>
      <c r="E8132" t="s">
        <v>25653</v>
      </c>
      <c r="F8132" t="s">
        <v>7672</v>
      </c>
      <c r="G8132" t="s">
        <v>25654</v>
      </c>
      <c r="H8132" t="s">
        <v>11037</v>
      </c>
      <c r="I8132" t="s">
        <v>935</v>
      </c>
      <c r="J8132" t="s">
        <v>8439</v>
      </c>
    </row>
    <row r="8133" spans="1:10" x14ac:dyDescent="0.25">
      <c r="A8133" t="s">
        <v>25657</v>
      </c>
      <c r="B8133">
        <v>9.120000000000001</v>
      </c>
      <c r="C8133" t="s">
        <v>25658</v>
      </c>
      <c r="D8133" t="s">
        <v>720</v>
      </c>
      <c r="E8133" t="s">
        <v>25653</v>
      </c>
      <c r="F8133" t="s">
        <v>7672</v>
      </c>
      <c r="G8133" t="s">
        <v>25654</v>
      </c>
      <c r="H8133" t="s">
        <v>11037</v>
      </c>
      <c r="I8133" t="s">
        <v>935</v>
      </c>
      <c r="J8133" t="s">
        <v>8451</v>
      </c>
    </row>
    <row r="8134" spans="1:10" x14ac:dyDescent="0.25">
      <c r="A8134" t="s">
        <v>25659</v>
      </c>
      <c r="B8134">
        <v>8.4</v>
      </c>
      <c r="C8134" t="s">
        <v>25660</v>
      </c>
      <c r="D8134" t="s">
        <v>385</v>
      </c>
      <c r="E8134" t="s">
        <v>25661</v>
      </c>
      <c r="F8134" t="s">
        <v>7672</v>
      </c>
      <c r="G8134" t="s">
        <v>25662</v>
      </c>
      <c r="H8134" t="s">
        <v>11381</v>
      </c>
      <c r="I8134" t="s">
        <v>76</v>
      </c>
      <c r="J8134" t="s">
        <v>7675</v>
      </c>
    </row>
    <row r="8135" spans="1:10" x14ac:dyDescent="0.25">
      <c r="A8135" t="s">
        <v>25663</v>
      </c>
      <c r="B8135">
        <v>8.4</v>
      </c>
      <c r="C8135" t="s">
        <v>25664</v>
      </c>
      <c r="D8135" t="s">
        <v>250</v>
      </c>
      <c r="E8135" t="s">
        <v>25661</v>
      </c>
      <c r="F8135" t="s">
        <v>7672</v>
      </c>
      <c r="G8135" t="s">
        <v>25662</v>
      </c>
      <c r="H8135" t="s">
        <v>11381</v>
      </c>
      <c r="I8135" t="s">
        <v>18985</v>
      </c>
      <c r="J8135" t="s">
        <v>7675</v>
      </c>
    </row>
    <row r="8136" spans="1:10" x14ac:dyDescent="0.25">
      <c r="A8136" t="s">
        <v>25665</v>
      </c>
      <c r="B8136">
        <v>8.4</v>
      </c>
      <c r="C8136" t="s">
        <v>25666</v>
      </c>
      <c r="D8136" t="s">
        <v>199</v>
      </c>
      <c r="E8136" t="s">
        <v>25661</v>
      </c>
      <c r="F8136" t="s">
        <v>7672</v>
      </c>
      <c r="G8136" t="s">
        <v>25662</v>
      </c>
      <c r="H8136" t="s">
        <v>11381</v>
      </c>
      <c r="I8136" t="s">
        <v>278</v>
      </c>
      <c r="J8136" t="s">
        <v>7675</v>
      </c>
    </row>
    <row r="8137" spans="1:10" x14ac:dyDescent="0.25">
      <c r="A8137" t="s">
        <v>25667</v>
      </c>
      <c r="B8137">
        <v>8.4</v>
      </c>
      <c r="C8137" t="s">
        <v>25668</v>
      </c>
      <c r="D8137" t="s">
        <v>277</v>
      </c>
      <c r="E8137" t="s">
        <v>25661</v>
      </c>
      <c r="F8137" t="s">
        <v>7672</v>
      </c>
      <c r="G8137" t="s">
        <v>25662</v>
      </c>
      <c r="H8137" t="s">
        <v>11381</v>
      </c>
      <c r="I8137" t="s">
        <v>25669</v>
      </c>
      <c r="J8137" t="s">
        <v>7675</v>
      </c>
    </row>
    <row r="8138" spans="1:10" x14ac:dyDescent="0.25">
      <c r="A8138" t="s">
        <v>25670</v>
      </c>
      <c r="B8138">
        <v>8.4</v>
      </c>
      <c r="C8138" t="s">
        <v>25671</v>
      </c>
      <c r="D8138" t="s">
        <v>2697</v>
      </c>
      <c r="E8138" t="s">
        <v>25661</v>
      </c>
      <c r="F8138" t="s">
        <v>7672</v>
      </c>
      <c r="G8138" t="s">
        <v>25662</v>
      </c>
      <c r="H8138" t="s">
        <v>11381</v>
      </c>
      <c r="I8138" t="s">
        <v>25672</v>
      </c>
      <c r="J8138" t="s">
        <v>7675</v>
      </c>
    </row>
    <row r="8139" spans="1:10" x14ac:dyDescent="0.25">
      <c r="A8139" t="s">
        <v>25673</v>
      </c>
      <c r="B8139">
        <v>8.4</v>
      </c>
      <c r="C8139" t="s">
        <v>25674</v>
      </c>
      <c r="D8139" t="s">
        <v>106</v>
      </c>
      <c r="E8139" t="s">
        <v>25661</v>
      </c>
      <c r="F8139" t="s">
        <v>7672</v>
      </c>
      <c r="G8139" t="s">
        <v>25662</v>
      </c>
      <c r="H8139" t="s">
        <v>11381</v>
      </c>
      <c r="I8139" t="s">
        <v>76</v>
      </c>
      <c r="J8139" t="s">
        <v>7686</v>
      </c>
    </row>
    <row r="8140" spans="1:10" x14ac:dyDescent="0.25">
      <c r="A8140" t="s">
        <v>25675</v>
      </c>
      <c r="B8140">
        <v>8.4</v>
      </c>
      <c r="C8140" t="s">
        <v>25676</v>
      </c>
      <c r="D8140" t="s">
        <v>131</v>
      </c>
      <c r="E8140" t="s">
        <v>25661</v>
      </c>
      <c r="F8140" t="s">
        <v>7672</v>
      </c>
      <c r="G8140" t="s">
        <v>25662</v>
      </c>
      <c r="H8140" t="s">
        <v>11381</v>
      </c>
      <c r="I8140" t="s">
        <v>25672</v>
      </c>
      <c r="J8140" t="s">
        <v>7686</v>
      </c>
    </row>
    <row r="8141" spans="1:10" x14ac:dyDescent="0.25">
      <c r="A8141" t="s">
        <v>25677</v>
      </c>
      <c r="B8141">
        <v>8.4</v>
      </c>
      <c r="C8141" t="s">
        <v>25678</v>
      </c>
      <c r="D8141" t="s">
        <v>450</v>
      </c>
      <c r="E8141" t="s">
        <v>25661</v>
      </c>
      <c r="F8141" t="s">
        <v>7672</v>
      </c>
      <c r="G8141" t="s">
        <v>25662</v>
      </c>
      <c r="H8141" t="s">
        <v>11381</v>
      </c>
      <c r="I8141" t="s">
        <v>278</v>
      </c>
      <c r="J8141" t="s">
        <v>7686</v>
      </c>
    </row>
    <row r="8142" spans="1:10" x14ac:dyDescent="0.25">
      <c r="A8142" t="s">
        <v>25679</v>
      </c>
      <c r="B8142">
        <v>8.4</v>
      </c>
      <c r="C8142" t="s">
        <v>25680</v>
      </c>
      <c r="D8142" t="s">
        <v>234</v>
      </c>
      <c r="E8142" t="s">
        <v>25661</v>
      </c>
      <c r="F8142" t="s">
        <v>7672</v>
      </c>
      <c r="G8142" t="s">
        <v>25662</v>
      </c>
      <c r="H8142" t="s">
        <v>11381</v>
      </c>
      <c r="I8142" t="s">
        <v>18985</v>
      </c>
      <c r="J8142" t="s">
        <v>7686</v>
      </c>
    </row>
    <row r="8143" spans="1:10" x14ac:dyDescent="0.25">
      <c r="A8143" t="s">
        <v>25681</v>
      </c>
      <c r="B8143">
        <v>8.4</v>
      </c>
      <c r="C8143" t="s">
        <v>25682</v>
      </c>
      <c r="D8143" t="s">
        <v>269</v>
      </c>
      <c r="E8143" t="s">
        <v>25661</v>
      </c>
      <c r="F8143" t="s">
        <v>7672</v>
      </c>
      <c r="G8143" t="s">
        <v>25662</v>
      </c>
      <c r="H8143" t="s">
        <v>11381</v>
      </c>
      <c r="I8143" t="s">
        <v>25669</v>
      </c>
      <c r="J8143" t="s">
        <v>7686</v>
      </c>
    </row>
    <row r="8144" spans="1:10" x14ac:dyDescent="0.25">
      <c r="A8144" t="s">
        <v>25683</v>
      </c>
      <c r="B8144">
        <v>8.4</v>
      </c>
      <c r="C8144" t="s">
        <v>25684</v>
      </c>
      <c r="D8144" t="s">
        <v>1621</v>
      </c>
      <c r="E8144" t="s">
        <v>25661</v>
      </c>
      <c r="F8144" t="s">
        <v>7672</v>
      </c>
      <c r="G8144" t="s">
        <v>25662</v>
      </c>
      <c r="H8144" t="s">
        <v>11381</v>
      </c>
      <c r="I8144" t="s">
        <v>25672</v>
      </c>
      <c r="J8144" t="s">
        <v>7703</v>
      </c>
    </row>
    <row r="8145" spans="1:10" x14ac:dyDescent="0.25">
      <c r="A8145" t="s">
        <v>25685</v>
      </c>
      <c r="B8145">
        <v>8.4</v>
      </c>
      <c r="C8145" t="s">
        <v>25686</v>
      </c>
      <c r="D8145" t="s">
        <v>835</v>
      </c>
      <c r="E8145" t="s">
        <v>25661</v>
      </c>
      <c r="F8145" t="s">
        <v>7672</v>
      </c>
      <c r="G8145" t="s">
        <v>25662</v>
      </c>
      <c r="H8145" t="s">
        <v>11381</v>
      </c>
      <c r="I8145" t="s">
        <v>76</v>
      </c>
      <c r="J8145" t="s">
        <v>7703</v>
      </c>
    </row>
    <row r="8146" spans="1:10" x14ac:dyDescent="0.25">
      <c r="A8146" t="s">
        <v>25687</v>
      </c>
      <c r="B8146">
        <v>8.4</v>
      </c>
      <c r="C8146" t="s">
        <v>25688</v>
      </c>
      <c r="D8146" t="s">
        <v>2910</v>
      </c>
      <c r="E8146" t="s">
        <v>25661</v>
      </c>
      <c r="F8146" t="s">
        <v>7672</v>
      </c>
      <c r="G8146" t="s">
        <v>25662</v>
      </c>
      <c r="H8146" t="s">
        <v>11381</v>
      </c>
      <c r="I8146" t="s">
        <v>18985</v>
      </c>
      <c r="J8146" t="s">
        <v>7703</v>
      </c>
    </row>
    <row r="8147" spans="1:10" x14ac:dyDescent="0.25">
      <c r="A8147" t="s">
        <v>25689</v>
      </c>
      <c r="B8147">
        <v>8.4</v>
      </c>
      <c r="C8147" t="s">
        <v>25690</v>
      </c>
      <c r="D8147" t="s">
        <v>903</v>
      </c>
      <c r="E8147" t="s">
        <v>25661</v>
      </c>
      <c r="F8147" t="s">
        <v>7672</v>
      </c>
      <c r="G8147" t="s">
        <v>25662</v>
      </c>
      <c r="H8147" t="s">
        <v>11381</v>
      </c>
      <c r="I8147" t="s">
        <v>278</v>
      </c>
      <c r="J8147" t="s">
        <v>7703</v>
      </c>
    </row>
    <row r="8148" spans="1:10" x14ac:dyDescent="0.25">
      <c r="A8148" t="s">
        <v>25691</v>
      </c>
      <c r="B8148">
        <v>8.4</v>
      </c>
      <c r="C8148" t="s">
        <v>25692</v>
      </c>
      <c r="D8148" t="s">
        <v>269</v>
      </c>
      <c r="E8148" t="s">
        <v>25661</v>
      </c>
      <c r="F8148" t="s">
        <v>7672</v>
      </c>
      <c r="G8148" t="s">
        <v>25662</v>
      </c>
      <c r="H8148" t="s">
        <v>11381</v>
      </c>
      <c r="I8148" t="s">
        <v>25669</v>
      </c>
      <c r="J8148" t="s">
        <v>7703</v>
      </c>
    </row>
    <row r="8149" spans="1:10" x14ac:dyDescent="0.25">
      <c r="A8149" t="s">
        <v>25693</v>
      </c>
      <c r="B8149">
        <v>8.4</v>
      </c>
      <c r="C8149" t="s">
        <v>25694</v>
      </c>
      <c r="D8149" t="s">
        <v>255</v>
      </c>
      <c r="E8149" t="s">
        <v>25661</v>
      </c>
      <c r="F8149" t="s">
        <v>7672</v>
      </c>
      <c r="G8149" t="s">
        <v>25662</v>
      </c>
      <c r="H8149" t="s">
        <v>11381</v>
      </c>
      <c r="I8149" t="s">
        <v>25672</v>
      </c>
      <c r="J8149" t="s">
        <v>7713</v>
      </c>
    </row>
    <row r="8150" spans="1:10" x14ac:dyDescent="0.25">
      <c r="A8150" t="s">
        <v>25695</v>
      </c>
      <c r="B8150">
        <v>8.4</v>
      </c>
      <c r="C8150" t="s">
        <v>25696</v>
      </c>
      <c r="D8150" t="s">
        <v>2253</v>
      </c>
      <c r="E8150" t="s">
        <v>25661</v>
      </c>
      <c r="F8150" t="s">
        <v>7672</v>
      </c>
      <c r="G8150" t="s">
        <v>25662</v>
      </c>
      <c r="H8150" t="s">
        <v>11381</v>
      </c>
      <c r="I8150" t="s">
        <v>18985</v>
      </c>
      <c r="J8150" t="s">
        <v>7713</v>
      </c>
    </row>
    <row r="8151" spans="1:10" x14ac:dyDescent="0.25">
      <c r="A8151" t="s">
        <v>25697</v>
      </c>
      <c r="B8151">
        <v>8.4</v>
      </c>
      <c r="C8151" t="s">
        <v>25698</v>
      </c>
      <c r="D8151" t="s">
        <v>352</v>
      </c>
      <c r="E8151" t="s">
        <v>25661</v>
      </c>
      <c r="F8151" t="s">
        <v>7672</v>
      </c>
      <c r="G8151" t="s">
        <v>25662</v>
      </c>
      <c r="H8151" t="s">
        <v>11381</v>
      </c>
      <c r="I8151" t="s">
        <v>76</v>
      </c>
      <c r="J8151" t="s">
        <v>7713</v>
      </c>
    </row>
    <row r="8152" spans="1:10" x14ac:dyDescent="0.25">
      <c r="A8152" t="s">
        <v>25699</v>
      </c>
      <c r="B8152">
        <v>8.4</v>
      </c>
      <c r="C8152" t="s">
        <v>25700</v>
      </c>
      <c r="D8152" t="s">
        <v>6257</v>
      </c>
      <c r="E8152" t="s">
        <v>25661</v>
      </c>
      <c r="F8152" t="s">
        <v>7672</v>
      </c>
      <c r="G8152" t="s">
        <v>25662</v>
      </c>
      <c r="H8152" t="s">
        <v>11381</v>
      </c>
      <c r="I8152" t="s">
        <v>278</v>
      </c>
      <c r="J8152" t="s">
        <v>7713</v>
      </c>
    </row>
    <row r="8153" spans="1:10" x14ac:dyDescent="0.25">
      <c r="A8153" t="s">
        <v>25701</v>
      </c>
      <c r="B8153">
        <v>8.4</v>
      </c>
      <c r="C8153" t="s">
        <v>25702</v>
      </c>
      <c r="D8153" t="s">
        <v>342</v>
      </c>
      <c r="E8153" t="s">
        <v>25661</v>
      </c>
      <c r="F8153" t="s">
        <v>7672</v>
      </c>
      <c r="G8153" t="s">
        <v>25662</v>
      </c>
      <c r="H8153" t="s">
        <v>11381</v>
      </c>
      <c r="I8153" t="s">
        <v>25672</v>
      </c>
      <c r="J8153" t="s">
        <v>7719</v>
      </c>
    </row>
    <row r="8154" spans="1:10" x14ac:dyDescent="0.25">
      <c r="A8154" t="s">
        <v>25703</v>
      </c>
      <c r="B8154">
        <v>8.4</v>
      </c>
      <c r="C8154" t="s">
        <v>25704</v>
      </c>
      <c r="D8154" t="s">
        <v>959</v>
      </c>
      <c r="E8154" t="s">
        <v>25661</v>
      </c>
      <c r="F8154" t="s">
        <v>7672</v>
      </c>
      <c r="G8154" t="s">
        <v>25662</v>
      </c>
      <c r="H8154" t="s">
        <v>11381</v>
      </c>
      <c r="I8154" t="s">
        <v>18985</v>
      </c>
      <c r="J8154" t="s">
        <v>7719</v>
      </c>
    </row>
    <row r="8155" spans="1:10" x14ac:dyDescent="0.25">
      <c r="A8155" t="s">
        <v>25705</v>
      </c>
      <c r="B8155">
        <v>8.4</v>
      </c>
      <c r="C8155" t="s">
        <v>25706</v>
      </c>
      <c r="D8155" t="s">
        <v>113</v>
      </c>
      <c r="E8155" t="s">
        <v>25661</v>
      </c>
      <c r="F8155" t="s">
        <v>7672</v>
      </c>
      <c r="G8155" t="s">
        <v>25662</v>
      </c>
      <c r="H8155" t="s">
        <v>11381</v>
      </c>
      <c r="I8155" t="s">
        <v>278</v>
      </c>
      <c r="J8155" t="s">
        <v>7719</v>
      </c>
    </row>
    <row r="8156" spans="1:10" x14ac:dyDescent="0.25">
      <c r="A8156" t="s">
        <v>25707</v>
      </c>
      <c r="B8156">
        <v>11.192</v>
      </c>
      <c r="C8156" t="s">
        <v>25708</v>
      </c>
      <c r="D8156" t="s">
        <v>164</v>
      </c>
      <c r="E8156" t="s">
        <v>25709</v>
      </c>
      <c r="F8156" t="s">
        <v>7672</v>
      </c>
      <c r="G8156" t="s">
        <v>25710</v>
      </c>
      <c r="H8156" t="s">
        <v>10298</v>
      </c>
      <c r="I8156" t="s">
        <v>76</v>
      </c>
      <c r="J8156" t="s">
        <v>8427</v>
      </c>
    </row>
    <row r="8157" spans="1:10" x14ac:dyDescent="0.25">
      <c r="A8157" t="s">
        <v>25711</v>
      </c>
      <c r="B8157">
        <v>9.36</v>
      </c>
      <c r="C8157" t="s">
        <v>25712</v>
      </c>
      <c r="D8157" t="s">
        <v>234</v>
      </c>
      <c r="E8157" t="s">
        <v>25713</v>
      </c>
      <c r="F8157" t="s">
        <v>7672</v>
      </c>
      <c r="G8157" t="s">
        <v>25714</v>
      </c>
      <c r="H8157" t="s">
        <v>25715</v>
      </c>
      <c r="I8157" t="s">
        <v>25716</v>
      </c>
      <c r="J8157" t="s">
        <v>25717</v>
      </c>
    </row>
    <row r="8158" spans="1:10" x14ac:dyDescent="0.25">
      <c r="A8158" t="s">
        <v>25718</v>
      </c>
      <c r="B8158">
        <v>9.36</v>
      </c>
      <c r="C8158" t="s">
        <v>25719</v>
      </c>
      <c r="D8158" t="s">
        <v>131</v>
      </c>
      <c r="E8158" t="s">
        <v>25713</v>
      </c>
      <c r="F8158" t="s">
        <v>7672</v>
      </c>
      <c r="G8158" t="s">
        <v>25714</v>
      </c>
      <c r="H8158" t="s">
        <v>25715</v>
      </c>
      <c r="I8158" t="s">
        <v>235</v>
      </c>
      <c r="J8158" t="s">
        <v>25720</v>
      </c>
    </row>
    <row r="8159" spans="1:10" x14ac:dyDescent="0.25">
      <c r="A8159" t="s">
        <v>25721</v>
      </c>
      <c r="B8159">
        <v>7.8400000000000007</v>
      </c>
      <c r="C8159" t="s">
        <v>25722</v>
      </c>
      <c r="D8159" t="s">
        <v>13257</v>
      </c>
      <c r="E8159" t="s">
        <v>25723</v>
      </c>
      <c r="F8159" t="s">
        <v>7672</v>
      </c>
      <c r="G8159" t="s">
        <v>25724</v>
      </c>
      <c r="H8159" t="s">
        <v>11381</v>
      </c>
      <c r="I8159" t="s">
        <v>25725</v>
      </c>
      <c r="J8159" t="s">
        <v>7675</v>
      </c>
    </row>
    <row r="8160" spans="1:10" x14ac:dyDescent="0.25">
      <c r="A8160" t="s">
        <v>25726</v>
      </c>
      <c r="B8160">
        <v>7.8400000000000007</v>
      </c>
      <c r="C8160" t="s">
        <v>25727</v>
      </c>
      <c r="D8160" t="s">
        <v>25728</v>
      </c>
      <c r="E8160" t="s">
        <v>25723</v>
      </c>
      <c r="F8160" t="s">
        <v>7672</v>
      </c>
      <c r="G8160" t="s">
        <v>25724</v>
      </c>
      <c r="H8160" t="s">
        <v>11381</v>
      </c>
      <c r="I8160" t="s">
        <v>25725</v>
      </c>
      <c r="J8160" t="s">
        <v>7686</v>
      </c>
    </row>
    <row r="8161" spans="1:10" x14ac:dyDescent="0.25">
      <c r="A8161" t="s">
        <v>25729</v>
      </c>
      <c r="B8161">
        <v>7.8400000000000007</v>
      </c>
      <c r="C8161" t="s">
        <v>25730</v>
      </c>
      <c r="D8161" t="s">
        <v>25731</v>
      </c>
      <c r="E8161" t="s">
        <v>25723</v>
      </c>
      <c r="F8161" t="s">
        <v>7672</v>
      </c>
      <c r="G8161" t="s">
        <v>25724</v>
      </c>
      <c r="H8161" t="s">
        <v>11381</v>
      </c>
      <c r="I8161" t="s">
        <v>25725</v>
      </c>
      <c r="J8161" t="s">
        <v>7703</v>
      </c>
    </row>
    <row r="8162" spans="1:10" x14ac:dyDescent="0.25">
      <c r="A8162" t="s">
        <v>25732</v>
      </c>
      <c r="B8162">
        <v>7.8400000000000007</v>
      </c>
      <c r="C8162" t="s">
        <v>25733</v>
      </c>
      <c r="D8162" t="s">
        <v>3394</v>
      </c>
      <c r="E8162" t="s">
        <v>25723</v>
      </c>
      <c r="F8162" t="s">
        <v>7672</v>
      </c>
      <c r="G8162" t="s">
        <v>25724</v>
      </c>
      <c r="H8162" t="s">
        <v>11381</v>
      </c>
      <c r="I8162" t="s">
        <v>25725</v>
      </c>
      <c r="J8162" t="s">
        <v>7713</v>
      </c>
    </row>
    <row r="8163" spans="1:10" x14ac:dyDescent="0.25">
      <c r="A8163" t="s">
        <v>25734</v>
      </c>
      <c r="B8163">
        <v>108</v>
      </c>
      <c r="C8163" t="s">
        <v>25735</v>
      </c>
      <c r="D8163" t="s">
        <v>8618</v>
      </c>
      <c r="E8163" t="s">
        <v>25736</v>
      </c>
      <c r="F8163" t="s">
        <v>7672</v>
      </c>
      <c r="G8163" t="s">
        <v>25737</v>
      </c>
      <c r="H8163" t="s">
        <v>9693</v>
      </c>
      <c r="I8163" t="s">
        <v>18323</v>
      </c>
      <c r="J8163" t="s">
        <v>9694</v>
      </c>
    </row>
    <row r="8164" spans="1:10" x14ac:dyDescent="0.25">
      <c r="A8164" t="s">
        <v>25738</v>
      </c>
      <c r="B8164">
        <v>108</v>
      </c>
      <c r="C8164" t="s">
        <v>25739</v>
      </c>
      <c r="D8164" t="s">
        <v>4270</v>
      </c>
      <c r="E8164" t="s">
        <v>25740</v>
      </c>
      <c r="F8164" t="s">
        <v>7672</v>
      </c>
      <c r="G8164" t="s">
        <v>25741</v>
      </c>
      <c r="H8164" t="s">
        <v>9693</v>
      </c>
      <c r="I8164" t="s">
        <v>17521</v>
      </c>
      <c r="J8164" t="s">
        <v>9694</v>
      </c>
    </row>
    <row r="8165" spans="1:10" x14ac:dyDescent="0.25">
      <c r="A8165" t="s">
        <v>25742</v>
      </c>
      <c r="B8165">
        <v>17.992000000000001</v>
      </c>
      <c r="C8165" t="s">
        <v>25743</v>
      </c>
      <c r="D8165" t="s">
        <v>53</v>
      </c>
      <c r="E8165" t="s">
        <v>25744</v>
      </c>
      <c r="F8165" t="s">
        <v>7672</v>
      </c>
      <c r="G8165" t="s">
        <v>25745</v>
      </c>
      <c r="H8165" t="s">
        <v>8301</v>
      </c>
      <c r="I8165" t="s">
        <v>76</v>
      </c>
      <c r="J8165" t="s">
        <v>106</v>
      </c>
    </row>
    <row r="8166" spans="1:10" x14ac:dyDescent="0.25">
      <c r="A8166" t="s">
        <v>25746</v>
      </c>
      <c r="B8166">
        <v>17.992000000000001</v>
      </c>
      <c r="C8166" t="s">
        <v>25747</v>
      </c>
      <c r="D8166" t="s">
        <v>131</v>
      </c>
      <c r="E8166" t="s">
        <v>25744</v>
      </c>
      <c r="F8166" t="s">
        <v>7672</v>
      </c>
      <c r="G8166" t="s">
        <v>25745</v>
      </c>
      <c r="H8166" t="s">
        <v>8301</v>
      </c>
      <c r="I8166" t="s">
        <v>25748</v>
      </c>
      <c r="J8166" t="s">
        <v>106</v>
      </c>
    </row>
    <row r="8167" spans="1:10" x14ac:dyDescent="0.25">
      <c r="A8167" t="s">
        <v>25749</v>
      </c>
      <c r="B8167">
        <v>17.992000000000001</v>
      </c>
      <c r="C8167" t="s">
        <v>25750</v>
      </c>
      <c r="D8167" t="s">
        <v>277</v>
      </c>
      <c r="E8167" t="s">
        <v>25744</v>
      </c>
      <c r="F8167" t="s">
        <v>7672</v>
      </c>
      <c r="G8167" t="s">
        <v>25745</v>
      </c>
      <c r="H8167" t="s">
        <v>8301</v>
      </c>
      <c r="I8167" t="s">
        <v>76</v>
      </c>
      <c r="J8167" t="s">
        <v>11421</v>
      </c>
    </row>
    <row r="8168" spans="1:10" x14ac:dyDescent="0.25">
      <c r="A8168" t="s">
        <v>25751</v>
      </c>
      <c r="B8168">
        <v>17.992000000000001</v>
      </c>
      <c r="C8168" t="s">
        <v>25752</v>
      </c>
      <c r="D8168" t="s">
        <v>330</v>
      </c>
      <c r="E8168" t="s">
        <v>25744</v>
      </c>
      <c r="F8168" t="s">
        <v>7672</v>
      </c>
      <c r="G8168" t="s">
        <v>25745</v>
      </c>
      <c r="H8168" t="s">
        <v>8301</v>
      </c>
      <c r="I8168" t="s">
        <v>25748</v>
      </c>
      <c r="J8168" t="s">
        <v>11421</v>
      </c>
    </row>
    <row r="8169" spans="1:10" x14ac:dyDescent="0.25">
      <c r="A8169" t="s">
        <v>25753</v>
      </c>
      <c r="B8169">
        <v>17.992000000000001</v>
      </c>
      <c r="C8169" t="s">
        <v>25754</v>
      </c>
      <c r="D8169" t="s">
        <v>742</v>
      </c>
      <c r="E8169" t="s">
        <v>25744</v>
      </c>
      <c r="F8169" t="s">
        <v>7672</v>
      </c>
      <c r="G8169" t="s">
        <v>25745</v>
      </c>
      <c r="H8169" t="s">
        <v>8301</v>
      </c>
      <c r="I8169" t="s">
        <v>25748</v>
      </c>
      <c r="J8169" t="s">
        <v>88</v>
      </c>
    </row>
    <row r="8170" spans="1:10" x14ac:dyDescent="0.25">
      <c r="A8170" t="s">
        <v>25755</v>
      </c>
      <c r="B8170">
        <v>17.992000000000001</v>
      </c>
      <c r="C8170" t="s">
        <v>25756</v>
      </c>
      <c r="D8170" t="s">
        <v>352</v>
      </c>
      <c r="E8170" t="s">
        <v>25744</v>
      </c>
      <c r="F8170" t="s">
        <v>7672</v>
      </c>
      <c r="G8170" t="s">
        <v>25745</v>
      </c>
      <c r="H8170" t="s">
        <v>8301</v>
      </c>
      <c r="I8170" t="s">
        <v>25748</v>
      </c>
      <c r="J8170" t="s">
        <v>7966</v>
      </c>
    </row>
    <row r="8171" spans="1:10" x14ac:dyDescent="0.25">
      <c r="A8171" t="s">
        <v>25757</v>
      </c>
      <c r="B8171">
        <v>17.992000000000001</v>
      </c>
      <c r="C8171" t="s">
        <v>25758</v>
      </c>
      <c r="D8171" t="s">
        <v>95</v>
      </c>
      <c r="E8171" t="s">
        <v>25744</v>
      </c>
      <c r="F8171" t="s">
        <v>7672</v>
      </c>
      <c r="G8171" t="s">
        <v>25745</v>
      </c>
      <c r="H8171" t="s">
        <v>8301</v>
      </c>
      <c r="I8171" t="s">
        <v>25748</v>
      </c>
      <c r="J8171" t="s">
        <v>131</v>
      </c>
    </row>
    <row r="8172" spans="1:10" x14ac:dyDescent="0.25">
      <c r="A8172" t="s">
        <v>25759</v>
      </c>
      <c r="B8172">
        <v>17.992000000000001</v>
      </c>
      <c r="C8172" t="s">
        <v>25760</v>
      </c>
      <c r="D8172" t="s">
        <v>286</v>
      </c>
      <c r="E8172" t="s">
        <v>25744</v>
      </c>
      <c r="F8172" t="s">
        <v>7672</v>
      </c>
      <c r="G8172" t="s">
        <v>25745</v>
      </c>
      <c r="H8172" t="s">
        <v>8301</v>
      </c>
      <c r="I8172" t="s">
        <v>25748</v>
      </c>
      <c r="J8172" t="s">
        <v>269</v>
      </c>
    </row>
    <row r="8173" spans="1:10" x14ac:dyDescent="0.25">
      <c r="A8173" t="s">
        <v>25761</v>
      </c>
      <c r="B8173">
        <v>17.992000000000001</v>
      </c>
      <c r="C8173" t="s">
        <v>25762</v>
      </c>
      <c r="D8173" t="s">
        <v>286</v>
      </c>
      <c r="E8173" t="s">
        <v>25744</v>
      </c>
      <c r="F8173" t="s">
        <v>7672</v>
      </c>
      <c r="G8173" t="s">
        <v>25745</v>
      </c>
      <c r="H8173" t="s">
        <v>8301</v>
      </c>
      <c r="I8173" t="s">
        <v>25748</v>
      </c>
      <c r="J8173" t="s">
        <v>7968</v>
      </c>
    </row>
    <row r="8174" spans="1:10" x14ac:dyDescent="0.25">
      <c r="A8174" t="s">
        <v>25763</v>
      </c>
      <c r="B8174">
        <v>17.992000000000001</v>
      </c>
      <c r="C8174" t="s">
        <v>25764</v>
      </c>
      <c r="D8174" t="s">
        <v>2697</v>
      </c>
      <c r="E8174" t="s">
        <v>25744</v>
      </c>
      <c r="F8174" t="s">
        <v>7672</v>
      </c>
      <c r="G8174" t="s">
        <v>25745</v>
      </c>
      <c r="H8174" t="s">
        <v>8301</v>
      </c>
      <c r="I8174" t="s">
        <v>25748</v>
      </c>
      <c r="J8174" t="s">
        <v>576</v>
      </c>
    </row>
    <row r="8175" spans="1:10" x14ac:dyDescent="0.25">
      <c r="A8175" t="s">
        <v>25765</v>
      </c>
      <c r="B8175">
        <v>17.992000000000001</v>
      </c>
      <c r="C8175" t="s">
        <v>25766</v>
      </c>
      <c r="D8175" t="s">
        <v>95</v>
      </c>
      <c r="E8175" t="s">
        <v>25744</v>
      </c>
      <c r="F8175" t="s">
        <v>7672</v>
      </c>
      <c r="G8175" t="s">
        <v>25745</v>
      </c>
      <c r="H8175" t="s">
        <v>8301</v>
      </c>
      <c r="I8175" t="s">
        <v>25748</v>
      </c>
      <c r="J8175" t="s">
        <v>7969</v>
      </c>
    </row>
    <row r="8176" spans="1:10" x14ac:dyDescent="0.25">
      <c r="A8176" t="s">
        <v>25767</v>
      </c>
      <c r="B8176">
        <v>17.992000000000001</v>
      </c>
      <c r="C8176" t="s">
        <v>25768</v>
      </c>
      <c r="D8176" t="s">
        <v>269</v>
      </c>
      <c r="E8176" t="s">
        <v>25744</v>
      </c>
      <c r="F8176" t="s">
        <v>7672</v>
      </c>
      <c r="G8176" t="s">
        <v>25745</v>
      </c>
      <c r="H8176" t="s">
        <v>8301</v>
      </c>
      <c r="I8176" t="s">
        <v>25748</v>
      </c>
      <c r="J8176" t="s">
        <v>282</v>
      </c>
    </row>
    <row r="8177" spans="1:10" x14ac:dyDescent="0.25">
      <c r="A8177" t="s">
        <v>25769</v>
      </c>
      <c r="B8177">
        <v>17.992000000000001</v>
      </c>
      <c r="C8177" t="s">
        <v>25770</v>
      </c>
      <c r="D8177" t="s">
        <v>53</v>
      </c>
      <c r="E8177" t="s">
        <v>25744</v>
      </c>
      <c r="F8177" t="s">
        <v>7672</v>
      </c>
      <c r="G8177" t="s">
        <v>25745</v>
      </c>
      <c r="H8177" t="s">
        <v>8301</v>
      </c>
      <c r="I8177" t="s">
        <v>76</v>
      </c>
      <c r="J8177" t="s">
        <v>282</v>
      </c>
    </row>
    <row r="8178" spans="1:10" x14ac:dyDescent="0.25">
      <c r="A8178" t="s">
        <v>25771</v>
      </c>
      <c r="B8178">
        <v>19.04</v>
      </c>
      <c r="C8178" t="s">
        <v>25772</v>
      </c>
      <c r="D8178" t="s">
        <v>100</v>
      </c>
      <c r="E8178" t="s">
        <v>25773</v>
      </c>
      <c r="F8178" t="s">
        <v>7672</v>
      </c>
      <c r="G8178" t="s">
        <v>25774</v>
      </c>
      <c r="H8178" t="s">
        <v>8087</v>
      </c>
      <c r="I8178" t="s">
        <v>25775</v>
      </c>
      <c r="J8178" t="s">
        <v>7942</v>
      </c>
    </row>
    <row r="8179" spans="1:10" x14ac:dyDescent="0.25">
      <c r="A8179" t="s">
        <v>25776</v>
      </c>
      <c r="B8179">
        <v>19.04</v>
      </c>
      <c r="C8179" t="s">
        <v>25777</v>
      </c>
      <c r="D8179" t="s">
        <v>106</v>
      </c>
      <c r="E8179" t="s">
        <v>25773</v>
      </c>
      <c r="F8179" t="s">
        <v>7672</v>
      </c>
      <c r="G8179" t="s">
        <v>25774</v>
      </c>
      <c r="H8179" t="s">
        <v>8087</v>
      </c>
      <c r="I8179" t="s">
        <v>551</v>
      </c>
      <c r="J8179" t="s">
        <v>7942</v>
      </c>
    </row>
    <row r="8180" spans="1:10" x14ac:dyDescent="0.25">
      <c r="A8180" t="s">
        <v>25778</v>
      </c>
      <c r="B8180">
        <v>19.04</v>
      </c>
      <c r="C8180" t="s">
        <v>25779</v>
      </c>
      <c r="D8180" t="s">
        <v>255</v>
      </c>
      <c r="E8180" t="s">
        <v>25773</v>
      </c>
      <c r="F8180" t="s">
        <v>7672</v>
      </c>
      <c r="G8180" t="s">
        <v>25774</v>
      </c>
      <c r="H8180" t="s">
        <v>8087</v>
      </c>
      <c r="I8180" t="s">
        <v>25775</v>
      </c>
      <c r="J8180" t="s">
        <v>7981</v>
      </c>
    </row>
    <row r="8181" spans="1:10" x14ac:dyDescent="0.25">
      <c r="A8181" t="s">
        <v>25780</v>
      </c>
      <c r="B8181">
        <v>19.04</v>
      </c>
      <c r="C8181" t="s">
        <v>25781</v>
      </c>
      <c r="D8181" t="s">
        <v>255</v>
      </c>
      <c r="E8181" t="s">
        <v>25773</v>
      </c>
      <c r="F8181" t="s">
        <v>7672</v>
      </c>
      <c r="G8181" t="s">
        <v>25774</v>
      </c>
      <c r="H8181" t="s">
        <v>8087</v>
      </c>
      <c r="I8181" t="s">
        <v>551</v>
      </c>
      <c r="J8181" t="s">
        <v>7981</v>
      </c>
    </row>
    <row r="8182" spans="1:10" x14ac:dyDescent="0.25">
      <c r="A8182" t="s">
        <v>25782</v>
      </c>
      <c r="B8182">
        <v>7.2</v>
      </c>
      <c r="C8182" t="s">
        <v>25783</v>
      </c>
      <c r="D8182" t="s">
        <v>582</v>
      </c>
      <c r="E8182" t="s">
        <v>25784</v>
      </c>
      <c r="F8182" t="s">
        <v>7672</v>
      </c>
      <c r="G8182" t="s">
        <v>25785</v>
      </c>
      <c r="H8182" t="s">
        <v>11496</v>
      </c>
      <c r="I8182" t="s">
        <v>4821</v>
      </c>
      <c r="J8182" t="s">
        <v>9423</v>
      </c>
    </row>
    <row r="8183" spans="1:10" x14ac:dyDescent="0.25">
      <c r="A8183" t="s">
        <v>25786</v>
      </c>
      <c r="B8183">
        <v>7.2</v>
      </c>
      <c r="C8183" t="s">
        <v>25787</v>
      </c>
      <c r="D8183" t="s">
        <v>301</v>
      </c>
      <c r="E8183" t="s">
        <v>25784</v>
      </c>
      <c r="F8183" t="s">
        <v>7672</v>
      </c>
      <c r="G8183" t="s">
        <v>25785</v>
      </c>
      <c r="H8183" t="s">
        <v>11496</v>
      </c>
      <c r="I8183" t="s">
        <v>4821</v>
      </c>
      <c r="J8183" t="s">
        <v>10862</v>
      </c>
    </row>
    <row r="8184" spans="1:10" x14ac:dyDescent="0.25">
      <c r="A8184" t="s">
        <v>25788</v>
      </c>
      <c r="B8184">
        <v>7.2</v>
      </c>
      <c r="C8184" t="s">
        <v>25789</v>
      </c>
      <c r="D8184" t="s">
        <v>1579</v>
      </c>
      <c r="E8184" t="s">
        <v>25784</v>
      </c>
      <c r="F8184" t="s">
        <v>7672</v>
      </c>
      <c r="G8184" t="s">
        <v>25785</v>
      </c>
      <c r="H8184" t="s">
        <v>11496</v>
      </c>
      <c r="I8184" t="s">
        <v>4821</v>
      </c>
      <c r="J8184" t="s">
        <v>9426</v>
      </c>
    </row>
    <row r="8185" spans="1:10" x14ac:dyDescent="0.25">
      <c r="A8185" t="s">
        <v>25790</v>
      </c>
      <c r="B8185">
        <v>7.2</v>
      </c>
      <c r="C8185" t="s">
        <v>25791</v>
      </c>
      <c r="D8185" t="s">
        <v>282</v>
      </c>
      <c r="E8185" t="s">
        <v>25784</v>
      </c>
      <c r="F8185" t="s">
        <v>7672</v>
      </c>
      <c r="G8185" t="s">
        <v>25785</v>
      </c>
      <c r="H8185" t="s">
        <v>11496</v>
      </c>
      <c r="I8185" t="s">
        <v>4821</v>
      </c>
      <c r="J8185" t="s">
        <v>13084</v>
      </c>
    </row>
    <row r="8186" spans="1:10" x14ac:dyDescent="0.25">
      <c r="A8186" t="s">
        <v>25792</v>
      </c>
      <c r="B8186">
        <v>7.2</v>
      </c>
      <c r="C8186" t="s">
        <v>25793</v>
      </c>
      <c r="D8186" t="s">
        <v>2022</v>
      </c>
      <c r="E8186" t="s">
        <v>25794</v>
      </c>
      <c r="F8186" t="s">
        <v>7672</v>
      </c>
      <c r="G8186" t="s">
        <v>25795</v>
      </c>
      <c r="H8186" t="s">
        <v>11496</v>
      </c>
      <c r="I8186" t="s">
        <v>145</v>
      </c>
      <c r="J8186" t="s">
        <v>9423</v>
      </c>
    </row>
    <row r="8187" spans="1:10" x14ac:dyDescent="0.25">
      <c r="A8187" t="s">
        <v>25796</v>
      </c>
      <c r="B8187">
        <v>7.2</v>
      </c>
      <c r="C8187" t="s">
        <v>25797</v>
      </c>
      <c r="D8187" t="s">
        <v>4100</v>
      </c>
      <c r="E8187" t="s">
        <v>25794</v>
      </c>
      <c r="F8187" t="s">
        <v>7672</v>
      </c>
      <c r="G8187" t="s">
        <v>25795</v>
      </c>
      <c r="H8187" t="s">
        <v>11496</v>
      </c>
      <c r="I8187" t="s">
        <v>145</v>
      </c>
      <c r="J8187" t="s">
        <v>10862</v>
      </c>
    </row>
    <row r="8188" spans="1:10" x14ac:dyDescent="0.25">
      <c r="A8188" t="s">
        <v>25798</v>
      </c>
      <c r="B8188">
        <v>7.2</v>
      </c>
      <c r="C8188" t="s">
        <v>25799</v>
      </c>
      <c r="D8188" t="s">
        <v>5592</v>
      </c>
      <c r="E8188" t="s">
        <v>25794</v>
      </c>
      <c r="F8188" t="s">
        <v>7672</v>
      </c>
      <c r="G8188" t="s">
        <v>25795</v>
      </c>
      <c r="H8188" t="s">
        <v>11496</v>
      </c>
      <c r="I8188" t="s">
        <v>145</v>
      </c>
      <c r="J8188" t="s">
        <v>9426</v>
      </c>
    </row>
    <row r="8189" spans="1:10" x14ac:dyDescent="0.25">
      <c r="A8189" t="s">
        <v>25800</v>
      </c>
      <c r="B8189">
        <v>7.2</v>
      </c>
      <c r="C8189" t="s">
        <v>25801</v>
      </c>
      <c r="D8189" t="s">
        <v>4327</v>
      </c>
      <c r="E8189" t="s">
        <v>25794</v>
      </c>
      <c r="F8189" t="s">
        <v>7672</v>
      </c>
      <c r="G8189" t="s">
        <v>25795</v>
      </c>
      <c r="H8189" t="s">
        <v>11496</v>
      </c>
      <c r="I8189" t="s">
        <v>145</v>
      </c>
      <c r="J8189" t="s">
        <v>13084</v>
      </c>
    </row>
    <row r="8190" spans="1:10" x14ac:dyDescent="0.25">
      <c r="A8190" t="s">
        <v>25802</v>
      </c>
      <c r="B8190">
        <v>7.2</v>
      </c>
      <c r="C8190" t="s">
        <v>25803</v>
      </c>
      <c r="D8190" t="s">
        <v>2198</v>
      </c>
      <c r="E8190" t="s">
        <v>25794</v>
      </c>
      <c r="F8190" t="s">
        <v>7672</v>
      </c>
      <c r="G8190" t="s">
        <v>25795</v>
      </c>
      <c r="H8190" t="s">
        <v>11496</v>
      </c>
      <c r="I8190" t="s">
        <v>145</v>
      </c>
      <c r="J8190" t="s">
        <v>11767</v>
      </c>
    </row>
    <row r="8191" spans="1:10" x14ac:dyDescent="0.25">
      <c r="A8191" t="s">
        <v>25804</v>
      </c>
      <c r="B8191">
        <v>7.2</v>
      </c>
      <c r="C8191" t="s">
        <v>25805</v>
      </c>
      <c r="D8191" t="s">
        <v>633</v>
      </c>
      <c r="E8191" t="s">
        <v>25794</v>
      </c>
      <c r="F8191" t="s">
        <v>7672</v>
      </c>
      <c r="G8191" t="s">
        <v>25795</v>
      </c>
      <c r="H8191" t="s">
        <v>11496</v>
      </c>
      <c r="I8191" t="s">
        <v>145</v>
      </c>
      <c r="J8191" t="s">
        <v>11582</v>
      </c>
    </row>
    <row r="8192" spans="1:10" x14ac:dyDescent="0.25">
      <c r="A8192" t="s">
        <v>25806</v>
      </c>
      <c r="B8192">
        <v>15.8</v>
      </c>
      <c r="C8192" t="s">
        <v>25807</v>
      </c>
      <c r="D8192" t="s">
        <v>255</v>
      </c>
      <c r="E8192" t="s">
        <v>25808</v>
      </c>
      <c r="F8192" t="s">
        <v>7672</v>
      </c>
      <c r="G8192" t="s">
        <v>25809</v>
      </c>
      <c r="H8192" t="s">
        <v>10321</v>
      </c>
      <c r="I8192" t="s">
        <v>25810</v>
      </c>
      <c r="J8192" t="s">
        <v>8427</v>
      </c>
    </row>
    <row r="8193" spans="1:10" x14ac:dyDescent="0.25">
      <c r="A8193" t="s">
        <v>25811</v>
      </c>
      <c r="B8193">
        <v>15.8</v>
      </c>
      <c r="C8193" t="s">
        <v>25812</v>
      </c>
      <c r="D8193" t="s">
        <v>903</v>
      </c>
      <c r="E8193" t="s">
        <v>25808</v>
      </c>
      <c r="F8193" t="s">
        <v>7672</v>
      </c>
      <c r="G8193" t="s">
        <v>25809</v>
      </c>
      <c r="H8193" t="s">
        <v>10321</v>
      </c>
      <c r="I8193" t="s">
        <v>25810</v>
      </c>
      <c r="J8193" t="s">
        <v>8439</v>
      </c>
    </row>
    <row r="8194" spans="1:10" x14ac:dyDescent="0.25">
      <c r="A8194" t="s">
        <v>25813</v>
      </c>
      <c r="B8194">
        <v>15.8</v>
      </c>
      <c r="C8194" t="s">
        <v>25814</v>
      </c>
      <c r="D8194" t="s">
        <v>301</v>
      </c>
      <c r="E8194" t="s">
        <v>25808</v>
      </c>
      <c r="F8194" t="s">
        <v>7672</v>
      </c>
      <c r="G8194" t="s">
        <v>25809</v>
      </c>
      <c r="H8194" t="s">
        <v>10321</v>
      </c>
      <c r="I8194" t="s">
        <v>145</v>
      </c>
      <c r="J8194" t="s">
        <v>8439</v>
      </c>
    </row>
    <row r="8195" spans="1:10" x14ac:dyDescent="0.25">
      <c r="A8195" t="s">
        <v>25815</v>
      </c>
      <c r="B8195">
        <v>15.8</v>
      </c>
      <c r="C8195" t="s">
        <v>25816</v>
      </c>
      <c r="D8195" t="s">
        <v>352</v>
      </c>
      <c r="E8195" t="s">
        <v>25808</v>
      </c>
      <c r="F8195" t="s">
        <v>7672</v>
      </c>
      <c r="G8195" t="s">
        <v>25809</v>
      </c>
      <c r="H8195" t="s">
        <v>10321</v>
      </c>
      <c r="I8195" t="s">
        <v>20177</v>
      </c>
      <c r="J8195" t="s">
        <v>8451</v>
      </c>
    </row>
    <row r="8196" spans="1:10" x14ac:dyDescent="0.25">
      <c r="A8196" t="s">
        <v>25817</v>
      </c>
      <c r="B8196">
        <v>15.8</v>
      </c>
      <c r="C8196" t="s">
        <v>25818</v>
      </c>
      <c r="D8196" t="s">
        <v>321</v>
      </c>
      <c r="E8196" t="s">
        <v>25808</v>
      </c>
      <c r="F8196" t="s">
        <v>7672</v>
      </c>
      <c r="G8196" t="s">
        <v>25809</v>
      </c>
      <c r="H8196" t="s">
        <v>10321</v>
      </c>
      <c r="I8196" t="s">
        <v>25810</v>
      </c>
      <c r="J8196" t="s">
        <v>8451</v>
      </c>
    </row>
    <row r="8197" spans="1:10" x14ac:dyDescent="0.25">
      <c r="A8197" t="s">
        <v>25819</v>
      </c>
      <c r="B8197">
        <v>15.8</v>
      </c>
      <c r="C8197" t="s">
        <v>25820</v>
      </c>
      <c r="D8197" t="s">
        <v>2253</v>
      </c>
      <c r="E8197" t="s">
        <v>25808</v>
      </c>
      <c r="F8197" t="s">
        <v>7672</v>
      </c>
      <c r="G8197" t="s">
        <v>25809</v>
      </c>
      <c r="H8197" t="s">
        <v>10321</v>
      </c>
      <c r="I8197" t="s">
        <v>145</v>
      </c>
      <c r="J8197" t="s">
        <v>8451</v>
      </c>
    </row>
    <row r="8198" spans="1:10" x14ac:dyDescent="0.25">
      <c r="A8198" t="s">
        <v>25821</v>
      </c>
      <c r="B8198">
        <v>9.2319999999999993</v>
      </c>
      <c r="C8198" t="s">
        <v>25822</v>
      </c>
      <c r="D8198" t="s">
        <v>582</v>
      </c>
      <c r="E8198" t="s">
        <v>25823</v>
      </c>
      <c r="F8198" t="s">
        <v>7672</v>
      </c>
      <c r="G8198" t="s">
        <v>25824</v>
      </c>
      <c r="H8198" t="s">
        <v>10298</v>
      </c>
      <c r="I8198" t="s">
        <v>1243</v>
      </c>
      <c r="J8198" t="s">
        <v>8427</v>
      </c>
    </row>
    <row r="8199" spans="1:10" x14ac:dyDescent="0.25">
      <c r="A8199" t="s">
        <v>25825</v>
      </c>
      <c r="B8199">
        <v>9.2319999999999993</v>
      </c>
      <c r="C8199" t="s">
        <v>25826</v>
      </c>
      <c r="D8199" t="s">
        <v>1236</v>
      </c>
      <c r="E8199" t="s">
        <v>25823</v>
      </c>
      <c r="F8199" t="s">
        <v>7672</v>
      </c>
      <c r="G8199" t="s">
        <v>25824</v>
      </c>
      <c r="H8199" t="s">
        <v>10298</v>
      </c>
      <c r="I8199" t="s">
        <v>76</v>
      </c>
      <c r="J8199" t="s">
        <v>8427</v>
      </c>
    </row>
    <row r="8200" spans="1:10" x14ac:dyDescent="0.25">
      <c r="A8200" t="s">
        <v>25827</v>
      </c>
      <c r="B8200">
        <v>9.2319999999999993</v>
      </c>
      <c r="C8200" t="s">
        <v>25828</v>
      </c>
      <c r="D8200" t="s">
        <v>742</v>
      </c>
      <c r="E8200" t="s">
        <v>25823</v>
      </c>
      <c r="F8200" t="s">
        <v>7672</v>
      </c>
      <c r="G8200" t="s">
        <v>25824</v>
      </c>
      <c r="H8200" t="s">
        <v>10298</v>
      </c>
      <c r="I8200" t="s">
        <v>1243</v>
      </c>
      <c r="J8200" t="s">
        <v>8439</v>
      </c>
    </row>
    <row r="8201" spans="1:10" x14ac:dyDescent="0.25">
      <c r="A8201" t="s">
        <v>25829</v>
      </c>
      <c r="B8201">
        <v>9.2319999999999993</v>
      </c>
      <c r="C8201" t="s">
        <v>25830</v>
      </c>
      <c r="D8201" t="s">
        <v>385</v>
      </c>
      <c r="E8201" t="s">
        <v>25823</v>
      </c>
      <c r="F8201" t="s">
        <v>7672</v>
      </c>
      <c r="G8201" t="s">
        <v>25824</v>
      </c>
      <c r="H8201" t="s">
        <v>10298</v>
      </c>
      <c r="I8201" t="s">
        <v>76</v>
      </c>
      <c r="J8201" t="s">
        <v>8439</v>
      </c>
    </row>
    <row r="8202" spans="1:10" x14ac:dyDescent="0.25">
      <c r="A8202" t="s">
        <v>25831</v>
      </c>
      <c r="B8202">
        <v>9.2319999999999993</v>
      </c>
      <c r="C8202" t="s">
        <v>25832</v>
      </c>
      <c r="D8202" t="s">
        <v>95</v>
      </c>
      <c r="E8202" t="s">
        <v>25823</v>
      </c>
      <c r="F8202" t="s">
        <v>7672</v>
      </c>
      <c r="G8202" t="s">
        <v>25824</v>
      </c>
      <c r="H8202" t="s">
        <v>10298</v>
      </c>
      <c r="I8202" t="s">
        <v>1243</v>
      </c>
      <c r="J8202" t="s">
        <v>8451</v>
      </c>
    </row>
    <row r="8203" spans="1:10" x14ac:dyDescent="0.25">
      <c r="A8203" t="s">
        <v>25833</v>
      </c>
      <c r="B8203">
        <v>9.2319999999999993</v>
      </c>
      <c r="C8203" t="s">
        <v>25834</v>
      </c>
      <c r="D8203" t="s">
        <v>385</v>
      </c>
      <c r="E8203" t="s">
        <v>25823</v>
      </c>
      <c r="F8203" t="s">
        <v>7672</v>
      </c>
      <c r="G8203" t="s">
        <v>25824</v>
      </c>
      <c r="H8203" t="s">
        <v>10298</v>
      </c>
      <c r="I8203" t="s">
        <v>76</v>
      </c>
      <c r="J8203" t="s">
        <v>8451</v>
      </c>
    </row>
    <row r="8204" spans="1:10" x14ac:dyDescent="0.25">
      <c r="A8204" t="s">
        <v>25835</v>
      </c>
      <c r="B8204">
        <v>6</v>
      </c>
      <c r="C8204" t="s">
        <v>25836</v>
      </c>
      <c r="D8204" t="s">
        <v>17459</v>
      </c>
      <c r="E8204" t="s">
        <v>25837</v>
      </c>
      <c r="F8204" t="s">
        <v>7672</v>
      </c>
      <c r="G8204" t="s">
        <v>25838</v>
      </c>
      <c r="H8204" t="s">
        <v>11496</v>
      </c>
      <c r="I8204" t="s">
        <v>3055</v>
      </c>
      <c r="J8204" t="s">
        <v>9423</v>
      </c>
    </row>
    <row r="8205" spans="1:10" x14ac:dyDescent="0.25">
      <c r="A8205" t="s">
        <v>25839</v>
      </c>
      <c r="B8205">
        <v>6</v>
      </c>
      <c r="C8205" t="s">
        <v>25840</v>
      </c>
      <c r="D8205" t="s">
        <v>10442</v>
      </c>
      <c r="E8205" t="s">
        <v>25837</v>
      </c>
      <c r="F8205" t="s">
        <v>7672</v>
      </c>
      <c r="G8205" t="s">
        <v>25838</v>
      </c>
      <c r="H8205" t="s">
        <v>11496</v>
      </c>
      <c r="I8205" t="s">
        <v>3055</v>
      </c>
      <c r="J8205" t="s">
        <v>9426</v>
      </c>
    </row>
    <row r="8206" spans="1:10" x14ac:dyDescent="0.25">
      <c r="A8206" t="s">
        <v>25841</v>
      </c>
      <c r="B8206">
        <v>6</v>
      </c>
      <c r="C8206" t="s">
        <v>25842</v>
      </c>
      <c r="D8206" t="s">
        <v>3604</v>
      </c>
      <c r="E8206" t="s">
        <v>25837</v>
      </c>
      <c r="F8206" t="s">
        <v>7672</v>
      </c>
      <c r="G8206" t="s">
        <v>25838</v>
      </c>
      <c r="H8206" t="s">
        <v>11496</v>
      </c>
      <c r="I8206" t="s">
        <v>3055</v>
      </c>
      <c r="J8206" t="s">
        <v>10862</v>
      </c>
    </row>
    <row r="8207" spans="1:10" x14ac:dyDescent="0.25">
      <c r="A8207" t="s">
        <v>25843</v>
      </c>
      <c r="B8207">
        <v>6</v>
      </c>
      <c r="C8207" t="s">
        <v>25844</v>
      </c>
      <c r="D8207" t="s">
        <v>1236</v>
      </c>
      <c r="E8207" t="s">
        <v>25837</v>
      </c>
      <c r="F8207" t="s">
        <v>7672</v>
      </c>
      <c r="G8207" t="s">
        <v>25838</v>
      </c>
      <c r="H8207" t="s">
        <v>11496</v>
      </c>
      <c r="I8207" t="s">
        <v>3055</v>
      </c>
      <c r="J8207" t="s">
        <v>13084</v>
      </c>
    </row>
    <row r="8208" spans="1:10" x14ac:dyDescent="0.25">
      <c r="A8208" t="s">
        <v>25845</v>
      </c>
      <c r="B8208">
        <v>4.8000000000000007</v>
      </c>
      <c r="C8208" t="s">
        <v>25846</v>
      </c>
      <c r="D8208" t="s">
        <v>3577</v>
      </c>
      <c r="E8208" t="s">
        <v>7245</v>
      </c>
      <c r="F8208" t="s">
        <v>7672</v>
      </c>
      <c r="G8208" t="s">
        <v>25847</v>
      </c>
      <c r="H8208" t="s">
        <v>11496</v>
      </c>
      <c r="I8208" t="s">
        <v>25848</v>
      </c>
      <c r="J8208" t="s">
        <v>9423</v>
      </c>
    </row>
    <row r="8209" spans="1:10" x14ac:dyDescent="0.25">
      <c r="A8209" t="s">
        <v>25849</v>
      </c>
      <c r="B8209">
        <v>4.8000000000000007</v>
      </c>
      <c r="C8209" t="s">
        <v>25850</v>
      </c>
      <c r="D8209" t="s">
        <v>991</v>
      </c>
      <c r="E8209" t="s">
        <v>7245</v>
      </c>
      <c r="F8209" t="s">
        <v>7672</v>
      </c>
      <c r="G8209" t="s">
        <v>25847</v>
      </c>
      <c r="H8209" t="s">
        <v>11496</v>
      </c>
      <c r="I8209" t="s">
        <v>25848</v>
      </c>
      <c r="J8209" t="s">
        <v>9426</v>
      </c>
    </row>
    <row r="8210" spans="1:10" x14ac:dyDescent="0.25">
      <c r="A8210" t="s">
        <v>7242</v>
      </c>
      <c r="B8210">
        <v>4.8000000000000007</v>
      </c>
      <c r="C8210" t="s">
        <v>7244</v>
      </c>
      <c r="D8210" t="s">
        <v>986</v>
      </c>
      <c r="E8210" t="s">
        <v>7245</v>
      </c>
      <c r="F8210" t="s">
        <v>7672</v>
      </c>
      <c r="G8210" t="s">
        <v>25847</v>
      </c>
      <c r="H8210" t="s">
        <v>11496</v>
      </c>
      <c r="I8210" t="s">
        <v>25848</v>
      </c>
      <c r="J8210" t="s">
        <v>10862</v>
      </c>
    </row>
    <row r="8211" spans="1:10" x14ac:dyDescent="0.25">
      <c r="A8211" t="s">
        <v>25851</v>
      </c>
      <c r="B8211">
        <v>4.8000000000000007</v>
      </c>
      <c r="C8211" t="s">
        <v>25852</v>
      </c>
      <c r="D8211" t="s">
        <v>941</v>
      </c>
      <c r="E8211" t="s">
        <v>7245</v>
      </c>
      <c r="F8211" t="s">
        <v>7672</v>
      </c>
      <c r="G8211" t="s">
        <v>25847</v>
      </c>
      <c r="H8211" t="s">
        <v>11496</v>
      </c>
      <c r="I8211" t="s">
        <v>25848</v>
      </c>
      <c r="J8211" t="s">
        <v>13084</v>
      </c>
    </row>
    <row r="8212" spans="1:10" x14ac:dyDescent="0.25">
      <c r="A8212" t="s">
        <v>7249</v>
      </c>
      <c r="B8212">
        <v>4.8000000000000007</v>
      </c>
      <c r="C8212" t="s">
        <v>7251</v>
      </c>
      <c r="D8212" t="s">
        <v>908</v>
      </c>
      <c r="E8212" t="s">
        <v>7245</v>
      </c>
      <c r="F8212" t="s">
        <v>7672</v>
      </c>
      <c r="G8212" t="s">
        <v>25847</v>
      </c>
      <c r="H8212" t="s">
        <v>11496</v>
      </c>
      <c r="I8212" t="s">
        <v>25848</v>
      </c>
      <c r="J8212" t="s">
        <v>11767</v>
      </c>
    </row>
    <row r="8213" spans="1:10" x14ac:dyDescent="0.25">
      <c r="A8213" t="s">
        <v>25853</v>
      </c>
      <c r="B8213">
        <v>4.8000000000000007</v>
      </c>
      <c r="C8213" t="s">
        <v>25854</v>
      </c>
      <c r="D8213" t="s">
        <v>2138</v>
      </c>
      <c r="E8213" t="s">
        <v>7245</v>
      </c>
      <c r="F8213" t="s">
        <v>7672</v>
      </c>
      <c r="G8213" t="s">
        <v>25847</v>
      </c>
      <c r="H8213" t="s">
        <v>11496</v>
      </c>
      <c r="I8213" t="s">
        <v>25848</v>
      </c>
      <c r="J8213" t="s">
        <v>11582</v>
      </c>
    </row>
    <row r="8214" spans="1:10" x14ac:dyDescent="0.25">
      <c r="A8214" t="s">
        <v>25855</v>
      </c>
      <c r="B8214">
        <v>4.8000000000000007</v>
      </c>
      <c r="C8214" t="s">
        <v>25856</v>
      </c>
      <c r="D8214" t="s">
        <v>385</v>
      </c>
      <c r="E8214" t="s">
        <v>7245</v>
      </c>
      <c r="F8214" t="s">
        <v>7672</v>
      </c>
      <c r="G8214" t="s">
        <v>25847</v>
      </c>
      <c r="H8214" t="s">
        <v>11496</v>
      </c>
      <c r="I8214" t="s">
        <v>25848</v>
      </c>
      <c r="J8214" t="s">
        <v>11585</v>
      </c>
    </row>
    <row r="8215" spans="1:10" x14ac:dyDescent="0.25">
      <c r="A8215" t="s">
        <v>25857</v>
      </c>
      <c r="B8215">
        <v>192</v>
      </c>
      <c r="C8215" t="s">
        <v>25858</v>
      </c>
      <c r="D8215" t="s">
        <v>342</v>
      </c>
      <c r="E8215" t="s">
        <v>25859</v>
      </c>
      <c r="F8215" t="s">
        <v>7672</v>
      </c>
      <c r="G8215" t="s">
        <v>25860</v>
      </c>
      <c r="H8215" t="s">
        <v>25861</v>
      </c>
      <c r="I8215" t="s">
        <v>25862</v>
      </c>
      <c r="J8215" t="s">
        <v>131</v>
      </c>
    </row>
    <row r="8216" spans="1:10" x14ac:dyDescent="0.25">
      <c r="A8216" t="s">
        <v>7253</v>
      </c>
      <c r="B8216">
        <v>9.9920000000000009</v>
      </c>
      <c r="C8216" t="s">
        <v>7255</v>
      </c>
      <c r="D8216" t="s">
        <v>250</v>
      </c>
      <c r="E8216" t="s">
        <v>7256</v>
      </c>
      <c r="F8216" t="s">
        <v>7672</v>
      </c>
      <c r="G8216" t="s">
        <v>25863</v>
      </c>
      <c r="H8216" t="s">
        <v>17415</v>
      </c>
      <c r="I8216" t="s">
        <v>1490</v>
      </c>
      <c r="J8216" t="s">
        <v>11498</v>
      </c>
    </row>
    <row r="8217" spans="1:10" x14ac:dyDescent="0.25">
      <c r="A8217" t="s">
        <v>7259</v>
      </c>
      <c r="B8217">
        <v>9.9920000000000009</v>
      </c>
      <c r="C8217" t="s">
        <v>7261</v>
      </c>
      <c r="D8217" t="s">
        <v>698</v>
      </c>
      <c r="E8217" t="s">
        <v>7256</v>
      </c>
      <c r="F8217" t="s">
        <v>7672</v>
      </c>
      <c r="G8217" t="s">
        <v>25863</v>
      </c>
      <c r="H8217" t="s">
        <v>17415</v>
      </c>
      <c r="I8217" t="s">
        <v>1675</v>
      </c>
      <c r="J8217" t="s">
        <v>11498</v>
      </c>
    </row>
    <row r="8218" spans="1:10" x14ac:dyDescent="0.25">
      <c r="A8218" t="s">
        <v>7263</v>
      </c>
      <c r="B8218">
        <v>9.9920000000000009</v>
      </c>
      <c r="C8218" t="s">
        <v>7265</v>
      </c>
      <c r="D8218" t="s">
        <v>366</v>
      </c>
      <c r="E8218" t="s">
        <v>7256</v>
      </c>
      <c r="F8218" t="s">
        <v>7672</v>
      </c>
      <c r="G8218" t="s">
        <v>25863</v>
      </c>
      <c r="H8218" t="s">
        <v>17415</v>
      </c>
      <c r="I8218" t="s">
        <v>76</v>
      </c>
      <c r="J8218" t="s">
        <v>11498</v>
      </c>
    </row>
    <row r="8219" spans="1:10" x14ac:dyDescent="0.25">
      <c r="A8219" t="s">
        <v>7267</v>
      </c>
      <c r="B8219">
        <v>9.9920000000000009</v>
      </c>
      <c r="C8219" t="s">
        <v>7269</v>
      </c>
      <c r="D8219" t="s">
        <v>100</v>
      </c>
      <c r="E8219" t="s">
        <v>7256</v>
      </c>
      <c r="F8219" t="s">
        <v>7672</v>
      </c>
      <c r="G8219" t="s">
        <v>25863</v>
      </c>
      <c r="H8219" t="s">
        <v>17415</v>
      </c>
      <c r="I8219" t="s">
        <v>76</v>
      </c>
      <c r="J8219" t="s">
        <v>11499</v>
      </c>
    </row>
    <row r="8220" spans="1:10" x14ac:dyDescent="0.25">
      <c r="A8220" t="s">
        <v>7271</v>
      </c>
      <c r="B8220">
        <v>9.9920000000000009</v>
      </c>
      <c r="C8220" t="s">
        <v>7273</v>
      </c>
      <c r="D8220" t="s">
        <v>88</v>
      </c>
      <c r="E8220" t="s">
        <v>7256</v>
      </c>
      <c r="F8220" t="s">
        <v>7672</v>
      </c>
      <c r="G8220" t="s">
        <v>25863</v>
      </c>
      <c r="H8220" t="s">
        <v>17415</v>
      </c>
      <c r="I8220" t="s">
        <v>1490</v>
      </c>
      <c r="J8220" t="s">
        <v>11499</v>
      </c>
    </row>
    <row r="8221" spans="1:10" x14ac:dyDescent="0.25">
      <c r="A8221" t="s">
        <v>7275</v>
      </c>
      <c r="B8221">
        <v>9.9920000000000009</v>
      </c>
      <c r="C8221" t="s">
        <v>7277</v>
      </c>
      <c r="D8221" t="s">
        <v>742</v>
      </c>
      <c r="E8221" t="s">
        <v>7256</v>
      </c>
      <c r="F8221" t="s">
        <v>7672</v>
      </c>
      <c r="G8221" t="s">
        <v>25863</v>
      </c>
      <c r="H8221" t="s">
        <v>17415</v>
      </c>
      <c r="I8221" t="s">
        <v>1675</v>
      </c>
      <c r="J8221" t="s">
        <v>11499</v>
      </c>
    </row>
    <row r="8222" spans="1:10" x14ac:dyDescent="0.25">
      <c r="A8222" t="s">
        <v>7279</v>
      </c>
      <c r="B8222">
        <v>9.9920000000000009</v>
      </c>
      <c r="C8222" t="s">
        <v>7281</v>
      </c>
      <c r="D8222" t="s">
        <v>164</v>
      </c>
      <c r="E8222" t="s">
        <v>7256</v>
      </c>
      <c r="F8222" t="s">
        <v>7672</v>
      </c>
      <c r="G8222" t="s">
        <v>25863</v>
      </c>
      <c r="H8222" t="s">
        <v>17415</v>
      </c>
      <c r="I8222" t="s">
        <v>1675</v>
      </c>
      <c r="J8222" t="s">
        <v>11500</v>
      </c>
    </row>
    <row r="8223" spans="1:10" x14ac:dyDescent="0.25">
      <c r="A8223" t="s">
        <v>7283</v>
      </c>
      <c r="B8223">
        <v>9.9920000000000009</v>
      </c>
      <c r="C8223" t="s">
        <v>7285</v>
      </c>
      <c r="D8223" t="s">
        <v>959</v>
      </c>
      <c r="E8223" t="s">
        <v>7256</v>
      </c>
      <c r="F8223" t="s">
        <v>7672</v>
      </c>
      <c r="G8223" t="s">
        <v>25863</v>
      </c>
      <c r="H8223" t="s">
        <v>17415</v>
      </c>
      <c r="I8223" t="s">
        <v>1675</v>
      </c>
      <c r="J8223" t="s">
        <v>11501</v>
      </c>
    </row>
    <row r="8224" spans="1:10" x14ac:dyDescent="0.25">
      <c r="A8224" t="s">
        <v>25864</v>
      </c>
      <c r="B8224">
        <v>9.5920000000000005</v>
      </c>
      <c r="C8224" t="s">
        <v>25865</v>
      </c>
      <c r="D8224" t="s">
        <v>1459</v>
      </c>
      <c r="E8224" t="s">
        <v>25866</v>
      </c>
      <c r="F8224" t="s">
        <v>7672</v>
      </c>
      <c r="G8224" t="s">
        <v>25867</v>
      </c>
      <c r="H8224" t="s">
        <v>7674</v>
      </c>
      <c r="I8224" t="s">
        <v>25868</v>
      </c>
      <c r="J8224" t="s">
        <v>9694</v>
      </c>
    </row>
    <row r="8225" spans="1:10" x14ac:dyDescent="0.25">
      <c r="A8225" t="s">
        <v>25869</v>
      </c>
      <c r="B8225">
        <v>13.496</v>
      </c>
      <c r="C8225" t="s">
        <v>25870</v>
      </c>
      <c r="D8225" t="s">
        <v>8131</v>
      </c>
      <c r="E8225" t="s">
        <v>25871</v>
      </c>
      <c r="F8225" t="s">
        <v>7672</v>
      </c>
      <c r="G8225" t="s">
        <v>25872</v>
      </c>
      <c r="H8225" t="s">
        <v>25873</v>
      </c>
      <c r="I8225" t="s">
        <v>1243</v>
      </c>
      <c r="J8225" t="s">
        <v>9694</v>
      </c>
    </row>
    <row r="8226" spans="1:10" x14ac:dyDescent="0.25">
      <c r="A8226" t="s">
        <v>25874</v>
      </c>
      <c r="B8226">
        <v>8.4</v>
      </c>
      <c r="C8226" t="s">
        <v>25875</v>
      </c>
      <c r="D8226" t="s">
        <v>2149</v>
      </c>
      <c r="E8226" t="s">
        <v>25876</v>
      </c>
      <c r="F8226" t="s">
        <v>7672</v>
      </c>
      <c r="G8226" t="s">
        <v>25877</v>
      </c>
      <c r="H8226" t="s">
        <v>7954</v>
      </c>
      <c r="I8226" t="s">
        <v>18854</v>
      </c>
      <c r="J8226" t="s">
        <v>7981</v>
      </c>
    </row>
    <row r="8227" spans="1:10" x14ac:dyDescent="0.25">
      <c r="A8227" t="s">
        <v>25878</v>
      </c>
      <c r="B8227">
        <v>8.4</v>
      </c>
      <c r="C8227" t="s">
        <v>25879</v>
      </c>
      <c r="D8227" t="s">
        <v>593</v>
      </c>
      <c r="E8227" t="s">
        <v>25876</v>
      </c>
      <c r="F8227" t="s">
        <v>7672</v>
      </c>
      <c r="G8227" t="s">
        <v>25877</v>
      </c>
      <c r="H8227" t="s">
        <v>7954</v>
      </c>
      <c r="I8227" t="s">
        <v>18854</v>
      </c>
      <c r="J8227" t="s">
        <v>7984</v>
      </c>
    </row>
    <row r="8228" spans="1:10" x14ac:dyDescent="0.25">
      <c r="A8228" t="s">
        <v>25880</v>
      </c>
      <c r="B8228">
        <v>8.4</v>
      </c>
      <c r="C8228" t="s">
        <v>25881</v>
      </c>
      <c r="D8228" t="s">
        <v>2149</v>
      </c>
      <c r="E8228" t="s">
        <v>25876</v>
      </c>
      <c r="F8228" t="s">
        <v>7672</v>
      </c>
      <c r="G8228" t="s">
        <v>25877</v>
      </c>
      <c r="H8228" t="s">
        <v>7954</v>
      </c>
      <c r="I8228" t="s">
        <v>18854</v>
      </c>
      <c r="J8228" t="s">
        <v>7987</v>
      </c>
    </row>
    <row r="8229" spans="1:10" x14ac:dyDescent="0.25">
      <c r="A8229" t="s">
        <v>25882</v>
      </c>
      <c r="B8229">
        <v>8.4</v>
      </c>
      <c r="C8229" t="s">
        <v>25883</v>
      </c>
      <c r="D8229" t="s">
        <v>516</v>
      </c>
      <c r="E8229" t="s">
        <v>25876</v>
      </c>
      <c r="F8229" t="s">
        <v>7672</v>
      </c>
      <c r="G8229" t="s">
        <v>25877</v>
      </c>
      <c r="H8229" t="s">
        <v>7954</v>
      </c>
      <c r="I8229" t="s">
        <v>18854</v>
      </c>
      <c r="J8229" t="s">
        <v>8001</v>
      </c>
    </row>
    <row r="8230" spans="1:10" x14ac:dyDescent="0.25">
      <c r="A8230" t="s">
        <v>25884</v>
      </c>
      <c r="B8230">
        <v>7.28</v>
      </c>
      <c r="C8230" t="s">
        <v>25885</v>
      </c>
      <c r="D8230" t="s">
        <v>913</v>
      </c>
      <c r="E8230" t="s">
        <v>25886</v>
      </c>
      <c r="F8230" t="s">
        <v>7672</v>
      </c>
      <c r="G8230" t="s">
        <v>25887</v>
      </c>
      <c r="H8230" t="s">
        <v>8515</v>
      </c>
      <c r="I8230" t="s">
        <v>25888</v>
      </c>
      <c r="J8230" t="s">
        <v>255</v>
      </c>
    </row>
    <row r="8231" spans="1:10" x14ac:dyDescent="0.25">
      <c r="A8231" t="s">
        <v>25889</v>
      </c>
      <c r="B8231">
        <v>7.28</v>
      </c>
      <c r="C8231" t="s">
        <v>25890</v>
      </c>
      <c r="D8231" t="s">
        <v>791</v>
      </c>
      <c r="E8231" t="s">
        <v>25886</v>
      </c>
      <c r="F8231" t="s">
        <v>7672</v>
      </c>
      <c r="G8231" t="s">
        <v>25887</v>
      </c>
      <c r="H8231" t="s">
        <v>8515</v>
      </c>
      <c r="I8231" t="s">
        <v>25888</v>
      </c>
      <c r="J8231" t="s">
        <v>277</v>
      </c>
    </row>
    <row r="8232" spans="1:10" x14ac:dyDescent="0.25">
      <c r="A8232" t="s">
        <v>25891</v>
      </c>
      <c r="B8232">
        <v>14.215999999999999</v>
      </c>
      <c r="C8232" t="s">
        <v>25892</v>
      </c>
      <c r="D8232" t="s">
        <v>450</v>
      </c>
      <c r="E8232" t="s">
        <v>25893</v>
      </c>
      <c r="F8232" t="s">
        <v>7672</v>
      </c>
      <c r="G8232" t="s">
        <v>25894</v>
      </c>
      <c r="H8232" t="s">
        <v>16745</v>
      </c>
      <c r="I8232" t="s">
        <v>76</v>
      </c>
      <c r="J8232" t="s">
        <v>8439</v>
      </c>
    </row>
    <row r="8233" spans="1:10" x14ac:dyDescent="0.25">
      <c r="A8233" t="s">
        <v>25895</v>
      </c>
      <c r="B8233">
        <v>14.215999999999999</v>
      </c>
      <c r="C8233" t="s">
        <v>25896</v>
      </c>
      <c r="D8233" t="s">
        <v>671</v>
      </c>
      <c r="E8233" t="s">
        <v>25893</v>
      </c>
      <c r="F8233" t="s">
        <v>7672</v>
      </c>
      <c r="G8233" t="s">
        <v>25894</v>
      </c>
      <c r="H8233" t="s">
        <v>16745</v>
      </c>
      <c r="I8233" t="s">
        <v>76</v>
      </c>
      <c r="J8233" t="s">
        <v>8451</v>
      </c>
    </row>
    <row r="8234" spans="1:10" x14ac:dyDescent="0.25">
      <c r="A8234" t="s">
        <v>25897</v>
      </c>
      <c r="B8234">
        <v>4.7600000000000007</v>
      </c>
      <c r="C8234" t="s">
        <v>25898</v>
      </c>
      <c r="D8234" t="s">
        <v>3184</v>
      </c>
      <c r="E8234" t="s">
        <v>25899</v>
      </c>
      <c r="F8234" t="s">
        <v>7672</v>
      </c>
      <c r="G8234" t="s">
        <v>25900</v>
      </c>
      <c r="H8234" t="s">
        <v>24169</v>
      </c>
      <c r="I8234" t="s">
        <v>25901</v>
      </c>
      <c r="J8234" t="s">
        <v>12182</v>
      </c>
    </row>
    <row r="8235" spans="1:10" x14ac:dyDescent="0.25">
      <c r="A8235" t="s">
        <v>25902</v>
      </c>
      <c r="B8235">
        <v>4.7600000000000007</v>
      </c>
      <c r="C8235" t="s">
        <v>25903</v>
      </c>
      <c r="D8235" t="s">
        <v>8193</v>
      </c>
      <c r="E8235" t="s">
        <v>25899</v>
      </c>
      <c r="F8235" t="s">
        <v>7672</v>
      </c>
      <c r="G8235" t="s">
        <v>25900</v>
      </c>
      <c r="H8235" t="s">
        <v>24169</v>
      </c>
      <c r="I8235" t="s">
        <v>25901</v>
      </c>
      <c r="J8235" t="s">
        <v>10150</v>
      </c>
    </row>
    <row r="8236" spans="1:10" x14ac:dyDescent="0.25">
      <c r="A8236" t="s">
        <v>25904</v>
      </c>
      <c r="B8236">
        <v>14</v>
      </c>
      <c r="C8236" t="s">
        <v>25905</v>
      </c>
      <c r="D8236" t="s">
        <v>282</v>
      </c>
      <c r="E8236" t="s">
        <v>25906</v>
      </c>
      <c r="F8236" t="s">
        <v>7672</v>
      </c>
      <c r="G8236" t="s">
        <v>25907</v>
      </c>
      <c r="H8236" t="s">
        <v>8779</v>
      </c>
      <c r="I8236" t="s">
        <v>438</v>
      </c>
      <c r="J8236" t="s">
        <v>7984</v>
      </c>
    </row>
    <row r="8237" spans="1:10" x14ac:dyDescent="0.25">
      <c r="A8237" t="s">
        <v>25908</v>
      </c>
      <c r="B8237">
        <v>14</v>
      </c>
      <c r="C8237" t="s">
        <v>25909</v>
      </c>
      <c r="D8237" t="s">
        <v>113</v>
      </c>
      <c r="E8237" t="s">
        <v>25906</v>
      </c>
      <c r="F8237" t="s">
        <v>7672</v>
      </c>
      <c r="G8237" t="s">
        <v>25907</v>
      </c>
      <c r="H8237" t="s">
        <v>8779</v>
      </c>
      <c r="I8237" t="s">
        <v>13809</v>
      </c>
      <c r="J8237" t="s">
        <v>7984</v>
      </c>
    </row>
    <row r="8238" spans="1:10" x14ac:dyDescent="0.25">
      <c r="A8238" t="s">
        <v>25910</v>
      </c>
      <c r="B8238">
        <v>14</v>
      </c>
      <c r="C8238" t="s">
        <v>25911</v>
      </c>
      <c r="D8238" t="s">
        <v>1143</v>
      </c>
      <c r="E8238" t="s">
        <v>25906</v>
      </c>
      <c r="F8238" t="s">
        <v>7672</v>
      </c>
      <c r="G8238" t="s">
        <v>25907</v>
      </c>
      <c r="H8238" t="s">
        <v>8779</v>
      </c>
      <c r="I8238" t="s">
        <v>13809</v>
      </c>
      <c r="J8238" t="s">
        <v>7987</v>
      </c>
    </row>
    <row r="8239" spans="1:10" x14ac:dyDescent="0.25">
      <c r="A8239" t="s">
        <v>25912</v>
      </c>
      <c r="B8239">
        <v>14</v>
      </c>
      <c r="C8239" t="s">
        <v>25913</v>
      </c>
      <c r="D8239" t="s">
        <v>4127</v>
      </c>
      <c r="E8239" t="s">
        <v>25914</v>
      </c>
      <c r="F8239" t="s">
        <v>7672</v>
      </c>
      <c r="G8239" t="s">
        <v>25915</v>
      </c>
      <c r="H8239" t="s">
        <v>15122</v>
      </c>
      <c r="I8239" t="s">
        <v>935</v>
      </c>
      <c r="J8239" t="s">
        <v>269</v>
      </c>
    </row>
    <row r="8240" spans="1:10" x14ac:dyDescent="0.25">
      <c r="A8240" t="s">
        <v>25916</v>
      </c>
      <c r="B8240">
        <v>14</v>
      </c>
      <c r="C8240" t="s">
        <v>25917</v>
      </c>
      <c r="D8240" t="s">
        <v>12553</v>
      </c>
      <c r="E8240" t="s">
        <v>25914</v>
      </c>
      <c r="F8240" t="s">
        <v>7672</v>
      </c>
      <c r="G8240" t="s">
        <v>25915</v>
      </c>
      <c r="H8240" t="s">
        <v>15122</v>
      </c>
      <c r="I8240" t="s">
        <v>935</v>
      </c>
      <c r="J8240" t="s">
        <v>255</v>
      </c>
    </row>
    <row r="8241" spans="1:10" x14ac:dyDescent="0.25">
      <c r="A8241" t="s">
        <v>25918</v>
      </c>
      <c r="B8241">
        <v>14</v>
      </c>
      <c r="C8241" t="s">
        <v>25919</v>
      </c>
      <c r="D8241" t="s">
        <v>875</v>
      </c>
      <c r="E8241" t="s">
        <v>25914</v>
      </c>
      <c r="F8241" t="s">
        <v>7672</v>
      </c>
      <c r="G8241" t="s">
        <v>25915</v>
      </c>
      <c r="H8241" t="s">
        <v>15122</v>
      </c>
      <c r="I8241" t="s">
        <v>935</v>
      </c>
      <c r="J8241" t="s">
        <v>277</v>
      </c>
    </row>
    <row r="8242" spans="1:10" x14ac:dyDescent="0.25">
      <c r="A8242" t="s">
        <v>25920</v>
      </c>
      <c r="B8242">
        <v>14</v>
      </c>
      <c r="C8242" t="s">
        <v>25921</v>
      </c>
      <c r="D8242" t="s">
        <v>240</v>
      </c>
      <c r="E8242" t="s">
        <v>25914</v>
      </c>
      <c r="F8242" t="s">
        <v>7672</v>
      </c>
      <c r="G8242" t="s">
        <v>25915</v>
      </c>
      <c r="H8242" t="s">
        <v>15122</v>
      </c>
      <c r="I8242" t="s">
        <v>935</v>
      </c>
      <c r="J8242" t="s">
        <v>290</v>
      </c>
    </row>
    <row r="8243" spans="1:10" x14ac:dyDescent="0.25">
      <c r="A8243" t="s">
        <v>25922</v>
      </c>
      <c r="B8243">
        <v>9.9920000000000009</v>
      </c>
      <c r="C8243" t="s">
        <v>25923</v>
      </c>
      <c r="D8243" t="s">
        <v>1020</v>
      </c>
      <c r="E8243" t="s">
        <v>25924</v>
      </c>
      <c r="F8243" t="s">
        <v>7672</v>
      </c>
      <c r="G8243" t="s">
        <v>25925</v>
      </c>
      <c r="H8243" t="s">
        <v>12137</v>
      </c>
      <c r="I8243" t="s">
        <v>25926</v>
      </c>
      <c r="J8243" t="s">
        <v>11498</v>
      </c>
    </row>
    <row r="8244" spans="1:10" x14ac:dyDescent="0.25">
      <c r="A8244" t="s">
        <v>25927</v>
      </c>
      <c r="B8244">
        <v>9.9920000000000009</v>
      </c>
      <c r="C8244" t="s">
        <v>25928</v>
      </c>
      <c r="D8244" t="s">
        <v>3435</v>
      </c>
      <c r="E8244" t="s">
        <v>25924</v>
      </c>
      <c r="F8244" t="s">
        <v>7672</v>
      </c>
      <c r="G8244" t="s">
        <v>25925</v>
      </c>
      <c r="H8244" t="s">
        <v>12137</v>
      </c>
      <c r="I8244" t="s">
        <v>25926</v>
      </c>
      <c r="J8244" t="s">
        <v>11499</v>
      </c>
    </row>
    <row r="8245" spans="1:10" x14ac:dyDescent="0.25">
      <c r="A8245" t="s">
        <v>25929</v>
      </c>
      <c r="B8245">
        <v>9.9920000000000009</v>
      </c>
      <c r="C8245" t="s">
        <v>25930</v>
      </c>
      <c r="D8245" t="s">
        <v>803</v>
      </c>
      <c r="E8245" t="s">
        <v>25924</v>
      </c>
      <c r="F8245" t="s">
        <v>7672</v>
      </c>
      <c r="G8245" t="s">
        <v>25925</v>
      </c>
      <c r="H8245" t="s">
        <v>12137</v>
      </c>
      <c r="I8245" t="s">
        <v>25926</v>
      </c>
      <c r="J8245" t="s">
        <v>11502</v>
      </c>
    </row>
    <row r="8246" spans="1:10" x14ac:dyDescent="0.25">
      <c r="A8246" t="s">
        <v>25931</v>
      </c>
      <c r="B8246">
        <v>9.9920000000000009</v>
      </c>
      <c r="C8246" t="s">
        <v>25932</v>
      </c>
      <c r="D8246" t="s">
        <v>5201</v>
      </c>
      <c r="E8246" t="s">
        <v>25924</v>
      </c>
      <c r="F8246" t="s">
        <v>7672</v>
      </c>
      <c r="G8246" t="s">
        <v>25925</v>
      </c>
      <c r="H8246" t="s">
        <v>12137</v>
      </c>
      <c r="I8246" t="s">
        <v>25926</v>
      </c>
      <c r="J8246" t="s">
        <v>11503</v>
      </c>
    </row>
    <row r="8247" spans="1:10" x14ac:dyDescent="0.25">
      <c r="A8247" t="s">
        <v>25933</v>
      </c>
      <c r="B8247">
        <v>9.9920000000000009</v>
      </c>
      <c r="C8247" t="s">
        <v>25934</v>
      </c>
      <c r="D8247" t="s">
        <v>8190</v>
      </c>
      <c r="E8247" t="s">
        <v>25924</v>
      </c>
      <c r="F8247" t="s">
        <v>7672</v>
      </c>
      <c r="G8247" t="s">
        <v>25925</v>
      </c>
      <c r="H8247" t="s">
        <v>12137</v>
      </c>
      <c r="I8247" t="s">
        <v>25926</v>
      </c>
      <c r="J8247" t="s">
        <v>282</v>
      </c>
    </row>
    <row r="8248" spans="1:10" x14ac:dyDescent="0.25">
      <c r="A8248" t="s">
        <v>25935</v>
      </c>
      <c r="B8248">
        <v>11.696</v>
      </c>
      <c r="C8248" t="s">
        <v>25936</v>
      </c>
      <c r="D8248" t="s">
        <v>330</v>
      </c>
      <c r="E8248" t="s">
        <v>25937</v>
      </c>
      <c r="F8248" t="s">
        <v>7672</v>
      </c>
      <c r="G8248" t="s">
        <v>25374</v>
      </c>
      <c r="H8248" t="s">
        <v>17992</v>
      </c>
      <c r="I8248" t="s">
        <v>25938</v>
      </c>
      <c r="J8248" t="s">
        <v>7675</v>
      </c>
    </row>
    <row r="8249" spans="1:10" x14ac:dyDescent="0.25">
      <c r="A8249" t="s">
        <v>25939</v>
      </c>
      <c r="B8249">
        <v>11.696</v>
      </c>
      <c r="C8249" t="s">
        <v>25940</v>
      </c>
      <c r="D8249" t="s">
        <v>835</v>
      </c>
      <c r="E8249" t="s">
        <v>25937</v>
      </c>
      <c r="F8249" t="s">
        <v>7672</v>
      </c>
      <c r="G8249" t="s">
        <v>25374</v>
      </c>
      <c r="H8249" t="s">
        <v>17992</v>
      </c>
      <c r="I8249" t="s">
        <v>25941</v>
      </c>
      <c r="J8249" t="s">
        <v>7675</v>
      </c>
    </row>
    <row r="8250" spans="1:10" x14ac:dyDescent="0.25">
      <c r="A8250" t="s">
        <v>25942</v>
      </c>
      <c r="B8250">
        <v>11.696</v>
      </c>
      <c r="C8250" t="s">
        <v>25943</v>
      </c>
      <c r="D8250" t="s">
        <v>60</v>
      </c>
      <c r="E8250" t="s">
        <v>25937</v>
      </c>
      <c r="F8250" t="s">
        <v>7672</v>
      </c>
      <c r="G8250" t="s">
        <v>25374</v>
      </c>
      <c r="H8250" t="s">
        <v>17992</v>
      </c>
      <c r="I8250" t="s">
        <v>25944</v>
      </c>
      <c r="J8250" t="s">
        <v>7675</v>
      </c>
    </row>
    <row r="8251" spans="1:10" x14ac:dyDescent="0.25">
      <c r="A8251" t="s">
        <v>25945</v>
      </c>
      <c r="B8251">
        <v>11.696</v>
      </c>
      <c r="C8251" t="s">
        <v>25946</v>
      </c>
      <c r="D8251" t="s">
        <v>1621</v>
      </c>
      <c r="E8251" t="s">
        <v>25937</v>
      </c>
      <c r="F8251" t="s">
        <v>7672</v>
      </c>
      <c r="G8251" t="s">
        <v>25374</v>
      </c>
      <c r="H8251" t="s">
        <v>17992</v>
      </c>
      <c r="I8251" t="s">
        <v>25947</v>
      </c>
      <c r="J8251" t="s">
        <v>7675</v>
      </c>
    </row>
    <row r="8252" spans="1:10" x14ac:dyDescent="0.25">
      <c r="A8252" t="s">
        <v>25948</v>
      </c>
      <c r="B8252">
        <v>11.696</v>
      </c>
      <c r="C8252" t="s">
        <v>25949</v>
      </c>
      <c r="D8252" t="s">
        <v>720</v>
      </c>
      <c r="E8252" t="s">
        <v>25937</v>
      </c>
      <c r="F8252" t="s">
        <v>7672</v>
      </c>
      <c r="G8252" t="s">
        <v>25374</v>
      </c>
      <c r="H8252" t="s">
        <v>17992</v>
      </c>
      <c r="I8252" t="s">
        <v>14651</v>
      </c>
      <c r="J8252" t="s">
        <v>7675</v>
      </c>
    </row>
    <row r="8253" spans="1:10" x14ac:dyDescent="0.25">
      <c r="A8253" t="s">
        <v>25950</v>
      </c>
      <c r="B8253">
        <v>11.696</v>
      </c>
      <c r="C8253" t="s">
        <v>25951</v>
      </c>
      <c r="D8253" t="s">
        <v>113</v>
      </c>
      <c r="E8253" t="s">
        <v>25937</v>
      </c>
      <c r="F8253" t="s">
        <v>7672</v>
      </c>
      <c r="G8253" t="s">
        <v>25374</v>
      </c>
      <c r="H8253" t="s">
        <v>17992</v>
      </c>
      <c r="I8253" t="s">
        <v>25947</v>
      </c>
      <c r="J8253" t="s">
        <v>7719</v>
      </c>
    </row>
    <row r="8254" spans="1:10" x14ac:dyDescent="0.25">
      <c r="A8254" t="s">
        <v>25952</v>
      </c>
      <c r="B8254">
        <v>11.696</v>
      </c>
      <c r="C8254" t="s">
        <v>25953</v>
      </c>
      <c r="D8254" t="s">
        <v>321</v>
      </c>
      <c r="E8254" t="s">
        <v>25937</v>
      </c>
      <c r="F8254" t="s">
        <v>7672</v>
      </c>
      <c r="G8254" t="s">
        <v>25374</v>
      </c>
      <c r="H8254" t="s">
        <v>17992</v>
      </c>
      <c r="I8254" t="s">
        <v>14651</v>
      </c>
      <c r="J8254" t="s">
        <v>7719</v>
      </c>
    </row>
    <row r="8255" spans="1:10" x14ac:dyDescent="0.25">
      <c r="A8255" t="s">
        <v>25954</v>
      </c>
      <c r="B8255">
        <v>11.696</v>
      </c>
      <c r="C8255" t="s">
        <v>25955</v>
      </c>
      <c r="D8255" t="s">
        <v>255</v>
      </c>
      <c r="E8255" t="s">
        <v>25937</v>
      </c>
      <c r="F8255" t="s">
        <v>7672</v>
      </c>
      <c r="G8255" t="s">
        <v>25374</v>
      </c>
      <c r="H8255" t="s">
        <v>17992</v>
      </c>
      <c r="I8255" t="s">
        <v>25938</v>
      </c>
      <c r="J8255" t="s">
        <v>7719</v>
      </c>
    </row>
    <row r="8256" spans="1:10" x14ac:dyDescent="0.25">
      <c r="A8256" t="s">
        <v>25956</v>
      </c>
      <c r="B8256">
        <v>8.0960000000000001</v>
      </c>
      <c r="C8256" t="s">
        <v>25957</v>
      </c>
      <c r="D8256" t="s">
        <v>1459</v>
      </c>
      <c r="E8256" t="s">
        <v>25958</v>
      </c>
      <c r="F8256" t="s">
        <v>7672</v>
      </c>
      <c r="G8256" t="s">
        <v>18262</v>
      </c>
      <c r="H8256" t="s">
        <v>10298</v>
      </c>
      <c r="I8256" t="s">
        <v>1243</v>
      </c>
      <c r="J8256" t="s">
        <v>436</v>
      </c>
    </row>
    <row r="8257" spans="1:10" x14ac:dyDescent="0.25">
      <c r="A8257" t="s">
        <v>25959</v>
      </c>
      <c r="B8257">
        <v>8.0960000000000001</v>
      </c>
      <c r="C8257" t="s">
        <v>25960</v>
      </c>
      <c r="D8257" t="s">
        <v>13710</v>
      </c>
      <c r="E8257" t="s">
        <v>25958</v>
      </c>
      <c r="F8257" t="s">
        <v>7672</v>
      </c>
      <c r="G8257" t="s">
        <v>18262</v>
      </c>
      <c r="H8257" t="s">
        <v>10298</v>
      </c>
      <c r="I8257" t="s">
        <v>1243</v>
      </c>
      <c r="J8257" t="s">
        <v>53</v>
      </c>
    </row>
    <row r="8258" spans="1:10" x14ac:dyDescent="0.25">
      <c r="A8258" t="s">
        <v>25961</v>
      </c>
      <c r="B8258">
        <v>8.0960000000000001</v>
      </c>
      <c r="C8258" t="s">
        <v>25962</v>
      </c>
      <c r="D8258" t="s">
        <v>2787</v>
      </c>
      <c r="E8258" t="s">
        <v>25958</v>
      </c>
      <c r="F8258" t="s">
        <v>7672</v>
      </c>
      <c r="G8258" t="s">
        <v>18262</v>
      </c>
      <c r="H8258" t="s">
        <v>10298</v>
      </c>
      <c r="I8258" t="s">
        <v>9326</v>
      </c>
      <c r="J8258" t="s">
        <v>342</v>
      </c>
    </row>
    <row r="8259" spans="1:10" x14ac:dyDescent="0.25">
      <c r="A8259" t="s">
        <v>25963</v>
      </c>
      <c r="B8259">
        <v>8.0960000000000001</v>
      </c>
      <c r="C8259" t="s">
        <v>25964</v>
      </c>
      <c r="D8259" t="s">
        <v>1847</v>
      </c>
      <c r="E8259" t="s">
        <v>25958</v>
      </c>
      <c r="F8259" t="s">
        <v>7672</v>
      </c>
      <c r="G8259" t="s">
        <v>18262</v>
      </c>
      <c r="H8259" t="s">
        <v>10298</v>
      </c>
      <c r="I8259" t="s">
        <v>25965</v>
      </c>
      <c r="J8259" t="s">
        <v>342</v>
      </c>
    </row>
    <row r="8260" spans="1:10" x14ac:dyDescent="0.25">
      <c r="A8260" t="s">
        <v>25966</v>
      </c>
      <c r="B8260">
        <v>8.0960000000000001</v>
      </c>
      <c r="C8260" t="s">
        <v>25967</v>
      </c>
      <c r="D8260" t="s">
        <v>277</v>
      </c>
      <c r="E8260" t="s">
        <v>25958</v>
      </c>
      <c r="F8260" t="s">
        <v>7672</v>
      </c>
      <c r="G8260" t="s">
        <v>18262</v>
      </c>
      <c r="H8260" t="s">
        <v>10298</v>
      </c>
      <c r="I8260" t="s">
        <v>25968</v>
      </c>
      <c r="J8260" t="s">
        <v>342</v>
      </c>
    </row>
    <row r="8261" spans="1:10" x14ac:dyDescent="0.25">
      <c r="A8261" t="s">
        <v>25969</v>
      </c>
      <c r="B8261">
        <v>8.0960000000000001</v>
      </c>
      <c r="C8261" t="s">
        <v>25970</v>
      </c>
      <c r="D8261" t="s">
        <v>2797</v>
      </c>
      <c r="E8261" t="s">
        <v>25958</v>
      </c>
      <c r="F8261" t="s">
        <v>7672</v>
      </c>
      <c r="G8261" t="s">
        <v>18262</v>
      </c>
      <c r="H8261" t="s">
        <v>10298</v>
      </c>
      <c r="I8261" t="s">
        <v>1243</v>
      </c>
      <c r="J8261" t="s">
        <v>342</v>
      </c>
    </row>
    <row r="8262" spans="1:10" x14ac:dyDescent="0.25">
      <c r="A8262" t="s">
        <v>25971</v>
      </c>
      <c r="B8262">
        <v>8.0960000000000001</v>
      </c>
      <c r="C8262" t="s">
        <v>25972</v>
      </c>
      <c r="D8262" t="s">
        <v>3827</v>
      </c>
      <c r="E8262" t="s">
        <v>25958</v>
      </c>
      <c r="F8262" t="s">
        <v>7672</v>
      </c>
      <c r="G8262" t="s">
        <v>18262</v>
      </c>
      <c r="H8262" t="s">
        <v>10298</v>
      </c>
      <c r="I8262" t="s">
        <v>25965</v>
      </c>
      <c r="J8262" t="s">
        <v>100</v>
      </c>
    </row>
    <row r="8263" spans="1:10" x14ac:dyDescent="0.25">
      <c r="A8263" t="s">
        <v>25973</v>
      </c>
      <c r="B8263">
        <v>8.0960000000000001</v>
      </c>
      <c r="C8263" t="s">
        <v>25974</v>
      </c>
      <c r="D8263" t="s">
        <v>959</v>
      </c>
      <c r="E8263" t="s">
        <v>25958</v>
      </c>
      <c r="F8263" t="s">
        <v>7672</v>
      </c>
      <c r="G8263" t="s">
        <v>18262</v>
      </c>
      <c r="H8263" t="s">
        <v>10298</v>
      </c>
      <c r="I8263" t="s">
        <v>25968</v>
      </c>
      <c r="J8263" t="s">
        <v>100</v>
      </c>
    </row>
    <row r="8264" spans="1:10" x14ac:dyDescent="0.25">
      <c r="A8264" t="s">
        <v>25975</v>
      </c>
      <c r="B8264">
        <v>8.0960000000000001</v>
      </c>
      <c r="C8264" t="s">
        <v>25976</v>
      </c>
      <c r="D8264" t="s">
        <v>975</v>
      </c>
      <c r="E8264" t="s">
        <v>25958</v>
      </c>
      <c r="F8264" t="s">
        <v>7672</v>
      </c>
      <c r="G8264" t="s">
        <v>18262</v>
      </c>
      <c r="H8264" t="s">
        <v>10298</v>
      </c>
      <c r="I8264" t="s">
        <v>1243</v>
      </c>
      <c r="J8264" t="s">
        <v>100</v>
      </c>
    </row>
    <row r="8265" spans="1:10" x14ac:dyDescent="0.25">
      <c r="A8265" t="s">
        <v>25977</v>
      </c>
      <c r="B8265">
        <v>8.0960000000000001</v>
      </c>
      <c r="C8265" t="s">
        <v>25978</v>
      </c>
      <c r="D8265" t="s">
        <v>3153</v>
      </c>
      <c r="E8265" t="s">
        <v>25958</v>
      </c>
      <c r="F8265" t="s">
        <v>7672</v>
      </c>
      <c r="G8265" t="s">
        <v>18262</v>
      </c>
      <c r="H8265" t="s">
        <v>10298</v>
      </c>
      <c r="I8265" t="s">
        <v>25965</v>
      </c>
      <c r="J8265" t="s">
        <v>106</v>
      </c>
    </row>
    <row r="8266" spans="1:10" x14ac:dyDescent="0.25">
      <c r="A8266" t="s">
        <v>25979</v>
      </c>
      <c r="B8266">
        <v>8.0960000000000001</v>
      </c>
      <c r="C8266" t="s">
        <v>25980</v>
      </c>
      <c r="D8266" t="s">
        <v>321</v>
      </c>
      <c r="E8266" t="s">
        <v>25958</v>
      </c>
      <c r="F8266" t="s">
        <v>7672</v>
      </c>
      <c r="G8266" t="s">
        <v>18262</v>
      </c>
      <c r="H8266" t="s">
        <v>10298</v>
      </c>
      <c r="I8266" t="s">
        <v>1243</v>
      </c>
      <c r="J8266" t="s">
        <v>106</v>
      </c>
    </row>
    <row r="8267" spans="1:10" x14ac:dyDescent="0.25">
      <c r="A8267" t="s">
        <v>25981</v>
      </c>
      <c r="B8267">
        <v>8.0960000000000001</v>
      </c>
      <c r="C8267" t="s">
        <v>25982</v>
      </c>
      <c r="D8267" t="s">
        <v>959</v>
      </c>
      <c r="E8267" t="s">
        <v>25958</v>
      </c>
      <c r="F8267" t="s">
        <v>7672</v>
      </c>
      <c r="G8267" t="s">
        <v>18262</v>
      </c>
      <c r="H8267" t="s">
        <v>10298</v>
      </c>
      <c r="I8267" t="s">
        <v>25968</v>
      </c>
      <c r="J8267" t="s">
        <v>106</v>
      </c>
    </row>
    <row r="8268" spans="1:10" x14ac:dyDescent="0.25">
      <c r="A8268" t="s">
        <v>25983</v>
      </c>
      <c r="B8268">
        <v>8.0960000000000001</v>
      </c>
      <c r="C8268" t="s">
        <v>25984</v>
      </c>
      <c r="D8268" t="s">
        <v>25985</v>
      </c>
      <c r="E8268" t="s">
        <v>25958</v>
      </c>
      <c r="F8268" t="s">
        <v>7672</v>
      </c>
      <c r="G8268" t="s">
        <v>18262</v>
      </c>
      <c r="H8268" t="s">
        <v>10298</v>
      </c>
      <c r="I8268" t="s">
        <v>76</v>
      </c>
      <c r="J8268" t="s">
        <v>88</v>
      </c>
    </row>
    <row r="8269" spans="1:10" x14ac:dyDescent="0.25">
      <c r="A8269" t="s">
        <v>25986</v>
      </c>
      <c r="B8269">
        <v>13</v>
      </c>
      <c r="C8269" t="s">
        <v>25987</v>
      </c>
      <c r="D8269" t="s">
        <v>781</v>
      </c>
      <c r="E8269" t="s">
        <v>7290</v>
      </c>
      <c r="F8269" t="s">
        <v>7672</v>
      </c>
      <c r="G8269" t="s">
        <v>21054</v>
      </c>
      <c r="H8269" t="s">
        <v>9535</v>
      </c>
      <c r="I8269" t="s">
        <v>486</v>
      </c>
      <c r="J8269" t="s">
        <v>8687</v>
      </c>
    </row>
    <row r="8270" spans="1:10" x14ac:dyDescent="0.25">
      <c r="A8270" t="s">
        <v>25988</v>
      </c>
      <c r="B8270">
        <v>13</v>
      </c>
      <c r="C8270" t="s">
        <v>25989</v>
      </c>
      <c r="D8270" t="s">
        <v>40</v>
      </c>
      <c r="E8270" t="s">
        <v>7290</v>
      </c>
      <c r="F8270" t="s">
        <v>7672</v>
      </c>
      <c r="G8270" t="s">
        <v>21054</v>
      </c>
      <c r="H8270" t="s">
        <v>9535</v>
      </c>
      <c r="I8270" t="s">
        <v>486</v>
      </c>
      <c r="J8270" t="s">
        <v>9540</v>
      </c>
    </row>
    <row r="8271" spans="1:10" x14ac:dyDescent="0.25">
      <c r="A8271" t="s">
        <v>7287</v>
      </c>
      <c r="B8271">
        <v>13</v>
      </c>
      <c r="C8271" t="s">
        <v>7289</v>
      </c>
      <c r="D8271" t="s">
        <v>598</v>
      </c>
      <c r="E8271" t="s">
        <v>7290</v>
      </c>
      <c r="F8271" t="s">
        <v>7672</v>
      </c>
      <c r="G8271" t="s">
        <v>21054</v>
      </c>
      <c r="H8271" t="s">
        <v>9535</v>
      </c>
      <c r="I8271" t="s">
        <v>7296</v>
      </c>
      <c r="J8271" t="s">
        <v>9540</v>
      </c>
    </row>
    <row r="8272" spans="1:10" x14ac:dyDescent="0.25">
      <c r="A8272" t="s">
        <v>25990</v>
      </c>
      <c r="B8272">
        <v>12</v>
      </c>
      <c r="C8272" t="s">
        <v>25991</v>
      </c>
      <c r="D8272" t="s">
        <v>964</v>
      </c>
      <c r="E8272" t="s">
        <v>7290</v>
      </c>
      <c r="F8272" t="s">
        <v>7672</v>
      </c>
      <c r="G8272" t="s">
        <v>21054</v>
      </c>
      <c r="H8272" t="s">
        <v>9535</v>
      </c>
      <c r="I8272" t="s">
        <v>25992</v>
      </c>
      <c r="J8272" t="s">
        <v>9540</v>
      </c>
    </row>
    <row r="8273" spans="1:10" x14ac:dyDescent="0.25">
      <c r="A8273" t="s">
        <v>25993</v>
      </c>
      <c r="B8273">
        <v>13</v>
      </c>
      <c r="C8273" t="s">
        <v>25994</v>
      </c>
      <c r="D8273" t="s">
        <v>865</v>
      </c>
      <c r="E8273" t="s">
        <v>7290</v>
      </c>
      <c r="F8273" t="s">
        <v>7672</v>
      </c>
      <c r="G8273" t="s">
        <v>21054</v>
      </c>
      <c r="H8273" t="s">
        <v>9535</v>
      </c>
      <c r="I8273" t="s">
        <v>486</v>
      </c>
      <c r="J8273" t="s">
        <v>9547</v>
      </c>
    </row>
    <row r="8274" spans="1:10" x14ac:dyDescent="0.25">
      <c r="A8274" t="s">
        <v>7292</v>
      </c>
      <c r="B8274">
        <v>13</v>
      </c>
      <c r="C8274" t="s">
        <v>7294</v>
      </c>
      <c r="D8274" t="s">
        <v>2149</v>
      </c>
      <c r="E8274" t="s">
        <v>7290</v>
      </c>
      <c r="F8274" t="s">
        <v>7672</v>
      </c>
      <c r="G8274" t="s">
        <v>21054</v>
      </c>
      <c r="H8274" t="s">
        <v>9535</v>
      </c>
      <c r="I8274" t="s">
        <v>7296</v>
      </c>
      <c r="J8274" t="s">
        <v>9547</v>
      </c>
    </row>
    <row r="8275" spans="1:10" x14ac:dyDescent="0.25">
      <c r="A8275" t="s">
        <v>25995</v>
      </c>
      <c r="B8275">
        <v>5.7600000000000007</v>
      </c>
      <c r="C8275" t="s">
        <v>25996</v>
      </c>
      <c r="D8275" t="s">
        <v>1134</v>
      </c>
      <c r="E8275" t="s">
        <v>25997</v>
      </c>
      <c r="F8275" t="s">
        <v>7672</v>
      </c>
      <c r="G8275" t="s">
        <v>25998</v>
      </c>
      <c r="H8275" t="s">
        <v>11496</v>
      </c>
      <c r="I8275" t="s">
        <v>935</v>
      </c>
      <c r="J8275" t="s">
        <v>9423</v>
      </c>
    </row>
    <row r="8276" spans="1:10" x14ac:dyDescent="0.25">
      <c r="A8276" t="s">
        <v>25999</v>
      </c>
      <c r="B8276">
        <v>5.7600000000000007</v>
      </c>
      <c r="C8276" t="s">
        <v>26000</v>
      </c>
      <c r="D8276" t="s">
        <v>742</v>
      </c>
      <c r="E8276" t="s">
        <v>25997</v>
      </c>
      <c r="F8276" t="s">
        <v>7672</v>
      </c>
      <c r="G8276" t="s">
        <v>25998</v>
      </c>
      <c r="H8276" t="s">
        <v>11496</v>
      </c>
      <c r="I8276" t="s">
        <v>935</v>
      </c>
      <c r="J8276" t="s">
        <v>9426</v>
      </c>
    </row>
    <row r="8277" spans="1:10" x14ac:dyDescent="0.25">
      <c r="A8277" t="s">
        <v>26001</v>
      </c>
      <c r="B8277">
        <v>17.488</v>
      </c>
      <c r="C8277" t="s">
        <v>26002</v>
      </c>
      <c r="D8277" t="s">
        <v>88</v>
      </c>
      <c r="E8277" t="s">
        <v>26003</v>
      </c>
      <c r="F8277" t="s">
        <v>7672</v>
      </c>
      <c r="G8277" t="s">
        <v>26004</v>
      </c>
      <c r="H8277" t="s">
        <v>12423</v>
      </c>
      <c r="I8277" t="s">
        <v>12424</v>
      </c>
      <c r="J8277" t="s">
        <v>7713</v>
      </c>
    </row>
    <row r="8278" spans="1:10" x14ac:dyDescent="0.25">
      <c r="A8278" t="s">
        <v>26005</v>
      </c>
      <c r="B8278">
        <v>17.488</v>
      </c>
      <c r="C8278" t="s">
        <v>26006</v>
      </c>
      <c r="D8278" t="s">
        <v>698</v>
      </c>
      <c r="E8278" t="s">
        <v>26003</v>
      </c>
      <c r="F8278" t="s">
        <v>7672</v>
      </c>
      <c r="G8278" t="s">
        <v>26004</v>
      </c>
      <c r="H8278" t="s">
        <v>12423</v>
      </c>
      <c r="I8278" t="s">
        <v>26007</v>
      </c>
      <c r="J8278" t="s">
        <v>7713</v>
      </c>
    </row>
    <row r="8279" spans="1:10" x14ac:dyDescent="0.25">
      <c r="A8279" t="s">
        <v>26008</v>
      </c>
      <c r="B8279">
        <v>17.488</v>
      </c>
      <c r="C8279" t="s">
        <v>26009</v>
      </c>
      <c r="D8279" t="s">
        <v>366</v>
      </c>
      <c r="E8279" t="s">
        <v>26003</v>
      </c>
      <c r="F8279" t="s">
        <v>7672</v>
      </c>
      <c r="G8279" t="s">
        <v>26004</v>
      </c>
      <c r="H8279" t="s">
        <v>12423</v>
      </c>
      <c r="I8279" t="s">
        <v>1705</v>
      </c>
      <c r="J8279" t="s">
        <v>7713</v>
      </c>
    </row>
    <row r="8280" spans="1:10" x14ac:dyDescent="0.25">
      <c r="A8280" t="s">
        <v>26010</v>
      </c>
      <c r="B8280">
        <v>17.488</v>
      </c>
      <c r="C8280" t="s">
        <v>26011</v>
      </c>
      <c r="D8280" t="s">
        <v>277</v>
      </c>
      <c r="E8280" t="s">
        <v>26003</v>
      </c>
      <c r="F8280" t="s">
        <v>7672</v>
      </c>
      <c r="G8280" t="s">
        <v>26004</v>
      </c>
      <c r="H8280" t="s">
        <v>12423</v>
      </c>
      <c r="I8280" t="s">
        <v>26007</v>
      </c>
      <c r="J8280" t="s">
        <v>7719</v>
      </c>
    </row>
    <row r="8281" spans="1:10" x14ac:dyDescent="0.25">
      <c r="A8281" t="s">
        <v>26012</v>
      </c>
      <c r="B8281">
        <v>17.488</v>
      </c>
      <c r="C8281" t="s">
        <v>26013</v>
      </c>
      <c r="D8281" t="s">
        <v>269</v>
      </c>
      <c r="E8281" t="s">
        <v>26003</v>
      </c>
      <c r="F8281" t="s">
        <v>7672</v>
      </c>
      <c r="G8281" t="s">
        <v>26004</v>
      </c>
      <c r="H8281" t="s">
        <v>12423</v>
      </c>
      <c r="I8281" t="s">
        <v>1705</v>
      </c>
      <c r="J8281" t="s">
        <v>7719</v>
      </c>
    </row>
    <row r="8282" spans="1:10" x14ac:dyDescent="0.25">
      <c r="A8282" t="s">
        <v>26014</v>
      </c>
      <c r="B8282">
        <v>4.7920000000000007</v>
      </c>
      <c r="C8282" t="s">
        <v>26015</v>
      </c>
      <c r="D8282" t="s">
        <v>3954</v>
      </c>
      <c r="E8282" t="s">
        <v>26016</v>
      </c>
      <c r="F8282" t="s">
        <v>7672</v>
      </c>
      <c r="G8282" t="s">
        <v>26017</v>
      </c>
      <c r="H8282" t="s">
        <v>25365</v>
      </c>
      <c r="I8282" t="s">
        <v>11094</v>
      </c>
      <c r="J8282" t="s">
        <v>9694</v>
      </c>
    </row>
    <row r="8283" spans="1:10" x14ac:dyDescent="0.25">
      <c r="A8283" t="s">
        <v>7297</v>
      </c>
      <c r="B8283">
        <v>4.7920000000000007</v>
      </c>
      <c r="C8283" t="s">
        <v>7299</v>
      </c>
      <c r="D8283" t="s">
        <v>7302</v>
      </c>
      <c r="E8283" t="s">
        <v>7300</v>
      </c>
      <c r="F8283" t="s">
        <v>7672</v>
      </c>
      <c r="G8283" t="s">
        <v>26018</v>
      </c>
      <c r="H8283" t="s">
        <v>26019</v>
      </c>
      <c r="I8283" t="s">
        <v>497</v>
      </c>
      <c r="J8283" t="s">
        <v>9694</v>
      </c>
    </row>
    <row r="8284" spans="1:10" x14ac:dyDescent="0.25">
      <c r="A8284" t="s">
        <v>26020</v>
      </c>
      <c r="B8284">
        <v>10</v>
      </c>
      <c r="C8284" t="s">
        <v>26021</v>
      </c>
      <c r="D8284" t="s">
        <v>229</v>
      </c>
      <c r="E8284" t="s">
        <v>26022</v>
      </c>
      <c r="F8284" t="s">
        <v>7672</v>
      </c>
      <c r="G8284" t="s">
        <v>26023</v>
      </c>
      <c r="H8284" t="s">
        <v>8779</v>
      </c>
      <c r="I8284" t="s">
        <v>26024</v>
      </c>
      <c r="J8284" t="s">
        <v>7981</v>
      </c>
    </row>
    <row r="8285" spans="1:10" x14ac:dyDescent="0.25">
      <c r="A8285" t="s">
        <v>26025</v>
      </c>
      <c r="B8285">
        <v>10</v>
      </c>
      <c r="C8285" t="s">
        <v>26026</v>
      </c>
      <c r="D8285" t="s">
        <v>53</v>
      </c>
      <c r="E8285" t="s">
        <v>26022</v>
      </c>
      <c r="F8285" t="s">
        <v>7672</v>
      </c>
      <c r="G8285" t="s">
        <v>26023</v>
      </c>
      <c r="H8285" t="s">
        <v>8779</v>
      </c>
      <c r="I8285" t="s">
        <v>26027</v>
      </c>
      <c r="J8285" t="s">
        <v>7981</v>
      </c>
    </row>
    <row r="8286" spans="1:10" x14ac:dyDescent="0.25">
      <c r="A8286" t="s">
        <v>26028</v>
      </c>
      <c r="B8286">
        <v>10</v>
      </c>
      <c r="C8286" t="s">
        <v>26029</v>
      </c>
      <c r="D8286" t="s">
        <v>106</v>
      </c>
      <c r="E8286" t="s">
        <v>26022</v>
      </c>
      <c r="F8286" t="s">
        <v>7672</v>
      </c>
      <c r="G8286" t="s">
        <v>26023</v>
      </c>
      <c r="H8286" t="s">
        <v>8779</v>
      </c>
      <c r="I8286" t="s">
        <v>26030</v>
      </c>
      <c r="J8286" t="s">
        <v>7981</v>
      </c>
    </row>
    <row r="8287" spans="1:10" x14ac:dyDescent="0.25">
      <c r="A8287" t="s">
        <v>26031</v>
      </c>
      <c r="B8287">
        <v>10</v>
      </c>
      <c r="C8287" t="s">
        <v>26032</v>
      </c>
      <c r="D8287" t="s">
        <v>981</v>
      </c>
      <c r="E8287" t="s">
        <v>26022</v>
      </c>
      <c r="F8287" t="s">
        <v>7672</v>
      </c>
      <c r="G8287" t="s">
        <v>26023</v>
      </c>
      <c r="H8287" t="s">
        <v>8779</v>
      </c>
      <c r="I8287" t="s">
        <v>26024</v>
      </c>
      <c r="J8287" t="s">
        <v>7984</v>
      </c>
    </row>
    <row r="8288" spans="1:10" x14ac:dyDescent="0.25">
      <c r="A8288" t="s">
        <v>26033</v>
      </c>
      <c r="B8288">
        <v>10</v>
      </c>
      <c r="C8288" t="s">
        <v>26034</v>
      </c>
      <c r="D8288" t="s">
        <v>250</v>
      </c>
      <c r="E8288" t="s">
        <v>26022</v>
      </c>
      <c r="F8288" t="s">
        <v>7672</v>
      </c>
      <c r="G8288" t="s">
        <v>26023</v>
      </c>
      <c r="H8288" t="s">
        <v>8779</v>
      </c>
      <c r="I8288" t="s">
        <v>26027</v>
      </c>
      <c r="J8288" t="s">
        <v>7984</v>
      </c>
    </row>
    <row r="8289" spans="1:10" x14ac:dyDescent="0.25">
      <c r="A8289" t="s">
        <v>26035</v>
      </c>
      <c r="B8289">
        <v>10</v>
      </c>
      <c r="C8289" t="s">
        <v>26036</v>
      </c>
      <c r="D8289" t="s">
        <v>301</v>
      </c>
      <c r="E8289" t="s">
        <v>26022</v>
      </c>
      <c r="F8289" t="s">
        <v>7672</v>
      </c>
      <c r="G8289" t="s">
        <v>26023</v>
      </c>
      <c r="H8289" t="s">
        <v>8779</v>
      </c>
      <c r="I8289" t="s">
        <v>26030</v>
      </c>
      <c r="J8289" t="s">
        <v>7984</v>
      </c>
    </row>
    <row r="8290" spans="1:10" x14ac:dyDescent="0.25">
      <c r="A8290" t="s">
        <v>26037</v>
      </c>
      <c r="B8290">
        <v>10</v>
      </c>
      <c r="C8290" t="s">
        <v>26038</v>
      </c>
      <c r="D8290" t="s">
        <v>255</v>
      </c>
      <c r="E8290" t="s">
        <v>26022</v>
      </c>
      <c r="F8290" t="s">
        <v>7672</v>
      </c>
      <c r="G8290" t="s">
        <v>26023</v>
      </c>
      <c r="H8290" t="s">
        <v>8779</v>
      </c>
      <c r="I8290" t="s">
        <v>26024</v>
      </c>
      <c r="J8290" t="s">
        <v>7987</v>
      </c>
    </row>
    <row r="8291" spans="1:10" x14ac:dyDescent="0.25">
      <c r="A8291" t="s">
        <v>26039</v>
      </c>
      <c r="B8291">
        <v>8</v>
      </c>
      <c r="C8291" t="s">
        <v>26040</v>
      </c>
      <c r="D8291" t="s">
        <v>269</v>
      </c>
      <c r="E8291" t="s">
        <v>26041</v>
      </c>
      <c r="F8291" t="s">
        <v>7672</v>
      </c>
      <c r="G8291" t="s">
        <v>26042</v>
      </c>
      <c r="H8291" t="s">
        <v>8301</v>
      </c>
      <c r="I8291" t="s">
        <v>26043</v>
      </c>
      <c r="J8291" t="s">
        <v>7942</v>
      </c>
    </row>
    <row r="8292" spans="1:10" x14ac:dyDescent="0.25">
      <c r="A8292" t="s">
        <v>26044</v>
      </c>
      <c r="B8292">
        <v>8</v>
      </c>
      <c r="C8292" t="s">
        <v>26045</v>
      </c>
      <c r="D8292" t="s">
        <v>106</v>
      </c>
      <c r="E8292" t="s">
        <v>26041</v>
      </c>
      <c r="F8292" t="s">
        <v>7672</v>
      </c>
      <c r="G8292" t="s">
        <v>26042</v>
      </c>
      <c r="H8292" t="s">
        <v>8301</v>
      </c>
      <c r="I8292" t="s">
        <v>26046</v>
      </c>
      <c r="J8292" t="s">
        <v>7942</v>
      </c>
    </row>
    <row r="8293" spans="1:10" x14ac:dyDescent="0.25">
      <c r="A8293" t="s">
        <v>26047</v>
      </c>
      <c r="B8293">
        <v>8</v>
      </c>
      <c r="C8293" t="s">
        <v>26048</v>
      </c>
      <c r="D8293" t="s">
        <v>366</v>
      </c>
      <c r="E8293" t="s">
        <v>26041</v>
      </c>
      <c r="F8293" t="s">
        <v>7672</v>
      </c>
      <c r="G8293" t="s">
        <v>26042</v>
      </c>
      <c r="H8293" t="s">
        <v>8301</v>
      </c>
      <c r="I8293" t="s">
        <v>8158</v>
      </c>
      <c r="J8293" t="s">
        <v>7942</v>
      </c>
    </row>
    <row r="8294" spans="1:10" x14ac:dyDescent="0.25">
      <c r="A8294" t="s">
        <v>26049</v>
      </c>
      <c r="B8294">
        <v>8</v>
      </c>
      <c r="C8294" t="s">
        <v>26050</v>
      </c>
      <c r="D8294" t="s">
        <v>1143</v>
      </c>
      <c r="E8294" t="s">
        <v>26041</v>
      </c>
      <c r="F8294" t="s">
        <v>7672</v>
      </c>
      <c r="G8294" t="s">
        <v>26042</v>
      </c>
      <c r="H8294" t="s">
        <v>8301</v>
      </c>
      <c r="I8294" t="s">
        <v>26046</v>
      </c>
      <c r="J8294" t="s">
        <v>7981</v>
      </c>
    </row>
    <row r="8295" spans="1:10" x14ac:dyDescent="0.25">
      <c r="A8295" t="s">
        <v>26051</v>
      </c>
      <c r="B8295">
        <v>8</v>
      </c>
      <c r="C8295" t="s">
        <v>26052</v>
      </c>
      <c r="D8295" t="s">
        <v>2371</v>
      </c>
      <c r="E8295" t="s">
        <v>26041</v>
      </c>
      <c r="F8295" t="s">
        <v>7672</v>
      </c>
      <c r="G8295" t="s">
        <v>26042</v>
      </c>
      <c r="H8295" t="s">
        <v>8301</v>
      </c>
      <c r="I8295" t="s">
        <v>8158</v>
      </c>
      <c r="J8295" t="s">
        <v>7981</v>
      </c>
    </row>
    <row r="8296" spans="1:10" x14ac:dyDescent="0.25">
      <c r="A8296" t="s">
        <v>26053</v>
      </c>
      <c r="B8296">
        <v>7.6000000000000014</v>
      </c>
      <c r="C8296" t="s">
        <v>26054</v>
      </c>
      <c r="D8296" t="s">
        <v>1644</v>
      </c>
      <c r="E8296" t="s">
        <v>7307</v>
      </c>
      <c r="F8296" t="s">
        <v>7672</v>
      </c>
      <c r="G8296" t="s">
        <v>26055</v>
      </c>
      <c r="H8296" t="s">
        <v>11381</v>
      </c>
      <c r="I8296" t="s">
        <v>7309</v>
      </c>
      <c r="J8296" t="s">
        <v>7942</v>
      </c>
    </row>
    <row r="8297" spans="1:10" x14ac:dyDescent="0.25">
      <c r="A8297" t="s">
        <v>26056</v>
      </c>
      <c r="B8297">
        <v>7.6000000000000014</v>
      </c>
      <c r="C8297" t="s">
        <v>26057</v>
      </c>
      <c r="D8297" t="s">
        <v>17283</v>
      </c>
      <c r="E8297" t="s">
        <v>7307</v>
      </c>
      <c r="F8297" t="s">
        <v>7672</v>
      </c>
      <c r="G8297" t="s">
        <v>26055</v>
      </c>
      <c r="H8297" t="s">
        <v>11381</v>
      </c>
      <c r="I8297" t="s">
        <v>7309</v>
      </c>
      <c r="J8297" t="s">
        <v>7981</v>
      </c>
    </row>
    <row r="8298" spans="1:10" x14ac:dyDescent="0.25">
      <c r="A8298" t="s">
        <v>7304</v>
      </c>
      <c r="B8298">
        <v>7.6000000000000014</v>
      </c>
      <c r="C8298" t="s">
        <v>7306</v>
      </c>
      <c r="D8298" t="s">
        <v>2587</v>
      </c>
      <c r="E8298" t="s">
        <v>7307</v>
      </c>
      <c r="F8298" t="s">
        <v>7672</v>
      </c>
      <c r="G8298" t="s">
        <v>26055</v>
      </c>
      <c r="H8298" t="s">
        <v>11381</v>
      </c>
      <c r="I8298" t="s">
        <v>7309</v>
      </c>
      <c r="J8298" t="s">
        <v>7984</v>
      </c>
    </row>
    <row r="8299" spans="1:10" x14ac:dyDescent="0.25">
      <c r="A8299" t="s">
        <v>26058</v>
      </c>
      <c r="B8299">
        <v>6.7200000000000006</v>
      </c>
      <c r="C8299" t="s">
        <v>26059</v>
      </c>
      <c r="D8299" t="s">
        <v>255</v>
      </c>
      <c r="E8299" t="s">
        <v>26060</v>
      </c>
      <c r="F8299" t="s">
        <v>7672</v>
      </c>
      <c r="G8299" t="s">
        <v>26061</v>
      </c>
      <c r="H8299" t="s">
        <v>7974</v>
      </c>
      <c r="I8299" t="s">
        <v>26062</v>
      </c>
      <c r="J8299" t="s">
        <v>8603</v>
      </c>
    </row>
    <row r="8300" spans="1:10" x14ac:dyDescent="0.25">
      <c r="A8300" t="s">
        <v>26063</v>
      </c>
      <c r="B8300">
        <v>6.7200000000000006</v>
      </c>
      <c r="C8300" t="s">
        <v>26064</v>
      </c>
      <c r="D8300" t="s">
        <v>199</v>
      </c>
      <c r="E8300" t="s">
        <v>26060</v>
      </c>
      <c r="F8300" t="s">
        <v>7672</v>
      </c>
      <c r="G8300" t="s">
        <v>26061</v>
      </c>
      <c r="H8300" t="s">
        <v>7974</v>
      </c>
      <c r="I8300" t="s">
        <v>17045</v>
      </c>
      <c r="J8300" t="s">
        <v>8615</v>
      </c>
    </row>
    <row r="8301" spans="1:10" x14ac:dyDescent="0.25">
      <c r="A8301" t="s">
        <v>26065</v>
      </c>
      <c r="B8301">
        <v>6.7200000000000006</v>
      </c>
      <c r="C8301" t="s">
        <v>26066</v>
      </c>
      <c r="D8301" t="s">
        <v>164</v>
      </c>
      <c r="E8301" t="s">
        <v>26060</v>
      </c>
      <c r="F8301" t="s">
        <v>7672</v>
      </c>
      <c r="G8301" t="s">
        <v>26061</v>
      </c>
      <c r="H8301" t="s">
        <v>7974</v>
      </c>
      <c r="I8301" t="s">
        <v>26067</v>
      </c>
      <c r="J8301" t="s">
        <v>8615</v>
      </c>
    </row>
    <row r="8302" spans="1:10" x14ac:dyDescent="0.25">
      <c r="A8302" t="s">
        <v>26068</v>
      </c>
      <c r="B8302">
        <v>6.7200000000000006</v>
      </c>
      <c r="C8302" t="s">
        <v>26069</v>
      </c>
      <c r="D8302" t="s">
        <v>282</v>
      </c>
      <c r="E8302" t="s">
        <v>26060</v>
      </c>
      <c r="F8302" t="s">
        <v>7672</v>
      </c>
      <c r="G8302" t="s">
        <v>26061</v>
      </c>
      <c r="H8302" t="s">
        <v>7974</v>
      </c>
      <c r="I8302" t="s">
        <v>26070</v>
      </c>
      <c r="J8302" t="s">
        <v>8615</v>
      </c>
    </row>
    <row r="8303" spans="1:10" x14ac:dyDescent="0.25">
      <c r="A8303" t="s">
        <v>26071</v>
      </c>
      <c r="B8303">
        <v>6.7200000000000006</v>
      </c>
      <c r="C8303" t="s">
        <v>26072</v>
      </c>
      <c r="D8303" t="s">
        <v>359</v>
      </c>
      <c r="E8303" t="s">
        <v>26060</v>
      </c>
      <c r="F8303" t="s">
        <v>7672</v>
      </c>
      <c r="G8303" t="s">
        <v>26061</v>
      </c>
      <c r="H8303" t="s">
        <v>7974</v>
      </c>
      <c r="I8303" t="s">
        <v>26062</v>
      </c>
      <c r="J8303" t="s">
        <v>8615</v>
      </c>
    </row>
    <row r="8304" spans="1:10" x14ac:dyDescent="0.25">
      <c r="A8304" t="s">
        <v>26073</v>
      </c>
      <c r="B8304">
        <v>6.7200000000000006</v>
      </c>
      <c r="C8304" t="s">
        <v>26074</v>
      </c>
      <c r="D8304" t="s">
        <v>286</v>
      </c>
      <c r="E8304" t="s">
        <v>26060</v>
      </c>
      <c r="F8304" t="s">
        <v>7672</v>
      </c>
      <c r="G8304" t="s">
        <v>26061</v>
      </c>
      <c r="H8304" t="s">
        <v>7974</v>
      </c>
      <c r="I8304" t="s">
        <v>21795</v>
      </c>
      <c r="J8304" t="s">
        <v>8615</v>
      </c>
    </row>
    <row r="8305" spans="1:10" x14ac:dyDescent="0.25">
      <c r="A8305" t="s">
        <v>26075</v>
      </c>
      <c r="B8305">
        <v>6.7200000000000006</v>
      </c>
      <c r="C8305" t="s">
        <v>26076</v>
      </c>
      <c r="D8305" t="s">
        <v>60</v>
      </c>
      <c r="E8305" t="s">
        <v>26060</v>
      </c>
      <c r="F8305" t="s">
        <v>7672</v>
      </c>
      <c r="G8305" t="s">
        <v>26061</v>
      </c>
      <c r="H8305" t="s">
        <v>7974</v>
      </c>
      <c r="I8305" t="s">
        <v>26077</v>
      </c>
      <c r="J8305" t="s">
        <v>8625</v>
      </c>
    </row>
    <row r="8306" spans="1:10" x14ac:dyDescent="0.25">
      <c r="A8306" t="s">
        <v>26078</v>
      </c>
      <c r="B8306">
        <v>6.7200000000000006</v>
      </c>
      <c r="C8306" t="s">
        <v>26079</v>
      </c>
      <c r="D8306" t="s">
        <v>250</v>
      </c>
      <c r="E8306" t="s">
        <v>26060</v>
      </c>
      <c r="F8306" t="s">
        <v>7672</v>
      </c>
      <c r="G8306" t="s">
        <v>26061</v>
      </c>
      <c r="H8306" t="s">
        <v>7974</v>
      </c>
      <c r="I8306" t="s">
        <v>17045</v>
      </c>
      <c r="J8306" t="s">
        <v>8625</v>
      </c>
    </row>
    <row r="8307" spans="1:10" x14ac:dyDescent="0.25">
      <c r="A8307" t="s">
        <v>26080</v>
      </c>
      <c r="B8307">
        <v>6.7200000000000006</v>
      </c>
      <c r="C8307" t="s">
        <v>26081</v>
      </c>
      <c r="D8307" t="s">
        <v>359</v>
      </c>
      <c r="E8307" t="s">
        <v>26060</v>
      </c>
      <c r="F8307" t="s">
        <v>7672</v>
      </c>
      <c r="G8307" t="s">
        <v>26061</v>
      </c>
      <c r="H8307" t="s">
        <v>7974</v>
      </c>
      <c r="I8307" t="s">
        <v>26067</v>
      </c>
      <c r="J8307" t="s">
        <v>8625</v>
      </c>
    </row>
    <row r="8308" spans="1:10" x14ac:dyDescent="0.25">
      <c r="A8308" t="s">
        <v>26082</v>
      </c>
      <c r="B8308">
        <v>6.7200000000000006</v>
      </c>
      <c r="C8308" t="s">
        <v>26083</v>
      </c>
      <c r="D8308" t="s">
        <v>250</v>
      </c>
      <c r="E8308" t="s">
        <v>26060</v>
      </c>
      <c r="F8308" t="s">
        <v>7672</v>
      </c>
      <c r="G8308" t="s">
        <v>26061</v>
      </c>
      <c r="H8308" t="s">
        <v>7974</v>
      </c>
      <c r="I8308" t="s">
        <v>26070</v>
      </c>
      <c r="J8308" t="s">
        <v>8625</v>
      </c>
    </row>
    <row r="8309" spans="1:10" x14ac:dyDescent="0.25">
      <c r="A8309" t="s">
        <v>26084</v>
      </c>
      <c r="B8309">
        <v>6.7200000000000006</v>
      </c>
      <c r="C8309" t="s">
        <v>26085</v>
      </c>
      <c r="D8309" t="s">
        <v>1236</v>
      </c>
      <c r="E8309" t="s">
        <v>26060</v>
      </c>
      <c r="F8309" t="s">
        <v>7672</v>
      </c>
      <c r="G8309" t="s">
        <v>26061</v>
      </c>
      <c r="H8309" t="s">
        <v>7974</v>
      </c>
      <c r="I8309" t="s">
        <v>26062</v>
      </c>
      <c r="J8309" t="s">
        <v>8625</v>
      </c>
    </row>
    <row r="8310" spans="1:10" x14ac:dyDescent="0.25">
      <c r="A8310" t="s">
        <v>26086</v>
      </c>
      <c r="B8310">
        <v>6.7200000000000006</v>
      </c>
      <c r="C8310" t="s">
        <v>26087</v>
      </c>
      <c r="D8310" t="s">
        <v>100</v>
      </c>
      <c r="E8310" t="s">
        <v>26060</v>
      </c>
      <c r="F8310" t="s">
        <v>7672</v>
      </c>
      <c r="G8310" t="s">
        <v>26061</v>
      </c>
      <c r="H8310" t="s">
        <v>7974</v>
      </c>
      <c r="I8310" t="s">
        <v>26088</v>
      </c>
      <c r="J8310" t="s">
        <v>8625</v>
      </c>
    </row>
    <row r="8311" spans="1:10" x14ac:dyDescent="0.25">
      <c r="A8311" t="s">
        <v>26089</v>
      </c>
      <c r="B8311">
        <v>6.7200000000000006</v>
      </c>
      <c r="C8311" t="s">
        <v>26090</v>
      </c>
      <c r="D8311" t="s">
        <v>60</v>
      </c>
      <c r="E8311" t="s">
        <v>26060</v>
      </c>
      <c r="F8311" t="s">
        <v>7672</v>
      </c>
      <c r="G8311" t="s">
        <v>26061</v>
      </c>
      <c r="H8311" t="s">
        <v>7974</v>
      </c>
      <c r="I8311" t="s">
        <v>26091</v>
      </c>
      <c r="J8311" t="s">
        <v>8625</v>
      </c>
    </row>
    <row r="8312" spans="1:10" x14ac:dyDescent="0.25">
      <c r="A8312" t="s">
        <v>26092</v>
      </c>
      <c r="B8312">
        <v>11.52</v>
      </c>
      <c r="C8312" t="s">
        <v>26093</v>
      </c>
      <c r="D8312" t="s">
        <v>330</v>
      </c>
      <c r="E8312" t="s">
        <v>26094</v>
      </c>
      <c r="F8312" t="s">
        <v>7672</v>
      </c>
      <c r="G8312" t="s">
        <v>26095</v>
      </c>
      <c r="H8312" t="s">
        <v>7954</v>
      </c>
      <c r="I8312" t="s">
        <v>26096</v>
      </c>
      <c r="J8312" t="s">
        <v>7981</v>
      </c>
    </row>
    <row r="8313" spans="1:10" x14ac:dyDescent="0.25">
      <c r="A8313" t="s">
        <v>26097</v>
      </c>
      <c r="B8313">
        <v>11.52</v>
      </c>
      <c r="C8313" t="s">
        <v>26098</v>
      </c>
      <c r="D8313" t="s">
        <v>516</v>
      </c>
      <c r="E8313" t="s">
        <v>26094</v>
      </c>
      <c r="F8313" t="s">
        <v>7672</v>
      </c>
      <c r="G8313" t="s">
        <v>26095</v>
      </c>
      <c r="H8313" t="s">
        <v>7954</v>
      </c>
      <c r="I8313" t="s">
        <v>26096</v>
      </c>
      <c r="J8313" t="s">
        <v>7987</v>
      </c>
    </row>
    <row r="8314" spans="1:10" x14ac:dyDescent="0.25">
      <c r="A8314" t="s">
        <v>26099</v>
      </c>
      <c r="B8314">
        <v>11.52</v>
      </c>
      <c r="C8314" t="s">
        <v>26100</v>
      </c>
      <c r="D8314" t="s">
        <v>2099</v>
      </c>
      <c r="E8314" t="s">
        <v>26094</v>
      </c>
      <c r="F8314" t="s">
        <v>7672</v>
      </c>
      <c r="G8314" t="s">
        <v>26095</v>
      </c>
      <c r="H8314" t="s">
        <v>7954</v>
      </c>
      <c r="I8314" t="s">
        <v>26096</v>
      </c>
      <c r="J8314" t="s">
        <v>8001</v>
      </c>
    </row>
    <row r="8315" spans="1:10" x14ac:dyDescent="0.25">
      <c r="A8315" t="s">
        <v>26101</v>
      </c>
      <c r="B8315">
        <v>17.600000000000001</v>
      </c>
      <c r="C8315" t="s">
        <v>26102</v>
      </c>
      <c r="D8315" t="s">
        <v>742</v>
      </c>
      <c r="E8315" t="s">
        <v>26103</v>
      </c>
      <c r="F8315" t="s">
        <v>7672</v>
      </c>
      <c r="G8315" t="s">
        <v>26104</v>
      </c>
      <c r="H8315" t="s">
        <v>9127</v>
      </c>
      <c r="I8315" t="s">
        <v>26105</v>
      </c>
      <c r="J8315" t="s">
        <v>7984</v>
      </c>
    </row>
    <row r="8316" spans="1:10" x14ac:dyDescent="0.25">
      <c r="A8316" t="s">
        <v>26106</v>
      </c>
      <c r="B8316">
        <v>17.600000000000001</v>
      </c>
      <c r="C8316" t="s">
        <v>26107</v>
      </c>
      <c r="D8316" t="s">
        <v>1811</v>
      </c>
      <c r="E8316" t="s">
        <v>26103</v>
      </c>
      <c r="F8316" t="s">
        <v>7672</v>
      </c>
      <c r="G8316" t="s">
        <v>26104</v>
      </c>
      <c r="H8316" t="s">
        <v>9127</v>
      </c>
      <c r="I8316" t="s">
        <v>26105</v>
      </c>
      <c r="J8316" t="s">
        <v>7987</v>
      </c>
    </row>
    <row r="8317" spans="1:10" x14ac:dyDescent="0.25">
      <c r="A8317" t="s">
        <v>26108</v>
      </c>
      <c r="B8317">
        <v>17.600000000000001</v>
      </c>
      <c r="C8317" t="s">
        <v>26109</v>
      </c>
      <c r="D8317" t="s">
        <v>306</v>
      </c>
      <c r="E8317" t="s">
        <v>26103</v>
      </c>
      <c r="F8317" t="s">
        <v>7672</v>
      </c>
      <c r="G8317" t="s">
        <v>26104</v>
      </c>
      <c r="H8317" t="s">
        <v>9127</v>
      </c>
      <c r="I8317" t="s">
        <v>26105</v>
      </c>
      <c r="J8317" t="s">
        <v>8001</v>
      </c>
    </row>
    <row r="8318" spans="1:10" x14ac:dyDescent="0.25">
      <c r="A8318" t="s">
        <v>26110</v>
      </c>
      <c r="B8318">
        <v>17.600000000000001</v>
      </c>
      <c r="C8318" t="s">
        <v>26111</v>
      </c>
      <c r="D8318" t="s">
        <v>240</v>
      </c>
      <c r="E8318" t="s">
        <v>26103</v>
      </c>
      <c r="F8318" t="s">
        <v>7672</v>
      </c>
      <c r="G8318" t="s">
        <v>26104</v>
      </c>
      <c r="H8318" t="s">
        <v>9127</v>
      </c>
      <c r="I8318" t="s">
        <v>26105</v>
      </c>
      <c r="J8318" t="s">
        <v>8013</v>
      </c>
    </row>
    <row r="8319" spans="1:10" x14ac:dyDescent="0.25">
      <c r="A8319" t="s">
        <v>26112</v>
      </c>
      <c r="B8319">
        <v>5.9920000000000009</v>
      </c>
      <c r="C8319" t="s">
        <v>26113</v>
      </c>
      <c r="D8319" t="s">
        <v>3827</v>
      </c>
      <c r="E8319" t="s">
        <v>26114</v>
      </c>
      <c r="F8319" t="s">
        <v>7672</v>
      </c>
      <c r="G8319" t="s">
        <v>26115</v>
      </c>
      <c r="H8319" t="s">
        <v>13951</v>
      </c>
      <c r="I8319" t="s">
        <v>145</v>
      </c>
      <c r="J8319" t="s">
        <v>282</v>
      </c>
    </row>
    <row r="8320" spans="1:10" x14ac:dyDescent="0.25">
      <c r="A8320" t="s">
        <v>26116</v>
      </c>
      <c r="B8320">
        <v>5.9920000000000009</v>
      </c>
      <c r="C8320" t="s">
        <v>26117</v>
      </c>
      <c r="D8320" t="s">
        <v>2138</v>
      </c>
      <c r="E8320" t="s">
        <v>26114</v>
      </c>
      <c r="F8320" t="s">
        <v>7672</v>
      </c>
      <c r="G8320" t="s">
        <v>26115</v>
      </c>
      <c r="H8320" t="s">
        <v>13951</v>
      </c>
      <c r="I8320" t="s">
        <v>145</v>
      </c>
      <c r="J8320" t="s">
        <v>277</v>
      </c>
    </row>
    <row r="8321" spans="1:10" x14ac:dyDescent="0.25">
      <c r="A8321" t="s">
        <v>26118</v>
      </c>
      <c r="B8321">
        <v>5.9920000000000009</v>
      </c>
      <c r="C8321" t="s">
        <v>26119</v>
      </c>
      <c r="D8321" t="s">
        <v>366</v>
      </c>
      <c r="E8321" t="s">
        <v>26114</v>
      </c>
      <c r="F8321" t="s">
        <v>7672</v>
      </c>
      <c r="G8321" t="s">
        <v>26115</v>
      </c>
      <c r="H8321" t="s">
        <v>13951</v>
      </c>
      <c r="I8321" t="s">
        <v>145</v>
      </c>
      <c r="J8321" t="s">
        <v>436</v>
      </c>
    </row>
    <row r="8322" spans="1:10" x14ac:dyDescent="0.25">
      <c r="A8322" t="s">
        <v>26120</v>
      </c>
      <c r="B8322">
        <v>5.9920000000000009</v>
      </c>
      <c r="C8322" t="s">
        <v>26121</v>
      </c>
      <c r="D8322" t="s">
        <v>316</v>
      </c>
      <c r="E8322" t="s">
        <v>26114</v>
      </c>
      <c r="F8322" t="s">
        <v>7672</v>
      </c>
      <c r="G8322" t="s">
        <v>26115</v>
      </c>
      <c r="H8322" t="s">
        <v>13951</v>
      </c>
      <c r="I8322" t="s">
        <v>145</v>
      </c>
      <c r="J8322" t="s">
        <v>53</v>
      </c>
    </row>
    <row r="8323" spans="1:10" x14ac:dyDescent="0.25">
      <c r="A8323" t="s">
        <v>26122</v>
      </c>
      <c r="B8323">
        <v>32</v>
      </c>
      <c r="C8323" t="s">
        <v>26123</v>
      </c>
      <c r="D8323" t="s">
        <v>282</v>
      </c>
      <c r="E8323" t="s">
        <v>26124</v>
      </c>
      <c r="F8323" t="s">
        <v>7672</v>
      </c>
      <c r="G8323" t="s">
        <v>26125</v>
      </c>
      <c r="H8323" t="s">
        <v>10970</v>
      </c>
      <c r="I8323" t="s">
        <v>26126</v>
      </c>
      <c r="J8323" t="s">
        <v>7675</v>
      </c>
    </row>
    <row r="8324" spans="1:10" x14ac:dyDescent="0.25">
      <c r="A8324" t="s">
        <v>26127</v>
      </c>
      <c r="B8324">
        <v>32</v>
      </c>
      <c r="C8324" t="s">
        <v>26128</v>
      </c>
      <c r="D8324" t="s">
        <v>2697</v>
      </c>
      <c r="E8324" t="s">
        <v>26124</v>
      </c>
      <c r="F8324" t="s">
        <v>7672</v>
      </c>
      <c r="G8324" t="s">
        <v>26125</v>
      </c>
      <c r="H8324" t="s">
        <v>10970</v>
      </c>
      <c r="I8324" t="s">
        <v>26129</v>
      </c>
      <c r="J8324" t="s">
        <v>7675</v>
      </c>
    </row>
    <row r="8325" spans="1:10" x14ac:dyDescent="0.25">
      <c r="A8325" t="s">
        <v>26130</v>
      </c>
      <c r="B8325">
        <v>7.6000000000000014</v>
      </c>
      <c r="C8325" t="s">
        <v>26131</v>
      </c>
      <c r="D8325" t="s">
        <v>1451</v>
      </c>
      <c r="E8325" t="s">
        <v>26132</v>
      </c>
      <c r="F8325" t="s">
        <v>7672</v>
      </c>
      <c r="G8325" t="s">
        <v>26133</v>
      </c>
      <c r="H8325" t="s">
        <v>13951</v>
      </c>
      <c r="I8325" t="s">
        <v>26134</v>
      </c>
      <c r="J8325" t="s">
        <v>10369</v>
      </c>
    </row>
    <row r="8326" spans="1:10" x14ac:dyDescent="0.25">
      <c r="A8326" t="s">
        <v>26135</v>
      </c>
      <c r="B8326">
        <v>21.56</v>
      </c>
      <c r="C8326" t="s">
        <v>26136</v>
      </c>
      <c r="D8326" t="s">
        <v>588</v>
      </c>
      <c r="E8326" t="s">
        <v>26137</v>
      </c>
      <c r="F8326" t="s">
        <v>7672</v>
      </c>
      <c r="G8326" t="s">
        <v>26138</v>
      </c>
      <c r="H8326" t="s">
        <v>16463</v>
      </c>
      <c r="I8326" t="s">
        <v>14558</v>
      </c>
      <c r="J8326" t="s">
        <v>7675</v>
      </c>
    </row>
    <row r="8327" spans="1:10" x14ac:dyDescent="0.25">
      <c r="A8327" t="s">
        <v>26139</v>
      </c>
      <c r="B8327">
        <v>21.56</v>
      </c>
      <c r="C8327" t="s">
        <v>26140</v>
      </c>
      <c r="D8327" t="s">
        <v>671</v>
      </c>
      <c r="E8327" t="s">
        <v>26137</v>
      </c>
      <c r="F8327" t="s">
        <v>7672</v>
      </c>
      <c r="G8327" t="s">
        <v>26138</v>
      </c>
      <c r="H8327" t="s">
        <v>16463</v>
      </c>
      <c r="I8327" t="s">
        <v>9391</v>
      </c>
      <c r="J8327" t="s">
        <v>7675</v>
      </c>
    </row>
    <row r="8328" spans="1:10" x14ac:dyDescent="0.25">
      <c r="A8328" t="s">
        <v>26141</v>
      </c>
      <c r="B8328">
        <v>21.56</v>
      </c>
      <c r="C8328" t="s">
        <v>26142</v>
      </c>
      <c r="D8328" t="s">
        <v>290</v>
      </c>
      <c r="E8328" t="s">
        <v>26137</v>
      </c>
      <c r="F8328" t="s">
        <v>7672</v>
      </c>
      <c r="G8328" t="s">
        <v>26138</v>
      </c>
      <c r="H8328" t="s">
        <v>16463</v>
      </c>
      <c r="I8328" t="s">
        <v>14558</v>
      </c>
      <c r="J8328" t="s">
        <v>7686</v>
      </c>
    </row>
    <row r="8329" spans="1:10" x14ac:dyDescent="0.25">
      <c r="A8329" t="s">
        <v>26143</v>
      </c>
      <c r="B8329">
        <v>21.56</v>
      </c>
      <c r="C8329" t="s">
        <v>26144</v>
      </c>
      <c r="D8329" t="s">
        <v>131</v>
      </c>
      <c r="E8329" t="s">
        <v>26137</v>
      </c>
      <c r="F8329" t="s">
        <v>7672</v>
      </c>
      <c r="G8329" t="s">
        <v>26138</v>
      </c>
      <c r="H8329" t="s">
        <v>16463</v>
      </c>
      <c r="I8329" t="s">
        <v>9391</v>
      </c>
      <c r="J8329" t="s">
        <v>7686</v>
      </c>
    </row>
    <row r="8330" spans="1:10" x14ac:dyDescent="0.25">
      <c r="A8330" t="s">
        <v>26145</v>
      </c>
      <c r="B8330">
        <v>21.56</v>
      </c>
      <c r="C8330" t="s">
        <v>26146</v>
      </c>
      <c r="D8330" t="s">
        <v>366</v>
      </c>
      <c r="E8330" t="s">
        <v>26137</v>
      </c>
      <c r="F8330" t="s">
        <v>7672</v>
      </c>
      <c r="G8330" t="s">
        <v>26138</v>
      </c>
      <c r="H8330" t="s">
        <v>16463</v>
      </c>
      <c r="I8330" t="s">
        <v>9391</v>
      </c>
      <c r="J8330" t="s">
        <v>7719</v>
      </c>
    </row>
    <row r="8331" spans="1:10" x14ac:dyDescent="0.25">
      <c r="A8331" t="s">
        <v>26147</v>
      </c>
      <c r="B8331">
        <v>6.3920000000000003</v>
      </c>
      <c r="C8331" t="s">
        <v>26148</v>
      </c>
      <c r="D8331" t="s">
        <v>2371</v>
      </c>
      <c r="E8331" t="s">
        <v>26149</v>
      </c>
      <c r="F8331" t="s">
        <v>7672</v>
      </c>
      <c r="G8331" t="s">
        <v>26150</v>
      </c>
      <c r="H8331" t="s">
        <v>24046</v>
      </c>
      <c r="I8331" t="s">
        <v>497</v>
      </c>
      <c r="J8331" t="s">
        <v>9694</v>
      </c>
    </row>
    <row r="8332" spans="1:10" x14ac:dyDescent="0.25">
      <c r="A8332" t="s">
        <v>26151</v>
      </c>
      <c r="B8332">
        <v>17.488</v>
      </c>
      <c r="C8332" t="s">
        <v>26152</v>
      </c>
      <c r="D8332" t="s">
        <v>255</v>
      </c>
      <c r="E8332" t="s">
        <v>26153</v>
      </c>
      <c r="F8332" t="s">
        <v>7672</v>
      </c>
      <c r="G8332" t="s">
        <v>26154</v>
      </c>
      <c r="H8332" t="s">
        <v>12423</v>
      </c>
      <c r="I8332" t="s">
        <v>26155</v>
      </c>
      <c r="J8332" t="s">
        <v>9023</v>
      </c>
    </row>
    <row r="8333" spans="1:10" x14ac:dyDescent="0.25">
      <c r="A8333" t="s">
        <v>26156</v>
      </c>
      <c r="B8333">
        <v>17.488</v>
      </c>
      <c r="C8333" t="s">
        <v>26157</v>
      </c>
      <c r="D8333" t="s">
        <v>342</v>
      </c>
      <c r="E8333" t="s">
        <v>26153</v>
      </c>
      <c r="F8333" t="s">
        <v>7672</v>
      </c>
      <c r="G8333" t="s">
        <v>26154</v>
      </c>
      <c r="H8333" t="s">
        <v>12423</v>
      </c>
      <c r="I8333" t="s">
        <v>26158</v>
      </c>
      <c r="J8333" t="s">
        <v>9023</v>
      </c>
    </row>
    <row r="8334" spans="1:10" x14ac:dyDescent="0.25">
      <c r="A8334" t="s">
        <v>26159</v>
      </c>
      <c r="B8334">
        <v>132</v>
      </c>
      <c r="C8334" t="s">
        <v>26160</v>
      </c>
      <c r="D8334" t="s">
        <v>3023</v>
      </c>
      <c r="E8334" t="s">
        <v>26161</v>
      </c>
      <c r="F8334" t="s">
        <v>7672</v>
      </c>
      <c r="G8334" t="s">
        <v>26162</v>
      </c>
      <c r="H8334" t="s">
        <v>9693</v>
      </c>
      <c r="I8334" t="s">
        <v>18323</v>
      </c>
      <c r="J8334" t="s">
        <v>9694</v>
      </c>
    </row>
    <row r="8335" spans="1:10" x14ac:dyDescent="0.25">
      <c r="A8335" t="s">
        <v>26163</v>
      </c>
      <c r="B8335">
        <v>7.2</v>
      </c>
      <c r="C8335" t="s">
        <v>26164</v>
      </c>
      <c r="D8335" t="s">
        <v>2371</v>
      </c>
      <c r="E8335" t="s">
        <v>26165</v>
      </c>
      <c r="F8335" t="s">
        <v>7672</v>
      </c>
      <c r="G8335" t="s">
        <v>26166</v>
      </c>
      <c r="H8335" t="s">
        <v>10298</v>
      </c>
      <c r="I8335" t="s">
        <v>26167</v>
      </c>
      <c r="J8335" t="s">
        <v>7942</v>
      </c>
    </row>
    <row r="8336" spans="1:10" x14ac:dyDescent="0.25">
      <c r="A8336" t="s">
        <v>26168</v>
      </c>
      <c r="B8336">
        <v>7.2</v>
      </c>
      <c r="C8336" t="s">
        <v>26169</v>
      </c>
      <c r="D8336" t="s">
        <v>306</v>
      </c>
      <c r="E8336" t="s">
        <v>26165</v>
      </c>
      <c r="F8336" t="s">
        <v>7672</v>
      </c>
      <c r="G8336" t="s">
        <v>26166</v>
      </c>
      <c r="H8336" t="s">
        <v>10298</v>
      </c>
      <c r="I8336" t="s">
        <v>26170</v>
      </c>
      <c r="J8336" t="s">
        <v>7942</v>
      </c>
    </row>
    <row r="8337" spans="1:10" x14ac:dyDescent="0.25">
      <c r="A8337" t="s">
        <v>26171</v>
      </c>
      <c r="B8337">
        <v>7.2</v>
      </c>
      <c r="C8337" t="s">
        <v>26172</v>
      </c>
      <c r="D8337" t="s">
        <v>8744</v>
      </c>
      <c r="E8337" t="s">
        <v>26165</v>
      </c>
      <c r="F8337" t="s">
        <v>7672</v>
      </c>
      <c r="G8337" t="s">
        <v>26166</v>
      </c>
      <c r="H8337" t="s">
        <v>10298</v>
      </c>
      <c r="I8337" t="s">
        <v>26167</v>
      </c>
      <c r="J8337" t="s">
        <v>7981</v>
      </c>
    </row>
    <row r="8338" spans="1:10" x14ac:dyDescent="0.25">
      <c r="A8338" t="s">
        <v>26173</v>
      </c>
      <c r="B8338">
        <v>7.2</v>
      </c>
      <c r="C8338" t="s">
        <v>26174</v>
      </c>
      <c r="D8338" t="s">
        <v>8803</v>
      </c>
      <c r="E8338" t="s">
        <v>26165</v>
      </c>
      <c r="F8338" t="s">
        <v>7672</v>
      </c>
      <c r="G8338" t="s">
        <v>26166</v>
      </c>
      <c r="H8338" t="s">
        <v>10298</v>
      </c>
      <c r="I8338" t="s">
        <v>26170</v>
      </c>
      <c r="J8338" t="s">
        <v>7981</v>
      </c>
    </row>
    <row r="8339" spans="1:10" x14ac:dyDescent="0.25">
      <c r="A8339" t="s">
        <v>26175</v>
      </c>
      <c r="B8339">
        <v>7.2</v>
      </c>
      <c r="C8339" t="s">
        <v>26176</v>
      </c>
      <c r="D8339" t="s">
        <v>5145</v>
      </c>
      <c r="E8339" t="s">
        <v>26165</v>
      </c>
      <c r="F8339" t="s">
        <v>7672</v>
      </c>
      <c r="G8339" t="s">
        <v>26166</v>
      </c>
      <c r="H8339" t="s">
        <v>10298</v>
      </c>
      <c r="I8339" t="s">
        <v>26170</v>
      </c>
      <c r="J8339" t="s">
        <v>8001</v>
      </c>
    </row>
    <row r="8340" spans="1:10" x14ac:dyDescent="0.25">
      <c r="A8340" t="s">
        <v>26177</v>
      </c>
      <c r="B8340">
        <v>7.2</v>
      </c>
      <c r="C8340" t="s">
        <v>26178</v>
      </c>
      <c r="D8340" t="s">
        <v>1536</v>
      </c>
      <c r="E8340" t="s">
        <v>26165</v>
      </c>
      <c r="F8340" t="s">
        <v>7672</v>
      </c>
      <c r="G8340" t="s">
        <v>26166</v>
      </c>
      <c r="H8340" t="s">
        <v>10298</v>
      </c>
      <c r="I8340" t="s">
        <v>26167</v>
      </c>
      <c r="J8340" t="s">
        <v>8001</v>
      </c>
    </row>
    <row r="8341" spans="1:10" x14ac:dyDescent="0.25">
      <c r="A8341" t="s">
        <v>26179</v>
      </c>
      <c r="B8341">
        <v>7.6000000000000014</v>
      </c>
      <c r="C8341" t="s">
        <v>26180</v>
      </c>
      <c r="D8341" t="s">
        <v>2572</v>
      </c>
      <c r="E8341" t="s">
        <v>26181</v>
      </c>
      <c r="F8341" t="s">
        <v>7672</v>
      </c>
      <c r="G8341" t="s">
        <v>26182</v>
      </c>
      <c r="H8341" t="s">
        <v>11496</v>
      </c>
      <c r="I8341" t="s">
        <v>23828</v>
      </c>
      <c r="J8341" t="s">
        <v>106</v>
      </c>
    </row>
    <row r="8342" spans="1:10" x14ac:dyDescent="0.25">
      <c r="A8342" t="s">
        <v>26183</v>
      </c>
      <c r="B8342">
        <v>7.6000000000000014</v>
      </c>
      <c r="C8342" t="s">
        <v>26184</v>
      </c>
      <c r="D8342" t="s">
        <v>13252</v>
      </c>
      <c r="E8342" t="s">
        <v>26181</v>
      </c>
      <c r="F8342" t="s">
        <v>7672</v>
      </c>
      <c r="G8342" t="s">
        <v>26182</v>
      </c>
      <c r="H8342" t="s">
        <v>11496</v>
      </c>
      <c r="I8342" t="s">
        <v>23828</v>
      </c>
      <c r="J8342" t="s">
        <v>131</v>
      </c>
    </row>
    <row r="8343" spans="1:10" x14ac:dyDescent="0.25">
      <c r="A8343" t="s">
        <v>26185</v>
      </c>
      <c r="B8343">
        <v>7.6000000000000014</v>
      </c>
      <c r="C8343" t="s">
        <v>26186</v>
      </c>
      <c r="D8343" t="s">
        <v>9254</v>
      </c>
      <c r="E8343" t="s">
        <v>26181</v>
      </c>
      <c r="F8343" t="s">
        <v>7672</v>
      </c>
      <c r="G8343" t="s">
        <v>26182</v>
      </c>
      <c r="H8343" t="s">
        <v>11496</v>
      </c>
      <c r="I8343" t="s">
        <v>23828</v>
      </c>
      <c r="J8343" t="s">
        <v>269</v>
      </c>
    </row>
    <row r="8344" spans="1:10" x14ac:dyDescent="0.25">
      <c r="A8344" t="s">
        <v>26187</v>
      </c>
      <c r="B8344">
        <v>7.6000000000000014</v>
      </c>
      <c r="C8344" t="s">
        <v>26188</v>
      </c>
      <c r="D8344" t="s">
        <v>11690</v>
      </c>
      <c r="E8344" t="s">
        <v>26181</v>
      </c>
      <c r="F8344" t="s">
        <v>7672</v>
      </c>
      <c r="G8344" t="s">
        <v>26182</v>
      </c>
      <c r="H8344" t="s">
        <v>11496</v>
      </c>
      <c r="I8344" t="s">
        <v>23828</v>
      </c>
      <c r="J8344" t="s">
        <v>8789</v>
      </c>
    </row>
    <row r="8345" spans="1:10" x14ac:dyDescent="0.25">
      <c r="A8345" t="s">
        <v>26189</v>
      </c>
      <c r="B8345">
        <v>7.6000000000000014</v>
      </c>
      <c r="C8345" t="s">
        <v>26190</v>
      </c>
      <c r="D8345" t="s">
        <v>654</v>
      </c>
      <c r="E8345" t="s">
        <v>26181</v>
      </c>
      <c r="F8345" t="s">
        <v>7672</v>
      </c>
      <c r="G8345" t="s">
        <v>26182</v>
      </c>
      <c r="H8345" t="s">
        <v>11496</v>
      </c>
      <c r="I8345" t="s">
        <v>23828</v>
      </c>
      <c r="J8345" t="s">
        <v>255</v>
      </c>
    </row>
    <row r="8346" spans="1:10" x14ac:dyDescent="0.25">
      <c r="A8346" t="s">
        <v>26191</v>
      </c>
      <c r="B8346">
        <v>7.6000000000000014</v>
      </c>
      <c r="C8346" t="s">
        <v>26192</v>
      </c>
      <c r="D8346" t="s">
        <v>4579</v>
      </c>
      <c r="E8346" t="s">
        <v>26181</v>
      </c>
      <c r="F8346" t="s">
        <v>7672</v>
      </c>
      <c r="G8346" t="s">
        <v>26182</v>
      </c>
      <c r="H8346" t="s">
        <v>11496</v>
      </c>
      <c r="I8346" t="s">
        <v>23828</v>
      </c>
      <c r="J8346" t="s">
        <v>277</v>
      </c>
    </row>
    <row r="8347" spans="1:10" x14ac:dyDescent="0.25">
      <c r="A8347" t="s">
        <v>26193</v>
      </c>
      <c r="B8347">
        <v>7.6000000000000014</v>
      </c>
      <c r="C8347" t="s">
        <v>26194</v>
      </c>
      <c r="D8347" t="s">
        <v>1143</v>
      </c>
      <c r="E8347" t="s">
        <v>26181</v>
      </c>
      <c r="F8347" t="s">
        <v>7672</v>
      </c>
      <c r="G8347" t="s">
        <v>26182</v>
      </c>
      <c r="H8347" t="s">
        <v>11496</v>
      </c>
      <c r="I8347" t="s">
        <v>23828</v>
      </c>
      <c r="J8347" t="s">
        <v>164</v>
      </c>
    </row>
    <row r="8348" spans="1:10" x14ac:dyDescent="0.25">
      <c r="A8348" t="s">
        <v>26195</v>
      </c>
      <c r="B8348">
        <v>14.4</v>
      </c>
      <c r="C8348" t="s">
        <v>26196</v>
      </c>
      <c r="D8348" t="s">
        <v>8262</v>
      </c>
      <c r="E8348" t="s">
        <v>26197</v>
      </c>
      <c r="F8348" t="s">
        <v>7672</v>
      </c>
      <c r="G8348" t="s">
        <v>26198</v>
      </c>
      <c r="H8348" t="s">
        <v>7947</v>
      </c>
      <c r="I8348" t="s">
        <v>1243</v>
      </c>
      <c r="J8348" t="s">
        <v>7984</v>
      </c>
    </row>
    <row r="8349" spans="1:10" x14ac:dyDescent="0.25">
      <c r="A8349" t="s">
        <v>26199</v>
      </c>
      <c r="B8349">
        <v>12</v>
      </c>
      <c r="C8349" t="s">
        <v>26200</v>
      </c>
      <c r="D8349" t="s">
        <v>8111</v>
      </c>
      <c r="E8349" t="s">
        <v>26197</v>
      </c>
      <c r="F8349" t="s">
        <v>7672</v>
      </c>
      <c r="G8349" t="s">
        <v>26198</v>
      </c>
      <c r="H8349" t="s">
        <v>7947</v>
      </c>
      <c r="I8349" t="s">
        <v>1243</v>
      </c>
      <c r="J8349" t="s">
        <v>7987</v>
      </c>
    </row>
    <row r="8350" spans="1:10" x14ac:dyDescent="0.25">
      <c r="A8350" t="s">
        <v>26201</v>
      </c>
      <c r="B8350">
        <v>14.4</v>
      </c>
      <c r="C8350" t="s">
        <v>26202</v>
      </c>
      <c r="D8350" t="s">
        <v>5283</v>
      </c>
      <c r="E8350" t="s">
        <v>26197</v>
      </c>
      <c r="F8350" t="s">
        <v>7672</v>
      </c>
      <c r="G8350" t="s">
        <v>26198</v>
      </c>
      <c r="H8350" t="s">
        <v>7947</v>
      </c>
      <c r="I8350" t="s">
        <v>1243</v>
      </c>
      <c r="J8350" t="s">
        <v>8001</v>
      </c>
    </row>
    <row r="8351" spans="1:10" x14ac:dyDescent="0.25">
      <c r="A8351" t="s">
        <v>26203</v>
      </c>
      <c r="B8351">
        <v>8</v>
      </c>
      <c r="C8351" t="s">
        <v>26204</v>
      </c>
      <c r="D8351" t="s">
        <v>342</v>
      </c>
      <c r="E8351" t="s">
        <v>26205</v>
      </c>
      <c r="F8351" t="s">
        <v>7672</v>
      </c>
      <c r="G8351" t="s">
        <v>26206</v>
      </c>
      <c r="H8351" t="s">
        <v>10298</v>
      </c>
      <c r="I8351" t="s">
        <v>26207</v>
      </c>
      <c r="J8351" t="s">
        <v>7984</v>
      </c>
    </row>
    <row r="8352" spans="1:10" x14ac:dyDescent="0.25">
      <c r="A8352" t="s">
        <v>26208</v>
      </c>
      <c r="B8352">
        <v>8</v>
      </c>
      <c r="C8352" t="s">
        <v>26209</v>
      </c>
      <c r="D8352" t="s">
        <v>2036</v>
      </c>
      <c r="E8352" t="s">
        <v>26205</v>
      </c>
      <c r="F8352" t="s">
        <v>7672</v>
      </c>
      <c r="G8352" t="s">
        <v>26206</v>
      </c>
      <c r="H8352" t="s">
        <v>10298</v>
      </c>
      <c r="I8352" t="s">
        <v>14389</v>
      </c>
      <c r="J8352" t="s">
        <v>7987</v>
      </c>
    </row>
    <row r="8353" spans="1:10" x14ac:dyDescent="0.25">
      <c r="A8353" t="s">
        <v>26210</v>
      </c>
      <c r="B8353">
        <v>8</v>
      </c>
      <c r="C8353" t="s">
        <v>26211</v>
      </c>
      <c r="D8353" t="s">
        <v>1143</v>
      </c>
      <c r="E8353" t="s">
        <v>26205</v>
      </c>
      <c r="F8353" t="s">
        <v>7672</v>
      </c>
      <c r="G8353" t="s">
        <v>26206</v>
      </c>
      <c r="H8353" t="s">
        <v>10298</v>
      </c>
      <c r="I8353" t="s">
        <v>76</v>
      </c>
      <c r="J8353" t="s">
        <v>7987</v>
      </c>
    </row>
    <row r="8354" spans="1:10" x14ac:dyDescent="0.25">
      <c r="A8354" t="s">
        <v>26212</v>
      </c>
      <c r="B8354">
        <v>8</v>
      </c>
      <c r="C8354" t="s">
        <v>26213</v>
      </c>
      <c r="D8354" t="s">
        <v>3409</v>
      </c>
      <c r="E8354" t="s">
        <v>26205</v>
      </c>
      <c r="F8354" t="s">
        <v>7672</v>
      </c>
      <c r="G8354" t="s">
        <v>26206</v>
      </c>
      <c r="H8354" t="s">
        <v>10298</v>
      </c>
      <c r="I8354" t="s">
        <v>26214</v>
      </c>
      <c r="J8354" t="s">
        <v>8001</v>
      </c>
    </row>
    <row r="8355" spans="1:10" x14ac:dyDescent="0.25">
      <c r="A8355" t="s">
        <v>26215</v>
      </c>
      <c r="B8355">
        <v>8</v>
      </c>
      <c r="C8355" t="s">
        <v>26216</v>
      </c>
      <c r="D8355" t="s">
        <v>2243</v>
      </c>
      <c r="E8355" t="s">
        <v>26205</v>
      </c>
      <c r="F8355" t="s">
        <v>7672</v>
      </c>
      <c r="G8355" t="s">
        <v>26206</v>
      </c>
      <c r="H8355" t="s">
        <v>10298</v>
      </c>
      <c r="I8355" t="s">
        <v>76</v>
      </c>
      <c r="J8355" t="s">
        <v>8001</v>
      </c>
    </row>
    <row r="8356" spans="1:10" x14ac:dyDescent="0.25">
      <c r="A8356" t="s">
        <v>26217</v>
      </c>
      <c r="B8356">
        <v>8</v>
      </c>
      <c r="C8356" t="s">
        <v>26218</v>
      </c>
      <c r="D8356" t="s">
        <v>9312</v>
      </c>
      <c r="E8356" t="s">
        <v>26205</v>
      </c>
      <c r="F8356" t="s">
        <v>7672</v>
      </c>
      <c r="G8356" t="s">
        <v>26206</v>
      </c>
      <c r="H8356" t="s">
        <v>10298</v>
      </c>
      <c r="I8356" t="s">
        <v>14389</v>
      </c>
      <c r="J8356" t="s">
        <v>8001</v>
      </c>
    </row>
    <row r="8357" spans="1:10" x14ac:dyDescent="0.25">
      <c r="A8357" t="s">
        <v>26219</v>
      </c>
      <c r="B8357">
        <v>13.6</v>
      </c>
      <c r="C8357" t="s">
        <v>26220</v>
      </c>
      <c r="D8357" t="s">
        <v>598</v>
      </c>
      <c r="E8357" t="s">
        <v>26221</v>
      </c>
      <c r="F8357" t="s">
        <v>7672</v>
      </c>
      <c r="G8357" t="s">
        <v>26222</v>
      </c>
      <c r="H8357" t="s">
        <v>12232</v>
      </c>
      <c r="I8357" t="s">
        <v>1490</v>
      </c>
      <c r="J8357" t="s">
        <v>8451</v>
      </c>
    </row>
    <row r="8358" spans="1:10" x14ac:dyDescent="0.25">
      <c r="A8358" t="s">
        <v>26223</v>
      </c>
      <c r="B8358">
        <v>6.4</v>
      </c>
      <c r="C8358" t="s">
        <v>26224</v>
      </c>
      <c r="D8358" t="s">
        <v>1254</v>
      </c>
      <c r="E8358" t="s">
        <v>26225</v>
      </c>
      <c r="F8358" t="s">
        <v>7672</v>
      </c>
      <c r="G8358" t="s">
        <v>19741</v>
      </c>
      <c r="H8358" t="s">
        <v>11496</v>
      </c>
      <c r="I8358" t="s">
        <v>145</v>
      </c>
      <c r="J8358" t="s">
        <v>10369</v>
      </c>
    </row>
    <row r="8359" spans="1:10" x14ac:dyDescent="0.25">
      <c r="A8359" t="s">
        <v>26226</v>
      </c>
      <c r="B8359">
        <v>6.4</v>
      </c>
      <c r="C8359" t="s">
        <v>26227</v>
      </c>
      <c r="D8359" t="s">
        <v>2243</v>
      </c>
      <c r="E8359" t="s">
        <v>26225</v>
      </c>
      <c r="F8359" t="s">
        <v>7672</v>
      </c>
      <c r="G8359" t="s">
        <v>19741</v>
      </c>
      <c r="H8359" t="s">
        <v>11496</v>
      </c>
      <c r="I8359" t="s">
        <v>145</v>
      </c>
      <c r="J8359" t="s">
        <v>11590</v>
      </c>
    </row>
    <row r="8360" spans="1:10" x14ac:dyDescent="0.25">
      <c r="A8360" t="s">
        <v>26228</v>
      </c>
      <c r="B8360">
        <v>6.4</v>
      </c>
      <c r="C8360" t="s">
        <v>26229</v>
      </c>
      <c r="D8360" t="s">
        <v>8618</v>
      </c>
      <c r="E8360" t="s">
        <v>26225</v>
      </c>
      <c r="F8360" t="s">
        <v>7672</v>
      </c>
      <c r="G8360" t="s">
        <v>19741</v>
      </c>
      <c r="H8360" t="s">
        <v>11496</v>
      </c>
      <c r="I8360" t="s">
        <v>145</v>
      </c>
      <c r="J8360" t="s">
        <v>11593</v>
      </c>
    </row>
    <row r="8361" spans="1:10" x14ac:dyDescent="0.25">
      <c r="A8361" t="s">
        <v>26230</v>
      </c>
      <c r="B8361">
        <v>6.4</v>
      </c>
      <c r="C8361" t="s">
        <v>26231</v>
      </c>
      <c r="D8361" t="s">
        <v>715</v>
      </c>
      <c r="E8361" t="s">
        <v>26225</v>
      </c>
      <c r="F8361" t="s">
        <v>7672</v>
      </c>
      <c r="G8361" t="s">
        <v>19741</v>
      </c>
      <c r="H8361" t="s">
        <v>11496</v>
      </c>
      <c r="I8361" t="s">
        <v>145</v>
      </c>
      <c r="J8361" t="s">
        <v>11783</v>
      </c>
    </row>
    <row r="8362" spans="1:10" x14ac:dyDescent="0.25">
      <c r="A8362" t="s">
        <v>26232</v>
      </c>
      <c r="B8362">
        <v>4.4960000000000004</v>
      </c>
      <c r="C8362" t="s">
        <v>26233</v>
      </c>
      <c r="D8362" t="s">
        <v>1936</v>
      </c>
      <c r="E8362" t="s">
        <v>26234</v>
      </c>
      <c r="F8362" t="s">
        <v>7672</v>
      </c>
      <c r="G8362" t="s">
        <v>26235</v>
      </c>
      <c r="H8362" t="s">
        <v>26236</v>
      </c>
      <c r="I8362" t="s">
        <v>76</v>
      </c>
      <c r="J8362" t="s">
        <v>9694</v>
      </c>
    </row>
    <row r="8363" spans="1:10" x14ac:dyDescent="0.25">
      <c r="A8363" t="s">
        <v>26237</v>
      </c>
      <c r="B8363">
        <v>6.48</v>
      </c>
      <c r="C8363" t="s">
        <v>26238</v>
      </c>
      <c r="D8363" t="s">
        <v>245</v>
      </c>
      <c r="E8363" t="s">
        <v>26239</v>
      </c>
      <c r="F8363" t="s">
        <v>7672</v>
      </c>
      <c r="G8363" t="s">
        <v>26240</v>
      </c>
      <c r="H8363" t="s">
        <v>7674</v>
      </c>
      <c r="I8363" t="s">
        <v>8577</v>
      </c>
      <c r="J8363" t="s">
        <v>9107</v>
      </c>
    </row>
    <row r="8364" spans="1:10" x14ac:dyDescent="0.25">
      <c r="A8364" t="s">
        <v>26241</v>
      </c>
      <c r="B8364">
        <v>6.48</v>
      </c>
      <c r="C8364" t="s">
        <v>26242</v>
      </c>
      <c r="D8364" t="s">
        <v>6257</v>
      </c>
      <c r="E8364" t="s">
        <v>26239</v>
      </c>
      <c r="F8364" t="s">
        <v>7672</v>
      </c>
      <c r="G8364" t="s">
        <v>26240</v>
      </c>
      <c r="H8364" t="s">
        <v>7674</v>
      </c>
      <c r="I8364" t="s">
        <v>8577</v>
      </c>
      <c r="J8364" t="s">
        <v>9110</v>
      </c>
    </row>
    <row r="8365" spans="1:10" x14ac:dyDescent="0.25">
      <c r="A8365" t="s">
        <v>26243</v>
      </c>
      <c r="B8365">
        <v>6.48</v>
      </c>
      <c r="C8365" t="s">
        <v>26244</v>
      </c>
      <c r="D8365" t="s">
        <v>164</v>
      </c>
      <c r="E8365" t="s">
        <v>26239</v>
      </c>
      <c r="F8365" t="s">
        <v>7672</v>
      </c>
      <c r="G8365" t="s">
        <v>26240</v>
      </c>
      <c r="H8365" t="s">
        <v>7674</v>
      </c>
      <c r="I8365" t="s">
        <v>8577</v>
      </c>
      <c r="J8365" t="s">
        <v>11368</v>
      </c>
    </row>
    <row r="8366" spans="1:10" x14ac:dyDescent="0.25">
      <c r="A8366" t="s">
        <v>26245</v>
      </c>
      <c r="B8366">
        <v>6.48</v>
      </c>
      <c r="C8366" t="s">
        <v>26246</v>
      </c>
      <c r="D8366" t="s">
        <v>4327</v>
      </c>
      <c r="E8366" t="s">
        <v>26239</v>
      </c>
      <c r="F8366" t="s">
        <v>7672</v>
      </c>
      <c r="G8366" t="s">
        <v>26240</v>
      </c>
      <c r="H8366" t="s">
        <v>7674</v>
      </c>
      <c r="I8366" t="s">
        <v>8577</v>
      </c>
      <c r="J8366" t="s">
        <v>11373</v>
      </c>
    </row>
    <row r="8367" spans="1:10" x14ac:dyDescent="0.25">
      <c r="A8367" t="s">
        <v>26247</v>
      </c>
      <c r="B8367">
        <v>6.48</v>
      </c>
      <c r="C8367" t="s">
        <v>26248</v>
      </c>
      <c r="D8367" t="s">
        <v>3944</v>
      </c>
      <c r="E8367" t="s">
        <v>26239</v>
      </c>
      <c r="F8367" t="s">
        <v>7672</v>
      </c>
      <c r="G8367" t="s">
        <v>26240</v>
      </c>
      <c r="H8367" t="s">
        <v>7674</v>
      </c>
      <c r="I8367" t="s">
        <v>8577</v>
      </c>
      <c r="J8367" t="s">
        <v>11376</v>
      </c>
    </row>
    <row r="8368" spans="1:10" x14ac:dyDescent="0.25">
      <c r="A8368" t="s">
        <v>26249</v>
      </c>
      <c r="B8368">
        <v>6.48</v>
      </c>
      <c r="C8368" t="s">
        <v>26250</v>
      </c>
      <c r="D8368" t="s">
        <v>352</v>
      </c>
      <c r="E8368" t="s">
        <v>26239</v>
      </c>
      <c r="F8368" t="s">
        <v>7672</v>
      </c>
      <c r="G8368" t="s">
        <v>26240</v>
      </c>
      <c r="H8368" t="s">
        <v>7674</v>
      </c>
      <c r="I8368" t="s">
        <v>26251</v>
      </c>
      <c r="J8368" t="s">
        <v>11376</v>
      </c>
    </row>
    <row r="8369" spans="1:10" x14ac:dyDescent="0.25">
      <c r="A8369" t="s">
        <v>26252</v>
      </c>
      <c r="B8369">
        <v>6.48</v>
      </c>
      <c r="C8369" t="s">
        <v>26253</v>
      </c>
      <c r="D8369" t="s">
        <v>626</v>
      </c>
      <c r="E8369" t="s">
        <v>26239</v>
      </c>
      <c r="F8369" t="s">
        <v>7672</v>
      </c>
      <c r="G8369" t="s">
        <v>26240</v>
      </c>
      <c r="H8369" t="s">
        <v>7674</v>
      </c>
      <c r="I8369" t="s">
        <v>8577</v>
      </c>
      <c r="J8369" t="s">
        <v>9114</v>
      </c>
    </row>
    <row r="8370" spans="1:10" x14ac:dyDescent="0.25">
      <c r="A8370" t="s">
        <v>26254</v>
      </c>
      <c r="B8370">
        <v>6.48</v>
      </c>
      <c r="C8370" t="s">
        <v>26255</v>
      </c>
      <c r="D8370" t="s">
        <v>250</v>
      </c>
      <c r="E8370" t="s">
        <v>26239</v>
      </c>
      <c r="F8370" t="s">
        <v>7672</v>
      </c>
      <c r="G8370" t="s">
        <v>26240</v>
      </c>
      <c r="H8370" t="s">
        <v>7674</v>
      </c>
      <c r="I8370" t="s">
        <v>26251</v>
      </c>
      <c r="J8370" t="s">
        <v>9114</v>
      </c>
    </row>
    <row r="8371" spans="1:10" x14ac:dyDescent="0.25">
      <c r="A8371" t="s">
        <v>26256</v>
      </c>
      <c r="B8371">
        <v>6</v>
      </c>
      <c r="C8371" t="s">
        <v>26257</v>
      </c>
      <c r="D8371" t="s">
        <v>6379</v>
      </c>
      <c r="E8371" t="s">
        <v>7313</v>
      </c>
      <c r="F8371" t="s">
        <v>7672</v>
      </c>
      <c r="G8371" t="s">
        <v>26258</v>
      </c>
      <c r="H8371" t="s">
        <v>11496</v>
      </c>
      <c r="I8371" t="s">
        <v>26259</v>
      </c>
      <c r="J8371" t="s">
        <v>277</v>
      </c>
    </row>
    <row r="8372" spans="1:10" x14ac:dyDescent="0.25">
      <c r="A8372" t="s">
        <v>7310</v>
      </c>
      <c r="B8372">
        <v>6</v>
      </c>
      <c r="C8372" t="s">
        <v>7312</v>
      </c>
      <c r="D8372" t="s">
        <v>7315</v>
      </c>
      <c r="E8372" t="s">
        <v>7313</v>
      </c>
      <c r="F8372" t="s">
        <v>7672</v>
      </c>
      <c r="G8372" t="s">
        <v>26258</v>
      </c>
      <c r="H8372" t="s">
        <v>11496</v>
      </c>
      <c r="I8372" t="s">
        <v>26259</v>
      </c>
      <c r="J8372" t="s">
        <v>164</v>
      </c>
    </row>
    <row r="8373" spans="1:10" x14ac:dyDescent="0.25">
      <c r="A8373" t="s">
        <v>26260</v>
      </c>
      <c r="B8373">
        <v>6.9920000000000009</v>
      </c>
      <c r="C8373" t="s">
        <v>26261</v>
      </c>
      <c r="D8373" t="s">
        <v>385</v>
      </c>
      <c r="E8373" t="s">
        <v>26262</v>
      </c>
      <c r="F8373" t="s">
        <v>7672</v>
      </c>
      <c r="G8373" t="s">
        <v>26263</v>
      </c>
      <c r="H8373" t="s">
        <v>10298</v>
      </c>
      <c r="I8373" t="s">
        <v>26264</v>
      </c>
      <c r="J8373" t="s">
        <v>15076</v>
      </c>
    </row>
    <row r="8374" spans="1:10" x14ac:dyDescent="0.25">
      <c r="A8374" t="s">
        <v>26265</v>
      </c>
      <c r="B8374">
        <v>6.9920000000000009</v>
      </c>
      <c r="C8374" t="s">
        <v>26266</v>
      </c>
      <c r="D8374" t="s">
        <v>164</v>
      </c>
      <c r="E8374" t="s">
        <v>26262</v>
      </c>
      <c r="F8374" t="s">
        <v>7672</v>
      </c>
      <c r="G8374" t="s">
        <v>26263</v>
      </c>
      <c r="H8374" t="s">
        <v>10298</v>
      </c>
      <c r="I8374" t="s">
        <v>10349</v>
      </c>
      <c r="J8374" t="s">
        <v>15076</v>
      </c>
    </row>
    <row r="8375" spans="1:10" x14ac:dyDescent="0.25">
      <c r="A8375" t="s">
        <v>26267</v>
      </c>
      <c r="B8375">
        <v>6.9920000000000009</v>
      </c>
      <c r="C8375" t="s">
        <v>26268</v>
      </c>
      <c r="D8375" t="s">
        <v>2697</v>
      </c>
      <c r="E8375" t="s">
        <v>26262</v>
      </c>
      <c r="F8375" t="s">
        <v>7672</v>
      </c>
      <c r="G8375" t="s">
        <v>26263</v>
      </c>
      <c r="H8375" t="s">
        <v>10298</v>
      </c>
      <c r="I8375" t="s">
        <v>26264</v>
      </c>
      <c r="J8375" t="s">
        <v>15079</v>
      </c>
    </row>
    <row r="8376" spans="1:10" x14ac:dyDescent="0.25">
      <c r="A8376" t="s">
        <v>26269</v>
      </c>
      <c r="B8376">
        <v>6.9920000000000009</v>
      </c>
      <c r="C8376" t="s">
        <v>26270</v>
      </c>
      <c r="D8376" t="s">
        <v>849</v>
      </c>
      <c r="E8376" t="s">
        <v>26262</v>
      </c>
      <c r="F8376" t="s">
        <v>7672</v>
      </c>
      <c r="G8376" t="s">
        <v>26263</v>
      </c>
      <c r="H8376" t="s">
        <v>10298</v>
      </c>
      <c r="I8376" t="s">
        <v>10349</v>
      </c>
      <c r="J8376" t="s">
        <v>15079</v>
      </c>
    </row>
    <row r="8377" spans="1:10" x14ac:dyDescent="0.25">
      <c r="A8377" t="s">
        <v>26271</v>
      </c>
      <c r="B8377">
        <v>10.992000000000001</v>
      </c>
      <c r="C8377" t="s">
        <v>26272</v>
      </c>
      <c r="D8377" t="s">
        <v>8816</v>
      </c>
      <c r="E8377" t="s">
        <v>26273</v>
      </c>
      <c r="F8377" t="s">
        <v>7672</v>
      </c>
      <c r="G8377" t="s">
        <v>26274</v>
      </c>
      <c r="H8377" t="s">
        <v>7674</v>
      </c>
      <c r="I8377" t="s">
        <v>497</v>
      </c>
      <c r="J8377" t="s">
        <v>9694</v>
      </c>
    </row>
    <row r="8378" spans="1:10" x14ac:dyDescent="0.25">
      <c r="A8378" t="s">
        <v>26275</v>
      </c>
      <c r="B8378">
        <v>60</v>
      </c>
      <c r="C8378" t="s">
        <v>26276</v>
      </c>
      <c r="D8378" t="s">
        <v>1579</v>
      </c>
      <c r="E8378" t="s">
        <v>26277</v>
      </c>
      <c r="F8378" t="s">
        <v>7672</v>
      </c>
      <c r="G8378" t="s">
        <v>26278</v>
      </c>
      <c r="H8378" t="s">
        <v>9693</v>
      </c>
      <c r="I8378" t="s">
        <v>26279</v>
      </c>
      <c r="J8378" t="s">
        <v>9694</v>
      </c>
    </row>
    <row r="8379" spans="1:10" x14ac:dyDescent="0.25">
      <c r="A8379" t="s">
        <v>26280</v>
      </c>
      <c r="B8379">
        <v>4.4960000000000004</v>
      </c>
      <c r="C8379" t="s">
        <v>26281</v>
      </c>
      <c r="D8379" t="s">
        <v>3954</v>
      </c>
      <c r="E8379" t="s">
        <v>26282</v>
      </c>
      <c r="F8379" t="s">
        <v>7672</v>
      </c>
      <c r="G8379" t="s">
        <v>26283</v>
      </c>
      <c r="H8379" t="s">
        <v>7674</v>
      </c>
      <c r="I8379" t="s">
        <v>497</v>
      </c>
      <c r="J8379" t="s">
        <v>9694</v>
      </c>
    </row>
    <row r="8380" spans="1:10" x14ac:dyDescent="0.25">
      <c r="A8380" t="s">
        <v>26284</v>
      </c>
      <c r="B8380">
        <v>13.2</v>
      </c>
      <c r="C8380" t="s">
        <v>26285</v>
      </c>
      <c r="D8380" t="s">
        <v>3378</v>
      </c>
      <c r="E8380" t="s">
        <v>26286</v>
      </c>
      <c r="F8380" t="s">
        <v>7672</v>
      </c>
      <c r="G8380" t="s">
        <v>26287</v>
      </c>
      <c r="H8380" t="s">
        <v>17992</v>
      </c>
      <c r="I8380" t="s">
        <v>14651</v>
      </c>
      <c r="J8380" t="s">
        <v>7713</v>
      </c>
    </row>
    <row r="8381" spans="1:10" x14ac:dyDescent="0.25">
      <c r="A8381" t="s">
        <v>26288</v>
      </c>
      <c r="B8381">
        <v>13.2</v>
      </c>
      <c r="C8381" t="s">
        <v>26289</v>
      </c>
      <c r="D8381" t="s">
        <v>124</v>
      </c>
      <c r="E8381" t="s">
        <v>26286</v>
      </c>
      <c r="F8381" t="s">
        <v>7672</v>
      </c>
      <c r="G8381" t="s">
        <v>26287</v>
      </c>
      <c r="H8381" t="s">
        <v>17992</v>
      </c>
      <c r="I8381" t="s">
        <v>8158</v>
      </c>
      <c r="J8381" t="s">
        <v>7719</v>
      </c>
    </row>
    <row r="8382" spans="1:10" x14ac:dyDescent="0.25">
      <c r="A8382" t="s">
        <v>26290</v>
      </c>
      <c r="B8382">
        <v>13.2</v>
      </c>
      <c r="C8382" t="s">
        <v>26291</v>
      </c>
      <c r="D8382" t="s">
        <v>3815</v>
      </c>
      <c r="E8382" t="s">
        <v>26286</v>
      </c>
      <c r="F8382" t="s">
        <v>7672</v>
      </c>
      <c r="G8382" t="s">
        <v>26287</v>
      </c>
      <c r="H8382" t="s">
        <v>17992</v>
      </c>
      <c r="I8382" t="s">
        <v>14651</v>
      </c>
      <c r="J8382" t="s">
        <v>7719</v>
      </c>
    </row>
    <row r="8383" spans="1:10" x14ac:dyDescent="0.25">
      <c r="A8383" t="s">
        <v>26292</v>
      </c>
      <c r="B8383">
        <v>4.1920000000000002</v>
      </c>
      <c r="C8383" t="s">
        <v>26293</v>
      </c>
      <c r="D8383" t="s">
        <v>3577</v>
      </c>
      <c r="E8383" t="s">
        <v>26294</v>
      </c>
      <c r="F8383" t="s">
        <v>7672</v>
      </c>
      <c r="G8383" t="s">
        <v>26295</v>
      </c>
      <c r="H8383" t="s">
        <v>8515</v>
      </c>
      <c r="I8383" t="s">
        <v>26296</v>
      </c>
      <c r="J8383" t="s">
        <v>9423</v>
      </c>
    </row>
    <row r="8384" spans="1:10" x14ac:dyDescent="0.25">
      <c r="A8384" t="s">
        <v>26297</v>
      </c>
      <c r="B8384">
        <v>4.1920000000000002</v>
      </c>
      <c r="C8384" t="s">
        <v>26298</v>
      </c>
      <c r="D8384" t="s">
        <v>4322</v>
      </c>
      <c r="E8384" t="s">
        <v>26294</v>
      </c>
      <c r="F8384" t="s">
        <v>7672</v>
      </c>
      <c r="G8384" t="s">
        <v>26295</v>
      </c>
      <c r="H8384" t="s">
        <v>8515</v>
      </c>
      <c r="I8384" t="s">
        <v>26296</v>
      </c>
      <c r="J8384" t="s">
        <v>10862</v>
      </c>
    </row>
    <row r="8385" spans="1:10" x14ac:dyDescent="0.25">
      <c r="A8385" t="s">
        <v>26299</v>
      </c>
      <c r="B8385">
        <v>4.1920000000000002</v>
      </c>
      <c r="C8385" t="s">
        <v>26300</v>
      </c>
      <c r="D8385" t="s">
        <v>986</v>
      </c>
      <c r="E8385" t="s">
        <v>26294</v>
      </c>
      <c r="F8385" t="s">
        <v>7672</v>
      </c>
      <c r="G8385" t="s">
        <v>26295</v>
      </c>
      <c r="H8385" t="s">
        <v>8515</v>
      </c>
      <c r="I8385" t="s">
        <v>26296</v>
      </c>
      <c r="J8385" t="s">
        <v>9426</v>
      </c>
    </row>
    <row r="8386" spans="1:10" x14ac:dyDescent="0.25">
      <c r="A8386" t="s">
        <v>26301</v>
      </c>
      <c r="B8386">
        <v>4.1920000000000002</v>
      </c>
      <c r="C8386" t="s">
        <v>26302</v>
      </c>
      <c r="D8386" t="s">
        <v>4804</v>
      </c>
      <c r="E8386" t="s">
        <v>26294</v>
      </c>
      <c r="F8386" t="s">
        <v>7672</v>
      </c>
      <c r="G8386" t="s">
        <v>26295</v>
      </c>
      <c r="H8386" t="s">
        <v>8515</v>
      </c>
      <c r="I8386" t="s">
        <v>26296</v>
      </c>
      <c r="J8386" t="s">
        <v>13084</v>
      </c>
    </row>
    <row r="8387" spans="1:10" x14ac:dyDescent="0.25">
      <c r="A8387" t="s">
        <v>26303</v>
      </c>
      <c r="B8387">
        <v>4.1920000000000002</v>
      </c>
      <c r="C8387" t="s">
        <v>26304</v>
      </c>
      <c r="D8387" t="s">
        <v>2364</v>
      </c>
      <c r="E8387" t="s">
        <v>26294</v>
      </c>
      <c r="F8387" t="s">
        <v>7672</v>
      </c>
      <c r="G8387" t="s">
        <v>26295</v>
      </c>
      <c r="H8387" t="s">
        <v>8515</v>
      </c>
      <c r="I8387" t="s">
        <v>26296</v>
      </c>
      <c r="J8387" t="s">
        <v>11767</v>
      </c>
    </row>
    <row r="8388" spans="1:10" x14ac:dyDescent="0.25">
      <c r="A8388" t="s">
        <v>26305</v>
      </c>
      <c r="B8388">
        <v>4.1920000000000002</v>
      </c>
      <c r="C8388" t="s">
        <v>26306</v>
      </c>
      <c r="D8388" t="s">
        <v>8235</v>
      </c>
      <c r="E8388" t="s">
        <v>26294</v>
      </c>
      <c r="F8388" t="s">
        <v>7672</v>
      </c>
      <c r="G8388" t="s">
        <v>26295</v>
      </c>
      <c r="H8388" t="s">
        <v>8515</v>
      </c>
      <c r="I8388" t="s">
        <v>26296</v>
      </c>
      <c r="J8388" t="s">
        <v>11582</v>
      </c>
    </row>
    <row r="8389" spans="1:10" x14ac:dyDescent="0.25">
      <c r="A8389" t="s">
        <v>26307</v>
      </c>
      <c r="B8389">
        <v>4.1920000000000002</v>
      </c>
      <c r="C8389" t="s">
        <v>26308</v>
      </c>
      <c r="D8389" t="s">
        <v>4136</v>
      </c>
      <c r="E8389" t="s">
        <v>26294</v>
      </c>
      <c r="F8389" t="s">
        <v>7672</v>
      </c>
      <c r="G8389" t="s">
        <v>26295</v>
      </c>
      <c r="H8389" t="s">
        <v>8515</v>
      </c>
      <c r="I8389" t="s">
        <v>26296</v>
      </c>
      <c r="J8389" t="s">
        <v>11585</v>
      </c>
    </row>
    <row r="8390" spans="1:10" x14ac:dyDescent="0.25">
      <c r="A8390" t="s">
        <v>26309</v>
      </c>
      <c r="B8390">
        <v>9</v>
      </c>
      <c r="C8390" t="s">
        <v>26310</v>
      </c>
      <c r="D8390" t="s">
        <v>4924</v>
      </c>
      <c r="E8390" t="s">
        <v>26311</v>
      </c>
      <c r="F8390" t="s">
        <v>7672</v>
      </c>
      <c r="G8390" t="s">
        <v>26312</v>
      </c>
      <c r="H8390" t="s">
        <v>13951</v>
      </c>
      <c r="I8390" t="s">
        <v>14757</v>
      </c>
      <c r="J8390" t="s">
        <v>7719</v>
      </c>
    </row>
    <row r="8391" spans="1:10" x14ac:dyDescent="0.25">
      <c r="A8391" t="s">
        <v>26313</v>
      </c>
      <c r="B8391">
        <v>9</v>
      </c>
      <c r="C8391" t="s">
        <v>26314</v>
      </c>
      <c r="D8391" t="s">
        <v>588</v>
      </c>
      <c r="E8391" t="s">
        <v>26315</v>
      </c>
      <c r="F8391" t="s">
        <v>7672</v>
      </c>
      <c r="G8391" t="s">
        <v>26316</v>
      </c>
      <c r="H8391" t="s">
        <v>16977</v>
      </c>
      <c r="I8391" t="s">
        <v>26317</v>
      </c>
      <c r="J8391" t="s">
        <v>16979</v>
      </c>
    </row>
    <row r="8392" spans="1:10" x14ac:dyDescent="0.25">
      <c r="A8392" t="s">
        <v>26318</v>
      </c>
      <c r="B8392">
        <v>9</v>
      </c>
      <c r="C8392" t="s">
        <v>26319</v>
      </c>
      <c r="D8392" t="s">
        <v>3110</v>
      </c>
      <c r="E8392" t="s">
        <v>26315</v>
      </c>
      <c r="F8392" t="s">
        <v>7672</v>
      </c>
      <c r="G8392" t="s">
        <v>26316</v>
      </c>
      <c r="H8392" t="s">
        <v>16977</v>
      </c>
      <c r="I8392" t="s">
        <v>26317</v>
      </c>
      <c r="J8392" t="s">
        <v>16982</v>
      </c>
    </row>
    <row r="8393" spans="1:10" x14ac:dyDescent="0.25">
      <c r="A8393" t="s">
        <v>26320</v>
      </c>
      <c r="B8393">
        <v>9</v>
      </c>
      <c r="C8393" t="s">
        <v>26321</v>
      </c>
      <c r="D8393" t="s">
        <v>5592</v>
      </c>
      <c r="E8393" t="s">
        <v>26315</v>
      </c>
      <c r="F8393" t="s">
        <v>7672</v>
      </c>
      <c r="G8393" t="s">
        <v>26316</v>
      </c>
      <c r="H8393" t="s">
        <v>16977</v>
      </c>
      <c r="I8393" t="s">
        <v>26317</v>
      </c>
      <c r="J8393" t="s">
        <v>16985</v>
      </c>
    </row>
    <row r="8394" spans="1:10" x14ac:dyDescent="0.25">
      <c r="A8394" t="s">
        <v>26322</v>
      </c>
      <c r="B8394">
        <v>9</v>
      </c>
      <c r="C8394" t="s">
        <v>26323</v>
      </c>
      <c r="D8394" t="s">
        <v>1822</v>
      </c>
      <c r="E8394" t="s">
        <v>26315</v>
      </c>
      <c r="F8394" t="s">
        <v>7672</v>
      </c>
      <c r="G8394" t="s">
        <v>26316</v>
      </c>
      <c r="H8394" t="s">
        <v>16977</v>
      </c>
      <c r="I8394" t="s">
        <v>26317</v>
      </c>
      <c r="J8394" t="s">
        <v>16988</v>
      </c>
    </row>
    <row r="8395" spans="1:10" x14ac:dyDescent="0.25">
      <c r="A8395" t="s">
        <v>26324</v>
      </c>
      <c r="B8395">
        <v>8.3920000000000012</v>
      </c>
      <c r="C8395" t="s">
        <v>26325</v>
      </c>
      <c r="D8395" t="s">
        <v>269</v>
      </c>
      <c r="E8395" t="s">
        <v>26326</v>
      </c>
      <c r="F8395" t="s">
        <v>7672</v>
      </c>
      <c r="G8395" t="s">
        <v>26327</v>
      </c>
      <c r="H8395" t="s">
        <v>11598</v>
      </c>
      <c r="I8395" t="s">
        <v>20822</v>
      </c>
      <c r="J8395" t="s">
        <v>9237</v>
      </c>
    </row>
    <row r="8396" spans="1:10" x14ac:dyDescent="0.25">
      <c r="A8396" t="s">
        <v>26328</v>
      </c>
      <c r="B8396">
        <v>8.3920000000000012</v>
      </c>
      <c r="C8396" t="s">
        <v>26329</v>
      </c>
      <c r="D8396" t="s">
        <v>2697</v>
      </c>
      <c r="E8396" t="s">
        <v>26326</v>
      </c>
      <c r="F8396" t="s">
        <v>7672</v>
      </c>
      <c r="G8396" t="s">
        <v>26327</v>
      </c>
      <c r="H8396" t="s">
        <v>11598</v>
      </c>
      <c r="I8396" t="s">
        <v>20822</v>
      </c>
      <c r="J8396" t="s">
        <v>8427</v>
      </c>
    </row>
    <row r="8397" spans="1:10" x14ac:dyDescent="0.25">
      <c r="A8397" t="s">
        <v>26330</v>
      </c>
      <c r="B8397">
        <v>8.3920000000000012</v>
      </c>
      <c r="C8397" t="s">
        <v>26331</v>
      </c>
      <c r="D8397" t="s">
        <v>106</v>
      </c>
      <c r="E8397" t="s">
        <v>26326</v>
      </c>
      <c r="F8397" t="s">
        <v>7672</v>
      </c>
      <c r="G8397" t="s">
        <v>26327</v>
      </c>
      <c r="H8397" t="s">
        <v>11598</v>
      </c>
      <c r="I8397" t="s">
        <v>26332</v>
      </c>
      <c r="J8397" t="s">
        <v>8427</v>
      </c>
    </row>
    <row r="8398" spans="1:10" x14ac:dyDescent="0.25">
      <c r="A8398" t="s">
        <v>26333</v>
      </c>
      <c r="B8398">
        <v>8.3920000000000012</v>
      </c>
      <c r="C8398" t="s">
        <v>26334</v>
      </c>
      <c r="D8398" t="s">
        <v>95</v>
      </c>
      <c r="E8398" t="s">
        <v>26326</v>
      </c>
      <c r="F8398" t="s">
        <v>7672</v>
      </c>
      <c r="G8398" t="s">
        <v>26327</v>
      </c>
      <c r="H8398" t="s">
        <v>11598</v>
      </c>
      <c r="I8398" t="s">
        <v>26332</v>
      </c>
      <c r="J8398" t="s">
        <v>8439</v>
      </c>
    </row>
    <row r="8399" spans="1:10" x14ac:dyDescent="0.25">
      <c r="A8399" t="s">
        <v>26335</v>
      </c>
      <c r="B8399">
        <v>8.3920000000000012</v>
      </c>
      <c r="C8399" t="s">
        <v>26336</v>
      </c>
      <c r="D8399" t="s">
        <v>296</v>
      </c>
      <c r="E8399" t="s">
        <v>26326</v>
      </c>
      <c r="F8399" t="s">
        <v>7672</v>
      </c>
      <c r="G8399" t="s">
        <v>26327</v>
      </c>
      <c r="H8399" t="s">
        <v>11598</v>
      </c>
      <c r="I8399" t="s">
        <v>20822</v>
      </c>
      <c r="J8399" t="s">
        <v>8439</v>
      </c>
    </row>
    <row r="8400" spans="1:10" x14ac:dyDescent="0.25">
      <c r="A8400" t="s">
        <v>26337</v>
      </c>
      <c r="B8400">
        <v>8.3920000000000012</v>
      </c>
      <c r="C8400" t="s">
        <v>26338</v>
      </c>
      <c r="D8400" t="s">
        <v>95</v>
      </c>
      <c r="E8400" t="s">
        <v>26326</v>
      </c>
      <c r="F8400" t="s">
        <v>7672</v>
      </c>
      <c r="G8400" t="s">
        <v>26327</v>
      </c>
      <c r="H8400" t="s">
        <v>11598</v>
      </c>
      <c r="I8400" t="s">
        <v>20829</v>
      </c>
      <c r="J8400" t="s">
        <v>8439</v>
      </c>
    </row>
    <row r="8401" spans="1:10" x14ac:dyDescent="0.25">
      <c r="A8401" t="s">
        <v>26339</v>
      </c>
      <c r="B8401">
        <v>8.3920000000000012</v>
      </c>
      <c r="C8401" t="s">
        <v>26340</v>
      </c>
      <c r="D8401" t="s">
        <v>131</v>
      </c>
      <c r="E8401" t="s">
        <v>26326</v>
      </c>
      <c r="F8401" t="s">
        <v>7672</v>
      </c>
      <c r="G8401" t="s">
        <v>26327</v>
      </c>
      <c r="H8401" t="s">
        <v>11598</v>
      </c>
      <c r="I8401" t="s">
        <v>20829</v>
      </c>
      <c r="J8401" t="s">
        <v>8451</v>
      </c>
    </row>
    <row r="8402" spans="1:10" x14ac:dyDescent="0.25">
      <c r="A8402" t="s">
        <v>26341</v>
      </c>
      <c r="B8402">
        <v>8.3920000000000012</v>
      </c>
      <c r="C8402" t="s">
        <v>26342</v>
      </c>
      <c r="D8402" t="s">
        <v>959</v>
      </c>
      <c r="E8402" t="s">
        <v>26326</v>
      </c>
      <c r="F8402" t="s">
        <v>7672</v>
      </c>
      <c r="G8402" t="s">
        <v>26327</v>
      </c>
      <c r="H8402" t="s">
        <v>11598</v>
      </c>
      <c r="I8402" t="s">
        <v>26332</v>
      </c>
      <c r="J8402" t="s">
        <v>8451</v>
      </c>
    </row>
    <row r="8403" spans="1:10" x14ac:dyDescent="0.25">
      <c r="A8403" t="s">
        <v>26343</v>
      </c>
      <c r="B8403">
        <v>8.3920000000000012</v>
      </c>
      <c r="C8403" t="s">
        <v>26344</v>
      </c>
      <c r="D8403" t="s">
        <v>613</v>
      </c>
      <c r="E8403" t="s">
        <v>26326</v>
      </c>
      <c r="F8403" t="s">
        <v>7672</v>
      </c>
      <c r="G8403" t="s">
        <v>26327</v>
      </c>
      <c r="H8403" t="s">
        <v>11598</v>
      </c>
      <c r="I8403" t="s">
        <v>20822</v>
      </c>
      <c r="J8403" t="s">
        <v>8451</v>
      </c>
    </row>
    <row r="8404" spans="1:10" x14ac:dyDescent="0.25">
      <c r="A8404" t="s">
        <v>26345</v>
      </c>
      <c r="B8404">
        <v>8.3920000000000012</v>
      </c>
      <c r="C8404" t="s">
        <v>26346</v>
      </c>
      <c r="D8404" t="s">
        <v>330</v>
      </c>
      <c r="E8404" t="s">
        <v>26326</v>
      </c>
      <c r="F8404" t="s">
        <v>7672</v>
      </c>
      <c r="G8404" t="s">
        <v>26327</v>
      </c>
      <c r="H8404" t="s">
        <v>11598</v>
      </c>
      <c r="I8404" t="s">
        <v>20829</v>
      </c>
      <c r="J8404" t="s">
        <v>8462</v>
      </c>
    </row>
    <row r="8405" spans="1:10" x14ac:dyDescent="0.25">
      <c r="A8405" t="s">
        <v>26347</v>
      </c>
      <c r="B8405">
        <v>8.3920000000000012</v>
      </c>
      <c r="C8405" t="s">
        <v>26348</v>
      </c>
      <c r="D8405" t="s">
        <v>164</v>
      </c>
      <c r="E8405" t="s">
        <v>26326</v>
      </c>
      <c r="F8405" t="s">
        <v>7672</v>
      </c>
      <c r="G8405" t="s">
        <v>26327</v>
      </c>
      <c r="H8405" t="s">
        <v>11598</v>
      </c>
      <c r="I8405" t="s">
        <v>26332</v>
      </c>
      <c r="J8405" t="s">
        <v>8462</v>
      </c>
    </row>
    <row r="8406" spans="1:10" x14ac:dyDescent="0.25">
      <c r="A8406" t="s">
        <v>26349</v>
      </c>
      <c r="B8406">
        <v>8.3920000000000012</v>
      </c>
      <c r="C8406" t="s">
        <v>26350</v>
      </c>
      <c r="D8406" t="s">
        <v>95</v>
      </c>
      <c r="E8406" t="s">
        <v>26326</v>
      </c>
      <c r="F8406" t="s">
        <v>7672</v>
      </c>
      <c r="G8406" t="s">
        <v>26327</v>
      </c>
      <c r="H8406" t="s">
        <v>11598</v>
      </c>
      <c r="I8406" t="s">
        <v>20822</v>
      </c>
      <c r="J8406" t="s">
        <v>8462</v>
      </c>
    </row>
    <row r="8407" spans="1:10" x14ac:dyDescent="0.25">
      <c r="A8407" t="s">
        <v>26351</v>
      </c>
      <c r="B8407">
        <v>6</v>
      </c>
      <c r="C8407" t="s">
        <v>26352</v>
      </c>
      <c r="D8407" t="s">
        <v>4114</v>
      </c>
      <c r="E8407" t="s">
        <v>26353</v>
      </c>
      <c r="F8407" t="s">
        <v>7672</v>
      </c>
      <c r="G8407" t="s">
        <v>26354</v>
      </c>
      <c r="H8407" t="s">
        <v>11496</v>
      </c>
      <c r="I8407" t="s">
        <v>145</v>
      </c>
      <c r="J8407" t="s">
        <v>9423</v>
      </c>
    </row>
    <row r="8408" spans="1:10" x14ac:dyDescent="0.25">
      <c r="A8408" t="s">
        <v>26355</v>
      </c>
      <c r="B8408">
        <v>6</v>
      </c>
      <c r="C8408" t="s">
        <v>26356</v>
      </c>
      <c r="D8408" t="s">
        <v>26357</v>
      </c>
      <c r="E8408" t="s">
        <v>26353</v>
      </c>
      <c r="F8408" t="s">
        <v>7672</v>
      </c>
      <c r="G8408" t="s">
        <v>26354</v>
      </c>
      <c r="H8408" t="s">
        <v>11496</v>
      </c>
      <c r="I8408" t="s">
        <v>145</v>
      </c>
      <c r="J8408" t="s">
        <v>9426</v>
      </c>
    </row>
    <row r="8409" spans="1:10" x14ac:dyDescent="0.25">
      <c r="A8409" t="s">
        <v>26358</v>
      </c>
      <c r="B8409">
        <v>6</v>
      </c>
      <c r="C8409" t="s">
        <v>26359</v>
      </c>
      <c r="D8409" t="s">
        <v>3060</v>
      </c>
      <c r="E8409" t="s">
        <v>26353</v>
      </c>
      <c r="F8409" t="s">
        <v>7672</v>
      </c>
      <c r="G8409" t="s">
        <v>26354</v>
      </c>
      <c r="H8409" t="s">
        <v>11496</v>
      </c>
      <c r="I8409" t="s">
        <v>145</v>
      </c>
      <c r="J8409" t="s">
        <v>10862</v>
      </c>
    </row>
    <row r="8410" spans="1:10" x14ac:dyDescent="0.25">
      <c r="A8410" t="s">
        <v>26360</v>
      </c>
      <c r="B8410">
        <v>6</v>
      </c>
      <c r="C8410" t="s">
        <v>26361</v>
      </c>
      <c r="D8410" t="s">
        <v>1852</v>
      </c>
      <c r="E8410" t="s">
        <v>26353</v>
      </c>
      <c r="F8410" t="s">
        <v>7672</v>
      </c>
      <c r="G8410" t="s">
        <v>26354</v>
      </c>
      <c r="H8410" t="s">
        <v>11496</v>
      </c>
      <c r="I8410" t="s">
        <v>145</v>
      </c>
      <c r="J8410" t="s">
        <v>13084</v>
      </c>
    </row>
    <row r="8411" spans="1:10" x14ac:dyDescent="0.25">
      <c r="A8411" t="s">
        <v>26362</v>
      </c>
      <c r="B8411">
        <v>14.295999999999999</v>
      </c>
      <c r="C8411" t="s">
        <v>26363</v>
      </c>
      <c r="D8411" t="s">
        <v>124</v>
      </c>
      <c r="E8411" t="s">
        <v>26364</v>
      </c>
      <c r="F8411" t="s">
        <v>7672</v>
      </c>
      <c r="G8411" t="s">
        <v>26365</v>
      </c>
      <c r="H8411" t="s">
        <v>18003</v>
      </c>
      <c r="I8411" t="s">
        <v>11508</v>
      </c>
      <c r="J8411" t="s">
        <v>436</v>
      </c>
    </row>
    <row r="8412" spans="1:10" x14ac:dyDescent="0.25">
      <c r="A8412" t="s">
        <v>26366</v>
      </c>
      <c r="B8412">
        <v>14.295999999999999</v>
      </c>
      <c r="C8412" t="s">
        <v>26367</v>
      </c>
      <c r="D8412" t="s">
        <v>2022</v>
      </c>
      <c r="E8412" t="s">
        <v>26364</v>
      </c>
      <c r="F8412" t="s">
        <v>7672</v>
      </c>
      <c r="G8412" t="s">
        <v>26365</v>
      </c>
      <c r="H8412" t="s">
        <v>18003</v>
      </c>
      <c r="I8412" t="s">
        <v>11508</v>
      </c>
      <c r="J8412" t="s">
        <v>53</v>
      </c>
    </row>
    <row r="8413" spans="1:10" x14ac:dyDescent="0.25">
      <c r="A8413" t="s">
        <v>26368</v>
      </c>
      <c r="B8413">
        <v>14.295999999999999</v>
      </c>
      <c r="C8413" t="s">
        <v>26369</v>
      </c>
      <c r="D8413" t="s">
        <v>2072</v>
      </c>
      <c r="E8413" t="s">
        <v>26364</v>
      </c>
      <c r="F8413" t="s">
        <v>7672</v>
      </c>
      <c r="G8413" t="s">
        <v>26365</v>
      </c>
      <c r="H8413" t="s">
        <v>18003</v>
      </c>
      <c r="I8413" t="s">
        <v>11508</v>
      </c>
      <c r="J8413" t="s">
        <v>60</v>
      </c>
    </row>
    <row r="8414" spans="1:10" x14ac:dyDescent="0.25">
      <c r="A8414" t="s">
        <v>26370</v>
      </c>
      <c r="B8414">
        <v>14.295999999999999</v>
      </c>
      <c r="C8414" t="s">
        <v>26371</v>
      </c>
      <c r="D8414" t="s">
        <v>2620</v>
      </c>
      <c r="E8414" t="s">
        <v>26364</v>
      </c>
      <c r="F8414" t="s">
        <v>7672</v>
      </c>
      <c r="G8414" t="s">
        <v>26365</v>
      </c>
      <c r="H8414" t="s">
        <v>18003</v>
      </c>
      <c r="I8414" t="s">
        <v>11508</v>
      </c>
      <c r="J8414" t="s">
        <v>342</v>
      </c>
    </row>
    <row r="8415" spans="1:10" x14ac:dyDescent="0.25">
      <c r="A8415" t="s">
        <v>26372</v>
      </c>
      <c r="B8415">
        <v>14.295999999999999</v>
      </c>
      <c r="C8415" t="s">
        <v>26373</v>
      </c>
      <c r="D8415" t="s">
        <v>1811</v>
      </c>
      <c r="E8415" t="s">
        <v>26364</v>
      </c>
      <c r="F8415" t="s">
        <v>7672</v>
      </c>
      <c r="G8415" t="s">
        <v>26365</v>
      </c>
      <c r="H8415" t="s">
        <v>18003</v>
      </c>
      <c r="I8415" t="s">
        <v>11508</v>
      </c>
      <c r="J8415" t="s">
        <v>100</v>
      </c>
    </row>
    <row r="8416" spans="1:10" x14ac:dyDescent="0.25">
      <c r="A8416" t="s">
        <v>26374</v>
      </c>
      <c r="B8416">
        <v>14.295999999999999</v>
      </c>
      <c r="C8416" t="s">
        <v>26375</v>
      </c>
      <c r="D8416" t="s">
        <v>321</v>
      </c>
      <c r="E8416" t="s">
        <v>26364</v>
      </c>
      <c r="F8416" t="s">
        <v>7672</v>
      </c>
      <c r="G8416" t="s">
        <v>26365</v>
      </c>
      <c r="H8416" t="s">
        <v>18003</v>
      </c>
      <c r="I8416" t="s">
        <v>11508</v>
      </c>
      <c r="J8416" t="s">
        <v>106</v>
      </c>
    </row>
    <row r="8417" spans="1:10" x14ac:dyDescent="0.25">
      <c r="A8417" t="s">
        <v>26376</v>
      </c>
      <c r="B8417">
        <v>4.16</v>
      </c>
      <c r="C8417" t="s">
        <v>26377</v>
      </c>
      <c r="D8417" t="s">
        <v>5592</v>
      </c>
      <c r="E8417" t="s">
        <v>26378</v>
      </c>
      <c r="F8417" t="s">
        <v>7672</v>
      </c>
      <c r="G8417" t="s">
        <v>26379</v>
      </c>
      <c r="H8417" t="s">
        <v>11496</v>
      </c>
      <c r="I8417" t="s">
        <v>935</v>
      </c>
      <c r="J8417" t="s">
        <v>9426</v>
      </c>
    </row>
    <row r="8418" spans="1:10" x14ac:dyDescent="0.25">
      <c r="A8418" t="s">
        <v>26380</v>
      </c>
      <c r="B8418">
        <v>5.6000000000000014</v>
      </c>
      <c r="C8418" t="s">
        <v>26381</v>
      </c>
      <c r="D8418" t="s">
        <v>4114</v>
      </c>
      <c r="E8418" t="s">
        <v>26382</v>
      </c>
      <c r="F8418" t="s">
        <v>7672</v>
      </c>
      <c r="G8418" t="s">
        <v>26383</v>
      </c>
      <c r="H8418" t="s">
        <v>11496</v>
      </c>
      <c r="I8418" t="s">
        <v>17326</v>
      </c>
      <c r="J8418" t="s">
        <v>9423</v>
      </c>
    </row>
    <row r="8419" spans="1:10" x14ac:dyDescent="0.25">
      <c r="A8419" t="s">
        <v>26384</v>
      </c>
      <c r="B8419">
        <v>5.6000000000000014</v>
      </c>
      <c r="C8419" t="s">
        <v>26385</v>
      </c>
      <c r="D8419" t="s">
        <v>3599</v>
      </c>
      <c r="E8419" t="s">
        <v>26382</v>
      </c>
      <c r="F8419" t="s">
        <v>7672</v>
      </c>
      <c r="G8419" t="s">
        <v>26383</v>
      </c>
      <c r="H8419" t="s">
        <v>11496</v>
      </c>
      <c r="I8419" t="s">
        <v>17326</v>
      </c>
      <c r="J8419" t="s">
        <v>9426</v>
      </c>
    </row>
    <row r="8420" spans="1:10" x14ac:dyDescent="0.25">
      <c r="A8420" t="s">
        <v>26386</v>
      </c>
      <c r="B8420">
        <v>5.6000000000000014</v>
      </c>
      <c r="C8420" t="s">
        <v>26387</v>
      </c>
      <c r="D8420" t="s">
        <v>11485</v>
      </c>
      <c r="E8420" t="s">
        <v>26382</v>
      </c>
      <c r="F8420" t="s">
        <v>7672</v>
      </c>
      <c r="G8420" t="s">
        <v>26383</v>
      </c>
      <c r="H8420" t="s">
        <v>11496</v>
      </c>
      <c r="I8420" t="s">
        <v>17326</v>
      </c>
      <c r="J8420" t="s">
        <v>10862</v>
      </c>
    </row>
    <row r="8421" spans="1:10" x14ac:dyDescent="0.25">
      <c r="A8421" t="s">
        <v>26388</v>
      </c>
      <c r="B8421">
        <v>5.6000000000000014</v>
      </c>
      <c r="C8421" t="s">
        <v>26389</v>
      </c>
      <c r="D8421" t="s">
        <v>1864</v>
      </c>
      <c r="E8421" t="s">
        <v>26382</v>
      </c>
      <c r="F8421" t="s">
        <v>7672</v>
      </c>
      <c r="G8421" t="s">
        <v>26383</v>
      </c>
      <c r="H8421" t="s">
        <v>11496</v>
      </c>
      <c r="I8421" t="s">
        <v>17326</v>
      </c>
      <c r="J8421" t="s">
        <v>13084</v>
      </c>
    </row>
    <row r="8422" spans="1:10" x14ac:dyDescent="0.25">
      <c r="A8422" t="s">
        <v>26390</v>
      </c>
      <c r="B8422">
        <v>5.6000000000000014</v>
      </c>
      <c r="C8422" t="s">
        <v>26391</v>
      </c>
      <c r="D8422" t="s">
        <v>1579</v>
      </c>
      <c r="E8422" t="s">
        <v>26382</v>
      </c>
      <c r="F8422" t="s">
        <v>7672</v>
      </c>
      <c r="G8422" t="s">
        <v>26383</v>
      </c>
      <c r="H8422" t="s">
        <v>11496</v>
      </c>
      <c r="I8422" t="s">
        <v>17326</v>
      </c>
      <c r="J8422" t="s">
        <v>11767</v>
      </c>
    </row>
    <row r="8423" spans="1:10" x14ac:dyDescent="0.25">
      <c r="A8423" t="s">
        <v>26392</v>
      </c>
      <c r="B8423">
        <v>13</v>
      </c>
      <c r="C8423" t="s">
        <v>26393</v>
      </c>
      <c r="D8423" t="s">
        <v>2022</v>
      </c>
      <c r="E8423" t="s">
        <v>26394</v>
      </c>
      <c r="F8423" t="s">
        <v>7672</v>
      </c>
      <c r="G8423" t="s">
        <v>26395</v>
      </c>
      <c r="H8423" t="s">
        <v>17992</v>
      </c>
      <c r="I8423" t="s">
        <v>19058</v>
      </c>
      <c r="J8423" t="s">
        <v>7942</v>
      </c>
    </row>
    <row r="8424" spans="1:10" x14ac:dyDescent="0.25">
      <c r="A8424" t="s">
        <v>26396</v>
      </c>
      <c r="B8424">
        <v>13</v>
      </c>
      <c r="C8424" t="s">
        <v>26397</v>
      </c>
      <c r="D8424" t="s">
        <v>3086</v>
      </c>
      <c r="E8424" t="s">
        <v>26394</v>
      </c>
      <c r="F8424" t="s">
        <v>7672</v>
      </c>
      <c r="G8424" t="s">
        <v>26395</v>
      </c>
      <c r="H8424" t="s">
        <v>17992</v>
      </c>
      <c r="I8424" t="s">
        <v>19058</v>
      </c>
      <c r="J8424" t="s">
        <v>7981</v>
      </c>
    </row>
    <row r="8425" spans="1:10" x14ac:dyDescent="0.25">
      <c r="A8425" t="s">
        <v>26398</v>
      </c>
      <c r="B8425">
        <v>13</v>
      </c>
      <c r="C8425" t="s">
        <v>26399</v>
      </c>
      <c r="D8425" t="s">
        <v>2078</v>
      </c>
      <c r="E8425" t="s">
        <v>26394</v>
      </c>
      <c r="F8425" t="s">
        <v>7672</v>
      </c>
      <c r="G8425" t="s">
        <v>26395</v>
      </c>
      <c r="H8425" t="s">
        <v>17992</v>
      </c>
      <c r="I8425" t="s">
        <v>19058</v>
      </c>
      <c r="J8425" t="s">
        <v>7984</v>
      </c>
    </row>
    <row r="8426" spans="1:10" x14ac:dyDescent="0.25">
      <c r="A8426" t="s">
        <v>26400</v>
      </c>
      <c r="B8426">
        <v>13</v>
      </c>
      <c r="C8426" t="s">
        <v>26401</v>
      </c>
      <c r="D8426" t="s">
        <v>659</v>
      </c>
      <c r="E8426" t="s">
        <v>26394</v>
      </c>
      <c r="F8426" t="s">
        <v>7672</v>
      </c>
      <c r="G8426" t="s">
        <v>26395</v>
      </c>
      <c r="H8426" t="s">
        <v>17992</v>
      </c>
      <c r="I8426" t="s">
        <v>19058</v>
      </c>
      <c r="J8426" t="s">
        <v>7987</v>
      </c>
    </row>
    <row r="8427" spans="1:10" x14ac:dyDescent="0.25">
      <c r="A8427" t="s">
        <v>26402</v>
      </c>
      <c r="B8427">
        <v>13</v>
      </c>
      <c r="C8427" t="s">
        <v>26403</v>
      </c>
      <c r="D8427" t="s">
        <v>991</v>
      </c>
      <c r="E8427" t="s">
        <v>26394</v>
      </c>
      <c r="F8427" t="s">
        <v>7672</v>
      </c>
      <c r="G8427" t="s">
        <v>26395</v>
      </c>
      <c r="H8427" t="s">
        <v>17992</v>
      </c>
      <c r="I8427" t="s">
        <v>19058</v>
      </c>
      <c r="J8427" t="s">
        <v>8001</v>
      </c>
    </row>
    <row r="8428" spans="1:10" x14ac:dyDescent="0.25">
      <c r="A8428" t="s">
        <v>26404</v>
      </c>
      <c r="B8428">
        <v>13</v>
      </c>
      <c r="C8428" t="s">
        <v>26405</v>
      </c>
      <c r="D8428" t="s">
        <v>3409</v>
      </c>
      <c r="E8428" t="s">
        <v>26394</v>
      </c>
      <c r="F8428" t="s">
        <v>7672</v>
      </c>
      <c r="G8428" t="s">
        <v>26395</v>
      </c>
      <c r="H8428" t="s">
        <v>17992</v>
      </c>
      <c r="I8428" t="s">
        <v>19058</v>
      </c>
      <c r="J8428" t="s">
        <v>8013</v>
      </c>
    </row>
    <row r="8429" spans="1:10" x14ac:dyDescent="0.25">
      <c r="A8429" t="s">
        <v>26406</v>
      </c>
      <c r="B8429">
        <v>9.2000000000000011</v>
      </c>
      <c r="C8429" t="s">
        <v>26407</v>
      </c>
      <c r="D8429" t="s">
        <v>1621</v>
      </c>
      <c r="E8429" t="s">
        <v>26408</v>
      </c>
      <c r="F8429" t="s">
        <v>7672</v>
      </c>
      <c r="G8429" t="s">
        <v>26409</v>
      </c>
      <c r="H8429" t="s">
        <v>26410</v>
      </c>
      <c r="I8429" t="s">
        <v>13300</v>
      </c>
      <c r="J8429" t="s">
        <v>8427</v>
      </c>
    </row>
    <row r="8430" spans="1:10" x14ac:dyDescent="0.25">
      <c r="A8430" t="s">
        <v>26411</v>
      </c>
      <c r="B8430">
        <v>9.2000000000000011</v>
      </c>
      <c r="C8430" t="s">
        <v>26412</v>
      </c>
      <c r="D8430" t="s">
        <v>959</v>
      </c>
      <c r="E8430" t="s">
        <v>26408</v>
      </c>
      <c r="F8430" t="s">
        <v>7672</v>
      </c>
      <c r="G8430" t="s">
        <v>26409</v>
      </c>
      <c r="H8430" t="s">
        <v>26410</v>
      </c>
      <c r="I8430" t="s">
        <v>10558</v>
      </c>
      <c r="J8430" t="s">
        <v>8427</v>
      </c>
    </row>
    <row r="8431" spans="1:10" x14ac:dyDescent="0.25">
      <c r="A8431" t="s">
        <v>26413</v>
      </c>
      <c r="B8431">
        <v>9.2000000000000011</v>
      </c>
      <c r="C8431" t="s">
        <v>26414</v>
      </c>
      <c r="D8431" t="s">
        <v>2022</v>
      </c>
      <c r="E8431" t="s">
        <v>26408</v>
      </c>
      <c r="F8431" t="s">
        <v>7672</v>
      </c>
      <c r="G8431" t="s">
        <v>26409</v>
      </c>
      <c r="H8431" t="s">
        <v>26410</v>
      </c>
      <c r="I8431" t="s">
        <v>13300</v>
      </c>
      <c r="J8431" t="s">
        <v>8439</v>
      </c>
    </row>
    <row r="8432" spans="1:10" x14ac:dyDescent="0.25">
      <c r="A8432" t="s">
        <v>26415</v>
      </c>
      <c r="B8432">
        <v>9.2000000000000011</v>
      </c>
      <c r="C8432" t="s">
        <v>26416</v>
      </c>
      <c r="D8432" t="s">
        <v>301</v>
      </c>
      <c r="E8432" t="s">
        <v>26408</v>
      </c>
      <c r="F8432" t="s">
        <v>7672</v>
      </c>
      <c r="G8432" t="s">
        <v>26409</v>
      </c>
      <c r="H8432" t="s">
        <v>26410</v>
      </c>
      <c r="I8432" t="s">
        <v>26417</v>
      </c>
      <c r="J8432" t="s">
        <v>8427</v>
      </c>
    </row>
    <row r="8433" spans="1:10" x14ac:dyDescent="0.25">
      <c r="A8433" t="s">
        <v>26418</v>
      </c>
      <c r="B8433">
        <v>9.2000000000000011</v>
      </c>
      <c r="C8433" t="s">
        <v>26419</v>
      </c>
      <c r="D8433" t="s">
        <v>250</v>
      </c>
      <c r="E8433" t="s">
        <v>26408</v>
      </c>
      <c r="F8433" t="s">
        <v>7672</v>
      </c>
      <c r="G8433" t="s">
        <v>26409</v>
      </c>
      <c r="H8433" t="s">
        <v>26410</v>
      </c>
      <c r="I8433" t="s">
        <v>13696</v>
      </c>
      <c r="J8433" t="s">
        <v>8427</v>
      </c>
    </row>
    <row r="8434" spans="1:10" x14ac:dyDescent="0.25">
      <c r="A8434" t="s">
        <v>26420</v>
      </c>
      <c r="B8434">
        <v>9.2000000000000011</v>
      </c>
      <c r="C8434" t="s">
        <v>26421</v>
      </c>
      <c r="D8434" t="s">
        <v>781</v>
      </c>
      <c r="E8434" t="s">
        <v>26408</v>
      </c>
      <c r="F8434" t="s">
        <v>7672</v>
      </c>
      <c r="G8434" t="s">
        <v>26409</v>
      </c>
      <c r="H8434" t="s">
        <v>26410</v>
      </c>
      <c r="I8434" t="s">
        <v>26422</v>
      </c>
      <c r="J8434" t="s">
        <v>8427</v>
      </c>
    </row>
    <row r="8435" spans="1:10" x14ac:dyDescent="0.25">
      <c r="A8435" t="s">
        <v>26423</v>
      </c>
      <c r="B8435">
        <v>9.2000000000000011</v>
      </c>
      <c r="C8435" t="s">
        <v>26424</v>
      </c>
      <c r="D8435" t="s">
        <v>964</v>
      </c>
      <c r="E8435" t="s">
        <v>26408</v>
      </c>
      <c r="F8435" t="s">
        <v>7672</v>
      </c>
      <c r="G8435" t="s">
        <v>26409</v>
      </c>
      <c r="H8435" t="s">
        <v>26410</v>
      </c>
      <c r="I8435" t="s">
        <v>10558</v>
      </c>
      <c r="J8435" t="s">
        <v>8439</v>
      </c>
    </row>
    <row r="8436" spans="1:10" x14ac:dyDescent="0.25">
      <c r="A8436" t="s">
        <v>26425</v>
      </c>
      <c r="B8436">
        <v>9.2000000000000011</v>
      </c>
      <c r="C8436" t="s">
        <v>26426</v>
      </c>
      <c r="D8436" t="s">
        <v>436</v>
      </c>
      <c r="E8436" t="s">
        <v>26408</v>
      </c>
      <c r="F8436" t="s">
        <v>7672</v>
      </c>
      <c r="G8436" t="s">
        <v>26409</v>
      </c>
      <c r="H8436" t="s">
        <v>26410</v>
      </c>
      <c r="I8436" t="s">
        <v>10349</v>
      </c>
      <c r="J8436" t="s">
        <v>8427</v>
      </c>
    </row>
    <row r="8437" spans="1:10" x14ac:dyDescent="0.25">
      <c r="A8437" t="s">
        <v>26427</v>
      </c>
      <c r="B8437">
        <v>9.2000000000000011</v>
      </c>
      <c r="C8437" t="s">
        <v>26428</v>
      </c>
      <c r="D8437" t="s">
        <v>113</v>
      </c>
      <c r="E8437" t="s">
        <v>26408</v>
      </c>
      <c r="F8437" t="s">
        <v>7672</v>
      </c>
      <c r="G8437" t="s">
        <v>26409</v>
      </c>
      <c r="H8437" t="s">
        <v>26410</v>
      </c>
      <c r="I8437" t="s">
        <v>13300</v>
      </c>
      <c r="J8437" t="s">
        <v>8451</v>
      </c>
    </row>
    <row r="8438" spans="1:10" x14ac:dyDescent="0.25">
      <c r="A8438" t="s">
        <v>26429</v>
      </c>
      <c r="B8438">
        <v>9.2000000000000011</v>
      </c>
      <c r="C8438" t="s">
        <v>26430</v>
      </c>
      <c r="D8438" t="s">
        <v>843</v>
      </c>
      <c r="E8438" t="s">
        <v>26408</v>
      </c>
      <c r="F8438" t="s">
        <v>7672</v>
      </c>
      <c r="G8438" t="s">
        <v>26409</v>
      </c>
      <c r="H8438" t="s">
        <v>26410</v>
      </c>
      <c r="I8438" t="s">
        <v>13696</v>
      </c>
      <c r="J8438" t="s">
        <v>8439</v>
      </c>
    </row>
    <row r="8439" spans="1:10" x14ac:dyDescent="0.25">
      <c r="A8439" t="s">
        <v>26431</v>
      </c>
      <c r="B8439">
        <v>9.2000000000000011</v>
      </c>
      <c r="C8439" t="s">
        <v>26432</v>
      </c>
      <c r="D8439" t="s">
        <v>849</v>
      </c>
      <c r="E8439" t="s">
        <v>26408</v>
      </c>
      <c r="F8439" t="s">
        <v>7672</v>
      </c>
      <c r="G8439" t="s">
        <v>26409</v>
      </c>
      <c r="H8439" t="s">
        <v>26410</v>
      </c>
      <c r="I8439" t="s">
        <v>26417</v>
      </c>
      <c r="J8439" t="s">
        <v>8439</v>
      </c>
    </row>
    <row r="8440" spans="1:10" x14ac:dyDescent="0.25">
      <c r="A8440" t="s">
        <v>26433</v>
      </c>
      <c r="B8440">
        <v>9.2000000000000011</v>
      </c>
      <c r="C8440" t="s">
        <v>26434</v>
      </c>
      <c r="D8440" t="s">
        <v>229</v>
      </c>
      <c r="E8440" t="s">
        <v>26408</v>
      </c>
      <c r="F8440" t="s">
        <v>7672</v>
      </c>
      <c r="G8440" t="s">
        <v>26409</v>
      </c>
      <c r="H8440" t="s">
        <v>26410</v>
      </c>
      <c r="I8440" t="s">
        <v>26422</v>
      </c>
      <c r="J8440" t="s">
        <v>8439</v>
      </c>
    </row>
    <row r="8441" spans="1:10" x14ac:dyDescent="0.25">
      <c r="A8441" t="s">
        <v>26435</v>
      </c>
      <c r="B8441">
        <v>9.2000000000000011</v>
      </c>
      <c r="C8441" t="s">
        <v>26436</v>
      </c>
      <c r="D8441" t="s">
        <v>255</v>
      </c>
      <c r="E8441" t="s">
        <v>26408</v>
      </c>
      <c r="F8441" t="s">
        <v>7672</v>
      </c>
      <c r="G8441" t="s">
        <v>26409</v>
      </c>
      <c r="H8441" t="s">
        <v>26410</v>
      </c>
      <c r="I8441" t="s">
        <v>10349</v>
      </c>
      <c r="J8441" t="s">
        <v>8439</v>
      </c>
    </row>
    <row r="8442" spans="1:10" x14ac:dyDescent="0.25">
      <c r="A8442" t="s">
        <v>26437</v>
      </c>
      <c r="B8442">
        <v>9.2000000000000011</v>
      </c>
      <c r="C8442" t="s">
        <v>26438</v>
      </c>
      <c r="D8442" t="s">
        <v>100</v>
      </c>
      <c r="E8442" t="s">
        <v>26408</v>
      </c>
      <c r="F8442" t="s">
        <v>7672</v>
      </c>
      <c r="G8442" t="s">
        <v>26409</v>
      </c>
      <c r="H8442" t="s">
        <v>26410</v>
      </c>
      <c r="I8442" t="s">
        <v>10558</v>
      </c>
      <c r="J8442" t="s">
        <v>8451</v>
      </c>
    </row>
    <row r="8443" spans="1:10" x14ac:dyDescent="0.25">
      <c r="A8443" t="s">
        <v>26439</v>
      </c>
      <c r="B8443">
        <v>9.2000000000000011</v>
      </c>
      <c r="C8443" t="s">
        <v>26440</v>
      </c>
      <c r="D8443" t="s">
        <v>576</v>
      </c>
      <c r="E8443" t="s">
        <v>26408</v>
      </c>
      <c r="F8443" t="s">
        <v>7672</v>
      </c>
      <c r="G8443" t="s">
        <v>26409</v>
      </c>
      <c r="H8443" t="s">
        <v>26410</v>
      </c>
      <c r="I8443" t="s">
        <v>26422</v>
      </c>
      <c r="J8443" t="s">
        <v>8451</v>
      </c>
    </row>
    <row r="8444" spans="1:10" x14ac:dyDescent="0.25">
      <c r="A8444" t="s">
        <v>26441</v>
      </c>
      <c r="B8444">
        <v>9.2000000000000011</v>
      </c>
      <c r="C8444" t="s">
        <v>26442</v>
      </c>
      <c r="D8444" t="s">
        <v>113</v>
      </c>
      <c r="E8444" t="s">
        <v>26408</v>
      </c>
      <c r="F8444" t="s">
        <v>7672</v>
      </c>
      <c r="G8444" t="s">
        <v>26409</v>
      </c>
      <c r="H8444" t="s">
        <v>26410</v>
      </c>
      <c r="I8444" t="s">
        <v>13696</v>
      </c>
      <c r="J8444" t="s">
        <v>8451</v>
      </c>
    </row>
    <row r="8445" spans="1:10" x14ac:dyDescent="0.25">
      <c r="A8445" t="s">
        <v>26443</v>
      </c>
      <c r="B8445">
        <v>9.2000000000000011</v>
      </c>
      <c r="C8445" t="s">
        <v>26444</v>
      </c>
      <c r="D8445" t="s">
        <v>352</v>
      </c>
      <c r="E8445" t="s">
        <v>26408</v>
      </c>
      <c r="F8445" t="s">
        <v>7672</v>
      </c>
      <c r="G8445" t="s">
        <v>26409</v>
      </c>
      <c r="H8445" t="s">
        <v>26410</v>
      </c>
      <c r="I8445" t="s">
        <v>26417</v>
      </c>
      <c r="J8445" t="s">
        <v>8451</v>
      </c>
    </row>
    <row r="8446" spans="1:10" x14ac:dyDescent="0.25">
      <c r="A8446" t="s">
        <v>26445</v>
      </c>
      <c r="B8446">
        <v>5.1920000000000002</v>
      </c>
      <c r="C8446" t="s">
        <v>26446</v>
      </c>
      <c r="D8446" t="s">
        <v>16072</v>
      </c>
      <c r="E8446" t="s">
        <v>26447</v>
      </c>
      <c r="F8446" t="s">
        <v>7672</v>
      </c>
      <c r="G8446" t="s">
        <v>26448</v>
      </c>
      <c r="H8446" t="s">
        <v>26449</v>
      </c>
      <c r="I8446" t="s">
        <v>1243</v>
      </c>
      <c r="J8446" t="s">
        <v>9694</v>
      </c>
    </row>
    <row r="8447" spans="1:10" x14ac:dyDescent="0.25">
      <c r="A8447" t="s">
        <v>26450</v>
      </c>
      <c r="B8447">
        <v>10.4</v>
      </c>
      <c r="C8447" t="s">
        <v>26451</v>
      </c>
      <c r="D8447" t="s">
        <v>849</v>
      </c>
      <c r="E8447" t="s">
        <v>26452</v>
      </c>
      <c r="F8447" t="s">
        <v>7672</v>
      </c>
      <c r="G8447" t="s">
        <v>26453</v>
      </c>
      <c r="H8447" t="s">
        <v>10321</v>
      </c>
      <c r="I8447" t="s">
        <v>16883</v>
      </c>
      <c r="J8447" t="s">
        <v>11368</v>
      </c>
    </row>
    <row r="8448" spans="1:10" x14ac:dyDescent="0.25">
      <c r="A8448" t="s">
        <v>26454</v>
      </c>
      <c r="B8448">
        <v>10.4</v>
      </c>
      <c r="C8448" t="s">
        <v>26455</v>
      </c>
      <c r="D8448" t="s">
        <v>290</v>
      </c>
      <c r="E8448" t="s">
        <v>26452</v>
      </c>
      <c r="F8448" t="s">
        <v>7672</v>
      </c>
      <c r="G8448" t="s">
        <v>26453</v>
      </c>
      <c r="H8448" t="s">
        <v>10321</v>
      </c>
      <c r="I8448" t="s">
        <v>16883</v>
      </c>
      <c r="J8448" t="s">
        <v>11373</v>
      </c>
    </row>
    <row r="8449" spans="1:10" x14ac:dyDescent="0.25">
      <c r="A8449" t="s">
        <v>26456</v>
      </c>
      <c r="B8449">
        <v>11.2</v>
      </c>
      <c r="C8449" t="s">
        <v>26457</v>
      </c>
      <c r="D8449" t="s">
        <v>1236</v>
      </c>
      <c r="E8449" t="s">
        <v>26458</v>
      </c>
      <c r="F8449" t="s">
        <v>7672</v>
      </c>
      <c r="G8449" t="s">
        <v>26459</v>
      </c>
      <c r="H8449" t="s">
        <v>15122</v>
      </c>
      <c r="I8449" t="s">
        <v>145</v>
      </c>
      <c r="J8449" t="s">
        <v>11585</v>
      </c>
    </row>
    <row r="8450" spans="1:10" x14ac:dyDescent="0.25">
      <c r="A8450" t="s">
        <v>26460</v>
      </c>
      <c r="B8450">
        <v>11.2</v>
      </c>
      <c r="C8450" t="s">
        <v>26461</v>
      </c>
      <c r="D8450" t="s">
        <v>8057</v>
      </c>
      <c r="E8450" t="s">
        <v>26458</v>
      </c>
      <c r="F8450" t="s">
        <v>7672</v>
      </c>
      <c r="G8450" t="s">
        <v>26459</v>
      </c>
      <c r="H8450" t="s">
        <v>15122</v>
      </c>
      <c r="I8450" t="s">
        <v>145</v>
      </c>
      <c r="J8450" t="s">
        <v>10369</v>
      </c>
    </row>
    <row r="8451" spans="1:10" x14ac:dyDescent="0.25">
      <c r="A8451" t="s">
        <v>26462</v>
      </c>
      <c r="B8451">
        <v>11.2</v>
      </c>
      <c r="C8451" t="s">
        <v>26463</v>
      </c>
      <c r="D8451" t="s">
        <v>2381</v>
      </c>
      <c r="E8451" t="s">
        <v>26458</v>
      </c>
      <c r="F8451" t="s">
        <v>7672</v>
      </c>
      <c r="G8451" t="s">
        <v>26459</v>
      </c>
      <c r="H8451" t="s">
        <v>15122</v>
      </c>
      <c r="I8451" t="s">
        <v>145</v>
      </c>
      <c r="J8451" t="s">
        <v>11590</v>
      </c>
    </row>
    <row r="8452" spans="1:10" x14ac:dyDescent="0.25">
      <c r="A8452" t="s">
        <v>7317</v>
      </c>
      <c r="B8452">
        <v>22.4</v>
      </c>
      <c r="C8452" t="s">
        <v>7319</v>
      </c>
      <c r="D8452" t="s">
        <v>88</v>
      </c>
      <c r="E8452" t="s">
        <v>7320</v>
      </c>
      <c r="F8452" t="s">
        <v>7672</v>
      </c>
      <c r="G8452" t="s">
        <v>26464</v>
      </c>
      <c r="H8452" t="s">
        <v>7954</v>
      </c>
      <c r="I8452" t="s">
        <v>278</v>
      </c>
      <c r="J8452" t="s">
        <v>7942</v>
      </c>
    </row>
    <row r="8453" spans="1:10" x14ac:dyDescent="0.25">
      <c r="A8453" t="s">
        <v>7322</v>
      </c>
      <c r="B8453">
        <v>22.4</v>
      </c>
      <c r="C8453" t="s">
        <v>7324</v>
      </c>
      <c r="D8453" t="s">
        <v>385</v>
      </c>
      <c r="E8453" t="s">
        <v>7320</v>
      </c>
      <c r="F8453" t="s">
        <v>7672</v>
      </c>
      <c r="G8453" t="s">
        <v>26464</v>
      </c>
      <c r="H8453" t="s">
        <v>7954</v>
      </c>
      <c r="I8453" t="s">
        <v>278</v>
      </c>
      <c r="J8453" t="s">
        <v>7981</v>
      </c>
    </row>
    <row r="8454" spans="1:10" x14ac:dyDescent="0.25">
      <c r="A8454" t="s">
        <v>7326</v>
      </c>
      <c r="B8454">
        <v>22.4</v>
      </c>
      <c r="C8454" t="s">
        <v>7328</v>
      </c>
      <c r="D8454" t="s">
        <v>234</v>
      </c>
      <c r="E8454" t="s">
        <v>7320</v>
      </c>
      <c r="F8454" t="s">
        <v>7672</v>
      </c>
      <c r="G8454" t="s">
        <v>26464</v>
      </c>
      <c r="H8454" t="s">
        <v>7954</v>
      </c>
      <c r="I8454" t="s">
        <v>278</v>
      </c>
      <c r="J8454" t="s">
        <v>7984</v>
      </c>
    </row>
    <row r="8455" spans="1:10" x14ac:dyDescent="0.25">
      <c r="A8455" t="s">
        <v>7330</v>
      </c>
      <c r="B8455">
        <v>22.4</v>
      </c>
      <c r="C8455" t="s">
        <v>7332</v>
      </c>
      <c r="D8455" t="s">
        <v>2620</v>
      </c>
      <c r="E8455" t="s">
        <v>7320</v>
      </c>
      <c r="F8455" t="s">
        <v>7672</v>
      </c>
      <c r="G8455" t="s">
        <v>26464</v>
      </c>
      <c r="H8455" t="s">
        <v>7954</v>
      </c>
      <c r="I8455" t="s">
        <v>278</v>
      </c>
      <c r="J8455" t="s">
        <v>7987</v>
      </c>
    </row>
    <row r="8456" spans="1:10" x14ac:dyDescent="0.25">
      <c r="A8456" t="s">
        <v>7334</v>
      </c>
      <c r="B8456">
        <v>22.4</v>
      </c>
      <c r="C8456" t="s">
        <v>7336</v>
      </c>
      <c r="D8456" t="s">
        <v>1097</v>
      </c>
      <c r="E8456" t="s">
        <v>7320</v>
      </c>
      <c r="F8456" t="s">
        <v>7672</v>
      </c>
      <c r="G8456" t="s">
        <v>26464</v>
      </c>
      <c r="H8456" t="s">
        <v>7954</v>
      </c>
      <c r="I8456" t="s">
        <v>278</v>
      </c>
      <c r="J8456" t="s">
        <v>8001</v>
      </c>
    </row>
    <row r="8457" spans="1:10" x14ac:dyDescent="0.25">
      <c r="A8457" t="s">
        <v>26465</v>
      </c>
      <c r="B8457">
        <v>9</v>
      </c>
      <c r="C8457" t="s">
        <v>26466</v>
      </c>
      <c r="D8457" t="s">
        <v>60</v>
      </c>
      <c r="E8457" t="s">
        <v>26467</v>
      </c>
      <c r="F8457" t="s">
        <v>7672</v>
      </c>
      <c r="G8457" t="s">
        <v>24793</v>
      </c>
      <c r="H8457" t="s">
        <v>16977</v>
      </c>
      <c r="I8457" t="s">
        <v>24794</v>
      </c>
      <c r="J8457" t="s">
        <v>19899</v>
      </c>
    </row>
    <row r="8458" spans="1:10" x14ac:dyDescent="0.25">
      <c r="A8458" t="s">
        <v>26468</v>
      </c>
      <c r="B8458">
        <v>8.3920000000000012</v>
      </c>
      <c r="C8458" t="s">
        <v>26469</v>
      </c>
      <c r="D8458" t="s">
        <v>60</v>
      </c>
      <c r="E8458" t="s">
        <v>26470</v>
      </c>
      <c r="F8458" t="s">
        <v>7672</v>
      </c>
      <c r="G8458" t="s">
        <v>26471</v>
      </c>
      <c r="H8458" t="s">
        <v>7674</v>
      </c>
      <c r="I8458" t="s">
        <v>26472</v>
      </c>
      <c r="J8458" t="s">
        <v>8462</v>
      </c>
    </row>
    <row r="8459" spans="1:10" x14ac:dyDescent="0.25">
      <c r="A8459" t="s">
        <v>26473</v>
      </c>
      <c r="B8459">
        <v>8.3920000000000012</v>
      </c>
      <c r="C8459" t="s">
        <v>26474</v>
      </c>
      <c r="D8459" t="s">
        <v>53</v>
      </c>
      <c r="E8459" t="s">
        <v>26470</v>
      </c>
      <c r="F8459" t="s">
        <v>7672</v>
      </c>
      <c r="G8459" t="s">
        <v>26471</v>
      </c>
      <c r="H8459" t="s">
        <v>7674</v>
      </c>
      <c r="I8459" t="s">
        <v>10515</v>
      </c>
      <c r="J8459" t="s">
        <v>9998</v>
      </c>
    </row>
    <row r="8460" spans="1:10" x14ac:dyDescent="0.25">
      <c r="A8460" t="s">
        <v>26475</v>
      </c>
      <c r="B8460">
        <v>8.3920000000000012</v>
      </c>
      <c r="C8460" t="s">
        <v>26476</v>
      </c>
      <c r="D8460" t="s">
        <v>164</v>
      </c>
      <c r="E8460" t="s">
        <v>26470</v>
      </c>
      <c r="F8460" t="s">
        <v>7672</v>
      </c>
      <c r="G8460" t="s">
        <v>26471</v>
      </c>
      <c r="H8460" t="s">
        <v>7674</v>
      </c>
      <c r="I8460" t="s">
        <v>26472</v>
      </c>
      <c r="J8460" t="s">
        <v>9998</v>
      </c>
    </row>
    <row r="8461" spans="1:10" x14ac:dyDescent="0.25">
      <c r="A8461" t="s">
        <v>26477</v>
      </c>
      <c r="B8461">
        <v>5.04</v>
      </c>
      <c r="C8461" t="s">
        <v>26478</v>
      </c>
      <c r="D8461" t="s">
        <v>26479</v>
      </c>
      <c r="E8461" t="s">
        <v>26480</v>
      </c>
      <c r="F8461" t="s">
        <v>7672</v>
      </c>
      <c r="G8461" t="s">
        <v>26481</v>
      </c>
      <c r="H8461" t="s">
        <v>26482</v>
      </c>
      <c r="I8461" t="s">
        <v>497</v>
      </c>
      <c r="J8461" t="s">
        <v>9694</v>
      </c>
    </row>
    <row r="8462" spans="1:10" x14ac:dyDescent="0.25">
      <c r="A8462" t="s">
        <v>26483</v>
      </c>
      <c r="B8462">
        <v>4.0720000000000001</v>
      </c>
      <c r="C8462" t="s">
        <v>26484</v>
      </c>
      <c r="D8462" t="s">
        <v>240</v>
      </c>
      <c r="E8462" t="s">
        <v>26485</v>
      </c>
      <c r="F8462" t="s">
        <v>7672</v>
      </c>
      <c r="G8462" t="s">
        <v>26486</v>
      </c>
      <c r="H8462" t="s">
        <v>8673</v>
      </c>
      <c r="I8462" t="s">
        <v>11206</v>
      </c>
      <c r="J8462" t="s">
        <v>9023</v>
      </c>
    </row>
    <row r="8463" spans="1:10" x14ac:dyDescent="0.25">
      <c r="A8463" t="s">
        <v>26487</v>
      </c>
      <c r="B8463">
        <v>4.0720000000000001</v>
      </c>
      <c r="C8463" t="s">
        <v>26488</v>
      </c>
      <c r="D8463" t="s">
        <v>88</v>
      </c>
      <c r="E8463" t="s">
        <v>26485</v>
      </c>
      <c r="F8463" t="s">
        <v>7672</v>
      </c>
      <c r="G8463" t="s">
        <v>26486</v>
      </c>
      <c r="H8463" t="s">
        <v>8673</v>
      </c>
      <c r="I8463" t="s">
        <v>11206</v>
      </c>
      <c r="J8463" t="s">
        <v>9054</v>
      </c>
    </row>
    <row r="8464" spans="1:10" x14ac:dyDescent="0.25">
      <c r="A8464" t="s">
        <v>26489</v>
      </c>
      <c r="B8464">
        <v>4.0720000000000001</v>
      </c>
      <c r="C8464" t="s">
        <v>26490</v>
      </c>
      <c r="D8464" t="s">
        <v>964</v>
      </c>
      <c r="E8464" t="s">
        <v>26485</v>
      </c>
      <c r="F8464" t="s">
        <v>7672</v>
      </c>
      <c r="G8464" t="s">
        <v>26486</v>
      </c>
      <c r="H8464" t="s">
        <v>8673</v>
      </c>
      <c r="I8464" t="s">
        <v>11206</v>
      </c>
      <c r="J8464" t="s">
        <v>9064</v>
      </c>
    </row>
    <row r="8465" spans="1:10" x14ac:dyDescent="0.25">
      <c r="A8465" t="s">
        <v>26491</v>
      </c>
      <c r="B8465">
        <v>4.0720000000000001</v>
      </c>
      <c r="C8465" t="s">
        <v>26492</v>
      </c>
      <c r="D8465" t="s">
        <v>255</v>
      </c>
      <c r="E8465" t="s">
        <v>26485</v>
      </c>
      <c r="F8465" t="s">
        <v>7672</v>
      </c>
      <c r="G8465" t="s">
        <v>26486</v>
      </c>
      <c r="H8465" t="s">
        <v>8673</v>
      </c>
      <c r="I8465" t="s">
        <v>11206</v>
      </c>
      <c r="J8465" t="s">
        <v>9079</v>
      </c>
    </row>
    <row r="8466" spans="1:10" x14ac:dyDescent="0.25">
      <c r="A8466" t="s">
        <v>26493</v>
      </c>
      <c r="B8466">
        <v>7.4960000000000004</v>
      </c>
      <c r="C8466" t="s">
        <v>26494</v>
      </c>
      <c r="D8466" t="s">
        <v>359</v>
      </c>
      <c r="E8466" t="s">
        <v>26495</v>
      </c>
      <c r="F8466" t="s">
        <v>7672</v>
      </c>
      <c r="G8466" t="s">
        <v>26496</v>
      </c>
      <c r="H8466" t="s">
        <v>7674</v>
      </c>
      <c r="I8466" t="s">
        <v>9245</v>
      </c>
      <c r="J8466" t="s">
        <v>131</v>
      </c>
    </row>
    <row r="8467" spans="1:10" x14ac:dyDescent="0.25">
      <c r="A8467" t="s">
        <v>26497</v>
      </c>
      <c r="B8467">
        <v>7.4960000000000004</v>
      </c>
      <c r="C8467" t="s">
        <v>26498</v>
      </c>
      <c r="D8467" t="s">
        <v>875</v>
      </c>
      <c r="E8467" t="s">
        <v>26495</v>
      </c>
      <c r="F8467" t="s">
        <v>7672</v>
      </c>
      <c r="G8467" t="s">
        <v>26496</v>
      </c>
      <c r="H8467" t="s">
        <v>7674</v>
      </c>
      <c r="I8467" t="s">
        <v>1413</v>
      </c>
      <c r="J8467" t="s">
        <v>269</v>
      </c>
    </row>
    <row r="8468" spans="1:10" x14ac:dyDescent="0.25">
      <c r="A8468" t="s">
        <v>26499</v>
      </c>
      <c r="B8468">
        <v>2.4</v>
      </c>
      <c r="C8468" t="s">
        <v>26500</v>
      </c>
      <c r="D8468" t="s">
        <v>53</v>
      </c>
      <c r="E8468" t="s">
        <v>26501</v>
      </c>
      <c r="F8468" t="s">
        <v>7672</v>
      </c>
      <c r="G8468" t="s">
        <v>26502</v>
      </c>
      <c r="H8468" t="s">
        <v>10298</v>
      </c>
      <c r="I8468" t="s">
        <v>1413</v>
      </c>
      <c r="J8468" t="s">
        <v>385</v>
      </c>
    </row>
    <row r="8469" spans="1:10" x14ac:dyDescent="0.25">
      <c r="A8469" t="s">
        <v>26503</v>
      </c>
      <c r="B8469">
        <v>8</v>
      </c>
      <c r="C8469" t="s">
        <v>26504</v>
      </c>
      <c r="D8469" t="s">
        <v>282</v>
      </c>
      <c r="E8469" t="s">
        <v>26501</v>
      </c>
      <c r="F8469" t="s">
        <v>7672</v>
      </c>
      <c r="G8469" t="s">
        <v>26502</v>
      </c>
      <c r="H8469" t="s">
        <v>10298</v>
      </c>
      <c r="I8469" t="s">
        <v>1243</v>
      </c>
      <c r="J8469" t="s">
        <v>849</v>
      </c>
    </row>
    <row r="8470" spans="1:10" x14ac:dyDescent="0.25">
      <c r="A8470" t="s">
        <v>26505</v>
      </c>
      <c r="B8470">
        <v>8</v>
      </c>
      <c r="C8470" t="s">
        <v>26506</v>
      </c>
      <c r="D8470" t="s">
        <v>199</v>
      </c>
      <c r="E8470" t="s">
        <v>26501</v>
      </c>
      <c r="F8470" t="s">
        <v>7672</v>
      </c>
      <c r="G8470" t="s">
        <v>26502</v>
      </c>
      <c r="H8470" t="s">
        <v>10298</v>
      </c>
      <c r="I8470" t="s">
        <v>1243</v>
      </c>
      <c r="J8470" t="s">
        <v>385</v>
      </c>
    </row>
    <row r="8471" spans="1:10" x14ac:dyDescent="0.25">
      <c r="A8471" t="s">
        <v>26507</v>
      </c>
      <c r="B8471">
        <v>18</v>
      </c>
      <c r="C8471" t="s">
        <v>26508</v>
      </c>
      <c r="D8471" t="s">
        <v>659</v>
      </c>
      <c r="E8471" t="s">
        <v>26509</v>
      </c>
      <c r="F8471" t="s">
        <v>7672</v>
      </c>
      <c r="G8471" t="s">
        <v>26510</v>
      </c>
      <c r="H8471" t="s">
        <v>8331</v>
      </c>
      <c r="I8471" t="s">
        <v>17135</v>
      </c>
      <c r="J8471" t="s">
        <v>100</v>
      </c>
    </row>
    <row r="8472" spans="1:10" x14ac:dyDescent="0.25">
      <c r="A8472" t="s">
        <v>26511</v>
      </c>
      <c r="B8472">
        <v>18</v>
      </c>
      <c r="C8472" t="s">
        <v>26512</v>
      </c>
      <c r="D8472" t="s">
        <v>53</v>
      </c>
      <c r="E8472" t="s">
        <v>26509</v>
      </c>
      <c r="F8472" t="s">
        <v>7672</v>
      </c>
      <c r="G8472" t="s">
        <v>26510</v>
      </c>
      <c r="H8472" t="s">
        <v>8331</v>
      </c>
      <c r="I8472" t="s">
        <v>17135</v>
      </c>
      <c r="J8472" t="s">
        <v>20051</v>
      </c>
    </row>
    <row r="8473" spans="1:10" x14ac:dyDescent="0.25">
      <c r="A8473" t="s">
        <v>26513</v>
      </c>
      <c r="B8473">
        <v>144</v>
      </c>
      <c r="C8473" t="s">
        <v>26514</v>
      </c>
      <c r="D8473" t="s">
        <v>396</v>
      </c>
      <c r="E8473" t="s">
        <v>26515</v>
      </c>
      <c r="F8473" t="s">
        <v>7672</v>
      </c>
      <c r="G8473" t="s">
        <v>26516</v>
      </c>
      <c r="H8473" t="s">
        <v>9694</v>
      </c>
      <c r="I8473" t="s">
        <v>26517</v>
      </c>
      <c r="J8473" t="s">
        <v>9694</v>
      </c>
    </row>
    <row r="8474" spans="1:10" x14ac:dyDescent="0.25">
      <c r="A8474" t="s">
        <v>26518</v>
      </c>
      <c r="B8474">
        <v>13.496</v>
      </c>
      <c r="C8474" t="s">
        <v>26519</v>
      </c>
      <c r="D8474" t="s">
        <v>3613</v>
      </c>
      <c r="E8474" t="s">
        <v>26520</v>
      </c>
      <c r="F8474" t="s">
        <v>7672</v>
      </c>
      <c r="G8474" t="s">
        <v>25872</v>
      </c>
      <c r="H8474" t="s">
        <v>25873</v>
      </c>
      <c r="I8474" t="s">
        <v>4821</v>
      </c>
      <c r="J8474" t="s">
        <v>9694</v>
      </c>
    </row>
    <row r="8475" spans="1:10" x14ac:dyDescent="0.25">
      <c r="A8475" t="s">
        <v>26521</v>
      </c>
      <c r="B8475">
        <v>6.8000000000000007</v>
      </c>
      <c r="C8475" t="s">
        <v>26522</v>
      </c>
      <c r="D8475" t="s">
        <v>588</v>
      </c>
      <c r="E8475" t="s">
        <v>26523</v>
      </c>
      <c r="F8475" t="s">
        <v>7672</v>
      </c>
      <c r="G8475" t="s">
        <v>26524</v>
      </c>
      <c r="H8475" t="s">
        <v>11496</v>
      </c>
      <c r="I8475" t="s">
        <v>935</v>
      </c>
      <c r="J8475" t="s">
        <v>9426</v>
      </c>
    </row>
    <row r="8476" spans="1:10" x14ac:dyDescent="0.25">
      <c r="A8476" t="s">
        <v>26525</v>
      </c>
      <c r="B8476">
        <v>6.8000000000000007</v>
      </c>
      <c r="C8476" t="s">
        <v>26526</v>
      </c>
      <c r="D8476" t="s">
        <v>875</v>
      </c>
      <c r="E8476" t="s">
        <v>26523</v>
      </c>
      <c r="F8476" t="s">
        <v>7672</v>
      </c>
      <c r="G8476" t="s">
        <v>26524</v>
      </c>
      <c r="H8476" t="s">
        <v>11496</v>
      </c>
      <c r="I8476" t="s">
        <v>935</v>
      </c>
      <c r="J8476" t="s">
        <v>10862</v>
      </c>
    </row>
    <row r="8477" spans="1:10" x14ac:dyDescent="0.25">
      <c r="A8477" t="s">
        <v>26527</v>
      </c>
      <c r="B8477">
        <v>6.8000000000000007</v>
      </c>
      <c r="C8477" t="s">
        <v>26528</v>
      </c>
      <c r="D8477" t="s">
        <v>981</v>
      </c>
      <c r="E8477" t="s">
        <v>26523</v>
      </c>
      <c r="F8477" t="s">
        <v>7672</v>
      </c>
      <c r="G8477" t="s">
        <v>26524</v>
      </c>
      <c r="H8477" t="s">
        <v>11496</v>
      </c>
      <c r="I8477" t="s">
        <v>935</v>
      </c>
      <c r="J8477" t="s">
        <v>13084</v>
      </c>
    </row>
    <row r="8478" spans="1:10" x14ac:dyDescent="0.25">
      <c r="A8478" t="s">
        <v>26529</v>
      </c>
      <c r="B8478">
        <v>6.8000000000000007</v>
      </c>
      <c r="C8478" t="s">
        <v>26530</v>
      </c>
      <c r="D8478" t="s">
        <v>3378</v>
      </c>
      <c r="E8478" t="s">
        <v>26523</v>
      </c>
      <c r="F8478" t="s">
        <v>7672</v>
      </c>
      <c r="G8478" t="s">
        <v>26524</v>
      </c>
      <c r="H8478" t="s">
        <v>11496</v>
      </c>
      <c r="I8478" t="s">
        <v>935</v>
      </c>
      <c r="J8478" t="s">
        <v>11767</v>
      </c>
    </row>
    <row r="8479" spans="1:10" x14ac:dyDescent="0.25">
      <c r="A8479" t="s">
        <v>26531</v>
      </c>
      <c r="B8479">
        <v>6.8000000000000007</v>
      </c>
      <c r="C8479" t="s">
        <v>26532</v>
      </c>
      <c r="D8479" t="s">
        <v>875</v>
      </c>
      <c r="E8479" t="s">
        <v>26523</v>
      </c>
      <c r="F8479" t="s">
        <v>7672</v>
      </c>
      <c r="G8479" t="s">
        <v>26524</v>
      </c>
      <c r="H8479" t="s">
        <v>11496</v>
      </c>
      <c r="I8479" t="s">
        <v>935</v>
      </c>
      <c r="J8479" t="s">
        <v>11582</v>
      </c>
    </row>
    <row r="8480" spans="1:10" x14ac:dyDescent="0.25">
      <c r="A8480" t="s">
        <v>26533</v>
      </c>
      <c r="B8480">
        <v>5.2</v>
      </c>
      <c r="C8480" t="s">
        <v>26534</v>
      </c>
      <c r="D8480" t="s">
        <v>385</v>
      </c>
      <c r="E8480" t="s">
        <v>26535</v>
      </c>
      <c r="F8480" t="s">
        <v>7672</v>
      </c>
      <c r="G8480" t="s">
        <v>26536</v>
      </c>
      <c r="H8480" t="s">
        <v>11496</v>
      </c>
      <c r="I8480" t="s">
        <v>20011</v>
      </c>
      <c r="J8480" t="s">
        <v>9694</v>
      </c>
    </row>
    <row r="8481" spans="1:10" x14ac:dyDescent="0.25">
      <c r="A8481" t="s">
        <v>26537</v>
      </c>
      <c r="B8481">
        <v>11.2</v>
      </c>
      <c r="C8481" t="s">
        <v>26538</v>
      </c>
      <c r="D8481" t="s">
        <v>1811</v>
      </c>
      <c r="E8481" t="s">
        <v>26539</v>
      </c>
      <c r="F8481" t="s">
        <v>7672</v>
      </c>
      <c r="G8481" t="s">
        <v>26540</v>
      </c>
      <c r="H8481" t="s">
        <v>15122</v>
      </c>
      <c r="I8481" t="s">
        <v>935</v>
      </c>
      <c r="J8481" t="s">
        <v>10369</v>
      </c>
    </row>
    <row r="8482" spans="1:10" x14ac:dyDescent="0.25">
      <c r="A8482" t="s">
        <v>7338</v>
      </c>
      <c r="B8482">
        <v>20</v>
      </c>
      <c r="C8482" t="s">
        <v>7340</v>
      </c>
      <c r="D8482" t="s">
        <v>53</v>
      </c>
      <c r="E8482" t="s">
        <v>7341</v>
      </c>
      <c r="F8482" t="s">
        <v>7672</v>
      </c>
      <c r="G8482" t="s">
        <v>26541</v>
      </c>
      <c r="H8482" t="s">
        <v>9232</v>
      </c>
      <c r="I8482" t="s">
        <v>5401</v>
      </c>
      <c r="J8482" t="s">
        <v>8427</v>
      </c>
    </row>
    <row r="8483" spans="1:10" x14ac:dyDescent="0.25">
      <c r="A8483" t="s">
        <v>7344</v>
      </c>
      <c r="B8483">
        <v>20</v>
      </c>
      <c r="C8483" t="s">
        <v>7346</v>
      </c>
      <c r="D8483" t="s">
        <v>53</v>
      </c>
      <c r="E8483" t="s">
        <v>7341</v>
      </c>
      <c r="F8483" t="s">
        <v>7672</v>
      </c>
      <c r="G8483" t="s">
        <v>26541</v>
      </c>
      <c r="H8483" t="s">
        <v>9232</v>
      </c>
      <c r="I8483" t="s">
        <v>2924</v>
      </c>
      <c r="J8483" t="s">
        <v>8427</v>
      </c>
    </row>
    <row r="8484" spans="1:10" x14ac:dyDescent="0.25">
      <c r="A8484" t="s">
        <v>26542</v>
      </c>
      <c r="B8484">
        <v>5.2</v>
      </c>
      <c r="C8484" t="s">
        <v>26543</v>
      </c>
      <c r="D8484" t="s">
        <v>4114</v>
      </c>
      <c r="E8484" t="s">
        <v>26544</v>
      </c>
      <c r="F8484" t="s">
        <v>7672</v>
      </c>
      <c r="G8484" t="s">
        <v>26545</v>
      </c>
      <c r="H8484" t="s">
        <v>11496</v>
      </c>
      <c r="I8484" t="s">
        <v>3799</v>
      </c>
      <c r="J8484" t="s">
        <v>9423</v>
      </c>
    </row>
    <row r="8485" spans="1:10" x14ac:dyDescent="0.25">
      <c r="A8485" t="s">
        <v>26546</v>
      </c>
      <c r="B8485">
        <v>5.2</v>
      </c>
      <c r="C8485" t="s">
        <v>26547</v>
      </c>
      <c r="D8485" t="s">
        <v>12901</v>
      </c>
      <c r="E8485" t="s">
        <v>26544</v>
      </c>
      <c r="F8485" t="s">
        <v>7672</v>
      </c>
      <c r="G8485" t="s">
        <v>26545</v>
      </c>
      <c r="H8485" t="s">
        <v>11496</v>
      </c>
      <c r="I8485" t="s">
        <v>3799</v>
      </c>
      <c r="J8485" t="s">
        <v>10862</v>
      </c>
    </row>
    <row r="8486" spans="1:10" x14ac:dyDescent="0.25">
      <c r="A8486" t="s">
        <v>26548</v>
      </c>
      <c r="B8486">
        <v>5.2</v>
      </c>
      <c r="C8486" t="s">
        <v>26549</v>
      </c>
      <c r="D8486" t="s">
        <v>7882</v>
      </c>
      <c r="E8486" t="s">
        <v>26544</v>
      </c>
      <c r="F8486" t="s">
        <v>7672</v>
      </c>
      <c r="G8486" t="s">
        <v>26545</v>
      </c>
      <c r="H8486" t="s">
        <v>11496</v>
      </c>
      <c r="I8486" t="s">
        <v>3799</v>
      </c>
      <c r="J8486" t="s">
        <v>9426</v>
      </c>
    </row>
    <row r="8487" spans="1:10" x14ac:dyDescent="0.25">
      <c r="A8487" t="s">
        <v>26550</v>
      </c>
      <c r="B8487">
        <v>5.2</v>
      </c>
      <c r="C8487" t="s">
        <v>26551</v>
      </c>
      <c r="D8487" t="s">
        <v>11143</v>
      </c>
      <c r="E8487" t="s">
        <v>26544</v>
      </c>
      <c r="F8487" t="s">
        <v>7672</v>
      </c>
      <c r="G8487" t="s">
        <v>26545</v>
      </c>
      <c r="H8487" t="s">
        <v>11496</v>
      </c>
      <c r="I8487" t="s">
        <v>3799</v>
      </c>
      <c r="J8487" t="s">
        <v>13084</v>
      </c>
    </row>
    <row r="8488" spans="1:10" x14ac:dyDescent="0.25">
      <c r="A8488" t="s">
        <v>26552</v>
      </c>
      <c r="B8488">
        <v>5.2</v>
      </c>
      <c r="C8488" t="s">
        <v>26553</v>
      </c>
      <c r="D8488" t="s">
        <v>2797</v>
      </c>
      <c r="E8488" t="s">
        <v>26544</v>
      </c>
      <c r="F8488" t="s">
        <v>7672</v>
      </c>
      <c r="G8488" t="s">
        <v>26545</v>
      </c>
      <c r="H8488" t="s">
        <v>11496</v>
      </c>
      <c r="I8488" t="s">
        <v>3799</v>
      </c>
      <c r="J8488" t="s">
        <v>11767</v>
      </c>
    </row>
    <row r="8489" spans="1:10" x14ac:dyDescent="0.25">
      <c r="A8489" t="s">
        <v>26554</v>
      </c>
      <c r="B8489">
        <v>66</v>
      </c>
      <c r="C8489" t="s">
        <v>26555</v>
      </c>
      <c r="D8489" t="s">
        <v>2787</v>
      </c>
      <c r="E8489" t="s">
        <v>26556</v>
      </c>
      <c r="F8489" t="s">
        <v>7672</v>
      </c>
      <c r="G8489" t="s">
        <v>26557</v>
      </c>
      <c r="H8489" t="s">
        <v>9693</v>
      </c>
      <c r="I8489" t="s">
        <v>18323</v>
      </c>
      <c r="J8489" t="s">
        <v>9694</v>
      </c>
    </row>
    <row r="8490" spans="1:10" x14ac:dyDescent="0.25">
      <c r="A8490" t="s">
        <v>7348</v>
      </c>
      <c r="B8490">
        <v>6.8000000000000007</v>
      </c>
      <c r="C8490" t="s">
        <v>7350</v>
      </c>
      <c r="D8490" t="s">
        <v>199</v>
      </c>
      <c r="E8490" t="s">
        <v>7351</v>
      </c>
      <c r="F8490" t="s">
        <v>7672</v>
      </c>
      <c r="G8490" t="s">
        <v>26558</v>
      </c>
      <c r="H8490" t="s">
        <v>11496</v>
      </c>
      <c r="I8490" t="s">
        <v>26559</v>
      </c>
      <c r="J8490" t="s">
        <v>9423</v>
      </c>
    </row>
    <row r="8491" spans="1:10" x14ac:dyDescent="0.25">
      <c r="A8491" t="s">
        <v>7354</v>
      </c>
      <c r="B8491">
        <v>16.8</v>
      </c>
      <c r="C8491" t="s">
        <v>7356</v>
      </c>
      <c r="D8491" t="s">
        <v>234</v>
      </c>
      <c r="E8491" t="s">
        <v>7357</v>
      </c>
      <c r="F8491" t="s">
        <v>7672</v>
      </c>
      <c r="G8491" t="s">
        <v>26560</v>
      </c>
      <c r="H8491" t="s">
        <v>8081</v>
      </c>
      <c r="I8491" t="s">
        <v>76</v>
      </c>
      <c r="J8491" t="s">
        <v>7675</v>
      </c>
    </row>
    <row r="8492" spans="1:10" x14ac:dyDescent="0.25">
      <c r="A8492" t="s">
        <v>7360</v>
      </c>
      <c r="B8492">
        <v>16.8</v>
      </c>
      <c r="C8492" t="s">
        <v>7362</v>
      </c>
      <c r="D8492" t="s">
        <v>671</v>
      </c>
      <c r="E8492" t="s">
        <v>7357</v>
      </c>
      <c r="F8492" t="s">
        <v>7672</v>
      </c>
      <c r="G8492" t="s">
        <v>26560</v>
      </c>
      <c r="H8492" t="s">
        <v>8081</v>
      </c>
      <c r="I8492" t="s">
        <v>76</v>
      </c>
      <c r="J8492" t="s">
        <v>7686</v>
      </c>
    </row>
    <row r="8493" spans="1:10" x14ac:dyDescent="0.25">
      <c r="A8493" t="s">
        <v>7364</v>
      </c>
      <c r="B8493">
        <v>16.8</v>
      </c>
      <c r="C8493" t="s">
        <v>7366</v>
      </c>
      <c r="D8493" t="s">
        <v>1811</v>
      </c>
      <c r="E8493" t="s">
        <v>7357</v>
      </c>
      <c r="F8493" t="s">
        <v>7672</v>
      </c>
      <c r="G8493" t="s">
        <v>26560</v>
      </c>
      <c r="H8493" t="s">
        <v>8081</v>
      </c>
      <c r="I8493" t="s">
        <v>76</v>
      </c>
      <c r="J8493" t="s">
        <v>7703</v>
      </c>
    </row>
    <row r="8494" spans="1:10" x14ac:dyDescent="0.25">
      <c r="A8494" t="s">
        <v>7368</v>
      </c>
      <c r="B8494">
        <v>16.8</v>
      </c>
      <c r="C8494" t="s">
        <v>7370</v>
      </c>
      <c r="D8494" t="s">
        <v>95</v>
      </c>
      <c r="E8494" t="s">
        <v>7357</v>
      </c>
      <c r="F8494" t="s">
        <v>7672</v>
      </c>
      <c r="G8494" t="s">
        <v>26560</v>
      </c>
      <c r="H8494" t="s">
        <v>8081</v>
      </c>
      <c r="I8494" t="s">
        <v>76</v>
      </c>
      <c r="J8494" t="s">
        <v>7713</v>
      </c>
    </row>
    <row r="8495" spans="1:10" x14ac:dyDescent="0.25">
      <c r="A8495" t="s">
        <v>26561</v>
      </c>
      <c r="B8495">
        <v>9</v>
      </c>
      <c r="C8495" t="s">
        <v>26562</v>
      </c>
      <c r="D8495" t="s">
        <v>2620</v>
      </c>
      <c r="E8495" t="s">
        <v>26563</v>
      </c>
      <c r="F8495" t="s">
        <v>7672</v>
      </c>
      <c r="G8495" t="s">
        <v>26564</v>
      </c>
      <c r="H8495" t="s">
        <v>8515</v>
      </c>
      <c r="I8495" t="s">
        <v>26565</v>
      </c>
      <c r="J8495" t="s">
        <v>11767</v>
      </c>
    </row>
    <row r="8496" spans="1:10" x14ac:dyDescent="0.25">
      <c r="A8496" t="s">
        <v>26566</v>
      </c>
      <c r="B8496">
        <v>9</v>
      </c>
      <c r="C8496" t="s">
        <v>26567</v>
      </c>
      <c r="D8496" t="s">
        <v>7057</v>
      </c>
      <c r="E8496" t="s">
        <v>26563</v>
      </c>
      <c r="F8496" t="s">
        <v>7672</v>
      </c>
      <c r="G8496" t="s">
        <v>26564</v>
      </c>
      <c r="H8496" t="s">
        <v>8515</v>
      </c>
      <c r="I8496" t="s">
        <v>15002</v>
      </c>
      <c r="J8496" t="s">
        <v>11767</v>
      </c>
    </row>
    <row r="8497" spans="1:10" x14ac:dyDescent="0.25">
      <c r="A8497" t="s">
        <v>26568</v>
      </c>
      <c r="B8497">
        <v>7.8319999999999999</v>
      </c>
      <c r="C8497" t="s">
        <v>26569</v>
      </c>
      <c r="D8497" t="s">
        <v>359</v>
      </c>
      <c r="E8497" t="s">
        <v>26570</v>
      </c>
      <c r="F8497" t="s">
        <v>7672</v>
      </c>
      <c r="G8497" t="s">
        <v>26571</v>
      </c>
      <c r="H8497" t="s">
        <v>7974</v>
      </c>
      <c r="I8497" t="s">
        <v>18307</v>
      </c>
      <c r="J8497" t="s">
        <v>9237</v>
      </c>
    </row>
    <row r="8498" spans="1:10" x14ac:dyDescent="0.25">
      <c r="A8498" t="s">
        <v>26572</v>
      </c>
      <c r="B8498">
        <v>7.8319999999999999</v>
      </c>
      <c r="C8498" t="s">
        <v>26573</v>
      </c>
      <c r="D8498" t="s">
        <v>2036</v>
      </c>
      <c r="E8498" t="s">
        <v>26570</v>
      </c>
      <c r="F8498" t="s">
        <v>7672</v>
      </c>
      <c r="G8498" t="s">
        <v>26571</v>
      </c>
      <c r="H8498" t="s">
        <v>7974</v>
      </c>
      <c r="I8498" t="s">
        <v>18307</v>
      </c>
      <c r="J8498" t="s">
        <v>8427</v>
      </c>
    </row>
    <row r="8499" spans="1:10" x14ac:dyDescent="0.25">
      <c r="A8499" t="s">
        <v>26574</v>
      </c>
      <c r="B8499">
        <v>7.8319999999999999</v>
      </c>
      <c r="C8499" t="s">
        <v>26575</v>
      </c>
      <c r="D8499" t="s">
        <v>3827</v>
      </c>
      <c r="E8499" t="s">
        <v>26570</v>
      </c>
      <c r="F8499" t="s">
        <v>7672</v>
      </c>
      <c r="G8499" t="s">
        <v>26571</v>
      </c>
      <c r="H8499" t="s">
        <v>7974</v>
      </c>
      <c r="I8499" t="s">
        <v>18307</v>
      </c>
      <c r="J8499" t="s">
        <v>8439</v>
      </c>
    </row>
    <row r="8500" spans="1:10" x14ac:dyDescent="0.25">
      <c r="A8500" t="s">
        <v>26576</v>
      </c>
      <c r="B8500">
        <v>7.8319999999999999</v>
      </c>
      <c r="C8500" t="s">
        <v>26577</v>
      </c>
      <c r="D8500" t="s">
        <v>234</v>
      </c>
      <c r="E8500" t="s">
        <v>26570</v>
      </c>
      <c r="F8500" t="s">
        <v>7672</v>
      </c>
      <c r="G8500" t="s">
        <v>26571</v>
      </c>
      <c r="H8500" t="s">
        <v>7974</v>
      </c>
      <c r="I8500" t="s">
        <v>18307</v>
      </c>
      <c r="J8500" t="s">
        <v>8451</v>
      </c>
    </row>
    <row r="8501" spans="1:10" x14ac:dyDescent="0.25">
      <c r="A8501" t="s">
        <v>26578</v>
      </c>
      <c r="B8501">
        <v>7.8319999999999999</v>
      </c>
      <c r="C8501" t="s">
        <v>26579</v>
      </c>
      <c r="D8501" t="s">
        <v>576</v>
      </c>
      <c r="E8501" t="s">
        <v>26570</v>
      </c>
      <c r="F8501" t="s">
        <v>7672</v>
      </c>
      <c r="G8501" t="s">
        <v>26571</v>
      </c>
      <c r="H8501" t="s">
        <v>7974</v>
      </c>
      <c r="I8501" t="s">
        <v>18307</v>
      </c>
      <c r="J8501" t="s">
        <v>8462</v>
      </c>
    </row>
    <row r="8502" spans="1:10" x14ac:dyDescent="0.25">
      <c r="A8502" t="s">
        <v>26580</v>
      </c>
      <c r="B8502">
        <v>7.8319999999999999</v>
      </c>
      <c r="C8502" t="s">
        <v>26581</v>
      </c>
      <c r="D8502" t="s">
        <v>290</v>
      </c>
      <c r="E8502" t="s">
        <v>26570</v>
      </c>
      <c r="F8502" t="s">
        <v>7672</v>
      </c>
      <c r="G8502" t="s">
        <v>26571</v>
      </c>
      <c r="H8502" t="s">
        <v>7974</v>
      </c>
      <c r="I8502" t="s">
        <v>18307</v>
      </c>
      <c r="J8502" t="s">
        <v>9998</v>
      </c>
    </row>
    <row r="8503" spans="1:10" x14ac:dyDescent="0.25">
      <c r="A8503" t="s">
        <v>26582</v>
      </c>
      <c r="B8503">
        <v>7.8319999999999999</v>
      </c>
      <c r="C8503" t="s">
        <v>26583</v>
      </c>
      <c r="D8503" t="s">
        <v>106</v>
      </c>
      <c r="E8503" t="s">
        <v>26570</v>
      </c>
      <c r="F8503" t="s">
        <v>7672</v>
      </c>
      <c r="G8503" t="s">
        <v>26571</v>
      </c>
      <c r="H8503" t="s">
        <v>7974</v>
      </c>
      <c r="I8503" t="s">
        <v>19568</v>
      </c>
      <c r="J8503" t="s">
        <v>9998</v>
      </c>
    </row>
    <row r="8504" spans="1:10" x14ac:dyDescent="0.25">
      <c r="A8504" t="s">
        <v>26584</v>
      </c>
      <c r="B8504">
        <v>9.8000000000000007</v>
      </c>
      <c r="C8504" t="s">
        <v>26585</v>
      </c>
      <c r="D8504" t="s">
        <v>131</v>
      </c>
      <c r="E8504" t="s">
        <v>26586</v>
      </c>
      <c r="F8504" t="s">
        <v>7672</v>
      </c>
      <c r="G8504" t="s">
        <v>26587</v>
      </c>
      <c r="H8504" t="s">
        <v>7954</v>
      </c>
      <c r="I8504" t="s">
        <v>26588</v>
      </c>
      <c r="J8504" t="s">
        <v>7987</v>
      </c>
    </row>
    <row r="8505" spans="1:10" x14ac:dyDescent="0.25">
      <c r="A8505" t="s">
        <v>26589</v>
      </c>
      <c r="B8505">
        <v>9.8000000000000007</v>
      </c>
      <c r="C8505" t="s">
        <v>26590</v>
      </c>
      <c r="D8505" t="s">
        <v>582</v>
      </c>
      <c r="E8505" t="s">
        <v>26586</v>
      </c>
      <c r="F8505" t="s">
        <v>7672</v>
      </c>
      <c r="G8505" t="s">
        <v>26587</v>
      </c>
      <c r="H8505" t="s">
        <v>7954</v>
      </c>
      <c r="I8505" t="s">
        <v>26588</v>
      </c>
      <c r="J8505" t="s">
        <v>8001</v>
      </c>
    </row>
    <row r="8506" spans="1:10" x14ac:dyDescent="0.25">
      <c r="A8506" t="s">
        <v>7372</v>
      </c>
      <c r="B8506">
        <v>14.183999999999999</v>
      </c>
      <c r="C8506" t="s">
        <v>7374</v>
      </c>
      <c r="D8506" t="s">
        <v>282</v>
      </c>
      <c r="E8506" t="s">
        <v>7375</v>
      </c>
      <c r="F8506" t="s">
        <v>7672</v>
      </c>
      <c r="G8506" t="s">
        <v>26591</v>
      </c>
      <c r="H8506" t="s">
        <v>10970</v>
      </c>
      <c r="I8506" t="s">
        <v>26592</v>
      </c>
      <c r="J8506" t="s">
        <v>7675</v>
      </c>
    </row>
    <row r="8507" spans="1:10" x14ac:dyDescent="0.25">
      <c r="A8507" t="s">
        <v>7379</v>
      </c>
      <c r="B8507">
        <v>14.183999999999999</v>
      </c>
      <c r="C8507" t="s">
        <v>7381</v>
      </c>
      <c r="D8507" t="s">
        <v>286</v>
      </c>
      <c r="E8507" t="s">
        <v>7375</v>
      </c>
      <c r="F8507" t="s">
        <v>7672</v>
      </c>
      <c r="G8507" t="s">
        <v>26591</v>
      </c>
      <c r="H8507" t="s">
        <v>10970</v>
      </c>
      <c r="I8507" t="s">
        <v>26593</v>
      </c>
      <c r="J8507" t="s">
        <v>7675</v>
      </c>
    </row>
    <row r="8508" spans="1:10" x14ac:dyDescent="0.25">
      <c r="A8508" t="s">
        <v>26594</v>
      </c>
      <c r="B8508">
        <v>14.183999999999999</v>
      </c>
      <c r="C8508" t="s">
        <v>26595</v>
      </c>
      <c r="D8508" t="s">
        <v>366</v>
      </c>
      <c r="E8508" t="s">
        <v>7375</v>
      </c>
      <c r="F8508" t="s">
        <v>7672</v>
      </c>
      <c r="G8508" t="s">
        <v>26591</v>
      </c>
      <c r="H8508" t="s">
        <v>10970</v>
      </c>
      <c r="I8508" t="s">
        <v>1243</v>
      </c>
      <c r="J8508" t="s">
        <v>7675</v>
      </c>
    </row>
    <row r="8509" spans="1:10" x14ac:dyDescent="0.25">
      <c r="A8509" t="s">
        <v>26596</v>
      </c>
      <c r="B8509">
        <v>14.183999999999999</v>
      </c>
      <c r="C8509" t="s">
        <v>26597</v>
      </c>
      <c r="D8509" t="s">
        <v>576</v>
      </c>
      <c r="E8509" t="s">
        <v>7375</v>
      </c>
      <c r="F8509" t="s">
        <v>7672</v>
      </c>
      <c r="G8509" t="s">
        <v>26591</v>
      </c>
      <c r="H8509" t="s">
        <v>10970</v>
      </c>
      <c r="I8509" t="s">
        <v>1243</v>
      </c>
      <c r="J8509" t="s">
        <v>7686</v>
      </c>
    </row>
    <row r="8510" spans="1:10" x14ac:dyDescent="0.25">
      <c r="A8510" t="s">
        <v>7385</v>
      </c>
      <c r="B8510">
        <v>14.183999999999999</v>
      </c>
      <c r="C8510" t="s">
        <v>7387</v>
      </c>
      <c r="D8510" t="s">
        <v>436</v>
      </c>
      <c r="E8510" t="s">
        <v>7375</v>
      </c>
      <c r="F8510" t="s">
        <v>7672</v>
      </c>
      <c r="G8510" t="s">
        <v>26591</v>
      </c>
      <c r="H8510" t="s">
        <v>10970</v>
      </c>
      <c r="I8510" t="s">
        <v>26593</v>
      </c>
      <c r="J8510" t="s">
        <v>7686</v>
      </c>
    </row>
    <row r="8511" spans="1:10" x14ac:dyDescent="0.25">
      <c r="A8511" t="s">
        <v>7389</v>
      </c>
      <c r="B8511">
        <v>14.183999999999999</v>
      </c>
      <c r="C8511" t="s">
        <v>7391</v>
      </c>
      <c r="D8511" t="s">
        <v>576</v>
      </c>
      <c r="E8511" t="s">
        <v>7375</v>
      </c>
      <c r="F8511" t="s">
        <v>7672</v>
      </c>
      <c r="G8511" t="s">
        <v>26591</v>
      </c>
      <c r="H8511" t="s">
        <v>10970</v>
      </c>
      <c r="I8511" t="s">
        <v>26593</v>
      </c>
      <c r="J8511" t="s">
        <v>7703</v>
      </c>
    </row>
    <row r="8512" spans="1:10" x14ac:dyDescent="0.25">
      <c r="A8512" t="s">
        <v>26598</v>
      </c>
      <c r="B8512">
        <v>14.183999999999999</v>
      </c>
      <c r="C8512" t="s">
        <v>26599</v>
      </c>
      <c r="D8512" t="s">
        <v>269</v>
      </c>
      <c r="E8512" t="s">
        <v>7375</v>
      </c>
      <c r="F8512" t="s">
        <v>7672</v>
      </c>
      <c r="G8512" t="s">
        <v>26591</v>
      </c>
      <c r="H8512" t="s">
        <v>10970</v>
      </c>
      <c r="I8512" t="s">
        <v>1243</v>
      </c>
      <c r="J8512" t="s">
        <v>7703</v>
      </c>
    </row>
    <row r="8513" spans="1:10" x14ac:dyDescent="0.25">
      <c r="A8513" t="s">
        <v>26600</v>
      </c>
      <c r="B8513">
        <v>11.192</v>
      </c>
      <c r="C8513" t="s">
        <v>26601</v>
      </c>
      <c r="D8513" t="s">
        <v>269</v>
      </c>
      <c r="E8513" t="s">
        <v>26602</v>
      </c>
      <c r="F8513" t="s">
        <v>7672</v>
      </c>
      <c r="G8513" t="s">
        <v>26603</v>
      </c>
      <c r="H8513" t="s">
        <v>10298</v>
      </c>
      <c r="I8513" t="s">
        <v>26604</v>
      </c>
      <c r="J8513" t="s">
        <v>7942</v>
      </c>
    </row>
    <row r="8514" spans="1:10" x14ac:dyDescent="0.25">
      <c r="A8514" t="s">
        <v>26605</v>
      </c>
      <c r="B8514">
        <v>11.192</v>
      </c>
      <c r="C8514" t="s">
        <v>26606</v>
      </c>
      <c r="D8514" t="s">
        <v>229</v>
      </c>
      <c r="E8514" t="s">
        <v>26602</v>
      </c>
      <c r="F8514" t="s">
        <v>7672</v>
      </c>
      <c r="G8514" t="s">
        <v>26603</v>
      </c>
      <c r="H8514" t="s">
        <v>10298</v>
      </c>
      <c r="I8514" t="s">
        <v>26604</v>
      </c>
      <c r="J8514" t="s">
        <v>7981</v>
      </c>
    </row>
    <row r="8515" spans="1:10" x14ac:dyDescent="0.25">
      <c r="A8515" t="s">
        <v>26607</v>
      </c>
      <c r="B8515">
        <v>15.4</v>
      </c>
      <c r="C8515" t="s">
        <v>26608</v>
      </c>
      <c r="D8515" t="s">
        <v>106</v>
      </c>
      <c r="E8515" t="s">
        <v>26609</v>
      </c>
      <c r="F8515" t="s">
        <v>7672</v>
      </c>
      <c r="G8515" t="s">
        <v>26610</v>
      </c>
      <c r="H8515" t="s">
        <v>11622</v>
      </c>
      <c r="I8515" t="s">
        <v>76</v>
      </c>
      <c r="J8515" t="s">
        <v>7675</v>
      </c>
    </row>
    <row r="8516" spans="1:10" x14ac:dyDescent="0.25">
      <c r="A8516" t="s">
        <v>26611</v>
      </c>
      <c r="B8516">
        <v>15.4</v>
      </c>
      <c r="C8516" t="s">
        <v>26612</v>
      </c>
      <c r="D8516" t="s">
        <v>582</v>
      </c>
      <c r="E8516" t="s">
        <v>26609</v>
      </c>
      <c r="F8516" t="s">
        <v>7672</v>
      </c>
      <c r="G8516" t="s">
        <v>26610</v>
      </c>
      <c r="H8516" t="s">
        <v>11622</v>
      </c>
      <c r="I8516" t="s">
        <v>26613</v>
      </c>
      <c r="J8516" t="s">
        <v>7713</v>
      </c>
    </row>
    <row r="8517" spans="1:10" x14ac:dyDescent="0.25">
      <c r="A8517" t="s">
        <v>26614</v>
      </c>
      <c r="B8517">
        <v>15.4</v>
      </c>
      <c r="C8517" t="s">
        <v>26615</v>
      </c>
      <c r="D8517" t="s">
        <v>598</v>
      </c>
      <c r="E8517" t="s">
        <v>26609</v>
      </c>
      <c r="F8517" t="s">
        <v>7672</v>
      </c>
      <c r="G8517" t="s">
        <v>26610</v>
      </c>
      <c r="H8517" t="s">
        <v>11622</v>
      </c>
      <c r="I8517" t="s">
        <v>76</v>
      </c>
      <c r="J8517" t="s">
        <v>7713</v>
      </c>
    </row>
    <row r="8518" spans="1:10" x14ac:dyDescent="0.25">
      <c r="A8518" t="s">
        <v>26616</v>
      </c>
      <c r="B8518">
        <v>15.4</v>
      </c>
      <c r="C8518" t="s">
        <v>26617</v>
      </c>
      <c r="D8518" t="s">
        <v>588</v>
      </c>
      <c r="E8518" t="s">
        <v>26609</v>
      </c>
      <c r="F8518" t="s">
        <v>7672</v>
      </c>
      <c r="G8518" t="s">
        <v>26610</v>
      </c>
      <c r="H8518" t="s">
        <v>11622</v>
      </c>
      <c r="I8518" t="s">
        <v>76</v>
      </c>
      <c r="J8518" t="s">
        <v>7719</v>
      </c>
    </row>
    <row r="8519" spans="1:10" x14ac:dyDescent="0.25">
      <c r="A8519" t="s">
        <v>26618</v>
      </c>
      <c r="B8519">
        <v>15.4</v>
      </c>
      <c r="C8519" t="s">
        <v>26619</v>
      </c>
      <c r="D8519" t="s">
        <v>95</v>
      </c>
      <c r="E8519" t="s">
        <v>26609</v>
      </c>
      <c r="F8519" t="s">
        <v>7672</v>
      </c>
      <c r="G8519" t="s">
        <v>26610</v>
      </c>
      <c r="H8519" t="s">
        <v>11622</v>
      </c>
      <c r="I8519" t="s">
        <v>26613</v>
      </c>
      <c r="J8519" t="s">
        <v>7719</v>
      </c>
    </row>
    <row r="8520" spans="1:10" x14ac:dyDescent="0.25">
      <c r="A8520" t="s">
        <v>26620</v>
      </c>
      <c r="B8520">
        <v>3</v>
      </c>
      <c r="C8520" t="s">
        <v>26621</v>
      </c>
      <c r="D8520" t="s">
        <v>3827</v>
      </c>
      <c r="E8520" t="s">
        <v>26622</v>
      </c>
      <c r="F8520" t="s">
        <v>7672</v>
      </c>
      <c r="G8520" t="s">
        <v>26623</v>
      </c>
      <c r="H8520" t="s">
        <v>26624</v>
      </c>
      <c r="I8520" t="s">
        <v>26625</v>
      </c>
      <c r="J8520" t="s">
        <v>8427</v>
      </c>
    </row>
    <row r="8521" spans="1:10" x14ac:dyDescent="0.25">
      <c r="A8521" t="s">
        <v>26626</v>
      </c>
      <c r="B8521">
        <v>3</v>
      </c>
      <c r="C8521" t="s">
        <v>26627</v>
      </c>
      <c r="D8521" t="s">
        <v>234</v>
      </c>
      <c r="E8521" t="s">
        <v>26622</v>
      </c>
      <c r="F8521" t="s">
        <v>7672</v>
      </c>
      <c r="G8521" t="s">
        <v>26623</v>
      </c>
      <c r="H8521" t="s">
        <v>26624</v>
      </c>
      <c r="I8521" t="s">
        <v>26628</v>
      </c>
      <c r="J8521" t="s">
        <v>8427</v>
      </c>
    </row>
    <row r="8522" spans="1:10" x14ac:dyDescent="0.25">
      <c r="A8522" t="s">
        <v>26629</v>
      </c>
      <c r="B8522">
        <v>3</v>
      </c>
      <c r="C8522" t="s">
        <v>26630</v>
      </c>
      <c r="D8522" t="s">
        <v>3577</v>
      </c>
      <c r="E8522" t="s">
        <v>26622</v>
      </c>
      <c r="F8522" t="s">
        <v>7672</v>
      </c>
      <c r="G8522" t="s">
        <v>26623</v>
      </c>
      <c r="H8522" t="s">
        <v>26624</v>
      </c>
      <c r="I8522" t="s">
        <v>26631</v>
      </c>
      <c r="J8522" t="s">
        <v>8427</v>
      </c>
    </row>
    <row r="8523" spans="1:10" x14ac:dyDescent="0.25">
      <c r="A8523" t="s">
        <v>26632</v>
      </c>
      <c r="B8523">
        <v>3</v>
      </c>
      <c r="C8523" t="s">
        <v>26633</v>
      </c>
      <c r="D8523" t="s">
        <v>8421</v>
      </c>
      <c r="E8523" t="s">
        <v>26622</v>
      </c>
      <c r="F8523" t="s">
        <v>7672</v>
      </c>
      <c r="G8523" t="s">
        <v>26623</v>
      </c>
      <c r="H8523" t="s">
        <v>26624</v>
      </c>
      <c r="I8523" t="s">
        <v>26625</v>
      </c>
      <c r="J8523" t="s">
        <v>8439</v>
      </c>
    </row>
    <row r="8524" spans="1:10" x14ac:dyDescent="0.25">
      <c r="A8524" t="s">
        <v>26634</v>
      </c>
      <c r="B8524">
        <v>3</v>
      </c>
      <c r="C8524" t="s">
        <v>26635</v>
      </c>
      <c r="D8524" t="s">
        <v>2238</v>
      </c>
      <c r="E8524" t="s">
        <v>26622</v>
      </c>
      <c r="F8524" t="s">
        <v>7672</v>
      </c>
      <c r="G8524" t="s">
        <v>26623</v>
      </c>
      <c r="H8524" t="s">
        <v>26624</v>
      </c>
      <c r="I8524" t="s">
        <v>26628</v>
      </c>
      <c r="J8524" t="s">
        <v>8439</v>
      </c>
    </row>
    <row r="8525" spans="1:10" x14ac:dyDescent="0.25">
      <c r="A8525" t="s">
        <v>26636</v>
      </c>
      <c r="B8525">
        <v>3</v>
      </c>
      <c r="C8525" t="s">
        <v>26637</v>
      </c>
      <c r="D8525" t="s">
        <v>1567</v>
      </c>
      <c r="E8525" t="s">
        <v>26622</v>
      </c>
      <c r="F8525" t="s">
        <v>7672</v>
      </c>
      <c r="G8525" t="s">
        <v>26623</v>
      </c>
      <c r="H8525" t="s">
        <v>26624</v>
      </c>
      <c r="I8525" t="s">
        <v>26631</v>
      </c>
      <c r="J8525" t="s">
        <v>8439</v>
      </c>
    </row>
    <row r="8526" spans="1:10" x14ac:dyDescent="0.25">
      <c r="A8526" t="s">
        <v>26638</v>
      </c>
      <c r="B8526">
        <v>3</v>
      </c>
      <c r="C8526" t="s">
        <v>26639</v>
      </c>
      <c r="D8526" t="s">
        <v>1254</v>
      </c>
      <c r="E8526" t="s">
        <v>26622</v>
      </c>
      <c r="F8526" t="s">
        <v>7672</v>
      </c>
      <c r="G8526" t="s">
        <v>26623</v>
      </c>
      <c r="H8526" t="s">
        <v>26624</v>
      </c>
      <c r="I8526" t="s">
        <v>26625</v>
      </c>
      <c r="J8526" t="s">
        <v>8451</v>
      </c>
    </row>
    <row r="8527" spans="1:10" x14ac:dyDescent="0.25">
      <c r="A8527" t="s">
        <v>26640</v>
      </c>
      <c r="B8527">
        <v>3</v>
      </c>
      <c r="C8527" t="s">
        <v>26641</v>
      </c>
      <c r="D8527" t="s">
        <v>2787</v>
      </c>
      <c r="E8527" t="s">
        <v>26622</v>
      </c>
      <c r="F8527" t="s">
        <v>7672</v>
      </c>
      <c r="G8527" t="s">
        <v>26623</v>
      </c>
      <c r="H8527" t="s">
        <v>26624</v>
      </c>
      <c r="I8527" t="s">
        <v>26628</v>
      </c>
      <c r="J8527" t="s">
        <v>8451</v>
      </c>
    </row>
    <row r="8528" spans="1:10" x14ac:dyDescent="0.25">
      <c r="A8528" t="s">
        <v>26642</v>
      </c>
      <c r="B8528">
        <v>3</v>
      </c>
      <c r="C8528" t="s">
        <v>26643</v>
      </c>
      <c r="D8528" t="s">
        <v>996</v>
      </c>
      <c r="E8528" t="s">
        <v>26622</v>
      </c>
      <c r="F8528" t="s">
        <v>7672</v>
      </c>
      <c r="G8528" t="s">
        <v>26623</v>
      </c>
      <c r="H8528" t="s">
        <v>26624</v>
      </c>
      <c r="I8528" t="s">
        <v>26631</v>
      </c>
      <c r="J8528" t="s">
        <v>8451</v>
      </c>
    </row>
    <row r="8529" spans="1:10" x14ac:dyDescent="0.25">
      <c r="A8529" t="s">
        <v>7393</v>
      </c>
      <c r="B8529">
        <v>6.76</v>
      </c>
      <c r="C8529" t="s">
        <v>7395</v>
      </c>
      <c r="D8529" t="s">
        <v>3378</v>
      </c>
      <c r="E8529" t="s">
        <v>7396</v>
      </c>
      <c r="F8529" t="s">
        <v>7672</v>
      </c>
      <c r="G8529" t="s">
        <v>26644</v>
      </c>
      <c r="H8529" t="s">
        <v>12519</v>
      </c>
      <c r="I8529" t="s">
        <v>5202</v>
      </c>
      <c r="J8529" t="s">
        <v>7984</v>
      </c>
    </row>
    <row r="8530" spans="1:10" x14ac:dyDescent="0.25">
      <c r="A8530" t="s">
        <v>7400</v>
      </c>
      <c r="B8530">
        <v>6.76</v>
      </c>
      <c r="C8530" t="s">
        <v>7402</v>
      </c>
      <c r="D8530" t="s">
        <v>1536</v>
      </c>
      <c r="E8530" t="s">
        <v>7396</v>
      </c>
      <c r="F8530" t="s">
        <v>7672</v>
      </c>
      <c r="G8530" t="s">
        <v>26644</v>
      </c>
      <c r="H8530" t="s">
        <v>12519</v>
      </c>
      <c r="I8530" t="s">
        <v>5202</v>
      </c>
      <c r="J8530" t="s">
        <v>7987</v>
      </c>
    </row>
    <row r="8531" spans="1:10" x14ac:dyDescent="0.25">
      <c r="A8531" t="s">
        <v>26645</v>
      </c>
      <c r="B8531">
        <v>9.6000000000000014</v>
      </c>
      <c r="C8531" t="s">
        <v>26646</v>
      </c>
      <c r="D8531" t="s">
        <v>352</v>
      </c>
      <c r="E8531" t="s">
        <v>26647</v>
      </c>
      <c r="F8531" t="s">
        <v>7672</v>
      </c>
      <c r="G8531" t="s">
        <v>26648</v>
      </c>
      <c r="H8531" t="s">
        <v>26649</v>
      </c>
      <c r="I8531" t="s">
        <v>26650</v>
      </c>
      <c r="J8531" t="s">
        <v>7987</v>
      </c>
    </row>
    <row r="8532" spans="1:10" x14ac:dyDescent="0.25">
      <c r="A8532" t="s">
        <v>26651</v>
      </c>
      <c r="B8532">
        <v>9.6000000000000014</v>
      </c>
      <c r="C8532" t="s">
        <v>26652</v>
      </c>
      <c r="D8532" t="s">
        <v>164</v>
      </c>
      <c r="E8532" t="s">
        <v>26647</v>
      </c>
      <c r="F8532" t="s">
        <v>7672</v>
      </c>
      <c r="G8532" t="s">
        <v>26648</v>
      </c>
      <c r="H8532" t="s">
        <v>26649</v>
      </c>
      <c r="I8532" t="s">
        <v>26653</v>
      </c>
      <c r="J8532" t="s">
        <v>7987</v>
      </c>
    </row>
    <row r="8533" spans="1:10" x14ac:dyDescent="0.25">
      <c r="A8533" t="s">
        <v>26654</v>
      </c>
      <c r="B8533">
        <v>4.32</v>
      </c>
      <c r="C8533" t="s">
        <v>26655</v>
      </c>
      <c r="D8533" t="s">
        <v>843</v>
      </c>
      <c r="E8533" t="s">
        <v>26656</v>
      </c>
      <c r="F8533" t="s">
        <v>7672</v>
      </c>
      <c r="G8533" t="s">
        <v>26657</v>
      </c>
      <c r="H8533" t="s">
        <v>16993</v>
      </c>
      <c r="I8533" t="s">
        <v>26658</v>
      </c>
      <c r="J8533" t="s">
        <v>9423</v>
      </c>
    </row>
    <row r="8534" spans="1:10" x14ac:dyDescent="0.25">
      <c r="A8534" t="s">
        <v>26659</v>
      </c>
      <c r="B8534">
        <v>4.32</v>
      </c>
      <c r="C8534" t="s">
        <v>26660</v>
      </c>
      <c r="D8534" t="s">
        <v>306</v>
      </c>
      <c r="E8534" t="s">
        <v>26656</v>
      </c>
      <c r="F8534" t="s">
        <v>7672</v>
      </c>
      <c r="G8534" t="s">
        <v>26657</v>
      </c>
      <c r="H8534" t="s">
        <v>16993</v>
      </c>
      <c r="I8534" t="s">
        <v>26661</v>
      </c>
      <c r="J8534" t="s">
        <v>9423</v>
      </c>
    </row>
    <row r="8535" spans="1:10" x14ac:dyDescent="0.25">
      <c r="A8535" t="s">
        <v>26662</v>
      </c>
      <c r="B8535">
        <v>4.32</v>
      </c>
      <c r="C8535" t="s">
        <v>26663</v>
      </c>
      <c r="D8535" t="s">
        <v>245</v>
      </c>
      <c r="E8535" t="s">
        <v>26656</v>
      </c>
      <c r="F8535" t="s">
        <v>7672</v>
      </c>
      <c r="G8535" t="s">
        <v>26657</v>
      </c>
      <c r="H8535" t="s">
        <v>16993</v>
      </c>
      <c r="I8535" t="s">
        <v>26664</v>
      </c>
      <c r="J8535" t="s">
        <v>9423</v>
      </c>
    </row>
    <row r="8536" spans="1:10" x14ac:dyDescent="0.25">
      <c r="A8536" t="s">
        <v>26665</v>
      </c>
      <c r="B8536">
        <v>4.32</v>
      </c>
      <c r="C8536" t="s">
        <v>26666</v>
      </c>
      <c r="D8536" t="s">
        <v>2036</v>
      </c>
      <c r="E8536" t="s">
        <v>26656</v>
      </c>
      <c r="F8536" t="s">
        <v>7672</v>
      </c>
      <c r="G8536" t="s">
        <v>26657</v>
      </c>
      <c r="H8536" t="s">
        <v>16993</v>
      </c>
      <c r="I8536" t="s">
        <v>26667</v>
      </c>
      <c r="J8536" t="s">
        <v>9423</v>
      </c>
    </row>
    <row r="8537" spans="1:10" x14ac:dyDescent="0.25">
      <c r="A8537" t="s">
        <v>26668</v>
      </c>
      <c r="B8537">
        <v>4.32</v>
      </c>
      <c r="C8537" t="s">
        <v>26669</v>
      </c>
      <c r="D8537" t="s">
        <v>2620</v>
      </c>
      <c r="E8537" t="s">
        <v>26656</v>
      </c>
      <c r="F8537" t="s">
        <v>7672</v>
      </c>
      <c r="G8537" t="s">
        <v>26657</v>
      </c>
      <c r="H8537" t="s">
        <v>16993</v>
      </c>
      <c r="I8537" t="s">
        <v>26670</v>
      </c>
      <c r="J8537" t="s">
        <v>9423</v>
      </c>
    </row>
    <row r="8538" spans="1:10" x14ac:dyDescent="0.25">
      <c r="A8538" t="s">
        <v>26671</v>
      </c>
      <c r="B8538">
        <v>4.32</v>
      </c>
      <c r="C8538" t="s">
        <v>26672</v>
      </c>
      <c r="D8538" t="s">
        <v>1579</v>
      </c>
      <c r="E8538" t="s">
        <v>26656</v>
      </c>
      <c r="F8538" t="s">
        <v>7672</v>
      </c>
      <c r="G8538" t="s">
        <v>26657</v>
      </c>
      <c r="H8538" t="s">
        <v>16993</v>
      </c>
      <c r="I8538" t="s">
        <v>26673</v>
      </c>
      <c r="J8538" t="s">
        <v>9423</v>
      </c>
    </row>
    <row r="8539" spans="1:10" x14ac:dyDescent="0.25">
      <c r="A8539" t="s">
        <v>26674</v>
      </c>
      <c r="B8539">
        <v>4.32</v>
      </c>
      <c r="C8539" t="s">
        <v>26675</v>
      </c>
      <c r="D8539" t="s">
        <v>5145</v>
      </c>
      <c r="E8539" t="s">
        <v>26656</v>
      </c>
      <c r="F8539" t="s">
        <v>7672</v>
      </c>
      <c r="G8539" t="s">
        <v>26657</v>
      </c>
      <c r="H8539" t="s">
        <v>16993</v>
      </c>
      <c r="I8539" t="s">
        <v>26676</v>
      </c>
      <c r="J8539" t="s">
        <v>9423</v>
      </c>
    </row>
    <row r="8540" spans="1:10" x14ac:dyDescent="0.25">
      <c r="A8540" t="s">
        <v>26677</v>
      </c>
      <c r="B8540">
        <v>4.32</v>
      </c>
      <c r="C8540" t="s">
        <v>26678</v>
      </c>
      <c r="D8540" t="s">
        <v>991</v>
      </c>
      <c r="E8540" t="s">
        <v>26656</v>
      </c>
      <c r="F8540" t="s">
        <v>7672</v>
      </c>
      <c r="G8540" t="s">
        <v>26657</v>
      </c>
      <c r="H8540" t="s">
        <v>16993</v>
      </c>
      <c r="I8540" t="s">
        <v>26679</v>
      </c>
      <c r="J8540" t="s">
        <v>9423</v>
      </c>
    </row>
    <row r="8541" spans="1:10" x14ac:dyDescent="0.25">
      <c r="A8541" t="s">
        <v>26680</v>
      </c>
      <c r="B8541">
        <v>4.32</v>
      </c>
      <c r="C8541" t="s">
        <v>26681</v>
      </c>
      <c r="D8541" t="s">
        <v>2787</v>
      </c>
      <c r="E8541" t="s">
        <v>26656</v>
      </c>
      <c r="F8541" t="s">
        <v>7672</v>
      </c>
      <c r="G8541" t="s">
        <v>26657</v>
      </c>
      <c r="H8541" t="s">
        <v>16993</v>
      </c>
      <c r="I8541" t="s">
        <v>26658</v>
      </c>
      <c r="J8541" t="s">
        <v>9426</v>
      </c>
    </row>
    <row r="8542" spans="1:10" x14ac:dyDescent="0.25">
      <c r="A8542" t="s">
        <v>26682</v>
      </c>
      <c r="B8542">
        <v>4.32</v>
      </c>
      <c r="C8542" t="s">
        <v>26683</v>
      </c>
      <c r="D8542" t="s">
        <v>991</v>
      </c>
      <c r="E8542" t="s">
        <v>26656</v>
      </c>
      <c r="F8542" t="s">
        <v>7672</v>
      </c>
      <c r="G8542" t="s">
        <v>26657</v>
      </c>
      <c r="H8542" t="s">
        <v>16993</v>
      </c>
      <c r="I8542" t="s">
        <v>26661</v>
      </c>
      <c r="J8542" t="s">
        <v>9426</v>
      </c>
    </row>
    <row r="8543" spans="1:10" x14ac:dyDescent="0.25">
      <c r="A8543" t="s">
        <v>26684</v>
      </c>
      <c r="B8543">
        <v>4.32</v>
      </c>
      <c r="C8543" t="s">
        <v>26685</v>
      </c>
      <c r="D8543" t="s">
        <v>715</v>
      </c>
      <c r="E8543" t="s">
        <v>26656</v>
      </c>
      <c r="F8543" t="s">
        <v>7672</v>
      </c>
      <c r="G8543" t="s">
        <v>26657</v>
      </c>
      <c r="H8543" t="s">
        <v>16993</v>
      </c>
      <c r="I8543" t="s">
        <v>26670</v>
      </c>
      <c r="J8543" t="s">
        <v>9426</v>
      </c>
    </row>
    <row r="8544" spans="1:10" x14ac:dyDescent="0.25">
      <c r="A8544" t="s">
        <v>26686</v>
      </c>
      <c r="B8544">
        <v>4.32</v>
      </c>
      <c r="C8544" t="s">
        <v>26687</v>
      </c>
      <c r="D8544" t="s">
        <v>2652</v>
      </c>
      <c r="E8544" t="s">
        <v>26656</v>
      </c>
      <c r="F8544" t="s">
        <v>7672</v>
      </c>
      <c r="G8544" t="s">
        <v>26657</v>
      </c>
      <c r="H8544" t="s">
        <v>16993</v>
      </c>
      <c r="I8544" t="s">
        <v>26667</v>
      </c>
      <c r="J8544" t="s">
        <v>9426</v>
      </c>
    </row>
    <row r="8545" spans="1:10" x14ac:dyDescent="0.25">
      <c r="A8545" t="s">
        <v>26688</v>
      </c>
      <c r="B8545">
        <v>4.32</v>
      </c>
      <c r="C8545" t="s">
        <v>26689</v>
      </c>
      <c r="D8545" t="s">
        <v>2804</v>
      </c>
      <c r="E8545" t="s">
        <v>26656</v>
      </c>
      <c r="F8545" t="s">
        <v>7672</v>
      </c>
      <c r="G8545" t="s">
        <v>26657</v>
      </c>
      <c r="H8545" t="s">
        <v>16993</v>
      </c>
      <c r="I8545" t="s">
        <v>26679</v>
      </c>
      <c r="J8545" t="s">
        <v>9426</v>
      </c>
    </row>
    <row r="8546" spans="1:10" x14ac:dyDescent="0.25">
      <c r="A8546" t="s">
        <v>26690</v>
      </c>
      <c r="B8546">
        <v>4.32</v>
      </c>
      <c r="C8546" t="s">
        <v>26691</v>
      </c>
      <c r="D8546" t="s">
        <v>1386</v>
      </c>
      <c r="E8546" t="s">
        <v>26656</v>
      </c>
      <c r="F8546" t="s">
        <v>7672</v>
      </c>
      <c r="G8546" t="s">
        <v>26657</v>
      </c>
      <c r="H8546" t="s">
        <v>16993</v>
      </c>
      <c r="I8546" t="s">
        <v>26673</v>
      </c>
      <c r="J8546" t="s">
        <v>9426</v>
      </c>
    </row>
    <row r="8547" spans="1:10" x14ac:dyDescent="0.25">
      <c r="A8547" t="s">
        <v>26692</v>
      </c>
      <c r="B8547">
        <v>4.32</v>
      </c>
      <c r="C8547" t="s">
        <v>26693</v>
      </c>
      <c r="D8547" t="s">
        <v>2620</v>
      </c>
      <c r="E8547" t="s">
        <v>26656</v>
      </c>
      <c r="F8547" t="s">
        <v>7672</v>
      </c>
      <c r="G8547" t="s">
        <v>26657</v>
      </c>
      <c r="H8547" t="s">
        <v>16993</v>
      </c>
      <c r="I8547" t="s">
        <v>26664</v>
      </c>
      <c r="J8547" t="s">
        <v>9426</v>
      </c>
    </row>
    <row r="8548" spans="1:10" x14ac:dyDescent="0.25">
      <c r="A8548" t="s">
        <v>26694</v>
      </c>
      <c r="B8548">
        <v>4.32</v>
      </c>
      <c r="C8548" t="s">
        <v>26695</v>
      </c>
      <c r="D8548" t="s">
        <v>2381</v>
      </c>
      <c r="E8548" t="s">
        <v>26656</v>
      </c>
      <c r="F8548" t="s">
        <v>7672</v>
      </c>
      <c r="G8548" t="s">
        <v>26657</v>
      </c>
      <c r="H8548" t="s">
        <v>16993</v>
      </c>
      <c r="I8548" t="s">
        <v>26676</v>
      </c>
      <c r="J8548" t="s">
        <v>9426</v>
      </c>
    </row>
    <row r="8549" spans="1:10" x14ac:dyDescent="0.25">
      <c r="A8549" t="s">
        <v>26696</v>
      </c>
      <c r="B8549">
        <v>4.32</v>
      </c>
      <c r="C8549" t="s">
        <v>26697</v>
      </c>
      <c r="D8549" t="s">
        <v>1644</v>
      </c>
      <c r="E8549" t="s">
        <v>26656</v>
      </c>
      <c r="F8549" t="s">
        <v>7672</v>
      </c>
      <c r="G8549" t="s">
        <v>26657</v>
      </c>
      <c r="H8549" t="s">
        <v>16993</v>
      </c>
      <c r="I8549" t="s">
        <v>26667</v>
      </c>
      <c r="J8549" t="s">
        <v>10862</v>
      </c>
    </row>
    <row r="8550" spans="1:10" x14ac:dyDescent="0.25">
      <c r="A8550" t="s">
        <v>26698</v>
      </c>
      <c r="B8550">
        <v>4.32</v>
      </c>
      <c r="C8550" t="s">
        <v>26699</v>
      </c>
      <c r="D8550" t="s">
        <v>311</v>
      </c>
      <c r="E8550" t="s">
        <v>26656</v>
      </c>
      <c r="F8550" t="s">
        <v>7672</v>
      </c>
      <c r="G8550" t="s">
        <v>26657</v>
      </c>
      <c r="H8550" t="s">
        <v>16993</v>
      </c>
      <c r="I8550" t="s">
        <v>26670</v>
      </c>
      <c r="J8550" t="s">
        <v>10862</v>
      </c>
    </row>
    <row r="8551" spans="1:10" x14ac:dyDescent="0.25">
      <c r="A8551" t="s">
        <v>26700</v>
      </c>
      <c r="B8551">
        <v>4.32</v>
      </c>
      <c r="C8551" t="s">
        <v>26701</v>
      </c>
      <c r="D8551" t="s">
        <v>144</v>
      </c>
      <c r="E8551" t="s">
        <v>26656</v>
      </c>
      <c r="F8551" t="s">
        <v>7672</v>
      </c>
      <c r="G8551" t="s">
        <v>26657</v>
      </c>
      <c r="H8551" t="s">
        <v>16993</v>
      </c>
      <c r="I8551" t="s">
        <v>26679</v>
      </c>
      <c r="J8551" t="s">
        <v>10862</v>
      </c>
    </row>
    <row r="8552" spans="1:10" x14ac:dyDescent="0.25">
      <c r="A8552" t="s">
        <v>26702</v>
      </c>
      <c r="B8552">
        <v>4.32</v>
      </c>
      <c r="C8552" t="s">
        <v>26703</v>
      </c>
      <c r="D8552" t="s">
        <v>3258</v>
      </c>
      <c r="E8552" t="s">
        <v>26656</v>
      </c>
      <c r="F8552" t="s">
        <v>7672</v>
      </c>
      <c r="G8552" t="s">
        <v>26657</v>
      </c>
      <c r="H8552" t="s">
        <v>16993</v>
      </c>
      <c r="I8552" t="s">
        <v>26661</v>
      </c>
      <c r="J8552" t="s">
        <v>10862</v>
      </c>
    </row>
    <row r="8553" spans="1:10" x14ac:dyDescent="0.25">
      <c r="A8553" t="s">
        <v>26704</v>
      </c>
      <c r="B8553">
        <v>4.32</v>
      </c>
      <c r="C8553" t="s">
        <v>26705</v>
      </c>
      <c r="D8553" t="s">
        <v>2910</v>
      </c>
      <c r="E8553" t="s">
        <v>26656</v>
      </c>
      <c r="F8553" t="s">
        <v>7672</v>
      </c>
      <c r="G8553" t="s">
        <v>26657</v>
      </c>
      <c r="H8553" t="s">
        <v>16993</v>
      </c>
      <c r="I8553" t="s">
        <v>26664</v>
      </c>
      <c r="J8553" t="s">
        <v>10862</v>
      </c>
    </row>
    <row r="8554" spans="1:10" x14ac:dyDescent="0.25">
      <c r="A8554" t="s">
        <v>26706</v>
      </c>
      <c r="B8554">
        <v>4.32</v>
      </c>
      <c r="C8554" t="s">
        <v>26707</v>
      </c>
      <c r="D8554" t="s">
        <v>240</v>
      </c>
      <c r="E8554" t="s">
        <v>26656</v>
      </c>
      <c r="F8554" t="s">
        <v>7672</v>
      </c>
      <c r="G8554" t="s">
        <v>26657</v>
      </c>
      <c r="H8554" t="s">
        <v>16993</v>
      </c>
      <c r="I8554" t="s">
        <v>26658</v>
      </c>
      <c r="J8554" t="s">
        <v>10862</v>
      </c>
    </row>
    <row r="8555" spans="1:10" x14ac:dyDescent="0.25">
      <c r="A8555" t="s">
        <v>26708</v>
      </c>
      <c r="B8555">
        <v>4.32</v>
      </c>
      <c r="C8555" t="s">
        <v>26709</v>
      </c>
      <c r="D8555" t="s">
        <v>3086</v>
      </c>
      <c r="E8555" t="s">
        <v>26656</v>
      </c>
      <c r="F8555" t="s">
        <v>7672</v>
      </c>
      <c r="G8555" t="s">
        <v>26657</v>
      </c>
      <c r="H8555" t="s">
        <v>16993</v>
      </c>
      <c r="I8555" t="s">
        <v>26673</v>
      </c>
      <c r="J8555" t="s">
        <v>10862</v>
      </c>
    </row>
    <row r="8556" spans="1:10" x14ac:dyDescent="0.25">
      <c r="A8556" t="s">
        <v>26710</v>
      </c>
      <c r="B8556">
        <v>4.32</v>
      </c>
      <c r="C8556" t="s">
        <v>26711</v>
      </c>
      <c r="D8556" t="s">
        <v>2198</v>
      </c>
      <c r="E8556" t="s">
        <v>26656</v>
      </c>
      <c r="F8556" t="s">
        <v>7672</v>
      </c>
      <c r="G8556" t="s">
        <v>26657</v>
      </c>
      <c r="H8556" t="s">
        <v>16993</v>
      </c>
      <c r="I8556" t="s">
        <v>26676</v>
      </c>
      <c r="J8556" t="s">
        <v>10862</v>
      </c>
    </row>
    <row r="8557" spans="1:10" x14ac:dyDescent="0.25">
      <c r="A8557" t="s">
        <v>26712</v>
      </c>
      <c r="B8557">
        <v>4.32</v>
      </c>
      <c r="C8557" t="s">
        <v>26713</v>
      </c>
      <c r="D8557" t="s">
        <v>588</v>
      </c>
      <c r="E8557" t="s">
        <v>26656</v>
      </c>
      <c r="F8557" t="s">
        <v>7672</v>
      </c>
      <c r="G8557" t="s">
        <v>26657</v>
      </c>
      <c r="H8557" t="s">
        <v>16993</v>
      </c>
      <c r="I8557" t="s">
        <v>26670</v>
      </c>
      <c r="J8557" t="s">
        <v>13084</v>
      </c>
    </row>
    <row r="8558" spans="1:10" x14ac:dyDescent="0.25">
      <c r="A8558" t="s">
        <v>26714</v>
      </c>
      <c r="B8558">
        <v>4.32</v>
      </c>
      <c r="C8558" t="s">
        <v>26715</v>
      </c>
      <c r="D8558" t="s">
        <v>1710</v>
      </c>
      <c r="E8558" t="s">
        <v>26656</v>
      </c>
      <c r="F8558" t="s">
        <v>7672</v>
      </c>
      <c r="G8558" t="s">
        <v>26657</v>
      </c>
      <c r="H8558" t="s">
        <v>16993</v>
      </c>
      <c r="I8558" t="s">
        <v>26673</v>
      </c>
      <c r="J8558" t="s">
        <v>13084</v>
      </c>
    </row>
    <row r="8559" spans="1:10" x14ac:dyDescent="0.25">
      <c r="A8559" t="s">
        <v>26716</v>
      </c>
      <c r="B8559">
        <v>4.32</v>
      </c>
      <c r="C8559" t="s">
        <v>26717</v>
      </c>
      <c r="D8559" t="s">
        <v>3470</v>
      </c>
      <c r="E8559" t="s">
        <v>26656</v>
      </c>
      <c r="F8559" t="s">
        <v>7672</v>
      </c>
      <c r="G8559" t="s">
        <v>26657</v>
      </c>
      <c r="H8559" t="s">
        <v>16993</v>
      </c>
      <c r="I8559" t="s">
        <v>26667</v>
      </c>
      <c r="J8559" t="s">
        <v>13084</v>
      </c>
    </row>
    <row r="8560" spans="1:10" x14ac:dyDescent="0.25">
      <c r="A8560" t="s">
        <v>26718</v>
      </c>
      <c r="B8560">
        <v>4.32</v>
      </c>
      <c r="C8560" t="s">
        <v>26719</v>
      </c>
      <c r="D8560" t="s">
        <v>2262</v>
      </c>
      <c r="E8560" t="s">
        <v>26656</v>
      </c>
      <c r="F8560" t="s">
        <v>7672</v>
      </c>
      <c r="G8560" t="s">
        <v>26657</v>
      </c>
      <c r="H8560" t="s">
        <v>16993</v>
      </c>
      <c r="I8560" t="s">
        <v>26679</v>
      </c>
      <c r="J8560" t="s">
        <v>13084</v>
      </c>
    </row>
    <row r="8561" spans="1:10" x14ac:dyDescent="0.25">
      <c r="A8561" t="s">
        <v>26720</v>
      </c>
      <c r="B8561">
        <v>4.32</v>
      </c>
      <c r="C8561" t="s">
        <v>26721</v>
      </c>
      <c r="D8561" t="s">
        <v>975</v>
      </c>
      <c r="E8561" t="s">
        <v>26656</v>
      </c>
      <c r="F8561" t="s">
        <v>7672</v>
      </c>
      <c r="G8561" t="s">
        <v>26657</v>
      </c>
      <c r="H8561" t="s">
        <v>16993</v>
      </c>
      <c r="I8561" t="s">
        <v>26661</v>
      </c>
      <c r="J8561" t="s">
        <v>13084</v>
      </c>
    </row>
    <row r="8562" spans="1:10" x14ac:dyDescent="0.25">
      <c r="A8562" t="s">
        <v>26722</v>
      </c>
      <c r="B8562">
        <v>4.32</v>
      </c>
      <c r="C8562" t="s">
        <v>26723</v>
      </c>
      <c r="D8562" t="s">
        <v>1134</v>
      </c>
      <c r="E8562" t="s">
        <v>26656</v>
      </c>
      <c r="F8562" t="s">
        <v>7672</v>
      </c>
      <c r="G8562" t="s">
        <v>26657</v>
      </c>
      <c r="H8562" t="s">
        <v>16993</v>
      </c>
      <c r="I8562" t="s">
        <v>26664</v>
      </c>
      <c r="J8562" t="s">
        <v>13084</v>
      </c>
    </row>
    <row r="8563" spans="1:10" x14ac:dyDescent="0.25">
      <c r="A8563" t="s">
        <v>26724</v>
      </c>
      <c r="B8563">
        <v>4.32</v>
      </c>
      <c r="C8563" t="s">
        <v>26725</v>
      </c>
      <c r="D8563" t="s">
        <v>13198</v>
      </c>
      <c r="E8563" t="s">
        <v>26656</v>
      </c>
      <c r="F8563" t="s">
        <v>7672</v>
      </c>
      <c r="G8563" t="s">
        <v>26657</v>
      </c>
      <c r="H8563" t="s">
        <v>16993</v>
      </c>
      <c r="I8563" t="s">
        <v>26658</v>
      </c>
      <c r="J8563" t="s">
        <v>13084</v>
      </c>
    </row>
    <row r="8564" spans="1:10" x14ac:dyDescent="0.25">
      <c r="A8564" t="s">
        <v>26726</v>
      </c>
      <c r="B8564">
        <v>4.32</v>
      </c>
      <c r="C8564" t="s">
        <v>26727</v>
      </c>
      <c r="D8564" t="s">
        <v>720</v>
      </c>
      <c r="E8564" t="s">
        <v>26656</v>
      </c>
      <c r="F8564" t="s">
        <v>7672</v>
      </c>
      <c r="G8564" t="s">
        <v>26657</v>
      </c>
      <c r="H8564" t="s">
        <v>16993</v>
      </c>
      <c r="I8564" t="s">
        <v>26676</v>
      </c>
      <c r="J8564" t="s">
        <v>13084</v>
      </c>
    </row>
    <row r="8565" spans="1:10" x14ac:dyDescent="0.25">
      <c r="A8565" t="s">
        <v>26728</v>
      </c>
      <c r="B8565">
        <v>4.32</v>
      </c>
      <c r="C8565" t="s">
        <v>26729</v>
      </c>
      <c r="D8565" t="s">
        <v>633</v>
      </c>
      <c r="E8565" t="s">
        <v>26656</v>
      </c>
      <c r="F8565" t="s">
        <v>7672</v>
      </c>
      <c r="G8565" t="s">
        <v>26657</v>
      </c>
      <c r="H8565" t="s">
        <v>16993</v>
      </c>
      <c r="I8565" t="s">
        <v>26667</v>
      </c>
      <c r="J8565" t="s">
        <v>11767</v>
      </c>
    </row>
    <row r="8566" spans="1:10" x14ac:dyDescent="0.25">
      <c r="A8566" t="s">
        <v>26730</v>
      </c>
      <c r="B8566">
        <v>4.32</v>
      </c>
      <c r="C8566" t="s">
        <v>26731</v>
      </c>
      <c r="D8566" t="s">
        <v>113</v>
      </c>
      <c r="E8566" t="s">
        <v>26656</v>
      </c>
      <c r="F8566" t="s">
        <v>7672</v>
      </c>
      <c r="G8566" t="s">
        <v>26657</v>
      </c>
      <c r="H8566" t="s">
        <v>16993</v>
      </c>
      <c r="I8566" t="s">
        <v>26679</v>
      </c>
      <c r="J8566" t="s">
        <v>11767</v>
      </c>
    </row>
    <row r="8567" spans="1:10" x14ac:dyDescent="0.25">
      <c r="A8567" t="s">
        <v>26732</v>
      </c>
      <c r="B8567">
        <v>4.32</v>
      </c>
      <c r="C8567" t="s">
        <v>26733</v>
      </c>
      <c r="D8567" t="s">
        <v>781</v>
      </c>
      <c r="E8567" t="s">
        <v>26656</v>
      </c>
      <c r="F8567" t="s">
        <v>7672</v>
      </c>
      <c r="G8567" t="s">
        <v>26657</v>
      </c>
      <c r="H8567" t="s">
        <v>16993</v>
      </c>
      <c r="I8567" t="s">
        <v>26673</v>
      </c>
      <c r="J8567" t="s">
        <v>11767</v>
      </c>
    </row>
    <row r="8568" spans="1:10" x14ac:dyDescent="0.25">
      <c r="A8568" t="s">
        <v>26734</v>
      </c>
      <c r="B8568">
        <v>4.32</v>
      </c>
      <c r="C8568" t="s">
        <v>26735</v>
      </c>
      <c r="D8568" t="s">
        <v>164</v>
      </c>
      <c r="E8568" t="s">
        <v>26656</v>
      </c>
      <c r="F8568" t="s">
        <v>7672</v>
      </c>
      <c r="G8568" t="s">
        <v>26657</v>
      </c>
      <c r="H8568" t="s">
        <v>16993</v>
      </c>
      <c r="I8568" t="s">
        <v>26658</v>
      </c>
      <c r="J8568" t="s">
        <v>11767</v>
      </c>
    </row>
    <row r="8569" spans="1:10" x14ac:dyDescent="0.25">
      <c r="A8569" t="s">
        <v>26736</v>
      </c>
      <c r="B8569">
        <v>4.32</v>
      </c>
      <c r="C8569" t="s">
        <v>26737</v>
      </c>
      <c r="D8569" t="s">
        <v>106</v>
      </c>
      <c r="E8569" t="s">
        <v>26656</v>
      </c>
      <c r="F8569" t="s">
        <v>7672</v>
      </c>
      <c r="G8569" t="s">
        <v>26657</v>
      </c>
      <c r="H8569" t="s">
        <v>16993</v>
      </c>
      <c r="I8569" t="s">
        <v>26667</v>
      </c>
      <c r="J8569" t="s">
        <v>11582</v>
      </c>
    </row>
    <row r="8570" spans="1:10" x14ac:dyDescent="0.25">
      <c r="A8570" t="s">
        <v>26738</v>
      </c>
      <c r="B8570">
        <v>8.4</v>
      </c>
      <c r="C8570" t="s">
        <v>26739</v>
      </c>
      <c r="D8570" t="s">
        <v>4584</v>
      </c>
      <c r="E8570" t="s">
        <v>26740</v>
      </c>
      <c r="F8570" t="s">
        <v>7672</v>
      </c>
      <c r="G8570" t="s">
        <v>26741</v>
      </c>
      <c r="H8570" t="s">
        <v>11496</v>
      </c>
      <c r="I8570" t="s">
        <v>76</v>
      </c>
      <c r="J8570" t="s">
        <v>10369</v>
      </c>
    </row>
    <row r="8571" spans="1:10" x14ac:dyDescent="0.25">
      <c r="A8571" t="s">
        <v>26742</v>
      </c>
      <c r="B8571">
        <v>8.4</v>
      </c>
      <c r="C8571" t="s">
        <v>26743</v>
      </c>
      <c r="D8571" t="s">
        <v>3070</v>
      </c>
      <c r="E8571" t="s">
        <v>26740</v>
      </c>
      <c r="F8571" t="s">
        <v>7672</v>
      </c>
      <c r="G8571" t="s">
        <v>26741</v>
      </c>
      <c r="H8571" t="s">
        <v>11496</v>
      </c>
      <c r="I8571" t="s">
        <v>76</v>
      </c>
      <c r="J8571" t="s">
        <v>11590</v>
      </c>
    </row>
    <row r="8572" spans="1:10" x14ac:dyDescent="0.25">
      <c r="A8572" t="s">
        <v>26744</v>
      </c>
      <c r="B8572">
        <v>8.4</v>
      </c>
      <c r="C8572" t="s">
        <v>26745</v>
      </c>
      <c r="D8572" t="s">
        <v>7670</v>
      </c>
      <c r="E8572" t="s">
        <v>26740</v>
      </c>
      <c r="F8572" t="s">
        <v>7672</v>
      </c>
      <c r="G8572" t="s">
        <v>26741</v>
      </c>
      <c r="H8572" t="s">
        <v>11496</v>
      </c>
      <c r="I8572" t="s">
        <v>76</v>
      </c>
      <c r="J8572" t="s">
        <v>11593</v>
      </c>
    </row>
    <row r="8573" spans="1:10" x14ac:dyDescent="0.25">
      <c r="A8573" t="s">
        <v>26746</v>
      </c>
      <c r="B8573">
        <v>8.4</v>
      </c>
      <c r="C8573" t="s">
        <v>26747</v>
      </c>
      <c r="D8573" t="s">
        <v>9574</v>
      </c>
      <c r="E8573" t="s">
        <v>26740</v>
      </c>
      <c r="F8573" t="s">
        <v>7672</v>
      </c>
      <c r="G8573" t="s">
        <v>26741</v>
      </c>
      <c r="H8573" t="s">
        <v>11496</v>
      </c>
      <c r="I8573" t="s">
        <v>76</v>
      </c>
      <c r="J8573" t="s">
        <v>11783</v>
      </c>
    </row>
    <row r="8574" spans="1:10" x14ac:dyDescent="0.25">
      <c r="A8574" t="s">
        <v>26748</v>
      </c>
      <c r="B8574">
        <v>8.3920000000000012</v>
      </c>
      <c r="C8574" t="s">
        <v>26749</v>
      </c>
      <c r="D8574" t="s">
        <v>60</v>
      </c>
      <c r="E8574" t="s">
        <v>26750</v>
      </c>
      <c r="F8574" t="s">
        <v>7672</v>
      </c>
      <c r="G8574" t="s">
        <v>26751</v>
      </c>
      <c r="H8574" t="s">
        <v>10298</v>
      </c>
      <c r="I8574" t="s">
        <v>8436</v>
      </c>
      <c r="J8574" t="s">
        <v>7942</v>
      </c>
    </row>
    <row r="8575" spans="1:10" x14ac:dyDescent="0.25">
      <c r="A8575" t="s">
        <v>26752</v>
      </c>
      <c r="B8575">
        <v>8.3920000000000012</v>
      </c>
      <c r="C8575" t="s">
        <v>26753</v>
      </c>
      <c r="D8575" t="s">
        <v>95</v>
      </c>
      <c r="E8575" t="s">
        <v>26750</v>
      </c>
      <c r="F8575" t="s">
        <v>7672</v>
      </c>
      <c r="G8575" t="s">
        <v>26751</v>
      </c>
      <c r="H8575" t="s">
        <v>10298</v>
      </c>
      <c r="I8575" t="s">
        <v>8436</v>
      </c>
      <c r="J8575" t="s">
        <v>7981</v>
      </c>
    </row>
    <row r="8576" spans="1:10" x14ac:dyDescent="0.25">
      <c r="A8576" t="s">
        <v>26754</v>
      </c>
      <c r="B8576">
        <v>8.3920000000000012</v>
      </c>
      <c r="C8576" t="s">
        <v>26755</v>
      </c>
      <c r="D8576" t="s">
        <v>100</v>
      </c>
      <c r="E8576" t="s">
        <v>26750</v>
      </c>
      <c r="F8576" t="s">
        <v>7672</v>
      </c>
      <c r="G8576" t="s">
        <v>26751</v>
      </c>
      <c r="H8576" t="s">
        <v>10298</v>
      </c>
      <c r="I8576" t="s">
        <v>8436</v>
      </c>
      <c r="J8576" t="s">
        <v>7984</v>
      </c>
    </row>
    <row r="8577" spans="1:10" x14ac:dyDescent="0.25">
      <c r="A8577" t="s">
        <v>26756</v>
      </c>
      <c r="B8577">
        <v>6.08</v>
      </c>
      <c r="C8577" t="s">
        <v>26757</v>
      </c>
      <c r="D8577" t="s">
        <v>234</v>
      </c>
      <c r="E8577" t="s">
        <v>26758</v>
      </c>
      <c r="F8577" t="s">
        <v>7672</v>
      </c>
      <c r="G8577" t="s">
        <v>26759</v>
      </c>
      <c r="H8577" t="s">
        <v>11496</v>
      </c>
      <c r="I8577" t="s">
        <v>935</v>
      </c>
      <c r="J8577" t="s">
        <v>13084</v>
      </c>
    </row>
    <row r="8578" spans="1:10" x14ac:dyDescent="0.25">
      <c r="A8578" t="s">
        <v>26760</v>
      </c>
      <c r="B8578">
        <v>16</v>
      </c>
      <c r="C8578" t="s">
        <v>26761</v>
      </c>
      <c r="D8578" t="s">
        <v>3409</v>
      </c>
      <c r="E8578" t="s">
        <v>26762</v>
      </c>
      <c r="F8578" t="s">
        <v>7672</v>
      </c>
      <c r="G8578" t="s">
        <v>26763</v>
      </c>
      <c r="H8578" t="s">
        <v>17992</v>
      </c>
      <c r="I8578" t="s">
        <v>8158</v>
      </c>
      <c r="J8578" t="s">
        <v>8013</v>
      </c>
    </row>
    <row r="8579" spans="1:10" x14ac:dyDescent="0.25">
      <c r="A8579" t="s">
        <v>26764</v>
      </c>
      <c r="B8579">
        <v>8</v>
      </c>
      <c r="C8579" t="s">
        <v>26765</v>
      </c>
      <c r="D8579" t="s">
        <v>290</v>
      </c>
      <c r="E8579" t="s">
        <v>26766</v>
      </c>
      <c r="F8579" t="s">
        <v>7672</v>
      </c>
      <c r="G8579" t="s">
        <v>26767</v>
      </c>
      <c r="H8579" t="s">
        <v>10298</v>
      </c>
      <c r="I8579" t="s">
        <v>26768</v>
      </c>
      <c r="J8579" t="s">
        <v>11710</v>
      </c>
    </row>
    <row r="8580" spans="1:10" x14ac:dyDescent="0.25">
      <c r="A8580" t="s">
        <v>26769</v>
      </c>
      <c r="B8580">
        <v>8</v>
      </c>
      <c r="C8580" t="s">
        <v>26770</v>
      </c>
      <c r="D8580" t="s">
        <v>106</v>
      </c>
      <c r="E8580" t="s">
        <v>26766</v>
      </c>
      <c r="F8580" t="s">
        <v>7672</v>
      </c>
      <c r="G8580" t="s">
        <v>26767</v>
      </c>
      <c r="H8580" t="s">
        <v>10298</v>
      </c>
      <c r="I8580" t="s">
        <v>26768</v>
      </c>
      <c r="J8580" t="s">
        <v>12182</v>
      </c>
    </row>
    <row r="8581" spans="1:10" x14ac:dyDescent="0.25">
      <c r="A8581" t="s">
        <v>26771</v>
      </c>
      <c r="B8581">
        <v>8</v>
      </c>
      <c r="C8581" t="s">
        <v>26772</v>
      </c>
      <c r="D8581" t="s">
        <v>941</v>
      </c>
      <c r="E8581" t="s">
        <v>26766</v>
      </c>
      <c r="F8581" t="s">
        <v>7672</v>
      </c>
      <c r="G8581" t="s">
        <v>26767</v>
      </c>
      <c r="H8581" t="s">
        <v>10298</v>
      </c>
      <c r="I8581" t="s">
        <v>26768</v>
      </c>
      <c r="J8581" t="s">
        <v>10150</v>
      </c>
    </row>
    <row r="8582" spans="1:10" x14ac:dyDescent="0.25">
      <c r="A8582" t="s">
        <v>26773</v>
      </c>
      <c r="B8582">
        <v>8</v>
      </c>
      <c r="C8582" t="s">
        <v>26774</v>
      </c>
      <c r="D8582" t="s">
        <v>742</v>
      </c>
      <c r="E8582" t="s">
        <v>26766</v>
      </c>
      <c r="F8582" t="s">
        <v>7672</v>
      </c>
      <c r="G8582" t="s">
        <v>26767</v>
      </c>
      <c r="H8582" t="s">
        <v>10298</v>
      </c>
      <c r="I8582" t="s">
        <v>26768</v>
      </c>
      <c r="J8582" t="s">
        <v>15238</v>
      </c>
    </row>
    <row r="8583" spans="1:10" x14ac:dyDescent="0.25">
      <c r="A8583" t="s">
        <v>26775</v>
      </c>
      <c r="B8583">
        <v>8</v>
      </c>
      <c r="C8583" t="s">
        <v>26776</v>
      </c>
      <c r="D8583" t="s">
        <v>164</v>
      </c>
      <c r="E8583" t="s">
        <v>26766</v>
      </c>
      <c r="F8583" t="s">
        <v>7672</v>
      </c>
      <c r="G8583" t="s">
        <v>26767</v>
      </c>
      <c r="H8583" t="s">
        <v>10298</v>
      </c>
      <c r="I8583" t="s">
        <v>26768</v>
      </c>
      <c r="J8583" t="s">
        <v>15070</v>
      </c>
    </row>
    <row r="8584" spans="1:10" x14ac:dyDescent="0.25">
      <c r="A8584" t="s">
        <v>26777</v>
      </c>
      <c r="B8584">
        <v>8</v>
      </c>
      <c r="C8584" t="s">
        <v>26778</v>
      </c>
      <c r="D8584" t="s">
        <v>269</v>
      </c>
      <c r="E8584" t="s">
        <v>26766</v>
      </c>
      <c r="F8584" t="s">
        <v>7672</v>
      </c>
      <c r="G8584" t="s">
        <v>26767</v>
      </c>
      <c r="H8584" t="s">
        <v>10298</v>
      </c>
      <c r="I8584" t="s">
        <v>26768</v>
      </c>
      <c r="J8584" t="s">
        <v>15073</v>
      </c>
    </row>
    <row r="8585" spans="1:10" x14ac:dyDescent="0.25">
      <c r="A8585" t="s">
        <v>26779</v>
      </c>
      <c r="B8585">
        <v>8</v>
      </c>
      <c r="C8585" t="s">
        <v>26780</v>
      </c>
      <c r="D8585" t="s">
        <v>330</v>
      </c>
      <c r="E8585" t="s">
        <v>26766</v>
      </c>
      <c r="F8585" t="s">
        <v>7672</v>
      </c>
      <c r="G8585" t="s">
        <v>26767</v>
      </c>
      <c r="H8585" t="s">
        <v>10298</v>
      </c>
      <c r="I8585" t="s">
        <v>26768</v>
      </c>
      <c r="J8585" t="s">
        <v>15076</v>
      </c>
    </row>
    <row r="8586" spans="1:10" x14ac:dyDescent="0.25">
      <c r="A8586" t="s">
        <v>26781</v>
      </c>
      <c r="B8586">
        <v>8</v>
      </c>
      <c r="C8586" t="s">
        <v>26782</v>
      </c>
      <c r="D8586" t="s">
        <v>396</v>
      </c>
      <c r="E8586" t="s">
        <v>26766</v>
      </c>
      <c r="F8586" t="s">
        <v>7672</v>
      </c>
      <c r="G8586" t="s">
        <v>26767</v>
      </c>
      <c r="H8586" t="s">
        <v>10298</v>
      </c>
      <c r="I8586" t="s">
        <v>26768</v>
      </c>
      <c r="J8586" t="s">
        <v>15079</v>
      </c>
    </row>
    <row r="8587" spans="1:10" x14ac:dyDescent="0.25">
      <c r="A8587" t="s">
        <v>26783</v>
      </c>
      <c r="B8587">
        <v>8</v>
      </c>
      <c r="C8587" t="s">
        <v>26784</v>
      </c>
      <c r="D8587" t="s">
        <v>11140</v>
      </c>
      <c r="E8587" t="s">
        <v>26785</v>
      </c>
      <c r="F8587" t="s">
        <v>7672</v>
      </c>
      <c r="G8587" t="s">
        <v>26786</v>
      </c>
      <c r="H8587" t="s">
        <v>26787</v>
      </c>
      <c r="I8587" t="s">
        <v>935</v>
      </c>
      <c r="J8587" t="s">
        <v>26788</v>
      </c>
    </row>
    <row r="8588" spans="1:10" x14ac:dyDescent="0.25">
      <c r="A8588" t="s">
        <v>26789</v>
      </c>
      <c r="B8588">
        <v>8</v>
      </c>
      <c r="C8588" t="s">
        <v>26790</v>
      </c>
      <c r="D8588" t="s">
        <v>2198</v>
      </c>
      <c r="E8588" t="s">
        <v>26785</v>
      </c>
      <c r="F8588" t="s">
        <v>7672</v>
      </c>
      <c r="G8588" t="s">
        <v>26786</v>
      </c>
      <c r="H8588" t="s">
        <v>26787</v>
      </c>
      <c r="I8588" t="s">
        <v>935</v>
      </c>
      <c r="J8588" t="s">
        <v>11696</v>
      </c>
    </row>
    <row r="8589" spans="1:10" x14ac:dyDescent="0.25">
      <c r="A8589" t="s">
        <v>26791</v>
      </c>
      <c r="B8589">
        <v>8</v>
      </c>
      <c r="C8589" t="s">
        <v>26792</v>
      </c>
      <c r="D8589" t="s">
        <v>23814</v>
      </c>
      <c r="E8589" t="s">
        <v>26785</v>
      </c>
      <c r="F8589" t="s">
        <v>7672</v>
      </c>
      <c r="G8589" t="s">
        <v>26786</v>
      </c>
      <c r="H8589" t="s">
        <v>26787</v>
      </c>
      <c r="I8589" t="s">
        <v>935</v>
      </c>
      <c r="J8589" t="s">
        <v>11702</v>
      </c>
    </row>
    <row r="8590" spans="1:10" x14ac:dyDescent="0.25">
      <c r="A8590" t="s">
        <v>26793</v>
      </c>
      <c r="B8590">
        <v>8</v>
      </c>
      <c r="C8590" t="s">
        <v>26794</v>
      </c>
      <c r="D8590" t="s">
        <v>7951</v>
      </c>
      <c r="E8590" t="s">
        <v>26785</v>
      </c>
      <c r="F8590" t="s">
        <v>7672</v>
      </c>
      <c r="G8590" t="s">
        <v>26786</v>
      </c>
      <c r="H8590" t="s">
        <v>26787</v>
      </c>
      <c r="I8590" t="s">
        <v>935</v>
      </c>
      <c r="J8590" t="s">
        <v>11710</v>
      </c>
    </row>
    <row r="8591" spans="1:10" x14ac:dyDescent="0.25">
      <c r="A8591" t="s">
        <v>26795</v>
      </c>
      <c r="B8591">
        <v>6.4</v>
      </c>
      <c r="C8591" t="s">
        <v>26796</v>
      </c>
      <c r="D8591" t="s">
        <v>613</v>
      </c>
      <c r="E8591" t="s">
        <v>26797</v>
      </c>
      <c r="F8591" t="s">
        <v>7672</v>
      </c>
      <c r="G8591" t="s">
        <v>26798</v>
      </c>
      <c r="H8591" t="s">
        <v>11496</v>
      </c>
      <c r="I8591" t="s">
        <v>6036</v>
      </c>
      <c r="J8591" t="s">
        <v>10862</v>
      </c>
    </row>
    <row r="8592" spans="1:10" x14ac:dyDescent="0.25">
      <c r="A8592" t="s">
        <v>26799</v>
      </c>
      <c r="B8592">
        <v>6.4</v>
      </c>
      <c r="C8592" t="s">
        <v>26800</v>
      </c>
      <c r="D8592" t="s">
        <v>282</v>
      </c>
      <c r="E8592" t="s">
        <v>26797</v>
      </c>
      <c r="F8592" t="s">
        <v>7672</v>
      </c>
      <c r="G8592" t="s">
        <v>26798</v>
      </c>
      <c r="H8592" t="s">
        <v>11496</v>
      </c>
      <c r="I8592" t="s">
        <v>6036</v>
      </c>
      <c r="J8592" t="s">
        <v>9426</v>
      </c>
    </row>
    <row r="8593" spans="1:10" x14ac:dyDescent="0.25">
      <c r="A8593" t="s">
        <v>26801</v>
      </c>
      <c r="B8593">
        <v>6.4</v>
      </c>
      <c r="C8593" t="s">
        <v>26802</v>
      </c>
      <c r="D8593" t="s">
        <v>234</v>
      </c>
      <c r="E8593" t="s">
        <v>26797</v>
      </c>
      <c r="F8593" t="s">
        <v>7672</v>
      </c>
      <c r="G8593" t="s">
        <v>26798</v>
      </c>
      <c r="H8593" t="s">
        <v>11496</v>
      </c>
      <c r="I8593" t="s">
        <v>6036</v>
      </c>
      <c r="J8593" t="s">
        <v>13084</v>
      </c>
    </row>
    <row r="8594" spans="1:10" x14ac:dyDescent="0.25">
      <c r="A8594" t="s">
        <v>26803</v>
      </c>
      <c r="B8594">
        <v>6.4</v>
      </c>
      <c r="C8594" t="s">
        <v>26804</v>
      </c>
      <c r="D8594" t="s">
        <v>835</v>
      </c>
      <c r="E8594" t="s">
        <v>26797</v>
      </c>
      <c r="F8594" t="s">
        <v>7672</v>
      </c>
      <c r="G8594" t="s">
        <v>26798</v>
      </c>
      <c r="H8594" t="s">
        <v>11496</v>
      </c>
      <c r="I8594" t="s">
        <v>6036</v>
      </c>
      <c r="J8594" t="s">
        <v>11767</v>
      </c>
    </row>
    <row r="8595" spans="1:10" x14ac:dyDescent="0.25">
      <c r="A8595" t="s">
        <v>26805</v>
      </c>
      <c r="B8595">
        <v>6.4</v>
      </c>
      <c r="C8595" t="s">
        <v>26806</v>
      </c>
      <c r="D8595" t="s">
        <v>849</v>
      </c>
      <c r="E8595" t="s">
        <v>26797</v>
      </c>
      <c r="F8595" t="s">
        <v>7672</v>
      </c>
      <c r="G8595" t="s">
        <v>26798</v>
      </c>
      <c r="H8595" t="s">
        <v>11496</v>
      </c>
      <c r="I8595" t="s">
        <v>6036</v>
      </c>
      <c r="J8595" t="s">
        <v>11582</v>
      </c>
    </row>
    <row r="8596" spans="1:10" x14ac:dyDescent="0.25">
      <c r="A8596" t="s">
        <v>26807</v>
      </c>
      <c r="B8596">
        <v>6.4</v>
      </c>
      <c r="C8596" t="s">
        <v>26808</v>
      </c>
      <c r="D8596" t="s">
        <v>613</v>
      </c>
      <c r="E8596" t="s">
        <v>26797</v>
      </c>
      <c r="F8596" t="s">
        <v>7672</v>
      </c>
      <c r="G8596" t="s">
        <v>26798</v>
      </c>
      <c r="H8596" t="s">
        <v>11496</v>
      </c>
      <c r="I8596" t="s">
        <v>6036</v>
      </c>
      <c r="J8596" t="s">
        <v>11585</v>
      </c>
    </row>
    <row r="8597" spans="1:10" x14ac:dyDescent="0.25">
      <c r="A8597" t="s">
        <v>7404</v>
      </c>
      <c r="B8597">
        <v>12.792</v>
      </c>
      <c r="C8597" t="s">
        <v>7406</v>
      </c>
      <c r="D8597" t="s">
        <v>2072</v>
      </c>
      <c r="E8597" t="s">
        <v>7407</v>
      </c>
      <c r="F8597" t="s">
        <v>7672</v>
      </c>
      <c r="G8597" t="s">
        <v>26809</v>
      </c>
      <c r="H8597" t="s">
        <v>22419</v>
      </c>
      <c r="I8597" t="s">
        <v>22420</v>
      </c>
      <c r="J8597" t="s">
        <v>9694</v>
      </c>
    </row>
    <row r="8598" spans="1:10" x14ac:dyDescent="0.25">
      <c r="A8598" t="s">
        <v>26810</v>
      </c>
      <c r="B8598">
        <v>13.192</v>
      </c>
      <c r="C8598" t="s">
        <v>26811</v>
      </c>
      <c r="D8598" t="s">
        <v>959</v>
      </c>
      <c r="E8598" t="s">
        <v>26812</v>
      </c>
      <c r="F8598" t="s">
        <v>7672</v>
      </c>
      <c r="G8598" t="s">
        <v>26813</v>
      </c>
      <c r="H8598" t="s">
        <v>8027</v>
      </c>
      <c r="I8598" t="s">
        <v>26814</v>
      </c>
      <c r="J8598" t="s">
        <v>9023</v>
      </c>
    </row>
    <row r="8599" spans="1:10" x14ac:dyDescent="0.25">
      <c r="A8599" t="s">
        <v>26815</v>
      </c>
      <c r="B8599">
        <v>13.192</v>
      </c>
      <c r="C8599" t="s">
        <v>26816</v>
      </c>
      <c r="D8599" t="s">
        <v>53</v>
      </c>
      <c r="E8599" t="s">
        <v>26812</v>
      </c>
      <c r="F8599" t="s">
        <v>7672</v>
      </c>
      <c r="G8599" t="s">
        <v>26813</v>
      </c>
      <c r="H8599" t="s">
        <v>8027</v>
      </c>
      <c r="I8599" t="s">
        <v>26817</v>
      </c>
      <c r="J8599" t="s">
        <v>9023</v>
      </c>
    </row>
    <row r="8600" spans="1:10" x14ac:dyDescent="0.25">
      <c r="A8600" t="s">
        <v>26818</v>
      </c>
      <c r="B8600">
        <v>13.192</v>
      </c>
      <c r="C8600" t="s">
        <v>26819</v>
      </c>
      <c r="D8600" t="s">
        <v>698</v>
      </c>
      <c r="E8600" t="s">
        <v>26812</v>
      </c>
      <c r="F8600" t="s">
        <v>7672</v>
      </c>
      <c r="G8600" t="s">
        <v>26813</v>
      </c>
      <c r="H8600" t="s">
        <v>8027</v>
      </c>
      <c r="I8600" t="s">
        <v>26820</v>
      </c>
      <c r="J8600" t="s">
        <v>9023</v>
      </c>
    </row>
    <row r="8601" spans="1:10" x14ac:dyDescent="0.25">
      <c r="A8601" t="s">
        <v>26821</v>
      </c>
      <c r="B8601">
        <v>12.592000000000001</v>
      </c>
      <c r="C8601" t="s">
        <v>26822</v>
      </c>
      <c r="D8601" t="s">
        <v>100</v>
      </c>
      <c r="E8601" t="s">
        <v>26823</v>
      </c>
      <c r="F8601" t="s">
        <v>7672</v>
      </c>
      <c r="G8601" t="s">
        <v>26824</v>
      </c>
      <c r="H8601" t="s">
        <v>9127</v>
      </c>
      <c r="I8601" t="s">
        <v>17612</v>
      </c>
      <c r="J8601" t="s">
        <v>11373</v>
      </c>
    </row>
    <row r="8602" spans="1:10" x14ac:dyDescent="0.25">
      <c r="A8602" t="s">
        <v>26825</v>
      </c>
      <c r="B8602">
        <v>12.592000000000001</v>
      </c>
      <c r="C8602" t="s">
        <v>26826</v>
      </c>
      <c r="D8602" t="s">
        <v>2697</v>
      </c>
      <c r="E8602" t="s">
        <v>26823</v>
      </c>
      <c r="F8602" t="s">
        <v>7672</v>
      </c>
      <c r="G8602" t="s">
        <v>26824</v>
      </c>
      <c r="H8602" t="s">
        <v>9127</v>
      </c>
      <c r="I8602" t="s">
        <v>17612</v>
      </c>
      <c r="J8602" t="s">
        <v>11376</v>
      </c>
    </row>
    <row r="8603" spans="1:10" x14ac:dyDescent="0.25">
      <c r="A8603" t="s">
        <v>26827</v>
      </c>
      <c r="B8603">
        <v>12.592000000000001</v>
      </c>
      <c r="C8603" t="s">
        <v>26828</v>
      </c>
      <c r="D8603" t="s">
        <v>255</v>
      </c>
      <c r="E8603" t="s">
        <v>26823</v>
      </c>
      <c r="F8603" t="s">
        <v>7672</v>
      </c>
      <c r="G8603" t="s">
        <v>26824</v>
      </c>
      <c r="H8603" t="s">
        <v>9127</v>
      </c>
      <c r="I8603" t="s">
        <v>17612</v>
      </c>
      <c r="J8603" t="s">
        <v>9114</v>
      </c>
    </row>
    <row r="8604" spans="1:10" x14ac:dyDescent="0.25">
      <c r="A8604" t="s">
        <v>26829</v>
      </c>
      <c r="B8604">
        <v>12.592000000000001</v>
      </c>
      <c r="C8604" t="s">
        <v>26830</v>
      </c>
      <c r="D8604" t="s">
        <v>53</v>
      </c>
      <c r="E8604" t="s">
        <v>26823</v>
      </c>
      <c r="F8604" t="s">
        <v>7672</v>
      </c>
      <c r="G8604" t="s">
        <v>26824</v>
      </c>
      <c r="H8604" t="s">
        <v>9127</v>
      </c>
      <c r="I8604" t="s">
        <v>17615</v>
      </c>
      <c r="J8604" t="s">
        <v>9114</v>
      </c>
    </row>
    <row r="8605" spans="1:10" x14ac:dyDescent="0.25">
      <c r="A8605" t="s">
        <v>26831</v>
      </c>
      <c r="B8605">
        <v>7.5519999999999996</v>
      </c>
      <c r="C8605" t="s">
        <v>26832</v>
      </c>
      <c r="D8605" t="s">
        <v>330</v>
      </c>
      <c r="E8605" t="s">
        <v>26833</v>
      </c>
      <c r="F8605" t="s">
        <v>7672</v>
      </c>
      <c r="G8605" t="s">
        <v>26834</v>
      </c>
      <c r="H8605" t="s">
        <v>14324</v>
      </c>
      <c r="I8605" t="s">
        <v>26835</v>
      </c>
      <c r="J8605" t="s">
        <v>255</v>
      </c>
    </row>
    <row r="8606" spans="1:10" x14ac:dyDescent="0.25">
      <c r="A8606" t="s">
        <v>26836</v>
      </c>
      <c r="B8606">
        <v>7.5519999999999996</v>
      </c>
      <c r="C8606" t="s">
        <v>26837</v>
      </c>
      <c r="D8606" t="s">
        <v>106</v>
      </c>
      <c r="E8606" t="s">
        <v>26833</v>
      </c>
      <c r="F8606" t="s">
        <v>7672</v>
      </c>
      <c r="G8606" t="s">
        <v>26834</v>
      </c>
      <c r="H8606" t="s">
        <v>14324</v>
      </c>
      <c r="I8606" t="s">
        <v>26835</v>
      </c>
      <c r="J8606" t="s">
        <v>277</v>
      </c>
    </row>
    <row r="8607" spans="1:10" x14ac:dyDescent="0.25">
      <c r="A8607" t="s">
        <v>26838</v>
      </c>
      <c r="B8607">
        <v>8.8160000000000007</v>
      </c>
      <c r="C8607" t="s">
        <v>26839</v>
      </c>
      <c r="D8607" t="s">
        <v>290</v>
      </c>
      <c r="E8607" t="s">
        <v>26840</v>
      </c>
      <c r="F8607" t="s">
        <v>7672</v>
      </c>
      <c r="G8607" t="s">
        <v>26841</v>
      </c>
      <c r="H8607" t="s">
        <v>16745</v>
      </c>
      <c r="I8607" t="s">
        <v>18589</v>
      </c>
      <c r="J8607" t="s">
        <v>8427</v>
      </c>
    </row>
    <row r="8608" spans="1:10" x14ac:dyDescent="0.25">
      <c r="A8608" t="s">
        <v>26842</v>
      </c>
      <c r="B8608">
        <v>8.8160000000000007</v>
      </c>
      <c r="C8608" t="s">
        <v>26843</v>
      </c>
      <c r="D8608" t="s">
        <v>106</v>
      </c>
      <c r="E8608" t="s">
        <v>26840</v>
      </c>
      <c r="F8608" t="s">
        <v>7672</v>
      </c>
      <c r="G8608" t="s">
        <v>26841</v>
      </c>
      <c r="H8608" t="s">
        <v>16745</v>
      </c>
      <c r="I8608" t="s">
        <v>1243</v>
      </c>
      <c r="J8608" t="s">
        <v>8427</v>
      </c>
    </row>
    <row r="8609" spans="1:10" x14ac:dyDescent="0.25">
      <c r="A8609" t="s">
        <v>26844</v>
      </c>
      <c r="B8609">
        <v>8.8160000000000007</v>
      </c>
      <c r="C8609" t="s">
        <v>26845</v>
      </c>
      <c r="D8609" t="s">
        <v>352</v>
      </c>
      <c r="E8609" t="s">
        <v>26840</v>
      </c>
      <c r="F8609" t="s">
        <v>7672</v>
      </c>
      <c r="G8609" t="s">
        <v>26841</v>
      </c>
      <c r="H8609" t="s">
        <v>16745</v>
      </c>
      <c r="I8609" t="s">
        <v>18589</v>
      </c>
      <c r="J8609" t="s">
        <v>8439</v>
      </c>
    </row>
    <row r="8610" spans="1:10" x14ac:dyDescent="0.25">
      <c r="A8610" t="s">
        <v>26846</v>
      </c>
      <c r="B8610">
        <v>11.192</v>
      </c>
      <c r="C8610" t="s">
        <v>26847</v>
      </c>
      <c r="D8610" t="s">
        <v>229</v>
      </c>
      <c r="E8610" t="s">
        <v>26848</v>
      </c>
      <c r="F8610" t="s">
        <v>7672</v>
      </c>
      <c r="G8610" t="s">
        <v>26849</v>
      </c>
      <c r="H8610" t="s">
        <v>7674</v>
      </c>
      <c r="I8610" t="s">
        <v>8577</v>
      </c>
      <c r="J8610" t="s">
        <v>16039</v>
      </c>
    </row>
    <row r="8611" spans="1:10" x14ac:dyDescent="0.25">
      <c r="A8611" t="s">
        <v>26850</v>
      </c>
      <c r="B8611">
        <v>11.192</v>
      </c>
      <c r="C8611" t="s">
        <v>26851</v>
      </c>
      <c r="D8611" t="s">
        <v>1097</v>
      </c>
      <c r="E8611" t="s">
        <v>26848</v>
      </c>
      <c r="F8611" t="s">
        <v>7672</v>
      </c>
      <c r="G8611" t="s">
        <v>26849</v>
      </c>
      <c r="H8611" t="s">
        <v>7674</v>
      </c>
      <c r="I8611" t="s">
        <v>15369</v>
      </c>
      <c r="J8611" t="s">
        <v>16039</v>
      </c>
    </row>
    <row r="8612" spans="1:10" x14ac:dyDescent="0.25">
      <c r="A8612" t="s">
        <v>26852</v>
      </c>
      <c r="B8612">
        <v>11.192</v>
      </c>
      <c r="C8612" t="s">
        <v>26853</v>
      </c>
      <c r="D8612" t="s">
        <v>981</v>
      </c>
      <c r="E8612" t="s">
        <v>26848</v>
      </c>
      <c r="F8612" t="s">
        <v>7672</v>
      </c>
      <c r="G8612" t="s">
        <v>26849</v>
      </c>
      <c r="H8612" t="s">
        <v>7674</v>
      </c>
      <c r="I8612" t="s">
        <v>8577</v>
      </c>
      <c r="J8612" t="s">
        <v>16064</v>
      </c>
    </row>
    <row r="8613" spans="1:10" x14ac:dyDescent="0.25">
      <c r="A8613" t="s">
        <v>26854</v>
      </c>
      <c r="B8613">
        <v>11.192</v>
      </c>
      <c r="C8613" t="s">
        <v>26855</v>
      </c>
      <c r="D8613" t="s">
        <v>1236</v>
      </c>
      <c r="E8613" t="s">
        <v>26848</v>
      </c>
      <c r="F8613" t="s">
        <v>7672</v>
      </c>
      <c r="G8613" t="s">
        <v>26849</v>
      </c>
      <c r="H8613" t="s">
        <v>7674</v>
      </c>
      <c r="I8613" t="s">
        <v>15369</v>
      </c>
      <c r="J8613" t="s">
        <v>16064</v>
      </c>
    </row>
    <row r="8614" spans="1:10" x14ac:dyDescent="0.25">
      <c r="A8614" t="s">
        <v>26856</v>
      </c>
      <c r="B8614">
        <v>11.192</v>
      </c>
      <c r="C8614" t="s">
        <v>26857</v>
      </c>
      <c r="D8614" t="s">
        <v>3153</v>
      </c>
      <c r="E8614" t="s">
        <v>26848</v>
      </c>
      <c r="F8614" t="s">
        <v>7672</v>
      </c>
      <c r="G8614" t="s">
        <v>26849</v>
      </c>
      <c r="H8614" t="s">
        <v>7674</v>
      </c>
      <c r="I8614" t="s">
        <v>8577</v>
      </c>
      <c r="J8614" t="s">
        <v>16089</v>
      </c>
    </row>
    <row r="8615" spans="1:10" x14ac:dyDescent="0.25">
      <c r="A8615" t="s">
        <v>26858</v>
      </c>
      <c r="B8615">
        <v>11.192</v>
      </c>
      <c r="C8615" t="s">
        <v>26859</v>
      </c>
      <c r="D8615" t="s">
        <v>1579</v>
      </c>
      <c r="E8615" t="s">
        <v>26848</v>
      </c>
      <c r="F8615" t="s">
        <v>7672</v>
      </c>
      <c r="G8615" t="s">
        <v>26849</v>
      </c>
      <c r="H8615" t="s">
        <v>7674</v>
      </c>
      <c r="I8615" t="s">
        <v>15369</v>
      </c>
      <c r="J8615" t="s">
        <v>16089</v>
      </c>
    </row>
    <row r="8616" spans="1:10" x14ac:dyDescent="0.25">
      <c r="A8616" t="s">
        <v>26860</v>
      </c>
      <c r="B8616">
        <v>11.192</v>
      </c>
      <c r="C8616" t="s">
        <v>26861</v>
      </c>
      <c r="D8616" t="s">
        <v>1236</v>
      </c>
      <c r="E8616" t="s">
        <v>26848</v>
      </c>
      <c r="F8616" t="s">
        <v>7672</v>
      </c>
      <c r="G8616" t="s">
        <v>26849</v>
      </c>
      <c r="H8616" t="s">
        <v>7674</v>
      </c>
      <c r="I8616" t="s">
        <v>8577</v>
      </c>
      <c r="J8616" t="s">
        <v>16104</v>
      </c>
    </row>
    <row r="8617" spans="1:10" x14ac:dyDescent="0.25">
      <c r="A8617" t="s">
        <v>26862</v>
      </c>
      <c r="B8617">
        <v>11.192</v>
      </c>
      <c r="C8617" t="s">
        <v>26863</v>
      </c>
      <c r="D8617" t="s">
        <v>705</v>
      </c>
      <c r="E8617" t="s">
        <v>26848</v>
      </c>
      <c r="F8617" t="s">
        <v>7672</v>
      </c>
      <c r="G8617" t="s">
        <v>26849</v>
      </c>
      <c r="H8617" t="s">
        <v>7674</v>
      </c>
      <c r="I8617" t="s">
        <v>15369</v>
      </c>
      <c r="J8617" t="s">
        <v>16104</v>
      </c>
    </row>
    <row r="8618" spans="1:10" x14ac:dyDescent="0.25">
      <c r="A8618" t="s">
        <v>26864</v>
      </c>
      <c r="B8618">
        <v>11.192</v>
      </c>
      <c r="C8618" t="s">
        <v>26865</v>
      </c>
      <c r="D8618" t="s">
        <v>286</v>
      </c>
      <c r="E8618" t="s">
        <v>26848</v>
      </c>
      <c r="F8618" t="s">
        <v>7672</v>
      </c>
      <c r="G8618" t="s">
        <v>26849</v>
      </c>
      <c r="H8618" t="s">
        <v>7674</v>
      </c>
      <c r="I8618" t="s">
        <v>8577</v>
      </c>
      <c r="J8618" t="s">
        <v>16125</v>
      </c>
    </row>
    <row r="8619" spans="1:10" x14ac:dyDescent="0.25">
      <c r="A8619" t="s">
        <v>26866</v>
      </c>
      <c r="B8619">
        <v>11.192</v>
      </c>
      <c r="C8619" t="s">
        <v>26867</v>
      </c>
      <c r="D8619" t="s">
        <v>926</v>
      </c>
      <c r="E8619" t="s">
        <v>26848</v>
      </c>
      <c r="F8619" t="s">
        <v>7672</v>
      </c>
      <c r="G8619" t="s">
        <v>26849</v>
      </c>
      <c r="H8619" t="s">
        <v>7674</v>
      </c>
      <c r="I8619" t="s">
        <v>15369</v>
      </c>
      <c r="J8619" t="s">
        <v>16125</v>
      </c>
    </row>
    <row r="8620" spans="1:10" x14ac:dyDescent="0.25">
      <c r="A8620" t="s">
        <v>26868</v>
      </c>
      <c r="B8620">
        <v>11.192</v>
      </c>
      <c r="C8620" t="s">
        <v>26869</v>
      </c>
      <c r="D8620" t="s">
        <v>671</v>
      </c>
      <c r="E8620" t="s">
        <v>26848</v>
      </c>
      <c r="F8620" t="s">
        <v>7672</v>
      </c>
      <c r="G8620" t="s">
        <v>26849</v>
      </c>
      <c r="H8620" t="s">
        <v>7674</v>
      </c>
      <c r="I8620" t="s">
        <v>15369</v>
      </c>
      <c r="J8620" t="s">
        <v>16143</v>
      </c>
    </row>
    <row r="8621" spans="1:10" x14ac:dyDescent="0.25">
      <c r="A8621" t="s">
        <v>26870</v>
      </c>
      <c r="B8621">
        <v>11.192</v>
      </c>
      <c r="C8621" t="s">
        <v>26871</v>
      </c>
      <c r="D8621" t="s">
        <v>100</v>
      </c>
      <c r="E8621" t="s">
        <v>26848</v>
      </c>
      <c r="F8621" t="s">
        <v>7672</v>
      </c>
      <c r="G8621" t="s">
        <v>26849</v>
      </c>
      <c r="H8621" t="s">
        <v>7674</v>
      </c>
      <c r="I8621" t="s">
        <v>8577</v>
      </c>
      <c r="J8621" t="s">
        <v>16143</v>
      </c>
    </row>
    <row r="8622" spans="1:10" x14ac:dyDescent="0.25">
      <c r="A8622" t="s">
        <v>26872</v>
      </c>
      <c r="B8622">
        <v>9.0960000000000001</v>
      </c>
      <c r="C8622" t="s">
        <v>26873</v>
      </c>
      <c r="D8622" t="s">
        <v>18881</v>
      </c>
      <c r="E8622" t="s">
        <v>26874</v>
      </c>
      <c r="F8622" t="s">
        <v>7672</v>
      </c>
      <c r="G8622" t="s">
        <v>26875</v>
      </c>
      <c r="H8622" t="s">
        <v>20907</v>
      </c>
      <c r="I8622" t="s">
        <v>26876</v>
      </c>
      <c r="J8622" t="s">
        <v>9694</v>
      </c>
    </row>
    <row r="8623" spans="1:10" x14ac:dyDescent="0.25">
      <c r="A8623" t="s">
        <v>26877</v>
      </c>
      <c r="B8623">
        <v>8.8000000000000007</v>
      </c>
      <c r="C8623" t="s">
        <v>26878</v>
      </c>
      <c r="D8623" t="s">
        <v>342</v>
      </c>
      <c r="E8623" t="s">
        <v>26879</v>
      </c>
      <c r="F8623" t="s">
        <v>7672</v>
      </c>
      <c r="G8623" t="s">
        <v>26880</v>
      </c>
      <c r="H8623" t="s">
        <v>8301</v>
      </c>
      <c r="I8623" t="s">
        <v>26881</v>
      </c>
      <c r="J8623" t="s">
        <v>9237</v>
      </c>
    </row>
    <row r="8624" spans="1:10" x14ac:dyDescent="0.25">
      <c r="A8624" t="s">
        <v>26882</v>
      </c>
      <c r="B8624">
        <v>8.8000000000000007</v>
      </c>
      <c r="C8624" t="s">
        <v>26883</v>
      </c>
      <c r="D8624" t="s">
        <v>131</v>
      </c>
      <c r="E8624" t="s">
        <v>26879</v>
      </c>
      <c r="F8624" t="s">
        <v>7672</v>
      </c>
      <c r="G8624" t="s">
        <v>26880</v>
      </c>
      <c r="H8624" t="s">
        <v>8301</v>
      </c>
      <c r="I8624" t="s">
        <v>8158</v>
      </c>
      <c r="J8624" t="s">
        <v>9237</v>
      </c>
    </row>
    <row r="8625" spans="1:10" x14ac:dyDescent="0.25">
      <c r="A8625" t="s">
        <v>26884</v>
      </c>
      <c r="B8625">
        <v>8.8000000000000007</v>
      </c>
      <c r="C8625" t="s">
        <v>26885</v>
      </c>
      <c r="D8625" t="s">
        <v>698</v>
      </c>
      <c r="E8625" t="s">
        <v>26879</v>
      </c>
      <c r="F8625" t="s">
        <v>7672</v>
      </c>
      <c r="G8625" t="s">
        <v>26880</v>
      </c>
      <c r="H8625" t="s">
        <v>8301</v>
      </c>
      <c r="I8625" t="s">
        <v>18652</v>
      </c>
      <c r="J8625" t="s">
        <v>8427</v>
      </c>
    </row>
    <row r="8626" spans="1:10" x14ac:dyDescent="0.25">
      <c r="A8626" t="s">
        <v>26886</v>
      </c>
      <c r="B8626">
        <v>8.8000000000000007</v>
      </c>
      <c r="C8626" t="s">
        <v>26887</v>
      </c>
      <c r="D8626" t="s">
        <v>2855</v>
      </c>
      <c r="E8626" t="s">
        <v>26879</v>
      </c>
      <c r="F8626" t="s">
        <v>7672</v>
      </c>
      <c r="G8626" t="s">
        <v>26880</v>
      </c>
      <c r="H8626" t="s">
        <v>8301</v>
      </c>
      <c r="I8626" t="s">
        <v>8158</v>
      </c>
      <c r="J8626" t="s">
        <v>8427</v>
      </c>
    </row>
    <row r="8627" spans="1:10" x14ac:dyDescent="0.25">
      <c r="A8627" t="s">
        <v>26888</v>
      </c>
      <c r="B8627">
        <v>8.8000000000000007</v>
      </c>
      <c r="C8627" t="s">
        <v>26889</v>
      </c>
      <c r="D8627" t="s">
        <v>933</v>
      </c>
      <c r="E8627" t="s">
        <v>26879</v>
      </c>
      <c r="F8627" t="s">
        <v>7672</v>
      </c>
      <c r="G8627" t="s">
        <v>26880</v>
      </c>
      <c r="H8627" t="s">
        <v>8301</v>
      </c>
      <c r="I8627" t="s">
        <v>26881</v>
      </c>
      <c r="J8627" t="s">
        <v>8427</v>
      </c>
    </row>
    <row r="8628" spans="1:10" x14ac:dyDescent="0.25">
      <c r="A8628" t="s">
        <v>26890</v>
      </c>
      <c r="B8628">
        <v>8.8000000000000007</v>
      </c>
      <c r="C8628" t="s">
        <v>26891</v>
      </c>
      <c r="D8628" t="s">
        <v>8313</v>
      </c>
      <c r="E8628" t="s">
        <v>26879</v>
      </c>
      <c r="F8628" t="s">
        <v>7672</v>
      </c>
      <c r="G8628" t="s">
        <v>26880</v>
      </c>
      <c r="H8628" t="s">
        <v>8301</v>
      </c>
      <c r="I8628" t="s">
        <v>8158</v>
      </c>
      <c r="J8628" t="s">
        <v>8439</v>
      </c>
    </row>
    <row r="8629" spans="1:10" x14ac:dyDescent="0.25">
      <c r="A8629" t="s">
        <v>26892</v>
      </c>
      <c r="B8629">
        <v>8.8000000000000007</v>
      </c>
      <c r="C8629" t="s">
        <v>26893</v>
      </c>
      <c r="D8629" t="s">
        <v>7934</v>
      </c>
      <c r="E8629" t="s">
        <v>26879</v>
      </c>
      <c r="F8629" t="s">
        <v>7672</v>
      </c>
      <c r="G8629" t="s">
        <v>26880</v>
      </c>
      <c r="H8629" t="s">
        <v>8301</v>
      </c>
      <c r="I8629" t="s">
        <v>26881</v>
      </c>
      <c r="J8629" t="s">
        <v>8439</v>
      </c>
    </row>
    <row r="8630" spans="1:10" x14ac:dyDescent="0.25">
      <c r="A8630" t="s">
        <v>26894</v>
      </c>
      <c r="B8630">
        <v>8.8000000000000007</v>
      </c>
      <c r="C8630" t="s">
        <v>26895</v>
      </c>
      <c r="D8630" t="s">
        <v>245</v>
      </c>
      <c r="E8630" t="s">
        <v>26879</v>
      </c>
      <c r="F8630" t="s">
        <v>7672</v>
      </c>
      <c r="G8630" t="s">
        <v>26880</v>
      </c>
      <c r="H8630" t="s">
        <v>8301</v>
      </c>
      <c r="I8630" t="s">
        <v>8158</v>
      </c>
      <c r="J8630" t="s">
        <v>8451</v>
      </c>
    </row>
    <row r="8631" spans="1:10" x14ac:dyDescent="0.25">
      <c r="A8631" t="s">
        <v>26896</v>
      </c>
      <c r="B8631">
        <v>8.8000000000000007</v>
      </c>
      <c r="C8631" t="s">
        <v>26897</v>
      </c>
      <c r="D8631" t="s">
        <v>306</v>
      </c>
      <c r="E8631" t="s">
        <v>26879</v>
      </c>
      <c r="F8631" t="s">
        <v>7672</v>
      </c>
      <c r="G8631" t="s">
        <v>26880</v>
      </c>
      <c r="H8631" t="s">
        <v>8301</v>
      </c>
      <c r="I8631" t="s">
        <v>26881</v>
      </c>
      <c r="J8631" t="s">
        <v>8451</v>
      </c>
    </row>
    <row r="8632" spans="1:10" x14ac:dyDescent="0.25">
      <c r="A8632" t="s">
        <v>26898</v>
      </c>
      <c r="B8632">
        <v>8.8000000000000007</v>
      </c>
      <c r="C8632" t="s">
        <v>26899</v>
      </c>
      <c r="D8632" t="s">
        <v>1621</v>
      </c>
      <c r="E8632" t="s">
        <v>26879</v>
      </c>
      <c r="F8632" t="s">
        <v>7672</v>
      </c>
      <c r="G8632" t="s">
        <v>26880</v>
      </c>
      <c r="H8632" t="s">
        <v>8301</v>
      </c>
      <c r="I8632" t="s">
        <v>26881</v>
      </c>
      <c r="J8632" t="s">
        <v>8462</v>
      </c>
    </row>
    <row r="8633" spans="1:10" x14ac:dyDescent="0.25">
      <c r="A8633" t="s">
        <v>26900</v>
      </c>
      <c r="B8633">
        <v>8.8000000000000007</v>
      </c>
      <c r="C8633" t="s">
        <v>26901</v>
      </c>
      <c r="D8633" t="s">
        <v>576</v>
      </c>
      <c r="E8633" t="s">
        <v>26879</v>
      </c>
      <c r="F8633" t="s">
        <v>7672</v>
      </c>
      <c r="G8633" t="s">
        <v>26880</v>
      </c>
      <c r="H8633" t="s">
        <v>8301</v>
      </c>
      <c r="I8633" t="s">
        <v>8158</v>
      </c>
      <c r="J8633" t="s">
        <v>8462</v>
      </c>
    </row>
    <row r="8634" spans="1:10" x14ac:dyDescent="0.25">
      <c r="A8634" t="s">
        <v>26902</v>
      </c>
      <c r="B8634">
        <v>8.8000000000000007</v>
      </c>
      <c r="C8634" t="s">
        <v>26903</v>
      </c>
      <c r="D8634" t="s">
        <v>53</v>
      </c>
      <c r="E8634" t="s">
        <v>26879</v>
      </c>
      <c r="F8634" t="s">
        <v>7672</v>
      </c>
      <c r="G8634" t="s">
        <v>26880</v>
      </c>
      <c r="H8634" t="s">
        <v>8301</v>
      </c>
      <c r="I8634" t="s">
        <v>26881</v>
      </c>
      <c r="J8634" t="s">
        <v>9998</v>
      </c>
    </row>
    <row r="8635" spans="1:10" x14ac:dyDescent="0.25">
      <c r="A8635" t="s">
        <v>26904</v>
      </c>
      <c r="B8635">
        <v>3.92</v>
      </c>
      <c r="C8635" t="s">
        <v>26905</v>
      </c>
      <c r="D8635" t="s">
        <v>26906</v>
      </c>
      <c r="E8635" t="s">
        <v>26907</v>
      </c>
      <c r="F8635" t="s">
        <v>7672</v>
      </c>
      <c r="G8635" t="s">
        <v>26908</v>
      </c>
      <c r="H8635" t="s">
        <v>14324</v>
      </c>
      <c r="I8635" t="s">
        <v>26909</v>
      </c>
      <c r="J8635" t="s">
        <v>100</v>
      </c>
    </row>
    <row r="8636" spans="1:10" x14ac:dyDescent="0.25">
      <c r="A8636" t="s">
        <v>26910</v>
      </c>
      <c r="B8636">
        <v>3.92</v>
      </c>
      <c r="C8636" t="s">
        <v>26911</v>
      </c>
      <c r="D8636" t="s">
        <v>26912</v>
      </c>
      <c r="E8636" t="s">
        <v>26907</v>
      </c>
      <c r="F8636" t="s">
        <v>7672</v>
      </c>
      <c r="G8636" t="s">
        <v>26908</v>
      </c>
      <c r="H8636" t="s">
        <v>14324</v>
      </c>
      <c r="I8636" t="s">
        <v>26909</v>
      </c>
      <c r="J8636" t="s">
        <v>106</v>
      </c>
    </row>
    <row r="8637" spans="1:10" x14ac:dyDescent="0.25">
      <c r="A8637" t="s">
        <v>26913</v>
      </c>
      <c r="B8637">
        <v>3.92</v>
      </c>
      <c r="C8637" t="s">
        <v>26914</v>
      </c>
      <c r="D8637" t="s">
        <v>26915</v>
      </c>
      <c r="E8637" t="s">
        <v>26907</v>
      </c>
      <c r="F8637" t="s">
        <v>7672</v>
      </c>
      <c r="G8637" t="s">
        <v>26908</v>
      </c>
      <c r="H8637" t="s">
        <v>14324</v>
      </c>
      <c r="I8637" t="s">
        <v>26909</v>
      </c>
      <c r="J8637" t="s">
        <v>88</v>
      </c>
    </row>
    <row r="8638" spans="1:10" x14ac:dyDescent="0.25">
      <c r="A8638" t="s">
        <v>26916</v>
      </c>
      <c r="B8638">
        <v>3.92</v>
      </c>
      <c r="C8638" t="s">
        <v>26917</v>
      </c>
      <c r="D8638" t="s">
        <v>26918</v>
      </c>
      <c r="E8638" t="s">
        <v>26907</v>
      </c>
      <c r="F8638" t="s">
        <v>7672</v>
      </c>
      <c r="G8638" t="s">
        <v>26908</v>
      </c>
      <c r="H8638" t="s">
        <v>14324</v>
      </c>
      <c r="I8638" t="s">
        <v>26909</v>
      </c>
      <c r="J8638" t="s">
        <v>8531</v>
      </c>
    </row>
    <row r="8639" spans="1:10" x14ac:dyDescent="0.25">
      <c r="A8639" t="s">
        <v>26919</v>
      </c>
      <c r="B8639">
        <v>3.92</v>
      </c>
      <c r="C8639" t="s">
        <v>26920</v>
      </c>
      <c r="D8639" t="s">
        <v>26921</v>
      </c>
      <c r="E8639" t="s">
        <v>26907</v>
      </c>
      <c r="F8639" t="s">
        <v>7672</v>
      </c>
      <c r="G8639" t="s">
        <v>26908</v>
      </c>
      <c r="H8639" t="s">
        <v>14324</v>
      </c>
      <c r="I8639" t="s">
        <v>26909</v>
      </c>
      <c r="J8639" t="s">
        <v>131</v>
      </c>
    </row>
    <row r="8640" spans="1:10" x14ac:dyDescent="0.25">
      <c r="A8640" t="s">
        <v>26922</v>
      </c>
      <c r="B8640">
        <v>3.92</v>
      </c>
      <c r="C8640" t="s">
        <v>26923</v>
      </c>
      <c r="D8640" t="s">
        <v>26924</v>
      </c>
      <c r="E8640" t="s">
        <v>26907</v>
      </c>
      <c r="F8640" t="s">
        <v>7672</v>
      </c>
      <c r="G8640" t="s">
        <v>26908</v>
      </c>
      <c r="H8640" t="s">
        <v>14324</v>
      </c>
      <c r="I8640" t="s">
        <v>26909</v>
      </c>
      <c r="J8640" t="s">
        <v>269</v>
      </c>
    </row>
    <row r="8641" spans="1:10" x14ac:dyDescent="0.25">
      <c r="A8641" t="s">
        <v>26925</v>
      </c>
      <c r="B8641">
        <v>3.92</v>
      </c>
      <c r="C8641" t="s">
        <v>26926</v>
      </c>
      <c r="D8641" t="s">
        <v>26927</v>
      </c>
      <c r="E8641" t="s">
        <v>26907</v>
      </c>
      <c r="F8641" t="s">
        <v>7672</v>
      </c>
      <c r="G8641" t="s">
        <v>26908</v>
      </c>
      <c r="H8641" t="s">
        <v>14324</v>
      </c>
      <c r="I8641" t="s">
        <v>26909</v>
      </c>
      <c r="J8641" t="s">
        <v>255</v>
      </c>
    </row>
    <row r="8642" spans="1:10" x14ac:dyDescent="0.25">
      <c r="A8642" t="s">
        <v>26928</v>
      </c>
      <c r="B8642">
        <v>3.92</v>
      </c>
      <c r="C8642" t="s">
        <v>26929</v>
      </c>
      <c r="D8642" t="s">
        <v>26930</v>
      </c>
      <c r="E8642" t="s">
        <v>26907</v>
      </c>
      <c r="F8642" t="s">
        <v>7672</v>
      </c>
      <c r="G8642" t="s">
        <v>26908</v>
      </c>
      <c r="H8642" t="s">
        <v>14324</v>
      </c>
      <c r="I8642" t="s">
        <v>26909</v>
      </c>
      <c r="J8642" t="s">
        <v>277</v>
      </c>
    </row>
    <row r="8643" spans="1:10" x14ac:dyDescent="0.25">
      <c r="A8643" t="s">
        <v>26931</v>
      </c>
      <c r="B8643">
        <v>6.08</v>
      </c>
      <c r="C8643" t="s">
        <v>26932</v>
      </c>
      <c r="D8643" t="s">
        <v>342</v>
      </c>
      <c r="E8643" t="s">
        <v>26933</v>
      </c>
      <c r="F8643" t="s">
        <v>7672</v>
      </c>
      <c r="G8643" t="s">
        <v>26934</v>
      </c>
      <c r="H8643" t="s">
        <v>11496</v>
      </c>
      <c r="I8643" t="s">
        <v>145</v>
      </c>
      <c r="J8643" t="s">
        <v>277</v>
      </c>
    </row>
    <row r="8644" spans="1:10" x14ac:dyDescent="0.25">
      <c r="A8644" t="s">
        <v>26935</v>
      </c>
      <c r="B8644">
        <v>6.08</v>
      </c>
      <c r="C8644" t="s">
        <v>26936</v>
      </c>
      <c r="D8644" t="s">
        <v>95</v>
      </c>
      <c r="E8644" t="s">
        <v>26933</v>
      </c>
      <c r="F8644" t="s">
        <v>7672</v>
      </c>
      <c r="G8644" t="s">
        <v>26934</v>
      </c>
      <c r="H8644" t="s">
        <v>11496</v>
      </c>
      <c r="I8644" t="s">
        <v>145</v>
      </c>
      <c r="J8644" t="s">
        <v>164</v>
      </c>
    </row>
    <row r="8645" spans="1:10" x14ac:dyDescent="0.25">
      <c r="A8645" t="s">
        <v>26937</v>
      </c>
      <c r="B8645">
        <v>5.5920000000000014</v>
      </c>
      <c r="C8645" t="s">
        <v>26938</v>
      </c>
      <c r="D8645" t="s">
        <v>3258</v>
      </c>
      <c r="E8645" t="s">
        <v>26939</v>
      </c>
      <c r="F8645" t="s">
        <v>7672</v>
      </c>
      <c r="G8645" t="s">
        <v>26940</v>
      </c>
      <c r="H8645" t="s">
        <v>7974</v>
      </c>
      <c r="I8645" t="s">
        <v>26941</v>
      </c>
      <c r="J8645" t="s">
        <v>8427</v>
      </c>
    </row>
    <row r="8646" spans="1:10" x14ac:dyDescent="0.25">
      <c r="A8646" t="s">
        <v>26942</v>
      </c>
      <c r="B8646">
        <v>5.5920000000000014</v>
      </c>
      <c r="C8646" t="s">
        <v>26943</v>
      </c>
      <c r="D8646" t="s">
        <v>8618</v>
      </c>
      <c r="E8646" t="s">
        <v>26939</v>
      </c>
      <c r="F8646" t="s">
        <v>7672</v>
      </c>
      <c r="G8646" t="s">
        <v>26940</v>
      </c>
      <c r="H8646" t="s">
        <v>7974</v>
      </c>
      <c r="I8646" t="s">
        <v>26941</v>
      </c>
      <c r="J8646" t="s">
        <v>8439</v>
      </c>
    </row>
    <row r="8647" spans="1:10" x14ac:dyDescent="0.25">
      <c r="A8647" t="s">
        <v>26944</v>
      </c>
      <c r="B8647">
        <v>8.64</v>
      </c>
      <c r="C8647" t="s">
        <v>26945</v>
      </c>
      <c r="D8647" t="s">
        <v>60</v>
      </c>
      <c r="E8647" t="s">
        <v>26946</v>
      </c>
      <c r="F8647" t="s">
        <v>7672</v>
      </c>
      <c r="G8647" t="s">
        <v>26947</v>
      </c>
      <c r="H8647" t="s">
        <v>7954</v>
      </c>
      <c r="I8647" t="s">
        <v>5202</v>
      </c>
      <c r="J8647" t="s">
        <v>100</v>
      </c>
    </row>
    <row r="8648" spans="1:10" x14ac:dyDescent="0.25">
      <c r="A8648" t="s">
        <v>26948</v>
      </c>
      <c r="B8648">
        <v>11.88</v>
      </c>
      <c r="C8648" t="s">
        <v>26949</v>
      </c>
      <c r="D8648" t="s">
        <v>865</v>
      </c>
      <c r="E8648" t="s">
        <v>26950</v>
      </c>
      <c r="F8648" t="s">
        <v>7672</v>
      </c>
      <c r="G8648" t="s">
        <v>26951</v>
      </c>
      <c r="H8648" t="s">
        <v>11381</v>
      </c>
      <c r="I8648" t="s">
        <v>76</v>
      </c>
      <c r="J8648" t="s">
        <v>7675</v>
      </c>
    </row>
    <row r="8649" spans="1:10" x14ac:dyDescent="0.25">
      <c r="A8649" t="s">
        <v>26952</v>
      </c>
      <c r="B8649">
        <v>11.88</v>
      </c>
      <c r="C8649" t="s">
        <v>26953</v>
      </c>
      <c r="D8649" t="s">
        <v>4270</v>
      </c>
      <c r="E8649" t="s">
        <v>26950</v>
      </c>
      <c r="F8649" t="s">
        <v>7672</v>
      </c>
      <c r="G8649" t="s">
        <v>26951</v>
      </c>
      <c r="H8649" t="s">
        <v>11381</v>
      </c>
      <c r="I8649" t="s">
        <v>26954</v>
      </c>
      <c r="J8649" t="s">
        <v>7675</v>
      </c>
    </row>
    <row r="8650" spans="1:10" x14ac:dyDescent="0.25">
      <c r="A8650" t="s">
        <v>26955</v>
      </c>
      <c r="B8650">
        <v>11.88</v>
      </c>
      <c r="C8650" t="s">
        <v>26956</v>
      </c>
      <c r="D8650" t="s">
        <v>981</v>
      </c>
      <c r="E8650" t="s">
        <v>26950</v>
      </c>
      <c r="F8650" t="s">
        <v>7672</v>
      </c>
      <c r="G8650" t="s">
        <v>26951</v>
      </c>
      <c r="H8650" t="s">
        <v>11381</v>
      </c>
      <c r="I8650" t="s">
        <v>7399</v>
      </c>
      <c r="J8650" t="s">
        <v>7675</v>
      </c>
    </row>
    <row r="8651" spans="1:10" x14ac:dyDescent="0.25">
      <c r="A8651" t="s">
        <v>26957</v>
      </c>
      <c r="B8651">
        <v>11.88</v>
      </c>
      <c r="C8651" t="s">
        <v>26958</v>
      </c>
      <c r="D8651" t="s">
        <v>933</v>
      </c>
      <c r="E8651" t="s">
        <v>26950</v>
      </c>
      <c r="F8651" t="s">
        <v>7672</v>
      </c>
      <c r="G8651" t="s">
        <v>26951</v>
      </c>
      <c r="H8651" t="s">
        <v>11381</v>
      </c>
      <c r="I8651" t="s">
        <v>76</v>
      </c>
      <c r="J8651" t="s">
        <v>7686</v>
      </c>
    </row>
    <row r="8652" spans="1:10" x14ac:dyDescent="0.25">
      <c r="A8652" t="s">
        <v>26959</v>
      </c>
      <c r="B8652">
        <v>11.88</v>
      </c>
      <c r="C8652" t="s">
        <v>26960</v>
      </c>
      <c r="D8652" t="s">
        <v>2652</v>
      </c>
      <c r="E8652" t="s">
        <v>26950</v>
      </c>
      <c r="F8652" t="s">
        <v>7672</v>
      </c>
      <c r="G8652" t="s">
        <v>26951</v>
      </c>
      <c r="H8652" t="s">
        <v>11381</v>
      </c>
      <c r="I8652" t="s">
        <v>26954</v>
      </c>
      <c r="J8652" t="s">
        <v>7686</v>
      </c>
    </row>
    <row r="8653" spans="1:10" x14ac:dyDescent="0.25">
      <c r="A8653" t="s">
        <v>26961</v>
      </c>
      <c r="B8653">
        <v>11.88</v>
      </c>
      <c r="C8653" t="s">
        <v>26962</v>
      </c>
      <c r="D8653" t="s">
        <v>1386</v>
      </c>
      <c r="E8653" t="s">
        <v>26950</v>
      </c>
      <c r="F8653" t="s">
        <v>7672</v>
      </c>
      <c r="G8653" t="s">
        <v>26951</v>
      </c>
      <c r="H8653" t="s">
        <v>11381</v>
      </c>
      <c r="I8653" t="s">
        <v>7399</v>
      </c>
      <c r="J8653" t="s">
        <v>7686</v>
      </c>
    </row>
    <row r="8654" spans="1:10" x14ac:dyDescent="0.25">
      <c r="A8654" t="s">
        <v>26963</v>
      </c>
      <c r="B8654">
        <v>11.88</v>
      </c>
      <c r="C8654" t="s">
        <v>26964</v>
      </c>
      <c r="D8654" t="s">
        <v>9254</v>
      </c>
      <c r="E8654" t="s">
        <v>26950</v>
      </c>
      <c r="F8654" t="s">
        <v>7672</v>
      </c>
      <c r="G8654" t="s">
        <v>26951</v>
      </c>
      <c r="H8654" t="s">
        <v>11381</v>
      </c>
      <c r="I8654" t="s">
        <v>7399</v>
      </c>
      <c r="J8654" t="s">
        <v>7703</v>
      </c>
    </row>
    <row r="8655" spans="1:10" x14ac:dyDescent="0.25">
      <c r="A8655" t="s">
        <v>26965</v>
      </c>
      <c r="B8655">
        <v>11.88</v>
      </c>
      <c r="C8655" t="s">
        <v>26966</v>
      </c>
      <c r="D8655" t="s">
        <v>10442</v>
      </c>
      <c r="E8655" t="s">
        <v>26950</v>
      </c>
      <c r="F8655" t="s">
        <v>7672</v>
      </c>
      <c r="G8655" t="s">
        <v>26951</v>
      </c>
      <c r="H8655" t="s">
        <v>11381</v>
      </c>
      <c r="I8655" t="s">
        <v>76</v>
      </c>
      <c r="J8655" t="s">
        <v>7703</v>
      </c>
    </row>
    <row r="8656" spans="1:10" x14ac:dyDescent="0.25">
      <c r="A8656" t="s">
        <v>26967</v>
      </c>
      <c r="B8656">
        <v>11.88</v>
      </c>
      <c r="C8656" t="s">
        <v>26968</v>
      </c>
      <c r="D8656" t="s">
        <v>1874</v>
      </c>
      <c r="E8656" t="s">
        <v>26950</v>
      </c>
      <c r="F8656" t="s">
        <v>7672</v>
      </c>
      <c r="G8656" t="s">
        <v>26951</v>
      </c>
      <c r="H8656" t="s">
        <v>11381</v>
      </c>
      <c r="I8656" t="s">
        <v>26954</v>
      </c>
      <c r="J8656" t="s">
        <v>7703</v>
      </c>
    </row>
    <row r="8657" spans="1:10" x14ac:dyDescent="0.25">
      <c r="A8657" t="s">
        <v>26969</v>
      </c>
      <c r="B8657">
        <v>11.88</v>
      </c>
      <c r="C8657" t="s">
        <v>26970</v>
      </c>
      <c r="D8657" t="s">
        <v>1536</v>
      </c>
      <c r="E8657" t="s">
        <v>26950</v>
      </c>
      <c r="F8657" t="s">
        <v>7672</v>
      </c>
      <c r="G8657" t="s">
        <v>26951</v>
      </c>
      <c r="H8657" t="s">
        <v>11381</v>
      </c>
      <c r="I8657" t="s">
        <v>7399</v>
      </c>
      <c r="J8657" t="s">
        <v>7713</v>
      </c>
    </row>
    <row r="8658" spans="1:10" x14ac:dyDescent="0.25">
      <c r="A8658" t="s">
        <v>26971</v>
      </c>
      <c r="B8658">
        <v>11.88</v>
      </c>
      <c r="C8658" t="s">
        <v>26972</v>
      </c>
      <c r="D8658" t="s">
        <v>306</v>
      </c>
      <c r="E8658" t="s">
        <v>26950</v>
      </c>
      <c r="F8658" t="s">
        <v>7672</v>
      </c>
      <c r="G8658" t="s">
        <v>26951</v>
      </c>
      <c r="H8658" t="s">
        <v>11381</v>
      </c>
      <c r="I8658" t="s">
        <v>76</v>
      </c>
      <c r="J8658" t="s">
        <v>7713</v>
      </c>
    </row>
    <row r="8659" spans="1:10" x14ac:dyDescent="0.25">
      <c r="A8659" t="s">
        <v>26973</v>
      </c>
      <c r="B8659">
        <v>11.88</v>
      </c>
      <c r="C8659" t="s">
        <v>26974</v>
      </c>
      <c r="D8659" t="s">
        <v>598</v>
      </c>
      <c r="E8659" t="s">
        <v>26950</v>
      </c>
      <c r="F8659" t="s">
        <v>7672</v>
      </c>
      <c r="G8659" t="s">
        <v>26951</v>
      </c>
      <c r="H8659" t="s">
        <v>11381</v>
      </c>
      <c r="I8659" t="s">
        <v>26954</v>
      </c>
      <c r="J8659" t="s">
        <v>7713</v>
      </c>
    </row>
    <row r="8660" spans="1:10" x14ac:dyDescent="0.25">
      <c r="A8660" t="s">
        <v>26975</v>
      </c>
      <c r="B8660">
        <v>11.88</v>
      </c>
      <c r="C8660" t="s">
        <v>26976</v>
      </c>
      <c r="D8660" t="s">
        <v>2253</v>
      </c>
      <c r="E8660" t="s">
        <v>26950</v>
      </c>
      <c r="F8660" t="s">
        <v>7672</v>
      </c>
      <c r="G8660" t="s">
        <v>26951</v>
      </c>
      <c r="H8660" t="s">
        <v>11381</v>
      </c>
      <c r="I8660" t="s">
        <v>7399</v>
      </c>
      <c r="J8660" t="s">
        <v>7719</v>
      </c>
    </row>
    <row r="8661" spans="1:10" x14ac:dyDescent="0.25">
      <c r="A8661" t="s">
        <v>26977</v>
      </c>
      <c r="B8661">
        <v>11.88</v>
      </c>
      <c r="C8661" t="s">
        <v>26978</v>
      </c>
      <c r="D8661" t="s">
        <v>875</v>
      </c>
      <c r="E8661" t="s">
        <v>26950</v>
      </c>
      <c r="F8661" t="s">
        <v>7672</v>
      </c>
      <c r="G8661" t="s">
        <v>26951</v>
      </c>
      <c r="H8661" t="s">
        <v>11381</v>
      </c>
      <c r="I8661" t="s">
        <v>76</v>
      </c>
      <c r="J8661" t="s">
        <v>7719</v>
      </c>
    </row>
    <row r="8662" spans="1:10" x14ac:dyDescent="0.25">
      <c r="A8662" t="s">
        <v>26979</v>
      </c>
      <c r="B8662">
        <v>11.88</v>
      </c>
      <c r="C8662" t="s">
        <v>26980</v>
      </c>
      <c r="D8662" t="s">
        <v>2022</v>
      </c>
      <c r="E8662" t="s">
        <v>26950</v>
      </c>
      <c r="F8662" t="s">
        <v>7672</v>
      </c>
      <c r="G8662" t="s">
        <v>26951</v>
      </c>
      <c r="H8662" t="s">
        <v>11381</v>
      </c>
      <c r="I8662" t="s">
        <v>26954</v>
      </c>
      <c r="J8662" t="s">
        <v>7719</v>
      </c>
    </row>
    <row r="8663" spans="1:10" x14ac:dyDescent="0.25">
      <c r="A8663" t="s">
        <v>26981</v>
      </c>
      <c r="B8663">
        <v>8.36</v>
      </c>
      <c r="C8663" t="s">
        <v>26982</v>
      </c>
      <c r="D8663" t="s">
        <v>23899</v>
      </c>
      <c r="E8663" t="s">
        <v>26983</v>
      </c>
      <c r="F8663" t="s">
        <v>7672</v>
      </c>
      <c r="G8663" t="s">
        <v>26984</v>
      </c>
      <c r="H8663" t="s">
        <v>26985</v>
      </c>
      <c r="I8663" t="s">
        <v>497</v>
      </c>
      <c r="J8663" t="s">
        <v>100</v>
      </c>
    </row>
    <row r="8664" spans="1:10" x14ac:dyDescent="0.25">
      <c r="A8664" t="s">
        <v>26986</v>
      </c>
      <c r="B8664">
        <v>15.6</v>
      </c>
      <c r="C8664" t="s">
        <v>26987</v>
      </c>
      <c r="D8664" t="s">
        <v>352</v>
      </c>
      <c r="E8664" t="s">
        <v>26988</v>
      </c>
      <c r="F8664" t="s">
        <v>7672</v>
      </c>
      <c r="G8664" t="s">
        <v>26989</v>
      </c>
      <c r="H8664" t="s">
        <v>8078</v>
      </c>
      <c r="I8664" t="s">
        <v>7952</v>
      </c>
      <c r="J8664" t="s">
        <v>100</v>
      </c>
    </row>
    <row r="8665" spans="1:10" x14ac:dyDescent="0.25">
      <c r="A8665" t="s">
        <v>26990</v>
      </c>
      <c r="B8665">
        <v>13</v>
      </c>
      <c r="C8665" t="s">
        <v>26991</v>
      </c>
      <c r="D8665" t="s">
        <v>277</v>
      </c>
      <c r="E8665" t="s">
        <v>26988</v>
      </c>
      <c r="F8665" t="s">
        <v>7672</v>
      </c>
      <c r="G8665" t="s">
        <v>26989</v>
      </c>
      <c r="H8665" t="s">
        <v>8078</v>
      </c>
      <c r="I8665" t="s">
        <v>26992</v>
      </c>
      <c r="J8665" t="s">
        <v>100</v>
      </c>
    </row>
    <row r="8666" spans="1:10" x14ac:dyDescent="0.25">
      <c r="A8666" t="s">
        <v>26993</v>
      </c>
      <c r="B8666">
        <v>9</v>
      </c>
      <c r="C8666" t="s">
        <v>26994</v>
      </c>
      <c r="D8666" t="s">
        <v>131</v>
      </c>
      <c r="E8666" t="s">
        <v>26995</v>
      </c>
      <c r="F8666" t="s">
        <v>7672</v>
      </c>
      <c r="G8666" t="s">
        <v>26996</v>
      </c>
      <c r="H8666" t="s">
        <v>11381</v>
      </c>
      <c r="I8666" t="s">
        <v>7399</v>
      </c>
      <c r="J8666" t="s">
        <v>7675</v>
      </c>
    </row>
    <row r="8667" spans="1:10" x14ac:dyDescent="0.25">
      <c r="A8667" t="s">
        <v>26997</v>
      </c>
      <c r="B8667">
        <v>9</v>
      </c>
      <c r="C8667" t="s">
        <v>26998</v>
      </c>
      <c r="D8667" t="s">
        <v>8618</v>
      </c>
      <c r="E8667" t="s">
        <v>26995</v>
      </c>
      <c r="F8667" t="s">
        <v>7672</v>
      </c>
      <c r="G8667" t="s">
        <v>26996</v>
      </c>
      <c r="H8667" t="s">
        <v>11381</v>
      </c>
      <c r="I8667" t="s">
        <v>7399</v>
      </c>
      <c r="J8667" t="s">
        <v>7703</v>
      </c>
    </row>
    <row r="8668" spans="1:10" x14ac:dyDescent="0.25">
      <c r="A8668" t="s">
        <v>26999</v>
      </c>
      <c r="B8668">
        <v>9</v>
      </c>
      <c r="C8668" t="s">
        <v>27000</v>
      </c>
      <c r="D8668" t="s">
        <v>742</v>
      </c>
      <c r="E8668" t="s">
        <v>26995</v>
      </c>
      <c r="F8668" t="s">
        <v>7672</v>
      </c>
      <c r="G8668" t="s">
        <v>26996</v>
      </c>
      <c r="H8668" t="s">
        <v>11381</v>
      </c>
      <c r="I8668" t="s">
        <v>76</v>
      </c>
      <c r="J8668" t="s">
        <v>7713</v>
      </c>
    </row>
    <row r="8669" spans="1:10" x14ac:dyDescent="0.25">
      <c r="A8669" t="s">
        <v>27001</v>
      </c>
      <c r="B8669">
        <v>9</v>
      </c>
      <c r="C8669" t="s">
        <v>27002</v>
      </c>
      <c r="D8669" t="s">
        <v>396</v>
      </c>
      <c r="E8669" t="s">
        <v>26995</v>
      </c>
      <c r="F8669" t="s">
        <v>7672</v>
      </c>
      <c r="G8669" t="s">
        <v>26996</v>
      </c>
      <c r="H8669" t="s">
        <v>11381</v>
      </c>
      <c r="I8669" t="s">
        <v>7399</v>
      </c>
      <c r="J8669" t="s">
        <v>7713</v>
      </c>
    </row>
    <row r="8670" spans="1:10" x14ac:dyDescent="0.25">
      <c r="A8670" t="s">
        <v>27003</v>
      </c>
      <c r="B8670">
        <v>9</v>
      </c>
      <c r="C8670" t="s">
        <v>27004</v>
      </c>
      <c r="D8670" t="s">
        <v>118</v>
      </c>
      <c r="E8670" t="s">
        <v>26995</v>
      </c>
      <c r="F8670" t="s">
        <v>7672</v>
      </c>
      <c r="G8670" t="s">
        <v>26996</v>
      </c>
      <c r="H8670" t="s">
        <v>11381</v>
      </c>
      <c r="I8670" t="s">
        <v>76</v>
      </c>
      <c r="J8670" t="s">
        <v>7719</v>
      </c>
    </row>
    <row r="8671" spans="1:10" x14ac:dyDescent="0.25">
      <c r="A8671" t="s">
        <v>27005</v>
      </c>
      <c r="B8671">
        <v>9</v>
      </c>
      <c r="C8671" t="s">
        <v>27006</v>
      </c>
      <c r="D8671" t="s">
        <v>613</v>
      </c>
      <c r="E8671" t="s">
        <v>26995</v>
      </c>
      <c r="F8671" t="s">
        <v>7672</v>
      </c>
      <c r="G8671" t="s">
        <v>26996</v>
      </c>
      <c r="H8671" t="s">
        <v>11381</v>
      </c>
      <c r="I8671" t="s">
        <v>7399</v>
      </c>
      <c r="J8671" t="s">
        <v>7719</v>
      </c>
    </row>
    <row r="8672" spans="1:10" x14ac:dyDescent="0.25">
      <c r="A8672" t="s">
        <v>7409</v>
      </c>
      <c r="B8672">
        <v>31.495999999999999</v>
      </c>
      <c r="C8672" t="s">
        <v>7411</v>
      </c>
      <c r="D8672" t="s">
        <v>359</v>
      </c>
      <c r="E8672" t="s">
        <v>7412</v>
      </c>
      <c r="F8672" t="s">
        <v>7672</v>
      </c>
      <c r="G8672" t="s">
        <v>27007</v>
      </c>
      <c r="H8672" t="s">
        <v>10970</v>
      </c>
      <c r="I8672" t="s">
        <v>76</v>
      </c>
      <c r="J8672" t="s">
        <v>7981</v>
      </c>
    </row>
    <row r="8673" spans="1:10" x14ac:dyDescent="0.25">
      <c r="A8673" t="s">
        <v>27008</v>
      </c>
      <c r="B8673">
        <v>11.2</v>
      </c>
      <c r="C8673" t="s">
        <v>27009</v>
      </c>
      <c r="D8673" t="s">
        <v>199</v>
      </c>
      <c r="E8673" t="s">
        <v>27010</v>
      </c>
      <c r="F8673" t="s">
        <v>7672</v>
      </c>
      <c r="G8673" t="s">
        <v>27011</v>
      </c>
      <c r="H8673" t="s">
        <v>15122</v>
      </c>
      <c r="I8673" t="s">
        <v>935</v>
      </c>
      <c r="J8673" t="s">
        <v>11767</v>
      </c>
    </row>
    <row r="8674" spans="1:10" x14ac:dyDescent="0.25">
      <c r="A8674" t="s">
        <v>27012</v>
      </c>
      <c r="B8674">
        <v>11.2</v>
      </c>
      <c r="C8674" t="s">
        <v>27013</v>
      </c>
      <c r="D8674" t="s">
        <v>2022</v>
      </c>
      <c r="E8674" t="s">
        <v>27010</v>
      </c>
      <c r="F8674" t="s">
        <v>7672</v>
      </c>
      <c r="G8674" t="s">
        <v>27011</v>
      </c>
      <c r="H8674" t="s">
        <v>15122</v>
      </c>
      <c r="I8674" t="s">
        <v>935</v>
      </c>
      <c r="J8674" t="s">
        <v>11585</v>
      </c>
    </row>
    <row r="8675" spans="1:10" x14ac:dyDescent="0.25">
      <c r="A8675" t="s">
        <v>27014</v>
      </c>
      <c r="B8675">
        <v>11.2</v>
      </c>
      <c r="C8675" t="s">
        <v>27015</v>
      </c>
      <c r="D8675" t="s">
        <v>12291</v>
      </c>
      <c r="E8675" t="s">
        <v>27010</v>
      </c>
      <c r="F8675" t="s">
        <v>7672</v>
      </c>
      <c r="G8675" t="s">
        <v>27011</v>
      </c>
      <c r="H8675" t="s">
        <v>15122</v>
      </c>
      <c r="I8675" t="s">
        <v>935</v>
      </c>
      <c r="J8675" t="s">
        <v>10369</v>
      </c>
    </row>
    <row r="8676" spans="1:10" x14ac:dyDescent="0.25">
      <c r="A8676" t="s">
        <v>27016</v>
      </c>
      <c r="B8676">
        <v>11.2</v>
      </c>
      <c r="C8676" t="s">
        <v>27017</v>
      </c>
      <c r="D8676" t="s">
        <v>13122</v>
      </c>
      <c r="E8676" t="s">
        <v>27010</v>
      </c>
      <c r="F8676" t="s">
        <v>7672</v>
      </c>
      <c r="G8676" t="s">
        <v>27011</v>
      </c>
      <c r="H8676" t="s">
        <v>15122</v>
      </c>
      <c r="I8676" t="s">
        <v>935</v>
      </c>
      <c r="J8676" t="s">
        <v>11590</v>
      </c>
    </row>
    <row r="8677" spans="1:10" x14ac:dyDescent="0.25">
      <c r="A8677" t="s">
        <v>27018</v>
      </c>
      <c r="B8677">
        <v>11.2</v>
      </c>
      <c r="C8677" t="s">
        <v>27019</v>
      </c>
      <c r="D8677" t="s">
        <v>3653</v>
      </c>
      <c r="E8677" t="s">
        <v>27010</v>
      </c>
      <c r="F8677" t="s">
        <v>7672</v>
      </c>
      <c r="G8677" t="s">
        <v>27011</v>
      </c>
      <c r="H8677" t="s">
        <v>15122</v>
      </c>
      <c r="I8677" t="s">
        <v>935</v>
      </c>
      <c r="J8677" t="s">
        <v>11593</v>
      </c>
    </row>
    <row r="8678" spans="1:10" x14ac:dyDescent="0.25">
      <c r="A8678" t="s">
        <v>27020</v>
      </c>
      <c r="B8678">
        <v>9.5920000000000005</v>
      </c>
      <c r="C8678" t="s">
        <v>27021</v>
      </c>
      <c r="D8678" t="s">
        <v>53</v>
      </c>
      <c r="E8678" t="s">
        <v>27022</v>
      </c>
      <c r="F8678" t="s">
        <v>7672</v>
      </c>
      <c r="G8678" t="s">
        <v>27023</v>
      </c>
      <c r="H8678" t="s">
        <v>7674</v>
      </c>
      <c r="I8678" t="s">
        <v>76</v>
      </c>
      <c r="J8678" t="s">
        <v>27024</v>
      </c>
    </row>
    <row r="8679" spans="1:10" x14ac:dyDescent="0.25">
      <c r="A8679" t="s">
        <v>27025</v>
      </c>
      <c r="B8679">
        <v>9.5920000000000005</v>
      </c>
      <c r="C8679" t="s">
        <v>27026</v>
      </c>
      <c r="D8679" t="s">
        <v>164</v>
      </c>
      <c r="E8679" t="s">
        <v>27022</v>
      </c>
      <c r="F8679" t="s">
        <v>7672</v>
      </c>
      <c r="G8679" t="s">
        <v>27023</v>
      </c>
      <c r="H8679" t="s">
        <v>7674</v>
      </c>
      <c r="I8679" t="s">
        <v>76</v>
      </c>
      <c r="J8679" t="s">
        <v>27027</v>
      </c>
    </row>
    <row r="8680" spans="1:10" x14ac:dyDescent="0.25">
      <c r="A8680" t="s">
        <v>27028</v>
      </c>
      <c r="B8680">
        <v>2.8559999999999999</v>
      </c>
      <c r="C8680" t="s">
        <v>27029</v>
      </c>
      <c r="D8680" t="s">
        <v>3850</v>
      </c>
      <c r="E8680" t="s">
        <v>27030</v>
      </c>
      <c r="F8680" t="s">
        <v>7672</v>
      </c>
      <c r="G8680" t="s">
        <v>27031</v>
      </c>
      <c r="H8680" t="s">
        <v>7674</v>
      </c>
      <c r="I8680" t="s">
        <v>497</v>
      </c>
      <c r="J8680" t="s">
        <v>9694</v>
      </c>
    </row>
    <row r="8681" spans="1:10" x14ac:dyDescent="0.25">
      <c r="A8681" t="s">
        <v>27032</v>
      </c>
      <c r="B8681">
        <v>9.120000000000001</v>
      </c>
      <c r="C8681" t="s">
        <v>27033</v>
      </c>
      <c r="D8681" t="s">
        <v>88</v>
      </c>
      <c r="E8681" t="s">
        <v>27034</v>
      </c>
      <c r="F8681" t="s">
        <v>7672</v>
      </c>
      <c r="G8681" t="s">
        <v>27035</v>
      </c>
      <c r="H8681" t="s">
        <v>11037</v>
      </c>
      <c r="I8681" t="s">
        <v>8747</v>
      </c>
      <c r="J8681" t="s">
        <v>8451</v>
      </c>
    </row>
    <row r="8682" spans="1:10" x14ac:dyDescent="0.25">
      <c r="A8682" t="s">
        <v>27036</v>
      </c>
      <c r="B8682">
        <v>3.3759999999999999</v>
      </c>
      <c r="C8682" t="s">
        <v>27037</v>
      </c>
      <c r="D8682" t="s">
        <v>8865</v>
      </c>
      <c r="E8682" t="s">
        <v>27038</v>
      </c>
      <c r="F8682" t="s">
        <v>7672</v>
      </c>
      <c r="G8682" t="s">
        <v>27039</v>
      </c>
      <c r="H8682" t="s">
        <v>27040</v>
      </c>
      <c r="I8682" t="s">
        <v>497</v>
      </c>
      <c r="J8682" t="s">
        <v>9694</v>
      </c>
    </row>
    <row r="8683" spans="1:10" x14ac:dyDescent="0.25">
      <c r="A8683" t="s">
        <v>27041</v>
      </c>
      <c r="B8683">
        <v>7.9200000000000008</v>
      </c>
      <c r="C8683" t="s">
        <v>27042</v>
      </c>
      <c r="D8683" t="s">
        <v>4924</v>
      </c>
      <c r="E8683" t="s">
        <v>27043</v>
      </c>
      <c r="F8683" t="s">
        <v>7672</v>
      </c>
      <c r="G8683" t="s">
        <v>27044</v>
      </c>
      <c r="H8683" t="s">
        <v>7674</v>
      </c>
      <c r="I8683" t="s">
        <v>11508</v>
      </c>
      <c r="J8683" t="s">
        <v>8013</v>
      </c>
    </row>
    <row r="8684" spans="1:10" x14ac:dyDescent="0.25">
      <c r="A8684" t="s">
        <v>27045</v>
      </c>
      <c r="B8684">
        <v>9.7200000000000006</v>
      </c>
      <c r="C8684" t="s">
        <v>27046</v>
      </c>
      <c r="D8684" t="s">
        <v>436</v>
      </c>
      <c r="E8684" t="s">
        <v>27047</v>
      </c>
      <c r="F8684" t="s">
        <v>7672</v>
      </c>
      <c r="G8684" t="s">
        <v>27048</v>
      </c>
      <c r="H8684" t="s">
        <v>11381</v>
      </c>
      <c r="I8684" t="s">
        <v>25251</v>
      </c>
      <c r="J8684" t="s">
        <v>7675</v>
      </c>
    </row>
    <row r="8685" spans="1:10" x14ac:dyDescent="0.25">
      <c r="A8685" t="s">
        <v>27049</v>
      </c>
      <c r="B8685">
        <v>9.7200000000000006</v>
      </c>
      <c r="C8685" t="s">
        <v>27050</v>
      </c>
      <c r="D8685" t="s">
        <v>229</v>
      </c>
      <c r="E8685" t="s">
        <v>27047</v>
      </c>
      <c r="F8685" t="s">
        <v>7672</v>
      </c>
      <c r="G8685" t="s">
        <v>27048</v>
      </c>
      <c r="H8685" t="s">
        <v>11381</v>
      </c>
      <c r="I8685" t="s">
        <v>25251</v>
      </c>
      <c r="J8685" t="s">
        <v>7686</v>
      </c>
    </row>
    <row r="8686" spans="1:10" x14ac:dyDescent="0.25">
      <c r="A8686" t="s">
        <v>27051</v>
      </c>
      <c r="B8686">
        <v>9.7200000000000006</v>
      </c>
      <c r="C8686" t="s">
        <v>27052</v>
      </c>
      <c r="D8686" t="s">
        <v>3175</v>
      </c>
      <c r="E8686" t="s">
        <v>27047</v>
      </c>
      <c r="F8686" t="s">
        <v>7672</v>
      </c>
      <c r="G8686" t="s">
        <v>27048</v>
      </c>
      <c r="H8686" t="s">
        <v>11381</v>
      </c>
      <c r="I8686" t="s">
        <v>25251</v>
      </c>
      <c r="J8686" t="s">
        <v>7703</v>
      </c>
    </row>
    <row r="8687" spans="1:10" x14ac:dyDescent="0.25">
      <c r="A8687" t="s">
        <v>27053</v>
      </c>
      <c r="B8687">
        <v>9.7200000000000006</v>
      </c>
      <c r="C8687" t="s">
        <v>27054</v>
      </c>
      <c r="D8687" t="s">
        <v>88</v>
      </c>
      <c r="E8687" t="s">
        <v>27047</v>
      </c>
      <c r="F8687" t="s">
        <v>7672</v>
      </c>
      <c r="G8687" t="s">
        <v>27048</v>
      </c>
      <c r="H8687" t="s">
        <v>11381</v>
      </c>
      <c r="I8687" t="s">
        <v>25251</v>
      </c>
      <c r="J8687" t="s">
        <v>7713</v>
      </c>
    </row>
    <row r="8688" spans="1:10" x14ac:dyDescent="0.25">
      <c r="A8688" t="s">
        <v>27055</v>
      </c>
      <c r="B8688">
        <v>13</v>
      </c>
      <c r="C8688" t="s">
        <v>27056</v>
      </c>
      <c r="D8688" t="s">
        <v>385</v>
      </c>
      <c r="E8688" t="s">
        <v>27057</v>
      </c>
      <c r="F8688" t="s">
        <v>7672</v>
      </c>
      <c r="G8688" t="s">
        <v>27058</v>
      </c>
      <c r="H8688" t="s">
        <v>17992</v>
      </c>
      <c r="I8688" t="s">
        <v>19058</v>
      </c>
      <c r="J8688" t="s">
        <v>7942</v>
      </c>
    </row>
    <row r="8689" spans="1:10" x14ac:dyDescent="0.25">
      <c r="A8689" t="s">
        <v>27059</v>
      </c>
      <c r="B8689">
        <v>13</v>
      </c>
      <c r="C8689" t="s">
        <v>27060</v>
      </c>
      <c r="D8689" t="s">
        <v>664</v>
      </c>
      <c r="E8689" t="s">
        <v>27057</v>
      </c>
      <c r="F8689" t="s">
        <v>7672</v>
      </c>
      <c r="G8689" t="s">
        <v>27058</v>
      </c>
      <c r="H8689" t="s">
        <v>17992</v>
      </c>
      <c r="I8689" t="s">
        <v>19058</v>
      </c>
      <c r="J8689" t="s">
        <v>7981</v>
      </c>
    </row>
    <row r="8690" spans="1:10" x14ac:dyDescent="0.25">
      <c r="A8690" t="s">
        <v>27061</v>
      </c>
      <c r="B8690">
        <v>13</v>
      </c>
      <c r="C8690" t="s">
        <v>27062</v>
      </c>
      <c r="D8690" t="s">
        <v>2138</v>
      </c>
      <c r="E8690" t="s">
        <v>27057</v>
      </c>
      <c r="F8690" t="s">
        <v>7672</v>
      </c>
      <c r="G8690" t="s">
        <v>27058</v>
      </c>
      <c r="H8690" t="s">
        <v>17992</v>
      </c>
      <c r="I8690" t="s">
        <v>19058</v>
      </c>
      <c r="J8690" t="s">
        <v>7984</v>
      </c>
    </row>
    <row r="8691" spans="1:10" x14ac:dyDescent="0.25">
      <c r="A8691" t="s">
        <v>27063</v>
      </c>
      <c r="B8691">
        <v>13</v>
      </c>
      <c r="C8691" t="s">
        <v>27064</v>
      </c>
      <c r="D8691" t="s">
        <v>1014</v>
      </c>
      <c r="E8691" t="s">
        <v>27057</v>
      </c>
      <c r="F8691" t="s">
        <v>7672</v>
      </c>
      <c r="G8691" t="s">
        <v>27058</v>
      </c>
      <c r="H8691" t="s">
        <v>17992</v>
      </c>
      <c r="I8691" t="s">
        <v>19058</v>
      </c>
      <c r="J8691" t="s">
        <v>7987</v>
      </c>
    </row>
    <row r="8692" spans="1:10" x14ac:dyDescent="0.25">
      <c r="A8692" t="s">
        <v>27065</v>
      </c>
      <c r="B8692">
        <v>13</v>
      </c>
      <c r="C8692" t="s">
        <v>27066</v>
      </c>
      <c r="D8692" t="s">
        <v>6194</v>
      </c>
      <c r="E8692" t="s">
        <v>27057</v>
      </c>
      <c r="F8692" t="s">
        <v>7672</v>
      </c>
      <c r="G8692" t="s">
        <v>27058</v>
      </c>
      <c r="H8692" t="s">
        <v>17992</v>
      </c>
      <c r="I8692" t="s">
        <v>19058</v>
      </c>
      <c r="J8692" t="s">
        <v>8001</v>
      </c>
    </row>
    <row r="8693" spans="1:10" x14ac:dyDescent="0.25">
      <c r="A8693" t="s">
        <v>27067</v>
      </c>
      <c r="B8693">
        <v>13</v>
      </c>
      <c r="C8693" t="s">
        <v>27068</v>
      </c>
      <c r="D8693" t="s">
        <v>2910</v>
      </c>
      <c r="E8693" t="s">
        <v>27057</v>
      </c>
      <c r="F8693" t="s">
        <v>7672</v>
      </c>
      <c r="G8693" t="s">
        <v>27058</v>
      </c>
      <c r="H8693" t="s">
        <v>17992</v>
      </c>
      <c r="I8693" t="s">
        <v>19058</v>
      </c>
      <c r="J8693" t="s">
        <v>8013</v>
      </c>
    </row>
    <row r="8694" spans="1:10" x14ac:dyDescent="0.25">
      <c r="A8694" t="s">
        <v>27069</v>
      </c>
      <c r="B8694">
        <v>12.592000000000001</v>
      </c>
      <c r="C8694" t="s">
        <v>27070</v>
      </c>
      <c r="D8694" t="s">
        <v>776</v>
      </c>
      <c r="E8694" t="s">
        <v>27071</v>
      </c>
      <c r="F8694" t="s">
        <v>7672</v>
      </c>
      <c r="G8694" t="s">
        <v>27072</v>
      </c>
      <c r="H8694" t="s">
        <v>9127</v>
      </c>
      <c r="I8694" t="s">
        <v>9454</v>
      </c>
      <c r="J8694" t="s">
        <v>11315</v>
      </c>
    </row>
    <row r="8695" spans="1:10" x14ac:dyDescent="0.25">
      <c r="A8695" t="s">
        <v>27073</v>
      </c>
      <c r="B8695">
        <v>12.592000000000001</v>
      </c>
      <c r="C8695" t="s">
        <v>27074</v>
      </c>
      <c r="D8695" t="s">
        <v>234</v>
      </c>
      <c r="E8695" t="s">
        <v>27071</v>
      </c>
      <c r="F8695" t="s">
        <v>7672</v>
      </c>
      <c r="G8695" t="s">
        <v>27072</v>
      </c>
      <c r="H8695" t="s">
        <v>9127</v>
      </c>
      <c r="I8695" t="s">
        <v>9454</v>
      </c>
      <c r="J8695" t="s">
        <v>9739</v>
      </c>
    </row>
    <row r="8696" spans="1:10" x14ac:dyDescent="0.25">
      <c r="A8696" t="s">
        <v>27075</v>
      </c>
      <c r="B8696">
        <v>12.592000000000001</v>
      </c>
      <c r="C8696" t="s">
        <v>27076</v>
      </c>
      <c r="D8696" t="s">
        <v>113</v>
      </c>
      <c r="E8696" t="s">
        <v>27071</v>
      </c>
      <c r="F8696" t="s">
        <v>7672</v>
      </c>
      <c r="G8696" t="s">
        <v>27072</v>
      </c>
      <c r="H8696" t="s">
        <v>9127</v>
      </c>
      <c r="I8696" t="s">
        <v>9454</v>
      </c>
      <c r="J8696" t="s">
        <v>9746</v>
      </c>
    </row>
    <row r="8697" spans="1:10" x14ac:dyDescent="0.25">
      <c r="A8697" t="s">
        <v>27077</v>
      </c>
      <c r="B8697">
        <v>12.592000000000001</v>
      </c>
      <c r="C8697" t="s">
        <v>27078</v>
      </c>
      <c r="D8697" t="s">
        <v>88</v>
      </c>
      <c r="E8697" t="s">
        <v>27071</v>
      </c>
      <c r="F8697" t="s">
        <v>7672</v>
      </c>
      <c r="G8697" t="s">
        <v>27072</v>
      </c>
      <c r="H8697" t="s">
        <v>9127</v>
      </c>
      <c r="I8697" t="s">
        <v>9454</v>
      </c>
      <c r="J8697" t="s">
        <v>11326</v>
      </c>
    </row>
    <row r="8698" spans="1:10" x14ac:dyDescent="0.25">
      <c r="A8698" t="s">
        <v>27079</v>
      </c>
      <c r="B8698">
        <v>12.592000000000001</v>
      </c>
      <c r="C8698" t="s">
        <v>27080</v>
      </c>
      <c r="D8698" t="s">
        <v>975</v>
      </c>
      <c r="E8698" t="s">
        <v>27071</v>
      </c>
      <c r="F8698" t="s">
        <v>7672</v>
      </c>
      <c r="G8698" t="s">
        <v>27072</v>
      </c>
      <c r="H8698" t="s">
        <v>9127</v>
      </c>
      <c r="I8698" t="s">
        <v>9454</v>
      </c>
      <c r="J8698" t="s">
        <v>9730</v>
      </c>
    </row>
    <row r="8699" spans="1:10" x14ac:dyDescent="0.25">
      <c r="A8699" t="s">
        <v>27081</v>
      </c>
      <c r="B8699">
        <v>13.2</v>
      </c>
      <c r="C8699" t="s">
        <v>27082</v>
      </c>
      <c r="D8699" t="s">
        <v>875</v>
      </c>
      <c r="E8699" t="s">
        <v>27083</v>
      </c>
      <c r="F8699" t="s">
        <v>7672</v>
      </c>
      <c r="G8699" t="s">
        <v>27084</v>
      </c>
      <c r="H8699" t="s">
        <v>7947</v>
      </c>
      <c r="I8699" t="s">
        <v>76</v>
      </c>
      <c r="J8699" t="s">
        <v>7981</v>
      </c>
    </row>
    <row r="8700" spans="1:10" x14ac:dyDescent="0.25">
      <c r="A8700" t="s">
        <v>27085</v>
      </c>
      <c r="B8700">
        <v>13.2</v>
      </c>
      <c r="C8700" t="s">
        <v>27086</v>
      </c>
      <c r="D8700" t="s">
        <v>286</v>
      </c>
      <c r="E8700" t="s">
        <v>27083</v>
      </c>
      <c r="F8700" t="s">
        <v>7672</v>
      </c>
      <c r="G8700" t="s">
        <v>27084</v>
      </c>
      <c r="H8700" t="s">
        <v>7947</v>
      </c>
      <c r="I8700" t="s">
        <v>76</v>
      </c>
      <c r="J8700" t="s">
        <v>7984</v>
      </c>
    </row>
    <row r="8701" spans="1:10" x14ac:dyDescent="0.25">
      <c r="A8701" t="s">
        <v>7415</v>
      </c>
      <c r="B8701">
        <v>4.7920000000000007</v>
      </c>
      <c r="C8701" t="s">
        <v>7417</v>
      </c>
      <c r="D8701" t="s">
        <v>1644</v>
      </c>
      <c r="E8701" t="s">
        <v>7418</v>
      </c>
      <c r="F8701" t="s">
        <v>7672</v>
      </c>
      <c r="G8701" t="s">
        <v>27087</v>
      </c>
      <c r="H8701" t="s">
        <v>25190</v>
      </c>
      <c r="I8701" t="s">
        <v>497</v>
      </c>
      <c r="J8701" t="s">
        <v>9694</v>
      </c>
    </row>
    <row r="8702" spans="1:10" x14ac:dyDescent="0.25">
      <c r="A8702" t="s">
        <v>7421</v>
      </c>
      <c r="B8702">
        <v>6.4</v>
      </c>
      <c r="C8702" t="s">
        <v>7423</v>
      </c>
      <c r="D8702" t="s">
        <v>60</v>
      </c>
      <c r="E8702" t="s">
        <v>7424</v>
      </c>
      <c r="F8702" t="s">
        <v>7672</v>
      </c>
      <c r="G8702" t="s">
        <v>27088</v>
      </c>
      <c r="H8702" t="s">
        <v>11496</v>
      </c>
      <c r="I8702" t="s">
        <v>18020</v>
      </c>
      <c r="J8702" t="s">
        <v>9423</v>
      </c>
    </row>
    <row r="8703" spans="1:10" x14ac:dyDescent="0.25">
      <c r="A8703" t="s">
        <v>7426</v>
      </c>
      <c r="B8703">
        <v>6.4</v>
      </c>
      <c r="C8703" t="s">
        <v>7428</v>
      </c>
      <c r="D8703" t="s">
        <v>436</v>
      </c>
      <c r="E8703" t="s">
        <v>7424</v>
      </c>
      <c r="F8703" t="s">
        <v>7672</v>
      </c>
      <c r="G8703" t="s">
        <v>27088</v>
      </c>
      <c r="H8703" t="s">
        <v>11496</v>
      </c>
      <c r="I8703" t="s">
        <v>18020</v>
      </c>
      <c r="J8703" t="s">
        <v>9426</v>
      </c>
    </row>
    <row r="8704" spans="1:10" x14ac:dyDescent="0.25">
      <c r="A8704" t="s">
        <v>7431</v>
      </c>
      <c r="B8704">
        <v>6.4</v>
      </c>
      <c r="C8704" t="s">
        <v>7433</v>
      </c>
      <c r="D8704" t="s">
        <v>164</v>
      </c>
      <c r="E8704" t="s">
        <v>7424</v>
      </c>
      <c r="F8704" t="s">
        <v>7672</v>
      </c>
      <c r="G8704" t="s">
        <v>27088</v>
      </c>
      <c r="H8704" t="s">
        <v>11496</v>
      </c>
      <c r="I8704" t="s">
        <v>18020</v>
      </c>
      <c r="J8704" t="s">
        <v>13084</v>
      </c>
    </row>
    <row r="8705" spans="1:10" x14ac:dyDescent="0.25">
      <c r="A8705" t="s">
        <v>27089</v>
      </c>
      <c r="B8705">
        <v>10</v>
      </c>
      <c r="C8705" t="s">
        <v>27090</v>
      </c>
      <c r="D8705" t="s">
        <v>3378</v>
      </c>
      <c r="E8705" t="s">
        <v>7438</v>
      </c>
      <c r="F8705" t="s">
        <v>7672</v>
      </c>
      <c r="G8705" t="s">
        <v>27091</v>
      </c>
      <c r="H8705" t="s">
        <v>16792</v>
      </c>
      <c r="I8705" t="s">
        <v>20177</v>
      </c>
      <c r="J8705" t="s">
        <v>7942</v>
      </c>
    </row>
    <row r="8706" spans="1:10" x14ac:dyDescent="0.25">
      <c r="A8706" t="s">
        <v>27092</v>
      </c>
      <c r="B8706">
        <v>10</v>
      </c>
      <c r="C8706" t="s">
        <v>27093</v>
      </c>
      <c r="D8706" t="s">
        <v>2620</v>
      </c>
      <c r="E8706" t="s">
        <v>7438</v>
      </c>
      <c r="F8706" t="s">
        <v>7672</v>
      </c>
      <c r="G8706" t="s">
        <v>27091</v>
      </c>
      <c r="H8706" t="s">
        <v>16792</v>
      </c>
      <c r="I8706" t="s">
        <v>14757</v>
      </c>
      <c r="J8706" t="s">
        <v>7942</v>
      </c>
    </row>
    <row r="8707" spans="1:10" x14ac:dyDescent="0.25">
      <c r="A8707" t="s">
        <v>27094</v>
      </c>
      <c r="B8707">
        <v>10</v>
      </c>
      <c r="C8707" t="s">
        <v>27095</v>
      </c>
      <c r="D8707" t="s">
        <v>366</v>
      </c>
      <c r="E8707" t="s">
        <v>7438</v>
      </c>
      <c r="F8707" t="s">
        <v>7672</v>
      </c>
      <c r="G8707" t="s">
        <v>27091</v>
      </c>
      <c r="H8707" t="s">
        <v>16792</v>
      </c>
      <c r="I8707" t="s">
        <v>27096</v>
      </c>
      <c r="J8707" t="s">
        <v>7942</v>
      </c>
    </row>
    <row r="8708" spans="1:10" x14ac:dyDescent="0.25">
      <c r="A8708" t="s">
        <v>27097</v>
      </c>
      <c r="B8708">
        <v>10</v>
      </c>
      <c r="C8708" t="s">
        <v>27098</v>
      </c>
      <c r="D8708" t="s">
        <v>3572</v>
      </c>
      <c r="E8708" t="s">
        <v>7438</v>
      </c>
      <c r="F8708" t="s">
        <v>7672</v>
      </c>
      <c r="G8708" t="s">
        <v>27091</v>
      </c>
      <c r="H8708" t="s">
        <v>16792</v>
      </c>
      <c r="I8708" t="s">
        <v>21290</v>
      </c>
      <c r="J8708" t="s">
        <v>7942</v>
      </c>
    </row>
    <row r="8709" spans="1:10" x14ac:dyDescent="0.25">
      <c r="A8709" t="s">
        <v>27099</v>
      </c>
      <c r="B8709">
        <v>10</v>
      </c>
      <c r="C8709" t="s">
        <v>27100</v>
      </c>
      <c r="D8709" t="s">
        <v>2787</v>
      </c>
      <c r="E8709" t="s">
        <v>7438</v>
      </c>
      <c r="F8709" t="s">
        <v>7672</v>
      </c>
      <c r="G8709" t="s">
        <v>27091</v>
      </c>
      <c r="H8709" t="s">
        <v>16792</v>
      </c>
      <c r="I8709" t="s">
        <v>76</v>
      </c>
      <c r="J8709" t="s">
        <v>7942</v>
      </c>
    </row>
    <row r="8710" spans="1:10" x14ac:dyDescent="0.25">
      <c r="A8710" t="s">
        <v>27101</v>
      </c>
      <c r="B8710">
        <v>10</v>
      </c>
      <c r="C8710" t="s">
        <v>27102</v>
      </c>
      <c r="D8710" t="s">
        <v>2371</v>
      </c>
      <c r="E8710" t="s">
        <v>7438</v>
      </c>
      <c r="F8710" t="s">
        <v>7672</v>
      </c>
      <c r="G8710" t="s">
        <v>27091</v>
      </c>
      <c r="H8710" t="s">
        <v>16792</v>
      </c>
      <c r="I8710" t="s">
        <v>20177</v>
      </c>
      <c r="J8710" t="s">
        <v>7981</v>
      </c>
    </row>
    <row r="8711" spans="1:10" x14ac:dyDescent="0.25">
      <c r="A8711" t="s">
        <v>27103</v>
      </c>
      <c r="B8711">
        <v>10</v>
      </c>
      <c r="C8711" t="s">
        <v>27104</v>
      </c>
      <c r="D8711" t="s">
        <v>3110</v>
      </c>
      <c r="E8711" t="s">
        <v>7438</v>
      </c>
      <c r="F8711" t="s">
        <v>7672</v>
      </c>
      <c r="G8711" t="s">
        <v>27091</v>
      </c>
      <c r="H8711" t="s">
        <v>16792</v>
      </c>
      <c r="I8711" t="s">
        <v>14757</v>
      </c>
      <c r="J8711" t="s">
        <v>7981</v>
      </c>
    </row>
    <row r="8712" spans="1:10" x14ac:dyDescent="0.25">
      <c r="A8712" t="s">
        <v>27105</v>
      </c>
      <c r="B8712">
        <v>10</v>
      </c>
      <c r="C8712" t="s">
        <v>27106</v>
      </c>
      <c r="D8712" t="s">
        <v>8618</v>
      </c>
      <c r="E8712" t="s">
        <v>7438</v>
      </c>
      <c r="F8712" t="s">
        <v>7672</v>
      </c>
      <c r="G8712" t="s">
        <v>27091</v>
      </c>
      <c r="H8712" t="s">
        <v>16792</v>
      </c>
      <c r="I8712" t="s">
        <v>21290</v>
      </c>
      <c r="J8712" t="s">
        <v>7981</v>
      </c>
    </row>
    <row r="8713" spans="1:10" x14ac:dyDescent="0.25">
      <c r="A8713" t="s">
        <v>7435</v>
      </c>
      <c r="B8713">
        <v>10</v>
      </c>
      <c r="C8713" t="s">
        <v>7437</v>
      </c>
      <c r="D8713" t="s">
        <v>941</v>
      </c>
      <c r="E8713" t="s">
        <v>7438</v>
      </c>
      <c r="F8713" t="s">
        <v>7672</v>
      </c>
      <c r="G8713" t="s">
        <v>27091</v>
      </c>
      <c r="H8713" t="s">
        <v>16792</v>
      </c>
      <c r="I8713" t="s">
        <v>76</v>
      </c>
      <c r="J8713" t="s">
        <v>7981</v>
      </c>
    </row>
    <row r="8714" spans="1:10" x14ac:dyDescent="0.25">
      <c r="A8714" t="s">
        <v>27107</v>
      </c>
      <c r="B8714">
        <v>10</v>
      </c>
      <c r="C8714" t="s">
        <v>27108</v>
      </c>
      <c r="D8714" t="s">
        <v>959</v>
      </c>
      <c r="E8714" t="s">
        <v>7438</v>
      </c>
      <c r="F8714" t="s">
        <v>7672</v>
      </c>
      <c r="G8714" t="s">
        <v>27091</v>
      </c>
      <c r="H8714" t="s">
        <v>16792</v>
      </c>
      <c r="I8714" t="s">
        <v>76</v>
      </c>
      <c r="J8714" t="s">
        <v>7984</v>
      </c>
    </row>
    <row r="8715" spans="1:10" x14ac:dyDescent="0.25">
      <c r="A8715" t="s">
        <v>7440</v>
      </c>
      <c r="B8715">
        <v>10</v>
      </c>
      <c r="C8715" t="s">
        <v>7442</v>
      </c>
      <c r="D8715" t="s">
        <v>1254</v>
      </c>
      <c r="E8715" t="s">
        <v>7438</v>
      </c>
      <c r="F8715" t="s">
        <v>7672</v>
      </c>
      <c r="G8715" t="s">
        <v>27091</v>
      </c>
      <c r="H8715" t="s">
        <v>16792</v>
      </c>
      <c r="I8715" t="s">
        <v>76</v>
      </c>
      <c r="J8715" t="s">
        <v>7987</v>
      </c>
    </row>
    <row r="8716" spans="1:10" x14ac:dyDescent="0.25">
      <c r="A8716" t="s">
        <v>27109</v>
      </c>
      <c r="B8716">
        <v>10</v>
      </c>
      <c r="C8716" t="s">
        <v>27110</v>
      </c>
      <c r="D8716" t="s">
        <v>53</v>
      </c>
      <c r="E8716" t="s">
        <v>7438</v>
      </c>
      <c r="F8716" t="s">
        <v>7672</v>
      </c>
      <c r="G8716" t="s">
        <v>27091</v>
      </c>
      <c r="H8716" t="s">
        <v>16792</v>
      </c>
      <c r="I8716" t="s">
        <v>76</v>
      </c>
      <c r="J8716" t="s">
        <v>8001</v>
      </c>
    </row>
    <row r="8717" spans="1:10" x14ac:dyDescent="0.25">
      <c r="A8717" t="s">
        <v>27111</v>
      </c>
      <c r="B8717">
        <v>10</v>
      </c>
      <c r="C8717" t="s">
        <v>27112</v>
      </c>
      <c r="D8717" t="s">
        <v>1097</v>
      </c>
      <c r="E8717" t="s">
        <v>7438</v>
      </c>
      <c r="F8717" t="s">
        <v>7672</v>
      </c>
      <c r="G8717" t="s">
        <v>27091</v>
      </c>
      <c r="H8717" t="s">
        <v>16792</v>
      </c>
      <c r="I8717" t="s">
        <v>14757</v>
      </c>
      <c r="J8717" t="s">
        <v>8013</v>
      </c>
    </row>
    <row r="8718" spans="1:10" x14ac:dyDescent="0.25">
      <c r="A8718" t="s">
        <v>27113</v>
      </c>
      <c r="B8718">
        <v>10</v>
      </c>
      <c r="C8718" t="s">
        <v>27114</v>
      </c>
      <c r="D8718" t="s">
        <v>1143</v>
      </c>
      <c r="E8718" t="s">
        <v>7438</v>
      </c>
      <c r="F8718" t="s">
        <v>7672</v>
      </c>
      <c r="G8718" t="s">
        <v>27091</v>
      </c>
      <c r="H8718" t="s">
        <v>16792</v>
      </c>
      <c r="I8718" t="s">
        <v>76</v>
      </c>
      <c r="J8718" t="s">
        <v>8013</v>
      </c>
    </row>
    <row r="8719" spans="1:10" x14ac:dyDescent="0.25">
      <c r="A8719" t="s">
        <v>27115</v>
      </c>
      <c r="B8719">
        <v>32</v>
      </c>
      <c r="C8719" t="s">
        <v>27116</v>
      </c>
      <c r="D8719" t="s">
        <v>1811</v>
      </c>
      <c r="E8719" t="s">
        <v>27117</v>
      </c>
      <c r="F8719" t="s">
        <v>7672</v>
      </c>
      <c r="G8719" t="s">
        <v>27118</v>
      </c>
      <c r="H8719" t="s">
        <v>8779</v>
      </c>
      <c r="I8719" t="s">
        <v>9606</v>
      </c>
      <c r="J8719" t="s">
        <v>7675</v>
      </c>
    </row>
    <row r="8720" spans="1:10" x14ac:dyDescent="0.25">
      <c r="A8720" t="s">
        <v>27119</v>
      </c>
      <c r="B8720">
        <v>32</v>
      </c>
      <c r="C8720" t="s">
        <v>27120</v>
      </c>
      <c r="D8720" t="s">
        <v>379</v>
      </c>
      <c r="E8720" t="s">
        <v>27117</v>
      </c>
      <c r="F8720" t="s">
        <v>7672</v>
      </c>
      <c r="G8720" t="s">
        <v>27118</v>
      </c>
      <c r="H8720" t="s">
        <v>8779</v>
      </c>
      <c r="I8720" t="s">
        <v>76</v>
      </c>
      <c r="J8720" t="s">
        <v>7675</v>
      </c>
    </row>
    <row r="8721" spans="1:10" x14ac:dyDescent="0.25">
      <c r="A8721" t="s">
        <v>27121</v>
      </c>
      <c r="B8721">
        <v>32</v>
      </c>
      <c r="C8721" t="s">
        <v>27122</v>
      </c>
      <c r="D8721" t="s">
        <v>996</v>
      </c>
      <c r="E8721" t="s">
        <v>27117</v>
      </c>
      <c r="F8721" t="s">
        <v>7672</v>
      </c>
      <c r="G8721" t="s">
        <v>27118</v>
      </c>
      <c r="H8721" t="s">
        <v>8779</v>
      </c>
      <c r="I8721" t="s">
        <v>9606</v>
      </c>
      <c r="J8721" t="s">
        <v>7686</v>
      </c>
    </row>
    <row r="8722" spans="1:10" x14ac:dyDescent="0.25">
      <c r="A8722" t="s">
        <v>27123</v>
      </c>
      <c r="B8722">
        <v>32</v>
      </c>
      <c r="C8722" t="s">
        <v>27124</v>
      </c>
      <c r="D8722" t="s">
        <v>865</v>
      </c>
      <c r="E8722" t="s">
        <v>27117</v>
      </c>
      <c r="F8722" t="s">
        <v>7672</v>
      </c>
      <c r="G8722" t="s">
        <v>27118</v>
      </c>
      <c r="H8722" t="s">
        <v>8779</v>
      </c>
      <c r="I8722" t="s">
        <v>76</v>
      </c>
      <c r="J8722" t="s">
        <v>7686</v>
      </c>
    </row>
    <row r="8723" spans="1:10" x14ac:dyDescent="0.25">
      <c r="A8723" t="s">
        <v>27125</v>
      </c>
      <c r="B8723">
        <v>32</v>
      </c>
      <c r="C8723" t="s">
        <v>27126</v>
      </c>
      <c r="D8723" t="s">
        <v>321</v>
      </c>
      <c r="E8723" t="s">
        <v>27117</v>
      </c>
      <c r="F8723" t="s">
        <v>7672</v>
      </c>
      <c r="G8723" t="s">
        <v>27118</v>
      </c>
      <c r="H8723" t="s">
        <v>8779</v>
      </c>
      <c r="I8723" t="s">
        <v>9606</v>
      </c>
      <c r="J8723" t="s">
        <v>7703</v>
      </c>
    </row>
    <row r="8724" spans="1:10" x14ac:dyDescent="0.25">
      <c r="A8724" t="s">
        <v>27127</v>
      </c>
      <c r="B8724">
        <v>32</v>
      </c>
      <c r="C8724" t="s">
        <v>27128</v>
      </c>
      <c r="D8724" t="s">
        <v>330</v>
      </c>
      <c r="E8724" t="s">
        <v>27117</v>
      </c>
      <c r="F8724" t="s">
        <v>7672</v>
      </c>
      <c r="G8724" t="s">
        <v>27118</v>
      </c>
      <c r="H8724" t="s">
        <v>8779</v>
      </c>
      <c r="I8724" t="s">
        <v>9606</v>
      </c>
      <c r="J8724" t="s">
        <v>7713</v>
      </c>
    </row>
    <row r="8725" spans="1:10" x14ac:dyDescent="0.25">
      <c r="A8725" t="s">
        <v>27129</v>
      </c>
      <c r="B8725">
        <v>20.992000000000001</v>
      </c>
      <c r="C8725" t="s">
        <v>27130</v>
      </c>
      <c r="D8725" t="s">
        <v>60</v>
      </c>
      <c r="E8725" t="s">
        <v>27131</v>
      </c>
      <c r="F8725" t="s">
        <v>7672</v>
      </c>
      <c r="G8725" t="s">
        <v>27132</v>
      </c>
      <c r="H8725" t="s">
        <v>11598</v>
      </c>
      <c r="I8725" t="s">
        <v>12249</v>
      </c>
      <c r="J8725" t="s">
        <v>8013</v>
      </c>
    </row>
    <row r="8726" spans="1:10" x14ac:dyDescent="0.25">
      <c r="A8726" t="s">
        <v>27133</v>
      </c>
      <c r="B8726">
        <v>3.6</v>
      </c>
      <c r="C8726" t="s">
        <v>27134</v>
      </c>
      <c r="D8726" t="s">
        <v>8193</v>
      </c>
      <c r="E8726" t="s">
        <v>27135</v>
      </c>
      <c r="F8726" t="s">
        <v>7672</v>
      </c>
      <c r="G8726" t="s">
        <v>27136</v>
      </c>
      <c r="H8726" t="s">
        <v>8515</v>
      </c>
      <c r="I8726" t="s">
        <v>27137</v>
      </c>
      <c r="J8726" t="s">
        <v>10369</v>
      </c>
    </row>
    <row r="8727" spans="1:10" x14ac:dyDescent="0.25">
      <c r="A8727" t="s">
        <v>27138</v>
      </c>
      <c r="B8727">
        <v>5.5920000000000014</v>
      </c>
      <c r="C8727" t="s">
        <v>27139</v>
      </c>
      <c r="D8727" t="s">
        <v>40</v>
      </c>
      <c r="E8727" t="s">
        <v>27140</v>
      </c>
      <c r="F8727" t="s">
        <v>7672</v>
      </c>
      <c r="G8727" t="s">
        <v>27141</v>
      </c>
      <c r="H8727" t="s">
        <v>7674</v>
      </c>
      <c r="I8727" t="s">
        <v>9341</v>
      </c>
      <c r="J8727" t="s">
        <v>9107</v>
      </c>
    </row>
    <row r="8728" spans="1:10" x14ac:dyDescent="0.25">
      <c r="A8728" t="s">
        <v>27142</v>
      </c>
      <c r="B8728">
        <v>5.5920000000000014</v>
      </c>
      <c r="C8728" t="s">
        <v>27143</v>
      </c>
      <c r="D8728" t="s">
        <v>5716</v>
      </c>
      <c r="E8728" t="s">
        <v>27140</v>
      </c>
      <c r="F8728" t="s">
        <v>7672</v>
      </c>
      <c r="G8728" t="s">
        <v>27141</v>
      </c>
      <c r="H8728" t="s">
        <v>7674</v>
      </c>
      <c r="I8728" t="s">
        <v>9341</v>
      </c>
      <c r="J8728" t="s">
        <v>9110</v>
      </c>
    </row>
    <row r="8729" spans="1:10" x14ac:dyDescent="0.25">
      <c r="A8729" t="s">
        <v>27144</v>
      </c>
      <c r="B8729">
        <v>5.5920000000000014</v>
      </c>
      <c r="C8729" t="s">
        <v>27145</v>
      </c>
      <c r="D8729" t="s">
        <v>1832</v>
      </c>
      <c r="E8729" t="s">
        <v>27140</v>
      </c>
      <c r="F8729" t="s">
        <v>7672</v>
      </c>
      <c r="G8729" t="s">
        <v>27141</v>
      </c>
      <c r="H8729" t="s">
        <v>7674</v>
      </c>
      <c r="I8729" t="s">
        <v>9341</v>
      </c>
      <c r="J8729" t="s">
        <v>11368</v>
      </c>
    </row>
    <row r="8730" spans="1:10" x14ac:dyDescent="0.25">
      <c r="A8730" t="s">
        <v>27146</v>
      </c>
      <c r="B8730">
        <v>5.5920000000000014</v>
      </c>
      <c r="C8730" t="s">
        <v>27147</v>
      </c>
      <c r="D8730" t="s">
        <v>8336</v>
      </c>
      <c r="E8730" t="s">
        <v>27140</v>
      </c>
      <c r="F8730" t="s">
        <v>7672</v>
      </c>
      <c r="G8730" t="s">
        <v>27141</v>
      </c>
      <c r="H8730" t="s">
        <v>7674</v>
      </c>
      <c r="I8730" t="s">
        <v>9341</v>
      </c>
      <c r="J8730" t="s">
        <v>11373</v>
      </c>
    </row>
    <row r="8731" spans="1:10" x14ac:dyDescent="0.25">
      <c r="A8731" t="s">
        <v>27148</v>
      </c>
      <c r="B8731">
        <v>5.5920000000000014</v>
      </c>
      <c r="C8731" t="s">
        <v>27149</v>
      </c>
      <c r="D8731" t="s">
        <v>9509</v>
      </c>
      <c r="E8731" t="s">
        <v>27140</v>
      </c>
      <c r="F8731" t="s">
        <v>7672</v>
      </c>
      <c r="G8731" t="s">
        <v>27141</v>
      </c>
      <c r="H8731" t="s">
        <v>7674</v>
      </c>
      <c r="I8731" t="s">
        <v>9341</v>
      </c>
      <c r="J8731" t="s">
        <v>11376</v>
      </c>
    </row>
    <row r="8732" spans="1:10" x14ac:dyDescent="0.25">
      <c r="A8732" t="s">
        <v>27150</v>
      </c>
      <c r="B8732">
        <v>5.5920000000000014</v>
      </c>
      <c r="C8732" t="s">
        <v>27151</v>
      </c>
      <c r="D8732" t="s">
        <v>849</v>
      </c>
      <c r="E8732" t="s">
        <v>27140</v>
      </c>
      <c r="F8732" t="s">
        <v>7672</v>
      </c>
      <c r="G8732" t="s">
        <v>27141</v>
      </c>
      <c r="H8732" t="s">
        <v>7674</v>
      </c>
      <c r="I8732" t="s">
        <v>9338</v>
      </c>
      <c r="J8732" t="s">
        <v>11376</v>
      </c>
    </row>
    <row r="8733" spans="1:10" x14ac:dyDescent="0.25">
      <c r="A8733" t="s">
        <v>27152</v>
      </c>
      <c r="B8733">
        <v>5.5920000000000014</v>
      </c>
      <c r="C8733" t="s">
        <v>27153</v>
      </c>
      <c r="D8733" t="s">
        <v>3175</v>
      </c>
      <c r="E8733" t="s">
        <v>27140</v>
      </c>
      <c r="F8733" t="s">
        <v>7672</v>
      </c>
      <c r="G8733" t="s">
        <v>27141</v>
      </c>
      <c r="H8733" t="s">
        <v>7674</v>
      </c>
      <c r="I8733" t="s">
        <v>9341</v>
      </c>
      <c r="J8733" t="s">
        <v>9114</v>
      </c>
    </row>
    <row r="8734" spans="1:10" x14ac:dyDescent="0.25">
      <c r="A8734" t="s">
        <v>27154</v>
      </c>
      <c r="B8734">
        <v>5.5920000000000014</v>
      </c>
      <c r="C8734" t="s">
        <v>27155</v>
      </c>
      <c r="D8734" t="s">
        <v>100</v>
      </c>
      <c r="E8734" t="s">
        <v>27140</v>
      </c>
      <c r="F8734" t="s">
        <v>7672</v>
      </c>
      <c r="G8734" t="s">
        <v>27141</v>
      </c>
      <c r="H8734" t="s">
        <v>7674</v>
      </c>
      <c r="I8734" t="s">
        <v>9338</v>
      </c>
      <c r="J8734" t="s">
        <v>9114</v>
      </c>
    </row>
    <row r="8735" spans="1:10" x14ac:dyDescent="0.25">
      <c r="A8735" t="s">
        <v>27156</v>
      </c>
      <c r="B8735">
        <v>4.3120000000000003</v>
      </c>
      <c r="C8735" t="s">
        <v>27157</v>
      </c>
      <c r="D8735" t="s">
        <v>330</v>
      </c>
      <c r="E8735" t="s">
        <v>27158</v>
      </c>
      <c r="F8735" t="s">
        <v>7672</v>
      </c>
      <c r="G8735" t="s">
        <v>27159</v>
      </c>
      <c r="H8735" t="s">
        <v>7674</v>
      </c>
      <c r="I8735" t="s">
        <v>27160</v>
      </c>
      <c r="J8735" t="s">
        <v>16039</v>
      </c>
    </row>
    <row r="8736" spans="1:10" x14ac:dyDescent="0.25">
      <c r="A8736" t="s">
        <v>27161</v>
      </c>
      <c r="B8736">
        <v>4.3120000000000003</v>
      </c>
      <c r="C8736" t="s">
        <v>27162</v>
      </c>
      <c r="D8736" t="s">
        <v>385</v>
      </c>
      <c r="E8736" t="s">
        <v>27158</v>
      </c>
      <c r="F8736" t="s">
        <v>7672</v>
      </c>
      <c r="G8736" t="s">
        <v>27159</v>
      </c>
      <c r="H8736" t="s">
        <v>7674</v>
      </c>
      <c r="I8736" t="s">
        <v>21299</v>
      </c>
      <c r="J8736" t="s">
        <v>16039</v>
      </c>
    </row>
    <row r="8737" spans="1:10" x14ac:dyDescent="0.25">
      <c r="A8737" t="s">
        <v>27163</v>
      </c>
      <c r="B8737">
        <v>4.3120000000000003</v>
      </c>
      <c r="C8737" t="s">
        <v>27164</v>
      </c>
      <c r="D8737" t="s">
        <v>352</v>
      </c>
      <c r="E8737" t="s">
        <v>27158</v>
      </c>
      <c r="F8737" t="s">
        <v>7672</v>
      </c>
      <c r="G8737" t="s">
        <v>27159</v>
      </c>
      <c r="H8737" t="s">
        <v>7674</v>
      </c>
      <c r="I8737" t="s">
        <v>16061</v>
      </c>
      <c r="J8737" t="s">
        <v>16039</v>
      </c>
    </row>
    <row r="8738" spans="1:10" x14ac:dyDescent="0.25">
      <c r="A8738" t="s">
        <v>27165</v>
      </c>
      <c r="B8738">
        <v>4.3120000000000003</v>
      </c>
      <c r="C8738" t="s">
        <v>27166</v>
      </c>
      <c r="D8738" t="s">
        <v>199</v>
      </c>
      <c r="E8738" t="s">
        <v>27158</v>
      </c>
      <c r="F8738" t="s">
        <v>7672</v>
      </c>
      <c r="G8738" t="s">
        <v>27159</v>
      </c>
      <c r="H8738" t="s">
        <v>7674</v>
      </c>
      <c r="I8738" t="s">
        <v>27160</v>
      </c>
      <c r="J8738" t="s">
        <v>16064</v>
      </c>
    </row>
    <row r="8739" spans="1:10" x14ac:dyDescent="0.25">
      <c r="A8739" t="s">
        <v>27167</v>
      </c>
      <c r="B8739">
        <v>4.3120000000000003</v>
      </c>
      <c r="C8739" t="s">
        <v>27168</v>
      </c>
      <c r="D8739" t="s">
        <v>1143</v>
      </c>
      <c r="E8739" t="s">
        <v>27158</v>
      </c>
      <c r="F8739" t="s">
        <v>7672</v>
      </c>
      <c r="G8739" t="s">
        <v>27159</v>
      </c>
      <c r="H8739" t="s">
        <v>7674</v>
      </c>
      <c r="I8739" t="s">
        <v>16061</v>
      </c>
      <c r="J8739" t="s">
        <v>16064</v>
      </c>
    </row>
    <row r="8740" spans="1:10" x14ac:dyDescent="0.25">
      <c r="A8740" t="s">
        <v>27169</v>
      </c>
      <c r="B8740">
        <v>4.3120000000000003</v>
      </c>
      <c r="C8740" t="s">
        <v>27170</v>
      </c>
      <c r="D8740" t="s">
        <v>926</v>
      </c>
      <c r="E8740" t="s">
        <v>27158</v>
      </c>
      <c r="F8740" t="s">
        <v>7672</v>
      </c>
      <c r="G8740" t="s">
        <v>27159</v>
      </c>
      <c r="H8740" t="s">
        <v>7674</v>
      </c>
      <c r="I8740" t="s">
        <v>21299</v>
      </c>
      <c r="J8740" t="s">
        <v>16064</v>
      </c>
    </row>
    <row r="8741" spans="1:10" x14ac:dyDescent="0.25">
      <c r="A8741" t="s">
        <v>27171</v>
      </c>
      <c r="B8741">
        <v>4.3120000000000003</v>
      </c>
      <c r="C8741" t="s">
        <v>27172</v>
      </c>
      <c r="D8741" t="s">
        <v>870</v>
      </c>
      <c r="E8741" t="s">
        <v>27158</v>
      </c>
      <c r="F8741" t="s">
        <v>7672</v>
      </c>
      <c r="G8741" t="s">
        <v>27159</v>
      </c>
      <c r="H8741" t="s">
        <v>7674</v>
      </c>
      <c r="I8741" t="s">
        <v>16061</v>
      </c>
      <c r="J8741" t="s">
        <v>16089</v>
      </c>
    </row>
    <row r="8742" spans="1:10" x14ac:dyDescent="0.25">
      <c r="A8742" t="s">
        <v>27173</v>
      </c>
      <c r="B8742">
        <v>4.3120000000000003</v>
      </c>
      <c r="C8742" t="s">
        <v>27174</v>
      </c>
      <c r="D8742" t="s">
        <v>5592</v>
      </c>
      <c r="E8742" t="s">
        <v>27158</v>
      </c>
      <c r="F8742" t="s">
        <v>7672</v>
      </c>
      <c r="G8742" t="s">
        <v>27159</v>
      </c>
      <c r="H8742" t="s">
        <v>7674</v>
      </c>
      <c r="I8742" t="s">
        <v>21299</v>
      </c>
      <c r="J8742" t="s">
        <v>16089</v>
      </c>
    </row>
    <row r="8743" spans="1:10" x14ac:dyDescent="0.25">
      <c r="A8743" t="s">
        <v>27175</v>
      </c>
      <c r="B8743">
        <v>4.3120000000000003</v>
      </c>
      <c r="C8743" t="s">
        <v>27176</v>
      </c>
      <c r="D8743" t="s">
        <v>53</v>
      </c>
      <c r="E8743" t="s">
        <v>27158</v>
      </c>
      <c r="F8743" t="s">
        <v>7672</v>
      </c>
      <c r="G8743" t="s">
        <v>27159</v>
      </c>
      <c r="H8743" t="s">
        <v>7674</v>
      </c>
      <c r="I8743" t="s">
        <v>16061</v>
      </c>
      <c r="J8743" t="s">
        <v>16104</v>
      </c>
    </row>
    <row r="8744" spans="1:10" x14ac:dyDescent="0.25">
      <c r="A8744" t="s">
        <v>27177</v>
      </c>
      <c r="B8744">
        <v>4.3120000000000003</v>
      </c>
      <c r="C8744" t="s">
        <v>27178</v>
      </c>
      <c r="D8744" t="s">
        <v>835</v>
      </c>
      <c r="E8744" t="s">
        <v>27158</v>
      </c>
      <c r="F8744" t="s">
        <v>7672</v>
      </c>
      <c r="G8744" t="s">
        <v>27159</v>
      </c>
      <c r="H8744" t="s">
        <v>7674</v>
      </c>
      <c r="I8744" t="s">
        <v>21299</v>
      </c>
      <c r="J8744" t="s">
        <v>16104</v>
      </c>
    </row>
    <row r="8745" spans="1:10" x14ac:dyDescent="0.25">
      <c r="A8745" t="s">
        <v>27179</v>
      </c>
      <c r="B8745">
        <v>4.3120000000000003</v>
      </c>
      <c r="C8745" t="s">
        <v>27180</v>
      </c>
      <c r="D8745" t="s">
        <v>164</v>
      </c>
      <c r="E8745" t="s">
        <v>27158</v>
      </c>
      <c r="F8745" t="s">
        <v>7672</v>
      </c>
      <c r="G8745" t="s">
        <v>27159</v>
      </c>
      <c r="H8745" t="s">
        <v>7674</v>
      </c>
      <c r="I8745" t="s">
        <v>16061</v>
      </c>
      <c r="J8745" t="s">
        <v>16125</v>
      </c>
    </row>
    <row r="8746" spans="1:10" x14ac:dyDescent="0.25">
      <c r="A8746" t="s">
        <v>27181</v>
      </c>
      <c r="B8746">
        <v>4.3120000000000003</v>
      </c>
      <c r="C8746" t="s">
        <v>27182</v>
      </c>
      <c r="D8746" t="s">
        <v>1236</v>
      </c>
      <c r="E8746" t="s">
        <v>27158</v>
      </c>
      <c r="F8746" t="s">
        <v>7672</v>
      </c>
      <c r="G8746" t="s">
        <v>27159</v>
      </c>
      <c r="H8746" t="s">
        <v>7674</v>
      </c>
      <c r="I8746" t="s">
        <v>21299</v>
      </c>
      <c r="J8746" t="s">
        <v>16125</v>
      </c>
    </row>
    <row r="8747" spans="1:10" x14ac:dyDescent="0.25">
      <c r="A8747" t="s">
        <v>27183</v>
      </c>
      <c r="B8747">
        <v>9.120000000000001</v>
      </c>
      <c r="C8747" t="s">
        <v>27184</v>
      </c>
      <c r="D8747" t="s">
        <v>88</v>
      </c>
      <c r="E8747" t="s">
        <v>27185</v>
      </c>
      <c r="F8747" t="s">
        <v>7672</v>
      </c>
      <c r="G8747" t="s">
        <v>27186</v>
      </c>
      <c r="H8747" t="s">
        <v>11037</v>
      </c>
      <c r="I8747" t="s">
        <v>8747</v>
      </c>
      <c r="J8747" t="s">
        <v>8439</v>
      </c>
    </row>
    <row r="8748" spans="1:10" x14ac:dyDescent="0.25">
      <c r="A8748" t="s">
        <v>27187</v>
      </c>
      <c r="B8748">
        <v>8</v>
      </c>
      <c r="C8748" t="s">
        <v>27188</v>
      </c>
      <c r="D8748" t="s">
        <v>1097</v>
      </c>
      <c r="E8748" t="s">
        <v>27189</v>
      </c>
      <c r="F8748" t="s">
        <v>7672</v>
      </c>
      <c r="G8748" t="s">
        <v>27190</v>
      </c>
      <c r="H8748" t="s">
        <v>11381</v>
      </c>
      <c r="I8748" t="s">
        <v>18985</v>
      </c>
      <c r="J8748" t="s">
        <v>7675</v>
      </c>
    </row>
    <row r="8749" spans="1:10" x14ac:dyDescent="0.25">
      <c r="A8749" t="s">
        <v>27191</v>
      </c>
      <c r="B8749">
        <v>8</v>
      </c>
      <c r="C8749" t="s">
        <v>27192</v>
      </c>
      <c r="D8749" t="s">
        <v>352</v>
      </c>
      <c r="E8749" t="s">
        <v>27189</v>
      </c>
      <c r="F8749" t="s">
        <v>7672</v>
      </c>
      <c r="G8749" t="s">
        <v>27190</v>
      </c>
      <c r="H8749" t="s">
        <v>11381</v>
      </c>
      <c r="I8749" t="s">
        <v>278</v>
      </c>
      <c r="J8749" t="s">
        <v>7675</v>
      </c>
    </row>
    <row r="8750" spans="1:10" x14ac:dyDescent="0.25">
      <c r="A8750" t="s">
        <v>27193</v>
      </c>
      <c r="B8750">
        <v>8</v>
      </c>
      <c r="C8750" t="s">
        <v>27194</v>
      </c>
      <c r="D8750" t="s">
        <v>199</v>
      </c>
      <c r="E8750" t="s">
        <v>27189</v>
      </c>
      <c r="F8750" t="s">
        <v>7672</v>
      </c>
      <c r="G8750" t="s">
        <v>27190</v>
      </c>
      <c r="H8750" t="s">
        <v>11381</v>
      </c>
      <c r="I8750" t="s">
        <v>25669</v>
      </c>
      <c r="J8750" t="s">
        <v>7675</v>
      </c>
    </row>
    <row r="8751" spans="1:10" x14ac:dyDescent="0.25">
      <c r="A8751" t="s">
        <v>27195</v>
      </c>
      <c r="B8751">
        <v>8</v>
      </c>
      <c r="C8751" t="s">
        <v>27196</v>
      </c>
      <c r="D8751" t="s">
        <v>671</v>
      </c>
      <c r="E8751" t="s">
        <v>27189</v>
      </c>
      <c r="F8751" t="s">
        <v>7672</v>
      </c>
      <c r="G8751" t="s">
        <v>27190</v>
      </c>
      <c r="H8751" t="s">
        <v>11381</v>
      </c>
      <c r="I8751" t="s">
        <v>76</v>
      </c>
      <c r="J8751" t="s">
        <v>7675</v>
      </c>
    </row>
    <row r="8752" spans="1:10" x14ac:dyDescent="0.25">
      <c r="A8752" t="s">
        <v>27197</v>
      </c>
      <c r="B8752">
        <v>8</v>
      </c>
      <c r="C8752" t="s">
        <v>27198</v>
      </c>
      <c r="D8752" t="s">
        <v>671</v>
      </c>
      <c r="E8752" t="s">
        <v>27189</v>
      </c>
      <c r="F8752" t="s">
        <v>7672</v>
      </c>
      <c r="G8752" t="s">
        <v>27190</v>
      </c>
      <c r="H8752" t="s">
        <v>11381</v>
      </c>
      <c r="I8752" t="s">
        <v>25672</v>
      </c>
      <c r="J8752" t="s">
        <v>7675</v>
      </c>
    </row>
    <row r="8753" spans="1:10" x14ac:dyDescent="0.25">
      <c r="A8753" t="s">
        <v>27199</v>
      </c>
      <c r="B8753">
        <v>8</v>
      </c>
      <c r="C8753" t="s">
        <v>27200</v>
      </c>
      <c r="D8753" t="s">
        <v>2099</v>
      </c>
      <c r="E8753" t="s">
        <v>27189</v>
      </c>
      <c r="F8753" t="s">
        <v>7672</v>
      </c>
      <c r="G8753" t="s">
        <v>27190</v>
      </c>
      <c r="H8753" t="s">
        <v>11381</v>
      </c>
      <c r="I8753" t="s">
        <v>18985</v>
      </c>
      <c r="J8753" t="s">
        <v>7686</v>
      </c>
    </row>
    <row r="8754" spans="1:10" x14ac:dyDescent="0.25">
      <c r="A8754" t="s">
        <v>27201</v>
      </c>
      <c r="B8754">
        <v>8</v>
      </c>
      <c r="C8754" t="s">
        <v>27202</v>
      </c>
      <c r="D8754" t="s">
        <v>255</v>
      </c>
      <c r="E8754" t="s">
        <v>27189</v>
      </c>
      <c r="F8754" t="s">
        <v>7672</v>
      </c>
      <c r="G8754" t="s">
        <v>27190</v>
      </c>
      <c r="H8754" t="s">
        <v>11381</v>
      </c>
      <c r="I8754" t="s">
        <v>76</v>
      </c>
      <c r="J8754" t="s">
        <v>7686</v>
      </c>
    </row>
    <row r="8755" spans="1:10" x14ac:dyDescent="0.25">
      <c r="A8755" t="s">
        <v>27203</v>
      </c>
      <c r="B8755">
        <v>8</v>
      </c>
      <c r="C8755" t="s">
        <v>27204</v>
      </c>
      <c r="D8755" t="s">
        <v>705</v>
      </c>
      <c r="E8755" t="s">
        <v>27189</v>
      </c>
      <c r="F8755" t="s">
        <v>7672</v>
      </c>
      <c r="G8755" t="s">
        <v>27190</v>
      </c>
      <c r="H8755" t="s">
        <v>11381</v>
      </c>
      <c r="I8755" t="s">
        <v>278</v>
      </c>
      <c r="J8755" t="s">
        <v>7686</v>
      </c>
    </row>
    <row r="8756" spans="1:10" x14ac:dyDescent="0.25">
      <c r="A8756" t="s">
        <v>27205</v>
      </c>
      <c r="B8756">
        <v>8</v>
      </c>
      <c r="C8756" t="s">
        <v>27206</v>
      </c>
      <c r="D8756" t="s">
        <v>1236</v>
      </c>
      <c r="E8756" t="s">
        <v>27189</v>
      </c>
      <c r="F8756" t="s">
        <v>7672</v>
      </c>
      <c r="G8756" t="s">
        <v>27190</v>
      </c>
      <c r="H8756" t="s">
        <v>11381</v>
      </c>
      <c r="I8756" t="s">
        <v>25672</v>
      </c>
      <c r="J8756" t="s">
        <v>7686</v>
      </c>
    </row>
    <row r="8757" spans="1:10" x14ac:dyDescent="0.25">
      <c r="A8757" t="s">
        <v>27207</v>
      </c>
      <c r="B8757">
        <v>8</v>
      </c>
      <c r="C8757" t="s">
        <v>27208</v>
      </c>
      <c r="D8757" t="s">
        <v>849</v>
      </c>
      <c r="E8757" t="s">
        <v>27189</v>
      </c>
      <c r="F8757" t="s">
        <v>7672</v>
      </c>
      <c r="G8757" t="s">
        <v>27190</v>
      </c>
      <c r="H8757" t="s">
        <v>11381</v>
      </c>
      <c r="I8757" t="s">
        <v>25669</v>
      </c>
      <c r="J8757" t="s">
        <v>7686</v>
      </c>
    </row>
    <row r="8758" spans="1:10" x14ac:dyDescent="0.25">
      <c r="A8758" t="s">
        <v>27209</v>
      </c>
      <c r="B8758">
        <v>8</v>
      </c>
      <c r="C8758" t="s">
        <v>27210</v>
      </c>
      <c r="D8758" t="s">
        <v>113</v>
      </c>
      <c r="E8758" t="s">
        <v>27189</v>
      </c>
      <c r="F8758" t="s">
        <v>7672</v>
      </c>
      <c r="G8758" t="s">
        <v>27190</v>
      </c>
      <c r="H8758" t="s">
        <v>11381</v>
      </c>
      <c r="I8758" t="s">
        <v>76</v>
      </c>
      <c r="J8758" t="s">
        <v>7703</v>
      </c>
    </row>
    <row r="8759" spans="1:10" x14ac:dyDescent="0.25">
      <c r="A8759" t="s">
        <v>27211</v>
      </c>
      <c r="B8759">
        <v>8</v>
      </c>
      <c r="C8759" t="s">
        <v>27212</v>
      </c>
      <c r="D8759" t="s">
        <v>870</v>
      </c>
      <c r="E8759" t="s">
        <v>27189</v>
      </c>
      <c r="F8759" t="s">
        <v>7672</v>
      </c>
      <c r="G8759" t="s">
        <v>27190</v>
      </c>
      <c r="H8759" t="s">
        <v>11381</v>
      </c>
      <c r="I8759" t="s">
        <v>18985</v>
      </c>
      <c r="J8759" t="s">
        <v>7703</v>
      </c>
    </row>
    <row r="8760" spans="1:10" x14ac:dyDescent="0.25">
      <c r="A8760" t="s">
        <v>27213</v>
      </c>
      <c r="B8760">
        <v>8</v>
      </c>
      <c r="C8760" t="s">
        <v>27214</v>
      </c>
      <c r="D8760" t="s">
        <v>4100</v>
      </c>
      <c r="E8760" t="s">
        <v>27189</v>
      </c>
      <c r="F8760" t="s">
        <v>7672</v>
      </c>
      <c r="G8760" t="s">
        <v>27190</v>
      </c>
      <c r="H8760" t="s">
        <v>11381</v>
      </c>
      <c r="I8760" t="s">
        <v>278</v>
      </c>
      <c r="J8760" t="s">
        <v>7703</v>
      </c>
    </row>
    <row r="8761" spans="1:10" x14ac:dyDescent="0.25">
      <c r="A8761" t="s">
        <v>27215</v>
      </c>
      <c r="B8761">
        <v>8</v>
      </c>
      <c r="C8761" t="s">
        <v>27216</v>
      </c>
      <c r="D8761" t="s">
        <v>352</v>
      </c>
      <c r="E8761" t="s">
        <v>27189</v>
      </c>
      <c r="F8761" t="s">
        <v>7672</v>
      </c>
      <c r="G8761" t="s">
        <v>27190</v>
      </c>
      <c r="H8761" t="s">
        <v>11381</v>
      </c>
      <c r="I8761" t="s">
        <v>25672</v>
      </c>
      <c r="J8761" t="s">
        <v>7703</v>
      </c>
    </row>
    <row r="8762" spans="1:10" x14ac:dyDescent="0.25">
      <c r="A8762" t="s">
        <v>27217</v>
      </c>
      <c r="B8762">
        <v>8</v>
      </c>
      <c r="C8762" t="s">
        <v>27218</v>
      </c>
      <c r="D8762" t="s">
        <v>240</v>
      </c>
      <c r="E8762" t="s">
        <v>27189</v>
      </c>
      <c r="F8762" t="s">
        <v>7672</v>
      </c>
      <c r="G8762" t="s">
        <v>27190</v>
      </c>
      <c r="H8762" t="s">
        <v>11381</v>
      </c>
      <c r="I8762" t="s">
        <v>25669</v>
      </c>
      <c r="J8762" t="s">
        <v>7703</v>
      </c>
    </row>
    <row r="8763" spans="1:10" x14ac:dyDescent="0.25">
      <c r="A8763" t="s">
        <v>27219</v>
      </c>
      <c r="B8763">
        <v>8</v>
      </c>
      <c r="C8763" t="s">
        <v>27220</v>
      </c>
      <c r="D8763" t="s">
        <v>613</v>
      </c>
      <c r="E8763" t="s">
        <v>27189</v>
      </c>
      <c r="F8763" t="s">
        <v>7672</v>
      </c>
      <c r="G8763" t="s">
        <v>27190</v>
      </c>
      <c r="H8763" t="s">
        <v>11381</v>
      </c>
      <c r="I8763" t="s">
        <v>25672</v>
      </c>
      <c r="J8763" t="s">
        <v>7713</v>
      </c>
    </row>
    <row r="8764" spans="1:10" x14ac:dyDescent="0.25">
      <c r="A8764" t="s">
        <v>27221</v>
      </c>
      <c r="B8764">
        <v>8</v>
      </c>
      <c r="C8764" t="s">
        <v>27222</v>
      </c>
      <c r="D8764" t="s">
        <v>633</v>
      </c>
      <c r="E8764" t="s">
        <v>27189</v>
      </c>
      <c r="F8764" t="s">
        <v>7672</v>
      </c>
      <c r="G8764" t="s">
        <v>27190</v>
      </c>
      <c r="H8764" t="s">
        <v>11381</v>
      </c>
      <c r="I8764" t="s">
        <v>18985</v>
      </c>
      <c r="J8764" t="s">
        <v>7713</v>
      </c>
    </row>
    <row r="8765" spans="1:10" x14ac:dyDescent="0.25">
      <c r="A8765" t="s">
        <v>27223</v>
      </c>
      <c r="B8765">
        <v>8</v>
      </c>
      <c r="C8765" t="s">
        <v>27224</v>
      </c>
      <c r="D8765" t="s">
        <v>843</v>
      </c>
      <c r="E8765" t="s">
        <v>27189</v>
      </c>
      <c r="F8765" t="s">
        <v>7672</v>
      </c>
      <c r="G8765" t="s">
        <v>27190</v>
      </c>
      <c r="H8765" t="s">
        <v>11381</v>
      </c>
      <c r="I8765" t="s">
        <v>278</v>
      </c>
      <c r="J8765" t="s">
        <v>7713</v>
      </c>
    </row>
    <row r="8766" spans="1:10" x14ac:dyDescent="0.25">
      <c r="A8766" t="s">
        <v>27225</v>
      </c>
      <c r="B8766">
        <v>8</v>
      </c>
      <c r="C8766" t="s">
        <v>27226</v>
      </c>
      <c r="D8766" t="s">
        <v>613</v>
      </c>
      <c r="E8766" t="s">
        <v>27189</v>
      </c>
      <c r="F8766" t="s">
        <v>7672</v>
      </c>
      <c r="G8766" t="s">
        <v>27190</v>
      </c>
      <c r="H8766" t="s">
        <v>11381</v>
      </c>
      <c r="I8766" t="s">
        <v>18985</v>
      </c>
      <c r="J8766" t="s">
        <v>7719</v>
      </c>
    </row>
    <row r="8767" spans="1:10" x14ac:dyDescent="0.25">
      <c r="A8767" t="s">
        <v>27227</v>
      </c>
      <c r="B8767">
        <v>8</v>
      </c>
      <c r="C8767" t="s">
        <v>27228</v>
      </c>
      <c r="D8767" t="s">
        <v>250</v>
      </c>
      <c r="E8767" t="s">
        <v>27189</v>
      </c>
      <c r="F8767" t="s">
        <v>7672</v>
      </c>
      <c r="G8767" t="s">
        <v>27190</v>
      </c>
      <c r="H8767" t="s">
        <v>11381</v>
      </c>
      <c r="I8767" t="s">
        <v>278</v>
      </c>
      <c r="J8767" t="s">
        <v>7719</v>
      </c>
    </row>
    <row r="8768" spans="1:10" x14ac:dyDescent="0.25">
      <c r="A8768" t="s">
        <v>27229</v>
      </c>
      <c r="B8768">
        <v>10.56</v>
      </c>
      <c r="C8768" t="s">
        <v>27230</v>
      </c>
      <c r="D8768" t="s">
        <v>240</v>
      </c>
      <c r="E8768" t="s">
        <v>27231</v>
      </c>
      <c r="F8768" t="s">
        <v>7672</v>
      </c>
      <c r="G8768" t="s">
        <v>27232</v>
      </c>
      <c r="H8768" t="s">
        <v>10298</v>
      </c>
      <c r="I8768" t="s">
        <v>27233</v>
      </c>
      <c r="J8768" t="s">
        <v>7981</v>
      </c>
    </row>
    <row r="8769" spans="1:10" x14ac:dyDescent="0.25">
      <c r="A8769" t="s">
        <v>27234</v>
      </c>
      <c r="B8769">
        <v>10.56</v>
      </c>
      <c r="C8769" t="s">
        <v>27235</v>
      </c>
      <c r="D8769" t="s">
        <v>4584</v>
      </c>
      <c r="E8769" t="s">
        <v>27231</v>
      </c>
      <c r="F8769" t="s">
        <v>7672</v>
      </c>
      <c r="G8769" t="s">
        <v>27232</v>
      </c>
      <c r="H8769" t="s">
        <v>10298</v>
      </c>
      <c r="I8769" t="s">
        <v>27233</v>
      </c>
      <c r="J8769" t="s">
        <v>7984</v>
      </c>
    </row>
    <row r="8770" spans="1:10" x14ac:dyDescent="0.25">
      <c r="A8770" t="s">
        <v>27236</v>
      </c>
      <c r="B8770">
        <v>10.56</v>
      </c>
      <c r="C8770" t="s">
        <v>27237</v>
      </c>
      <c r="D8770" t="s">
        <v>199</v>
      </c>
      <c r="E8770" t="s">
        <v>27231</v>
      </c>
      <c r="F8770" t="s">
        <v>7672</v>
      </c>
      <c r="G8770" t="s">
        <v>27232</v>
      </c>
      <c r="H8770" t="s">
        <v>10298</v>
      </c>
      <c r="I8770" t="s">
        <v>27233</v>
      </c>
      <c r="J8770" t="s">
        <v>8603</v>
      </c>
    </row>
    <row r="8771" spans="1:10" x14ac:dyDescent="0.25">
      <c r="A8771" t="s">
        <v>27238</v>
      </c>
      <c r="B8771">
        <v>10.56</v>
      </c>
      <c r="C8771" t="s">
        <v>27239</v>
      </c>
      <c r="D8771" t="s">
        <v>269</v>
      </c>
      <c r="E8771" t="s">
        <v>27231</v>
      </c>
      <c r="F8771" t="s">
        <v>7672</v>
      </c>
      <c r="G8771" t="s">
        <v>27232</v>
      </c>
      <c r="H8771" t="s">
        <v>10298</v>
      </c>
      <c r="I8771" t="s">
        <v>27233</v>
      </c>
      <c r="J8771" t="s">
        <v>8615</v>
      </c>
    </row>
    <row r="8772" spans="1:10" x14ac:dyDescent="0.25">
      <c r="A8772" t="s">
        <v>27240</v>
      </c>
      <c r="B8772">
        <v>10.56</v>
      </c>
      <c r="C8772" t="s">
        <v>27241</v>
      </c>
      <c r="D8772" t="s">
        <v>576</v>
      </c>
      <c r="E8772" t="s">
        <v>27231</v>
      </c>
      <c r="F8772" t="s">
        <v>7672</v>
      </c>
      <c r="G8772" t="s">
        <v>27232</v>
      </c>
      <c r="H8772" t="s">
        <v>10298</v>
      </c>
      <c r="I8772" t="s">
        <v>27233</v>
      </c>
      <c r="J8772" t="s">
        <v>8625</v>
      </c>
    </row>
    <row r="8773" spans="1:10" x14ac:dyDescent="0.25">
      <c r="A8773" t="s">
        <v>27242</v>
      </c>
      <c r="B8773">
        <v>10.56</v>
      </c>
      <c r="C8773" t="s">
        <v>27243</v>
      </c>
      <c r="D8773" t="s">
        <v>100</v>
      </c>
      <c r="E8773" t="s">
        <v>27231</v>
      </c>
      <c r="F8773" t="s">
        <v>7672</v>
      </c>
      <c r="G8773" t="s">
        <v>27232</v>
      </c>
      <c r="H8773" t="s">
        <v>10298</v>
      </c>
      <c r="I8773" t="s">
        <v>27233</v>
      </c>
      <c r="J8773" t="s">
        <v>8643</v>
      </c>
    </row>
    <row r="8774" spans="1:10" x14ac:dyDescent="0.25">
      <c r="A8774" t="s">
        <v>27244</v>
      </c>
      <c r="B8774">
        <v>8</v>
      </c>
      <c r="C8774" t="s">
        <v>27245</v>
      </c>
      <c r="D8774" t="s">
        <v>250</v>
      </c>
      <c r="E8774" t="s">
        <v>27246</v>
      </c>
      <c r="F8774" t="s">
        <v>7672</v>
      </c>
      <c r="G8774" t="s">
        <v>27247</v>
      </c>
      <c r="H8774" t="s">
        <v>8301</v>
      </c>
      <c r="I8774" t="s">
        <v>76</v>
      </c>
      <c r="J8774" t="s">
        <v>7942</v>
      </c>
    </row>
    <row r="8775" spans="1:10" x14ac:dyDescent="0.25">
      <c r="A8775" t="s">
        <v>27248</v>
      </c>
      <c r="B8775">
        <v>8</v>
      </c>
      <c r="C8775" t="s">
        <v>27249</v>
      </c>
      <c r="D8775" t="s">
        <v>1097</v>
      </c>
      <c r="E8775" t="s">
        <v>27246</v>
      </c>
      <c r="F8775" t="s">
        <v>7672</v>
      </c>
      <c r="G8775" t="s">
        <v>27247</v>
      </c>
      <c r="H8775" t="s">
        <v>8301</v>
      </c>
      <c r="I8775" t="s">
        <v>27250</v>
      </c>
      <c r="J8775" t="s">
        <v>7942</v>
      </c>
    </row>
    <row r="8776" spans="1:10" x14ac:dyDescent="0.25">
      <c r="A8776" t="s">
        <v>27251</v>
      </c>
      <c r="B8776">
        <v>8</v>
      </c>
      <c r="C8776" t="s">
        <v>27252</v>
      </c>
      <c r="D8776" t="s">
        <v>379</v>
      </c>
      <c r="E8776" t="s">
        <v>27246</v>
      </c>
      <c r="F8776" t="s">
        <v>7672</v>
      </c>
      <c r="G8776" t="s">
        <v>27247</v>
      </c>
      <c r="H8776" t="s">
        <v>8301</v>
      </c>
      <c r="I8776" t="s">
        <v>76</v>
      </c>
      <c r="J8776" t="s">
        <v>7981</v>
      </c>
    </row>
    <row r="8777" spans="1:10" x14ac:dyDescent="0.25">
      <c r="A8777" t="s">
        <v>27253</v>
      </c>
      <c r="B8777">
        <v>8</v>
      </c>
      <c r="C8777" t="s">
        <v>27254</v>
      </c>
      <c r="D8777" t="s">
        <v>7057</v>
      </c>
      <c r="E8777" t="s">
        <v>27246</v>
      </c>
      <c r="F8777" t="s">
        <v>7672</v>
      </c>
      <c r="G8777" t="s">
        <v>27247</v>
      </c>
      <c r="H8777" t="s">
        <v>8301</v>
      </c>
      <c r="I8777" t="s">
        <v>27250</v>
      </c>
      <c r="J8777" t="s">
        <v>7981</v>
      </c>
    </row>
    <row r="8778" spans="1:10" x14ac:dyDescent="0.25">
      <c r="A8778" t="s">
        <v>27255</v>
      </c>
      <c r="B8778">
        <v>8</v>
      </c>
      <c r="C8778" t="s">
        <v>27256</v>
      </c>
      <c r="D8778" t="s">
        <v>1852</v>
      </c>
      <c r="E8778" t="s">
        <v>27246</v>
      </c>
      <c r="F8778" t="s">
        <v>7672</v>
      </c>
      <c r="G8778" t="s">
        <v>27247</v>
      </c>
      <c r="H8778" t="s">
        <v>8301</v>
      </c>
      <c r="I8778" t="s">
        <v>76</v>
      </c>
      <c r="J8778" t="s">
        <v>7984</v>
      </c>
    </row>
    <row r="8779" spans="1:10" x14ac:dyDescent="0.25">
      <c r="A8779" t="s">
        <v>27257</v>
      </c>
      <c r="B8779">
        <v>8</v>
      </c>
      <c r="C8779" t="s">
        <v>27258</v>
      </c>
      <c r="D8779" t="s">
        <v>933</v>
      </c>
      <c r="E8779" t="s">
        <v>27246</v>
      </c>
      <c r="F8779" t="s">
        <v>7672</v>
      </c>
      <c r="G8779" t="s">
        <v>27247</v>
      </c>
      <c r="H8779" t="s">
        <v>8301</v>
      </c>
      <c r="I8779" t="s">
        <v>27250</v>
      </c>
      <c r="J8779" t="s">
        <v>7984</v>
      </c>
    </row>
    <row r="8780" spans="1:10" x14ac:dyDescent="0.25">
      <c r="A8780" t="s">
        <v>27259</v>
      </c>
      <c r="B8780">
        <v>8</v>
      </c>
      <c r="C8780" t="s">
        <v>27260</v>
      </c>
      <c r="D8780" t="s">
        <v>659</v>
      </c>
      <c r="E8780" t="s">
        <v>27246</v>
      </c>
      <c r="F8780" t="s">
        <v>7672</v>
      </c>
      <c r="G8780" t="s">
        <v>27247</v>
      </c>
      <c r="H8780" t="s">
        <v>8301</v>
      </c>
      <c r="I8780" t="s">
        <v>76</v>
      </c>
      <c r="J8780" t="s">
        <v>7987</v>
      </c>
    </row>
    <row r="8781" spans="1:10" x14ac:dyDescent="0.25">
      <c r="A8781" t="s">
        <v>27261</v>
      </c>
      <c r="B8781">
        <v>8</v>
      </c>
      <c r="C8781" t="s">
        <v>27262</v>
      </c>
      <c r="D8781" t="s">
        <v>2262</v>
      </c>
      <c r="E8781" t="s">
        <v>27246</v>
      </c>
      <c r="F8781" t="s">
        <v>7672</v>
      </c>
      <c r="G8781" t="s">
        <v>27247</v>
      </c>
      <c r="H8781" t="s">
        <v>8301</v>
      </c>
      <c r="I8781" t="s">
        <v>27250</v>
      </c>
      <c r="J8781" t="s">
        <v>7987</v>
      </c>
    </row>
    <row r="8782" spans="1:10" x14ac:dyDescent="0.25">
      <c r="A8782" t="s">
        <v>27263</v>
      </c>
      <c r="B8782">
        <v>8</v>
      </c>
      <c r="C8782" t="s">
        <v>27264</v>
      </c>
      <c r="D8782" t="s">
        <v>2879</v>
      </c>
      <c r="E8782" t="s">
        <v>27246</v>
      </c>
      <c r="F8782" t="s">
        <v>7672</v>
      </c>
      <c r="G8782" t="s">
        <v>27247</v>
      </c>
      <c r="H8782" t="s">
        <v>8301</v>
      </c>
      <c r="I8782" t="s">
        <v>27250</v>
      </c>
      <c r="J8782" t="s">
        <v>8001</v>
      </c>
    </row>
    <row r="8783" spans="1:10" x14ac:dyDescent="0.25">
      <c r="A8783" t="s">
        <v>27265</v>
      </c>
      <c r="B8783">
        <v>8</v>
      </c>
      <c r="C8783" t="s">
        <v>27266</v>
      </c>
      <c r="D8783" t="s">
        <v>450</v>
      </c>
      <c r="E8783" t="s">
        <v>27246</v>
      </c>
      <c r="F8783" t="s">
        <v>7672</v>
      </c>
      <c r="G8783" t="s">
        <v>27247</v>
      </c>
      <c r="H8783" t="s">
        <v>8301</v>
      </c>
      <c r="I8783" t="s">
        <v>76</v>
      </c>
      <c r="J8783" t="s">
        <v>8001</v>
      </c>
    </row>
    <row r="8784" spans="1:10" x14ac:dyDescent="0.25">
      <c r="A8784" t="s">
        <v>27267</v>
      </c>
      <c r="B8784">
        <v>8</v>
      </c>
      <c r="C8784" t="s">
        <v>27268</v>
      </c>
      <c r="D8784" t="s">
        <v>576</v>
      </c>
      <c r="E8784" t="s">
        <v>27246</v>
      </c>
      <c r="F8784" t="s">
        <v>7672</v>
      </c>
      <c r="G8784" t="s">
        <v>27247</v>
      </c>
      <c r="H8784" t="s">
        <v>8301</v>
      </c>
      <c r="I8784" t="s">
        <v>27250</v>
      </c>
      <c r="J8784" t="s">
        <v>8013</v>
      </c>
    </row>
    <row r="8785" spans="1:10" x14ac:dyDescent="0.25">
      <c r="A8785" t="s">
        <v>27269</v>
      </c>
      <c r="B8785">
        <v>8</v>
      </c>
      <c r="C8785" t="s">
        <v>27270</v>
      </c>
      <c r="D8785" t="s">
        <v>240</v>
      </c>
      <c r="E8785" t="s">
        <v>27246</v>
      </c>
      <c r="F8785" t="s">
        <v>7672</v>
      </c>
      <c r="G8785" t="s">
        <v>27247</v>
      </c>
      <c r="H8785" t="s">
        <v>8301</v>
      </c>
      <c r="I8785" t="s">
        <v>76</v>
      </c>
      <c r="J8785" t="s">
        <v>8013</v>
      </c>
    </row>
    <row r="8786" spans="1:10" x14ac:dyDescent="0.25">
      <c r="A8786" t="s">
        <v>7444</v>
      </c>
      <c r="B8786">
        <v>24</v>
      </c>
      <c r="C8786" t="s">
        <v>7446</v>
      </c>
      <c r="D8786" t="s">
        <v>311</v>
      </c>
      <c r="E8786" t="s">
        <v>7447</v>
      </c>
      <c r="F8786" t="s">
        <v>7672</v>
      </c>
      <c r="G8786" t="s">
        <v>27271</v>
      </c>
      <c r="H8786" t="s">
        <v>9232</v>
      </c>
      <c r="I8786" t="s">
        <v>14761</v>
      </c>
      <c r="J8786" t="s">
        <v>8427</v>
      </c>
    </row>
    <row r="8787" spans="1:10" x14ac:dyDescent="0.25">
      <c r="A8787" t="s">
        <v>7450</v>
      </c>
      <c r="B8787">
        <v>24</v>
      </c>
      <c r="C8787" t="s">
        <v>7452</v>
      </c>
      <c r="D8787" t="s">
        <v>1236</v>
      </c>
      <c r="E8787" t="s">
        <v>7447</v>
      </c>
      <c r="F8787" t="s">
        <v>7672</v>
      </c>
      <c r="G8787" t="s">
        <v>27271</v>
      </c>
      <c r="H8787" t="s">
        <v>9232</v>
      </c>
      <c r="I8787" t="s">
        <v>76</v>
      </c>
      <c r="J8787" t="s">
        <v>8427</v>
      </c>
    </row>
    <row r="8788" spans="1:10" x14ac:dyDescent="0.25">
      <c r="A8788" t="s">
        <v>7455</v>
      </c>
      <c r="B8788">
        <v>24</v>
      </c>
      <c r="C8788" t="s">
        <v>7457</v>
      </c>
      <c r="D8788" t="s">
        <v>843</v>
      </c>
      <c r="E8788" t="s">
        <v>7447</v>
      </c>
      <c r="F8788" t="s">
        <v>7672</v>
      </c>
      <c r="G8788" t="s">
        <v>27271</v>
      </c>
      <c r="H8788" t="s">
        <v>9232</v>
      </c>
      <c r="I8788" t="s">
        <v>14762</v>
      </c>
      <c r="J8788" t="s">
        <v>8427</v>
      </c>
    </row>
    <row r="8789" spans="1:10" x14ac:dyDescent="0.25">
      <c r="A8789" t="s">
        <v>7459</v>
      </c>
      <c r="B8789">
        <v>24</v>
      </c>
      <c r="C8789" t="s">
        <v>7461</v>
      </c>
      <c r="D8789" t="s">
        <v>311</v>
      </c>
      <c r="E8789" t="s">
        <v>7447</v>
      </c>
      <c r="F8789" t="s">
        <v>7672</v>
      </c>
      <c r="G8789" t="s">
        <v>27271</v>
      </c>
      <c r="H8789" t="s">
        <v>9232</v>
      </c>
      <c r="I8789" t="s">
        <v>14759</v>
      </c>
      <c r="J8789" t="s">
        <v>8427</v>
      </c>
    </row>
    <row r="8790" spans="1:10" x14ac:dyDescent="0.25">
      <c r="A8790" t="s">
        <v>7463</v>
      </c>
      <c r="B8790">
        <v>24</v>
      </c>
      <c r="C8790" t="s">
        <v>7465</v>
      </c>
      <c r="D8790" t="s">
        <v>1822</v>
      </c>
      <c r="E8790" t="s">
        <v>7447</v>
      </c>
      <c r="F8790" t="s">
        <v>7672</v>
      </c>
      <c r="G8790" t="s">
        <v>27271</v>
      </c>
      <c r="H8790" t="s">
        <v>9232</v>
      </c>
      <c r="I8790" t="s">
        <v>14760</v>
      </c>
      <c r="J8790" t="s">
        <v>8427</v>
      </c>
    </row>
    <row r="8791" spans="1:10" x14ac:dyDescent="0.25">
      <c r="A8791" t="s">
        <v>7467</v>
      </c>
      <c r="B8791">
        <v>24</v>
      </c>
      <c r="C8791" t="s">
        <v>7469</v>
      </c>
      <c r="D8791" t="s">
        <v>720</v>
      </c>
      <c r="E8791" t="s">
        <v>7447</v>
      </c>
      <c r="F8791" t="s">
        <v>7672</v>
      </c>
      <c r="G8791" t="s">
        <v>27271</v>
      </c>
      <c r="H8791" t="s">
        <v>9232</v>
      </c>
      <c r="I8791" t="s">
        <v>76</v>
      </c>
      <c r="J8791" t="s">
        <v>8439</v>
      </c>
    </row>
    <row r="8792" spans="1:10" x14ac:dyDescent="0.25">
      <c r="A8792" t="s">
        <v>7471</v>
      </c>
      <c r="B8792">
        <v>24</v>
      </c>
      <c r="C8792" t="s">
        <v>7473</v>
      </c>
      <c r="D8792" t="s">
        <v>870</v>
      </c>
      <c r="E8792" t="s">
        <v>7447</v>
      </c>
      <c r="F8792" t="s">
        <v>7672</v>
      </c>
      <c r="G8792" t="s">
        <v>27271</v>
      </c>
      <c r="H8792" t="s">
        <v>9232</v>
      </c>
      <c r="I8792" t="s">
        <v>14761</v>
      </c>
      <c r="J8792" t="s">
        <v>8439</v>
      </c>
    </row>
    <row r="8793" spans="1:10" x14ac:dyDescent="0.25">
      <c r="A8793" t="s">
        <v>7475</v>
      </c>
      <c r="B8793">
        <v>24</v>
      </c>
      <c r="C8793" t="s">
        <v>7477</v>
      </c>
      <c r="D8793" t="s">
        <v>725</v>
      </c>
      <c r="E8793" t="s">
        <v>7447</v>
      </c>
      <c r="F8793" t="s">
        <v>7672</v>
      </c>
      <c r="G8793" t="s">
        <v>27271</v>
      </c>
      <c r="H8793" t="s">
        <v>9232</v>
      </c>
      <c r="I8793" t="s">
        <v>14762</v>
      </c>
      <c r="J8793" t="s">
        <v>8439</v>
      </c>
    </row>
    <row r="8794" spans="1:10" x14ac:dyDescent="0.25">
      <c r="A8794" t="s">
        <v>7479</v>
      </c>
      <c r="B8794">
        <v>24</v>
      </c>
      <c r="C8794" t="s">
        <v>7481</v>
      </c>
      <c r="D8794" t="s">
        <v>296</v>
      </c>
      <c r="E8794" t="s">
        <v>7447</v>
      </c>
      <c r="F8794" t="s">
        <v>7672</v>
      </c>
      <c r="G8794" t="s">
        <v>27271</v>
      </c>
      <c r="H8794" t="s">
        <v>9232</v>
      </c>
      <c r="I8794" t="s">
        <v>14759</v>
      </c>
      <c r="J8794" t="s">
        <v>8439</v>
      </c>
    </row>
    <row r="8795" spans="1:10" x14ac:dyDescent="0.25">
      <c r="A8795" t="s">
        <v>7483</v>
      </c>
      <c r="B8795">
        <v>24</v>
      </c>
      <c r="C8795" t="s">
        <v>7485</v>
      </c>
      <c r="D8795" t="s">
        <v>2078</v>
      </c>
      <c r="E8795" t="s">
        <v>7447</v>
      </c>
      <c r="F8795" t="s">
        <v>7672</v>
      </c>
      <c r="G8795" t="s">
        <v>27271</v>
      </c>
      <c r="H8795" t="s">
        <v>9232</v>
      </c>
      <c r="I8795" t="s">
        <v>14760</v>
      </c>
      <c r="J8795" t="s">
        <v>8439</v>
      </c>
    </row>
    <row r="8796" spans="1:10" x14ac:dyDescent="0.25">
      <c r="A8796" t="s">
        <v>7487</v>
      </c>
      <c r="B8796">
        <v>24</v>
      </c>
      <c r="C8796" t="s">
        <v>7489</v>
      </c>
      <c r="D8796" t="s">
        <v>725</v>
      </c>
      <c r="E8796" t="s">
        <v>7447</v>
      </c>
      <c r="F8796" t="s">
        <v>7672</v>
      </c>
      <c r="G8796" t="s">
        <v>27271</v>
      </c>
      <c r="H8796" t="s">
        <v>9232</v>
      </c>
      <c r="I8796" t="s">
        <v>14760</v>
      </c>
      <c r="J8796" t="s">
        <v>8451</v>
      </c>
    </row>
    <row r="8797" spans="1:10" x14ac:dyDescent="0.25">
      <c r="A8797" t="s">
        <v>7491</v>
      </c>
      <c r="B8797">
        <v>24</v>
      </c>
      <c r="C8797" t="s">
        <v>7493</v>
      </c>
      <c r="D8797" t="s">
        <v>396</v>
      </c>
      <c r="E8797" t="s">
        <v>7447</v>
      </c>
      <c r="F8797" t="s">
        <v>7672</v>
      </c>
      <c r="G8797" t="s">
        <v>27271</v>
      </c>
      <c r="H8797" t="s">
        <v>9232</v>
      </c>
      <c r="I8797" t="s">
        <v>14761</v>
      </c>
      <c r="J8797" t="s">
        <v>8451</v>
      </c>
    </row>
    <row r="8798" spans="1:10" x14ac:dyDescent="0.25">
      <c r="A8798" t="s">
        <v>7495</v>
      </c>
      <c r="B8798">
        <v>24</v>
      </c>
      <c r="C8798" t="s">
        <v>7497</v>
      </c>
      <c r="D8798" t="s">
        <v>659</v>
      </c>
      <c r="E8798" t="s">
        <v>7447</v>
      </c>
      <c r="F8798" t="s">
        <v>7672</v>
      </c>
      <c r="G8798" t="s">
        <v>27271</v>
      </c>
      <c r="H8798" t="s">
        <v>9232</v>
      </c>
      <c r="I8798" t="s">
        <v>76</v>
      </c>
      <c r="J8798" t="s">
        <v>8451</v>
      </c>
    </row>
    <row r="8799" spans="1:10" x14ac:dyDescent="0.25">
      <c r="A8799" t="s">
        <v>7499</v>
      </c>
      <c r="B8799">
        <v>24</v>
      </c>
      <c r="C8799" t="s">
        <v>7501</v>
      </c>
      <c r="D8799" t="s">
        <v>1536</v>
      </c>
      <c r="E8799" t="s">
        <v>7447</v>
      </c>
      <c r="F8799" t="s">
        <v>7672</v>
      </c>
      <c r="G8799" t="s">
        <v>27271</v>
      </c>
      <c r="H8799" t="s">
        <v>9232</v>
      </c>
      <c r="I8799" t="s">
        <v>14762</v>
      </c>
      <c r="J8799" t="s">
        <v>8451</v>
      </c>
    </row>
    <row r="8800" spans="1:10" x14ac:dyDescent="0.25">
      <c r="A8800" t="s">
        <v>7503</v>
      </c>
      <c r="B8800">
        <v>24</v>
      </c>
      <c r="C8800" t="s">
        <v>7505</v>
      </c>
      <c r="D8800" t="s">
        <v>396</v>
      </c>
      <c r="E8800" t="s">
        <v>7447</v>
      </c>
      <c r="F8800" t="s">
        <v>7672</v>
      </c>
      <c r="G8800" t="s">
        <v>27271</v>
      </c>
      <c r="H8800" t="s">
        <v>9232</v>
      </c>
      <c r="I8800" t="s">
        <v>14759</v>
      </c>
      <c r="J8800" t="s">
        <v>8451</v>
      </c>
    </row>
    <row r="8801" spans="1:10" x14ac:dyDescent="0.25">
      <c r="A8801" t="s">
        <v>27272</v>
      </c>
      <c r="B8801">
        <v>132</v>
      </c>
      <c r="C8801" t="s">
        <v>27273</v>
      </c>
      <c r="D8801" t="s">
        <v>301</v>
      </c>
      <c r="E8801" t="s">
        <v>27274</v>
      </c>
      <c r="F8801" t="s">
        <v>7672</v>
      </c>
      <c r="G8801" t="s">
        <v>27275</v>
      </c>
      <c r="H8801" t="s">
        <v>9693</v>
      </c>
      <c r="I8801" t="s">
        <v>18323</v>
      </c>
      <c r="J8801" t="s">
        <v>9694</v>
      </c>
    </row>
    <row r="8802" spans="1:10" x14ac:dyDescent="0.25">
      <c r="A8802" t="s">
        <v>27276</v>
      </c>
      <c r="B8802">
        <v>9</v>
      </c>
      <c r="C8802" t="s">
        <v>27277</v>
      </c>
      <c r="D8802" t="s">
        <v>100</v>
      </c>
      <c r="E8802" t="s">
        <v>27278</v>
      </c>
      <c r="F8802" t="s">
        <v>7672</v>
      </c>
      <c r="G8802" t="s">
        <v>27279</v>
      </c>
      <c r="H8802" t="s">
        <v>16977</v>
      </c>
      <c r="I8802" t="s">
        <v>27280</v>
      </c>
      <c r="J8802" t="s">
        <v>16985</v>
      </c>
    </row>
    <row r="8803" spans="1:10" x14ac:dyDescent="0.25">
      <c r="A8803" t="s">
        <v>27281</v>
      </c>
      <c r="B8803">
        <v>9.7200000000000006</v>
      </c>
      <c r="C8803" t="s">
        <v>27282</v>
      </c>
      <c r="D8803" t="s">
        <v>671</v>
      </c>
      <c r="E8803" t="s">
        <v>27283</v>
      </c>
      <c r="F8803" t="s">
        <v>7672</v>
      </c>
      <c r="G8803" t="s">
        <v>27284</v>
      </c>
      <c r="H8803" t="s">
        <v>11381</v>
      </c>
      <c r="I8803" t="s">
        <v>22987</v>
      </c>
      <c r="J8803" t="s">
        <v>7675</v>
      </c>
    </row>
    <row r="8804" spans="1:10" x14ac:dyDescent="0.25">
      <c r="A8804" t="s">
        <v>27285</v>
      </c>
      <c r="B8804">
        <v>9.7200000000000006</v>
      </c>
      <c r="C8804" t="s">
        <v>27286</v>
      </c>
      <c r="D8804" t="s">
        <v>53</v>
      </c>
      <c r="E8804" t="s">
        <v>27283</v>
      </c>
      <c r="F8804" t="s">
        <v>7672</v>
      </c>
      <c r="G8804" t="s">
        <v>27284</v>
      </c>
      <c r="H8804" t="s">
        <v>11381</v>
      </c>
      <c r="I8804" t="s">
        <v>76</v>
      </c>
      <c r="J8804" t="s">
        <v>7675</v>
      </c>
    </row>
    <row r="8805" spans="1:10" x14ac:dyDescent="0.25">
      <c r="A8805" t="s">
        <v>27287</v>
      </c>
      <c r="B8805">
        <v>9.7200000000000006</v>
      </c>
      <c r="C8805" t="s">
        <v>27288</v>
      </c>
      <c r="D8805" t="s">
        <v>269</v>
      </c>
      <c r="E8805" t="s">
        <v>27283</v>
      </c>
      <c r="F8805" t="s">
        <v>7672</v>
      </c>
      <c r="G8805" t="s">
        <v>27284</v>
      </c>
      <c r="H8805" t="s">
        <v>11381</v>
      </c>
      <c r="I8805" t="s">
        <v>9116</v>
      </c>
      <c r="J8805" t="s">
        <v>7675</v>
      </c>
    </row>
    <row r="8806" spans="1:10" x14ac:dyDescent="0.25">
      <c r="A8806" t="s">
        <v>27289</v>
      </c>
      <c r="B8806">
        <v>9.7200000000000006</v>
      </c>
      <c r="C8806" t="s">
        <v>27290</v>
      </c>
      <c r="D8806" t="s">
        <v>352</v>
      </c>
      <c r="E8806" t="s">
        <v>27283</v>
      </c>
      <c r="F8806" t="s">
        <v>7672</v>
      </c>
      <c r="G8806" t="s">
        <v>27284</v>
      </c>
      <c r="H8806" t="s">
        <v>11381</v>
      </c>
      <c r="I8806" t="s">
        <v>9116</v>
      </c>
      <c r="J8806" t="s">
        <v>7686</v>
      </c>
    </row>
    <row r="8807" spans="1:10" x14ac:dyDescent="0.25">
      <c r="A8807" t="s">
        <v>27291</v>
      </c>
      <c r="B8807">
        <v>9.7200000000000006</v>
      </c>
      <c r="C8807" t="s">
        <v>27292</v>
      </c>
      <c r="D8807" t="s">
        <v>255</v>
      </c>
      <c r="E8807" t="s">
        <v>27283</v>
      </c>
      <c r="F8807" t="s">
        <v>7672</v>
      </c>
      <c r="G8807" t="s">
        <v>27284</v>
      </c>
      <c r="H8807" t="s">
        <v>11381</v>
      </c>
      <c r="I8807" t="s">
        <v>76</v>
      </c>
      <c r="J8807" t="s">
        <v>7686</v>
      </c>
    </row>
    <row r="8808" spans="1:10" x14ac:dyDescent="0.25">
      <c r="A8808" t="s">
        <v>27293</v>
      </c>
      <c r="B8808">
        <v>9.7200000000000006</v>
      </c>
      <c r="C8808" t="s">
        <v>27294</v>
      </c>
      <c r="D8808" t="s">
        <v>698</v>
      </c>
      <c r="E8808" t="s">
        <v>27283</v>
      </c>
      <c r="F8808" t="s">
        <v>7672</v>
      </c>
      <c r="G8808" t="s">
        <v>27284</v>
      </c>
      <c r="H8808" t="s">
        <v>11381</v>
      </c>
      <c r="I8808" t="s">
        <v>22987</v>
      </c>
      <c r="J8808" t="s">
        <v>7686</v>
      </c>
    </row>
    <row r="8809" spans="1:10" x14ac:dyDescent="0.25">
      <c r="A8809" t="s">
        <v>27295</v>
      </c>
      <c r="B8809">
        <v>9.7200000000000006</v>
      </c>
      <c r="C8809" t="s">
        <v>27296</v>
      </c>
      <c r="D8809" t="s">
        <v>2078</v>
      </c>
      <c r="E8809" t="s">
        <v>27283</v>
      </c>
      <c r="F8809" t="s">
        <v>7672</v>
      </c>
      <c r="G8809" t="s">
        <v>27284</v>
      </c>
      <c r="H8809" t="s">
        <v>11381</v>
      </c>
      <c r="I8809" t="s">
        <v>22987</v>
      </c>
      <c r="J8809" t="s">
        <v>7703</v>
      </c>
    </row>
    <row r="8810" spans="1:10" x14ac:dyDescent="0.25">
      <c r="A8810" t="s">
        <v>27297</v>
      </c>
      <c r="B8810">
        <v>9.7200000000000006</v>
      </c>
      <c r="C8810" t="s">
        <v>27298</v>
      </c>
      <c r="D8810" t="s">
        <v>359</v>
      </c>
      <c r="E8810" t="s">
        <v>27283</v>
      </c>
      <c r="F8810" t="s">
        <v>7672</v>
      </c>
      <c r="G8810" t="s">
        <v>27284</v>
      </c>
      <c r="H8810" t="s">
        <v>11381</v>
      </c>
      <c r="I8810" t="s">
        <v>9116</v>
      </c>
      <c r="J8810" t="s">
        <v>7703</v>
      </c>
    </row>
    <row r="8811" spans="1:10" x14ac:dyDescent="0.25">
      <c r="A8811" t="s">
        <v>27299</v>
      </c>
      <c r="B8811">
        <v>9.7200000000000006</v>
      </c>
      <c r="C8811" t="s">
        <v>27300</v>
      </c>
      <c r="D8811" t="s">
        <v>296</v>
      </c>
      <c r="E8811" t="s">
        <v>27283</v>
      </c>
      <c r="F8811" t="s">
        <v>7672</v>
      </c>
      <c r="G8811" t="s">
        <v>27284</v>
      </c>
      <c r="H8811" t="s">
        <v>11381</v>
      </c>
      <c r="I8811" t="s">
        <v>76</v>
      </c>
      <c r="J8811" t="s">
        <v>7703</v>
      </c>
    </row>
    <row r="8812" spans="1:10" x14ac:dyDescent="0.25">
      <c r="A8812" t="s">
        <v>27301</v>
      </c>
      <c r="B8812">
        <v>7.2</v>
      </c>
      <c r="C8812" t="s">
        <v>27302</v>
      </c>
      <c r="D8812" t="s">
        <v>113</v>
      </c>
      <c r="E8812" t="s">
        <v>27303</v>
      </c>
      <c r="F8812" t="s">
        <v>7672</v>
      </c>
      <c r="G8812" t="s">
        <v>27304</v>
      </c>
      <c r="H8812" t="s">
        <v>10298</v>
      </c>
      <c r="I8812" t="s">
        <v>11652</v>
      </c>
      <c r="J8812" t="s">
        <v>7942</v>
      </c>
    </row>
    <row r="8813" spans="1:10" x14ac:dyDescent="0.25">
      <c r="A8813" t="s">
        <v>27305</v>
      </c>
      <c r="B8813">
        <v>7.2</v>
      </c>
      <c r="C8813" t="s">
        <v>27306</v>
      </c>
      <c r="D8813" t="s">
        <v>4011</v>
      </c>
      <c r="E8813" t="s">
        <v>27303</v>
      </c>
      <c r="F8813" t="s">
        <v>7672</v>
      </c>
      <c r="G8813" t="s">
        <v>27304</v>
      </c>
      <c r="H8813" t="s">
        <v>10298</v>
      </c>
      <c r="I8813" t="s">
        <v>27307</v>
      </c>
      <c r="J8813" t="s">
        <v>7942</v>
      </c>
    </row>
    <row r="8814" spans="1:10" x14ac:dyDescent="0.25">
      <c r="A8814" t="s">
        <v>27308</v>
      </c>
      <c r="B8814">
        <v>7.2</v>
      </c>
      <c r="C8814" t="s">
        <v>27309</v>
      </c>
      <c r="D8814" t="s">
        <v>5716</v>
      </c>
      <c r="E8814" t="s">
        <v>27303</v>
      </c>
      <c r="F8814" t="s">
        <v>7672</v>
      </c>
      <c r="G8814" t="s">
        <v>27304</v>
      </c>
      <c r="H8814" t="s">
        <v>10298</v>
      </c>
      <c r="I8814" t="s">
        <v>27310</v>
      </c>
      <c r="J8814" t="s">
        <v>7942</v>
      </c>
    </row>
    <row r="8815" spans="1:10" x14ac:dyDescent="0.25">
      <c r="A8815" t="s">
        <v>27311</v>
      </c>
      <c r="B8815">
        <v>7.2</v>
      </c>
      <c r="C8815" t="s">
        <v>27312</v>
      </c>
      <c r="D8815" t="s">
        <v>53</v>
      </c>
      <c r="E8815" t="s">
        <v>27303</v>
      </c>
      <c r="F8815" t="s">
        <v>7672</v>
      </c>
      <c r="G8815" t="s">
        <v>27304</v>
      </c>
      <c r="H8815" t="s">
        <v>10298</v>
      </c>
      <c r="I8815" t="s">
        <v>27313</v>
      </c>
      <c r="J8815" t="s">
        <v>7942</v>
      </c>
    </row>
    <row r="8816" spans="1:10" x14ac:dyDescent="0.25">
      <c r="A8816" t="s">
        <v>27314</v>
      </c>
      <c r="B8816">
        <v>7.2</v>
      </c>
      <c r="C8816" t="s">
        <v>27315</v>
      </c>
      <c r="D8816" t="s">
        <v>4187</v>
      </c>
      <c r="E8816" t="s">
        <v>27303</v>
      </c>
      <c r="F8816" t="s">
        <v>7672</v>
      </c>
      <c r="G8816" t="s">
        <v>27304</v>
      </c>
      <c r="H8816" t="s">
        <v>10298</v>
      </c>
      <c r="I8816" t="s">
        <v>27307</v>
      </c>
      <c r="J8816" t="s">
        <v>7981</v>
      </c>
    </row>
    <row r="8817" spans="1:10" x14ac:dyDescent="0.25">
      <c r="A8817" t="s">
        <v>27316</v>
      </c>
      <c r="B8817">
        <v>7.2</v>
      </c>
      <c r="C8817" t="s">
        <v>27317</v>
      </c>
      <c r="D8817" t="s">
        <v>3224</v>
      </c>
      <c r="E8817" t="s">
        <v>27303</v>
      </c>
      <c r="F8817" t="s">
        <v>7672</v>
      </c>
      <c r="G8817" t="s">
        <v>27304</v>
      </c>
      <c r="H8817" t="s">
        <v>10298</v>
      </c>
      <c r="I8817" t="s">
        <v>27310</v>
      </c>
      <c r="J8817" t="s">
        <v>7981</v>
      </c>
    </row>
    <row r="8818" spans="1:10" x14ac:dyDescent="0.25">
      <c r="A8818" t="s">
        <v>27318</v>
      </c>
      <c r="B8818">
        <v>3.6320000000000001</v>
      </c>
      <c r="C8818" t="s">
        <v>27319</v>
      </c>
      <c r="D8818" t="s">
        <v>2879</v>
      </c>
      <c r="E8818" t="s">
        <v>27320</v>
      </c>
      <c r="F8818" t="s">
        <v>7672</v>
      </c>
      <c r="G8818" t="s">
        <v>27321</v>
      </c>
      <c r="H8818" t="s">
        <v>8515</v>
      </c>
      <c r="I8818" t="s">
        <v>5202</v>
      </c>
      <c r="J8818" t="s">
        <v>100</v>
      </c>
    </row>
    <row r="8819" spans="1:10" x14ac:dyDescent="0.25">
      <c r="A8819" t="s">
        <v>27322</v>
      </c>
      <c r="B8819">
        <v>3.6320000000000001</v>
      </c>
      <c r="C8819" t="s">
        <v>27323</v>
      </c>
      <c r="D8819" t="s">
        <v>633</v>
      </c>
      <c r="E8819" t="s">
        <v>27320</v>
      </c>
      <c r="F8819" t="s">
        <v>7672</v>
      </c>
      <c r="G8819" t="s">
        <v>27321</v>
      </c>
      <c r="H8819" t="s">
        <v>8515</v>
      </c>
      <c r="I8819" t="s">
        <v>5202</v>
      </c>
      <c r="J8819" t="s">
        <v>106</v>
      </c>
    </row>
    <row r="8820" spans="1:10" x14ac:dyDescent="0.25">
      <c r="A8820" t="s">
        <v>27324</v>
      </c>
      <c r="B8820">
        <v>3.6320000000000001</v>
      </c>
      <c r="C8820" t="s">
        <v>27325</v>
      </c>
      <c r="D8820" t="s">
        <v>342</v>
      </c>
      <c r="E8820" t="s">
        <v>27320</v>
      </c>
      <c r="F8820" t="s">
        <v>7672</v>
      </c>
      <c r="G8820" t="s">
        <v>27321</v>
      </c>
      <c r="H8820" t="s">
        <v>8515</v>
      </c>
      <c r="I8820" t="s">
        <v>5202</v>
      </c>
      <c r="J8820" t="s">
        <v>8531</v>
      </c>
    </row>
    <row r="8821" spans="1:10" x14ac:dyDescent="0.25">
      <c r="A8821" t="s">
        <v>27326</v>
      </c>
      <c r="B8821">
        <v>13.992000000000001</v>
      </c>
      <c r="C8821" t="s">
        <v>27327</v>
      </c>
      <c r="D8821" t="s">
        <v>849</v>
      </c>
      <c r="E8821" t="s">
        <v>27328</v>
      </c>
      <c r="F8821" t="s">
        <v>7672</v>
      </c>
      <c r="G8821" t="s">
        <v>27329</v>
      </c>
      <c r="H8821" t="s">
        <v>11598</v>
      </c>
      <c r="I8821" t="s">
        <v>12216</v>
      </c>
      <c r="J8821" t="s">
        <v>9107</v>
      </c>
    </row>
    <row r="8822" spans="1:10" x14ac:dyDescent="0.25">
      <c r="A8822" t="s">
        <v>27330</v>
      </c>
      <c r="B8822">
        <v>13.992000000000001</v>
      </c>
      <c r="C8822" t="s">
        <v>27331</v>
      </c>
      <c r="D8822" t="s">
        <v>959</v>
      </c>
      <c r="E8822" t="s">
        <v>27328</v>
      </c>
      <c r="F8822" t="s">
        <v>7672</v>
      </c>
      <c r="G8822" t="s">
        <v>27329</v>
      </c>
      <c r="H8822" t="s">
        <v>11598</v>
      </c>
      <c r="I8822" t="s">
        <v>14410</v>
      </c>
      <c r="J8822" t="s">
        <v>9107</v>
      </c>
    </row>
    <row r="8823" spans="1:10" x14ac:dyDescent="0.25">
      <c r="A8823" t="s">
        <v>27332</v>
      </c>
      <c r="B8823">
        <v>13.992000000000001</v>
      </c>
      <c r="C8823" t="s">
        <v>27333</v>
      </c>
      <c r="D8823" t="s">
        <v>255</v>
      </c>
      <c r="E8823" t="s">
        <v>27328</v>
      </c>
      <c r="F8823" t="s">
        <v>7672</v>
      </c>
      <c r="G8823" t="s">
        <v>27329</v>
      </c>
      <c r="H8823" t="s">
        <v>11598</v>
      </c>
      <c r="I8823" t="s">
        <v>11206</v>
      </c>
      <c r="J8823" t="s">
        <v>9110</v>
      </c>
    </row>
    <row r="8824" spans="1:10" x14ac:dyDescent="0.25">
      <c r="A8824" t="s">
        <v>27334</v>
      </c>
      <c r="B8824">
        <v>13.992000000000001</v>
      </c>
      <c r="C8824" t="s">
        <v>27335</v>
      </c>
      <c r="D8824" t="s">
        <v>352</v>
      </c>
      <c r="E8824" t="s">
        <v>27328</v>
      </c>
      <c r="F8824" t="s">
        <v>7672</v>
      </c>
      <c r="G8824" t="s">
        <v>27329</v>
      </c>
      <c r="H8824" t="s">
        <v>11598</v>
      </c>
      <c r="I8824" t="s">
        <v>12216</v>
      </c>
      <c r="J8824" t="s">
        <v>9110</v>
      </c>
    </row>
    <row r="8825" spans="1:10" x14ac:dyDescent="0.25">
      <c r="A8825" t="s">
        <v>27336</v>
      </c>
      <c r="B8825">
        <v>13.992000000000001</v>
      </c>
      <c r="C8825" t="s">
        <v>27337</v>
      </c>
      <c r="D8825" t="s">
        <v>131</v>
      </c>
      <c r="E8825" t="s">
        <v>27328</v>
      </c>
      <c r="F8825" t="s">
        <v>7672</v>
      </c>
      <c r="G8825" t="s">
        <v>27329</v>
      </c>
      <c r="H8825" t="s">
        <v>11598</v>
      </c>
      <c r="I8825" t="s">
        <v>14413</v>
      </c>
      <c r="J8825" t="s">
        <v>9110</v>
      </c>
    </row>
    <row r="8826" spans="1:10" x14ac:dyDescent="0.25">
      <c r="A8826" t="s">
        <v>27338</v>
      </c>
      <c r="B8826">
        <v>13.992000000000001</v>
      </c>
      <c r="C8826" t="s">
        <v>27339</v>
      </c>
      <c r="D8826" t="s">
        <v>286</v>
      </c>
      <c r="E8826" t="s">
        <v>27328</v>
      </c>
      <c r="F8826" t="s">
        <v>7672</v>
      </c>
      <c r="G8826" t="s">
        <v>27329</v>
      </c>
      <c r="H8826" t="s">
        <v>11598</v>
      </c>
      <c r="I8826" t="s">
        <v>14410</v>
      </c>
      <c r="J8826" t="s">
        <v>9110</v>
      </c>
    </row>
    <row r="8827" spans="1:10" x14ac:dyDescent="0.25">
      <c r="A8827" t="s">
        <v>27340</v>
      </c>
      <c r="B8827">
        <v>13.992000000000001</v>
      </c>
      <c r="C8827" t="s">
        <v>27341</v>
      </c>
      <c r="D8827" t="s">
        <v>781</v>
      </c>
      <c r="E8827" t="s">
        <v>27328</v>
      </c>
      <c r="F8827" t="s">
        <v>7672</v>
      </c>
      <c r="G8827" t="s">
        <v>27329</v>
      </c>
      <c r="H8827" t="s">
        <v>11598</v>
      </c>
      <c r="I8827" t="s">
        <v>11206</v>
      </c>
      <c r="J8827" t="s">
        <v>11368</v>
      </c>
    </row>
    <row r="8828" spans="1:10" x14ac:dyDescent="0.25">
      <c r="A8828" t="s">
        <v>27342</v>
      </c>
      <c r="B8828">
        <v>13.992000000000001</v>
      </c>
      <c r="C8828" t="s">
        <v>27343</v>
      </c>
      <c r="D8828" t="s">
        <v>113</v>
      </c>
      <c r="E8828" t="s">
        <v>27328</v>
      </c>
      <c r="F8828" t="s">
        <v>7672</v>
      </c>
      <c r="G8828" t="s">
        <v>27329</v>
      </c>
      <c r="H8828" t="s">
        <v>11598</v>
      </c>
      <c r="I8828" t="s">
        <v>12216</v>
      </c>
      <c r="J8828" t="s">
        <v>11368</v>
      </c>
    </row>
    <row r="8829" spans="1:10" x14ac:dyDescent="0.25">
      <c r="A8829" t="s">
        <v>27344</v>
      </c>
      <c r="B8829">
        <v>13.992000000000001</v>
      </c>
      <c r="C8829" t="s">
        <v>27345</v>
      </c>
      <c r="D8829" t="s">
        <v>286</v>
      </c>
      <c r="E8829" t="s">
        <v>27328</v>
      </c>
      <c r="F8829" t="s">
        <v>7672</v>
      </c>
      <c r="G8829" t="s">
        <v>27329</v>
      </c>
      <c r="H8829" t="s">
        <v>11598</v>
      </c>
      <c r="I8829" t="s">
        <v>14413</v>
      </c>
      <c r="J8829" t="s">
        <v>11368</v>
      </c>
    </row>
    <row r="8830" spans="1:10" x14ac:dyDescent="0.25">
      <c r="A8830" t="s">
        <v>27346</v>
      </c>
      <c r="B8830">
        <v>13.992000000000001</v>
      </c>
      <c r="C8830" t="s">
        <v>27347</v>
      </c>
      <c r="D8830" t="s">
        <v>352</v>
      </c>
      <c r="E8830" t="s">
        <v>27328</v>
      </c>
      <c r="F8830" t="s">
        <v>7672</v>
      </c>
      <c r="G8830" t="s">
        <v>27329</v>
      </c>
      <c r="H8830" t="s">
        <v>11598</v>
      </c>
      <c r="I8830" t="s">
        <v>14410</v>
      </c>
      <c r="J8830" t="s">
        <v>11368</v>
      </c>
    </row>
    <row r="8831" spans="1:10" x14ac:dyDescent="0.25">
      <c r="A8831" t="s">
        <v>27348</v>
      </c>
      <c r="B8831">
        <v>13.992000000000001</v>
      </c>
      <c r="C8831" t="s">
        <v>27349</v>
      </c>
      <c r="D8831" t="s">
        <v>321</v>
      </c>
      <c r="E8831" t="s">
        <v>27328</v>
      </c>
      <c r="F8831" t="s">
        <v>7672</v>
      </c>
      <c r="G8831" t="s">
        <v>27329</v>
      </c>
      <c r="H8831" t="s">
        <v>11598</v>
      </c>
      <c r="I8831" t="s">
        <v>11206</v>
      </c>
      <c r="J8831" t="s">
        <v>11373</v>
      </c>
    </row>
    <row r="8832" spans="1:10" x14ac:dyDescent="0.25">
      <c r="A8832" t="s">
        <v>27350</v>
      </c>
      <c r="B8832">
        <v>13.992000000000001</v>
      </c>
      <c r="C8832" t="s">
        <v>27351</v>
      </c>
      <c r="D8832" t="s">
        <v>1143</v>
      </c>
      <c r="E8832" t="s">
        <v>27328</v>
      </c>
      <c r="F8832" t="s">
        <v>7672</v>
      </c>
      <c r="G8832" t="s">
        <v>27329</v>
      </c>
      <c r="H8832" t="s">
        <v>11598</v>
      </c>
      <c r="I8832" t="s">
        <v>14413</v>
      </c>
      <c r="J8832" t="s">
        <v>11373</v>
      </c>
    </row>
    <row r="8833" spans="1:10" x14ac:dyDescent="0.25">
      <c r="A8833" t="s">
        <v>27352</v>
      </c>
      <c r="B8833">
        <v>13.992000000000001</v>
      </c>
      <c r="C8833" t="s">
        <v>27353</v>
      </c>
      <c r="D8833" t="s">
        <v>959</v>
      </c>
      <c r="E8833" t="s">
        <v>27328</v>
      </c>
      <c r="F8833" t="s">
        <v>7672</v>
      </c>
      <c r="G8833" t="s">
        <v>27329</v>
      </c>
      <c r="H8833" t="s">
        <v>11598</v>
      </c>
      <c r="I8833" t="s">
        <v>12216</v>
      </c>
      <c r="J8833" t="s">
        <v>11373</v>
      </c>
    </row>
    <row r="8834" spans="1:10" x14ac:dyDescent="0.25">
      <c r="A8834" t="s">
        <v>27354</v>
      </c>
      <c r="B8834">
        <v>13.992000000000001</v>
      </c>
      <c r="C8834" t="s">
        <v>27355</v>
      </c>
      <c r="D8834" t="s">
        <v>964</v>
      </c>
      <c r="E8834" t="s">
        <v>27328</v>
      </c>
      <c r="F8834" t="s">
        <v>7672</v>
      </c>
      <c r="G8834" t="s">
        <v>27329</v>
      </c>
      <c r="H8834" t="s">
        <v>11598</v>
      </c>
      <c r="I8834" t="s">
        <v>14410</v>
      </c>
      <c r="J8834" t="s">
        <v>11373</v>
      </c>
    </row>
    <row r="8835" spans="1:10" x14ac:dyDescent="0.25">
      <c r="A8835" t="s">
        <v>27356</v>
      </c>
      <c r="B8835">
        <v>13.992000000000001</v>
      </c>
      <c r="C8835" t="s">
        <v>27357</v>
      </c>
      <c r="D8835" t="s">
        <v>1822</v>
      </c>
      <c r="E8835" t="s">
        <v>27328</v>
      </c>
      <c r="F8835" t="s">
        <v>7672</v>
      </c>
      <c r="G8835" t="s">
        <v>27329</v>
      </c>
      <c r="H8835" t="s">
        <v>11598</v>
      </c>
      <c r="I8835" t="s">
        <v>11206</v>
      </c>
      <c r="J8835" t="s">
        <v>11376</v>
      </c>
    </row>
    <row r="8836" spans="1:10" x14ac:dyDescent="0.25">
      <c r="A8836" t="s">
        <v>27358</v>
      </c>
      <c r="B8836">
        <v>13.992000000000001</v>
      </c>
      <c r="C8836" t="s">
        <v>27359</v>
      </c>
      <c r="D8836" t="s">
        <v>245</v>
      </c>
      <c r="E8836" t="s">
        <v>27328</v>
      </c>
      <c r="F8836" t="s">
        <v>7672</v>
      </c>
      <c r="G8836" t="s">
        <v>27329</v>
      </c>
      <c r="H8836" t="s">
        <v>11598</v>
      </c>
      <c r="I8836" t="s">
        <v>14413</v>
      </c>
      <c r="J8836" t="s">
        <v>11376</v>
      </c>
    </row>
    <row r="8837" spans="1:10" x14ac:dyDescent="0.25">
      <c r="A8837" t="s">
        <v>27360</v>
      </c>
      <c r="B8837">
        <v>13.992000000000001</v>
      </c>
      <c r="C8837" t="s">
        <v>27361</v>
      </c>
      <c r="D8837" t="s">
        <v>959</v>
      </c>
      <c r="E8837" t="s">
        <v>27328</v>
      </c>
      <c r="F8837" t="s">
        <v>7672</v>
      </c>
      <c r="G8837" t="s">
        <v>27329</v>
      </c>
      <c r="H8837" t="s">
        <v>11598</v>
      </c>
      <c r="I8837" t="s">
        <v>12216</v>
      </c>
      <c r="J8837" t="s">
        <v>11376</v>
      </c>
    </row>
    <row r="8838" spans="1:10" x14ac:dyDescent="0.25">
      <c r="A8838" t="s">
        <v>27362</v>
      </c>
      <c r="B8838">
        <v>13.992000000000001</v>
      </c>
      <c r="C8838" t="s">
        <v>27363</v>
      </c>
      <c r="D8838" t="s">
        <v>959</v>
      </c>
      <c r="E8838" t="s">
        <v>27328</v>
      </c>
      <c r="F8838" t="s">
        <v>7672</v>
      </c>
      <c r="G8838" t="s">
        <v>27329</v>
      </c>
      <c r="H8838" t="s">
        <v>11598</v>
      </c>
      <c r="I8838" t="s">
        <v>14410</v>
      </c>
      <c r="J8838" t="s">
        <v>11376</v>
      </c>
    </row>
    <row r="8839" spans="1:10" x14ac:dyDescent="0.25">
      <c r="A8839" t="s">
        <v>27364</v>
      </c>
      <c r="B8839">
        <v>13.992000000000001</v>
      </c>
      <c r="C8839" t="s">
        <v>27365</v>
      </c>
      <c r="D8839" t="s">
        <v>286</v>
      </c>
      <c r="E8839" t="s">
        <v>27328</v>
      </c>
      <c r="F8839" t="s">
        <v>7672</v>
      </c>
      <c r="G8839" t="s">
        <v>27329</v>
      </c>
      <c r="H8839" t="s">
        <v>11598</v>
      </c>
      <c r="I8839" t="s">
        <v>12216</v>
      </c>
      <c r="J8839" t="s">
        <v>9114</v>
      </c>
    </row>
    <row r="8840" spans="1:10" x14ac:dyDescent="0.25">
      <c r="A8840" t="s">
        <v>27366</v>
      </c>
      <c r="B8840">
        <v>13.992000000000001</v>
      </c>
      <c r="C8840" t="s">
        <v>27367</v>
      </c>
      <c r="D8840" t="s">
        <v>742</v>
      </c>
      <c r="E8840" t="s">
        <v>27328</v>
      </c>
      <c r="F8840" t="s">
        <v>7672</v>
      </c>
      <c r="G8840" t="s">
        <v>27329</v>
      </c>
      <c r="H8840" t="s">
        <v>11598</v>
      </c>
      <c r="I8840" t="s">
        <v>14410</v>
      </c>
      <c r="J8840" t="s">
        <v>9114</v>
      </c>
    </row>
    <row r="8841" spans="1:10" x14ac:dyDescent="0.25">
      <c r="A8841" t="s">
        <v>27368</v>
      </c>
      <c r="B8841">
        <v>7.6000000000000014</v>
      </c>
      <c r="C8841" t="s">
        <v>27369</v>
      </c>
      <c r="D8841" t="s">
        <v>639</v>
      </c>
      <c r="E8841" t="s">
        <v>27370</v>
      </c>
      <c r="F8841" t="s">
        <v>7672</v>
      </c>
      <c r="G8841" t="s">
        <v>27371</v>
      </c>
      <c r="H8841" t="s">
        <v>11496</v>
      </c>
      <c r="I8841" t="s">
        <v>27372</v>
      </c>
      <c r="J8841" t="s">
        <v>11767</v>
      </c>
    </row>
    <row r="8842" spans="1:10" x14ac:dyDescent="0.25">
      <c r="A8842" t="s">
        <v>27373</v>
      </c>
      <c r="B8842">
        <v>18.192</v>
      </c>
      <c r="C8842" t="s">
        <v>27374</v>
      </c>
      <c r="D8842" t="s">
        <v>53</v>
      </c>
      <c r="E8842" t="s">
        <v>27375</v>
      </c>
      <c r="F8842" t="s">
        <v>7672</v>
      </c>
      <c r="G8842" t="s">
        <v>27376</v>
      </c>
      <c r="H8842" t="s">
        <v>9127</v>
      </c>
      <c r="I8842" t="s">
        <v>20202</v>
      </c>
      <c r="J8842" t="s">
        <v>9110</v>
      </c>
    </row>
    <row r="8843" spans="1:10" x14ac:dyDescent="0.25">
      <c r="A8843" t="s">
        <v>27377</v>
      </c>
      <c r="B8843">
        <v>18.192</v>
      </c>
      <c r="C8843" t="s">
        <v>27378</v>
      </c>
      <c r="D8843" t="s">
        <v>835</v>
      </c>
      <c r="E8843" t="s">
        <v>27375</v>
      </c>
      <c r="F8843" t="s">
        <v>7672</v>
      </c>
      <c r="G8843" t="s">
        <v>27376</v>
      </c>
      <c r="H8843" t="s">
        <v>9127</v>
      </c>
      <c r="I8843" t="s">
        <v>20202</v>
      </c>
      <c r="J8843" t="s">
        <v>11368</v>
      </c>
    </row>
    <row r="8844" spans="1:10" x14ac:dyDescent="0.25">
      <c r="A8844" t="s">
        <v>27379</v>
      </c>
      <c r="B8844">
        <v>18.192</v>
      </c>
      <c r="C8844" t="s">
        <v>27380</v>
      </c>
      <c r="D8844" t="s">
        <v>835</v>
      </c>
      <c r="E8844" t="s">
        <v>27375</v>
      </c>
      <c r="F8844" t="s">
        <v>7672</v>
      </c>
      <c r="G8844" t="s">
        <v>27376</v>
      </c>
      <c r="H8844" t="s">
        <v>9127</v>
      </c>
      <c r="I8844" t="s">
        <v>20202</v>
      </c>
      <c r="J8844" t="s">
        <v>11373</v>
      </c>
    </row>
    <row r="8845" spans="1:10" x14ac:dyDescent="0.25">
      <c r="A8845" t="s">
        <v>27381</v>
      </c>
      <c r="B8845">
        <v>18.192</v>
      </c>
      <c r="C8845" t="s">
        <v>27382</v>
      </c>
      <c r="D8845" t="s">
        <v>131</v>
      </c>
      <c r="E8845" t="s">
        <v>27375</v>
      </c>
      <c r="F8845" t="s">
        <v>7672</v>
      </c>
      <c r="G8845" t="s">
        <v>27376</v>
      </c>
      <c r="H8845" t="s">
        <v>9127</v>
      </c>
      <c r="I8845" t="s">
        <v>20202</v>
      </c>
      <c r="J8845" t="s">
        <v>11376</v>
      </c>
    </row>
    <row r="8846" spans="1:10" x14ac:dyDescent="0.25">
      <c r="A8846" t="s">
        <v>27383</v>
      </c>
      <c r="B8846">
        <v>18.192</v>
      </c>
      <c r="C8846" t="s">
        <v>27384</v>
      </c>
      <c r="D8846" t="s">
        <v>255</v>
      </c>
      <c r="E8846" t="s">
        <v>27375</v>
      </c>
      <c r="F8846" t="s">
        <v>7672</v>
      </c>
      <c r="G8846" t="s">
        <v>27376</v>
      </c>
      <c r="H8846" t="s">
        <v>9127</v>
      </c>
      <c r="I8846" t="s">
        <v>20202</v>
      </c>
      <c r="J8846" t="s">
        <v>9114</v>
      </c>
    </row>
    <row r="8847" spans="1:10" x14ac:dyDescent="0.25">
      <c r="A8847" t="s">
        <v>27385</v>
      </c>
      <c r="B8847">
        <v>12</v>
      </c>
      <c r="C8847" t="s">
        <v>27386</v>
      </c>
      <c r="D8847" t="s">
        <v>282</v>
      </c>
      <c r="E8847" t="s">
        <v>27387</v>
      </c>
      <c r="F8847" t="s">
        <v>7672</v>
      </c>
      <c r="G8847" t="s">
        <v>27388</v>
      </c>
      <c r="H8847" t="s">
        <v>15474</v>
      </c>
      <c r="I8847" t="s">
        <v>1243</v>
      </c>
      <c r="J8847" t="s">
        <v>100</v>
      </c>
    </row>
    <row r="8848" spans="1:10" x14ac:dyDescent="0.25">
      <c r="A8848" t="s">
        <v>27389</v>
      </c>
      <c r="B8848">
        <v>12</v>
      </c>
      <c r="C8848" t="s">
        <v>27390</v>
      </c>
      <c r="D8848" t="s">
        <v>301</v>
      </c>
      <c r="E8848" t="s">
        <v>27387</v>
      </c>
      <c r="F8848" t="s">
        <v>7672</v>
      </c>
      <c r="G8848" t="s">
        <v>27388</v>
      </c>
      <c r="H8848" t="s">
        <v>15474</v>
      </c>
      <c r="I8848" t="s">
        <v>1243</v>
      </c>
      <c r="J8848" t="s">
        <v>106</v>
      </c>
    </row>
    <row r="8849" spans="1:10" x14ac:dyDescent="0.25">
      <c r="A8849" t="s">
        <v>27391</v>
      </c>
      <c r="B8849">
        <v>3.3519999999999999</v>
      </c>
      <c r="C8849" t="s">
        <v>27392</v>
      </c>
      <c r="D8849" t="s">
        <v>3577</v>
      </c>
      <c r="E8849" t="s">
        <v>27393</v>
      </c>
      <c r="F8849" t="s">
        <v>7672</v>
      </c>
      <c r="G8849" t="s">
        <v>27394</v>
      </c>
      <c r="H8849" t="s">
        <v>7674</v>
      </c>
      <c r="I8849" t="s">
        <v>13693</v>
      </c>
      <c r="J8849" t="s">
        <v>9237</v>
      </c>
    </row>
    <row r="8850" spans="1:10" x14ac:dyDescent="0.25">
      <c r="A8850" t="s">
        <v>27395</v>
      </c>
      <c r="B8850">
        <v>3.3519999999999999</v>
      </c>
      <c r="C8850" t="s">
        <v>27396</v>
      </c>
      <c r="D8850" t="s">
        <v>17467</v>
      </c>
      <c r="E8850" t="s">
        <v>27393</v>
      </c>
      <c r="F8850" t="s">
        <v>7672</v>
      </c>
      <c r="G8850" t="s">
        <v>27394</v>
      </c>
      <c r="H8850" t="s">
        <v>7674</v>
      </c>
      <c r="I8850" t="s">
        <v>13693</v>
      </c>
      <c r="J8850" t="s">
        <v>8427</v>
      </c>
    </row>
    <row r="8851" spans="1:10" x14ac:dyDescent="0.25">
      <c r="A8851" t="s">
        <v>27397</v>
      </c>
      <c r="B8851">
        <v>3.3519999999999999</v>
      </c>
      <c r="C8851" t="s">
        <v>27398</v>
      </c>
      <c r="D8851" t="s">
        <v>9362</v>
      </c>
      <c r="E8851" t="s">
        <v>27393</v>
      </c>
      <c r="F8851" t="s">
        <v>7672</v>
      </c>
      <c r="G8851" t="s">
        <v>27394</v>
      </c>
      <c r="H8851" t="s">
        <v>7674</v>
      </c>
      <c r="I8851" t="s">
        <v>13693</v>
      </c>
      <c r="J8851" t="s">
        <v>8439</v>
      </c>
    </row>
    <row r="8852" spans="1:10" x14ac:dyDescent="0.25">
      <c r="A8852" t="s">
        <v>27399</v>
      </c>
      <c r="B8852">
        <v>3.3519999999999999</v>
      </c>
      <c r="C8852" t="s">
        <v>27400</v>
      </c>
      <c r="D8852" t="s">
        <v>2198</v>
      </c>
      <c r="E8852" t="s">
        <v>27393</v>
      </c>
      <c r="F8852" t="s">
        <v>7672</v>
      </c>
      <c r="G8852" t="s">
        <v>27394</v>
      </c>
      <c r="H8852" t="s">
        <v>7674</v>
      </c>
      <c r="I8852" t="s">
        <v>13693</v>
      </c>
      <c r="J8852" t="s">
        <v>8451</v>
      </c>
    </row>
    <row r="8853" spans="1:10" x14ac:dyDescent="0.25">
      <c r="A8853" t="s">
        <v>27401</v>
      </c>
      <c r="B8853">
        <v>8.3920000000000012</v>
      </c>
      <c r="C8853" t="s">
        <v>27402</v>
      </c>
      <c r="D8853" t="s">
        <v>131</v>
      </c>
      <c r="E8853" t="s">
        <v>27403</v>
      </c>
      <c r="F8853" t="s">
        <v>7672</v>
      </c>
      <c r="G8853" t="s">
        <v>27404</v>
      </c>
      <c r="H8853" t="s">
        <v>26410</v>
      </c>
      <c r="I8853" t="s">
        <v>27405</v>
      </c>
      <c r="J8853" t="s">
        <v>7942</v>
      </c>
    </row>
    <row r="8854" spans="1:10" x14ac:dyDescent="0.25">
      <c r="A8854" t="s">
        <v>27406</v>
      </c>
      <c r="B8854">
        <v>8.3920000000000012</v>
      </c>
      <c r="C8854" t="s">
        <v>27407</v>
      </c>
      <c r="D8854" t="s">
        <v>255</v>
      </c>
      <c r="E8854" t="s">
        <v>27403</v>
      </c>
      <c r="F8854" t="s">
        <v>7672</v>
      </c>
      <c r="G8854" t="s">
        <v>27404</v>
      </c>
      <c r="H8854" t="s">
        <v>26410</v>
      </c>
      <c r="I8854" t="s">
        <v>27405</v>
      </c>
      <c r="J8854" t="s">
        <v>7981</v>
      </c>
    </row>
    <row r="8855" spans="1:10" x14ac:dyDescent="0.25">
      <c r="A8855" t="s">
        <v>27408</v>
      </c>
      <c r="B8855">
        <v>6.4960000000000004</v>
      </c>
      <c r="C8855" t="s">
        <v>27409</v>
      </c>
      <c r="D8855" t="s">
        <v>2322</v>
      </c>
      <c r="E8855" t="s">
        <v>27410</v>
      </c>
      <c r="F8855" t="s">
        <v>7672</v>
      </c>
      <c r="G8855" t="s">
        <v>27411</v>
      </c>
      <c r="H8855" t="s">
        <v>17992</v>
      </c>
      <c r="I8855" t="s">
        <v>11206</v>
      </c>
      <c r="J8855" t="s">
        <v>8427</v>
      </c>
    </row>
    <row r="8856" spans="1:10" x14ac:dyDescent="0.25">
      <c r="A8856" t="s">
        <v>27412</v>
      </c>
      <c r="B8856">
        <v>6.4960000000000004</v>
      </c>
      <c r="C8856" t="s">
        <v>27413</v>
      </c>
      <c r="D8856" t="s">
        <v>986</v>
      </c>
      <c r="E8856" t="s">
        <v>27410</v>
      </c>
      <c r="F8856" t="s">
        <v>7672</v>
      </c>
      <c r="G8856" t="s">
        <v>27411</v>
      </c>
      <c r="H8856" t="s">
        <v>17992</v>
      </c>
      <c r="I8856" t="s">
        <v>8158</v>
      </c>
      <c r="J8856" t="s">
        <v>8427</v>
      </c>
    </row>
    <row r="8857" spans="1:10" x14ac:dyDescent="0.25">
      <c r="A8857" t="s">
        <v>27414</v>
      </c>
      <c r="B8857">
        <v>6.4960000000000004</v>
      </c>
      <c r="C8857" t="s">
        <v>27415</v>
      </c>
      <c r="D8857" t="s">
        <v>5283</v>
      </c>
      <c r="E8857" t="s">
        <v>27410</v>
      </c>
      <c r="F8857" t="s">
        <v>7672</v>
      </c>
      <c r="G8857" t="s">
        <v>27411</v>
      </c>
      <c r="H8857" t="s">
        <v>17992</v>
      </c>
      <c r="I8857" t="s">
        <v>8158</v>
      </c>
      <c r="J8857" t="s">
        <v>8439</v>
      </c>
    </row>
    <row r="8858" spans="1:10" x14ac:dyDescent="0.25">
      <c r="A8858" t="s">
        <v>27416</v>
      </c>
      <c r="B8858">
        <v>6.4960000000000004</v>
      </c>
      <c r="C8858" t="s">
        <v>27417</v>
      </c>
      <c r="D8858" t="s">
        <v>67</v>
      </c>
      <c r="E8858" t="s">
        <v>27410</v>
      </c>
      <c r="F8858" t="s">
        <v>7672</v>
      </c>
      <c r="G8858" t="s">
        <v>27411</v>
      </c>
      <c r="H8858" t="s">
        <v>17992</v>
      </c>
      <c r="I8858" t="s">
        <v>11206</v>
      </c>
      <c r="J8858" t="s">
        <v>8439</v>
      </c>
    </row>
    <row r="8859" spans="1:10" x14ac:dyDescent="0.25">
      <c r="A8859" t="s">
        <v>27418</v>
      </c>
      <c r="B8859">
        <v>6.4960000000000004</v>
      </c>
      <c r="C8859" t="s">
        <v>27419</v>
      </c>
      <c r="D8859" t="s">
        <v>664</v>
      </c>
      <c r="E8859" t="s">
        <v>27410</v>
      </c>
      <c r="F8859" t="s">
        <v>7672</v>
      </c>
      <c r="G8859" t="s">
        <v>27411</v>
      </c>
      <c r="H8859" t="s">
        <v>17992</v>
      </c>
      <c r="I8859" t="s">
        <v>8158</v>
      </c>
      <c r="J8859" t="s">
        <v>8451</v>
      </c>
    </row>
    <row r="8860" spans="1:10" x14ac:dyDescent="0.25">
      <c r="A8860" t="s">
        <v>27420</v>
      </c>
      <c r="B8860">
        <v>6.4960000000000004</v>
      </c>
      <c r="C8860" t="s">
        <v>27421</v>
      </c>
      <c r="D8860" t="s">
        <v>1579</v>
      </c>
      <c r="E8860" t="s">
        <v>27410</v>
      </c>
      <c r="F8860" t="s">
        <v>7672</v>
      </c>
      <c r="G8860" t="s">
        <v>27411</v>
      </c>
      <c r="H8860" t="s">
        <v>17992</v>
      </c>
      <c r="I8860" t="s">
        <v>11206</v>
      </c>
      <c r="J8860" t="s">
        <v>8451</v>
      </c>
    </row>
    <row r="8861" spans="1:10" x14ac:dyDescent="0.25">
      <c r="A8861" t="s">
        <v>27422</v>
      </c>
      <c r="B8861">
        <v>6.4960000000000004</v>
      </c>
      <c r="C8861" t="s">
        <v>27423</v>
      </c>
      <c r="D8861" t="s">
        <v>250</v>
      </c>
      <c r="E8861" t="s">
        <v>27410</v>
      </c>
      <c r="F8861" t="s">
        <v>7672</v>
      </c>
      <c r="G8861" t="s">
        <v>27411</v>
      </c>
      <c r="H8861" t="s">
        <v>17992</v>
      </c>
      <c r="I8861" t="s">
        <v>8158</v>
      </c>
      <c r="J8861" t="s">
        <v>8462</v>
      </c>
    </row>
    <row r="8862" spans="1:10" x14ac:dyDescent="0.25">
      <c r="A8862" t="s">
        <v>27424</v>
      </c>
      <c r="B8862">
        <v>6.4960000000000004</v>
      </c>
      <c r="C8862" t="s">
        <v>27425</v>
      </c>
      <c r="D8862" t="s">
        <v>582</v>
      </c>
      <c r="E8862" t="s">
        <v>27410</v>
      </c>
      <c r="F8862" t="s">
        <v>7672</v>
      </c>
      <c r="G8862" t="s">
        <v>27411</v>
      </c>
      <c r="H8862" t="s">
        <v>17992</v>
      </c>
      <c r="I8862" t="s">
        <v>11206</v>
      </c>
      <c r="J8862" t="s">
        <v>8462</v>
      </c>
    </row>
    <row r="8863" spans="1:10" x14ac:dyDescent="0.25">
      <c r="A8863" t="s">
        <v>7507</v>
      </c>
      <c r="B8863">
        <v>11.984</v>
      </c>
      <c r="C8863" t="s">
        <v>7509</v>
      </c>
      <c r="D8863" t="s">
        <v>436</v>
      </c>
      <c r="E8863" t="s">
        <v>7510</v>
      </c>
      <c r="F8863" t="s">
        <v>7672</v>
      </c>
      <c r="G8863" t="s">
        <v>27426</v>
      </c>
      <c r="H8863" t="s">
        <v>10970</v>
      </c>
      <c r="I8863" t="s">
        <v>10173</v>
      </c>
      <c r="J8863" t="s">
        <v>7675</v>
      </c>
    </row>
    <row r="8864" spans="1:10" x14ac:dyDescent="0.25">
      <c r="A8864" t="s">
        <v>27427</v>
      </c>
      <c r="B8864">
        <v>11.984</v>
      </c>
      <c r="C8864" t="s">
        <v>27428</v>
      </c>
      <c r="D8864" t="s">
        <v>342</v>
      </c>
      <c r="E8864" t="s">
        <v>7510</v>
      </c>
      <c r="F8864" t="s">
        <v>7672</v>
      </c>
      <c r="G8864" t="s">
        <v>27426</v>
      </c>
      <c r="H8864" t="s">
        <v>10970</v>
      </c>
      <c r="I8864" t="s">
        <v>26593</v>
      </c>
      <c r="J8864" t="s">
        <v>7675</v>
      </c>
    </row>
    <row r="8865" spans="1:10" x14ac:dyDescent="0.25">
      <c r="A8865" t="s">
        <v>7514</v>
      </c>
      <c r="B8865">
        <v>11.984</v>
      </c>
      <c r="C8865" t="s">
        <v>7516</v>
      </c>
      <c r="D8865" t="s">
        <v>742</v>
      </c>
      <c r="E8865" t="s">
        <v>7510</v>
      </c>
      <c r="F8865" t="s">
        <v>7672</v>
      </c>
      <c r="G8865" t="s">
        <v>27426</v>
      </c>
      <c r="H8865" t="s">
        <v>10970</v>
      </c>
      <c r="I8865" t="s">
        <v>278</v>
      </c>
      <c r="J8865" t="s">
        <v>7675</v>
      </c>
    </row>
    <row r="8866" spans="1:10" x14ac:dyDescent="0.25">
      <c r="A8866" t="s">
        <v>7520</v>
      </c>
      <c r="B8866">
        <v>11.984</v>
      </c>
      <c r="C8866" t="s">
        <v>7522</v>
      </c>
      <c r="D8866" t="s">
        <v>277</v>
      </c>
      <c r="E8866" t="s">
        <v>7510</v>
      </c>
      <c r="F8866" t="s">
        <v>7672</v>
      </c>
      <c r="G8866" t="s">
        <v>27426</v>
      </c>
      <c r="H8866" t="s">
        <v>10970</v>
      </c>
      <c r="I8866" t="s">
        <v>1243</v>
      </c>
      <c r="J8866" t="s">
        <v>7675</v>
      </c>
    </row>
    <row r="8867" spans="1:10" x14ac:dyDescent="0.25">
      <c r="A8867" t="s">
        <v>7526</v>
      </c>
      <c r="B8867">
        <v>11.984</v>
      </c>
      <c r="C8867" t="s">
        <v>7528</v>
      </c>
      <c r="D8867" t="s">
        <v>53</v>
      </c>
      <c r="E8867" t="s">
        <v>7510</v>
      </c>
      <c r="F8867" t="s">
        <v>7672</v>
      </c>
      <c r="G8867" t="s">
        <v>27426</v>
      </c>
      <c r="H8867" t="s">
        <v>10970</v>
      </c>
      <c r="I8867" t="s">
        <v>1243</v>
      </c>
      <c r="J8867" t="s">
        <v>7675</v>
      </c>
    </row>
    <row r="8868" spans="1:10" x14ac:dyDescent="0.25">
      <c r="A8868" t="s">
        <v>7532</v>
      </c>
      <c r="B8868">
        <v>11.984</v>
      </c>
      <c r="C8868" t="s">
        <v>7534</v>
      </c>
      <c r="D8868" t="s">
        <v>164</v>
      </c>
      <c r="E8868" t="s">
        <v>7510</v>
      </c>
      <c r="F8868" t="s">
        <v>7672</v>
      </c>
      <c r="G8868" t="s">
        <v>27426</v>
      </c>
      <c r="H8868" t="s">
        <v>10970</v>
      </c>
      <c r="I8868" t="s">
        <v>410</v>
      </c>
      <c r="J8868" t="s">
        <v>7675</v>
      </c>
    </row>
    <row r="8869" spans="1:10" x14ac:dyDescent="0.25">
      <c r="A8869" t="s">
        <v>27429</v>
      </c>
      <c r="B8869">
        <v>9.5920000000000005</v>
      </c>
      <c r="C8869" t="s">
        <v>27430</v>
      </c>
      <c r="D8869" t="s">
        <v>4794</v>
      </c>
      <c r="E8869" t="s">
        <v>27431</v>
      </c>
      <c r="F8869" t="s">
        <v>7672</v>
      </c>
      <c r="G8869" t="s">
        <v>27432</v>
      </c>
      <c r="H8869" t="s">
        <v>7674</v>
      </c>
      <c r="I8869" t="s">
        <v>27433</v>
      </c>
      <c r="J8869" t="s">
        <v>9694</v>
      </c>
    </row>
    <row r="8870" spans="1:10" x14ac:dyDescent="0.25">
      <c r="A8870" t="s">
        <v>7538</v>
      </c>
      <c r="B8870">
        <v>8.8000000000000007</v>
      </c>
      <c r="C8870" t="s">
        <v>7540</v>
      </c>
      <c r="D8870" t="s">
        <v>926</v>
      </c>
      <c r="E8870" t="s">
        <v>7541</v>
      </c>
      <c r="F8870" t="s">
        <v>7672</v>
      </c>
      <c r="G8870" t="s">
        <v>27434</v>
      </c>
      <c r="H8870" t="s">
        <v>12519</v>
      </c>
      <c r="I8870" t="s">
        <v>497</v>
      </c>
      <c r="J8870" t="s">
        <v>100</v>
      </c>
    </row>
    <row r="8871" spans="1:10" x14ac:dyDescent="0.25">
      <c r="A8871" t="s">
        <v>7545</v>
      </c>
      <c r="B8871">
        <v>8.8000000000000007</v>
      </c>
      <c r="C8871" t="s">
        <v>7547</v>
      </c>
      <c r="D8871" t="s">
        <v>330</v>
      </c>
      <c r="E8871" t="s">
        <v>7541</v>
      </c>
      <c r="F8871" t="s">
        <v>7672</v>
      </c>
      <c r="G8871" t="s">
        <v>27434</v>
      </c>
      <c r="H8871" t="s">
        <v>12519</v>
      </c>
      <c r="I8871" t="s">
        <v>76</v>
      </c>
      <c r="J8871" t="s">
        <v>100</v>
      </c>
    </row>
    <row r="8872" spans="1:10" x14ac:dyDescent="0.25">
      <c r="A8872" t="s">
        <v>7551</v>
      </c>
      <c r="B8872">
        <v>8.8000000000000007</v>
      </c>
      <c r="C8872" t="s">
        <v>7553</v>
      </c>
      <c r="D8872" t="s">
        <v>576</v>
      </c>
      <c r="E8872" t="s">
        <v>7541</v>
      </c>
      <c r="F8872" t="s">
        <v>7672</v>
      </c>
      <c r="G8872" t="s">
        <v>27434</v>
      </c>
      <c r="H8872" t="s">
        <v>12519</v>
      </c>
      <c r="I8872" t="s">
        <v>497</v>
      </c>
      <c r="J8872" t="s">
        <v>106</v>
      </c>
    </row>
    <row r="8873" spans="1:10" x14ac:dyDescent="0.25">
      <c r="A8873" t="s">
        <v>7555</v>
      </c>
      <c r="B8873">
        <v>8.8000000000000007</v>
      </c>
      <c r="C8873" t="s">
        <v>7557</v>
      </c>
      <c r="D8873" t="s">
        <v>385</v>
      </c>
      <c r="E8873" t="s">
        <v>7541</v>
      </c>
      <c r="F8873" t="s">
        <v>7672</v>
      </c>
      <c r="G8873" t="s">
        <v>27434</v>
      </c>
      <c r="H8873" t="s">
        <v>12519</v>
      </c>
      <c r="I8873" t="s">
        <v>497</v>
      </c>
      <c r="J8873" t="s">
        <v>88</v>
      </c>
    </row>
    <row r="8874" spans="1:10" x14ac:dyDescent="0.25">
      <c r="A8874" t="s">
        <v>7559</v>
      </c>
      <c r="B8874">
        <v>5.7200000000000006</v>
      </c>
      <c r="C8874" t="s">
        <v>7561</v>
      </c>
      <c r="D8874" t="s">
        <v>342</v>
      </c>
      <c r="E8874" t="s">
        <v>7562</v>
      </c>
      <c r="F8874" t="s">
        <v>7672</v>
      </c>
      <c r="G8874" t="s">
        <v>20928</v>
      </c>
      <c r="H8874" t="s">
        <v>7965</v>
      </c>
      <c r="I8874" t="s">
        <v>76</v>
      </c>
      <c r="J8874" t="s">
        <v>7987</v>
      </c>
    </row>
    <row r="8875" spans="1:10" x14ac:dyDescent="0.25">
      <c r="A8875" t="s">
        <v>27435</v>
      </c>
      <c r="B8875">
        <v>4</v>
      </c>
      <c r="C8875" t="s">
        <v>27436</v>
      </c>
      <c r="D8875" t="s">
        <v>2697</v>
      </c>
      <c r="E8875" t="s">
        <v>27437</v>
      </c>
      <c r="F8875" t="s">
        <v>7672</v>
      </c>
      <c r="G8875" t="s">
        <v>27438</v>
      </c>
      <c r="H8875" t="s">
        <v>10298</v>
      </c>
      <c r="I8875" t="s">
        <v>5202</v>
      </c>
      <c r="J8875" t="s">
        <v>11710</v>
      </c>
    </row>
    <row r="8876" spans="1:10" x14ac:dyDescent="0.25">
      <c r="A8876" t="s">
        <v>27439</v>
      </c>
      <c r="B8876">
        <v>4</v>
      </c>
      <c r="C8876" t="s">
        <v>27440</v>
      </c>
      <c r="D8876" t="s">
        <v>1097</v>
      </c>
      <c r="E8876" t="s">
        <v>27437</v>
      </c>
      <c r="F8876" t="s">
        <v>7672</v>
      </c>
      <c r="G8876" t="s">
        <v>27438</v>
      </c>
      <c r="H8876" t="s">
        <v>10298</v>
      </c>
      <c r="I8876" t="s">
        <v>76</v>
      </c>
      <c r="J8876" t="s">
        <v>11710</v>
      </c>
    </row>
    <row r="8877" spans="1:10" x14ac:dyDescent="0.25">
      <c r="A8877" t="s">
        <v>27441</v>
      </c>
      <c r="B8877">
        <v>4</v>
      </c>
      <c r="C8877" t="s">
        <v>27442</v>
      </c>
      <c r="D8877" t="s">
        <v>903</v>
      </c>
      <c r="E8877" t="s">
        <v>27437</v>
      </c>
      <c r="F8877" t="s">
        <v>7672</v>
      </c>
      <c r="G8877" t="s">
        <v>27438</v>
      </c>
      <c r="H8877" t="s">
        <v>10298</v>
      </c>
      <c r="I8877" t="s">
        <v>5202</v>
      </c>
      <c r="J8877" t="s">
        <v>12182</v>
      </c>
    </row>
    <row r="8878" spans="1:10" x14ac:dyDescent="0.25">
      <c r="A8878" t="s">
        <v>27443</v>
      </c>
      <c r="B8878">
        <v>4</v>
      </c>
      <c r="C8878" t="s">
        <v>27444</v>
      </c>
      <c r="D8878" t="s">
        <v>290</v>
      </c>
      <c r="E8878" t="s">
        <v>27437</v>
      </c>
      <c r="F8878" t="s">
        <v>7672</v>
      </c>
      <c r="G8878" t="s">
        <v>27438</v>
      </c>
      <c r="H8878" t="s">
        <v>10298</v>
      </c>
      <c r="I8878" t="s">
        <v>145</v>
      </c>
      <c r="J8878" t="s">
        <v>12182</v>
      </c>
    </row>
    <row r="8879" spans="1:10" x14ac:dyDescent="0.25">
      <c r="A8879" t="s">
        <v>27445</v>
      </c>
      <c r="B8879">
        <v>4</v>
      </c>
      <c r="C8879" t="s">
        <v>27446</v>
      </c>
      <c r="D8879" t="s">
        <v>2078</v>
      </c>
      <c r="E8879" t="s">
        <v>27437</v>
      </c>
      <c r="F8879" t="s">
        <v>7672</v>
      </c>
      <c r="G8879" t="s">
        <v>27438</v>
      </c>
      <c r="H8879" t="s">
        <v>10298</v>
      </c>
      <c r="I8879" t="s">
        <v>76</v>
      </c>
      <c r="J8879" t="s">
        <v>12182</v>
      </c>
    </row>
    <row r="8880" spans="1:10" x14ac:dyDescent="0.25">
      <c r="A8880" t="s">
        <v>27447</v>
      </c>
      <c r="B8880">
        <v>4</v>
      </c>
      <c r="C8880" t="s">
        <v>27448</v>
      </c>
      <c r="D8880" t="s">
        <v>1644</v>
      </c>
      <c r="E8880" t="s">
        <v>27437</v>
      </c>
      <c r="F8880" t="s">
        <v>7672</v>
      </c>
      <c r="G8880" t="s">
        <v>27438</v>
      </c>
      <c r="H8880" t="s">
        <v>10298</v>
      </c>
      <c r="I8880" t="s">
        <v>76</v>
      </c>
      <c r="J8880" t="s">
        <v>10150</v>
      </c>
    </row>
    <row r="8881" spans="1:10" x14ac:dyDescent="0.25">
      <c r="A8881" t="s">
        <v>27449</v>
      </c>
      <c r="B8881">
        <v>4</v>
      </c>
      <c r="C8881" t="s">
        <v>27450</v>
      </c>
      <c r="D8881" t="s">
        <v>1579</v>
      </c>
      <c r="E8881" t="s">
        <v>27437</v>
      </c>
      <c r="F8881" t="s">
        <v>7672</v>
      </c>
      <c r="G8881" t="s">
        <v>27438</v>
      </c>
      <c r="H8881" t="s">
        <v>10298</v>
      </c>
      <c r="I8881" t="s">
        <v>5202</v>
      </c>
      <c r="J8881" t="s">
        <v>10150</v>
      </c>
    </row>
    <row r="8882" spans="1:10" x14ac:dyDescent="0.25">
      <c r="A8882" t="s">
        <v>27451</v>
      </c>
      <c r="B8882">
        <v>4</v>
      </c>
      <c r="C8882" t="s">
        <v>27452</v>
      </c>
      <c r="D8882" t="s">
        <v>926</v>
      </c>
      <c r="E8882" t="s">
        <v>27437</v>
      </c>
      <c r="F8882" t="s">
        <v>7672</v>
      </c>
      <c r="G8882" t="s">
        <v>27438</v>
      </c>
      <c r="H8882" t="s">
        <v>10298</v>
      </c>
      <c r="I8882" t="s">
        <v>145</v>
      </c>
      <c r="J8882" t="s">
        <v>10150</v>
      </c>
    </row>
    <row r="8883" spans="1:10" x14ac:dyDescent="0.25">
      <c r="A8883" t="s">
        <v>27453</v>
      </c>
      <c r="B8883">
        <v>11.52</v>
      </c>
      <c r="C8883" t="s">
        <v>27454</v>
      </c>
      <c r="D8883" t="s">
        <v>4100</v>
      </c>
      <c r="E8883" t="s">
        <v>27455</v>
      </c>
      <c r="F8883" t="s">
        <v>7672</v>
      </c>
      <c r="G8883" t="s">
        <v>27456</v>
      </c>
      <c r="H8883" t="s">
        <v>10298</v>
      </c>
      <c r="I8883" t="s">
        <v>76</v>
      </c>
      <c r="J8883" t="s">
        <v>8427</v>
      </c>
    </row>
    <row r="8884" spans="1:10" x14ac:dyDescent="0.25">
      <c r="A8884" t="s">
        <v>27457</v>
      </c>
      <c r="B8884">
        <v>11.52</v>
      </c>
      <c r="C8884" t="s">
        <v>27458</v>
      </c>
      <c r="D8884" t="s">
        <v>1579</v>
      </c>
      <c r="E8884" t="s">
        <v>27455</v>
      </c>
      <c r="F8884" t="s">
        <v>7672</v>
      </c>
      <c r="G8884" t="s">
        <v>27456</v>
      </c>
      <c r="H8884" t="s">
        <v>10298</v>
      </c>
      <c r="I8884" t="s">
        <v>27459</v>
      </c>
      <c r="J8884" t="s">
        <v>8427</v>
      </c>
    </row>
    <row r="8885" spans="1:10" x14ac:dyDescent="0.25">
      <c r="A8885" t="s">
        <v>27460</v>
      </c>
      <c r="B8885">
        <v>11.52</v>
      </c>
      <c r="C8885" t="s">
        <v>27461</v>
      </c>
      <c r="D8885" t="s">
        <v>4327</v>
      </c>
      <c r="E8885" t="s">
        <v>27455</v>
      </c>
      <c r="F8885" t="s">
        <v>7672</v>
      </c>
      <c r="G8885" t="s">
        <v>27456</v>
      </c>
      <c r="H8885" t="s">
        <v>10298</v>
      </c>
      <c r="I8885" t="s">
        <v>9736</v>
      </c>
      <c r="J8885" t="s">
        <v>8427</v>
      </c>
    </row>
    <row r="8886" spans="1:10" x14ac:dyDescent="0.25">
      <c r="A8886" t="s">
        <v>27462</v>
      </c>
      <c r="B8886">
        <v>11.52</v>
      </c>
      <c r="C8886" t="s">
        <v>27463</v>
      </c>
      <c r="D8886" t="s">
        <v>626</v>
      </c>
      <c r="E8886" t="s">
        <v>27455</v>
      </c>
      <c r="F8886" t="s">
        <v>7672</v>
      </c>
      <c r="G8886" t="s">
        <v>27456</v>
      </c>
      <c r="H8886" t="s">
        <v>10298</v>
      </c>
      <c r="I8886" t="s">
        <v>9736</v>
      </c>
      <c r="J8886" t="s">
        <v>8439</v>
      </c>
    </row>
    <row r="8887" spans="1:10" x14ac:dyDescent="0.25">
      <c r="A8887" t="s">
        <v>27464</v>
      </c>
      <c r="B8887">
        <v>11.52</v>
      </c>
      <c r="C8887" t="s">
        <v>27465</v>
      </c>
      <c r="D8887" t="s">
        <v>4322</v>
      </c>
      <c r="E8887" t="s">
        <v>27455</v>
      </c>
      <c r="F8887" t="s">
        <v>7672</v>
      </c>
      <c r="G8887" t="s">
        <v>27456</v>
      </c>
      <c r="H8887" t="s">
        <v>10298</v>
      </c>
      <c r="I8887" t="s">
        <v>76</v>
      </c>
      <c r="J8887" t="s">
        <v>8439</v>
      </c>
    </row>
    <row r="8888" spans="1:10" x14ac:dyDescent="0.25">
      <c r="A8888" t="s">
        <v>27466</v>
      </c>
      <c r="B8888">
        <v>11.52</v>
      </c>
      <c r="C8888" t="s">
        <v>27467</v>
      </c>
      <c r="D8888" t="s">
        <v>2253</v>
      </c>
      <c r="E8888" t="s">
        <v>27455</v>
      </c>
      <c r="F8888" t="s">
        <v>7672</v>
      </c>
      <c r="G8888" t="s">
        <v>27456</v>
      </c>
      <c r="H8888" t="s">
        <v>10298</v>
      </c>
      <c r="I8888" t="s">
        <v>27459</v>
      </c>
      <c r="J8888" t="s">
        <v>8439</v>
      </c>
    </row>
    <row r="8889" spans="1:10" x14ac:dyDescent="0.25">
      <c r="A8889" t="s">
        <v>27468</v>
      </c>
      <c r="B8889">
        <v>11.52</v>
      </c>
      <c r="C8889" t="s">
        <v>27469</v>
      </c>
      <c r="D8889" t="s">
        <v>6257</v>
      </c>
      <c r="E8889" t="s">
        <v>27455</v>
      </c>
      <c r="F8889" t="s">
        <v>7672</v>
      </c>
      <c r="G8889" t="s">
        <v>27456</v>
      </c>
      <c r="H8889" t="s">
        <v>10298</v>
      </c>
      <c r="I8889" t="s">
        <v>76</v>
      </c>
      <c r="J8889" t="s">
        <v>8451</v>
      </c>
    </row>
    <row r="8890" spans="1:10" x14ac:dyDescent="0.25">
      <c r="A8890" t="s">
        <v>27470</v>
      </c>
      <c r="B8890">
        <v>11.52</v>
      </c>
      <c r="C8890" t="s">
        <v>27471</v>
      </c>
      <c r="D8890" t="s">
        <v>516</v>
      </c>
      <c r="E8890" t="s">
        <v>27455</v>
      </c>
      <c r="F8890" t="s">
        <v>7672</v>
      </c>
      <c r="G8890" t="s">
        <v>27456</v>
      </c>
      <c r="H8890" t="s">
        <v>10298</v>
      </c>
      <c r="I8890" t="s">
        <v>27459</v>
      </c>
      <c r="J8890" t="s">
        <v>8451</v>
      </c>
    </row>
    <row r="8891" spans="1:10" x14ac:dyDescent="0.25">
      <c r="A8891" t="s">
        <v>27472</v>
      </c>
      <c r="B8891">
        <v>11.52</v>
      </c>
      <c r="C8891" t="s">
        <v>27473</v>
      </c>
      <c r="D8891" t="s">
        <v>40</v>
      </c>
      <c r="E8891" t="s">
        <v>27455</v>
      </c>
      <c r="F8891" t="s">
        <v>7672</v>
      </c>
      <c r="G8891" t="s">
        <v>27456</v>
      </c>
      <c r="H8891" t="s">
        <v>10298</v>
      </c>
      <c r="I8891" t="s">
        <v>9736</v>
      </c>
      <c r="J8891" t="s">
        <v>8451</v>
      </c>
    </row>
    <row r="8892" spans="1:10" x14ac:dyDescent="0.25">
      <c r="A8892" t="s">
        <v>27474</v>
      </c>
      <c r="B8892">
        <v>3.1920000000000002</v>
      </c>
      <c r="C8892" t="s">
        <v>27475</v>
      </c>
      <c r="D8892" t="s">
        <v>975</v>
      </c>
      <c r="E8892" t="s">
        <v>27476</v>
      </c>
      <c r="F8892" t="s">
        <v>7672</v>
      </c>
      <c r="G8892" t="s">
        <v>12947</v>
      </c>
      <c r="H8892" t="s">
        <v>8027</v>
      </c>
      <c r="I8892" t="s">
        <v>23541</v>
      </c>
      <c r="J8892" t="s">
        <v>11023</v>
      </c>
    </row>
    <row r="8893" spans="1:10" x14ac:dyDescent="0.25">
      <c r="A8893" t="s">
        <v>27477</v>
      </c>
      <c r="B8893">
        <v>3.1920000000000002</v>
      </c>
      <c r="C8893" t="s">
        <v>27478</v>
      </c>
      <c r="D8893" t="s">
        <v>450</v>
      </c>
      <c r="E8893" t="s">
        <v>27476</v>
      </c>
      <c r="F8893" t="s">
        <v>7672</v>
      </c>
      <c r="G8893" t="s">
        <v>12947</v>
      </c>
      <c r="H8893" t="s">
        <v>8027</v>
      </c>
      <c r="I8893" t="s">
        <v>23535</v>
      </c>
      <c r="J8893" t="s">
        <v>11023</v>
      </c>
    </row>
    <row r="8894" spans="1:10" x14ac:dyDescent="0.25">
      <c r="A8894" t="s">
        <v>27479</v>
      </c>
      <c r="B8894">
        <v>3.1920000000000002</v>
      </c>
      <c r="C8894" t="s">
        <v>27480</v>
      </c>
      <c r="D8894" t="s">
        <v>10764</v>
      </c>
      <c r="E8894" t="s">
        <v>27476</v>
      </c>
      <c r="F8894" t="s">
        <v>7672</v>
      </c>
      <c r="G8894" t="s">
        <v>12947</v>
      </c>
      <c r="H8894" t="s">
        <v>8027</v>
      </c>
      <c r="I8894" t="s">
        <v>23541</v>
      </c>
      <c r="J8894" t="s">
        <v>11030</v>
      </c>
    </row>
    <row r="8895" spans="1:10" x14ac:dyDescent="0.25">
      <c r="A8895" t="s">
        <v>27481</v>
      </c>
      <c r="B8895">
        <v>3.1920000000000002</v>
      </c>
      <c r="C8895" t="s">
        <v>27482</v>
      </c>
      <c r="D8895" t="s">
        <v>8313</v>
      </c>
      <c r="E8895" t="s">
        <v>27476</v>
      </c>
      <c r="F8895" t="s">
        <v>7672</v>
      </c>
      <c r="G8895" t="s">
        <v>12947</v>
      </c>
      <c r="H8895" t="s">
        <v>8027</v>
      </c>
      <c r="I8895" t="s">
        <v>23535</v>
      </c>
      <c r="J8895" t="s">
        <v>11030</v>
      </c>
    </row>
    <row r="8896" spans="1:10" x14ac:dyDescent="0.25">
      <c r="A8896" t="s">
        <v>27483</v>
      </c>
      <c r="B8896">
        <v>8.8640000000000008</v>
      </c>
      <c r="C8896" t="s">
        <v>27484</v>
      </c>
      <c r="D8896" t="s">
        <v>234</v>
      </c>
      <c r="E8896" t="s">
        <v>27485</v>
      </c>
      <c r="F8896" t="s">
        <v>7672</v>
      </c>
      <c r="G8896" t="s">
        <v>27486</v>
      </c>
      <c r="H8896" t="s">
        <v>13897</v>
      </c>
      <c r="I8896" t="s">
        <v>27487</v>
      </c>
      <c r="J8896" t="s">
        <v>9423</v>
      </c>
    </row>
    <row r="8897" spans="1:10" x14ac:dyDescent="0.25">
      <c r="A8897" t="s">
        <v>27488</v>
      </c>
      <c r="B8897">
        <v>8.8640000000000008</v>
      </c>
      <c r="C8897" t="s">
        <v>27489</v>
      </c>
      <c r="D8897" t="s">
        <v>2787</v>
      </c>
      <c r="E8897" t="s">
        <v>27485</v>
      </c>
      <c r="F8897" t="s">
        <v>7672</v>
      </c>
      <c r="G8897" t="s">
        <v>27486</v>
      </c>
      <c r="H8897" t="s">
        <v>13897</v>
      </c>
      <c r="I8897" t="s">
        <v>27487</v>
      </c>
      <c r="J8897" t="s">
        <v>10862</v>
      </c>
    </row>
    <row r="8898" spans="1:10" x14ac:dyDescent="0.25">
      <c r="A8898" t="s">
        <v>27490</v>
      </c>
      <c r="B8898">
        <v>8.8640000000000008</v>
      </c>
      <c r="C8898" t="s">
        <v>27491</v>
      </c>
      <c r="D8898" t="s">
        <v>5145</v>
      </c>
      <c r="E8898" t="s">
        <v>27485</v>
      </c>
      <c r="F8898" t="s">
        <v>7672</v>
      </c>
      <c r="G8898" t="s">
        <v>27486</v>
      </c>
      <c r="H8898" t="s">
        <v>13897</v>
      </c>
      <c r="I8898" t="s">
        <v>27487</v>
      </c>
      <c r="J8898" t="s">
        <v>9426</v>
      </c>
    </row>
    <row r="8899" spans="1:10" x14ac:dyDescent="0.25">
      <c r="A8899" t="s">
        <v>27492</v>
      </c>
      <c r="B8899">
        <v>8.8640000000000008</v>
      </c>
      <c r="C8899" t="s">
        <v>27493</v>
      </c>
      <c r="D8899" t="s">
        <v>870</v>
      </c>
      <c r="E8899" t="s">
        <v>27485</v>
      </c>
      <c r="F8899" t="s">
        <v>7672</v>
      </c>
      <c r="G8899" t="s">
        <v>27486</v>
      </c>
      <c r="H8899" t="s">
        <v>13897</v>
      </c>
      <c r="I8899" t="s">
        <v>27487</v>
      </c>
      <c r="J8899" t="s">
        <v>13084</v>
      </c>
    </row>
    <row r="8900" spans="1:10" x14ac:dyDescent="0.25">
      <c r="A8900" t="s">
        <v>27494</v>
      </c>
      <c r="B8900">
        <v>8.8640000000000008</v>
      </c>
      <c r="C8900" t="s">
        <v>27495</v>
      </c>
      <c r="D8900" t="s">
        <v>4270</v>
      </c>
      <c r="E8900" t="s">
        <v>27485</v>
      </c>
      <c r="F8900" t="s">
        <v>7672</v>
      </c>
      <c r="G8900" t="s">
        <v>27486</v>
      </c>
      <c r="H8900" t="s">
        <v>13897</v>
      </c>
      <c r="I8900" t="s">
        <v>27487</v>
      </c>
      <c r="J8900" t="s">
        <v>11767</v>
      </c>
    </row>
    <row r="8901" spans="1:10" x14ac:dyDescent="0.25">
      <c r="A8901" t="s">
        <v>27496</v>
      </c>
      <c r="B8901">
        <v>8.8640000000000008</v>
      </c>
      <c r="C8901" t="s">
        <v>27497</v>
      </c>
      <c r="D8901" t="s">
        <v>975</v>
      </c>
      <c r="E8901" t="s">
        <v>27485</v>
      </c>
      <c r="F8901" t="s">
        <v>7672</v>
      </c>
      <c r="G8901" t="s">
        <v>27486</v>
      </c>
      <c r="H8901" t="s">
        <v>13897</v>
      </c>
      <c r="I8901" t="s">
        <v>27487</v>
      </c>
      <c r="J8901" t="s">
        <v>11582</v>
      </c>
    </row>
    <row r="8902" spans="1:10" x14ac:dyDescent="0.25">
      <c r="A8902" t="s">
        <v>27498</v>
      </c>
      <c r="B8902">
        <v>8.8640000000000008</v>
      </c>
      <c r="C8902" t="s">
        <v>27499</v>
      </c>
      <c r="D8902" t="s">
        <v>245</v>
      </c>
      <c r="E8902" t="s">
        <v>27485</v>
      </c>
      <c r="F8902" t="s">
        <v>7672</v>
      </c>
      <c r="G8902" t="s">
        <v>27486</v>
      </c>
      <c r="H8902" t="s">
        <v>13897</v>
      </c>
      <c r="I8902" t="s">
        <v>27487</v>
      </c>
      <c r="J8902" t="s">
        <v>11585</v>
      </c>
    </row>
    <row r="8903" spans="1:10" x14ac:dyDescent="0.25">
      <c r="A8903" t="s">
        <v>27500</v>
      </c>
      <c r="B8903">
        <v>2.8</v>
      </c>
      <c r="C8903" t="s">
        <v>27501</v>
      </c>
      <c r="D8903" t="s">
        <v>14270</v>
      </c>
      <c r="E8903" t="s">
        <v>27502</v>
      </c>
      <c r="F8903" t="s">
        <v>7672</v>
      </c>
      <c r="G8903" t="s">
        <v>27503</v>
      </c>
      <c r="H8903" t="s">
        <v>13951</v>
      </c>
      <c r="I8903" t="s">
        <v>5202</v>
      </c>
      <c r="J8903" t="s">
        <v>7675</v>
      </c>
    </row>
    <row r="8904" spans="1:10" x14ac:dyDescent="0.25">
      <c r="A8904" t="s">
        <v>27504</v>
      </c>
      <c r="B8904">
        <v>2.8</v>
      </c>
      <c r="C8904" t="s">
        <v>27505</v>
      </c>
      <c r="D8904" t="s">
        <v>27506</v>
      </c>
      <c r="E8904" t="s">
        <v>27502</v>
      </c>
      <c r="F8904" t="s">
        <v>7672</v>
      </c>
      <c r="G8904" t="s">
        <v>27503</v>
      </c>
      <c r="H8904" t="s">
        <v>13951</v>
      </c>
      <c r="I8904" t="s">
        <v>5202</v>
      </c>
      <c r="J8904" t="s">
        <v>7686</v>
      </c>
    </row>
    <row r="8905" spans="1:10" x14ac:dyDescent="0.25">
      <c r="A8905" t="s">
        <v>27507</v>
      </c>
      <c r="B8905">
        <v>2.8</v>
      </c>
      <c r="C8905" t="s">
        <v>27508</v>
      </c>
      <c r="D8905" t="s">
        <v>27509</v>
      </c>
      <c r="E8905" t="s">
        <v>27502</v>
      </c>
      <c r="F8905" t="s">
        <v>7672</v>
      </c>
      <c r="G8905" t="s">
        <v>27503</v>
      </c>
      <c r="H8905" t="s">
        <v>13951</v>
      </c>
      <c r="I8905" t="s">
        <v>5202</v>
      </c>
      <c r="J8905" t="s">
        <v>7703</v>
      </c>
    </row>
    <row r="8906" spans="1:10" x14ac:dyDescent="0.25">
      <c r="A8906" t="s">
        <v>27510</v>
      </c>
      <c r="B8906">
        <v>2.8</v>
      </c>
      <c r="C8906" t="s">
        <v>27511</v>
      </c>
      <c r="D8906" t="s">
        <v>27512</v>
      </c>
      <c r="E8906" t="s">
        <v>27502</v>
      </c>
      <c r="F8906" t="s">
        <v>7672</v>
      </c>
      <c r="G8906" t="s">
        <v>27503</v>
      </c>
      <c r="H8906" t="s">
        <v>13951</v>
      </c>
      <c r="I8906" t="s">
        <v>5202</v>
      </c>
      <c r="J8906" t="s">
        <v>7713</v>
      </c>
    </row>
    <row r="8907" spans="1:10" x14ac:dyDescent="0.25">
      <c r="A8907" t="s">
        <v>27513</v>
      </c>
      <c r="B8907">
        <v>2.8</v>
      </c>
      <c r="C8907" t="s">
        <v>27514</v>
      </c>
      <c r="D8907" t="s">
        <v>8457</v>
      </c>
      <c r="E8907" t="s">
        <v>27502</v>
      </c>
      <c r="F8907" t="s">
        <v>7672</v>
      </c>
      <c r="G8907" t="s">
        <v>27503</v>
      </c>
      <c r="H8907" t="s">
        <v>13951</v>
      </c>
      <c r="I8907" t="s">
        <v>5202</v>
      </c>
      <c r="J8907" t="s">
        <v>7719</v>
      </c>
    </row>
    <row r="8908" spans="1:10" x14ac:dyDescent="0.25">
      <c r="A8908" t="s">
        <v>27515</v>
      </c>
      <c r="B8908">
        <v>10.8</v>
      </c>
      <c r="C8908" t="s">
        <v>27516</v>
      </c>
      <c r="D8908" t="s">
        <v>359</v>
      </c>
      <c r="E8908" t="s">
        <v>27517</v>
      </c>
      <c r="F8908" t="s">
        <v>7672</v>
      </c>
      <c r="G8908" t="s">
        <v>9534</v>
      </c>
      <c r="H8908" t="s">
        <v>9535</v>
      </c>
      <c r="I8908" t="s">
        <v>27518</v>
      </c>
      <c r="J8908" t="s">
        <v>9540</v>
      </c>
    </row>
    <row r="8909" spans="1:10" x14ac:dyDescent="0.25">
      <c r="A8909" t="s">
        <v>27519</v>
      </c>
      <c r="B8909">
        <v>10.8</v>
      </c>
      <c r="C8909" t="s">
        <v>27520</v>
      </c>
      <c r="D8909" t="s">
        <v>2697</v>
      </c>
      <c r="E8909" t="s">
        <v>27517</v>
      </c>
      <c r="F8909" t="s">
        <v>7672</v>
      </c>
      <c r="G8909" t="s">
        <v>9534</v>
      </c>
      <c r="H8909" t="s">
        <v>9535</v>
      </c>
      <c r="I8909" t="s">
        <v>27518</v>
      </c>
      <c r="J8909" t="s">
        <v>9547</v>
      </c>
    </row>
    <row r="8910" spans="1:10" x14ac:dyDescent="0.25">
      <c r="A8910" t="s">
        <v>27521</v>
      </c>
      <c r="B8910">
        <v>36</v>
      </c>
      <c r="C8910" t="s">
        <v>27522</v>
      </c>
      <c r="D8910" t="s">
        <v>5179</v>
      </c>
      <c r="E8910" t="s">
        <v>27523</v>
      </c>
      <c r="F8910" t="s">
        <v>7672</v>
      </c>
      <c r="G8910" t="s">
        <v>27524</v>
      </c>
      <c r="H8910" t="s">
        <v>9693</v>
      </c>
      <c r="I8910" t="s">
        <v>17521</v>
      </c>
      <c r="J8910" t="s">
        <v>9694</v>
      </c>
    </row>
    <row r="8911" spans="1:10" x14ac:dyDescent="0.25">
      <c r="A8911" t="s">
        <v>7564</v>
      </c>
      <c r="B8911">
        <v>108</v>
      </c>
      <c r="C8911" t="s">
        <v>7566</v>
      </c>
      <c r="D8911" t="s">
        <v>941</v>
      </c>
      <c r="E8911" t="s">
        <v>7567</v>
      </c>
      <c r="F8911" t="s">
        <v>7672</v>
      </c>
      <c r="G8911" t="s">
        <v>27525</v>
      </c>
      <c r="H8911" t="s">
        <v>9693</v>
      </c>
      <c r="I8911" t="s">
        <v>22191</v>
      </c>
      <c r="J8911" t="s">
        <v>9694</v>
      </c>
    </row>
    <row r="8912" spans="1:10" x14ac:dyDescent="0.25">
      <c r="A8912" t="s">
        <v>27526</v>
      </c>
      <c r="B8912">
        <v>84</v>
      </c>
      <c r="C8912" t="s">
        <v>27527</v>
      </c>
      <c r="D8912" t="s">
        <v>53</v>
      </c>
      <c r="E8912" t="s">
        <v>27528</v>
      </c>
      <c r="F8912" t="s">
        <v>7672</v>
      </c>
      <c r="G8912" t="s">
        <v>27529</v>
      </c>
      <c r="H8912" t="s">
        <v>9693</v>
      </c>
      <c r="I8912" t="s">
        <v>17521</v>
      </c>
      <c r="J8912" t="s">
        <v>9694</v>
      </c>
    </row>
    <row r="8913" spans="1:10" x14ac:dyDescent="0.25">
      <c r="A8913" t="s">
        <v>27530</v>
      </c>
      <c r="B8913">
        <v>15.4</v>
      </c>
      <c r="C8913" t="s">
        <v>27531</v>
      </c>
      <c r="D8913" t="s">
        <v>330</v>
      </c>
      <c r="E8913" t="s">
        <v>27532</v>
      </c>
      <c r="F8913" t="s">
        <v>7672</v>
      </c>
      <c r="G8913" t="s">
        <v>11468</v>
      </c>
      <c r="H8913" t="s">
        <v>7954</v>
      </c>
      <c r="I8913" t="s">
        <v>27533</v>
      </c>
      <c r="J8913" t="s">
        <v>7675</v>
      </c>
    </row>
    <row r="8914" spans="1:10" x14ac:dyDescent="0.25">
      <c r="A8914" t="s">
        <v>7571</v>
      </c>
      <c r="B8914">
        <v>5.2</v>
      </c>
      <c r="C8914" t="s">
        <v>7573</v>
      </c>
      <c r="D8914" t="s">
        <v>2149</v>
      </c>
      <c r="E8914" t="s">
        <v>7574</v>
      </c>
      <c r="F8914" t="s">
        <v>7672</v>
      </c>
      <c r="G8914" t="s">
        <v>27534</v>
      </c>
      <c r="H8914" t="s">
        <v>8081</v>
      </c>
      <c r="I8914" t="s">
        <v>20168</v>
      </c>
      <c r="J8914" t="s">
        <v>8001</v>
      </c>
    </row>
    <row r="8915" spans="1:10" x14ac:dyDescent="0.25">
      <c r="A8915" t="s">
        <v>27535</v>
      </c>
      <c r="B8915">
        <v>16.384</v>
      </c>
      <c r="C8915" t="s">
        <v>27536</v>
      </c>
      <c r="D8915" t="s">
        <v>255</v>
      </c>
      <c r="E8915" t="s">
        <v>27537</v>
      </c>
      <c r="F8915" t="s">
        <v>7672</v>
      </c>
      <c r="G8915" t="s">
        <v>27538</v>
      </c>
      <c r="H8915" t="s">
        <v>12423</v>
      </c>
      <c r="I8915" t="s">
        <v>15813</v>
      </c>
      <c r="J8915" t="s">
        <v>7675</v>
      </c>
    </row>
    <row r="8916" spans="1:10" x14ac:dyDescent="0.25">
      <c r="A8916" t="s">
        <v>27539</v>
      </c>
      <c r="B8916">
        <v>4.8000000000000007</v>
      </c>
      <c r="C8916" t="s">
        <v>27540</v>
      </c>
      <c r="D8916" t="s">
        <v>835</v>
      </c>
      <c r="E8916" t="s">
        <v>27541</v>
      </c>
      <c r="F8916" t="s">
        <v>7672</v>
      </c>
      <c r="G8916" t="s">
        <v>27542</v>
      </c>
      <c r="H8916" t="s">
        <v>11496</v>
      </c>
      <c r="I8916" t="s">
        <v>27543</v>
      </c>
      <c r="J8916" t="s">
        <v>9426</v>
      </c>
    </row>
    <row r="8917" spans="1:10" x14ac:dyDescent="0.25">
      <c r="A8917" t="s">
        <v>27544</v>
      </c>
      <c r="B8917">
        <v>4.8000000000000007</v>
      </c>
      <c r="C8917" t="s">
        <v>27545</v>
      </c>
      <c r="D8917" t="s">
        <v>290</v>
      </c>
      <c r="E8917" t="s">
        <v>27541</v>
      </c>
      <c r="F8917" t="s">
        <v>7672</v>
      </c>
      <c r="G8917" t="s">
        <v>27542</v>
      </c>
      <c r="H8917" t="s">
        <v>11496</v>
      </c>
      <c r="I8917" t="s">
        <v>27543</v>
      </c>
      <c r="J8917" t="s">
        <v>10862</v>
      </c>
    </row>
    <row r="8918" spans="1:10" x14ac:dyDescent="0.25">
      <c r="A8918" t="s">
        <v>27546</v>
      </c>
      <c r="B8918">
        <v>6.4960000000000004</v>
      </c>
      <c r="C8918" t="s">
        <v>27547</v>
      </c>
      <c r="D8918" t="s">
        <v>131</v>
      </c>
      <c r="E8918" t="s">
        <v>27548</v>
      </c>
      <c r="F8918" t="s">
        <v>7672</v>
      </c>
      <c r="G8918" t="s">
        <v>27549</v>
      </c>
      <c r="H8918" t="s">
        <v>8027</v>
      </c>
      <c r="I8918" t="s">
        <v>27550</v>
      </c>
      <c r="J8918" t="s">
        <v>7942</v>
      </c>
    </row>
    <row r="8919" spans="1:10" x14ac:dyDescent="0.25">
      <c r="A8919" t="s">
        <v>27551</v>
      </c>
      <c r="B8919">
        <v>6.4960000000000004</v>
      </c>
      <c r="C8919" t="s">
        <v>27552</v>
      </c>
      <c r="D8919" t="s">
        <v>88</v>
      </c>
      <c r="E8919" t="s">
        <v>27548</v>
      </c>
      <c r="F8919" t="s">
        <v>7672</v>
      </c>
      <c r="G8919" t="s">
        <v>27549</v>
      </c>
      <c r="H8919" t="s">
        <v>8027</v>
      </c>
      <c r="I8919" t="s">
        <v>27553</v>
      </c>
      <c r="J8919" t="s">
        <v>7942</v>
      </c>
    </row>
    <row r="8920" spans="1:10" x14ac:dyDescent="0.25">
      <c r="A8920" t="s">
        <v>27554</v>
      </c>
      <c r="B8920">
        <v>6.4960000000000004</v>
      </c>
      <c r="C8920" t="s">
        <v>27555</v>
      </c>
      <c r="D8920" t="s">
        <v>53</v>
      </c>
      <c r="E8920" t="s">
        <v>27548</v>
      </c>
      <c r="F8920" t="s">
        <v>7672</v>
      </c>
      <c r="G8920" t="s">
        <v>27549</v>
      </c>
      <c r="H8920" t="s">
        <v>8027</v>
      </c>
      <c r="I8920" t="s">
        <v>27550</v>
      </c>
      <c r="J8920" t="s">
        <v>7984</v>
      </c>
    </row>
    <row r="8921" spans="1:10" x14ac:dyDescent="0.25">
      <c r="A8921" t="s">
        <v>27556</v>
      </c>
      <c r="B8921">
        <v>6.4960000000000004</v>
      </c>
      <c r="C8921" t="s">
        <v>27557</v>
      </c>
      <c r="D8921" t="s">
        <v>742</v>
      </c>
      <c r="E8921" t="s">
        <v>27548</v>
      </c>
      <c r="F8921" t="s">
        <v>7672</v>
      </c>
      <c r="G8921" t="s">
        <v>27549</v>
      </c>
      <c r="H8921" t="s">
        <v>8027</v>
      </c>
      <c r="I8921" t="s">
        <v>27553</v>
      </c>
      <c r="J8921" t="s">
        <v>7987</v>
      </c>
    </row>
    <row r="8922" spans="1:10" x14ac:dyDescent="0.25">
      <c r="A8922" t="s">
        <v>27558</v>
      </c>
      <c r="B8922">
        <v>6.4960000000000004</v>
      </c>
      <c r="C8922" t="s">
        <v>27559</v>
      </c>
      <c r="D8922" t="s">
        <v>250</v>
      </c>
      <c r="E8922" t="s">
        <v>27548</v>
      </c>
      <c r="F8922" t="s">
        <v>7672</v>
      </c>
      <c r="G8922" t="s">
        <v>27549</v>
      </c>
      <c r="H8922" t="s">
        <v>8027</v>
      </c>
      <c r="I8922" t="s">
        <v>27550</v>
      </c>
      <c r="J8922" t="s">
        <v>7987</v>
      </c>
    </row>
    <row r="8923" spans="1:10" x14ac:dyDescent="0.25">
      <c r="A8923" t="s">
        <v>27560</v>
      </c>
      <c r="B8923">
        <v>6.4960000000000004</v>
      </c>
      <c r="C8923" t="s">
        <v>27561</v>
      </c>
      <c r="D8923" t="s">
        <v>576</v>
      </c>
      <c r="E8923" t="s">
        <v>27548</v>
      </c>
      <c r="F8923" t="s">
        <v>7672</v>
      </c>
      <c r="G8923" t="s">
        <v>27549</v>
      </c>
      <c r="H8923" t="s">
        <v>8027</v>
      </c>
      <c r="I8923" t="s">
        <v>27553</v>
      </c>
      <c r="J8923" t="s">
        <v>8001</v>
      </c>
    </row>
    <row r="8924" spans="1:10" x14ac:dyDescent="0.25">
      <c r="A8924" t="s">
        <v>27562</v>
      </c>
      <c r="B8924">
        <v>6.4960000000000004</v>
      </c>
      <c r="C8924" t="s">
        <v>27563</v>
      </c>
      <c r="D8924" t="s">
        <v>366</v>
      </c>
      <c r="E8924" t="s">
        <v>27548</v>
      </c>
      <c r="F8924" t="s">
        <v>7672</v>
      </c>
      <c r="G8924" t="s">
        <v>27549</v>
      </c>
      <c r="H8924" t="s">
        <v>8027</v>
      </c>
      <c r="I8924" t="s">
        <v>27550</v>
      </c>
      <c r="J8924" t="s">
        <v>8001</v>
      </c>
    </row>
    <row r="8925" spans="1:10" x14ac:dyDescent="0.25">
      <c r="A8925" t="s">
        <v>27564</v>
      </c>
      <c r="B8925">
        <v>8</v>
      </c>
      <c r="C8925" t="s">
        <v>27565</v>
      </c>
      <c r="D8925" t="s">
        <v>118</v>
      </c>
      <c r="E8925" t="s">
        <v>27566</v>
      </c>
      <c r="F8925" t="s">
        <v>7672</v>
      </c>
      <c r="G8925" t="s">
        <v>23311</v>
      </c>
      <c r="H8925" t="s">
        <v>14647</v>
      </c>
      <c r="I8925" t="s">
        <v>14651</v>
      </c>
      <c r="J8925" t="s">
        <v>7981</v>
      </c>
    </row>
    <row r="8926" spans="1:10" x14ac:dyDescent="0.25">
      <c r="A8926" t="s">
        <v>27567</v>
      </c>
      <c r="B8926">
        <v>8</v>
      </c>
      <c r="C8926" t="s">
        <v>27568</v>
      </c>
      <c r="D8926" t="s">
        <v>1134</v>
      </c>
      <c r="E8926" t="s">
        <v>27566</v>
      </c>
      <c r="F8926" t="s">
        <v>7672</v>
      </c>
      <c r="G8926" t="s">
        <v>23311</v>
      </c>
      <c r="H8926" t="s">
        <v>14647</v>
      </c>
      <c r="I8926" t="s">
        <v>22485</v>
      </c>
      <c r="J8926" t="s">
        <v>7984</v>
      </c>
    </row>
    <row r="8927" spans="1:10" x14ac:dyDescent="0.25">
      <c r="A8927" t="s">
        <v>27569</v>
      </c>
      <c r="B8927">
        <v>8</v>
      </c>
      <c r="C8927" t="s">
        <v>27570</v>
      </c>
      <c r="D8927" t="s">
        <v>1536</v>
      </c>
      <c r="E8927" t="s">
        <v>27566</v>
      </c>
      <c r="F8927" t="s">
        <v>7672</v>
      </c>
      <c r="G8927" t="s">
        <v>23311</v>
      </c>
      <c r="H8927" t="s">
        <v>14647</v>
      </c>
      <c r="I8927" t="s">
        <v>14648</v>
      </c>
      <c r="J8927" t="s">
        <v>7984</v>
      </c>
    </row>
    <row r="8928" spans="1:10" x14ac:dyDescent="0.25">
      <c r="A8928" t="s">
        <v>27571</v>
      </c>
      <c r="B8928">
        <v>8</v>
      </c>
      <c r="C8928" t="s">
        <v>27572</v>
      </c>
      <c r="D8928" t="s">
        <v>286</v>
      </c>
      <c r="E8928" t="s">
        <v>27566</v>
      </c>
      <c r="F8928" t="s">
        <v>7672</v>
      </c>
      <c r="G8928" t="s">
        <v>23311</v>
      </c>
      <c r="H8928" t="s">
        <v>14647</v>
      </c>
      <c r="I8928" t="s">
        <v>22485</v>
      </c>
      <c r="J8928" t="s">
        <v>7987</v>
      </c>
    </row>
    <row r="8929" spans="1:10" x14ac:dyDescent="0.25">
      <c r="A8929" t="s">
        <v>27573</v>
      </c>
      <c r="B8929">
        <v>8</v>
      </c>
      <c r="C8929" t="s">
        <v>27574</v>
      </c>
      <c r="D8929" t="s">
        <v>113</v>
      </c>
      <c r="E8929" t="s">
        <v>27566</v>
      </c>
      <c r="F8929" t="s">
        <v>7672</v>
      </c>
      <c r="G8929" t="s">
        <v>23311</v>
      </c>
      <c r="H8929" t="s">
        <v>14647</v>
      </c>
      <c r="I8929" t="s">
        <v>22485</v>
      </c>
      <c r="J8929" t="s">
        <v>8001</v>
      </c>
    </row>
    <row r="8930" spans="1:10" x14ac:dyDescent="0.25">
      <c r="A8930" t="s">
        <v>7576</v>
      </c>
      <c r="B8930">
        <v>16.68</v>
      </c>
      <c r="C8930" t="s">
        <v>7578</v>
      </c>
      <c r="D8930" t="s">
        <v>269</v>
      </c>
      <c r="E8930" t="s">
        <v>7579</v>
      </c>
      <c r="F8930" t="s">
        <v>7672</v>
      </c>
      <c r="G8930" t="s">
        <v>27575</v>
      </c>
      <c r="H8930" t="s">
        <v>10970</v>
      </c>
      <c r="I8930" t="s">
        <v>27576</v>
      </c>
      <c r="J8930" t="s">
        <v>17927</v>
      </c>
    </row>
    <row r="8931" spans="1:10" x14ac:dyDescent="0.25">
      <c r="A8931" t="s">
        <v>7583</v>
      </c>
      <c r="B8931">
        <v>16.68</v>
      </c>
      <c r="C8931" t="s">
        <v>7585</v>
      </c>
      <c r="D8931" t="s">
        <v>53</v>
      </c>
      <c r="E8931" t="s">
        <v>7579</v>
      </c>
      <c r="F8931" t="s">
        <v>7672</v>
      </c>
      <c r="G8931" t="s">
        <v>27575</v>
      </c>
      <c r="H8931" t="s">
        <v>10970</v>
      </c>
      <c r="I8931" t="s">
        <v>27576</v>
      </c>
      <c r="J8931" t="s">
        <v>10185</v>
      </c>
    </row>
    <row r="8932" spans="1:10" x14ac:dyDescent="0.25">
      <c r="A8932" t="s">
        <v>7587</v>
      </c>
      <c r="B8932">
        <v>16.68</v>
      </c>
      <c r="C8932" t="s">
        <v>7589</v>
      </c>
      <c r="D8932" t="s">
        <v>342</v>
      </c>
      <c r="E8932" t="s">
        <v>7579</v>
      </c>
      <c r="F8932" t="s">
        <v>7672</v>
      </c>
      <c r="G8932" t="s">
        <v>27575</v>
      </c>
      <c r="H8932" t="s">
        <v>10970</v>
      </c>
      <c r="I8932" t="s">
        <v>27576</v>
      </c>
      <c r="J8932" t="s">
        <v>17929</v>
      </c>
    </row>
    <row r="8933" spans="1:10" x14ac:dyDescent="0.25">
      <c r="A8933" t="s">
        <v>7591</v>
      </c>
      <c r="B8933">
        <v>16.68</v>
      </c>
      <c r="C8933" t="s">
        <v>7593</v>
      </c>
      <c r="D8933" t="s">
        <v>100</v>
      </c>
      <c r="E8933" t="s">
        <v>7579</v>
      </c>
      <c r="F8933" t="s">
        <v>7672</v>
      </c>
      <c r="G8933" t="s">
        <v>27575</v>
      </c>
      <c r="H8933" t="s">
        <v>10970</v>
      </c>
      <c r="I8933" t="s">
        <v>27576</v>
      </c>
      <c r="J8933" t="s">
        <v>10206</v>
      </c>
    </row>
    <row r="8934" spans="1:10" x14ac:dyDescent="0.25">
      <c r="A8934" t="s">
        <v>7595</v>
      </c>
      <c r="B8934">
        <v>16.68</v>
      </c>
      <c r="C8934" t="s">
        <v>7597</v>
      </c>
      <c r="D8934" t="s">
        <v>60</v>
      </c>
      <c r="E8934" t="s">
        <v>7579</v>
      </c>
      <c r="F8934" t="s">
        <v>7672</v>
      </c>
      <c r="G8934" t="s">
        <v>27575</v>
      </c>
      <c r="H8934" t="s">
        <v>10970</v>
      </c>
      <c r="I8934" t="s">
        <v>27576</v>
      </c>
      <c r="J8934" t="s">
        <v>27577</v>
      </c>
    </row>
    <row r="8935" spans="1:10" x14ac:dyDescent="0.25">
      <c r="A8935" t="s">
        <v>7599</v>
      </c>
      <c r="B8935">
        <v>16.68</v>
      </c>
      <c r="C8935" t="s">
        <v>7601</v>
      </c>
      <c r="D8935" t="s">
        <v>342</v>
      </c>
      <c r="E8935" t="s">
        <v>7579</v>
      </c>
      <c r="F8935" t="s">
        <v>7672</v>
      </c>
      <c r="G8935" t="s">
        <v>27575</v>
      </c>
      <c r="H8935" t="s">
        <v>10970</v>
      </c>
      <c r="I8935" t="s">
        <v>27576</v>
      </c>
      <c r="J8935" t="s">
        <v>17933</v>
      </c>
    </row>
    <row r="8936" spans="1:10" x14ac:dyDescent="0.25">
      <c r="A8936" t="s">
        <v>7603</v>
      </c>
      <c r="B8936">
        <v>16.68</v>
      </c>
      <c r="C8936" t="s">
        <v>7605</v>
      </c>
      <c r="D8936" t="s">
        <v>106</v>
      </c>
      <c r="E8936" t="s">
        <v>7579</v>
      </c>
      <c r="F8936" t="s">
        <v>7672</v>
      </c>
      <c r="G8936" t="s">
        <v>27575</v>
      </c>
      <c r="H8936" t="s">
        <v>10970</v>
      </c>
      <c r="I8936" t="s">
        <v>27576</v>
      </c>
      <c r="J8936" t="s">
        <v>10222</v>
      </c>
    </row>
    <row r="8937" spans="1:10" x14ac:dyDescent="0.25">
      <c r="A8937" t="s">
        <v>7607</v>
      </c>
      <c r="B8937">
        <v>16.68</v>
      </c>
      <c r="C8937" t="s">
        <v>7609</v>
      </c>
      <c r="D8937" t="s">
        <v>277</v>
      </c>
      <c r="E8937" t="s">
        <v>7579</v>
      </c>
      <c r="F8937" t="s">
        <v>7672</v>
      </c>
      <c r="G8937" t="s">
        <v>27575</v>
      </c>
      <c r="H8937" t="s">
        <v>10970</v>
      </c>
      <c r="I8937" t="s">
        <v>27576</v>
      </c>
      <c r="J8937" t="s">
        <v>10233</v>
      </c>
    </row>
    <row r="8938" spans="1:10" x14ac:dyDescent="0.25">
      <c r="A8938" t="s">
        <v>7611</v>
      </c>
      <c r="B8938">
        <v>16.68</v>
      </c>
      <c r="C8938" t="s">
        <v>7613</v>
      </c>
      <c r="D8938" t="s">
        <v>100</v>
      </c>
      <c r="E8938" t="s">
        <v>7579</v>
      </c>
      <c r="F8938" t="s">
        <v>7672</v>
      </c>
      <c r="G8938" t="s">
        <v>27575</v>
      </c>
      <c r="H8938" t="s">
        <v>10970</v>
      </c>
      <c r="I8938" t="s">
        <v>27576</v>
      </c>
      <c r="J8938" t="s">
        <v>10251</v>
      </c>
    </row>
    <row r="8939" spans="1:10" x14ac:dyDescent="0.25">
      <c r="A8939" t="s">
        <v>7615</v>
      </c>
      <c r="B8939">
        <v>16.68</v>
      </c>
      <c r="C8939" t="s">
        <v>7617</v>
      </c>
      <c r="D8939" t="s">
        <v>88</v>
      </c>
      <c r="E8939" t="s">
        <v>7579</v>
      </c>
      <c r="F8939" t="s">
        <v>7672</v>
      </c>
      <c r="G8939" t="s">
        <v>27575</v>
      </c>
      <c r="H8939" t="s">
        <v>10970</v>
      </c>
      <c r="I8939" t="s">
        <v>27576</v>
      </c>
      <c r="J8939" t="s">
        <v>8658</v>
      </c>
    </row>
    <row r="8940" spans="1:10" x14ac:dyDescent="0.25">
      <c r="A8940" t="s">
        <v>27578</v>
      </c>
      <c r="B8940">
        <v>6</v>
      </c>
      <c r="C8940" t="s">
        <v>27579</v>
      </c>
      <c r="D8940" t="s">
        <v>286</v>
      </c>
      <c r="E8940" t="s">
        <v>27580</v>
      </c>
      <c r="F8940" t="s">
        <v>7672</v>
      </c>
      <c r="G8940" t="s">
        <v>27581</v>
      </c>
      <c r="H8940" t="s">
        <v>11622</v>
      </c>
      <c r="I8940" t="s">
        <v>27582</v>
      </c>
      <c r="J8940" t="s">
        <v>7675</v>
      </c>
    </row>
    <row r="8941" spans="1:10" x14ac:dyDescent="0.25">
      <c r="A8941" t="s">
        <v>27583</v>
      </c>
      <c r="B8941">
        <v>6</v>
      </c>
      <c r="C8941" t="s">
        <v>27584</v>
      </c>
      <c r="D8941" t="s">
        <v>88</v>
      </c>
      <c r="E8941" t="s">
        <v>27580</v>
      </c>
      <c r="F8941" t="s">
        <v>7672</v>
      </c>
      <c r="G8941" t="s">
        <v>27581</v>
      </c>
      <c r="H8941" t="s">
        <v>11622</v>
      </c>
      <c r="I8941" t="s">
        <v>14561</v>
      </c>
      <c r="J8941" t="s">
        <v>7675</v>
      </c>
    </row>
    <row r="8942" spans="1:10" x14ac:dyDescent="0.25">
      <c r="A8942" t="s">
        <v>27585</v>
      </c>
      <c r="B8942">
        <v>6</v>
      </c>
      <c r="C8942" t="s">
        <v>27586</v>
      </c>
      <c r="D8942" t="s">
        <v>95</v>
      </c>
      <c r="E8942" t="s">
        <v>27580</v>
      </c>
      <c r="F8942" t="s">
        <v>7672</v>
      </c>
      <c r="G8942" t="s">
        <v>27581</v>
      </c>
      <c r="H8942" t="s">
        <v>11622</v>
      </c>
      <c r="I8942" t="s">
        <v>27587</v>
      </c>
      <c r="J8942" t="s">
        <v>7675</v>
      </c>
    </row>
    <row r="8943" spans="1:10" x14ac:dyDescent="0.25">
      <c r="A8943" t="s">
        <v>27588</v>
      </c>
      <c r="B8943">
        <v>6</v>
      </c>
      <c r="C8943" t="s">
        <v>27589</v>
      </c>
      <c r="D8943" t="s">
        <v>342</v>
      </c>
      <c r="E8943" t="s">
        <v>27580</v>
      </c>
      <c r="F8943" t="s">
        <v>7672</v>
      </c>
      <c r="G8943" t="s">
        <v>27581</v>
      </c>
      <c r="H8943" t="s">
        <v>11622</v>
      </c>
      <c r="I8943" t="s">
        <v>27590</v>
      </c>
      <c r="J8943" t="s">
        <v>7675</v>
      </c>
    </row>
    <row r="8944" spans="1:10" x14ac:dyDescent="0.25">
      <c r="A8944" t="s">
        <v>27591</v>
      </c>
      <c r="B8944">
        <v>10</v>
      </c>
      <c r="C8944" t="s">
        <v>27592</v>
      </c>
      <c r="D8944" t="s">
        <v>277</v>
      </c>
      <c r="E8944" t="s">
        <v>27593</v>
      </c>
      <c r="F8944" t="s">
        <v>7672</v>
      </c>
      <c r="G8944" t="s">
        <v>27594</v>
      </c>
      <c r="H8944" t="s">
        <v>8301</v>
      </c>
      <c r="I8944" t="s">
        <v>27595</v>
      </c>
      <c r="J8944" t="s">
        <v>9237</v>
      </c>
    </row>
    <row r="8945" spans="1:10" x14ac:dyDescent="0.25">
      <c r="A8945" t="s">
        <v>27596</v>
      </c>
      <c r="B8945">
        <v>10</v>
      </c>
      <c r="C8945" t="s">
        <v>27597</v>
      </c>
      <c r="D8945" t="s">
        <v>8183</v>
      </c>
      <c r="E8945" t="s">
        <v>27593</v>
      </c>
      <c r="F8945" t="s">
        <v>7672</v>
      </c>
      <c r="G8945" t="s">
        <v>27594</v>
      </c>
      <c r="H8945" t="s">
        <v>8301</v>
      </c>
      <c r="I8945" t="s">
        <v>27595</v>
      </c>
      <c r="J8945" t="s">
        <v>8427</v>
      </c>
    </row>
    <row r="8946" spans="1:10" x14ac:dyDescent="0.25">
      <c r="A8946" t="s">
        <v>27598</v>
      </c>
      <c r="B8946">
        <v>10</v>
      </c>
      <c r="C8946" t="s">
        <v>27599</v>
      </c>
      <c r="D8946" t="s">
        <v>2879</v>
      </c>
      <c r="E8946" t="s">
        <v>27593</v>
      </c>
      <c r="F8946" t="s">
        <v>7672</v>
      </c>
      <c r="G8946" t="s">
        <v>27594</v>
      </c>
      <c r="H8946" t="s">
        <v>8301</v>
      </c>
      <c r="I8946" t="s">
        <v>27250</v>
      </c>
      <c r="J8946" t="s">
        <v>8427</v>
      </c>
    </row>
    <row r="8947" spans="1:10" x14ac:dyDescent="0.25">
      <c r="A8947" t="s">
        <v>27600</v>
      </c>
      <c r="B8947">
        <v>10</v>
      </c>
      <c r="C8947" t="s">
        <v>27601</v>
      </c>
      <c r="D8947" t="s">
        <v>1710</v>
      </c>
      <c r="E8947" t="s">
        <v>27593</v>
      </c>
      <c r="F8947" t="s">
        <v>7672</v>
      </c>
      <c r="G8947" t="s">
        <v>27594</v>
      </c>
      <c r="H8947" t="s">
        <v>8301</v>
      </c>
      <c r="I8947" t="s">
        <v>27602</v>
      </c>
      <c r="J8947" t="s">
        <v>8427</v>
      </c>
    </row>
    <row r="8948" spans="1:10" x14ac:dyDescent="0.25">
      <c r="A8948" t="s">
        <v>27603</v>
      </c>
      <c r="B8948">
        <v>10</v>
      </c>
      <c r="C8948" t="s">
        <v>27604</v>
      </c>
      <c r="D8948" t="s">
        <v>2022</v>
      </c>
      <c r="E8948" t="s">
        <v>27593</v>
      </c>
      <c r="F8948" t="s">
        <v>7672</v>
      </c>
      <c r="G8948" t="s">
        <v>27594</v>
      </c>
      <c r="H8948" t="s">
        <v>8301</v>
      </c>
      <c r="I8948" t="s">
        <v>27250</v>
      </c>
      <c r="J8948" t="s">
        <v>8439</v>
      </c>
    </row>
    <row r="8949" spans="1:10" x14ac:dyDescent="0.25">
      <c r="A8949" t="s">
        <v>27605</v>
      </c>
      <c r="B8949">
        <v>10</v>
      </c>
      <c r="C8949" t="s">
        <v>27606</v>
      </c>
      <c r="D8949" t="s">
        <v>8631</v>
      </c>
      <c r="E8949" t="s">
        <v>27593</v>
      </c>
      <c r="F8949" t="s">
        <v>7672</v>
      </c>
      <c r="G8949" t="s">
        <v>27594</v>
      </c>
      <c r="H8949" t="s">
        <v>8301</v>
      </c>
      <c r="I8949" t="s">
        <v>27595</v>
      </c>
      <c r="J8949" t="s">
        <v>8439</v>
      </c>
    </row>
    <row r="8950" spans="1:10" x14ac:dyDescent="0.25">
      <c r="A8950" t="s">
        <v>27607</v>
      </c>
      <c r="B8950">
        <v>10</v>
      </c>
      <c r="C8950" t="s">
        <v>27608</v>
      </c>
      <c r="D8950" t="s">
        <v>3060</v>
      </c>
      <c r="E8950" t="s">
        <v>27593</v>
      </c>
      <c r="F8950" t="s">
        <v>7672</v>
      </c>
      <c r="G8950" t="s">
        <v>27594</v>
      </c>
      <c r="H8950" t="s">
        <v>8301</v>
      </c>
      <c r="I8950" t="s">
        <v>27602</v>
      </c>
      <c r="J8950" t="s">
        <v>8439</v>
      </c>
    </row>
    <row r="8951" spans="1:10" x14ac:dyDescent="0.25">
      <c r="A8951" t="s">
        <v>27609</v>
      </c>
      <c r="B8951">
        <v>10</v>
      </c>
      <c r="C8951" t="s">
        <v>27610</v>
      </c>
      <c r="D8951" t="s">
        <v>9124</v>
      </c>
      <c r="E8951" t="s">
        <v>27593</v>
      </c>
      <c r="F8951" t="s">
        <v>7672</v>
      </c>
      <c r="G8951" t="s">
        <v>27594</v>
      </c>
      <c r="H8951" t="s">
        <v>8301</v>
      </c>
      <c r="I8951" t="s">
        <v>27595</v>
      </c>
      <c r="J8951" t="s">
        <v>8451</v>
      </c>
    </row>
    <row r="8952" spans="1:10" x14ac:dyDescent="0.25">
      <c r="A8952" t="s">
        <v>27611</v>
      </c>
      <c r="B8952">
        <v>10</v>
      </c>
      <c r="C8952" t="s">
        <v>27612</v>
      </c>
      <c r="D8952" t="s">
        <v>975</v>
      </c>
      <c r="E8952" t="s">
        <v>27593</v>
      </c>
      <c r="F8952" t="s">
        <v>7672</v>
      </c>
      <c r="G8952" t="s">
        <v>27594</v>
      </c>
      <c r="H8952" t="s">
        <v>8301</v>
      </c>
      <c r="I8952" t="s">
        <v>27250</v>
      </c>
      <c r="J8952" t="s">
        <v>8451</v>
      </c>
    </row>
    <row r="8953" spans="1:10" x14ac:dyDescent="0.25">
      <c r="A8953" t="s">
        <v>27613</v>
      </c>
      <c r="B8953">
        <v>10</v>
      </c>
      <c r="C8953" t="s">
        <v>27614</v>
      </c>
      <c r="D8953" t="s">
        <v>8786</v>
      </c>
      <c r="E8953" t="s">
        <v>27593</v>
      </c>
      <c r="F8953" t="s">
        <v>7672</v>
      </c>
      <c r="G8953" t="s">
        <v>27594</v>
      </c>
      <c r="H8953" t="s">
        <v>8301</v>
      </c>
      <c r="I8953" t="s">
        <v>27602</v>
      </c>
      <c r="J8953" t="s">
        <v>8451</v>
      </c>
    </row>
    <row r="8954" spans="1:10" x14ac:dyDescent="0.25">
      <c r="A8954" t="s">
        <v>27615</v>
      </c>
      <c r="B8954">
        <v>10</v>
      </c>
      <c r="C8954" t="s">
        <v>27616</v>
      </c>
      <c r="D8954" t="s">
        <v>1573</v>
      </c>
      <c r="E8954" t="s">
        <v>27593</v>
      </c>
      <c r="F8954" t="s">
        <v>7672</v>
      </c>
      <c r="G8954" t="s">
        <v>27594</v>
      </c>
      <c r="H8954" t="s">
        <v>8301</v>
      </c>
      <c r="I8954" t="s">
        <v>27595</v>
      </c>
      <c r="J8954" t="s">
        <v>8462</v>
      </c>
    </row>
    <row r="8955" spans="1:10" x14ac:dyDescent="0.25">
      <c r="A8955" t="s">
        <v>27617</v>
      </c>
      <c r="B8955">
        <v>10</v>
      </c>
      <c r="C8955" t="s">
        <v>27618</v>
      </c>
      <c r="D8955" t="s">
        <v>582</v>
      </c>
      <c r="E8955" t="s">
        <v>27593</v>
      </c>
      <c r="F8955" t="s">
        <v>7672</v>
      </c>
      <c r="G8955" t="s">
        <v>27594</v>
      </c>
      <c r="H8955" t="s">
        <v>8301</v>
      </c>
      <c r="I8955" t="s">
        <v>27250</v>
      </c>
      <c r="J8955" t="s">
        <v>8462</v>
      </c>
    </row>
    <row r="8956" spans="1:10" x14ac:dyDescent="0.25">
      <c r="A8956" t="s">
        <v>27619</v>
      </c>
      <c r="B8956">
        <v>10</v>
      </c>
      <c r="C8956" t="s">
        <v>27620</v>
      </c>
      <c r="D8956" t="s">
        <v>725</v>
      </c>
      <c r="E8956" t="s">
        <v>27593</v>
      </c>
      <c r="F8956" t="s">
        <v>7672</v>
      </c>
      <c r="G8956" t="s">
        <v>27594</v>
      </c>
      <c r="H8956" t="s">
        <v>8301</v>
      </c>
      <c r="I8956" t="s">
        <v>27602</v>
      </c>
      <c r="J8956" t="s">
        <v>8462</v>
      </c>
    </row>
    <row r="8957" spans="1:10" x14ac:dyDescent="0.25">
      <c r="A8957" t="s">
        <v>27621</v>
      </c>
      <c r="B8957">
        <v>10</v>
      </c>
      <c r="C8957" t="s">
        <v>27622</v>
      </c>
      <c r="D8957" t="s">
        <v>124</v>
      </c>
      <c r="E8957" t="s">
        <v>27593</v>
      </c>
      <c r="F8957" t="s">
        <v>7672</v>
      </c>
      <c r="G8957" t="s">
        <v>27594</v>
      </c>
      <c r="H8957" t="s">
        <v>8301</v>
      </c>
      <c r="I8957" t="s">
        <v>27595</v>
      </c>
      <c r="J8957" t="s">
        <v>9998</v>
      </c>
    </row>
    <row r="8958" spans="1:10" x14ac:dyDescent="0.25">
      <c r="A8958" t="s">
        <v>27623</v>
      </c>
      <c r="B8958">
        <v>10</v>
      </c>
      <c r="C8958" t="s">
        <v>27624</v>
      </c>
      <c r="D8958" t="s">
        <v>705</v>
      </c>
      <c r="E8958" t="s">
        <v>27593</v>
      </c>
      <c r="F8958" t="s">
        <v>7672</v>
      </c>
      <c r="G8958" t="s">
        <v>27594</v>
      </c>
      <c r="H8958" t="s">
        <v>8301</v>
      </c>
      <c r="I8958" t="s">
        <v>27250</v>
      </c>
      <c r="J8958" t="s">
        <v>9998</v>
      </c>
    </row>
    <row r="8959" spans="1:10" x14ac:dyDescent="0.25">
      <c r="A8959" t="s">
        <v>27625</v>
      </c>
      <c r="B8959">
        <v>10</v>
      </c>
      <c r="C8959" t="s">
        <v>27626</v>
      </c>
      <c r="D8959" t="s">
        <v>1134</v>
      </c>
      <c r="E8959" t="s">
        <v>27593</v>
      </c>
      <c r="F8959" t="s">
        <v>7672</v>
      </c>
      <c r="G8959" t="s">
        <v>27594</v>
      </c>
      <c r="H8959" t="s">
        <v>8301</v>
      </c>
      <c r="I8959" t="s">
        <v>27602</v>
      </c>
      <c r="J8959" t="s">
        <v>9998</v>
      </c>
    </row>
    <row r="8960" spans="1:10" x14ac:dyDescent="0.25">
      <c r="A8960" t="s">
        <v>27627</v>
      </c>
      <c r="B8960">
        <v>44.095999999999997</v>
      </c>
      <c r="C8960" t="s">
        <v>27628</v>
      </c>
      <c r="D8960" t="s">
        <v>903</v>
      </c>
      <c r="E8960" t="s">
        <v>27629</v>
      </c>
      <c r="F8960" t="s">
        <v>7672</v>
      </c>
      <c r="G8960" t="s">
        <v>27630</v>
      </c>
      <c r="H8960" t="s">
        <v>21219</v>
      </c>
      <c r="I8960" t="s">
        <v>1622</v>
      </c>
      <c r="J8960" t="s">
        <v>7981</v>
      </c>
    </row>
    <row r="8961" spans="1:10" x14ac:dyDescent="0.25">
      <c r="A8961" t="s">
        <v>27631</v>
      </c>
      <c r="B8961">
        <v>44.095999999999997</v>
      </c>
      <c r="C8961" t="s">
        <v>27632</v>
      </c>
      <c r="D8961" t="s">
        <v>3604</v>
      </c>
      <c r="E8961" t="s">
        <v>27629</v>
      </c>
      <c r="F8961" t="s">
        <v>7672</v>
      </c>
      <c r="G8961" t="s">
        <v>27630</v>
      </c>
      <c r="H8961" t="s">
        <v>21219</v>
      </c>
      <c r="I8961" t="s">
        <v>76</v>
      </c>
      <c r="J8961" t="s">
        <v>7981</v>
      </c>
    </row>
    <row r="8962" spans="1:10" x14ac:dyDescent="0.25">
      <c r="A8962" t="s">
        <v>27633</v>
      </c>
      <c r="B8962">
        <v>44.095999999999997</v>
      </c>
      <c r="C8962" t="s">
        <v>27634</v>
      </c>
      <c r="D8962" t="s">
        <v>516</v>
      </c>
      <c r="E8962" t="s">
        <v>27629</v>
      </c>
      <c r="F8962" t="s">
        <v>7672</v>
      </c>
      <c r="G8962" t="s">
        <v>27630</v>
      </c>
      <c r="H8962" t="s">
        <v>21219</v>
      </c>
      <c r="I8962" t="s">
        <v>700</v>
      </c>
      <c r="J8962" t="s">
        <v>7981</v>
      </c>
    </row>
    <row r="8963" spans="1:10" x14ac:dyDescent="0.25">
      <c r="A8963" t="s">
        <v>27635</v>
      </c>
      <c r="B8963">
        <v>44.095999999999997</v>
      </c>
      <c r="C8963" t="s">
        <v>27636</v>
      </c>
      <c r="D8963" t="s">
        <v>3070</v>
      </c>
      <c r="E8963" t="s">
        <v>27629</v>
      </c>
      <c r="F8963" t="s">
        <v>7672</v>
      </c>
      <c r="G8963" t="s">
        <v>27630</v>
      </c>
      <c r="H8963" t="s">
        <v>21219</v>
      </c>
      <c r="I8963" t="s">
        <v>76</v>
      </c>
      <c r="J8963" t="s">
        <v>7984</v>
      </c>
    </row>
    <row r="8964" spans="1:10" x14ac:dyDescent="0.25">
      <c r="A8964" t="s">
        <v>27637</v>
      </c>
      <c r="B8964">
        <v>44.095999999999997</v>
      </c>
      <c r="C8964" t="s">
        <v>27638</v>
      </c>
      <c r="D8964" t="s">
        <v>3832</v>
      </c>
      <c r="E8964" t="s">
        <v>27629</v>
      </c>
      <c r="F8964" t="s">
        <v>7672</v>
      </c>
      <c r="G8964" t="s">
        <v>27630</v>
      </c>
      <c r="H8964" t="s">
        <v>21219</v>
      </c>
      <c r="I8964" t="s">
        <v>1622</v>
      </c>
      <c r="J8964" t="s">
        <v>7984</v>
      </c>
    </row>
    <row r="8965" spans="1:10" x14ac:dyDescent="0.25">
      <c r="A8965" t="s">
        <v>27639</v>
      </c>
      <c r="B8965">
        <v>44.095999999999997</v>
      </c>
      <c r="C8965" t="s">
        <v>27640</v>
      </c>
      <c r="D8965" t="s">
        <v>975</v>
      </c>
      <c r="E8965" t="s">
        <v>27629</v>
      </c>
      <c r="F8965" t="s">
        <v>7672</v>
      </c>
      <c r="G8965" t="s">
        <v>27630</v>
      </c>
      <c r="H8965" t="s">
        <v>21219</v>
      </c>
      <c r="I8965" t="s">
        <v>700</v>
      </c>
      <c r="J8965" t="s">
        <v>7984</v>
      </c>
    </row>
    <row r="8966" spans="1:10" x14ac:dyDescent="0.25">
      <c r="A8966" t="s">
        <v>27641</v>
      </c>
      <c r="B8966">
        <v>44.095999999999997</v>
      </c>
      <c r="C8966" t="s">
        <v>27642</v>
      </c>
      <c r="D8966" t="s">
        <v>60</v>
      </c>
      <c r="E8966" t="s">
        <v>27629</v>
      </c>
      <c r="F8966" t="s">
        <v>7672</v>
      </c>
      <c r="G8966" t="s">
        <v>27630</v>
      </c>
      <c r="H8966" t="s">
        <v>21219</v>
      </c>
      <c r="I8966" t="s">
        <v>76</v>
      </c>
      <c r="J8966" t="s">
        <v>7987</v>
      </c>
    </row>
    <row r="8967" spans="1:10" x14ac:dyDescent="0.25">
      <c r="A8967" t="s">
        <v>27643</v>
      </c>
      <c r="B8967">
        <v>44.095999999999997</v>
      </c>
      <c r="C8967" t="s">
        <v>27644</v>
      </c>
      <c r="D8967" t="s">
        <v>2253</v>
      </c>
      <c r="E8967" t="s">
        <v>27629</v>
      </c>
      <c r="F8967" t="s">
        <v>7672</v>
      </c>
      <c r="G8967" t="s">
        <v>27630</v>
      </c>
      <c r="H8967" t="s">
        <v>21219</v>
      </c>
      <c r="I8967" t="s">
        <v>1622</v>
      </c>
      <c r="J8967" t="s">
        <v>7987</v>
      </c>
    </row>
    <row r="8968" spans="1:10" x14ac:dyDescent="0.25">
      <c r="A8968" t="s">
        <v>27645</v>
      </c>
      <c r="B8968">
        <v>44.095999999999997</v>
      </c>
      <c r="C8968" t="s">
        <v>27646</v>
      </c>
      <c r="D8968" t="s">
        <v>286</v>
      </c>
      <c r="E8968" t="s">
        <v>27629</v>
      </c>
      <c r="F8968" t="s">
        <v>7672</v>
      </c>
      <c r="G8968" t="s">
        <v>27630</v>
      </c>
      <c r="H8968" t="s">
        <v>21219</v>
      </c>
      <c r="I8968" t="s">
        <v>1622</v>
      </c>
      <c r="J8968" t="s">
        <v>8001</v>
      </c>
    </row>
    <row r="8969" spans="1:10" x14ac:dyDescent="0.25">
      <c r="A8969" t="s">
        <v>27647</v>
      </c>
      <c r="B8969">
        <v>8.8000000000000007</v>
      </c>
      <c r="C8969" t="s">
        <v>27648</v>
      </c>
      <c r="D8969" t="s">
        <v>8235</v>
      </c>
      <c r="E8969" t="s">
        <v>27649</v>
      </c>
      <c r="F8969" t="s">
        <v>7672</v>
      </c>
      <c r="G8969" t="s">
        <v>27650</v>
      </c>
      <c r="H8969" t="s">
        <v>13951</v>
      </c>
      <c r="I8969" t="s">
        <v>497</v>
      </c>
      <c r="J8969" t="s">
        <v>100</v>
      </c>
    </row>
    <row r="8970" spans="1:10" x14ac:dyDescent="0.25">
      <c r="A8970" t="s">
        <v>27651</v>
      </c>
      <c r="B8970">
        <v>8.8000000000000007</v>
      </c>
      <c r="C8970" t="s">
        <v>27652</v>
      </c>
      <c r="D8970" t="s">
        <v>2845</v>
      </c>
      <c r="E8970" t="s">
        <v>27649</v>
      </c>
      <c r="F8970" t="s">
        <v>7672</v>
      </c>
      <c r="G8970" t="s">
        <v>27650</v>
      </c>
      <c r="H8970" t="s">
        <v>13951</v>
      </c>
      <c r="I8970" t="s">
        <v>497</v>
      </c>
      <c r="J8970" t="s">
        <v>88</v>
      </c>
    </row>
    <row r="8971" spans="1:10" x14ac:dyDescent="0.25">
      <c r="A8971" t="s">
        <v>7619</v>
      </c>
      <c r="B8971">
        <v>5.976</v>
      </c>
      <c r="C8971" t="s">
        <v>7621</v>
      </c>
      <c r="D8971" t="s">
        <v>2322</v>
      </c>
      <c r="E8971" t="s">
        <v>7622</v>
      </c>
      <c r="F8971" t="s">
        <v>7672</v>
      </c>
      <c r="G8971" t="s">
        <v>27653</v>
      </c>
      <c r="H8971" t="s">
        <v>10317</v>
      </c>
      <c r="I8971" t="s">
        <v>497</v>
      </c>
      <c r="J8971" t="s">
        <v>9694</v>
      </c>
    </row>
    <row r="8972" spans="1:10" x14ac:dyDescent="0.25">
      <c r="A8972" t="s">
        <v>27654</v>
      </c>
      <c r="B8972">
        <v>8.3920000000000012</v>
      </c>
      <c r="C8972" t="s">
        <v>27655</v>
      </c>
      <c r="D8972" t="s">
        <v>255</v>
      </c>
      <c r="E8972" t="s">
        <v>27656</v>
      </c>
      <c r="F8972" t="s">
        <v>7672</v>
      </c>
      <c r="G8972" t="s">
        <v>27657</v>
      </c>
      <c r="H8972" t="s">
        <v>26410</v>
      </c>
      <c r="I8972" t="s">
        <v>76</v>
      </c>
      <c r="J8972" t="s">
        <v>7984</v>
      </c>
    </row>
    <row r="8973" spans="1:10" x14ac:dyDescent="0.25">
      <c r="A8973" t="s">
        <v>27658</v>
      </c>
      <c r="B8973">
        <v>8.3920000000000012</v>
      </c>
      <c r="C8973" t="s">
        <v>27659</v>
      </c>
      <c r="D8973" t="s">
        <v>1143</v>
      </c>
      <c r="E8973" t="s">
        <v>27656</v>
      </c>
      <c r="F8973" t="s">
        <v>7672</v>
      </c>
      <c r="G8973" t="s">
        <v>27657</v>
      </c>
      <c r="H8973" t="s">
        <v>26410</v>
      </c>
      <c r="I8973" t="s">
        <v>76</v>
      </c>
      <c r="J8973" t="s">
        <v>7987</v>
      </c>
    </row>
    <row r="8974" spans="1:10" x14ac:dyDescent="0.25">
      <c r="A8974" t="s">
        <v>27660</v>
      </c>
      <c r="B8974">
        <v>8.3920000000000012</v>
      </c>
      <c r="C8974" t="s">
        <v>27661</v>
      </c>
      <c r="D8974" t="s">
        <v>277</v>
      </c>
      <c r="E8974" t="s">
        <v>27656</v>
      </c>
      <c r="F8974" t="s">
        <v>7672</v>
      </c>
      <c r="G8974" t="s">
        <v>27657</v>
      </c>
      <c r="H8974" t="s">
        <v>26410</v>
      </c>
      <c r="I8974" t="s">
        <v>76</v>
      </c>
      <c r="J8974" t="s">
        <v>8001</v>
      </c>
    </row>
    <row r="8975" spans="1:10" x14ac:dyDescent="0.25">
      <c r="A8975" t="s">
        <v>27662</v>
      </c>
      <c r="B8975">
        <v>8.3920000000000012</v>
      </c>
      <c r="C8975" t="s">
        <v>27663</v>
      </c>
      <c r="D8975" t="s">
        <v>277</v>
      </c>
      <c r="E8975" t="s">
        <v>27656</v>
      </c>
      <c r="F8975" t="s">
        <v>7672</v>
      </c>
      <c r="G8975" t="s">
        <v>27657</v>
      </c>
      <c r="H8975" t="s">
        <v>26410</v>
      </c>
      <c r="I8975" t="s">
        <v>76</v>
      </c>
      <c r="J8975" t="s">
        <v>8013</v>
      </c>
    </row>
    <row r="8976" spans="1:10" x14ac:dyDescent="0.25">
      <c r="A8976" t="s">
        <v>27664</v>
      </c>
      <c r="B8976">
        <v>7.2</v>
      </c>
      <c r="C8976" t="s">
        <v>27665</v>
      </c>
      <c r="D8976" t="s">
        <v>654</v>
      </c>
      <c r="E8976" t="s">
        <v>7629</v>
      </c>
      <c r="F8976" t="s">
        <v>7672</v>
      </c>
      <c r="G8976" t="s">
        <v>27666</v>
      </c>
      <c r="H8976" t="s">
        <v>13951</v>
      </c>
      <c r="I8976" t="s">
        <v>76</v>
      </c>
      <c r="J8976" t="s">
        <v>11710</v>
      </c>
    </row>
    <row r="8977" spans="1:10" x14ac:dyDescent="0.25">
      <c r="A8977" t="s">
        <v>7626</v>
      </c>
      <c r="B8977">
        <v>7.2</v>
      </c>
      <c r="C8977" t="s">
        <v>7628</v>
      </c>
      <c r="D8977" t="s">
        <v>626</v>
      </c>
      <c r="E8977" t="s">
        <v>7629</v>
      </c>
      <c r="F8977" t="s">
        <v>7672</v>
      </c>
      <c r="G8977" t="s">
        <v>27666</v>
      </c>
      <c r="H8977" t="s">
        <v>13951</v>
      </c>
      <c r="I8977" t="s">
        <v>76</v>
      </c>
      <c r="J8977" t="s">
        <v>12182</v>
      </c>
    </row>
    <row r="8978" spans="1:10" x14ac:dyDescent="0.25">
      <c r="A8978" t="s">
        <v>27667</v>
      </c>
      <c r="B8978">
        <v>9.6000000000000014</v>
      </c>
      <c r="C8978" t="s">
        <v>27668</v>
      </c>
      <c r="D8978" t="s">
        <v>1573</v>
      </c>
      <c r="E8978" t="s">
        <v>27669</v>
      </c>
      <c r="F8978" t="s">
        <v>7672</v>
      </c>
      <c r="G8978" t="s">
        <v>27670</v>
      </c>
      <c r="H8978" t="s">
        <v>11496</v>
      </c>
      <c r="I8978" t="s">
        <v>1490</v>
      </c>
      <c r="J8978" t="s">
        <v>9423</v>
      </c>
    </row>
    <row r="8979" spans="1:10" x14ac:dyDescent="0.25">
      <c r="A8979" t="s">
        <v>27671</v>
      </c>
      <c r="B8979">
        <v>9.6000000000000014</v>
      </c>
      <c r="C8979" t="s">
        <v>27672</v>
      </c>
      <c r="D8979" t="s">
        <v>1097</v>
      </c>
      <c r="E8979" t="s">
        <v>27669</v>
      </c>
      <c r="F8979" t="s">
        <v>7672</v>
      </c>
      <c r="G8979" t="s">
        <v>27670</v>
      </c>
      <c r="H8979" t="s">
        <v>11496</v>
      </c>
      <c r="I8979" t="s">
        <v>1490</v>
      </c>
      <c r="J8979" t="s">
        <v>9426</v>
      </c>
    </row>
    <row r="8980" spans="1:10" x14ac:dyDescent="0.25">
      <c r="A8980" t="s">
        <v>27673</v>
      </c>
      <c r="B8980">
        <v>5.5920000000000014</v>
      </c>
      <c r="C8980" t="s">
        <v>27674</v>
      </c>
      <c r="D8980" t="s">
        <v>776</v>
      </c>
      <c r="E8980" t="s">
        <v>27675</v>
      </c>
      <c r="F8980" t="s">
        <v>7672</v>
      </c>
      <c r="G8980" t="s">
        <v>27676</v>
      </c>
      <c r="H8980" t="s">
        <v>10298</v>
      </c>
      <c r="I8980" t="s">
        <v>4821</v>
      </c>
      <c r="J8980" t="s">
        <v>11696</v>
      </c>
    </row>
    <row r="8981" spans="1:10" x14ac:dyDescent="0.25">
      <c r="A8981" t="s">
        <v>27677</v>
      </c>
      <c r="B8981">
        <v>5.5920000000000014</v>
      </c>
      <c r="C8981" t="s">
        <v>27678</v>
      </c>
      <c r="D8981" t="s">
        <v>875</v>
      </c>
      <c r="E8981" t="s">
        <v>27675</v>
      </c>
      <c r="F8981" t="s">
        <v>7672</v>
      </c>
      <c r="G8981" t="s">
        <v>27676</v>
      </c>
      <c r="H8981" t="s">
        <v>10298</v>
      </c>
      <c r="I8981" t="s">
        <v>3567</v>
      </c>
      <c r="J8981" t="s">
        <v>11696</v>
      </c>
    </row>
    <row r="8982" spans="1:10" x14ac:dyDescent="0.25">
      <c r="A8982" t="s">
        <v>27679</v>
      </c>
      <c r="B8982">
        <v>5.5920000000000014</v>
      </c>
      <c r="C8982" t="s">
        <v>27680</v>
      </c>
      <c r="D8982" t="s">
        <v>4322</v>
      </c>
      <c r="E8982" t="s">
        <v>27675</v>
      </c>
      <c r="F8982" t="s">
        <v>7672</v>
      </c>
      <c r="G8982" t="s">
        <v>27676</v>
      </c>
      <c r="H8982" t="s">
        <v>10298</v>
      </c>
      <c r="I8982" t="s">
        <v>4821</v>
      </c>
      <c r="J8982" t="s">
        <v>11702</v>
      </c>
    </row>
    <row r="8983" spans="1:10" x14ac:dyDescent="0.25">
      <c r="A8983" t="s">
        <v>27681</v>
      </c>
      <c r="B8983">
        <v>5.5920000000000014</v>
      </c>
      <c r="C8983" t="s">
        <v>27682</v>
      </c>
      <c r="D8983" t="s">
        <v>991</v>
      </c>
      <c r="E8983" t="s">
        <v>27675</v>
      </c>
      <c r="F8983" t="s">
        <v>7672</v>
      </c>
      <c r="G8983" t="s">
        <v>27676</v>
      </c>
      <c r="H8983" t="s">
        <v>10298</v>
      </c>
      <c r="I8983" t="s">
        <v>3567</v>
      </c>
      <c r="J8983" t="s">
        <v>11702</v>
      </c>
    </row>
    <row r="8984" spans="1:10" x14ac:dyDescent="0.25">
      <c r="A8984" t="s">
        <v>27683</v>
      </c>
      <c r="B8984">
        <v>5.5920000000000014</v>
      </c>
      <c r="C8984" t="s">
        <v>27684</v>
      </c>
      <c r="D8984" t="s">
        <v>2855</v>
      </c>
      <c r="E8984" t="s">
        <v>27675</v>
      </c>
      <c r="F8984" t="s">
        <v>7672</v>
      </c>
      <c r="G8984" t="s">
        <v>27676</v>
      </c>
      <c r="H8984" t="s">
        <v>10298</v>
      </c>
      <c r="I8984" t="s">
        <v>3567</v>
      </c>
      <c r="J8984" t="s">
        <v>11710</v>
      </c>
    </row>
    <row r="8985" spans="1:10" x14ac:dyDescent="0.25">
      <c r="A8985" t="s">
        <v>27685</v>
      </c>
      <c r="B8985">
        <v>5.5920000000000014</v>
      </c>
      <c r="C8985" t="s">
        <v>27686</v>
      </c>
      <c r="D8985" t="s">
        <v>654</v>
      </c>
      <c r="E8985" t="s">
        <v>27675</v>
      </c>
      <c r="F8985" t="s">
        <v>7672</v>
      </c>
      <c r="G8985" t="s">
        <v>27676</v>
      </c>
      <c r="H8985" t="s">
        <v>10298</v>
      </c>
      <c r="I8985" t="s">
        <v>4821</v>
      </c>
      <c r="J8985" t="s">
        <v>11710</v>
      </c>
    </row>
    <row r="8986" spans="1:10" x14ac:dyDescent="0.25">
      <c r="A8986" t="s">
        <v>27687</v>
      </c>
      <c r="B8986">
        <v>5.5920000000000014</v>
      </c>
      <c r="C8986" t="s">
        <v>27688</v>
      </c>
      <c r="D8986" t="s">
        <v>8073</v>
      </c>
      <c r="E8986" t="s">
        <v>27675</v>
      </c>
      <c r="F8986" t="s">
        <v>7672</v>
      </c>
      <c r="G8986" t="s">
        <v>27676</v>
      </c>
      <c r="H8986" t="s">
        <v>10298</v>
      </c>
      <c r="I8986" t="s">
        <v>3567</v>
      </c>
      <c r="J8986" t="s">
        <v>12182</v>
      </c>
    </row>
    <row r="8987" spans="1:10" x14ac:dyDescent="0.25">
      <c r="A8987" t="s">
        <v>27689</v>
      </c>
      <c r="B8987">
        <v>5.5920000000000014</v>
      </c>
      <c r="C8987" t="s">
        <v>27690</v>
      </c>
      <c r="D8987" t="s">
        <v>9509</v>
      </c>
      <c r="E8987" t="s">
        <v>27675</v>
      </c>
      <c r="F8987" t="s">
        <v>7672</v>
      </c>
      <c r="G8987" t="s">
        <v>27676</v>
      </c>
      <c r="H8987" t="s">
        <v>10298</v>
      </c>
      <c r="I8987" t="s">
        <v>4821</v>
      </c>
      <c r="J8987" t="s">
        <v>12182</v>
      </c>
    </row>
    <row r="8988" spans="1:10" x14ac:dyDescent="0.25">
      <c r="A8988" t="s">
        <v>27691</v>
      </c>
      <c r="B8988">
        <v>5.5920000000000014</v>
      </c>
      <c r="C8988" t="s">
        <v>27692</v>
      </c>
      <c r="D8988" t="s">
        <v>2587</v>
      </c>
      <c r="E8988" t="s">
        <v>27675</v>
      </c>
      <c r="F8988" t="s">
        <v>7672</v>
      </c>
      <c r="G8988" t="s">
        <v>27676</v>
      </c>
      <c r="H8988" t="s">
        <v>10298</v>
      </c>
      <c r="I8988" t="s">
        <v>3567</v>
      </c>
      <c r="J8988" t="s">
        <v>10150</v>
      </c>
    </row>
    <row r="8989" spans="1:10" x14ac:dyDescent="0.25">
      <c r="A8989" t="s">
        <v>27693</v>
      </c>
      <c r="B8989">
        <v>5.5920000000000014</v>
      </c>
      <c r="C8989" t="s">
        <v>27694</v>
      </c>
      <c r="D8989" t="s">
        <v>3060</v>
      </c>
      <c r="E8989" t="s">
        <v>27675</v>
      </c>
      <c r="F8989" t="s">
        <v>7672</v>
      </c>
      <c r="G8989" t="s">
        <v>27676</v>
      </c>
      <c r="H8989" t="s">
        <v>10298</v>
      </c>
      <c r="I8989" t="s">
        <v>4821</v>
      </c>
      <c r="J8989" t="s">
        <v>10150</v>
      </c>
    </row>
    <row r="8990" spans="1:10" x14ac:dyDescent="0.25">
      <c r="A8990" t="s">
        <v>27695</v>
      </c>
      <c r="B8990">
        <v>5.9920000000000009</v>
      </c>
      <c r="C8990" t="s">
        <v>27696</v>
      </c>
      <c r="D8990" t="s">
        <v>1236</v>
      </c>
      <c r="E8990" t="s">
        <v>7634</v>
      </c>
      <c r="F8990" t="s">
        <v>7672</v>
      </c>
      <c r="G8990" t="s">
        <v>27697</v>
      </c>
      <c r="H8990" t="s">
        <v>27698</v>
      </c>
      <c r="I8990" t="s">
        <v>4821</v>
      </c>
      <c r="J8990" t="s">
        <v>7981</v>
      </c>
    </row>
    <row r="8991" spans="1:10" x14ac:dyDescent="0.25">
      <c r="A8991" t="s">
        <v>7631</v>
      </c>
      <c r="B8991">
        <v>5.9920000000000009</v>
      </c>
      <c r="C8991" t="s">
        <v>7633</v>
      </c>
      <c r="D8991" t="s">
        <v>46</v>
      </c>
      <c r="E8991" t="s">
        <v>7634</v>
      </c>
      <c r="F8991" t="s">
        <v>7672</v>
      </c>
      <c r="G8991" t="s">
        <v>27697</v>
      </c>
      <c r="H8991" t="s">
        <v>27698</v>
      </c>
      <c r="I8991" t="s">
        <v>5302</v>
      </c>
      <c r="J8991" t="s">
        <v>7981</v>
      </c>
    </row>
    <row r="8992" spans="1:10" x14ac:dyDescent="0.25">
      <c r="A8992" t="s">
        <v>7637</v>
      </c>
      <c r="B8992">
        <v>5.9920000000000009</v>
      </c>
      <c r="C8992" t="s">
        <v>7639</v>
      </c>
      <c r="D8992" t="s">
        <v>3023</v>
      </c>
      <c r="E8992" t="s">
        <v>7634</v>
      </c>
      <c r="F8992" t="s">
        <v>7672</v>
      </c>
      <c r="G8992" t="s">
        <v>27697</v>
      </c>
      <c r="H8992" t="s">
        <v>27698</v>
      </c>
      <c r="I8992" t="s">
        <v>410</v>
      </c>
      <c r="J8992" t="s">
        <v>7981</v>
      </c>
    </row>
    <row r="8993" spans="1:10" x14ac:dyDescent="0.25">
      <c r="A8993" t="s">
        <v>7642</v>
      </c>
      <c r="B8993">
        <v>5.9920000000000009</v>
      </c>
      <c r="C8993" t="s">
        <v>7644</v>
      </c>
      <c r="D8993" t="s">
        <v>2149</v>
      </c>
      <c r="E8993" t="s">
        <v>7634</v>
      </c>
      <c r="F8993" t="s">
        <v>7672</v>
      </c>
      <c r="G8993" t="s">
        <v>27697</v>
      </c>
      <c r="H8993" t="s">
        <v>27698</v>
      </c>
      <c r="I8993" t="s">
        <v>5302</v>
      </c>
      <c r="J8993" t="s">
        <v>7984</v>
      </c>
    </row>
    <row r="8994" spans="1:10" x14ac:dyDescent="0.25">
      <c r="A8994" t="s">
        <v>7647</v>
      </c>
      <c r="B8994">
        <v>5.9920000000000009</v>
      </c>
      <c r="C8994" t="s">
        <v>7649</v>
      </c>
      <c r="D8994" t="s">
        <v>2371</v>
      </c>
      <c r="E8994" t="s">
        <v>7634</v>
      </c>
      <c r="F8994" t="s">
        <v>7672</v>
      </c>
      <c r="G8994" t="s">
        <v>27697</v>
      </c>
      <c r="H8994" t="s">
        <v>27698</v>
      </c>
      <c r="I8994" t="s">
        <v>410</v>
      </c>
      <c r="J8994" t="s">
        <v>7984</v>
      </c>
    </row>
    <row r="8995" spans="1:10" x14ac:dyDescent="0.25">
      <c r="A8995" t="s">
        <v>27699</v>
      </c>
      <c r="B8995">
        <v>5.9920000000000009</v>
      </c>
      <c r="C8995" t="s">
        <v>27700</v>
      </c>
      <c r="D8995" t="s">
        <v>113</v>
      </c>
      <c r="E8995" t="s">
        <v>7634</v>
      </c>
      <c r="F8995" t="s">
        <v>7672</v>
      </c>
      <c r="G8995" t="s">
        <v>27697</v>
      </c>
      <c r="H8995" t="s">
        <v>27698</v>
      </c>
      <c r="I8995" t="s">
        <v>4821</v>
      </c>
      <c r="J8995" t="s">
        <v>7984</v>
      </c>
    </row>
    <row r="8996" spans="1:10" x14ac:dyDescent="0.25">
      <c r="A8996" t="s">
        <v>27701</v>
      </c>
      <c r="B8996">
        <v>5.9920000000000009</v>
      </c>
      <c r="C8996" t="s">
        <v>27702</v>
      </c>
      <c r="D8996" t="s">
        <v>2022</v>
      </c>
      <c r="E8996" t="s">
        <v>7634</v>
      </c>
      <c r="F8996" t="s">
        <v>7672</v>
      </c>
      <c r="G8996" t="s">
        <v>27697</v>
      </c>
      <c r="H8996" t="s">
        <v>27698</v>
      </c>
      <c r="I8996" t="s">
        <v>4821</v>
      </c>
      <c r="J8996" t="s">
        <v>7987</v>
      </c>
    </row>
    <row r="8997" spans="1:10" x14ac:dyDescent="0.25">
      <c r="A8997" t="s">
        <v>7652</v>
      </c>
      <c r="B8997">
        <v>5.9920000000000009</v>
      </c>
      <c r="C8997" t="s">
        <v>7654</v>
      </c>
      <c r="D8997" t="s">
        <v>3258</v>
      </c>
      <c r="E8997" t="s">
        <v>7634</v>
      </c>
      <c r="F8997" t="s">
        <v>7672</v>
      </c>
      <c r="G8997" t="s">
        <v>27697</v>
      </c>
      <c r="H8997" t="s">
        <v>27698</v>
      </c>
      <c r="I8997" t="s">
        <v>410</v>
      </c>
      <c r="J8997" t="s">
        <v>7987</v>
      </c>
    </row>
    <row r="8998" spans="1:10" x14ac:dyDescent="0.25">
      <c r="A8998" t="s">
        <v>7657</v>
      </c>
      <c r="B8998">
        <v>5.9920000000000009</v>
      </c>
      <c r="C8998" t="s">
        <v>7659</v>
      </c>
      <c r="D8998" t="s">
        <v>4924</v>
      </c>
      <c r="E8998" t="s">
        <v>7634</v>
      </c>
      <c r="F8998" t="s">
        <v>7672</v>
      </c>
      <c r="G8998" t="s">
        <v>27697</v>
      </c>
      <c r="H8998" t="s">
        <v>27698</v>
      </c>
      <c r="I8998" t="s">
        <v>5302</v>
      </c>
      <c r="J8998" t="s">
        <v>7987</v>
      </c>
    </row>
    <row r="8999" spans="1:10" x14ac:dyDescent="0.25">
      <c r="A8999" t="s">
        <v>27703</v>
      </c>
      <c r="B8999">
        <v>3.592000000000001</v>
      </c>
      <c r="C8999" t="s">
        <v>27704</v>
      </c>
      <c r="D8999" t="s">
        <v>1805</v>
      </c>
      <c r="E8999" t="s">
        <v>27705</v>
      </c>
      <c r="F8999" t="s">
        <v>7672</v>
      </c>
      <c r="G8999" t="s">
        <v>27706</v>
      </c>
      <c r="H8999" t="s">
        <v>18241</v>
      </c>
      <c r="I8999" t="s">
        <v>7570</v>
      </c>
      <c r="J8999" t="s">
        <v>9694</v>
      </c>
    </row>
    <row r="9000" spans="1:10" x14ac:dyDescent="0.25">
      <c r="A9000" t="s">
        <v>27707</v>
      </c>
      <c r="B9000">
        <v>7.2</v>
      </c>
      <c r="C9000" t="s">
        <v>27708</v>
      </c>
      <c r="D9000" t="s">
        <v>436</v>
      </c>
      <c r="E9000" t="s">
        <v>27709</v>
      </c>
      <c r="F9000" t="s">
        <v>7672</v>
      </c>
      <c r="G9000" t="s">
        <v>27710</v>
      </c>
      <c r="H9000" t="s">
        <v>10298</v>
      </c>
      <c r="I9000" t="s">
        <v>11652</v>
      </c>
      <c r="J9000" t="s">
        <v>8001</v>
      </c>
    </row>
    <row r="9001" spans="1:10" x14ac:dyDescent="0.25">
      <c r="A9001" t="s">
        <v>27711</v>
      </c>
      <c r="B9001">
        <v>7.2</v>
      </c>
      <c r="C9001" t="s">
        <v>27712</v>
      </c>
      <c r="D9001" t="s">
        <v>582</v>
      </c>
      <c r="E9001" t="s">
        <v>27709</v>
      </c>
      <c r="F9001" t="s">
        <v>7672</v>
      </c>
      <c r="G9001" t="s">
        <v>27710</v>
      </c>
      <c r="H9001" t="s">
        <v>10298</v>
      </c>
      <c r="I9001" t="s">
        <v>15013</v>
      </c>
      <c r="J9001" t="s">
        <v>8001</v>
      </c>
    </row>
    <row r="9002" spans="1:10" x14ac:dyDescent="0.25">
      <c r="A9002" t="s">
        <v>27713</v>
      </c>
      <c r="B9002">
        <v>7.2</v>
      </c>
      <c r="C9002" t="s">
        <v>27714</v>
      </c>
      <c r="D9002" t="s">
        <v>1573</v>
      </c>
      <c r="E9002" t="s">
        <v>27709</v>
      </c>
      <c r="F9002" t="s">
        <v>7672</v>
      </c>
      <c r="G9002" t="s">
        <v>27710</v>
      </c>
      <c r="H9002" t="s">
        <v>10298</v>
      </c>
      <c r="I9002" t="s">
        <v>27715</v>
      </c>
      <c r="J9002" t="s">
        <v>8001</v>
      </c>
    </row>
    <row r="9003" spans="1:10" x14ac:dyDescent="0.25">
      <c r="A9003" t="s">
        <v>27716</v>
      </c>
      <c r="B9003">
        <v>7.2</v>
      </c>
      <c r="C9003" t="s">
        <v>27717</v>
      </c>
      <c r="D9003" t="s">
        <v>7699</v>
      </c>
      <c r="E9003" t="s">
        <v>27709</v>
      </c>
      <c r="F9003" t="s">
        <v>7672</v>
      </c>
      <c r="G9003" t="s">
        <v>27710</v>
      </c>
      <c r="H9003" t="s">
        <v>10298</v>
      </c>
      <c r="I9003" t="s">
        <v>27718</v>
      </c>
      <c r="J9003" t="s">
        <v>8001</v>
      </c>
    </row>
    <row r="9004" spans="1:10" x14ac:dyDescent="0.25">
      <c r="A9004" t="s">
        <v>27719</v>
      </c>
      <c r="B9004">
        <v>7.2</v>
      </c>
      <c r="C9004" t="s">
        <v>27720</v>
      </c>
      <c r="D9004" t="s">
        <v>12795</v>
      </c>
      <c r="E9004" t="s">
        <v>27709</v>
      </c>
      <c r="F9004" t="s">
        <v>7672</v>
      </c>
      <c r="G9004" t="s">
        <v>27710</v>
      </c>
      <c r="H9004" t="s">
        <v>10298</v>
      </c>
      <c r="I9004" t="s">
        <v>20534</v>
      </c>
      <c r="J9004" t="s">
        <v>8001</v>
      </c>
    </row>
    <row r="9005" spans="1:10" x14ac:dyDescent="0.25">
      <c r="A9005" t="s">
        <v>27721</v>
      </c>
      <c r="B9005">
        <v>7.2</v>
      </c>
      <c r="C9005" t="s">
        <v>27722</v>
      </c>
      <c r="D9005" t="s">
        <v>1143</v>
      </c>
      <c r="E9005" t="s">
        <v>27709</v>
      </c>
      <c r="F9005" t="s">
        <v>7672</v>
      </c>
      <c r="G9005" t="s">
        <v>27710</v>
      </c>
      <c r="H9005" t="s">
        <v>10298</v>
      </c>
      <c r="I9005" t="s">
        <v>27718</v>
      </c>
      <c r="J9005" t="s">
        <v>8013</v>
      </c>
    </row>
    <row r="9006" spans="1:10" x14ac:dyDescent="0.25">
      <c r="A9006" t="s">
        <v>27723</v>
      </c>
      <c r="B9006">
        <v>7.2</v>
      </c>
      <c r="C9006" t="s">
        <v>27724</v>
      </c>
      <c r="D9006" t="s">
        <v>2910</v>
      </c>
      <c r="E9006" t="s">
        <v>27709</v>
      </c>
      <c r="F9006" t="s">
        <v>7672</v>
      </c>
      <c r="G9006" t="s">
        <v>27710</v>
      </c>
      <c r="H9006" t="s">
        <v>10298</v>
      </c>
      <c r="I9006" t="s">
        <v>20534</v>
      </c>
      <c r="J9006" t="s">
        <v>8013</v>
      </c>
    </row>
    <row r="9007" spans="1:10" x14ac:dyDescent="0.25">
      <c r="A9007" t="s">
        <v>27725</v>
      </c>
      <c r="B9007">
        <v>5.7200000000000006</v>
      </c>
      <c r="C9007" t="s">
        <v>27726</v>
      </c>
      <c r="D9007" t="s">
        <v>330</v>
      </c>
      <c r="E9007" t="s">
        <v>38</v>
      </c>
      <c r="F9007" t="s">
        <v>7672</v>
      </c>
      <c r="G9007" t="s">
        <v>27727</v>
      </c>
      <c r="H9007" t="s">
        <v>8081</v>
      </c>
      <c r="I9007" t="s">
        <v>27728</v>
      </c>
      <c r="J9007" t="s">
        <v>7984</v>
      </c>
    </row>
    <row r="9008" spans="1:10" x14ac:dyDescent="0.25">
      <c r="A9008" t="s">
        <v>27729</v>
      </c>
      <c r="B9008">
        <v>5.7200000000000006</v>
      </c>
      <c r="C9008" t="s">
        <v>27730</v>
      </c>
      <c r="D9008" t="s">
        <v>2149</v>
      </c>
      <c r="E9008" t="s">
        <v>38</v>
      </c>
      <c r="F9008" t="s">
        <v>7672</v>
      </c>
      <c r="G9008" t="s">
        <v>27727</v>
      </c>
      <c r="H9008" t="s">
        <v>8081</v>
      </c>
      <c r="I9008" t="s">
        <v>27731</v>
      </c>
      <c r="J9008" t="s">
        <v>7987</v>
      </c>
    </row>
    <row r="9009" spans="1:10" x14ac:dyDescent="0.25">
      <c r="A9009" t="s">
        <v>27732</v>
      </c>
      <c r="B9009">
        <v>5.7200000000000006</v>
      </c>
      <c r="C9009" t="s">
        <v>27733</v>
      </c>
      <c r="D9009" t="s">
        <v>151</v>
      </c>
      <c r="E9009" t="s">
        <v>38</v>
      </c>
      <c r="F9009" t="s">
        <v>7672</v>
      </c>
      <c r="G9009" t="s">
        <v>27727</v>
      </c>
      <c r="H9009" t="s">
        <v>8081</v>
      </c>
      <c r="I9009" t="s">
        <v>27728</v>
      </c>
      <c r="J9009" t="s">
        <v>7987</v>
      </c>
    </row>
    <row r="9010" spans="1:10" x14ac:dyDescent="0.25">
      <c r="A9010" t="s">
        <v>32</v>
      </c>
      <c r="B9010">
        <v>5.7200000000000006</v>
      </c>
      <c r="C9010" t="s">
        <v>37</v>
      </c>
      <c r="D9010" t="s">
        <v>40</v>
      </c>
      <c r="E9010" t="s">
        <v>38</v>
      </c>
      <c r="F9010" t="s">
        <v>7672</v>
      </c>
      <c r="G9010" t="s">
        <v>27727</v>
      </c>
      <c r="H9010" t="s">
        <v>8081</v>
      </c>
      <c r="I9010" t="s">
        <v>27731</v>
      </c>
      <c r="J9010" t="s">
        <v>8001</v>
      </c>
    </row>
    <row r="9011" spans="1:10" x14ac:dyDescent="0.25">
      <c r="A9011" t="s">
        <v>42</v>
      </c>
      <c r="B9011">
        <v>5.7200000000000006</v>
      </c>
      <c r="C9011" t="s">
        <v>44</v>
      </c>
      <c r="D9011" t="s">
        <v>46</v>
      </c>
      <c r="E9011" t="s">
        <v>38</v>
      </c>
      <c r="F9011" t="s">
        <v>7672</v>
      </c>
      <c r="G9011" t="s">
        <v>27727</v>
      </c>
      <c r="H9011" t="s">
        <v>8081</v>
      </c>
      <c r="I9011" t="s">
        <v>27728</v>
      </c>
      <c r="J9011" t="s">
        <v>8001</v>
      </c>
    </row>
    <row r="9012" spans="1:10" x14ac:dyDescent="0.25">
      <c r="A9012" t="s">
        <v>27734</v>
      </c>
      <c r="B9012">
        <v>3.3519999999999999</v>
      </c>
      <c r="C9012" t="s">
        <v>27735</v>
      </c>
      <c r="D9012" t="s">
        <v>100</v>
      </c>
      <c r="E9012" t="s">
        <v>27736</v>
      </c>
      <c r="F9012" t="s">
        <v>7672</v>
      </c>
      <c r="G9012" t="s">
        <v>27737</v>
      </c>
      <c r="H9012" t="s">
        <v>10298</v>
      </c>
      <c r="I9012" t="s">
        <v>27738</v>
      </c>
      <c r="J9012" t="s">
        <v>11702</v>
      </c>
    </row>
    <row r="9013" spans="1:10" x14ac:dyDescent="0.25">
      <c r="A9013" t="s">
        <v>27739</v>
      </c>
      <c r="B9013">
        <v>3.3519999999999999</v>
      </c>
      <c r="C9013" t="s">
        <v>27740</v>
      </c>
      <c r="D9013" t="s">
        <v>2238</v>
      </c>
      <c r="E9013" t="s">
        <v>27736</v>
      </c>
      <c r="F9013" t="s">
        <v>7672</v>
      </c>
      <c r="G9013" t="s">
        <v>27737</v>
      </c>
      <c r="H9013" t="s">
        <v>10298</v>
      </c>
      <c r="I9013" t="s">
        <v>27738</v>
      </c>
      <c r="J9013" t="s">
        <v>11710</v>
      </c>
    </row>
    <row r="9014" spans="1:10" x14ac:dyDescent="0.25">
      <c r="A9014" t="s">
        <v>27741</v>
      </c>
      <c r="B9014">
        <v>3.3519999999999999</v>
      </c>
      <c r="C9014" t="s">
        <v>27742</v>
      </c>
      <c r="D9014" t="s">
        <v>4685</v>
      </c>
      <c r="E9014" t="s">
        <v>27736</v>
      </c>
      <c r="F9014" t="s">
        <v>7672</v>
      </c>
      <c r="G9014" t="s">
        <v>27737</v>
      </c>
      <c r="H9014" t="s">
        <v>10298</v>
      </c>
      <c r="I9014" t="s">
        <v>27738</v>
      </c>
      <c r="J9014" t="s">
        <v>12182</v>
      </c>
    </row>
    <row r="9015" spans="1:10" x14ac:dyDescent="0.25">
      <c r="A9015" t="s">
        <v>27743</v>
      </c>
      <c r="B9015">
        <v>3.3519999999999999</v>
      </c>
      <c r="C9015" t="s">
        <v>27744</v>
      </c>
      <c r="D9015" t="s">
        <v>9240</v>
      </c>
      <c r="E9015" t="s">
        <v>27736</v>
      </c>
      <c r="F9015" t="s">
        <v>7672</v>
      </c>
      <c r="G9015" t="s">
        <v>27737</v>
      </c>
      <c r="H9015" t="s">
        <v>10298</v>
      </c>
      <c r="I9015" t="s">
        <v>27738</v>
      </c>
      <c r="J9015" t="s">
        <v>10150</v>
      </c>
    </row>
    <row r="9016" spans="1:10" x14ac:dyDescent="0.25">
      <c r="A9016" t="s">
        <v>27745</v>
      </c>
      <c r="B9016">
        <v>9.6000000000000014</v>
      </c>
      <c r="C9016" t="s">
        <v>27746</v>
      </c>
      <c r="D9016" t="s">
        <v>95</v>
      </c>
      <c r="E9016" t="s">
        <v>27747</v>
      </c>
      <c r="F9016" t="s">
        <v>7672</v>
      </c>
      <c r="G9016" t="s">
        <v>27748</v>
      </c>
      <c r="H9016" t="s">
        <v>7974</v>
      </c>
      <c r="I9016" t="s">
        <v>5202</v>
      </c>
      <c r="J9016" t="s">
        <v>8427</v>
      </c>
    </row>
    <row r="9017" spans="1:10" x14ac:dyDescent="0.25">
      <c r="A9017" t="s">
        <v>27749</v>
      </c>
      <c r="B9017">
        <v>9.6000000000000014</v>
      </c>
      <c r="C9017" t="s">
        <v>27750</v>
      </c>
      <c r="D9017" t="s">
        <v>2149</v>
      </c>
      <c r="E9017" t="s">
        <v>27747</v>
      </c>
      <c r="F9017" t="s">
        <v>7672</v>
      </c>
      <c r="G9017" t="s">
        <v>27748</v>
      </c>
      <c r="H9017" t="s">
        <v>7974</v>
      </c>
      <c r="I9017" t="s">
        <v>10802</v>
      </c>
      <c r="J9017" t="s">
        <v>8427</v>
      </c>
    </row>
    <row r="9018" spans="1:10" x14ac:dyDescent="0.25">
      <c r="A9018" t="s">
        <v>27751</v>
      </c>
      <c r="B9018">
        <v>9.6000000000000014</v>
      </c>
      <c r="C9018" t="s">
        <v>27752</v>
      </c>
      <c r="D9018" t="s">
        <v>725</v>
      </c>
      <c r="E9018" t="s">
        <v>27747</v>
      </c>
      <c r="F9018" t="s">
        <v>7672</v>
      </c>
      <c r="G9018" t="s">
        <v>27748</v>
      </c>
      <c r="H9018" t="s">
        <v>7974</v>
      </c>
      <c r="I9018" t="s">
        <v>5202</v>
      </c>
      <c r="J9018" t="s">
        <v>8439</v>
      </c>
    </row>
    <row r="9019" spans="1:10" x14ac:dyDescent="0.25">
      <c r="A9019" t="s">
        <v>27753</v>
      </c>
      <c r="B9019">
        <v>9.6000000000000014</v>
      </c>
      <c r="C9019" t="s">
        <v>27754</v>
      </c>
      <c r="D9019" t="s">
        <v>11566</v>
      </c>
      <c r="E9019" t="s">
        <v>27747</v>
      </c>
      <c r="F9019" t="s">
        <v>7672</v>
      </c>
      <c r="G9019" t="s">
        <v>27748</v>
      </c>
      <c r="H9019" t="s">
        <v>7974</v>
      </c>
      <c r="I9019" t="s">
        <v>10802</v>
      </c>
      <c r="J9019" t="s">
        <v>8439</v>
      </c>
    </row>
    <row r="9020" spans="1:10" x14ac:dyDescent="0.25">
      <c r="A9020" t="s">
        <v>27755</v>
      </c>
      <c r="B9020">
        <v>9.6000000000000014</v>
      </c>
      <c r="C9020" t="s">
        <v>27756</v>
      </c>
      <c r="D9020" t="s">
        <v>3023</v>
      </c>
      <c r="E9020" t="s">
        <v>27747</v>
      </c>
      <c r="F9020" t="s">
        <v>7672</v>
      </c>
      <c r="G9020" t="s">
        <v>27748</v>
      </c>
      <c r="H9020" t="s">
        <v>7974</v>
      </c>
      <c r="I9020" t="s">
        <v>5202</v>
      </c>
      <c r="J9020" t="s">
        <v>8451</v>
      </c>
    </row>
    <row r="9021" spans="1:10" x14ac:dyDescent="0.25">
      <c r="A9021" t="s">
        <v>27757</v>
      </c>
      <c r="B9021">
        <v>9.6000000000000014</v>
      </c>
      <c r="C9021" t="s">
        <v>27758</v>
      </c>
      <c r="D9021" t="s">
        <v>8803</v>
      </c>
      <c r="E9021" t="s">
        <v>27747</v>
      </c>
      <c r="F9021" t="s">
        <v>7672</v>
      </c>
      <c r="G9021" t="s">
        <v>27748</v>
      </c>
      <c r="H9021" t="s">
        <v>7974</v>
      </c>
      <c r="I9021" t="s">
        <v>10802</v>
      </c>
      <c r="J9021" t="s">
        <v>8451</v>
      </c>
    </row>
    <row r="9022" spans="1:10" x14ac:dyDescent="0.25">
      <c r="A9022" t="s">
        <v>27759</v>
      </c>
      <c r="B9022">
        <v>9.6000000000000014</v>
      </c>
      <c r="C9022" t="s">
        <v>27760</v>
      </c>
      <c r="D9022" t="s">
        <v>1236</v>
      </c>
      <c r="E9022" t="s">
        <v>27747</v>
      </c>
      <c r="F9022" t="s">
        <v>7672</v>
      </c>
      <c r="G9022" t="s">
        <v>27748</v>
      </c>
      <c r="H9022" t="s">
        <v>7974</v>
      </c>
      <c r="I9022" t="s">
        <v>5202</v>
      </c>
      <c r="J9022" t="s">
        <v>8462</v>
      </c>
    </row>
    <row r="9023" spans="1:10" x14ac:dyDescent="0.25">
      <c r="A9023" t="s">
        <v>27761</v>
      </c>
      <c r="B9023">
        <v>9.6000000000000014</v>
      </c>
      <c r="C9023" t="s">
        <v>27762</v>
      </c>
      <c r="D9023" t="s">
        <v>342</v>
      </c>
      <c r="E9023" t="s">
        <v>27747</v>
      </c>
      <c r="F9023" t="s">
        <v>7672</v>
      </c>
      <c r="G9023" t="s">
        <v>27748</v>
      </c>
      <c r="H9023" t="s">
        <v>7974</v>
      </c>
      <c r="I9023" t="s">
        <v>27763</v>
      </c>
      <c r="J9023" t="s">
        <v>8462</v>
      </c>
    </row>
    <row r="9024" spans="1:10" x14ac:dyDescent="0.25">
      <c r="A9024" t="s">
        <v>27764</v>
      </c>
      <c r="B9024">
        <v>9.6000000000000014</v>
      </c>
      <c r="C9024" t="s">
        <v>27765</v>
      </c>
      <c r="D9024" t="s">
        <v>296</v>
      </c>
      <c r="E9024" t="s">
        <v>27747</v>
      </c>
      <c r="F9024" t="s">
        <v>7672</v>
      </c>
      <c r="G9024" t="s">
        <v>27748</v>
      </c>
      <c r="H9024" t="s">
        <v>7974</v>
      </c>
      <c r="I9024" t="s">
        <v>10802</v>
      </c>
      <c r="J9024" t="s">
        <v>8462</v>
      </c>
    </row>
    <row r="9025" spans="1:10" x14ac:dyDescent="0.25">
      <c r="A9025" t="s">
        <v>27766</v>
      </c>
      <c r="B9025">
        <v>9.6000000000000014</v>
      </c>
      <c r="C9025" t="s">
        <v>27767</v>
      </c>
      <c r="D9025" t="s">
        <v>240</v>
      </c>
      <c r="E9025" t="s">
        <v>27747</v>
      </c>
      <c r="F9025" t="s">
        <v>7672</v>
      </c>
      <c r="G9025" t="s">
        <v>27748</v>
      </c>
      <c r="H9025" t="s">
        <v>7974</v>
      </c>
      <c r="I9025" t="s">
        <v>27763</v>
      </c>
      <c r="J9025" t="s">
        <v>9998</v>
      </c>
    </row>
    <row r="9026" spans="1:10" x14ac:dyDescent="0.25">
      <c r="A9026" t="s">
        <v>27768</v>
      </c>
      <c r="B9026">
        <v>9.6000000000000014</v>
      </c>
      <c r="C9026" t="s">
        <v>27769</v>
      </c>
      <c r="D9026" t="s">
        <v>875</v>
      </c>
      <c r="E9026" t="s">
        <v>27747</v>
      </c>
      <c r="F9026" t="s">
        <v>7672</v>
      </c>
      <c r="G9026" t="s">
        <v>27748</v>
      </c>
      <c r="H9026" t="s">
        <v>7974</v>
      </c>
      <c r="I9026" t="s">
        <v>10802</v>
      </c>
      <c r="J9026" t="s">
        <v>9998</v>
      </c>
    </row>
    <row r="9027" spans="1:10" x14ac:dyDescent="0.25">
      <c r="A9027" t="s">
        <v>27770</v>
      </c>
      <c r="B9027">
        <v>9.6000000000000014</v>
      </c>
      <c r="C9027" t="s">
        <v>27771</v>
      </c>
      <c r="D9027" t="s">
        <v>613</v>
      </c>
      <c r="E9027" t="s">
        <v>27747</v>
      </c>
      <c r="F9027" t="s">
        <v>7672</v>
      </c>
      <c r="G9027" t="s">
        <v>27748</v>
      </c>
      <c r="H9027" t="s">
        <v>7974</v>
      </c>
      <c r="I9027" t="s">
        <v>5202</v>
      </c>
      <c r="J9027" t="s">
        <v>9998</v>
      </c>
    </row>
    <row r="9028" spans="1:10" x14ac:dyDescent="0.25">
      <c r="A9028" t="s">
        <v>27772</v>
      </c>
      <c r="B9028">
        <v>7.2</v>
      </c>
      <c r="C9028" t="s">
        <v>27773</v>
      </c>
      <c r="D9028" t="s">
        <v>8730</v>
      </c>
      <c r="E9028" t="s">
        <v>27774</v>
      </c>
      <c r="F9028" t="s">
        <v>7672</v>
      </c>
      <c r="G9028" t="s">
        <v>27775</v>
      </c>
      <c r="H9028" t="s">
        <v>8515</v>
      </c>
      <c r="I9028" t="s">
        <v>27776</v>
      </c>
      <c r="J9028" t="s">
        <v>10369</v>
      </c>
    </row>
    <row r="9029" spans="1:10" x14ac:dyDescent="0.25">
      <c r="A9029" t="s">
        <v>27777</v>
      </c>
      <c r="B9029">
        <v>7.2</v>
      </c>
      <c r="C9029" t="s">
        <v>27778</v>
      </c>
      <c r="D9029" t="s">
        <v>4270</v>
      </c>
      <c r="E9029" t="s">
        <v>27774</v>
      </c>
      <c r="F9029" t="s">
        <v>7672</v>
      </c>
      <c r="G9029" t="s">
        <v>27775</v>
      </c>
      <c r="H9029" t="s">
        <v>8515</v>
      </c>
      <c r="I9029" t="s">
        <v>27776</v>
      </c>
      <c r="J9029" t="s">
        <v>11590</v>
      </c>
    </row>
    <row r="9030" spans="1:10" x14ac:dyDescent="0.25">
      <c r="A9030" t="s">
        <v>27779</v>
      </c>
      <c r="B9030">
        <v>7.2</v>
      </c>
      <c r="C9030" t="s">
        <v>27780</v>
      </c>
      <c r="D9030" t="s">
        <v>2253</v>
      </c>
      <c r="E9030" t="s">
        <v>27774</v>
      </c>
      <c r="F9030" t="s">
        <v>7672</v>
      </c>
      <c r="G9030" t="s">
        <v>27775</v>
      </c>
      <c r="H9030" t="s">
        <v>8515</v>
      </c>
      <c r="I9030" t="s">
        <v>27776</v>
      </c>
      <c r="J9030" t="s">
        <v>11593</v>
      </c>
    </row>
    <row r="9031" spans="1:10" x14ac:dyDescent="0.25">
      <c r="A9031" t="s">
        <v>27781</v>
      </c>
      <c r="B9031">
        <v>7.2</v>
      </c>
      <c r="C9031" t="s">
        <v>27782</v>
      </c>
      <c r="D9031" t="s">
        <v>664</v>
      </c>
      <c r="E9031" t="s">
        <v>27774</v>
      </c>
      <c r="F9031" t="s">
        <v>7672</v>
      </c>
      <c r="G9031" t="s">
        <v>27775</v>
      </c>
      <c r="H9031" t="s">
        <v>8515</v>
      </c>
      <c r="I9031" t="s">
        <v>27776</v>
      </c>
      <c r="J9031" t="s">
        <v>11783</v>
      </c>
    </row>
    <row r="9032" spans="1:10" x14ac:dyDescent="0.25">
      <c r="A9032" t="s">
        <v>27783</v>
      </c>
      <c r="B9032">
        <v>13.2</v>
      </c>
      <c r="C9032" t="s">
        <v>27784</v>
      </c>
      <c r="D9032" t="s">
        <v>2697</v>
      </c>
      <c r="E9032" t="s">
        <v>27785</v>
      </c>
      <c r="F9032" t="s">
        <v>7672</v>
      </c>
      <c r="G9032" t="s">
        <v>27786</v>
      </c>
      <c r="H9032" t="s">
        <v>17992</v>
      </c>
      <c r="I9032" t="s">
        <v>8158</v>
      </c>
      <c r="J9032" t="s">
        <v>8013</v>
      </c>
    </row>
    <row r="9033" spans="1:10" x14ac:dyDescent="0.25">
      <c r="A9033" t="s">
        <v>27787</v>
      </c>
      <c r="B9033">
        <v>4.9920000000000009</v>
      </c>
      <c r="C9033" t="s">
        <v>27788</v>
      </c>
      <c r="D9033" t="s">
        <v>379</v>
      </c>
      <c r="E9033" t="s">
        <v>27789</v>
      </c>
      <c r="F9033" t="s">
        <v>7672</v>
      </c>
      <c r="G9033" t="s">
        <v>27790</v>
      </c>
      <c r="H9033" t="s">
        <v>13951</v>
      </c>
      <c r="I9033" t="s">
        <v>76</v>
      </c>
      <c r="J9033" t="s">
        <v>11498</v>
      </c>
    </row>
    <row r="9034" spans="1:10" x14ac:dyDescent="0.25">
      <c r="A9034" t="s">
        <v>27791</v>
      </c>
      <c r="B9034">
        <v>4.9920000000000009</v>
      </c>
      <c r="C9034" t="s">
        <v>27792</v>
      </c>
      <c r="D9034" t="s">
        <v>941</v>
      </c>
      <c r="E9034" t="s">
        <v>27789</v>
      </c>
      <c r="F9034" t="s">
        <v>7672</v>
      </c>
      <c r="G9034" t="s">
        <v>27790</v>
      </c>
      <c r="H9034" t="s">
        <v>13951</v>
      </c>
      <c r="I9034" t="s">
        <v>76</v>
      </c>
      <c r="J9034" t="s">
        <v>11499</v>
      </c>
    </row>
    <row r="9035" spans="1:10" x14ac:dyDescent="0.25">
      <c r="A9035" t="s">
        <v>27793</v>
      </c>
      <c r="B9035">
        <v>4.9920000000000009</v>
      </c>
      <c r="C9035" t="s">
        <v>27794</v>
      </c>
      <c r="D9035" t="s">
        <v>4579</v>
      </c>
      <c r="E9035" t="s">
        <v>27789</v>
      </c>
      <c r="F9035" t="s">
        <v>7672</v>
      </c>
      <c r="G9035" t="s">
        <v>27790</v>
      </c>
      <c r="H9035" t="s">
        <v>13951</v>
      </c>
      <c r="I9035" t="s">
        <v>76</v>
      </c>
      <c r="J9035" t="s">
        <v>11500</v>
      </c>
    </row>
    <row r="9036" spans="1:10" x14ac:dyDescent="0.25">
      <c r="A9036" t="s">
        <v>27795</v>
      </c>
      <c r="B9036">
        <v>4.9920000000000009</v>
      </c>
      <c r="C9036" t="s">
        <v>27796</v>
      </c>
      <c r="D9036" t="s">
        <v>986</v>
      </c>
      <c r="E9036" t="s">
        <v>27789</v>
      </c>
      <c r="F9036" t="s">
        <v>7672</v>
      </c>
      <c r="G9036" t="s">
        <v>27790</v>
      </c>
      <c r="H9036" t="s">
        <v>13951</v>
      </c>
      <c r="I9036" t="s">
        <v>76</v>
      </c>
      <c r="J9036" t="s">
        <v>11501</v>
      </c>
    </row>
    <row r="9037" spans="1:10" x14ac:dyDescent="0.25">
      <c r="A9037" t="s">
        <v>27797</v>
      </c>
      <c r="B9037">
        <v>4.9920000000000009</v>
      </c>
      <c r="C9037" t="s">
        <v>27798</v>
      </c>
      <c r="D9037" t="s">
        <v>8816</v>
      </c>
      <c r="E9037" t="s">
        <v>27789</v>
      </c>
      <c r="F9037" t="s">
        <v>7672</v>
      </c>
      <c r="G9037" t="s">
        <v>27790</v>
      </c>
      <c r="H9037" t="s">
        <v>13951</v>
      </c>
      <c r="I9037" t="s">
        <v>76</v>
      </c>
      <c r="J9037" t="s">
        <v>11502</v>
      </c>
    </row>
    <row r="9038" spans="1:10" x14ac:dyDescent="0.25">
      <c r="A9038" t="s">
        <v>27799</v>
      </c>
      <c r="B9038">
        <v>4.9920000000000009</v>
      </c>
      <c r="C9038" t="s">
        <v>27800</v>
      </c>
      <c r="D9038" t="s">
        <v>1949</v>
      </c>
      <c r="E9038" t="s">
        <v>27789</v>
      </c>
      <c r="F9038" t="s">
        <v>7672</v>
      </c>
      <c r="G9038" t="s">
        <v>27790</v>
      </c>
      <c r="H9038" t="s">
        <v>13951</v>
      </c>
      <c r="I9038" t="s">
        <v>76</v>
      </c>
      <c r="J9038" t="s">
        <v>11503</v>
      </c>
    </row>
    <row r="9039" spans="1:10" x14ac:dyDescent="0.25">
      <c r="A9039" t="s">
        <v>27801</v>
      </c>
      <c r="B9039">
        <v>7.6959999999999997</v>
      </c>
      <c r="C9039" t="s">
        <v>27802</v>
      </c>
      <c r="D9039" t="s">
        <v>342</v>
      </c>
      <c r="E9039" t="s">
        <v>27803</v>
      </c>
      <c r="F9039" t="s">
        <v>7672</v>
      </c>
      <c r="G9039" t="s">
        <v>27804</v>
      </c>
      <c r="H9039" t="s">
        <v>8027</v>
      </c>
      <c r="I9039" t="s">
        <v>11206</v>
      </c>
      <c r="J9039" t="s">
        <v>9107</v>
      </c>
    </row>
    <row r="9040" spans="1:10" x14ac:dyDescent="0.25">
      <c r="A9040" t="s">
        <v>27805</v>
      </c>
      <c r="B9040">
        <v>7.6959999999999997</v>
      </c>
      <c r="C9040" t="s">
        <v>27806</v>
      </c>
      <c r="D9040" t="s">
        <v>240</v>
      </c>
      <c r="E9040" t="s">
        <v>27803</v>
      </c>
      <c r="F9040" t="s">
        <v>7672</v>
      </c>
      <c r="G9040" t="s">
        <v>27804</v>
      </c>
      <c r="H9040" t="s">
        <v>8027</v>
      </c>
      <c r="I9040" t="s">
        <v>11212</v>
      </c>
      <c r="J9040" t="s">
        <v>11373</v>
      </c>
    </row>
    <row r="9041" spans="1:10" x14ac:dyDescent="0.25">
      <c r="A9041" t="s">
        <v>27807</v>
      </c>
      <c r="B9041">
        <v>7.6959999999999997</v>
      </c>
      <c r="C9041" t="s">
        <v>27808</v>
      </c>
      <c r="D9041" t="s">
        <v>250</v>
      </c>
      <c r="E9041" t="s">
        <v>27803</v>
      </c>
      <c r="F9041" t="s">
        <v>7672</v>
      </c>
      <c r="G9041" t="s">
        <v>27804</v>
      </c>
      <c r="H9041" t="s">
        <v>8027</v>
      </c>
      <c r="I9041" t="s">
        <v>11206</v>
      </c>
      <c r="J9041" t="s">
        <v>11373</v>
      </c>
    </row>
    <row r="9042" spans="1:10" x14ac:dyDescent="0.25">
      <c r="A9042" t="s">
        <v>27809</v>
      </c>
      <c r="B9042">
        <v>7.6959999999999997</v>
      </c>
      <c r="C9042" t="s">
        <v>27810</v>
      </c>
      <c r="D9042" t="s">
        <v>342</v>
      </c>
      <c r="E9042" t="s">
        <v>27803</v>
      </c>
      <c r="F9042" t="s">
        <v>7672</v>
      </c>
      <c r="G9042" t="s">
        <v>27804</v>
      </c>
      <c r="H9042" t="s">
        <v>8027</v>
      </c>
      <c r="I9042" t="s">
        <v>11223</v>
      </c>
      <c r="J9042" t="s">
        <v>11373</v>
      </c>
    </row>
    <row r="9043" spans="1:10" x14ac:dyDescent="0.25">
      <c r="A9043" t="s">
        <v>27811</v>
      </c>
      <c r="B9043">
        <v>7.6959999999999997</v>
      </c>
      <c r="C9043" t="s">
        <v>27812</v>
      </c>
      <c r="D9043" t="s">
        <v>277</v>
      </c>
      <c r="E9043" t="s">
        <v>27803</v>
      </c>
      <c r="F9043" t="s">
        <v>7672</v>
      </c>
      <c r="G9043" t="s">
        <v>27804</v>
      </c>
      <c r="H9043" t="s">
        <v>8027</v>
      </c>
      <c r="I9043" t="s">
        <v>11223</v>
      </c>
      <c r="J9043" t="s">
        <v>11376</v>
      </c>
    </row>
    <row r="9044" spans="1:10" x14ac:dyDescent="0.25">
      <c r="A9044" t="s">
        <v>27813</v>
      </c>
      <c r="B9044">
        <v>7.6959999999999997</v>
      </c>
      <c r="C9044" t="s">
        <v>27814</v>
      </c>
      <c r="D9044" t="s">
        <v>255</v>
      </c>
      <c r="E9044" t="s">
        <v>27803</v>
      </c>
      <c r="F9044" t="s">
        <v>7672</v>
      </c>
      <c r="G9044" t="s">
        <v>27804</v>
      </c>
      <c r="H9044" t="s">
        <v>8027</v>
      </c>
      <c r="I9044" t="s">
        <v>11212</v>
      </c>
      <c r="J9044" t="s">
        <v>11376</v>
      </c>
    </row>
    <row r="9045" spans="1:10" x14ac:dyDescent="0.25">
      <c r="A9045" t="s">
        <v>27815</v>
      </c>
      <c r="B9045">
        <v>7.6959999999999997</v>
      </c>
      <c r="C9045" t="s">
        <v>27816</v>
      </c>
      <c r="D9045" t="s">
        <v>282</v>
      </c>
      <c r="E9045" t="s">
        <v>27803</v>
      </c>
      <c r="F9045" t="s">
        <v>7672</v>
      </c>
      <c r="G9045" t="s">
        <v>27804</v>
      </c>
      <c r="H9045" t="s">
        <v>8027</v>
      </c>
      <c r="I9045" t="s">
        <v>11206</v>
      </c>
      <c r="J9045" t="s">
        <v>11376</v>
      </c>
    </row>
    <row r="9046" spans="1:10" x14ac:dyDescent="0.25">
      <c r="A9046" t="s">
        <v>27817</v>
      </c>
      <c r="B9046">
        <v>7.6959999999999997</v>
      </c>
      <c r="C9046" t="s">
        <v>27818</v>
      </c>
      <c r="D9046" t="s">
        <v>164</v>
      </c>
      <c r="E9046" t="s">
        <v>27803</v>
      </c>
      <c r="F9046" t="s">
        <v>7672</v>
      </c>
      <c r="G9046" t="s">
        <v>27804</v>
      </c>
      <c r="H9046" t="s">
        <v>8027</v>
      </c>
      <c r="I9046" t="s">
        <v>11223</v>
      </c>
      <c r="J9046" t="s">
        <v>9114</v>
      </c>
    </row>
    <row r="9047" spans="1:10" x14ac:dyDescent="0.25">
      <c r="A9047" t="s">
        <v>27819</v>
      </c>
      <c r="B9047">
        <v>7.6959999999999997</v>
      </c>
      <c r="C9047" t="s">
        <v>27820</v>
      </c>
      <c r="D9047" t="s">
        <v>277</v>
      </c>
      <c r="E9047" t="s">
        <v>27803</v>
      </c>
      <c r="F9047" t="s">
        <v>7672</v>
      </c>
      <c r="G9047" t="s">
        <v>27804</v>
      </c>
      <c r="H9047" t="s">
        <v>8027</v>
      </c>
      <c r="I9047" t="s">
        <v>11212</v>
      </c>
      <c r="J9047" t="s">
        <v>9114</v>
      </c>
    </row>
    <row r="9048" spans="1:10" x14ac:dyDescent="0.25">
      <c r="A9048" t="s">
        <v>27821</v>
      </c>
      <c r="B9048">
        <v>7.6959999999999997</v>
      </c>
      <c r="C9048" t="s">
        <v>27822</v>
      </c>
      <c r="D9048" t="s">
        <v>835</v>
      </c>
      <c r="E9048" t="s">
        <v>27803</v>
      </c>
      <c r="F9048" t="s">
        <v>7672</v>
      </c>
      <c r="G9048" t="s">
        <v>27804</v>
      </c>
      <c r="H9048" t="s">
        <v>8027</v>
      </c>
      <c r="I9048" t="s">
        <v>11206</v>
      </c>
      <c r="J9048" t="s">
        <v>9114</v>
      </c>
    </row>
    <row r="9049" spans="1:10" x14ac:dyDescent="0.25">
      <c r="A9049" t="s">
        <v>27823</v>
      </c>
      <c r="B9049">
        <v>6.120000000000001</v>
      </c>
      <c r="C9049" t="s">
        <v>27824</v>
      </c>
      <c r="D9049" t="s">
        <v>255</v>
      </c>
      <c r="E9049" t="s">
        <v>27825</v>
      </c>
      <c r="F9049" t="s">
        <v>7672</v>
      </c>
      <c r="G9049" t="s">
        <v>27826</v>
      </c>
      <c r="H9049" t="s">
        <v>16745</v>
      </c>
      <c r="I9049" t="s">
        <v>410</v>
      </c>
      <c r="J9049" t="s">
        <v>60</v>
      </c>
    </row>
    <row r="9050" spans="1:10" x14ac:dyDescent="0.25">
      <c r="A9050" t="s">
        <v>27827</v>
      </c>
      <c r="B9050">
        <v>6.120000000000001</v>
      </c>
      <c r="C9050" t="s">
        <v>27828</v>
      </c>
      <c r="D9050" t="s">
        <v>1621</v>
      </c>
      <c r="E9050" t="s">
        <v>27825</v>
      </c>
      <c r="F9050" t="s">
        <v>7672</v>
      </c>
      <c r="G9050" t="s">
        <v>27826</v>
      </c>
      <c r="H9050" t="s">
        <v>16745</v>
      </c>
      <c r="I9050" t="s">
        <v>8577</v>
      </c>
      <c r="J9050" t="s">
        <v>100</v>
      </c>
    </row>
    <row r="9051" spans="1:10" x14ac:dyDescent="0.25">
      <c r="A9051" t="s">
        <v>27829</v>
      </c>
      <c r="B9051">
        <v>6.120000000000001</v>
      </c>
      <c r="C9051" t="s">
        <v>27830</v>
      </c>
      <c r="D9051" t="s">
        <v>1822</v>
      </c>
      <c r="E9051" t="s">
        <v>27825</v>
      </c>
      <c r="F9051" t="s">
        <v>7672</v>
      </c>
      <c r="G9051" t="s">
        <v>27826</v>
      </c>
      <c r="H9051" t="s">
        <v>16745</v>
      </c>
      <c r="I9051" t="s">
        <v>410</v>
      </c>
      <c r="J9051" t="s">
        <v>100</v>
      </c>
    </row>
    <row r="9052" spans="1:10" x14ac:dyDescent="0.25">
      <c r="A9052" t="s">
        <v>27831</v>
      </c>
      <c r="B9052">
        <v>6.120000000000001</v>
      </c>
      <c r="C9052" t="s">
        <v>27832</v>
      </c>
      <c r="D9052" t="s">
        <v>255</v>
      </c>
      <c r="E9052" t="s">
        <v>27825</v>
      </c>
      <c r="F9052" t="s">
        <v>7672</v>
      </c>
      <c r="G9052" t="s">
        <v>27826</v>
      </c>
      <c r="H9052" t="s">
        <v>16745</v>
      </c>
      <c r="I9052" t="s">
        <v>410</v>
      </c>
      <c r="J9052" t="s">
        <v>88</v>
      </c>
    </row>
    <row r="9053" spans="1:10" x14ac:dyDescent="0.25">
      <c r="A9053" t="s">
        <v>27833</v>
      </c>
      <c r="B9053">
        <v>8.8000000000000007</v>
      </c>
      <c r="C9053" t="s">
        <v>27834</v>
      </c>
      <c r="D9053" t="s">
        <v>1949</v>
      </c>
      <c r="E9053" t="s">
        <v>27835</v>
      </c>
      <c r="F9053" t="s">
        <v>7672</v>
      </c>
      <c r="G9053" t="s">
        <v>27836</v>
      </c>
      <c r="H9053" t="s">
        <v>8301</v>
      </c>
      <c r="I9053" t="s">
        <v>27837</v>
      </c>
      <c r="J9053" t="s">
        <v>8427</v>
      </c>
    </row>
    <row r="9054" spans="1:10" x14ac:dyDescent="0.25">
      <c r="A9054" t="s">
        <v>27838</v>
      </c>
      <c r="B9054">
        <v>8.8000000000000007</v>
      </c>
      <c r="C9054" t="s">
        <v>27839</v>
      </c>
      <c r="D9054" t="s">
        <v>4579</v>
      </c>
      <c r="E9054" t="s">
        <v>27835</v>
      </c>
      <c r="F9054" t="s">
        <v>7672</v>
      </c>
      <c r="G9054" t="s">
        <v>27836</v>
      </c>
      <c r="H9054" t="s">
        <v>8301</v>
      </c>
      <c r="I9054" t="s">
        <v>8158</v>
      </c>
      <c r="J9054" t="s">
        <v>8427</v>
      </c>
    </row>
    <row r="9055" spans="1:10" x14ac:dyDescent="0.25">
      <c r="A9055" t="s">
        <v>27840</v>
      </c>
      <c r="B9055">
        <v>8.8000000000000007</v>
      </c>
      <c r="C9055" t="s">
        <v>27841</v>
      </c>
      <c r="D9055" t="s">
        <v>991</v>
      </c>
      <c r="E9055" t="s">
        <v>27835</v>
      </c>
      <c r="F9055" t="s">
        <v>7672</v>
      </c>
      <c r="G9055" t="s">
        <v>27836</v>
      </c>
      <c r="H9055" t="s">
        <v>8301</v>
      </c>
      <c r="I9055" t="s">
        <v>27837</v>
      </c>
      <c r="J9055" t="s">
        <v>8439</v>
      </c>
    </row>
    <row r="9056" spans="1:10" x14ac:dyDescent="0.25">
      <c r="A9056" t="s">
        <v>27842</v>
      </c>
      <c r="B9056">
        <v>8.8000000000000007</v>
      </c>
      <c r="C9056" t="s">
        <v>27843</v>
      </c>
      <c r="D9056" t="s">
        <v>633</v>
      </c>
      <c r="E9056" t="s">
        <v>27835</v>
      </c>
      <c r="F9056" t="s">
        <v>7672</v>
      </c>
      <c r="G9056" t="s">
        <v>27836</v>
      </c>
      <c r="H9056" t="s">
        <v>8301</v>
      </c>
      <c r="I9056" t="s">
        <v>8158</v>
      </c>
      <c r="J9056" t="s">
        <v>8439</v>
      </c>
    </row>
    <row r="9057" spans="1:10" x14ac:dyDescent="0.25">
      <c r="A9057" t="s">
        <v>27844</v>
      </c>
      <c r="B9057">
        <v>8.8000000000000007</v>
      </c>
      <c r="C9057" t="s">
        <v>27845</v>
      </c>
      <c r="D9057" t="s">
        <v>1254</v>
      </c>
      <c r="E9057" t="s">
        <v>27835</v>
      </c>
      <c r="F9057" t="s">
        <v>7672</v>
      </c>
      <c r="G9057" t="s">
        <v>27836</v>
      </c>
      <c r="H9057" t="s">
        <v>8301</v>
      </c>
      <c r="I9057" t="s">
        <v>27837</v>
      </c>
      <c r="J9057" t="s">
        <v>8451</v>
      </c>
    </row>
    <row r="9058" spans="1:10" x14ac:dyDescent="0.25">
      <c r="A9058" t="s">
        <v>27846</v>
      </c>
      <c r="B9058">
        <v>8.8000000000000007</v>
      </c>
      <c r="C9058" t="s">
        <v>27847</v>
      </c>
      <c r="D9058" t="s">
        <v>3577</v>
      </c>
      <c r="E9058" t="s">
        <v>27835</v>
      </c>
      <c r="F9058" t="s">
        <v>7672</v>
      </c>
      <c r="G9058" t="s">
        <v>27836</v>
      </c>
      <c r="H9058" t="s">
        <v>8301</v>
      </c>
      <c r="I9058" t="s">
        <v>8158</v>
      </c>
      <c r="J9058" t="s">
        <v>8451</v>
      </c>
    </row>
    <row r="9059" spans="1:10" x14ac:dyDescent="0.25">
      <c r="A9059" t="s">
        <v>27848</v>
      </c>
      <c r="B9059">
        <v>8.8000000000000007</v>
      </c>
      <c r="C9059" t="s">
        <v>27849</v>
      </c>
      <c r="D9059" t="s">
        <v>164</v>
      </c>
      <c r="E9059" t="s">
        <v>27835</v>
      </c>
      <c r="F9059" t="s">
        <v>7672</v>
      </c>
      <c r="G9059" t="s">
        <v>27836</v>
      </c>
      <c r="H9059" t="s">
        <v>8301</v>
      </c>
      <c r="I9059" t="s">
        <v>27850</v>
      </c>
      <c r="J9059" t="s">
        <v>8462</v>
      </c>
    </row>
    <row r="9060" spans="1:10" x14ac:dyDescent="0.25">
      <c r="A9060" t="s">
        <v>27851</v>
      </c>
      <c r="B9060">
        <v>8.8000000000000007</v>
      </c>
      <c r="C9060" t="s">
        <v>27852</v>
      </c>
      <c r="D9060" t="s">
        <v>379</v>
      </c>
      <c r="E9060" t="s">
        <v>27835</v>
      </c>
      <c r="F9060" t="s">
        <v>7672</v>
      </c>
      <c r="G9060" t="s">
        <v>27836</v>
      </c>
      <c r="H9060" t="s">
        <v>8301</v>
      </c>
      <c r="I9060" t="s">
        <v>27837</v>
      </c>
      <c r="J9060" t="s">
        <v>8462</v>
      </c>
    </row>
    <row r="9061" spans="1:10" x14ac:dyDescent="0.25">
      <c r="A9061" t="s">
        <v>27853</v>
      </c>
      <c r="B9061">
        <v>8.8000000000000007</v>
      </c>
      <c r="C9061" t="s">
        <v>27854</v>
      </c>
      <c r="D9061" t="s">
        <v>311</v>
      </c>
      <c r="E9061" t="s">
        <v>27835</v>
      </c>
      <c r="F9061" t="s">
        <v>7672</v>
      </c>
      <c r="G9061" t="s">
        <v>27836</v>
      </c>
      <c r="H9061" t="s">
        <v>8301</v>
      </c>
      <c r="I9061" t="s">
        <v>8158</v>
      </c>
      <c r="J9061" t="s">
        <v>8462</v>
      </c>
    </row>
    <row r="9062" spans="1:10" x14ac:dyDescent="0.25">
      <c r="A9062" t="s">
        <v>27855</v>
      </c>
      <c r="B9062">
        <v>8.8000000000000007</v>
      </c>
      <c r="C9062" t="s">
        <v>27856</v>
      </c>
      <c r="D9062" t="s">
        <v>366</v>
      </c>
      <c r="E9062" t="s">
        <v>27835</v>
      </c>
      <c r="F9062" t="s">
        <v>7672</v>
      </c>
      <c r="G9062" t="s">
        <v>27836</v>
      </c>
      <c r="H9062" t="s">
        <v>8301</v>
      </c>
      <c r="I9062" t="s">
        <v>27850</v>
      </c>
      <c r="J9062" t="s">
        <v>9998</v>
      </c>
    </row>
    <row r="9063" spans="1:10" x14ac:dyDescent="0.25">
      <c r="A9063" t="s">
        <v>27857</v>
      </c>
      <c r="B9063">
        <v>8.8000000000000007</v>
      </c>
      <c r="C9063" t="s">
        <v>27858</v>
      </c>
      <c r="D9063" t="s">
        <v>1097</v>
      </c>
      <c r="E9063" t="s">
        <v>27835</v>
      </c>
      <c r="F9063" t="s">
        <v>7672</v>
      </c>
      <c r="G9063" t="s">
        <v>27836</v>
      </c>
      <c r="H9063" t="s">
        <v>8301</v>
      </c>
      <c r="I9063" t="s">
        <v>27837</v>
      </c>
      <c r="J9063" t="s">
        <v>9998</v>
      </c>
    </row>
    <row r="9064" spans="1:10" x14ac:dyDescent="0.25">
      <c r="A9064" t="s">
        <v>27859</v>
      </c>
      <c r="B9064">
        <v>8.8000000000000007</v>
      </c>
      <c r="C9064" t="s">
        <v>27860</v>
      </c>
      <c r="D9064" t="s">
        <v>301</v>
      </c>
      <c r="E9064" t="s">
        <v>27835</v>
      </c>
      <c r="F9064" t="s">
        <v>7672</v>
      </c>
      <c r="G9064" t="s">
        <v>27836</v>
      </c>
      <c r="H9064" t="s">
        <v>8301</v>
      </c>
      <c r="I9064" t="s">
        <v>8158</v>
      </c>
      <c r="J9064" t="s">
        <v>9998</v>
      </c>
    </row>
    <row r="9065" spans="1:10" x14ac:dyDescent="0.25">
      <c r="A9065" t="s">
        <v>27861</v>
      </c>
      <c r="B9065">
        <v>6.4960000000000004</v>
      </c>
      <c r="C9065" t="s">
        <v>27862</v>
      </c>
      <c r="D9065" t="s">
        <v>3378</v>
      </c>
      <c r="E9065" t="s">
        <v>27863</v>
      </c>
      <c r="F9065" t="s">
        <v>7672</v>
      </c>
      <c r="G9065" t="s">
        <v>27864</v>
      </c>
      <c r="H9065" t="s">
        <v>22819</v>
      </c>
      <c r="I9065" t="s">
        <v>278</v>
      </c>
      <c r="J9065" t="s">
        <v>7981</v>
      </c>
    </row>
    <row r="9066" spans="1:10" x14ac:dyDescent="0.25">
      <c r="A9066" t="s">
        <v>27865</v>
      </c>
      <c r="B9066">
        <v>6.4960000000000004</v>
      </c>
      <c r="C9066" t="s">
        <v>27866</v>
      </c>
      <c r="D9066" t="s">
        <v>639</v>
      </c>
      <c r="E9066" t="s">
        <v>27863</v>
      </c>
      <c r="F9066" t="s">
        <v>7672</v>
      </c>
      <c r="G9066" t="s">
        <v>27864</v>
      </c>
      <c r="H9066" t="s">
        <v>22819</v>
      </c>
      <c r="I9066" t="s">
        <v>278</v>
      </c>
      <c r="J9066" t="s">
        <v>7984</v>
      </c>
    </row>
    <row r="9067" spans="1:10" x14ac:dyDescent="0.25">
      <c r="A9067" t="s">
        <v>27867</v>
      </c>
      <c r="B9067">
        <v>6.4960000000000004</v>
      </c>
      <c r="C9067" t="s">
        <v>27868</v>
      </c>
      <c r="D9067" t="s">
        <v>1512</v>
      </c>
      <c r="E9067" t="s">
        <v>27863</v>
      </c>
      <c r="F9067" t="s">
        <v>7672</v>
      </c>
      <c r="G9067" t="s">
        <v>27864</v>
      </c>
      <c r="H9067" t="s">
        <v>22819</v>
      </c>
      <c r="I9067" t="s">
        <v>278</v>
      </c>
      <c r="J9067" t="s">
        <v>7987</v>
      </c>
    </row>
    <row r="9068" spans="1:10" x14ac:dyDescent="0.25">
      <c r="A9068" t="s">
        <v>27869</v>
      </c>
      <c r="B9068">
        <v>6.4960000000000004</v>
      </c>
      <c r="C9068" t="s">
        <v>27870</v>
      </c>
      <c r="D9068" t="s">
        <v>301</v>
      </c>
      <c r="E9068" t="s">
        <v>27863</v>
      </c>
      <c r="F9068" t="s">
        <v>7672</v>
      </c>
      <c r="G9068" t="s">
        <v>27864</v>
      </c>
      <c r="H9068" t="s">
        <v>22819</v>
      </c>
      <c r="I9068" t="s">
        <v>278</v>
      </c>
      <c r="J9068" t="s">
        <v>8001</v>
      </c>
    </row>
    <row r="9069" spans="1:10" x14ac:dyDescent="0.25">
      <c r="A9069" t="s">
        <v>27871</v>
      </c>
      <c r="B9069">
        <v>180</v>
      </c>
      <c r="C9069" t="s">
        <v>27872</v>
      </c>
      <c r="D9069" t="s">
        <v>359</v>
      </c>
      <c r="E9069" t="s">
        <v>27873</v>
      </c>
      <c r="F9069" t="s">
        <v>7672</v>
      </c>
      <c r="G9069" t="s">
        <v>27874</v>
      </c>
      <c r="H9069" t="s">
        <v>9693</v>
      </c>
      <c r="I9069" t="s">
        <v>27875</v>
      </c>
      <c r="J9069" t="s">
        <v>9694</v>
      </c>
    </row>
    <row r="9070" spans="1:10" x14ac:dyDescent="0.25">
      <c r="A9070" t="s">
        <v>27876</v>
      </c>
      <c r="B9070">
        <v>4.16</v>
      </c>
      <c r="C9070" t="s">
        <v>27877</v>
      </c>
      <c r="D9070" t="s">
        <v>516</v>
      </c>
      <c r="E9070" t="s">
        <v>27878</v>
      </c>
      <c r="F9070" t="s">
        <v>7672</v>
      </c>
      <c r="G9070" t="s">
        <v>27879</v>
      </c>
      <c r="H9070" t="s">
        <v>26624</v>
      </c>
      <c r="I9070" t="s">
        <v>27880</v>
      </c>
      <c r="J9070" t="s">
        <v>7942</v>
      </c>
    </row>
    <row r="9071" spans="1:10" x14ac:dyDescent="0.25">
      <c r="A9071" t="s">
        <v>27881</v>
      </c>
      <c r="B9071">
        <v>4.16</v>
      </c>
      <c r="C9071" t="s">
        <v>27882</v>
      </c>
      <c r="D9071" t="s">
        <v>245</v>
      </c>
      <c r="E9071" t="s">
        <v>27878</v>
      </c>
      <c r="F9071" t="s">
        <v>7672</v>
      </c>
      <c r="G9071" t="s">
        <v>27879</v>
      </c>
      <c r="H9071" t="s">
        <v>26624</v>
      </c>
      <c r="I9071" t="s">
        <v>27883</v>
      </c>
      <c r="J9071" t="s">
        <v>7942</v>
      </c>
    </row>
    <row r="9072" spans="1:10" x14ac:dyDescent="0.25">
      <c r="A9072" t="s">
        <v>27884</v>
      </c>
      <c r="B9072">
        <v>4.16</v>
      </c>
      <c r="C9072" t="s">
        <v>27885</v>
      </c>
      <c r="D9072" t="s">
        <v>705</v>
      </c>
      <c r="E9072" t="s">
        <v>27878</v>
      </c>
      <c r="F9072" t="s">
        <v>7672</v>
      </c>
      <c r="G9072" t="s">
        <v>27879</v>
      </c>
      <c r="H9072" t="s">
        <v>26624</v>
      </c>
      <c r="I9072" t="s">
        <v>27880</v>
      </c>
      <c r="J9072" t="s">
        <v>7981</v>
      </c>
    </row>
    <row r="9073" spans="1:10" x14ac:dyDescent="0.25">
      <c r="A9073" t="s">
        <v>27886</v>
      </c>
      <c r="B9073">
        <v>4.16</v>
      </c>
      <c r="C9073" t="s">
        <v>27887</v>
      </c>
      <c r="D9073" t="s">
        <v>234</v>
      </c>
      <c r="E9073" t="s">
        <v>27878</v>
      </c>
      <c r="F9073" t="s">
        <v>7672</v>
      </c>
      <c r="G9073" t="s">
        <v>27879</v>
      </c>
      <c r="H9073" t="s">
        <v>26624</v>
      </c>
      <c r="I9073" t="s">
        <v>27883</v>
      </c>
      <c r="J9073" t="s">
        <v>7981</v>
      </c>
    </row>
    <row r="9074" spans="1:10" x14ac:dyDescent="0.25">
      <c r="A9074" t="s">
        <v>27888</v>
      </c>
      <c r="B9074">
        <v>4.16</v>
      </c>
      <c r="C9074" t="s">
        <v>27889</v>
      </c>
      <c r="D9074" t="s">
        <v>2099</v>
      </c>
      <c r="E9074" t="s">
        <v>27878</v>
      </c>
      <c r="F9074" t="s">
        <v>7672</v>
      </c>
      <c r="G9074" t="s">
        <v>27879</v>
      </c>
      <c r="H9074" t="s">
        <v>26624</v>
      </c>
      <c r="I9074" t="s">
        <v>27880</v>
      </c>
      <c r="J9074" t="s">
        <v>7984</v>
      </c>
    </row>
    <row r="9075" spans="1:10" x14ac:dyDescent="0.25">
      <c r="A9075" t="s">
        <v>27890</v>
      </c>
      <c r="B9075">
        <v>4.16</v>
      </c>
      <c r="C9075" t="s">
        <v>27891</v>
      </c>
      <c r="D9075" t="s">
        <v>306</v>
      </c>
      <c r="E9075" t="s">
        <v>27878</v>
      </c>
      <c r="F9075" t="s">
        <v>7672</v>
      </c>
      <c r="G9075" t="s">
        <v>27879</v>
      </c>
      <c r="H9075" t="s">
        <v>26624</v>
      </c>
      <c r="I9075" t="s">
        <v>27883</v>
      </c>
      <c r="J9075" t="s">
        <v>7984</v>
      </c>
    </row>
    <row r="9076" spans="1:10" x14ac:dyDescent="0.25">
      <c r="A9076" t="s">
        <v>27892</v>
      </c>
      <c r="B9076">
        <v>4.16</v>
      </c>
      <c r="C9076" t="s">
        <v>27893</v>
      </c>
      <c r="D9076" t="s">
        <v>1573</v>
      </c>
      <c r="E9076" t="s">
        <v>27878</v>
      </c>
      <c r="F9076" t="s">
        <v>7672</v>
      </c>
      <c r="G9076" t="s">
        <v>27879</v>
      </c>
      <c r="H9076" t="s">
        <v>26624</v>
      </c>
      <c r="I9076" t="s">
        <v>27880</v>
      </c>
      <c r="J9076" t="s">
        <v>7987</v>
      </c>
    </row>
    <row r="9077" spans="1:10" x14ac:dyDescent="0.25">
      <c r="A9077" t="s">
        <v>27894</v>
      </c>
      <c r="B9077">
        <v>4.16</v>
      </c>
      <c r="C9077" t="s">
        <v>27895</v>
      </c>
      <c r="D9077" t="s">
        <v>7057</v>
      </c>
      <c r="E9077" t="s">
        <v>27878</v>
      </c>
      <c r="F9077" t="s">
        <v>7672</v>
      </c>
      <c r="G9077" t="s">
        <v>27879</v>
      </c>
      <c r="H9077" t="s">
        <v>26624</v>
      </c>
      <c r="I9077" t="s">
        <v>27883</v>
      </c>
      <c r="J9077" t="s">
        <v>7987</v>
      </c>
    </row>
    <row r="9078" spans="1:10" x14ac:dyDescent="0.25">
      <c r="A9078" t="s">
        <v>27896</v>
      </c>
      <c r="B9078">
        <v>4.16</v>
      </c>
      <c r="C9078" t="s">
        <v>27897</v>
      </c>
      <c r="D9078" t="s">
        <v>626</v>
      </c>
      <c r="E9078" t="s">
        <v>27878</v>
      </c>
      <c r="F9078" t="s">
        <v>7672</v>
      </c>
      <c r="G9078" t="s">
        <v>27879</v>
      </c>
      <c r="H9078" t="s">
        <v>26624</v>
      </c>
      <c r="I9078" t="s">
        <v>27880</v>
      </c>
      <c r="J9078" t="s">
        <v>8001</v>
      </c>
    </row>
    <row r="9079" spans="1:10" x14ac:dyDescent="0.25">
      <c r="A9079" t="s">
        <v>27898</v>
      </c>
      <c r="B9079">
        <v>4.16</v>
      </c>
      <c r="C9079" t="s">
        <v>27899</v>
      </c>
      <c r="D9079" t="s">
        <v>1852</v>
      </c>
      <c r="E9079" t="s">
        <v>27878</v>
      </c>
      <c r="F9079" t="s">
        <v>7672</v>
      </c>
      <c r="G9079" t="s">
        <v>27879</v>
      </c>
      <c r="H9079" t="s">
        <v>26624</v>
      </c>
      <c r="I9079" t="s">
        <v>27883</v>
      </c>
      <c r="J9079" t="s">
        <v>8001</v>
      </c>
    </row>
    <row r="9080" spans="1:10" x14ac:dyDescent="0.25">
      <c r="A9080" t="s">
        <v>27900</v>
      </c>
      <c r="B9080">
        <v>4.16</v>
      </c>
      <c r="C9080" t="s">
        <v>27901</v>
      </c>
      <c r="D9080" t="s">
        <v>1143</v>
      </c>
      <c r="E9080" t="s">
        <v>27878</v>
      </c>
      <c r="F9080" t="s">
        <v>7672</v>
      </c>
      <c r="G9080" t="s">
        <v>27879</v>
      </c>
      <c r="H9080" t="s">
        <v>26624</v>
      </c>
      <c r="I9080" t="s">
        <v>27880</v>
      </c>
      <c r="J9080" t="s">
        <v>8013</v>
      </c>
    </row>
    <row r="9081" spans="1:10" x14ac:dyDescent="0.25">
      <c r="A9081" t="s">
        <v>27902</v>
      </c>
      <c r="B9081">
        <v>4.16</v>
      </c>
      <c r="C9081" t="s">
        <v>27903</v>
      </c>
      <c r="D9081" t="s">
        <v>964</v>
      </c>
      <c r="E9081" t="s">
        <v>27878</v>
      </c>
      <c r="F9081" t="s">
        <v>7672</v>
      </c>
      <c r="G9081" t="s">
        <v>27879</v>
      </c>
      <c r="H9081" t="s">
        <v>26624</v>
      </c>
      <c r="I9081" t="s">
        <v>27883</v>
      </c>
      <c r="J9081" t="s">
        <v>8013</v>
      </c>
    </row>
    <row r="9082" spans="1:10" x14ac:dyDescent="0.25">
      <c r="A9082" t="s">
        <v>27904</v>
      </c>
      <c r="B9082">
        <v>15.592000000000001</v>
      </c>
      <c r="C9082" t="s">
        <v>27905</v>
      </c>
      <c r="D9082" t="s">
        <v>27906</v>
      </c>
      <c r="E9082" t="s">
        <v>27907</v>
      </c>
      <c r="F9082" t="s">
        <v>7672</v>
      </c>
      <c r="G9082" t="s">
        <v>27908</v>
      </c>
      <c r="H9082" t="s">
        <v>27909</v>
      </c>
      <c r="I9082" t="s">
        <v>497</v>
      </c>
      <c r="J9082" t="s">
        <v>9694</v>
      </c>
    </row>
    <row r="9083" spans="1:10" x14ac:dyDescent="0.25">
      <c r="A9083" t="s">
        <v>27910</v>
      </c>
      <c r="B9083">
        <v>5.6000000000000014</v>
      </c>
      <c r="C9083" t="s">
        <v>27911</v>
      </c>
      <c r="D9083" t="s">
        <v>199</v>
      </c>
      <c r="E9083" t="s">
        <v>27912</v>
      </c>
      <c r="F9083" t="s">
        <v>7672</v>
      </c>
      <c r="G9083" t="s">
        <v>27913</v>
      </c>
      <c r="H9083" t="s">
        <v>7674</v>
      </c>
      <c r="I9083" t="s">
        <v>27914</v>
      </c>
      <c r="J9083" t="s">
        <v>7675</v>
      </c>
    </row>
    <row r="9084" spans="1:10" x14ac:dyDescent="0.25">
      <c r="A9084" t="s">
        <v>27915</v>
      </c>
      <c r="B9084">
        <v>5.6000000000000014</v>
      </c>
      <c r="C9084" t="s">
        <v>27916</v>
      </c>
      <c r="D9084" t="s">
        <v>436</v>
      </c>
      <c r="E9084" t="s">
        <v>27912</v>
      </c>
      <c r="F9084" t="s">
        <v>7672</v>
      </c>
      <c r="G9084" t="s">
        <v>27913</v>
      </c>
      <c r="H9084" t="s">
        <v>7674</v>
      </c>
      <c r="I9084" t="s">
        <v>27917</v>
      </c>
      <c r="J9084" t="s">
        <v>7719</v>
      </c>
    </row>
    <row r="9085" spans="1:10" x14ac:dyDescent="0.25">
      <c r="A9085" t="s">
        <v>48</v>
      </c>
      <c r="B9085">
        <v>19.32</v>
      </c>
      <c r="C9085" t="s">
        <v>50</v>
      </c>
      <c r="D9085" t="s">
        <v>53</v>
      </c>
      <c r="E9085" t="s">
        <v>51</v>
      </c>
      <c r="F9085" t="s">
        <v>7672</v>
      </c>
      <c r="G9085" t="s">
        <v>27918</v>
      </c>
      <c r="H9085" t="s">
        <v>11335</v>
      </c>
      <c r="I9085" t="s">
        <v>55</v>
      </c>
      <c r="J9085" t="s">
        <v>7942</v>
      </c>
    </row>
    <row r="9086" spans="1:10" x14ac:dyDescent="0.25">
      <c r="A9086" t="s">
        <v>56</v>
      </c>
      <c r="B9086">
        <v>17.920000000000002</v>
      </c>
      <c r="C9086" t="s">
        <v>58</v>
      </c>
      <c r="D9086" t="s">
        <v>60</v>
      </c>
      <c r="E9086" t="s">
        <v>51</v>
      </c>
      <c r="F9086" t="s">
        <v>7672</v>
      </c>
      <c r="G9086" t="s">
        <v>27918</v>
      </c>
      <c r="H9086" t="s">
        <v>11335</v>
      </c>
      <c r="I9086" t="s">
        <v>61</v>
      </c>
      <c r="J9086" t="s">
        <v>7942</v>
      </c>
    </row>
    <row r="9087" spans="1:10" x14ac:dyDescent="0.25">
      <c r="A9087" t="s">
        <v>27919</v>
      </c>
      <c r="B9087">
        <v>6.4</v>
      </c>
      <c r="C9087" t="s">
        <v>27920</v>
      </c>
      <c r="D9087" t="s">
        <v>959</v>
      </c>
      <c r="E9087" t="s">
        <v>27921</v>
      </c>
      <c r="F9087" t="s">
        <v>7672</v>
      </c>
      <c r="G9087" t="s">
        <v>27922</v>
      </c>
      <c r="H9087" t="s">
        <v>11496</v>
      </c>
      <c r="I9087" t="s">
        <v>27923</v>
      </c>
      <c r="J9087" t="s">
        <v>9423</v>
      </c>
    </row>
    <row r="9088" spans="1:10" x14ac:dyDescent="0.25">
      <c r="A9088" t="s">
        <v>27924</v>
      </c>
      <c r="B9088">
        <v>6.4</v>
      </c>
      <c r="C9088" t="s">
        <v>27925</v>
      </c>
      <c r="D9088" t="s">
        <v>359</v>
      </c>
      <c r="E9088" t="s">
        <v>27921</v>
      </c>
      <c r="F9088" t="s">
        <v>7672</v>
      </c>
      <c r="G9088" t="s">
        <v>27922</v>
      </c>
      <c r="H9088" t="s">
        <v>11496</v>
      </c>
      <c r="I9088" t="s">
        <v>27923</v>
      </c>
      <c r="J9088" t="s">
        <v>10862</v>
      </c>
    </row>
    <row r="9089" spans="1:10" x14ac:dyDescent="0.25">
      <c r="A9089" t="s">
        <v>27926</v>
      </c>
      <c r="B9089">
        <v>6.4</v>
      </c>
      <c r="C9089" t="s">
        <v>27927</v>
      </c>
      <c r="D9089" t="s">
        <v>118</v>
      </c>
      <c r="E9089" t="s">
        <v>27921</v>
      </c>
      <c r="F9089" t="s">
        <v>7672</v>
      </c>
      <c r="G9089" t="s">
        <v>27922</v>
      </c>
      <c r="H9089" t="s">
        <v>11496</v>
      </c>
      <c r="I9089" t="s">
        <v>27923</v>
      </c>
      <c r="J9089" t="s">
        <v>9426</v>
      </c>
    </row>
    <row r="9090" spans="1:10" x14ac:dyDescent="0.25">
      <c r="A9090" t="s">
        <v>27928</v>
      </c>
      <c r="B9090">
        <v>6.4</v>
      </c>
      <c r="C9090" t="s">
        <v>27929</v>
      </c>
      <c r="D9090" t="s">
        <v>240</v>
      </c>
      <c r="E9090" t="s">
        <v>27921</v>
      </c>
      <c r="F9090" t="s">
        <v>7672</v>
      </c>
      <c r="G9090" t="s">
        <v>27922</v>
      </c>
      <c r="H9090" t="s">
        <v>11496</v>
      </c>
      <c r="I9090" t="s">
        <v>27923</v>
      </c>
      <c r="J9090" t="s">
        <v>13084</v>
      </c>
    </row>
    <row r="9091" spans="1:10" x14ac:dyDescent="0.25">
      <c r="A9091" t="s">
        <v>27930</v>
      </c>
      <c r="B9091">
        <v>6.4</v>
      </c>
      <c r="C9091" t="s">
        <v>27931</v>
      </c>
      <c r="D9091" t="s">
        <v>959</v>
      </c>
      <c r="E9091" t="s">
        <v>27921</v>
      </c>
      <c r="F9091" t="s">
        <v>7672</v>
      </c>
      <c r="G9091" t="s">
        <v>27922</v>
      </c>
      <c r="H9091" t="s">
        <v>11496</v>
      </c>
      <c r="I9091" t="s">
        <v>27923</v>
      </c>
      <c r="J9091" t="s">
        <v>11767</v>
      </c>
    </row>
    <row r="9092" spans="1:10" x14ac:dyDescent="0.25">
      <c r="A9092" t="s">
        <v>27932</v>
      </c>
      <c r="B9092">
        <v>6.4</v>
      </c>
      <c r="C9092" t="s">
        <v>27933</v>
      </c>
      <c r="D9092" t="s">
        <v>60</v>
      </c>
      <c r="E9092" t="s">
        <v>27921</v>
      </c>
      <c r="F9092" t="s">
        <v>7672</v>
      </c>
      <c r="G9092" t="s">
        <v>27922</v>
      </c>
      <c r="H9092" t="s">
        <v>11496</v>
      </c>
      <c r="I9092" t="s">
        <v>27923</v>
      </c>
      <c r="J9092" t="s">
        <v>11582</v>
      </c>
    </row>
    <row r="9093" spans="1:10" x14ac:dyDescent="0.25">
      <c r="A9093" t="s">
        <v>27934</v>
      </c>
      <c r="B9093">
        <v>8.9920000000000009</v>
      </c>
      <c r="C9093" t="s">
        <v>27935</v>
      </c>
      <c r="D9093" t="s">
        <v>2620</v>
      </c>
      <c r="E9093" t="s">
        <v>27936</v>
      </c>
      <c r="F9093" t="s">
        <v>7672</v>
      </c>
      <c r="G9093" t="s">
        <v>27937</v>
      </c>
      <c r="H9093" t="s">
        <v>7674</v>
      </c>
      <c r="I9093" t="s">
        <v>14584</v>
      </c>
      <c r="J9093" t="s">
        <v>106</v>
      </c>
    </row>
    <row r="9094" spans="1:10" x14ac:dyDescent="0.25">
      <c r="A9094" t="s">
        <v>27938</v>
      </c>
      <c r="B9094">
        <v>8.9920000000000009</v>
      </c>
      <c r="C9094" t="s">
        <v>27939</v>
      </c>
      <c r="D9094" t="s">
        <v>1236</v>
      </c>
      <c r="E9094" t="s">
        <v>27936</v>
      </c>
      <c r="F9094" t="s">
        <v>7672</v>
      </c>
      <c r="G9094" t="s">
        <v>27937</v>
      </c>
      <c r="H9094" t="s">
        <v>7674</v>
      </c>
      <c r="I9094" t="s">
        <v>76</v>
      </c>
      <c r="J9094" t="s">
        <v>11421</v>
      </c>
    </row>
    <row r="9095" spans="1:10" x14ac:dyDescent="0.25">
      <c r="A9095" t="s">
        <v>27940</v>
      </c>
      <c r="B9095">
        <v>8.9920000000000009</v>
      </c>
      <c r="C9095" t="s">
        <v>27941</v>
      </c>
      <c r="D9095" t="s">
        <v>705</v>
      </c>
      <c r="E9095" t="s">
        <v>27936</v>
      </c>
      <c r="F9095" t="s">
        <v>7672</v>
      </c>
      <c r="G9095" t="s">
        <v>27937</v>
      </c>
      <c r="H9095" t="s">
        <v>7674</v>
      </c>
      <c r="I9095" t="s">
        <v>14584</v>
      </c>
      <c r="J9095" t="s">
        <v>11421</v>
      </c>
    </row>
    <row r="9096" spans="1:10" x14ac:dyDescent="0.25">
      <c r="A9096" t="s">
        <v>27942</v>
      </c>
      <c r="B9096">
        <v>6.120000000000001</v>
      </c>
      <c r="C9096" t="s">
        <v>27943</v>
      </c>
      <c r="D9096" t="s">
        <v>626</v>
      </c>
      <c r="E9096" t="s">
        <v>27944</v>
      </c>
      <c r="F9096" t="s">
        <v>7672</v>
      </c>
      <c r="G9096" t="s">
        <v>27945</v>
      </c>
      <c r="H9096" t="s">
        <v>10298</v>
      </c>
      <c r="I9096" t="s">
        <v>1243</v>
      </c>
      <c r="J9096" t="s">
        <v>11696</v>
      </c>
    </row>
    <row r="9097" spans="1:10" x14ac:dyDescent="0.25">
      <c r="A9097" t="s">
        <v>27946</v>
      </c>
      <c r="B9097">
        <v>6.120000000000001</v>
      </c>
      <c r="C9097" t="s">
        <v>27947</v>
      </c>
      <c r="D9097" t="s">
        <v>306</v>
      </c>
      <c r="E9097" t="s">
        <v>27944</v>
      </c>
      <c r="F9097" t="s">
        <v>7672</v>
      </c>
      <c r="G9097" t="s">
        <v>27945</v>
      </c>
      <c r="H9097" t="s">
        <v>10298</v>
      </c>
      <c r="I9097" t="s">
        <v>1243</v>
      </c>
      <c r="J9097" t="s">
        <v>11702</v>
      </c>
    </row>
    <row r="9098" spans="1:10" x14ac:dyDescent="0.25">
      <c r="A9098" t="s">
        <v>27948</v>
      </c>
      <c r="B9098">
        <v>6.120000000000001</v>
      </c>
      <c r="C9098" t="s">
        <v>27949</v>
      </c>
      <c r="D9098" t="s">
        <v>3378</v>
      </c>
      <c r="E9098" t="s">
        <v>27944</v>
      </c>
      <c r="F9098" t="s">
        <v>7672</v>
      </c>
      <c r="G9098" t="s">
        <v>27945</v>
      </c>
      <c r="H9098" t="s">
        <v>10298</v>
      </c>
      <c r="I9098" t="s">
        <v>1243</v>
      </c>
      <c r="J9098" t="s">
        <v>11710</v>
      </c>
    </row>
    <row r="9099" spans="1:10" x14ac:dyDescent="0.25">
      <c r="A9099" t="s">
        <v>27950</v>
      </c>
      <c r="B9099">
        <v>6.120000000000001</v>
      </c>
      <c r="C9099" t="s">
        <v>27951</v>
      </c>
      <c r="D9099" t="s">
        <v>250</v>
      </c>
      <c r="E9099" t="s">
        <v>27944</v>
      </c>
      <c r="F9099" t="s">
        <v>7672</v>
      </c>
      <c r="G9099" t="s">
        <v>27945</v>
      </c>
      <c r="H9099" t="s">
        <v>10298</v>
      </c>
      <c r="I9099" t="s">
        <v>1243</v>
      </c>
      <c r="J9099" t="s">
        <v>12182</v>
      </c>
    </row>
    <row r="9100" spans="1:10" x14ac:dyDescent="0.25">
      <c r="A9100" t="s">
        <v>27952</v>
      </c>
      <c r="B9100">
        <v>6.120000000000001</v>
      </c>
      <c r="C9100" t="s">
        <v>27953</v>
      </c>
      <c r="D9100" t="s">
        <v>311</v>
      </c>
      <c r="E9100" t="s">
        <v>27944</v>
      </c>
      <c r="F9100" t="s">
        <v>7672</v>
      </c>
      <c r="G9100" t="s">
        <v>27945</v>
      </c>
      <c r="H9100" t="s">
        <v>10298</v>
      </c>
      <c r="I9100" t="s">
        <v>1243</v>
      </c>
      <c r="J9100" t="s">
        <v>10150</v>
      </c>
    </row>
    <row r="9101" spans="1:10" x14ac:dyDescent="0.25">
      <c r="A9101" t="s">
        <v>27954</v>
      </c>
      <c r="B9101">
        <v>6.120000000000001</v>
      </c>
      <c r="C9101" t="s">
        <v>27955</v>
      </c>
      <c r="D9101" t="s">
        <v>199</v>
      </c>
      <c r="E9101" t="s">
        <v>27944</v>
      </c>
      <c r="F9101" t="s">
        <v>7672</v>
      </c>
      <c r="G9101" t="s">
        <v>27945</v>
      </c>
      <c r="H9101" t="s">
        <v>10298</v>
      </c>
      <c r="I9101" t="s">
        <v>1243</v>
      </c>
      <c r="J9101" t="s">
        <v>15238</v>
      </c>
    </row>
    <row r="9102" spans="1:10" x14ac:dyDescent="0.25">
      <c r="A9102" t="s">
        <v>27956</v>
      </c>
      <c r="B9102">
        <v>6.120000000000001</v>
      </c>
      <c r="C9102" t="s">
        <v>27957</v>
      </c>
      <c r="D9102" t="s">
        <v>282</v>
      </c>
      <c r="E9102" t="s">
        <v>27944</v>
      </c>
      <c r="F9102" t="s">
        <v>7672</v>
      </c>
      <c r="G9102" t="s">
        <v>27945</v>
      </c>
      <c r="H9102" t="s">
        <v>10298</v>
      </c>
      <c r="I9102" t="s">
        <v>1243</v>
      </c>
      <c r="J9102" t="s">
        <v>15070</v>
      </c>
    </row>
    <row r="9103" spans="1:10" x14ac:dyDescent="0.25">
      <c r="A9103" t="s">
        <v>27958</v>
      </c>
      <c r="B9103">
        <v>6.120000000000001</v>
      </c>
      <c r="C9103" t="s">
        <v>27959</v>
      </c>
      <c r="D9103" t="s">
        <v>330</v>
      </c>
      <c r="E9103" t="s">
        <v>27944</v>
      </c>
      <c r="F9103" t="s">
        <v>7672</v>
      </c>
      <c r="G9103" t="s">
        <v>27945</v>
      </c>
      <c r="H9103" t="s">
        <v>10298</v>
      </c>
      <c r="I9103" t="s">
        <v>1243</v>
      </c>
      <c r="J9103" t="s">
        <v>15073</v>
      </c>
    </row>
    <row r="9104" spans="1:10" x14ac:dyDescent="0.25">
      <c r="A9104" t="s">
        <v>27960</v>
      </c>
      <c r="B9104">
        <v>6.120000000000001</v>
      </c>
      <c r="C9104" t="s">
        <v>27961</v>
      </c>
      <c r="D9104" t="s">
        <v>269</v>
      </c>
      <c r="E9104" t="s">
        <v>27944</v>
      </c>
      <c r="F9104" t="s">
        <v>7672</v>
      </c>
      <c r="G9104" t="s">
        <v>27945</v>
      </c>
      <c r="H9104" t="s">
        <v>10298</v>
      </c>
      <c r="I9104" t="s">
        <v>1243</v>
      </c>
      <c r="J9104" t="s">
        <v>15076</v>
      </c>
    </row>
    <row r="9105" spans="1:10" x14ac:dyDescent="0.25">
      <c r="A9105" t="s">
        <v>27962</v>
      </c>
      <c r="B9105">
        <v>6.120000000000001</v>
      </c>
      <c r="C9105" t="s">
        <v>27963</v>
      </c>
      <c r="D9105" t="s">
        <v>250</v>
      </c>
      <c r="E9105" t="s">
        <v>27944</v>
      </c>
      <c r="F9105" t="s">
        <v>7672</v>
      </c>
      <c r="G9105" t="s">
        <v>27945</v>
      </c>
      <c r="H9105" t="s">
        <v>10298</v>
      </c>
      <c r="I9105" t="s">
        <v>1243</v>
      </c>
      <c r="J9105" t="s">
        <v>15079</v>
      </c>
    </row>
    <row r="9106" spans="1:10" x14ac:dyDescent="0.25">
      <c r="A9106" t="s">
        <v>27964</v>
      </c>
      <c r="B9106">
        <v>7.7920000000000007</v>
      </c>
      <c r="C9106" t="s">
        <v>27965</v>
      </c>
      <c r="D9106" t="s">
        <v>576</v>
      </c>
      <c r="E9106" t="s">
        <v>27966</v>
      </c>
      <c r="F9106" t="s">
        <v>7672</v>
      </c>
      <c r="G9106" t="s">
        <v>27967</v>
      </c>
      <c r="H9106" t="s">
        <v>8027</v>
      </c>
      <c r="I9106" t="s">
        <v>20849</v>
      </c>
      <c r="J9106" t="s">
        <v>8427</v>
      </c>
    </row>
    <row r="9107" spans="1:10" x14ac:dyDescent="0.25">
      <c r="A9107" t="s">
        <v>27968</v>
      </c>
      <c r="B9107">
        <v>7.7920000000000007</v>
      </c>
      <c r="C9107" t="s">
        <v>27969</v>
      </c>
      <c r="D9107" t="s">
        <v>964</v>
      </c>
      <c r="E9107" t="s">
        <v>27966</v>
      </c>
      <c r="F9107" t="s">
        <v>7672</v>
      </c>
      <c r="G9107" t="s">
        <v>27967</v>
      </c>
      <c r="H9107" t="s">
        <v>8027</v>
      </c>
      <c r="I9107" t="s">
        <v>20853</v>
      </c>
      <c r="J9107" t="s">
        <v>8427</v>
      </c>
    </row>
    <row r="9108" spans="1:10" x14ac:dyDescent="0.25">
      <c r="A9108" t="s">
        <v>27970</v>
      </c>
      <c r="B9108">
        <v>7.7920000000000007</v>
      </c>
      <c r="C9108" t="s">
        <v>27971</v>
      </c>
      <c r="D9108" t="s">
        <v>352</v>
      </c>
      <c r="E9108" t="s">
        <v>27966</v>
      </c>
      <c r="F9108" t="s">
        <v>7672</v>
      </c>
      <c r="G9108" t="s">
        <v>27967</v>
      </c>
      <c r="H9108" t="s">
        <v>8027</v>
      </c>
      <c r="I9108" t="s">
        <v>18596</v>
      </c>
      <c r="J9108" t="s">
        <v>8427</v>
      </c>
    </row>
    <row r="9109" spans="1:10" x14ac:dyDescent="0.25">
      <c r="A9109" t="s">
        <v>27972</v>
      </c>
      <c r="B9109">
        <v>7.7920000000000007</v>
      </c>
      <c r="C9109" t="s">
        <v>27973</v>
      </c>
      <c r="D9109" t="s">
        <v>385</v>
      </c>
      <c r="E9109" t="s">
        <v>27966</v>
      </c>
      <c r="F9109" t="s">
        <v>7672</v>
      </c>
      <c r="G9109" t="s">
        <v>27967</v>
      </c>
      <c r="H9109" t="s">
        <v>8027</v>
      </c>
      <c r="I9109" t="s">
        <v>20849</v>
      </c>
      <c r="J9109" t="s">
        <v>8439</v>
      </c>
    </row>
    <row r="9110" spans="1:10" x14ac:dyDescent="0.25">
      <c r="A9110" t="s">
        <v>27974</v>
      </c>
      <c r="B9110">
        <v>7.7920000000000007</v>
      </c>
      <c r="C9110" t="s">
        <v>27975</v>
      </c>
      <c r="D9110" t="s">
        <v>835</v>
      </c>
      <c r="E9110" t="s">
        <v>27966</v>
      </c>
      <c r="F9110" t="s">
        <v>7672</v>
      </c>
      <c r="G9110" t="s">
        <v>27967</v>
      </c>
      <c r="H9110" t="s">
        <v>8027</v>
      </c>
      <c r="I9110" t="s">
        <v>20853</v>
      </c>
      <c r="J9110" t="s">
        <v>8439</v>
      </c>
    </row>
    <row r="9111" spans="1:10" x14ac:dyDescent="0.25">
      <c r="A9111" t="s">
        <v>27976</v>
      </c>
      <c r="B9111">
        <v>7.7920000000000007</v>
      </c>
      <c r="C9111" t="s">
        <v>27977</v>
      </c>
      <c r="D9111" t="s">
        <v>366</v>
      </c>
      <c r="E9111" t="s">
        <v>27966</v>
      </c>
      <c r="F9111" t="s">
        <v>7672</v>
      </c>
      <c r="G9111" t="s">
        <v>27967</v>
      </c>
      <c r="H9111" t="s">
        <v>8027</v>
      </c>
      <c r="I9111" t="s">
        <v>18596</v>
      </c>
      <c r="J9111" t="s">
        <v>8439</v>
      </c>
    </row>
    <row r="9112" spans="1:10" x14ac:dyDescent="0.25">
      <c r="A9112" t="s">
        <v>27978</v>
      </c>
      <c r="B9112">
        <v>7.7920000000000007</v>
      </c>
      <c r="C9112" t="s">
        <v>27979</v>
      </c>
      <c r="D9112" t="s">
        <v>352</v>
      </c>
      <c r="E9112" t="s">
        <v>27966</v>
      </c>
      <c r="F9112" t="s">
        <v>7672</v>
      </c>
      <c r="G9112" t="s">
        <v>27967</v>
      </c>
      <c r="H9112" t="s">
        <v>8027</v>
      </c>
      <c r="I9112" t="s">
        <v>20849</v>
      </c>
      <c r="J9112" t="s">
        <v>8451</v>
      </c>
    </row>
    <row r="9113" spans="1:10" x14ac:dyDescent="0.25">
      <c r="A9113" t="s">
        <v>27980</v>
      </c>
      <c r="B9113">
        <v>7.7920000000000007</v>
      </c>
      <c r="C9113" t="s">
        <v>27981</v>
      </c>
      <c r="D9113" t="s">
        <v>1143</v>
      </c>
      <c r="E9113" t="s">
        <v>27966</v>
      </c>
      <c r="F9113" t="s">
        <v>7672</v>
      </c>
      <c r="G9113" t="s">
        <v>27967</v>
      </c>
      <c r="H9113" t="s">
        <v>8027</v>
      </c>
      <c r="I9113" t="s">
        <v>20853</v>
      </c>
      <c r="J9113" t="s">
        <v>8451</v>
      </c>
    </row>
    <row r="9114" spans="1:10" x14ac:dyDescent="0.25">
      <c r="A9114" t="s">
        <v>27982</v>
      </c>
      <c r="B9114">
        <v>7.7920000000000007</v>
      </c>
      <c r="C9114" t="s">
        <v>27983</v>
      </c>
      <c r="D9114" t="s">
        <v>964</v>
      </c>
      <c r="E9114" t="s">
        <v>27966</v>
      </c>
      <c r="F9114" t="s">
        <v>7672</v>
      </c>
      <c r="G9114" t="s">
        <v>27967</v>
      </c>
      <c r="H9114" t="s">
        <v>8027</v>
      </c>
      <c r="I9114" t="s">
        <v>18596</v>
      </c>
      <c r="J9114" t="s">
        <v>8451</v>
      </c>
    </row>
    <row r="9115" spans="1:10" x14ac:dyDescent="0.25">
      <c r="A9115" t="s">
        <v>27984</v>
      </c>
      <c r="B9115">
        <v>7.7920000000000007</v>
      </c>
      <c r="C9115" t="s">
        <v>27985</v>
      </c>
      <c r="D9115" t="s">
        <v>330</v>
      </c>
      <c r="E9115" t="s">
        <v>27966</v>
      </c>
      <c r="F9115" t="s">
        <v>7672</v>
      </c>
      <c r="G9115" t="s">
        <v>27967</v>
      </c>
      <c r="H9115" t="s">
        <v>8027</v>
      </c>
      <c r="I9115" t="s">
        <v>18596</v>
      </c>
      <c r="J9115" t="s">
        <v>8462</v>
      </c>
    </row>
    <row r="9116" spans="1:10" x14ac:dyDescent="0.25">
      <c r="A9116" t="s">
        <v>27986</v>
      </c>
      <c r="B9116">
        <v>7.7920000000000007</v>
      </c>
      <c r="C9116" t="s">
        <v>27987</v>
      </c>
      <c r="D9116" t="s">
        <v>282</v>
      </c>
      <c r="E9116" t="s">
        <v>27966</v>
      </c>
      <c r="F9116" t="s">
        <v>7672</v>
      </c>
      <c r="G9116" t="s">
        <v>27967</v>
      </c>
      <c r="H9116" t="s">
        <v>8027</v>
      </c>
      <c r="I9116" t="s">
        <v>20853</v>
      </c>
      <c r="J9116" t="s">
        <v>8462</v>
      </c>
    </row>
    <row r="9117" spans="1:10" x14ac:dyDescent="0.25">
      <c r="A9117" t="s">
        <v>27988</v>
      </c>
      <c r="B9117">
        <v>7.7920000000000007</v>
      </c>
      <c r="C9117" t="s">
        <v>27989</v>
      </c>
      <c r="D9117" t="s">
        <v>290</v>
      </c>
      <c r="E9117" t="s">
        <v>27966</v>
      </c>
      <c r="F9117" t="s">
        <v>7672</v>
      </c>
      <c r="G9117" t="s">
        <v>27967</v>
      </c>
      <c r="H9117" t="s">
        <v>8027</v>
      </c>
      <c r="I9117" t="s">
        <v>20849</v>
      </c>
      <c r="J9117" t="s">
        <v>8462</v>
      </c>
    </row>
    <row r="9118" spans="1:10" x14ac:dyDescent="0.25">
      <c r="A9118" t="s">
        <v>27990</v>
      </c>
      <c r="B9118">
        <v>11.992000000000001</v>
      </c>
      <c r="C9118" t="s">
        <v>27991</v>
      </c>
      <c r="D9118" t="s">
        <v>903</v>
      </c>
      <c r="E9118" t="s">
        <v>27992</v>
      </c>
      <c r="F9118" t="s">
        <v>7672</v>
      </c>
      <c r="G9118" t="s">
        <v>27993</v>
      </c>
      <c r="H9118" t="s">
        <v>12137</v>
      </c>
      <c r="I9118" t="s">
        <v>13703</v>
      </c>
      <c r="J9118" t="s">
        <v>9694</v>
      </c>
    </row>
    <row r="9119" spans="1:10" x14ac:dyDescent="0.25">
      <c r="A9119" t="s">
        <v>62</v>
      </c>
      <c r="B9119">
        <v>7.6000000000000014</v>
      </c>
      <c r="C9119" t="s">
        <v>64</v>
      </c>
      <c r="D9119" t="s">
        <v>67</v>
      </c>
      <c r="E9119" t="s">
        <v>65</v>
      </c>
      <c r="F9119" t="s">
        <v>7672</v>
      </c>
      <c r="G9119" t="s">
        <v>27994</v>
      </c>
      <c r="H9119" t="s">
        <v>12519</v>
      </c>
      <c r="I9119" t="s">
        <v>5202</v>
      </c>
      <c r="J9119" t="s">
        <v>100</v>
      </c>
    </row>
    <row r="9120" spans="1:10" x14ac:dyDescent="0.25">
      <c r="A9120" t="s">
        <v>70</v>
      </c>
      <c r="B9120">
        <v>7.6000000000000014</v>
      </c>
      <c r="C9120" t="s">
        <v>72</v>
      </c>
      <c r="D9120" t="s">
        <v>74</v>
      </c>
      <c r="E9120" t="s">
        <v>65</v>
      </c>
      <c r="F9120" t="s">
        <v>7672</v>
      </c>
      <c r="G9120" t="s">
        <v>27994</v>
      </c>
      <c r="H9120" t="s">
        <v>12519</v>
      </c>
      <c r="I9120" t="s">
        <v>76</v>
      </c>
      <c r="J9120" t="s">
        <v>100</v>
      </c>
    </row>
    <row r="9121" spans="1:10" x14ac:dyDescent="0.25">
      <c r="A9121" t="s">
        <v>27995</v>
      </c>
      <c r="B9121">
        <v>19.616</v>
      </c>
      <c r="C9121" t="s">
        <v>27996</v>
      </c>
      <c r="D9121" t="s">
        <v>849</v>
      </c>
      <c r="E9121" t="s">
        <v>27997</v>
      </c>
      <c r="F9121" t="s">
        <v>7672</v>
      </c>
      <c r="G9121" t="s">
        <v>27998</v>
      </c>
      <c r="H9121" t="s">
        <v>16164</v>
      </c>
      <c r="I9121" t="s">
        <v>27999</v>
      </c>
      <c r="J9121" t="s">
        <v>100</v>
      </c>
    </row>
    <row r="9122" spans="1:10" x14ac:dyDescent="0.25">
      <c r="A9122" t="s">
        <v>28000</v>
      </c>
      <c r="B9122">
        <v>19.616</v>
      </c>
      <c r="C9122" t="s">
        <v>28001</v>
      </c>
      <c r="D9122" t="s">
        <v>290</v>
      </c>
      <c r="E9122" t="s">
        <v>27997</v>
      </c>
      <c r="F9122" t="s">
        <v>7672</v>
      </c>
      <c r="G9122" t="s">
        <v>27998</v>
      </c>
      <c r="H9122" t="s">
        <v>16164</v>
      </c>
      <c r="I9122" t="s">
        <v>28002</v>
      </c>
      <c r="J9122" t="s">
        <v>100</v>
      </c>
    </row>
    <row r="9123" spans="1:10" x14ac:dyDescent="0.25">
      <c r="A9123" t="s">
        <v>28003</v>
      </c>
      <c r="B9123">
        <v>19.616</v>
      </c>
      <c r="C9123" t="s">
        <v>28004</v>
      </c>
      <c r="D9123" t="s">
        <v>385</v>
      </c>
      <c r="E9123" t="s">
        <v>27997</v>
      </c>
      <c r="F9123" t="s">
        <v>7672</v>
      </c>
      <c r="G9123" t="s">
        <v>27998</v>
      </c>
      <c r="H9123" t="s">
        <v>16164</v>
      </c>
      <c r="I9123" t="s">
        <v>76</v>
      </c>
      <c r="J9123" t="s">
        <v>100</v>
      </c>
    </row>
    <row r="9124" spans="1:10" x14ac:dyDescent="0.25">
      <c r="A9124" t="s">
        <v>28005</v>
      </c>
      <c r="B9124">
        <v>7.28</v>
      </c>
      <c r="C9124" t="s">
        <v>28006</v>
      </c>
      <c r="D9124" t="s">
        <v>113</v>
      </c>
      <c r="E9124" t="s">
        <v>28007</v>
      </c>
      <c r="F9124" t="s">
        <v>7672</v>
      </c>
      <c r="G9124" t="s">
        <v>28008</v>
      </c>
      <c r="H9124" t="s">
        <v>22819</v>
      </c>
      <c r="I9124" t="s">
        <v>22820</v>
      </c>
      <c r="J9124" t="s">
        <v>7981</v>
      </c>
    </row>
    <row r="9125" spans="1:10" x14ac:dyDescent="0.25">
      <c r="A9125" t="s">
        <v>28009</v>
      </c>
      <c r="B9125">
        <v>7.28</v>
      </c>
      <c r="C9125" t="s">
        <v>28010</v>
      </c>
      <c r="D9125" t="s">
        <v>776</v>
      </c>
      <c r="E9125" t="s">
        <v>28007</v>
      </c>
      <c r="F9125" t="s">
        <v>7672</v>
      </c>
      <c r="G9125" t="s">
        <v>28008</v>
      </c>
      <c r="H9125" t="s">
        <v>22819</v>
      </c>
      <c r="I9125" t="s">
        <v>22820</v>
      </c>
      <c r="J9125" t="s">
        <v>7984</v>
      </c>
    </row>
    <row r="9126" spans="1:10" x14ac:dyDescent="0.25">
      <c r="A9126" t="s">
        <v>28011</v>
      </c>
      <c r="B9126">
        <v>7.28</v>
      </c>
      <c r="C9126" t="s">
        <v>28012</v>
      </c>
      <c r="D9126" t="s">
        <v>301</v>
      </c>
      <c r="E9126" t="s">
        <v>28007</v>
      </c>
      <c r="F9126" t="s">
        <v>7672</v>
      </c>
      <c r="G9126" t="s">
        <v>28008</v>
      </c>
      <c r="H9126" t="s">
        <v>22819</v>
      </c>
      <c r="I9126" t="s">
        <v>22820</v>
      </c>
      <c r="J9126" t="s">
        <v>7987</v>
      </c>
    </row>
    <row r="9127" spans="1:10" x14ac:dyDescent="0.25">
      <c r="A9127" t="s">
        <v>28013</v>
      </c>
      <c r="B9127">
        <v>8.4</v>
      </c>
      <c r="C9127" t="s">
        <v>28014</v>
      </c>
      <c r="D9127" t="s">
        <v>229</v>
      </c>
      <c r="E9127" t="s">
        <v>28015</v>
      </c>
      <c r="F9127" t="s">
        <v>7672</v>
      </c>
      <c r="G9127" t="s">
        <v>28016</v>
      </c>
      <c r="H9127" t="s">
        <v>11496</v>
      </c>
      <c r="I9127" t="s">
        <v>10802</v>
      </c>
      <c r="J9127" t="s">
        <v>11590</v>
      </c>
    </row>
    <row r="9128" spans="1:10" x14ac:dyDescent="0.25">
      <c r="A9128" t="s">
        <v>28017</v>
      </c>
      <c r="B9128">
        <v>8.4</v>
      </c>
      <c r="C9128" t="s">
        <v>28018</v>
      </c>
      <c r="D9128" t="s">
        <v>639</v>
      </c>
      <c r="E9128" t="s">
        <v>28015</v>
      </c>
      <c r="F9128" t="s">
        <v>7672</v>
      </c>
      <c r="G9128" t="s">
        <v>28016</v>
      </c>
      <c r="H9128" t="s">
        <v>11496</v>
      </c>
      <c r="I9128" t="s">
        <v>10802</v>
      </c>
      <c r="J9128" t="s">
        <v>11593</v>
      </c>
    </row>
    <row r="9129" spans="1:10" x14ac:dyDescent="0.25">
      <c r="A9129" t="s">
        <v>28019</v>
      </c>
      <c r="B9129">
        <v>8.4</v>
      </c>
      <c r="C9129" t="s">
        <v>28020</v>
      </c>
      <c r="D9129" t="s">
        <v>1459</v>
      </c>
      <c r="E9129" t="s">
        <v>28015</v>
      </c>
      <c r="F9129" t="s">
        <v>7672</v>
      </c>
      <c r="G9129" t="s">
        <v>28016</v>
      </c>
      <c r="H9129" t="s">
        <v>11496</v>
      </c>
      <c r="I9129" t="s">
        <v>10802</v>
      </c>
      <c r="J9129" t="s">
        <v>11783</v>
      </c>
    </row>
    <row r="9130" spans="1:10" x14ac:dyDescent="0.25">
      <c r="A9130" t="s">
        <v>28021</v>
      </c>
      <c r="B9130">
        <v>12.32</v>
      </c>
      <c r="C9130" t="s">
        <v>28022</v>
      </c>
      <c r="D9130" t="s">
        <v>245</v>
      </c>
      <c r="E9130" t="s">
        <v>28023</v>
      </c>
      <c r="F9130" t="s">
        <v>7672</v>
      </c>
      <c r="G9130" t="s">
        <v>28024</v>
      </c>
      <c r="H9130" t="s">
        <v>10298</v>
      </c>
      <c r="I9130" t="s">
        <v>28025</v>
      </c>
      <c r="J9130" t="s">
        <v>7942</v>
      </c>
    </row>
    <row r="9131" spans="1:10" x14ac:dyDescent="0.25">
      <c r="A9131" t="s">
        <v>28026</v>
      </c>
      <c r="B9131">
        <v>12.32</v>
      </c>
      <c r="C9131" t="s">
        <v>28027</v>
      </c>
      <c r="D9131" t="s">
        <v>698</v>
      </c>
      <c r="E9131" t="s">
        <v>28023</v>
      </c>
      <c r="F9131" t="s">
        <v>7672</v>
      </c>
      <c r="G9131" t="s">
        <v>28024</v>
      </c>
      <c r="H9131" t="s">
        <v>10298</v>
      </c>
      <c r="I9131" t="s">
        <v>10394</v>
      </c>
      <c r="J9131" t="s">
        <v>7942</v>
      </c>
    </row>
    <row r="9132" spans="1:10" x14ac:dyDescent="0.25">
      <c r="A9132" t="s">
        <v>28028</v>
      </c>
      <c r="B9132">
        <v>12.32</v>
      </c>
      <c r="C9132" t="s">
        <v>28029</v>
      </c>
      <c r="D9132" t="s">
        <v>671</v>
      </c>
      <c r="E9132" t="s">
        <v>28023</v>
      </c>
      <c r="F9132" t="s">
        <v>7672</v>
      </c>
      <c r="G9132" t="s">
        <v>28024</v>
      </c>
      <c r="H9132" t="s">
        <v>10298</v>
      </c>
      <c r="I9132" t="s">
        <v>28030</v>
      </c>
      <c r="J9132" t="s">
        <v>7942</v>
      </c>
    </row>
    <row r="9133" spans="1:10" x14ac:dyDescent="0.25">
      <c r="A9133" t="s">
        <v>28031</v>
      </c>
      <c r="B9133">
        <v>12.32</v>
      </c>
      <c r="C9133" t="s">
        <v>28032</v>
      </c>
      <c r="D9133" t="s">
        <v>240</v>
      </c>
      <c r="E9133" t="s">
        <v>28023</v>
      </c>
      <c r="F9133" t="s">
        <v>7672</v>
      </c>
      <c r="G9133" t="s">
        <v>28024</v>
      </c>
      <c r="H9133" t="s">
        <v>10298</v>
      </c>
      <c r="I9133" t="s">
        <v>28025</v>
      </c>
      <c r="J9133" t="s">
        <v>7981</v>
      </c>
    </row>
    <row r="9134" spans="1:10" x14ac:dyDescent="0.25">
      <c r="A9134" t="s">
        <v>28033</v>
      </c>
      <c r="B9134">
        <v>12.32</v>
      </c>
      <c r="C9134" t="s">
        <v>28034</v>
      </c>
      <c r="D9134" t="s">
        <v>53</v>
      </c>
      <c r="E9134" t="s">
        <v>28023</v>
      </c>
      <c r="F9134" t="s">
        <v>7672</v>
      </c>
      <c r="G9134" t="s">
        <v>28024</v>
      </c>
      <c r="H9134" t="s">
        <v>10298</v>
      </c>
      <c r="I9134" t="s">
        <v>28030</v>
      </c>
      <c r="J9134" t="s">
        <v>7981</v>
      </c>
    </row>
    <row r="9135" spans="1:10" x14ac:dyDescent="0.25">
      <c r="A9135" t="s">
        <v>28035</v>
      </c>
      <c r="B9135">
        <v>12.32</v>
      </c>
      <c r="C9135" t="s">
        <v>28036</v>
      </c>
      <c r="D9135" t="s">
        <v>633</v>
      </c>
      <c r="E9135" t="s">
        <v>28023</v>
      </c>
      <c r="F9135" t="s">
        <v>7672</v>
      </c>
      <c r="G9135" t="s">
        <v>28024</v>
      </c>
      <c r="H9135" t="s">
        <v>10298</v>
      </c>
      <c r="I9135" t="s">
        <v>28030</v>
      </c>
      <c r="J9135" t="s">
        <v>7984</v>
      </c>
    </row>
    <row r="9136" spans="1:10" x14ac:dyDescent="0.25">
      <c r="A9136" t="s">
        <v>28037</v>
      </c>
      <c r="B9136">
        <v>12.32</v>
      </c>
      <c r="C9136" t="s">
        <v>28038</v>
      </c>
      <c r="D9136" t="s">
        <v>2253</v>
      </c>
      <c r="E9136" t="s">
        <v>28023</v>
      </c>
      <c r="F9136" t="s">
        <v>7672</v>
      </c>
      <c r="G9136" t="s">
        <v>28024</v>
      </c>
      <c r="H9136" t="s">
        <v>10298</v>
      </c>
      <c r="I9136" t="s">
        <v>10394</v>
      </c>
      <c r="J9136" t="s">
        <v>7984</v>
      </c>
    </row>
    <row r="9137" spans="1:10" x14ac:dyDescent="0.25">
      <c r="A9137" t="s">
        <v>28039</v>
      </c>
      <c r="B9137">
        <v>12.32</v>
      </c>
      <c r="C9137" t="s">
        <v>28040</v>
      </c>
      <c r="D9137" t="s">
        <v>991</v>
      </c>
      <c r="E9137" t="s">
        <v>28023</v>
      </c>
      <c r="F9137" t="s">
        <v>7672</v>
      </c>
      <c r="G9137" t="s">
        <v>28024</v>
      </c>
      <c r="H9137" t="s">
        <v>10298</v>
      </c>
      <c r="I9137" t="s">
        <v>28025</v>
      </c>
      <c r="J9137" t="s">
        <v>7984</v>
      </c>
    </row>
    <row r="9138" spans="1:10" x14ac:dyDescent="0.25">
      <c r="A9138" t="s">
        <v>28041</v>
      </c>
      <c r="B9138">
        <v>12.32</v>
      </c>
      <c r="C9138" t="s">
        <v>28042</v>
      </c>
      <c r="D9138" t="s">
        <v>1236</v>
      </c>
      <c r="E9138" t="s">
        <v>28023</v>
      </c>
      <c r="F9138" t="s">
        <v>7672</v>
      </c>
      <c r="G9138" t="s">
        <v>28024</v>
      </c>
      <c r="H9138" t="s">
        <v>10298</v>
      </c>
      <c r="I9138" t="s">
        <v>28030</v>
      </c>
      <c r="J9138" t="s">
        <v>7987</v>
      </c>
    </row>
    <row r="9139" spans="1:10" x14ac:dyDescent="0.25">
      <c r="A9139" t="s">
        <v>28043</v>
      </c>
      <c r="B9139">
        <v>12.32</v>
      </c>
      <c r="C9139" t="s">
        <v>28044</v>
      </c>
      <c r="D9139" t="s">
        <v>3258</v>
      </c>
      <c r="E9139" t="s">
        <v>28023</v>
      </c>
      <c r="F9139" t="s">
        <v>7672</v>
      </c>
      <c r="G9139" t="s">
        <v>28024</v>
      </c>
      <c r="H9139" t="s">
        <v>10298</v>
      </c>
      <c r="I9139" t="s">
        <v>28025</v>
      </c>
      <c r="J9139" t="s">
        <v>7987</v>
      </c>
    </row>
    <row r="9140" spans="1:10" x14ac:dyDescent="0.25">
      <c r="A9140" t="s">
        <v>28045</v>
      </c>
      <c r="B9140">
        <v>12.32</v>
      </c>
      <c r="C9140" t="s">
        <v>28046</v>
      </c>
      <c r="D9140" t="s">
        <v>613</v>
      </c>
      <c r="E9140" t="s">
        <v>28023</v>
      </c>
      <c r="F9140" t="s">
        <v>7672</v>
      </c>
      <c r="G9140" t="s">
        <v>28024</v>
      </c>
      <c r="H9140" t="s">
        <v>10298</v>
      </c>
      <c r="I9140" t="s">
        <v>10394</v>
      </c>
      <c r="J9140" t="s">
        <v>7987</v>
      </c>
    </row>
    <row r="9141" spans="1:10" x14ac:dyDescent="0.25">
      <c r="A9141" t="s">
        <v>28047</v>
      </c>
      <c r="B9141">
        <v>12.32</v>
      </c>
      <c r="C9141" t="s">
        <v>28048</v>
      </c>
      <c r="D9141" t="s">
        <v>385</v>
      </c>
      <c r="E9141" t="s">
        <v>28023</v>
      </c>
      <c r="F9141" t="s">
        <v>7672</v>
      </c>
      <c r="G9141" t="s">
        <v>28024</v>
      </c>
      <c r="H9141" t="s">
        <v>10298</v>
      </c>
      <c r="I9141" t="s">
        <v>28030</v>
      </c>
      <c r="J9141" t="s">
        <v>8001</v>
      </c>
    </row>
    <row r="9142" spans="1:10" x14ac:dyDescent="0.25">
      <c r="A9142" t="s">
        <v>28049</v>
      </c>
      <c r="B9142">
        <v>12.32</v>
      </c>
      <c r="C9142" t="s">
        <v>28050</v>
      </c>
      <c r="D9142" t="s">
        <v>875</v>
      </c>
      <c r="E9142" t="s">
        <v>28023</v>
      </c>
      <c r="F9142" t="s">
        <v>7672</v>
      </c>
      <c r="G9142" t="s">
        <v>28024</v>
      </c>
      <c r="H9142" t="s">
        <v>10298</v>
      </c>
      <c r="I9142" t="s">
        <v>28025</v>
      </c>
      <c r="J9142" t="s">
        <v>8001</v>
      </c>
    </row>
    <row r="9143" spans="1:10" x14ac:dyDescent="0.25">
      <c r="A9143" t="s">
        <v>28051</v>
      </c>
      <c r="B9143">
        <v>12.32</v>
      </c>
      <c r="C9143" t="s">
        <v>28052</v>
      </c>
      <c r="D9143" t="s">
        <v>436</v>
      </c>
      <c r="E9143" t="s">
        <v>28023</v>
      </c>
      <c r="F9143" t="s">
        <v>7672</v>
      </c>
      <c r="G9143" t="s">
        <v>28024</v>
      </c>
      <c r="H9143" t="s">
        <v>10298</v>
      </c>
      <c r="I9143" t="s">
        <v>10394</v>
      </c>
      <c r="J9143" t="s">
        <v>8001</v>
      </c>
    </row>
    <row r="9144" spans="1:10" x14ac:dyDescent="0.25">
      <c r="A9144" t="s">
        <v>28053</v>
      </c>
      <c r="B9144">
        <v>12.32</v>
      </c>
      <c r="C9144" t="s">
        <v>28054</v>
      </c>
      <c r="D9144" t="s">
        <v>290</v>
      </c>
      <c r="E9144" t="s">
        <v>28023</v>
      </c>
      <c r="F9144" t="s">
        <v>7672</v>
      </c>
      <c r="G9144" t="s">
        <v>28024</v>
      </c>
      <c r="H9144" t="s">
        <v>10298</v>
      </c>
      <c r="I9144" t="s">
        <v>28030</v>
      </c>
      <c r="J9144" t="s">
        <v>15894</v>
      </c>
    </row>
    <row r="9145" spans="1:10" x14ac:dyDescent="0.25">
      <c r="A9145" t="s">
        <v>28055</v>
      </c>
      <c r="B9145">
        <v>12.32</v>
      </c>
      <c r="C9145" t="s">
        <v>28056</v>
      </c>
      <c r="D9145" t="s">
        <v>959</v>
      </c>
      <c r="E9145" t="s">
        <v>28023</v>
      </c>
      <c r="F9145" t="s">
        <v>7672</v>
      </c>
      <c r="G9145" t="s">
        <v>28024</v>
      </c>
      <c r="H9145" t="s">
        <v>10298</v>
      </c>
      <c r="I9145" t="s">
        <v>10394</v>
      </c>
      <c r="J9145" t="s">
        <v>15894</v>
      </c>
    </row>
    <row r="9146" spans="1:10" x14ac:dyDescent="0.25">
      <c r="A9146" t="s">
        <v>28057</v>
      </c>
      <c r="B9146">
        <v>12.32</v>
      </c>
      <c r="C9146" t="s">
        <v>28058</v>
      </c>
      <c r="D9146" t="s">
        <v>849</v>
      </c>
      <c r="E9146" t="s">
        <v>28023</v>
      </c>
      <c r="F9146" t="s">
        <v>7672</v>
      </c>
      <c r="G9146" t="s">
        <v>28024</v>
      </c>
      <c r="H9146" t="s">
        <v>10298</v>
      </c>
      <c r="I9146" t="s">
        <v>28025</v>
      </c>
      <c r="J9146" t="s">
        <v>15894</v>
      </c>
    </row>
    <row r="9147" spans="1:10" x14ac:dyDescent="0.25">
      <c r="A9147" t="s">
        <v>28059</v>
      </c>
      <c r="B9147">
        <v>12.32</v>
      </c>
      <c r="C9147" t="s">
        <v>28060</v>
      </c>
      <c r="D9147" t="s">
        <v>269</v>
      </c>
      <c r="E9147" t="s">
        <v>28023</v>
      </c>
      <c r="F9147" t="s">
        <v>7672</v>
      </c>
      <c r="G9147" t="s">
        <v>28024</v>
      </c>
      <c r="H9147" t="s">
        <v>10298</v>
      </c>
      <c r="I9147" t="s">
        <v>28030</v>
      </c>
      <c r="J9147" t="s">
        <v>18510</v>
      </c>
    </row>
    <row r="9148" spans="1:10" x14ac:dyDescent="0.25">
      <c r="A9148" t="s">
        <v>28061</v>
      </c>
      <c r="B9148">
        <v>12.32</v>
      </c>
      <c r="C9148" t="s">
        <v>28062</v>
      </c>
      <c r="D9148" t="s">
        <v>964</v>
      </c>
      <c r="E9148" t="s">
        <v>28023</v>
      </c>
      <c r="F9148" t="s">
        <v>7672</v>
      </c>
      <c r="G9148" t="s">
        <v>28024</v>
      </c>
      <c r="H9148" t="s">
        <v>10298</v>
      </c>
      <c r="I9148" t="s">
        <v>28025</v>
      </c>
      <c r="J9148" t="s">
        <v>18510</v>
      </c>
    </row>
    <row r="9149" spans="1:10" x14ac:dyDescent="0.25">
      <c r="A9149" t="s">
        <v>28063</v>
      </c>
      <c r="B9149">
        <v>12.32</v>
      </c>
      <c r="C9149" t="s">
        <v>28064</v>
      </c>
      <c r="D9149" t="s">
        <v>849</v>
      </c>
      <c r="E9149" t="s">
        <v>28023</v>
      </c>
      <c r="F9149" t="s">
        <v>7672</v>
      </c>
      <c r="G9149" t="s">
        <v>28024</v>
      </c>
      <c r="H9149" t="s">
        <v>10298</v>
      </c>
      <c r="I9149" t="s">
        <v>28025</v>
      </c>
      <c r="J9149" t="s">
        <v>18517</v>
      </c>
    </row>
    <row r="9150" spans="1:10" x14ac:dyDescent="0.25">
      <c r="A9150" t="s">
        <v>28065</v>
      </c>
      <c r="B9150">
        <v>12.32</v>
      </c>
      <c r="C9150" t="s">
        <v>28066</v>
      </c>
      <c r="D9150" t="s">
        <v>366</v>
      </c>
      <c r="E9150" t="s">
        <v>28023</v>
      </c>
      <c r="F9150" t="s">
        <v>7672</v>
      </c>
      <c r="G9150" t="s">
        <v>28024</v>
      </c>
      <c r="H9150" t="s">
        <v>10298</v>
      </c>
      <c r="I9150" t="s">
        <v>28025</v>
      </c>
      <c r="J9150" t="s">
        <v>18520</v>
      </c>
    </row>
    <row r="9151" spans="1:10" x14ac:dyDescent="0.25">
      <c r="A9151" t="s">
        <v>28067</v>
      </c>
      <c r="B9151">
        <v>12.32</v>
      </c>
      <c r="C9151" t="s">
        <v>28068</v>
      </c>
      <c r="D9151" t="s">
        <v>199</v>
      </c>
      <c r="E9151" t="s">
        <v>28023</v>
      </c>
      <c r="F9151" t="s">
        <v>7672</v>
      </c>
      <c r="G9151" t="s">
        <v>28024</v>
      </c>
      <c r="H9151" t="s">
        <v>10298</v>
      </c>
      <c r="I9151" t="s">
        <v>10394</v>
      </c>
      <c r="J9151" t="s">
        <v>18520</v>
      </c>
    </row>
    <row r="9152" spans="1:10" x14ac:dyDescent="0.25">
      <c r="A9152" t="s">
        <v>28069</v>
      </c>
      <c r="B9152">
        <v>12.32</v>
      </c>
      <c r="C9152" t="s">
        <v>28070</v>
      </c>
      <c r="D9152" t="s">
        <v>352</v>
      </c>
      <c r="E9152" t="s">
        <v>28023</v>
      </c>
      <c r="F9152" t="s">
        <v>7672</v>
      </c>
      <c r="G9152" t="s">
        <v>28024</v>
      </c>
      <c r="H9152" t="s">
        <v>10298</v>
      </c>
      <c r="I9152" t="s">
        <v>28030</v>
      </c>
      <c r="J9152" t="s">
        <v>18520</v>
      </c>
    </row>
    <row r="9153" spans="1:10" x14ac:dyDescent="0.25">
      <c r="A9153" t="s">
        <v>28071</v>
      </c>
      <c r="B9153">
        <v>12.32</v>
      </c>
      <c r="C9153" t="s">
        <v>28072</v>
      </c>
      <c r="D9153" t="s">
        <v>436</v>
      </c>
      <c r="E9153" t="s">
        <v>28023</v>
      </c>
      <c r="F9153" t="s">
        <v>7672</v>
      </c>
      <c r="G9153" t="s">
        <v>28024</v>
      </c>
      <c r="H9153" t="s">
        <v>10298</v>
      </c>
      <c r="I9153" t="s">
        <v>28025</v>
      </c>
      <c r="J9153" t="s">
        <v>18525</v>
      </c>
    </row>
    <row r="9154" spans="1:10" x14ac:dyDescent="0.25">
      <c r="A9154" t="s">
        <v>28073</v>
      </c>
      <c r="B9154">
        <v>12.32</v>
      </c>
      <c r="C9154" t="s">
        <v>28074</v>
      </c>
      <c r="D9154" t="s">
        <v>118</v>
      </c>
      <c r="E9154" t="s">
        <v>28023</v>
      </c>
      <c r="F9154" t="s">
        <v>7672</v>
      </c>
      <c r="G9154" t="s">
        <v>28024</v>
      </c>
      <c r="H9154" t="s">
        <v>10298</v>
      </c>
      <c r="I9154" t="s">
        <v>10394</v>
      </c>
      <c r="J9154" t="s">
        <v>8603</v>
      </c>
    </row>
    <row r="9155" spans="1:10" x14ac:dyDescent="0.25">
      <c r="A9155" t="s">
        <v>28075</v>
      </c>
      <c r="B9155">
        <v>12.32</v>
      </c>
      <c r="C9155" t="s">
        <v>28076</v>
      </c>
      <c r="D9155" t="s">
        <v>250</v>
      </c>
      <c r="E9155" t="s">
        <v>28023</v>
      </c>
      <c r="F9155" t="s">
        <v>7672</v>
      </c>
      <c r="G9155" t="s">
        <v>28024</v>
      </c>
      <c r="H9155" t="s">
        <v>10298</v>
      </c>
      <c r="I9155" t="s">
        <v>28025</v>
      </c>
      <c r="J9155" t="s">
        <v>8603</v>
      </c>
    </row>
    <row r="9156" spans="1:10" x14ac:dyDescent="0.25">
      <c r="A9156" t="s">
        <v>28077</v>
      </c>
      <c r="B9156">
        <v>12.32</v>
      </c>
      <c r="C9156" t="s">
        <v>28078</v>
      </c>
      <c r="D9156" t="s">
        <v>366</v>
      </c>
      <c r="E9156" t="s">
        <v>28023</v>
      </c>
      <c r="F9156" t="s">
        <v>7672</v>
      </c>
      <c r="G9156" t="s">
        <v>28024</v>
      </c>
      <c r="H9156" t="s">
        <v>10298</v>
      </c>
      <c r="I9156" t="s">
        <v>28030</v>
      </c>
      <c r="J9156" t="s">
        <v>8603</v>
      </c>
    </row>
    <row r="9157" spans="1:10" x14ac:dyDescent="0.25">
      <c r="A9157" t="s">
        <v>28079</v>
      </c>
      <c r="B9157">
        <v>12.32</v>
      </c>
      <c r="C9157" t="s">
        <v>28080</v>
      </c>
      <c r="D9157" t="s">
        <v>359</v>
      </c>
      <c r="E9157" t="s">
        <v>28023</v>
      </c>
      <c r="F9157" t="s">
        <v>7672</v>
      </c>
      <c r="G9157" t="s">
        <v>28024</v>
      </c>
      <c r="H9157" t="s">
        <v>10298</v>
      </c>
      <c r="I9157" t="s">
        <v>10394</v>
      </c>
      <c r="J9157" t="s">
        <v>8615</v>
      </c>
    </row>
    <row r="9158" spans="1:10" x14ac:dyDescent="0.25">
      <c r="A9158" t="s">
        <v>28081</v>
      </c>
      <c r="B9158">
        <v>12.32</v>
      </c>
      <c r="C9158" t="s">
        <v>28082</v>
      </c>
      <c r="D9158" t="s">
        <v>959</v>
      </c>
      <c r="E9158" t="s">
        <v>28023</v>
      </c>
      <c r="F9158" t="s">
        <v>7672</v>
      </c>
      <c r="G9158" t="s">
        <v>28024</v>
      </c>
      <c r="H9158" t="s">
        <v>10298</v>
      </c>
      <c r="I9158" t="s">
        <v>28025</v>
      </c>
      <c r="J9158" t="s">
        <v>8615</v>
      </c>
    </row>
    <row r="9159" spans="1:10" x14ac:dyDescent="0.25">
      <c r="A9159" t="s">
        <v>28083</v>
      </c>
      <c r="B9159">
        <v>12.32</v>
      </c>
      <c r="C9159" t="s">
        <v>28084</v>
      </c>
      <c r="D9159" t="s">
        <v>301</v>
      </c>
      <c r="E9159" t="s">
        <v>28023</v>
      </c>
      <c r="F9159" t="s">
        <v>7672</v>
      </c>
      <c r="G9159" t="s">
        <v>28024</v>
      </c>
      <c r="H9159" t="s">
        <v>10298</v>
      </c>
      <c r="I9159" t="s">
        <v>28030</v>
      </c>
      <c r="J9159" t="s">
        <v>8615</v>
      </c>
    </row>
    <row r="9160" spans="1:10" x14ac:dyDescent="0.25">
      <c r="A9160" t="s">
        <v>28085</v>
      </c>
      <c r="B9160">
        <v>12.32</v>
      </c>
      <c r="C9160" t="s">
        <v>28086</v>
      </c>
      <c r="D9160" t="s">
        <v>95</v>
      </c>
      <c r="E9160" t="s">
        <v>28023</v>
      </c>
      <c r="F9160" t="s">
        <v>7672</v>
      </c>
      <c r="G9160" t="s">
        <v>28024</v>
      </c>
      <c r="H9160" t="s">
        <v>10298</v>
      </c>
      <c r="I9160" t="s">
        <v>10394</v>
      </c>
      <c r="J9160" t="s">
        <v>8625</v>
      </c>
    </row>
    <row r="9161" spans="1:10" x14ac:dyDescent="0.25">
      <c r="A9161" t="s">
        <v>28087</v>
      </c>
      <c r="B9161">
        <v>12.32</v>
      </c>
      <c r="C9161" t="s">
        <v>28088</v>
      </c>
      <c r="D9161" t="s">
        <v>385</v>
      </c>
      <c r="E9161" t="s">
        <v>28023</v>
      </c>
      <c r="F9161" t="s">
        <v>7672</v>
      </c>
      <c r="G9161" t="s">
        <v>28024</v>
      </c>
      <c r="H9161" t="s">
        <v>10298</v>
      </c>
      <c r="I9161" t="s">
        <v>28025</v>
      </c>
      <c r="J9161" t="s">
        <v>8625</v>
      </c>
    </row>
    <row r="9162" spans="1:10" x14ac:dyDescent="0.25">
      <c r="A9162" t="s">
        <v>28089</v>
      </c>
      <c r="B9162">
        <v>12.32</v>
      </c>
      <c r="C9162" t="s">
        <v>28090</v>
      </c>
      <c r="D9162" t="s">
        <v>352</v>
      </c>
      <c r="E9162" t="s">
        <v>28023</v>
      </c>
      <c r="F9162" t="s">
        <v>7672</v>
      </c>
      <c r="G9162" t="s">
        <v>28024</v>
      </c>
      <c r="H9162" t="s">
        <v>10298</v>
      </c>
      <c r="I9162" t="s">
        <v>28030</v>
      </c>
      <c r="J9162" t="s">
        <v>8625</v>
      </c>
    </row>
    <row r="9163" spans="1:10" x14ac:dyDescent="0.25">
      <c r="A9163" t="s">
        <v>28091</v>
      </c>
      <c r="B9163">
        <v>12.32</v>
      </c>
      <c r="C9163" t="s">
        <v>28092</v>
      </c>
      <c r="D9163" t="s">
        <v>95</v>
      </c>
      <c r="E9163" t="s">
        <v>28023</v>
      </c>
      <c r="F9163" t="s">
        <v>7672</v>
      </c>
      <c r="G9163" t="s">
        <v>28024</v>
      </c>
      <c r="H9163" t="s">
        <v>10298</v>
      </c>
      <c r="I9163" t="s">
        <v>10394</v>
      </c>
      <c r="J9163" t="s">
        <v>8636</v>
      </c>
    </row>
    <row r="9164" spans="1:10" x14ac:dyDescent="0.25">
      <c r="A9164" t="s">
        <v>28093</v>
      </c>
      <c r="B9164">
        <v>12.32</v>
      </c>
      <c r="C9164" t="s">
        <v>28094</v>
      </c>
      <c r="D9164" t="s">
        <v>366</v>
      </c>
      <c r="E9164" t="s">
        <v>28023</v>
      </c>
      <c r="F9164" t="s">
        <v>7672</v>
      </c>
      <c r="G9164" t="s">
        <v>28024</v>
      </c>
      <c r="H9164" t="s">
        <v>10298</v>
      </c>
      <c r="I9164" t="s">
        <v>28025</v>
      </c>
      <c r="J9164" t="s">
        <v>8636</v>
      </c>
    </row>
    <row r="9165" spans="1:10" x14ac:dyDescent="0.25">
      <c r="A9165" t="s">
        <v>28095</v>
      </c>
      <c r="B9165">
        <v>12.32</v>
      </c>
      <c r="C9165" t="s">
        <v>28096</v>
      </c>
      <c r="D9165" t="s">
        <v>290</v>
      </c>
      <c r="E9165" t="s">
        <v>28023</v>
      </c>
      <c r="F9165" t="s">
        <v>7672</v>
      </c>
      <c r="G9165" t="s">
        <v>28024</v>
      </c>
      <c r="H9165" t="s">
        <v>10298</v>
      </c>
      <c r="I9165" t="s">
        <v>28030</v>
      </c>
      <c r="J9165" t="s">
        <v>8636</v>
      </c>
    </row>
    <row r="9166" spans="1:10" x14ac:dyDescent="0.25">
      <c r="A9166" t="s">
        <v>28097</v>
      </c>
      <c r="B9166">
        <v>12.32</v>
      </c>
      <c r="C9166" t="s">
        <v>28098</v>
      </c>
      <c r="D9166" t="s">
        <v>286</v>
      </c>
      <c r="E9166" t="s">
        <v>28023</v>
      </c>
      <c r="F9166" t="s">
        <v>7672</v>
      </c>
      <c r="G9166" t="s">
        <v>28024</v>
      </c>
      <c r="H9166" t="s">
        <v>10298</v>
      </c>
      <c r="I9166" t="s">
        <v>10394</v>
      </c>
      <c r="J9166" t="s">
        <v>8643</v>
      </c>
    </row>
    <row r="9167" spans="1:10" x14ac:dyDescent="0.25">
      <c r="A9167" t="s">
        <v>28099</v>
      </c>
      <c r="B9167">
        <v>12.32</v>
      </c>
      <c r="C9167" t="s">
        <v>28100</v>
      </c>
      <c r="D9167" t="s">
        <v>88</v>
      </c>
      <c r="E9167" t="s">
        <v>28023</v>
      </c>
      <c r="F9167" t="s">
        <v>7672</v>
      </c>
      <c r="G9167" t="s">
        <v>28024</v>
      </c>
      <c r="H9167" t="s">
        <v>10298</v>
      </c>
      <c r="I9167" t="s">
        <v>28030</v>
      </c>
      <c r="J9167" t="s">
        <v>8643</v>
      </c>
    </row>
    <row r="9168" spans="1:10" x14ac:dyDescent="0.25">
      <c r="A9168" t="s">
        <v>28101</v>
      </c>
      <c r="B9168">
        <v>9</v>
      </c>
      <c r="C9168" t="s">
        <v>28102</v>
      </c>
      <c r="D9168" t="s">
        <v>106</v>
      </c>
      <c r="E9168" t="s">
        <v>28103</v>
      </c>
      <c r="F9168" t="s">
        <v>7672</v>
      </c>
      <c r="G9168" t="s">
        <v>26316</v>
      </c>
      <c r="H9168" t="s">
        <v>16977</v>
      </c>
      <c r="I9168" t="s">
        <v>28104</v>
      </c>
      <c r="J9168" t="s">
        <v>19899</v>
      </c>
    </row>
    <row r="9169" spans="1:10" x14ac:dyDescent="0.25">
      <c r="A9169" t="s">
        <v>28105</v>
      </c>
      <c r="B9169">
        <v>9</v>
      </c>
      <c r="C9169" t="s">
        <v>28106</v>
      </c>
      <c r="D9169" t="s">
        <v>1143</v>
      </c>
      <c r="E9169" t="s">
        <v>28103</v>
      </c>
      <c r="F9169" t="s">
        <v>7672</v>
      </c>
      <c r="G9169" t="s">
        <v>26316</v>
      </c>
      <c r="H9169" t="s">
        <v>16977</v>
      </c>
      <c r="I9169" t="s">
        <v>28104</v>
      </c>
      <c r="J9169" t="s">
        <v>19902</v>
      </c>
    </row>
    <row r="9170" spans="1:10" x14ac:dyDescent="0.25">
      <c r="A9170" t="s">
        <v>28107</v>
      </c>
      <c r="B9170">
        <v>9</v>
      </c>
      <c r="C9170" t="s">
        <v>28108</v>
      </c>
      <c r="D9170" t="s">
        <v>576</v>
      </c>
      <c r="E9170" t="s">
        <v>28103</v>
      </c>
      <c r="F9170" t="s">
        <v>7672</v>
      </c>
      <c r="G9170" t="s">
        <v>26316</v>
      </c>
      <c r="H9170" t="s">
        <v>16977</v>
      </c>
      <c r="I9170" t="s">
        <v>28104</v>
      </c>
      <c r="J9170" t="s">
        <v>19905</v>
      </c>
    </row>
    <row r="9171" spans="1:10" x14ac:dyDescent="0.25">
      <c r="A9171" t="s">
        <v>28109</v>
      </c>
      <c r="B9171">
        <v>7.2</v>
      </c>
      <c r="C9171" t="s">
        <v>28110</v>
      </c>
      <c r="D9171" t="s">
        <v>5105</v>
      </c>
      <c r="E9171" t="s">
        <v>28111</v>
      </c>
      <c r="F9171" t="s">
        <v>7672</v>
      </c>
      <c r="G9171" t="s">
        <v>28112</v>
      </c>
      <c r="H9171" t="s">
        <v>7974</v>
      </c>
      <c r="I9171" t="s">
        <v>76</v>
      </c>
      <c r="J9171" t="s">
        <v>7981</v>
      </c>
    </row>
    <row r="9172" spans="1:10" x14ac:dyDescent="0.25">
      <c r="A9172" t="s">
        <v>28113</v>
      </c>
      <c r="B9172">
        <v>7.2</v>
      </c>
      <c r="C9172" t="s">
        <v>28114</v>
      </c>
      <c r="D9172" t="s">
        <v>53</v>
      </c>
      <c r="E9172" t="s">
        <v>28111</v>
      </c>
      <c r="F9172" t="s">
        <v>7672</v>
      </c>
      <c r="G9172" t="s">
        <v>28112</v>
      </c>
      <c r="H9172" t="s">
        <v>7974</v>
      </c>
      <c r="I9172" t="s">
        <v>1490</v>
      </c>
      <c r="J9172" t="s">
        <v>7981</v>
      </c>
    </row>
    <row r="9173" spans="1:10" x14ac:dyDescent="0.25">
      <c r="A9173" t="s">
        <v>28115</v>
      </c>
      <c r="B9173">
        <v>14</v>
      </c>
      <c r="C9173" t="s">
        <v>28116</v>
      </c>
      <c r="D9173" t="s">
        <v>9595</v>
      </c>
      <c r="E9173" t="s">
        <v>28117</v>
      </c>
      <c r="F9173" t="s">
        <v>7672</v>
      </c>
      <c r="G9173" t="s">
        <v>28118</v>
      </c>
      <c r="H9173" t="s">
        <v>15122</v>
      </c>
      <c r="I9173" t="s">
        <v>1490</v>
      </c>
      <c r="J9173" t="s">
        <v>269</v>
      </c>
    </row>
    <row r="9174" spans="1:10" x14ac:dyDescent="0.25">
      <c r="A9174" t="s">
        <v>28119</v>
      </c>
      <c r="B9174">
        <v>14</v>
      </c>
      <c r="C9174" t="s">
        <v>28120</v>
      </c>
      <c r="D9174" t="s">
        <v>28121</v>
      </c>
      <c r="E9174" t="s">
        <v>28117</v>
      </c>
      <c r="F9174" t="s">
        <v>7672</v>
      </c>
      <c r="G9174" t="s">
        <v>28118</v>
      </c>
      <c r="H9174" t="s">
        <v>15122</v>
      </c>
      <c r="I9174" t="s">
        <v>1490</v>
      </c>
      <c r="J9174" t="s">
        <v>255</v>
      </c>
    </row>
    <row r="9175" spans="1:10" x14ac:dyDescent="0.25">
      <c r="A9175" t="s">
        <v>28122</v>
      </c>
      <c r="B9175">
        <v>14</v>
      </c>
      <c r="C9175" t="s">
        <v>28123</v>
      </c>
      <c r="D9175" t="s">
        <v>3409</v>
      </c>
      <c r="E9175" t="s">
        <v>28117</v>
      </c>
      <c r="F9175" t="s">
        <v>7672</v>
      </c>
      <c r="G9175" t="s">
        <v>28118</v>
      </c>
      <c r="H9175" t="s">
        <v>15122</v>
      </c>
      <c r="I9175" t="s">
        <v>1490</v>
      </c>
      <c r="J9175" t="s">
        <v>277</v>
      </c>
    </row>
    <row r="9176" spans="1:10" x14ac:dyDescent="0.25">
      <c r="A9176" t="s">
        <v>28124</v>
      </c>
      <c r="B9176">
        <v>14</v>
      </c>
      <c r="C9176" t="s">
        <v>28125</v>
      </c>
      <c r="D9176" t="s">
        <v>144</v>
      </c>
      <c r="E9176" t="s">
        <v>28117</v>
      </c>
      <c r="F9176" t="s">
        <v>7672</v>
      </c>
      <c r="G9176" t="s">
        <v>28118</v>
      </c>
      <c r="H9176" t="s">
        <v>15122</v>
      </c>
      <c r="I9176" t="s">
        <v>1490</v>
      </c>
      <c r="J9176" t="s">
        <v>164</v>
      </c>
    </row>
    <row r="9177" spans="1:10" x14ac:dyDescent="0.25">
      <c r="A9177" t="s">
        <v>28126</v>
      </c>
      <c r="B9177">
        <v>14</v>
      </c>
      <c r="C9177" t="s">
        <v>28127</v>
      </c>
      <c r="D9177" t="s">
        <v>1847</v>
      </c>
      <c r="E9177" t="s">
        <v>28117</v>
      </c>
      <c r="F9177" t="s">
        <v>7672</v>
      </c>
      <c r="G9177" t="s">
        <v>28118</v>
      </c>
      <c r="H9177" t="s">
        <v>15122</v>
      </c>
      <c r="I9177" t="s">
        <v>1490</v>
      </c>
      <c r="J9177" t="s">
        <v>290</v>
      </c>
    </row>
    <row r="9178" spans="1:10" x14ac:dyDescent="0.25">
      <c r="A9178" t="s">
        <v>28128</v>
      </c>
      <c r="B9178">
        <v>14</v>
      </c>
      <c r="C9178" t="s">
        <v>28129</v>
      </c>
      <c r="D9178" t="s">
        <v>250</v>
      </c>
      <c r="E9178" t="s">
        <v>28117</v>
      </c>
      <c r="F9178" t="s">
        <v>7672</v>
      </c>
      <c r="G9178" t="s">
        <v>28118</v>
      </c>
      <c r="H9178" t="s">
        <v>15122</v>
      </c>
      <c r="I9178" t="s">
        <v>1490</v>
      </c>
      <c r="J9178" t="s">
        <v>15238</v>
      </c>
    </row>
    <row r="9179" spans="1:10" x14ac:dyDescent="0.25">
      <c r="A9179" t="s">
        <v>28130</v>
      </c>
      <c r="B9179">
        <v>14</v>
      </c>
      <c r="C9179" t="s">
        <v>28131</v>
      </c>
      <c r="D9179" t="s">
        <v>436</v>
      </c>
      <c r="E9179" t="s">
        <v>28117</v>
      </c>
      <c r="F9179" t="s">
        <v>7672</v>
      </c>
      <c r="G9179" t="s">
        <v>28118</v>
      </c>
      <c r="H9179" t="s">
        <v>15122</v>
      </c>
      <c r="I9179" t="s">
        <v>1490</v>
      </c>
      <c r="J9179" t="s">
        <v>15070</v>
      </c>
    </row>
    <row r="9180" spans="1:10" x14ac:dyDescent="0.25">
      <c r="A9180" t="s">
        <v>28132</v>
      </c>
      <c r="B9180">
        <v>7.8319999999999999</v>
      </c>
      <c r="C9180" t="s">
        <v>28133</v>
      </c>
      <c r="D9180" t="s">
        <v>436</v>
      </c>
      <c r="E9180" t="s">
        <v>28134</v>
      </c>
      <c r="F9180" t="s">
        <v>7672</v>
      </c>
      <c r="G9180" t="s">
        <v>28135</v>
      </c>
      <c r="H9180" t="s">
        <v>10298</v>
      </c>
      <c r="I9180" t="s">
        <v>26604</v>
      </c>
      <c r="J9180" t="s">
        <v>7942</v>
      </c>
    </row>
    <row r="9181" spans="1:10" x14ac:dyDescent="0.25">
      <c r="A9181" t="s">
        <v>28136</v>
      </c>
      <c r="B9181">
        <v>7.8319999999999999</v>
      </c>
      <c r="C9181" t="s">
        <v>28137</v>
      </c>
      <c r="D9181" t="s">
        <v>53</v>
      </c>
      <c r="E9181" t="s">
        <v>28134</v>
      </c>
      <c r="F9181" t="s">
        <v>7672</v>
      </c>
      <c r="G9181" t="s">
        <v>28135</v>
      </c>
      <c r="H9181" t="s">
        <v>10298</v>
      </c>
      <c r="I9181" t="s">
        <v>26604</v>
      </c>
      <c r="J9181" t="s">
        <v>7981</v>
      </c>
    </row>
    <row r="9182" spans="1:10" x14ac:dyDescent="0.25">
      <c r="A9182" t="s">
        <v>28138</v>
      </c>
      <c r="B9182">
        <v>6.16</v>
      </c>
      <c r="C9182" t="s">
        <v>28139</v>
      </c>
      <c r="D9182" t="s">
        <v>1143</v>
      </c>
      <c r="E9182" t="s">
        <v>28140</v>
      </c>
      <c r="F9182" t="s">
        <v>7672</v>
      </c>
      <c r="G9182" t="s">
        <v>28141</v>
      </c>
      <c r="H9182" t="s">
        <v>28142</v>
      </c>
      <c r="I9182" t="s">
        <v>15696</v>
      </c>
      <c r="J9182" t="s">
        <v>7981</v>
      </c>
    </row>
    <row r="9183" spans="1:10" x14ac:dyDescent="0.25">
      <c r="A9183" t="s">
        <v>28143</v>
      </c>
      <c r="B9183">
        <v>6.16</v>
      </c>
      <c r="C9183" t="s">
        <v>28144</v>
      </c>
      <c r="D9183" t="s">
        <v>352</v>
      </c>
      <c r="E9183" t="s">
        <v>28140</v>
      </c>
      <c r="F9183" t="s">
        <v>7672</v>
      </c>
      <c r="G9183" t="s">
        <v>28141</v>
      </c>
      <c r="H9183" t="s">
        <v>28142</v>
      </c>
      <c r="I9183" t="s">
        <v>278</v>
      </c>
      <c r="J9183" t="s">
        <v>7981</v>
      </c>
    </row>
    <row r="9184" spans="1:10" x14ac:dyDescent="0.25">
      <c r="A9184" t="s">
        <v>28145</v>
      </c>
      <c r="B9184">
        <v>6.16</v>
      </c>
      <c r="C9184" t="s">
        <v>28146</v>
      </c>
      <c r="D9184" t="s">
        <v>118</v>
      </c>
      <c r="E9184" t="s">
        <v>28140</v>
      </c>
      <c r="F9184" t="s">
        <v>7672</v>
      </c>
      <c r="G9184" t="s">
        <v>28141</v>
      </c>
      <c r="H9184" t="s">
        <v>28142</v>
      </c>
      <c r="I9184" t="s">
        <v>278</v>
      </c>
      <c r="J9184" t="s">
        <v>7984</v>
      </c>
    </row>
    <row r="9185" spans="1:10" x14ac:dyDescent="0.25">
      <c r="A9185" t="s">
        <v>28147</v>
      </c>
      <c r="B9185">
        <v>6.16</v>
      </c>
      <c r="C9185" t="s">
        <v>28148</v>
      </c>
      <c r="D9185" t="s">
        <v>229</v>
      </c>
      <c r="E9185" t="s">
        <v>28140</v>
      </c>
      <c r="F9185" t="s">
        <v>7672</v>
      </c>
      <c r="G9185" t="s">
        <v>28141</v>
      </c>
      <c r="H9185" t="s">
        <v>28142</v>
      </c>
      <c r="I9185" t="s">
        <v>15696</v>
      </c>
      <c r="J9185" t="s">
        <v>7984</v>
      </c>
    </row>
    <row r="9186" spans="1:10" x14ac:dyDescent="0.25">
      <c r="A9186" t="s">
        <v>28149</v>
      </c>
      <c r="B9186">
        <v>6.16</v>
      </c>
      <c r="C9186" t="s">
        <v>28150</v>
      </c>
      <c r="D9186" t="s">
        <v>234</v>
      </c>
      <c r="E9186" t="s">
        <v>28140</v>
      </c>
      <c r="F9186" t="s">
        <v>7672</v>
      </c>
      <c r="G9186" t="s">
        <v>28141</v>
      </c>
      <c r="H9186" t="s">
        <v>28142</v>
      </c>
      <c r="I9186" t="s">
        <v>278</v>
      </c>
      <c r="J9186" t="s">
        <v>7987</v>
      </c>
    </row>
    <row r="9187" spans="1:10" x14ac:dyDescent="0.25">
      <c r="A9187" t="s">
        <v>28151</v>
      </c>
      <c r="B9187">
        <v>6.16</v>
      </c>
      <c r="C9187" t="s">
        <v>28152</v>
      </c>
      <c r="D9187" t="s">
        <v>234</v>
      </c>
      <c r="E9187" t="s">
        <v>28140</v>
      </c>
      <c r="F9187" t="s">
        <v>7672</v>
      </c>
      <c r="G9187" t="s">
        <v>28141</v>
      </c>
      <c r="H9187" t="s">
        <v>28142</v>
      </c>
      <c r="I9187" t="s">
        <v>15696</v>
      </c>
      <c r="J9187" t="s">
        <v>7987</v>
      </c>
    </row>
    <row r="9188" spans="1:10" x14ac:dyDescent="0.25">
      <c r="A9188" t="s">
        <v>28153</v>
      </c>
      <c r="B9188">
        <v>6.16</v>
      </c>
      <c r="C9188" t="s">
        <v>28154</v>
      </c>
      <c r="D9188" t="s">
        <v>255</v>
      </c>
      <c r="E9188" t="s">
        <v>28140</v>
      </c>
      <c r="F9188" t="s">
        <v>7672</v>
      </c>
      <c r="G9188" t="s">
        <v>28141</v>
      </c>
      <c r="H9188" t="s">
        <v>28142</v>
      </c>
      <c r="I9188" t="s">
        <v>15696</v>
      </c>
      <c r="J9188" t="s">
        <v>8001</v>
      </c>
    </row>
    <row r="9189" spans="1:10" x14ac:dyDescent="0.25">
      <c r="A9189" t="s">
        <v>28155</v>
      </c>
      <c r="B9189">
        <v>12.8</v>
      </c>
      <c r="C9189" t="s">
        <v>28156</v>
      </c>
      <c r="D9189" t="s">
        <v>277</v>
      </c>
      <c r="E9189" t="s">
        <v>28157</v>
      </c>
      <c r="F9189" t="s">
        <v>7672</v>
      </c>
      <c r="G9189" t="s">
        <v>28158</v>
      </c>
      <c r="H9189" t="s">
        <v>15474</v>
      </c>
      <c r="I9189" t="s">
        <v>145</v>
      </c>
      <c r="J9189" t="s">
        <v>15482</v>
      </c>
    </row>
    <row r="9190" spans="1:10" x14ac:dyDescent="0.25">
      <c r="A9190" t="s">
        <v>28159</v>
      </c>
      <c r="B9190">
        <v>12.8</v>
      </c>
      <c r="C9190" t="s">
        <v>28160</v>
      </c>
      <c r="D9190" t="s">
        <v>60</v>
      </c>
      <c r="E9190" t="s">
        <v>28157</v>
      </c>
      <c r="F9190" t="s">
        <v>7672</v>
      </c>
      <c r="G9190" t="s">
        <v>28158</v>
      </c>
      <c r="H9190" t="s">
        <v>15474</v>
      </c>
      <c r="I9190" t="s">
        <v>145</v>
      </c>
      <c r="J9190" t="s">
        <v>15485</v>
      </c>
    </row>
    <row r="9191" spans="1:10" x14ac:dyDescent="0.25">
      <c r="A9191" t="s">
        <v>28161</v>
      </c>
      <c r="B9191">
        <v>7.9200000000000008</v>
      </c>
      <c r="C9191" t="s">
        <v>28162</v>
      </c>
      <c r="D9191" t="s">
        <v>342</v>
      </c>
      <c r="E9191" t="s">
        <v>28163</v>
      </c>
      <c r="F9191" t="s">
        <v>7672</v>
      </c>
      <c r="G9191" t="s">
        <v>28164</v>
      </c>
      <c r="H9191" t="s">
        <v>7974</v>
      </c>
      <c r="I9191" t="s">
        <v>410</v>
      </c>
      <c r="J9191" t="s">
        <v>28165</v>
      </c>
    </row>
    <row r="9192" spans="1:10" x14ac:dyDescent="0.25">
      <c r="A9192" t="s">
        <v>28166</v>
      </c>
      <c r="B9192">
        <v>6.16</v>
      </c>
      <c r="C9192" t="s">
        <v>28167</v>
      </c>
      <c r="D9192" t="s">
        <v>870</v>
      </c>
      <c r="E9192" t="s">
        <v>28163</v>
      </c>
      <c r="F9192" t="s">
        <v>7672</v>
      </c>
      <c r="G9192" t="s">
        <v>28164</v>
      </c>
      <c r="H9192" t="s">
        <v>7974</v>
      </c>
      <c r="I9192" t="s">
        <v>410</v>
      </c>
      <c r="J9192" t="s">
        <v>9753</v>
      </c>
    </row>
    <row r="9193" spans="1:10" x14ac:dyDescent="0.25">
      <c r="A9193" t="s">
        <v>28168</v>
      </c>
      <c r="B9193">
        <v>6.16</v>
      </c>
      <c r="C9193" t="s">
        <v>28169</v>
      </c>
      <c r="D9193" t="s">
        <v>1236</v>
      </c>
      <c r="E9193" t="s">
        <v>28163</v>
      </c>
      <c r="F9193" t="s">
        <v>7672</v>
      </c>
      <c r="G9193" t="s">
        <v>28164</v>
      </c>
      <c r="H9193" t="s">
        <v>7974</v>
      </c>
      <c r="I9193" t="s">
        <v>410</v>
      </c>
      <c r="J9193" t="s">
        <v>9760</v>
      </c>
    </row>
    <row r="9194" spans="1:10" x14ac:dyDescent="0.25">
      <c r="A9194" t="s">
        <v>28170</v>
      </c>
      <c r="B9194">
        <v>6.16</v>
      </c>
      <c r="C9194" t="s">
        <v>28171</v>
      </c>
      <c r="D9194" t="s">
        <v>396</v>
      </c>
      <c r="E9194" t="s">
        <v>28163</v>
      </c>
      <c r="F9194" t="s">
        <v>7672</v>
      </c>
      <c r="G9194" t="s">
        <v>28164</v>
      </c>
      <c r="H9194" t="s">
        <v>7974</v>
      </c>
      <c r="I9194" t="s">
        <v>410</v>
      </c>
      <c r="J9194" t="s">
        <v>9770</v>
      </c>
    </row>
    <row r="9195" spans="1:10" x14ac:dyDescent="0.25">
      <c r="A9195" t="s">
        <v>28172</v>
      </c>
      <c r="B9195">
        <v>12.592000000000001</v>
      </c>
      <c r="C9195" t="s">
        <v>28173</v>
      </c>
      <c r="D9195" t="s">
        <v>131</v>
      </c>
      <c r="E9195" t="s">
        <v>28174</v>
      </c>
      <c r="F9195" t="s">
        <v>7672</v>
      </c>
      <c r="G9195" t="s">
        <v>28175</v>
      </c>
      <c r="H9195" t="s">
        <v>7674</v>
      </c>
      <c r="I9195" t="s">
        <v>8577</v>
      </c>
      <c r="J9195" t="s">
        <v>16064</v>
      </c>
    </row>
    <row r="9196" spans="1:10" x14ac:dyDescent="0.25">
      <c r="A9196" t="s">
        <v>28176</v>
      </c>
      <c r="B9196">
        <v>12.592000000000001</v>
      </c>
      <c r="C9196" t="s">
        <v>28177</v>
      </c>
      <c r="D9196" t="s">
        <v>330</v>
      </c>
      <c r="E9196" t="s">
        <v>28174</v>
      </c>
      <c r="F9196" t="s">
        <v>7672</v>
      </c>
      <c r="G9196" t="s">
        <v>28175</v>
      </c>
      <c r="H9196" t="s">
        <v>7674</v>
      </c>
      <c r="I9196" t="s">
        <v>8577</v>
      </c>
      <c r="J9196" t="s">
        <v>16089</v>
      </c>
    </row>
    <row r="9197" spans="1:10" x14ac:dyDescent="0.25">
      <c r="A9197" t="s">
        <v>28178</v>
      </c>
      <c r="B9197">
        <v>12.592000000000001</v>
      </c>
      <c r="C9197" t="s">
        <v>28179</v>
      </c>
      <c r="D9197" t="s">
        <v>436</v>
      </c>
      <c r="E9197" t="s">
        <v>28174</v>
      </c>
      <c r="F9197" t="s">
        <v>7672</v>
      </c>
      <c r="G9197" t="s">
        <v>28175</v>
      </c>
      <c r="H9197" t="s">
        <v>7674</v>
      </c>
      <c r="I9197" t="s">
        <v>21525</v>
      </c>
      <c r="J9197" t="s">
        <v>16104</v>
      </c>
    </row>
    <row r="9198" spans="1:10" x14ac:dyDescent="0.25">
      <c r="A9198" t="s">
        <v>28180</v>
      </c>
      <c r="B9198">
        <v>12.592000000000001</v>
      </c>
      <c r="C9198" t="s">
        <v>28181</v>
      </c>
      <c r="D9198" t="s">
        <v>95</v>
      </c>
      <c r="E9198" t="s">
        <v>28174</v>
      </c>
      <c r="F9198" t="s">
        <v>7672</v>
      </c>
      <c r="G9198" t="s">
        <v>28175</v>
      </c>
      <c r="H9198" t="s">
        <v>7674</v>
      </c>
      <c r="I9198" t="s">
        <v>8577</v>
      </c>
      <c r="J9198" t="s">
        <v>16125</v>
      </c>
    </row>
    <row r="9199" spans="1:10" x14ac:dyDescent="0.25">
      <c r="A9199" t="s">
        <v>28182</v>
      </c>
      <c r="B9199">
        <v>12.592000000000001</v>
      </c>
      <c r="C9199" t="s">
        <v>28183</v>
      </c>
      <c r="D9199" t="s">
        <v>366</v>
      </c>
      <c r="E9199" t="s">
        <v>28174</v>
      </c>
      <c r="F9199" t="s">
        <v>7672</v>
      </c>
      <c r="G9199" t="s">
        <v>28175</v>
      </c>
      <c r="H9199" t="s">
        <v>7674</v>
      </c>
      <c r="I9199" t="s">
        <v>21525</v>
      </c>
      <c r="J9199" t="s">
        <v>16125</v>
      </c>
    </row>
    <row r="9200" spans="1:10" x14ac:dyDescent="0.25">
      <c r="A9200" t="s">
        <v>28184</v>
      </c>
      <c r="B9200">
        <v>12.592000000000001</v>
      </c>
      <c r="C9200" t="s">
        <v>28185</v>
      </c>
      <c r="D9200" t="s">
        <v>301</v>
      </c>
      <c r="E9200" t="s">
        <v>28174</v>
      </c>
      <c r="F9200" t="s">
        <v>7672</v>
      </c>
      <c r="G9200" t="s">
        <v>28175</v>
      </c>
      <c r="H9200" t="s">
        <v>7674</v>
      </c>
      <c r="I9200" t="s">
        <v>8577</v>
      </c>
      <c r="J9200" t="s">
        <v>16143</v>
      </c>
    </row>
    <row r="9201" spans="1:10" x14ac:dyDescent="0.25">
      <c r="A9201" t="s">
        <v>28186</v>
      </c>
      <c r="B9201">
        <v>12.592000000000001</v>
      </c>
      <c r="C9201" t="s">
        <v>28187</v>
      </c>
      <c r="D9201" t="s">
        <v>330</v>
      </c>
      <c r="E9201" t="s">
        <v>28174</v>
      </c>
      <c r="F9201" t="s">
        <v>7672</v>
      </c>
      <c r="G9201" t="s">
        <v>28175</v>
      </c>
      <c r="H9201" t="s">
        <v>7674</v>
      </c>
      <c r="I9201" t="s">
        <v>18282</v>
      </c>
      <c r="J9201" t="s">
        <v>16143</v>
      </c>
    </row>
    <row r="9202" spans="1:10" x14ac:dyDescent="0.25">
      <c r="A9202" t="s">
        <v>28188</v>
      </c>
      <c r="B9202">
        <v>12.592000000000001</v>
      </c>
      <c r="C9202" t="s">
        <v>28189</v>
      </c>
      <c r="D9202" t="s">
        <v>366</v>
      </c>
      <c r="E9202" t="s">
        <v>28174</v>
      </c>
      <c r="F9202" t="s">
        <v>7672</v>
      </c>
      <c r="G9202" t="s">
        <v>28175</v>
      </c>
      <c r="H9202" t="s">
        <v>7674</v>
      </c>
      <c r="I9202" t="s">
        <v>21525</v>
      </c>
      <c r="J9202" t="s">
        <v>16143</v>
      </c>
    </row>
    <row r="9203" spans="1:10" x14ac:dyDescent="0.25">
      <c r="A9203" t="s">
        <v>28190</v>
      </c>
      <c r="B9203">
        <v>7.8400000000000007</v>
      </c>
      <c r="C9203" t="s">
        <v>28191</v>
      </c>
      <c r="D9203" t="s">
        <v>959</v>
      </c>
      <c r="E9203" t="s">
        <v>28192</v>
      </c>
      <c r="F9203" t="s">
        <v>7672</v>
      </c>
      <c r="G9203" t="s">
        <v>28193</v>
      </c>
      <c r="H9203" t="s">
        <v>10298</v>
      </c>
      <c r="I9203" t="s">
        <v>28194</v>
      </c>
      <c r="J9203" t="s">
        <v>11696</v>
      </c>
    </row>
    <row r="9204" spans="1:10" x14ac:dyDescent="0.25">
      <c r="A9204" t="s">
        <v>28195</v>
      </c>
      <c r="B9204">
        <v>7.8400000000000007</v>
      </c>
      <c r="C9204" t="s">
        <v>28196</v>
      </c>
      <c r="D9204" t="s">
        <v>588</v>
      </c>
      <c r="E9204" t="s">
        <v>28192</v>
      </c>
      <c r="F9204" t="s">
        <v>7672</v>
      </c>
      <c r="G9204" t="s">
        <v>28193</v>
      </c>
      <c r="H9204" t="s">
        <v>10298</v>
      </c>
      <c r="I9204" t="s">
        <v>11699</v>
      </c>
      <c r="J9204" t="s">
        <v>11696</v>
      </c>
    </row>
    <row r="9205" spans="1:10" x14ac:dyDescent="0.25">
      <c r="A9205" t="s">
        <v>28197</v>
      </c>
      <c r="B9205">
        <v>7.8400000000000007</v>
      </c>
      <c r="C9205" t="s">
        <v>28198</v>
      </c>
      <c r="D9205" t="s">
        <v>671</v>
      </c>
      <c r="E9205" t="s">
        <v>28192</v>
      </c>
      <c r="F9205" t="s">
        <v>7672</v>
      </c>
      <c r="G9205" t="s">
        <v>28193</v>
      </c>
      <c r="H9205" t="s">
        <v>10298</v>
      </c>
      <c r="I9205" t="s">
        <v>28194</v>
      </c>
      <c r="J9205" t="s">
        <v>11702</v>
      </c>
    </row>
    <row r="9206" spans="1:10" x14ac:dyDescent="0.25">
      <c r="A9206" t="s">
        <v>28199</v>
      </c>
      <c r="B9206">
        <v>7.8400000000000007</v>
      </c>
      <c r="C9206" t="s">
        <v>28200</v>
      </c>
      <c r="D9206" t="s">
        <v>290</v>
      </c>
      <c r="E9206" t="s">
        <v>28192</v>
      </c>
      <c r="F9206" t="s">
        <v>7672</v>
      </c>
      <c r="G9206" t="s">
        <v>28193</v>
      </c>
      <c r="H9206" t="s">
        <v>10298</v>
      </c>
      <c r="I9206" t="s">
        <v>25086</v>
      </c>
      <c r="J9206" t="s">
        <v>11702</v>
      </c>
    </row>
    <row r="9207" spans="1:10" x14ac:dyDescent="0.25">
      <c r="A9207" t="s">
        <v>28201</v>
      </c>
      <c r="B9207">
        <v>7.8400000000000007</v>
      </c>
      <c r="C9207" t="s">
        <v>28202</v>
      </c>
      <c r="D9207" t="s">
        <v>582</v>
      </c>
      <c r="E9207" t="s">
        <v>28192</v>
      </c>
      <c r="F9207" t="s">
        <v>7672</v>
      </c>
      <c r="G9207" t="s">
        <v>28193</v>
      </c>
      <c r="H9207" t="s">
        <v>10298</v>
      </c>
      <c r="I9207" t="s">
        <v>11699</v>
      </c>
      <c r="J9207" t="s">
        <v>11702</v>
      </c>
    </row>
    <row r="9208" spans="1:10" x14ac:dyDescent="0.25">
      <c r="A9208" t="s">
        <v>28203</v>
      </c>
      <c r="B9208">
        <v>7.8400000000000007</v>
      </c>
      <c r="C9208" t="s">
        <v>28204</v>
      </c>
      <c r="D9208" t="s">
        <v>100</v>
      </c>
      <c r="E9208" t="s">
        <v>28192</v>
      </c>
      <c r="F9208" t="s">
        <v>7672</v>
      </c>
      <c r="G9208" t="s">
        <v>28193</v>
      </c>
      <c r="H9208" t="s">
        <v>10298</v>
      </c>
      <c r="I9208" t="s">
        <v>11699</v>
      </c>
      <c r="J9208" t="s">
        <v>15079</v>
      </c>
    </row>
    <row r="9209" spans="1:10" x14ac:dyDescent="0.25">
      <c r="A9209" t="s">
        <v>28205</v>
      </c>
      <c r="B9209">
        <v>7.8400000000000007</v>
      </c>
      <c r="C9209" t="s">
        <v>28206</v>
      </c>
      <c r="D9209" t="s">
        <v>385</v>
      </c>
      <c r="E9209" t="s">
        <v>28192</v>
      </c>
      <c r="F9209" t="s">
        <v>7672</v>
      </c>
      <c r="G9209" t="s">
        <v>28193</v>
      </c>
      <c r="H9209" t="s">
        <v>10298</v>
      </c>
      <c r="I9209" t="s">
        <v>28194</v>
      </c>
      <c r="J9209" t="s">
        <v>15079</v>
      </c>
    </row>
    <row r="9210" spans="1:10" x14ac:dyDescent="0.25">
      <c r="A9210" t="s">
        <v>28207</v>
      </c>
      <c r="B9210">
        <v>7.8400000000000007</v>
      </c>
      <c r="C9210" t="s">
        <v>28208</v>
      </c>
      <c r="D9210" t="s">
        <v>301</v>
      </c>
      <c r="E9210" t="s">
        <v>28192</v>
      </c>
      <c r="F9210" t="s">
        <v>7672</v>
      </c>
      <c r="G9210" t="s">
        <v>28193</v>
      </c>
      <c r="H9210" t="s">
        <v>10298</v>
      </c>
      <c r="I9210" t="s">
        <v>25086</v>
      </c>
      <c r="J9210" t="s">
        <v>15079</v>
      </c>
    </row>
    <row r="9211" spans="1:10" x14ac:dyDescent="0.25">
      <c r="A9211" t="s">
        <v>28209</v>
      </c>
      <c r="B9211">
        <v>7.8400000000000007</v>
      </c>
      <c r="C9211" t="s">
        <v>28210</v>
      </c>
      <c r="D9211" t="s">
        <v>330</v>
      </c>
      <c r="E9211" t="s">
        <v>28192</v>
      </c>
      <c r="F9211" t="s">
        <v>7672</v>
      </c>
      <c r="G9211" t="s">
        <v>28193</v>
      </c>
      <c r="H9211" t="s">
        <v>10298</v>
      </c>
      <c r="I9211" t="s">
        <v>28211</v>
      </c>
      <c r="J9211" t="s">
        <v>15079</v>
      </c>
    </row>
    <row r="9212" spans="1:10" x14ac:dyDescent="0.25">
      <c r="A9212" t="s">
        <v>28212</v>
      </c>
      <c r="B9212">
        <v>13.52</v>
      </c>
      <c r="C9212" t="s">
        <v>28213</v>
      </c>
      <c r="D9212" t="s">
        <v>3577</v>
      </c>
      <c r="E9212" t="s">
        <v>28214</v>
      </c>
      <c r="F9212" t="s">
        <v>7672</v>
      </c>
      <c r="G9212" t="s">
        <v>28215</v>
      </c>
      <c r="H9212" t="s">
        <v>7965</v>
      </c>
      <c r="I9212" t="s">
        <v>28216</v>
      </c>
      <c r="J9212" t="s">
        <v>7981</v>
      </c>
    </row>
    <row r="9213" spans="1:10" x14ac:dyDescent="0.25">
      <c r="A9213" t="s">
        <v>28217</v>
      </c>
      <c r="B9213">
        <v>8.3920000000000012</v>
      </c>
      <c r="C9213" t="s">
        <v>28218</v>
      </c>
      <c r="D9213" t="s">
        <v>352</v>
      </c>
      <c r="E9213" t="s">
        <v>28219</v>
      </c>
      <c r="F9213" t="s">
        <v>7672</v>
      </c>
      <c r="G9213" t="s">
        <v>28220</v>
      </c>
      <c r="H9213" t="s">
        <v>7674</v>
      </c>
      <c r="I9213" t="s">
        <v>28221</v>
      </c>
      <c r="J9213" t="s">
        <v>12657</v>
      </c>
    </row>
    <row r="9214" spans="1:10" x14ac:dyDescent="0.25">
      <c r="A9214" t="s">
        <v>28222</v>
      </c>
      <c r="B9214">
        <v>8.3920000000000012</v>
      </c>
      <c r="C9214" t="s">
        <v>28223</v>
      </c>
      <c r="D9214" t="s">
        <v>2072</v>
      </c>
      <c r="E9214" t="s">
        <v>28219</v>
      </c>
      <c r="F9214" t="s">
        <v>7672</v>
      </c>
      <c r="G9214" t="s">
        <v>28220</v>
      </c>
      <c r="H9214" t="s">
        <v>7674</v>
      </c>
      <c r="I9214" t="s">
        <v>9245</v>
      </c>
      <c r="J9214" t="s">
        <v>12657</v>
      </c>
    </row>
    <row r="9215" spans="1:10" x14ac:dyDescent="0.25">
      <c r="A9215" t="s">
        <v>28224</v>
      </c>
      <c r="B9215">
        <v>8.3920000000000012</v>
      </c>
      <c r="C9215" t="s">
        <v>28225</v>
      </c>
      <c r="D9215" t="s">
        <v>2910</v>
      </c>
      <c r="E9215" t="s">
        <v>28219</v>
      </c>
      <c r="F9215" t="s">
        <v>7672</v>
      </c>
      <c r="G9215" t="s">
        <v>28220</v>
      </c>
      <c r="H9215" t="s">
        <v>7674</v>
      </c>
      <c r="I9215" t="s">
        <v>7945</v>
      </c>
      <c r="J9215" t="s">
        <v>12657</v>
      </c>
    </row>
    <row r="9216" spans="1:10" x14ac:dyDescent="0.25">
      <c r="A9216" t="s">
        <v>28226</v>
      </c>
      <c r="B9216">
        <v>8.3920000000000012</v>
      </c>
      <c r="C9216" t="s">
        <v>28227</v>
      </c>
      <c r="D9216" t="s">
        <v>781</v>
      </c>
      <c r="E9216" t="s">
        <v>28219</v>
      </c>
      <c r="F9216" t="s">
        <v>7672</v>
      </c>
      <c r="G9216" t="s">
        <v>28220</v>
      </c>
      <c r="H9216" t="s">
        <v>7674</v>
      </c>
      <c r="I9216" t="s">
        <v>8600</v>
      </c>
      <c r="J9216" t="s">
        <v>12657</v>
      </c>
    </row>
    <row r="9217" spans="1:10" x14ac:dyDescent="0.25">
      <c r="A9217" t="s">
        <v>28228</v>
      </c>
      <c r="B9217">
        <v>17.600000000000001</v>
      </c>
      <c r="C9217" t="s">
        <v>28229</v>
      </c>
      <c r="D9217" t="s">
        <v>964</v>
      </c>
      <c r="E9217" t="s">
        <v>28230</v>
      </c>
      <c r="F9217" t="s">
        <v>7672</v>
      </c>
      <c r="G9217" t="s">
        <v>28231</v>
      </c>
      <c r="H9217" t="s">
        <v>16164</v>
      </c>
      <c r="I9217" t="s">
        <v>935</v>
      </c>
      <c r="J9217" t="s">
        <v>7981</v>
      </c>
    </row>
    <row r="9218" spans="1:10" x14ac:dyDescent="0.25">
      <c r="A9218" t="s">
        <v>28232</v>
      </c>
      <c r="B9218">
        <v>17.600000000000001</v>
      </c>
      <c r="C9218" t="s">
        <v>28233</v>
      </c>
      <c r="D9218" t="s">
        <v>164</v>
      </c>
      <c r="E9218" t="s">
        <v>28230</v>
      </c>
      <c r="F9218" t="s">
        <v>7672</v>
      </c>
      <c r="G9218" t="s">
        <v>28231</v>
      </c>
      <c r="H9218" t="s">
        <v>16164</v>
      </c>
      <c r="I9218" t="s">
        <v>935</v>
      </c>
      <c r="J9218" t="s">
        <v>7984</v>
      </c>
    </row>
    <row r="9219" spans="1:10" x14ac:dyDescent="0.25">
      <c r="A9219" t="s">
        <v>28234</v>
      </c>
      <c r="B9219">
        <v>17.600000000000001</v>
      </c>
      <c r="C9219" t="s">
        <v>28235</v>
      </c>
      <c r="D9219" t="s">
        <v>290</v>
      </c>
      <c r="E9219" t="s">
        <v>28230</v>
      </c>
      <c r="F9219" t="s">
        <v>7672</v>
      </c>
      <c r="G9219" t="s">
        <v>28231</v>
      </c>
      <c r="H9219" t="s">
        <v>16164</v>
      </c>
      <c r="I9219" t="s">
        <v>10802</v>
      </c>
      <c r="J9219" t="s">
        <v>7984</v>
      </c>
    </row>
    <row r="9220" spans="1:10" x14ac:dyDescent="0.25">
      <c r="A9220" t="s">
        <v>28236</v>
      </c>
      <c r="B9220">
        <v>17.600000000000001</v>
      </c>
      <c r="C9220" t="s">
        <v>28237</v>
      </c>
      <c r="D9220" t="s">
        <v>330</v>
      </c>
      <c r="E9220" t="s">
        <v>28230</v>
      </c>
      <c r="F9220" t="s">
        <v>7672</v>
      </c>
      <c r="G9220" t="s">
        <v>28231</v>
      </c>
      <c r="H9220" t="s">
        <v>16164</v>
      </c>
      <c r="I9220" t="s">
        <v>10802</v>
      </c>
      <c r="J9220" t="s">
        <v>8001</v>
      </c>
    </row>
    <row r="9221" spans="1:10" x14ac:dyDescent="0.25">
      <c r="A9221" t="s">
        <v>28238</v>
      </c>
      <c r="B9221">
        <v>9.6000000000000014</v>
      </c>
      <c r="C9221" t="s">
        <v>28239</v>
      </c>
      <c r="D9221" t="s">
        <v>53</v>
      </c>
      <c r="E9221" t="s">
        <v>28240</v>
      </c>
      <c r="F9221" t="s">
        <v>7672</v>
      </c>
      <c r="G9221" t="s">
        <v>28241</v>
      </c>
      <c r="H9221" t="s">
        <v>8673</v>
      </c>
      <c r="I9221" t="s">
        <v>28242</v>
      </c>
      <c r="J9221" t="s">
        <v>8293</v>
      </c>
    </row>
    <row r="9222" spans="1:10" x14ac:dyDescent="0.25">
      <c r="A9222" t="s">
        <v>28243</v>
      </c>
      <c r="B9222">
        <v>9.6000000000000014</v>
      </c>
      <c r="C9222" t="s">
        <v>28244</v>
      </c>
      <c r="D9222" t="s">
        <v>269</v>
      </c>
      <c r="E9222" t="s">
        <v>28240</v>
      </c>
      <c r="F9222" t="s">
        <v>7672</v>
      </c>
      <c r="G9222" t="s">
        <v>28241</v>
      </c>
      <c r="H9222" t="s">
        <v>8673</v>
      </c>
      <c r="I9222" t="s">
        <v>28245</v>
      </c>
      <c r="J9222" t="s">
        <v>8293</v>
      </c>
    </row>
    <row r="9223" spans="1:10" x14ac:dyDescent="0.25">
      <c r="A9223" t="s">
        <v>28246</v>
      </c>
      <c r="B9223">
        <v>9.6000000000000014</v>
      </c>
      <c r="C9223" t="s">
        <v>28247</v>
      </c>
      <c r="D9223" t="s">
        <v>342</v>
      </c>
      <c r="E9223" t="s">
        <v>28240</v>
      </c>
      <c r="F9223" t="s">
        <v>7672</v>
      </c>
      <c r="G9223" t="s">
        <v>28241</v>
      </c>
      <c r="H9223" t="s">
        <v>8673</v>
      </c>
      <c r="I9223" t="s">
        <v>28248</v>
      </c>
      <c r="J9223" t="s">
        <v>8293</v>
      </c>
    </row>
    <row r="9224" spans="1:10" x14ac:dyDescent="0.25">
      <c r="A9224" t="s">
        <v>28249</v>
      </c>
      <c r="B9224">
        <v>9.6000000000000014</v>
      </c>
      <c r="C9224" t="s">
        <v>28250</v>
      </c>
      <c r="D9224" t="s">
        <v>100</v>
      </c>
      <c r="E9224" t="s">
        <v>28240</v>
      </c>
      <c r="F9224" t="s">
        <v>7672</v>
      </c>
      <c r="G9224" t="s">
        <v>28241</v>
      </c>
      <c r="H9224" t="s">
        <v>8673</v>
      </c>
      <c r="I9224" t="s">
        <v>8158</v>
      </c>
      <c r="J9224" t="s">
        <v>9023</v>
      </c>
    </row>
    <row r="9225" spans="1:10" x14ac:dyDescent="0.25">
      <c r="A9225" t="s">
        <v>28251</v>
      </c>
      <c r="B9225">
        <v>9.6000000000000014</v>
      </c>
      <c r="C9225" t="s">
        <v>28252</v>
      </c>
      <c r="D9225" t="s">
        <v>240</v>
      </c>
      <c r="E9225" t="s">
        <v>28240</v>
      </c>
      <c r="F9225" t="s">
        <v>7672</v>
      </c>
      <c r="G9225" t="s">
        <v>28241</v>
      </c>
      <c r="H9225" t="s">
        <v>8673</v>
      </c>
      <c r="I9225" t="s">
        <v>28245</v>
      </c>
      <c r="J9225" t="s">
        <v>9023</v>
      </c>
    </row>
    <row r="9226" spans="1:10" x14ac:dyDescent="0.25">
      <c r="A9226" t="s">
        <v>28253</v>
      </c>
      <c r="B9226">
        <v>9.6000000000000014</v>
      </c>
      <c r="C9226" t="s">
        <v>28254</v>
      </c>
      <c r="D9226" t="s">
        <v>2697</v>
      </c>
      <c r="E9226" t="s">
        <v>28240</v>
      </c>
      <c r="F9226" t="s">
        <v>7672</v>
      </c>
      <c r="G9226" t="s">
        <v>28241</v>
      </c>
      <c r="H9226" t="s">
        <v>8673</v>
      </c>
      <c r="I9226" t="s">
        <v>28248</v>
      </c>
      <c r="J9226" t="s">
        <v>9023</v>
      </c>
    </row>
    <row r="9227" spans="1:10" x14ac:dyDescent="0.25">
      <c r="A9227" t="s">
        <v>28255</v>
      </c>
      <c r="B9227">
        <v>10.8</v>
      </c>
      <c r="C9227" t="s">
        <v>28256</v>
      </c>
      <c r="D9227" t="s">
        <v>245</v>
      </c>
      <c r="E9227" t="s">
        <v>28257</v>
      </c>
      <c r="F9227" t="s">
        <v>7672</v>
      </c>
      <c r="G9227" t="s">
        <v>28258</v>
      </c>
      <c r="H9227" t="s">
        <v>26410</v>
      </c>
      <c r="I9227" t="s">
        <v>76</v>
      </c>
      <c r="J9227" t="s">
        <v>7942</v>
      </c>
    </row>
    <row r="9228" spans="1:10" x14ac:dyDescent="0.25">
      <c r="A9228" t="s">
        <v>28259</v>
      </c>
      <c r="B9228">
        <v>10.8</v>
      </c>
      <c r="C9228" t="s">
        <v>28260</v>
      </c>
      <c r="D9228" t="s">
        <v>781</v>
      </c>
      <c r="E9228" t="s">
        <v>28257</v>
      </c>
      <c r="F9228" t="s">
        <v>7672</v>
      </c>
      <c r="G9228" t="s">
        <v>28258</v>
      </c>
      <c r="H9228" t="s">
        <v>26410</v>
      </c>
      <c r="I9228" t="s">
        <v>76</v>
      </c>
      <c r="J9228" t="s">
        <v>7981</v>
      </c>
    </row>
    <row r="9229" spans="1:10" x14ac:dyDescent="0.25">
      <c r="A9229" t="s">
        <v>28261</v>
      </c>
      <c r="B9229">
        <v>10.8</v>
      </c>
      <c r="C9229" t="s">
        <v>28262</v>
      </c>
      <c r="D9229" t="s">
        <v>1143</v>
      </c>
      <c r="E9229" t="s">
        <v>28257</v>
      </c>
      <c r="F9229" t="s">
        <v>7672</v>
      </c>
      <c r="G9229" t="s">
        <v>28258</v>
      </c>
      <c r="H9229" t="s">
        <v>26410</v>
      </c>
      <c r="I9229" t="s">
        <v>76</v>
      </c>
      <c r="J9229" t="s">
        <v>7984</v>
      </c>
    </row>
    <row r="9230" spans="1:10" x14ac:dyDescent="0.25">
      <c r="A9230" t="s">
        <v>28263</v>
      </c>
      <c r="B9230">
        <v>10.8</v>
      </c>
      <c r="C9230" t="s">
        <v>28264</v>
      </c>
      <c r="D9230" t="s">
        <v>671</v>
      </c>
      <c r="E9230" t="s">
        <v>28257</v>
      </c>
      <c r="F9230" t="s">
        <v>7672</v>
      </c>
      <c r="G9230" t="s">
        <v>28258</v>
      </c>
      <c r="H9230" t="s">
        <v>26410</v>
      </c>
      <c r="I9230" t="s">
        <v>76</v>
      </c>
      <c r="J9230" t="s">
        <v>7987</v>
      </c>
    </row>
    <row r="9231" spans="1:10" x14ac:dyDescent="0.25">
      <c r="A9231" t="s">
        <v>28265</v>
      </c>
      <c r="B9231">
        <v>10.8</v>
      </c>
      <c r="C9231" t="s">
        <v>28266</v>
      </c>
      <c r="D9231" t="s">
        <v>255</v>
      </c>
      <c r="E9231" t="s">
        <v>28257</v>
      </c>
      <c r="F9231" t="s">
        <v>7672</v>
      </c>
      <c r="G9231" t="s">
        <v>28258</v>
      </c>
      <c r="H9231" t="s">
        <v>26410</v>
      </c>
      <c r="I9231" t="s">
        <v>935</v>
      </c>
      <c r="J9231" t="s">
        <v>7987</v>
      </c>
    </row>
    <row r="9232" spans="1:10" x14ac:dyDescent="0.25">
      <c r="A9232" t="s">
        <v>28267</v>
      </c>
      <c r="B9232">
        <v>10.8</v>
      </c>
      <c r="C9232" t="s">
        <v>28268</v>
      </c>
      <c r="D9232" t="s">
        <v>835</v>
      </c>
      <c r="E9232" t="s">
        <v>28257</v>
      </c>
      <c r="F9232" t="s">
        <v>7672</v>
      </c>
      <c r="G9232" t="s">
        <v>28258</v>
      </c>
      <c r="H9232" t="s">
        <v>26410</v>
      </c>
      <c r="I9232" t="s">
        <v>76</v>
      </c>
      <c r="J9232" t="s">
        <v>8001</v>
      </c>
    </row>
    <row r="9233" spans="1:10" x14ac:dyDescent="0.25">
      <c r="A9233" t="s">
        <v>28269</v>
      </c>
      <c r="B9233">
        <v>10.8</v>
      </c>
      <c r="C9233" t="s">
        <v>28270</v>
      </c>
      <c r="D9233" t="s">
        <v>330</v>
      </c>
      <c r="E9233" t="s">
        <v>28257</v>
      </c>
      <c r="F9233" t="s">
        <v>7672</v>
      </c>
      <c r="G9233" t="s">
        <v>28258</v>
      </c>
      <c r="H9233" t="s">
        <v>26410</v>
      </c>
      <c r="I9233" t="s">
        <v>935</v>
      </c>
      <c r="J9233" t="s">
        <v>8001</v>
      </c>
    </row>
    <row r="9234" spans="1:10" x14ac:dyDescent="0.25">
      <c r="A9234" t="s">
        <v>28271</v>
      </c>
      <c r="B9234">
        <v>10.8</v>
      </c>
      <c r="C9234" t="s">
        <v>28272</v>
      </c>
      <c r="D9234" t="s">
        <v>2879</v>
      </c>
      <c r="E9234" t="s">
        <v>28257</v>
      </c>
      <c r="F9234" t="s">
        <v>7672</v>
      </c>
      <c r="G9234" t="s">
        <v>28258</v>
      </c>
      <c r="H9234" t="s">
        <v>26410</v>
      </c>
      <c r="I9234" t="s">
        <v>76</v>
      </c>
      <c r="J9234" t="s">
        <v>8013</v>
      </c>
    </row>
    <row r="9235" spans="1:10" x14ac:dyDescent="0.25">
      <c r="A9235" t="s">
        <v>28273</v>
      </c>
      <c r="B9235">
        <v>10.8</v>
      </c>
      <c r="C9235" t="s">
        <v>28274</v>
      </c>
      <c r="D9235" t="s">
        <v>959</v>
      </c>
      <c r="E9235" t="s">
        <v>28257</v>
      </c>
      <c r="F9235" t="s">
        <v>7672</v>
      </c>
      <c r="G9235" t="s">
        <v>28258</v>
      </c>
      <c r="H9235" t="s">
        <v>26410</v>
      </c>
      <c r="I9235" t="s">
        <v>935</v>
      </c>
      <c r="J9235" t="s">
        <v>8013</v>
      </c>
    </row>
    <row r="9236" spans="1:10" x14ac:dyDescent="0.25">
      <c r="A9236" t="s">
        <v>28275</v>
      </c>
      <c r="B9236">
        <v>2.3359999999999999</v>
      </c>
      <c r="C9236" t="s">
        <v>28276</v>
      </c>
      <c r="D9236" t="s">
        <v>2099</v>
      </c>
      <c r="E9236" t="s">
        <v>28277</v>
      </c>
      <c r="F9236" t="s">
        <v>7672</v>
      </c>
      <c r="G9236" t="s">
        <v>28278</v>
      </c>
      <c r="H9236" t="s">
        <v>26449</v>
      </c>
      <c r="I9236" t="s">
        <v>1243</v>
      </c>
      <c r="J9236" t="s">
        <v>9694</v>
      </c>
    </row>
    <row r="9237" spans="1:10" x14ac:dyDescent="0.25">
      <c r="A9237" t="s">
        <v>28279</v>
      </c>
      <c r="B9237">
        <v>6.120000000000001</v>
      </c>
      <c r="C9237" t="s">
        <v>28280</v>
      </c>
      <c r="D9237" t="s">
        <v>396</v>
      </c>
      <c r="E9237" t="s">
        <v>28281</v>
      </c>
      <c r="F9237" t="s">
        <v>7672</v>
      </c>
      <c r="G9237" t="s">
        <v>28282</v>
      </c>
      <c r="H9237" t="s">
        <v>18570</v>
      </c>
      <c r="I9237" t="s">
        <v>28283</v>
      </c>
      <c r="J9237" t="s">
        <v>28284</v>
      </c>
    </row>
    <row r="9238" spans="1:10" x14ac:dyDescent="0.25">
      <c r="A9238" t="s">
        <v>28285</v>
      </c>
      <c r="B9238">
        <v>6.120000000000001</v>
      </c>
      <c r="C9238" t="s">
        <v>28286</v>
      </c>
      <c r="D9238" t="s">
        <v>4322</v>
      </c>
      <c r="E9238" t="s">
        <v>28281</v>
      </c>
      <c r="F9238" t="s">
        <v>7672</v>
      </c>
      <c r="G9238" t="s">
        <v>28282</v>
      </c>
      <c r="H9238" t="s">
        <v>18570</v>
      </c>
      <c r="I9238" t="s">
        <v>76</v>
      </c>
      <c r="J9238" t="s">
        <v>28284</v>
      </c>
    </row>
    <row r="9239" spans="1:10" x14ac:dyDescent="0.25">
      <c r="A9239" t="s">
        <v>28287</v>
      </c>
      <c r="B9239">
        <v>6.120000000000001</v>
      </c>
      <c r="C9239" t="s">
        <v>28288</v>
      </c>
      <c r="D9239" t="s">
        <v>913</v>
      </c>
      <c r="E9239" t="s">
        <v>28281</v>
      </c>
      <c r="F9239" t="s">
        <v>7672</v>
      </c>
      <c r="G9239" t="s">
        <v>28282</v>
      </c>
      <c r="H9239" t="s">
        <v>18570</v>
      </c>
      <c r="I9239" t="s">
        <v>28283</v>
      </c>
      <c r="J9239" t="s">
        <v>28289</v>
      </c>
    </row>
    <row r="9240" spans="1:10" x14ac:dyDescent="0.25">
      <c r="A9240" t="s">
        <v>28290</v>
      </c>
      <c r="B9240">
        <v>6.120000000000001</v>
      </c>
      <c r="C9240" t="s">
        <v>28291</v>
      </c>
      <c r="D9240" t="s">
        <v>10764</v>
      </c>
      <c r="E9240" t="s">
        <v>28281</v>
      </c>
      <c r="F9240" t="s">
        <v>7672</v>
      </c>
      <c r="G9240" t="s">
        <v>28282</v>
      </c>
      <c r="H9240" t="s">
        <v>18570</v>
      </c>
      <c r="I9240" t="s">
        <v>76</v>
      </c>
      <c r="J9240" t="s">
        <v>28289</v>
      </c>
    </row>
    <row r="9241" spans="1:10" x14ac:dyDescent="0.25">
      <c r="A9241" t="s">
        <v>28292</v>
      </c>
      <c r="B9241">
        <v>6.120000000000001</v>
      </c>
      <c r="C9241" t="s">
        <v>28293</v>
      </c>
      <c r="D9241" t="s">
        <v>4011</v>
      </c>
      <c r="E9241" t="s">
        <v>28281</v>
      </c>
      <c r="F9241" t="s">
        <v>7672</v>
      </c>
      <c r="G9241" t="s">
        <v>28282</v>
      </c>
      <c r="H9241" t="s">
        <v>18570</v>
      </c>
      <c r="I9241" t="s">
        <v>76</v>
      </c>
      <c r="J9241" t="s">
        <v>28294</v>
      </c>
    </row>
    <row r="9242" spans="1:10" x14ac:dyDescent="0.25">
      <c r="A9242" t="s">
        <v>28295</v>
      </c>
      <c r="B9242">
        <v>6.120000000000001</v>
      </c>
      <c r="C9242" t="s">
        <v>28296</v>
      </c>
      <c r="D9242" t="s">
        <v>659</v>
      </c>
      <c r="E9242" t="s">
        <v>28281</v>
      </c>
      <c r="F9242" t="s">
        <v>7672</v>
      </c>
      <c r="G9242" t="s">
        <v>28282</v>
      </c>
      <c r="H9242" t="s">
        <v>18570</v>
      </c>
      <c r="I9242" t="s">
        <v>28283</v>
      </c>
      <c r="J9242" t="s">
        <v>28294</v>
      </c>
    </row>
    <row r="9243" spans="1:10" x14ac:dyDescent="0.25">
      <c r="A9243" t="s">
        <v>28297</v>
      </c>
      <c r="B9243">
        <v>6.120000000000001</v>
      </c>
      <c r="C9243" t="s">
        <v>28298</v>
      </c>
      <c r="D9243" t="s">
        <v>1386</v>
      </c>
      <c r="E9243" t="s">
        <v>28281</v>
      </c>
      <c r="F9243" t="s">
        <v>7672</v>
      </c>
      <c r="G9243" t="s">
        <v>28282</v>
      </c>
      <c r="H9243" t="s">
        <v>18570</v>
      </c>
      <c r="I9243" t="s">
        <v>28283</v>
      </c>
      <c r="J9243" t="s">
        <v>28299</v>
      </c>
    </row>
    <row r="9244" spans="1:10" x14ac:dyDescent="0.25">
      <c r="A9244" t="s">
        <v>28300</v>
      </c>
      <c r="B9244">
        <v>6.120000000000001</v>
      </c>
      <c r="C9244" t="s">
        <v>28301</v>
      </c>
      <c r="D9244" t="s">
        <v>13710</v>
      </c>
      <c r="E9244" t="s">
        <v>28281</v>
      </c>
      <c r="F9244" t="s">
        <v>7672</v>
      </c>
      <c r="G9244" t="s">
        <v>28282</v>
      </c>
      <c r="H9244" t="s">
        <v>18570</v>
      </c>
      <c r="I9244" t="s">
        <v>76</v>
      </c>
      <c r="J9244" t="s">
        <v>28299</v>
      </c>
    </row>
    <row r="9245" spans="1:10" x14ac:dyDescent="0.25">
      <c r="A9245" t="s">
        <v>28302</v>
      </c>
      <c r="B9245">
        <v>6.120000000000001</v>
      </c>
      <c r="C9245" t="s">
        <v>28303</v>
      </c>
      <c r="D9245" t="s">
        <v>296</v>
      </c>
      <c r="E9245" t="s">
        <v>28281</v>
      </c>
      <c r="F9245" t="s">
        <v>7672</v>
      </c>
      <c r="G9245" t="s">
        <v>28282</v>
      </c>
      <c r="H9245" t="s">
        <v>18570</v>
      </c>
      <c r="I9245" t="s">
        <v>28283</v>
      </c>
      <c r="J9245" t="s">
        <v>28304</v>
      </c>
    </row>
    <row r="9246" spans="1:10" x14ac:dyDescent="0.25">
      <c r="A9246" t="s">
        <v>28305</v>
      </c>
      <c r="B9246">
        <v>6.120000000000001</v>
      </c>
      <c r="C9246" t="s">
        <v>28306</v>
      </c>
      <c r="D9246" t="s">
        <v>3850</v>
      </c>
      <c r="E9246" t="s">
        <v>28281</v>
      </c>
      <c r="F9246" t="s">
        <v>7672</v>
      </c>
      <c r="G9246" t="s">
        <v>28282</v>
      </c>
      <c r="H9246" t="s">
        <v>18570</v>
      </c>
      <c r="I9246" t="s">
        <v>76</v>
      </c>
      <c r="J9246" t="s">
        <v>28304</v>
      </c>
    </row>
    <row r="9247" spans="1:10" x14ac:dyDescent="0.25">
      <c r="A9247" t="s">
        <v>28307</v>
      </c>
      <c r="B9247">
        <v>6.120000000000001</v>
      </c>
      <c r="C9247" t="s">
        <v>28308</v>
      </c>
      <c r="D9247" t="s">
        <v>659</v>
      </c>
      <c r="E9247" t="s">
        <v>28281</v>
      </c>
      <c r="F9247" t="s">
        <v>7672</v>
      </c>
      <c r="G9247" t="s">
        <v>28282</v>
      </c>
      <c r="H9247" t="s">
        <v>18570</v>
      </c>
      <c r="I9247" t="s">
        <v>28283</v>
      </c>
      <c r="J9247" t="s">
        <v>8780</v>
      </c>
    </row>
    <row r="9248" spans="1:10" x14ac:dyDescent="0.25">
      <c r="A9248" t="s">
        <v>28309</v>
      </c>
      <c r="B9248">
        <v>6.120000000000001</v>
      </c>
      <c r="C9248" t="s">
        <v>28310</v>
      </c>
      <c r="D9248" t="s">
        <v>6194</v>
      </c>
      <c r="E9248" t="s">
        <v>28281</v>
      </c>
      <c r="F9248" t="s">
        <v>7672</v>
      </c>
      <c r="G9248" t="s">
        <v>28282</v>
      </c>
      <c r="H9248" t="s">
        <v>18570</v>
      </c>
      <c r="I9248" t="s">
        <v>76</v>
      </c>
      <c r="J9248" t="s">
        <v>8780</v>
      </c>
    </row>
    <row r="9249" spans="1:10" x14ac:dyDescent="0.25">
      <c r="A9249" t="s">
        <v>28311</v>
      </c>
      <c r="B9249">
        <v>3.84</v>
      </c>
      <c r="C9249" t="s">
        <v>28312</v>
      </c>
      <c r="D9249" t="s">
        <v>776</v>
      </c>
      <c r="E9249" t="s">
        <v>28313</v>
      </c>
      <c r="F9249" t="s">
        <v>7672</v>
      </c>
      <c r="G9249" t="s">
        <v>28314</v>
      </c>
      <c r="H9249" t="s">
        <v>10298</v>
      </c>
      <c r="I9249" t="s">
        <v>28315</v>
      </c>
      <c r="J9249" t="s">
        <v>12182</v>
      </c>
    </row>
    <row r="9250" spans="1:10" x14ac:dyDescent="0.25">
      <c r="A9250" t="s">
        <v>28316</v>
      </c>
      <c r="B9250">
        <v>3.84</v>
      </c>
      <c r="C9250" t="s">
        <v>28317</v>
      </c>
      <c r="D9250" t="s">
        <v>366</v>
      </c>
      <c r="E9250" t="s">
        <v>28313</v>
      </c>
      <c r="F9250" t="s">
        <v>7672</v>
      </c>
      <c r="G9250" t="s">
        <v>28314</v>
      </c>
      <c r="H9250" t="s">
        <v>10298</v>
      </c>
      <c r="I9250" t="s">
        <v>28318</v>
      </c>
      <c r="J9250" t="s">
        <v>12182</v>
      </c>
    </row>
    <row r="9251" spans="1:10" x14ac:dyDescent="0.25">
      <c r="A9251" t="s">
        <v>28319</v>
      </c>
      <c r="B9251">
        <v>3.84</v>
      </c>
      <c r="C9251" t="s">
        <v>28320</v>
      </c>
      <c r="D9251" t="s">
        <v>46</v>
      </c>
      <c r="E9251" t="s">
        <v>28313</v>
      </c>
      <c r="F9251" t="s">
        <v>7672</v>
      </c>
      <c r="G9251" t="s">
        <v>28314</v>
      </c>
      <c r="H9251" t="s">
        <v>10298</v>
      </c>
      <c r="I9251" t="s">
        <v>28315</v>
      </c>
      <c r="J9251" t="s">
        <v>10150</v>
      </c>
    </row>
    <row r="9252" spans="1:10" x14ac:dyDescent="0.25">
      <c r="A9252" t="s">
        <v>28321</v>
      </c>
      <c r="B9252">
        <v>3.84</v>
      </c>
      <c r="C9252" t="s">
        <v>28322</v>
      </c>
      <c r="D9252" t="s">
        <v>2149</v>
      </c>
      <c r="E9252" t="s">
        <v>28313</v>
      </c>
      <c r="F9252" t="s">
        <v>7672</v>
      </c>
      <c r="G9252" t="s">
        <v>28314</v>
      </c>
      <c r="H9252" t="s">
        <v>10298</v>
      </c>
      <c r="I9252" t="s">
        <v>28318</v>
      </c>
      <c r="J9252" t="s">
        <v>10150</v>
      </c>
    </row>
    <row r="9253" spans="1:10" x14ac:dyDescent="0.25">
      <c r="A9253" t="s">
        <v>28323</v>
      </c>
      <c r="B9253">
        <v>7.68</v>
      </c>
      <c r="C9253" t="s">
        <v>28324</v>
      </c>
      <c r="D9253" t="s">
        <v>106</v>
      </c>
      <c r="E9253" t="s">
        <v>28313</v>
      </c>
      <c r="F9253" t="s">
        <v>7672</v>
      </c>
      <c r="G9253" t="s">
        <v>28314</v>
      </c>
      <c r="H9253" t="s">
        <v>10298</v>
      </c>
      <c r="I9253" t="s">
        <v>28318</v>
      </c>
      <c r="J9253" t="s">
        <v>15238</v>
      </c>
    </row>
    <row r="9254" spans="1:10" x14ac:dyDescent="0.25">
      <c r="A9254" t="s">
        <v>28325</v>
      </c>
      <c r="B9254">
        <v>7.68</v>
      </c>
      <c r="C9254" t="s">
        <v>28326</v>
      </c>
      <c r="D9254" t="s">
        <v>576</v>
      </c>
      <c r="E9254" t="s">
        <v>28313</v>
      </c>
      <c r="F9254" t="s">
        <v>7672</v>
      </c>
      <c r="G9254" t="s">
        <v>28314</v>
      </c>
      <c r="H9254" t="s">
        <v>10298</v>
      </c>
      <c r="I9254" t="s">
        <v>28315</v>
      </c>
      <c r="J9254" t="s">
        <v>15070</v>
      </c>
    </row>
    <row r="9255" spans="1:10" x14ac:dyDescent="0.25">
      <c r="A9255" t="s">
        <v>28327</v>
      </c>
      <c r="B9255">
        <v>7.68</v>
      </c>
      <c r="C9255" t="s">
        <v>28328</v>
      </c>
      <c r="D9255" t="s">
        <v>959</v>
      </c>
      <c r="E9255" t="s">
        <v>28313</v>
      </c>
      <c r="F9255" t="s">
        <v>7672</v>
      </c>
      <c r="G9255" t="s">
        <v>28314</v>
      </c>
      <c r="H9255" t="s">
        <v>10298</v>
      </c>
      <c r="I9255" t="s">
        <v>28318</v>
      </c>
      <c r="J9255" t="s">
        <v>15070</v>
      </c>
    </row>
    <row r="9256" spans="1:10" x14ac:dyDescent="0.25">
      <c r="A9256" t="s">
        <v>28329</v>
      </c>
      <c r="B9256">
        <v>7.68</v>
      </c>
      <c r="C9256" t="s">
        <v>28330</v>
      </c>
      <c r="D9256" t="s">
        <v>53</v>
      </c>
      <c r="E9256" t="s">
        <v>28313</v>
      </c>
      <c r="F9256" t="s">
        <v>7672</v>
      </c>
      <c r="G9256" t="s">
        <v>28314</v>
      </c>
      <c r="H9256" t="s">
        <v>10298</v>
      </c>
      <c r="I9256" t="s">
        <v>28315</v>
      </c>
      <c r="J9256" t="s">
        <v>15073</v>
      </c>
    </row>
    <row r="9257" spans="1:10" x14ac:dyDescent="0.25">
      <c r="A9257" t="s">
        <v>28331</v>
      </c>
      <c r="B9257">
        <v>7.68</v>
      </c>
      <c r="C9257" t="s">
        <v>28332</v>
      </c>
      <c r="D9257" t="s">
        <v>286</v>
      </c>
      <c r="E9257" t="s">
        <v>28313</v>
      </c>
      <c r="F9257" t="s">
        <v>7672</v>
      </c>
      <c r="G9257" t="s">
        <v>28314</v>
      </c>
      <c r="H9257" t="s">
        <v>10298</v>
      </c>
      <c r="I9257" t="s">
        <v>28318</v>
      </c>
      <c r="J9257" t="s">
        <v>15073</v>
      </c>
    </row>
    <row r="9258" spans="1:10" x14ac:dyDescent="0.25">
      <c r="A9258" t="s">
        <v>28333</v>
      </c>
      <c r="B9258">
        <v>7.68</v>
      </c>
      <c r="C9258" t="s">
        <v>28334</v>
      </c>
      <c r="D9258" t="s">
        <v>742</v>
      </c>
      <c r="E9258" t="s">
        <v>28313</v>
      </c>
      <c r="F9258" t="s">
        <v>7672</v>
      </c>
      <c r="G9258" t="s">
        <v>28314</v>
      </c>
      <c r="H9258" t="s">
        <v>10298</v>
      </c>
      <c r="I9258" t="s">
        <v>28315</v>
      </c>
      <c r="J9258" t="s">
        <v>15076</v>
      </c>
    </row>
    <row r="9259" spans="1:10" x14ac:dyDescent="0.25">
      <c r="A9259" t="s">
        <v>28335</v>
      </c>
      <c r="B9259">
        <v>7.68</v>
      </c>
      <c r="C9259" t="s">
        <v>28336</v>
      </c>
      <c r="D9259" t="s">
        <v>1621</v>
      </c>
      <c r="E9259" t="s">
        <v>28313</v>
      </c>
      <c r="F9259" t="s">
        <v>7672</v>
      </c>
      <c r="G9259" t="s">
        <v>28314</v>
      </c>
      <c r="H9259" t="s">
        <v>10298</v>
      </c>
      <c r="I9259" t="s">
        <v>28318</v>
      </c>
      <c r="J9259" t="s">
        <v>15076</v>
      </c>
    </row>
    <row r="9260" spans="1:10" x14ac:dyDescent="0.25">
      <c r="A9260" t="s">
        <v>28337</v>
      </c>
      <c r="B9260">
        <v>7.68</v>
      </c>
      <c r="C9260" t="s">
        <v>28338</v>
      </c>
      <c r="D9260" t="s">
        <v>106</v>
      </c>
      <c r="E9260" t="s">
        <v>28313</v>
      </c>
      <c r="F9260" t="s">
        <v>7672</v>
      </c>
      <c r="G9260" t="s">
        <v>28314</v>
      </c>
      <c r="H9260" t="s">
        <v>10298</v>
      </c>
      <c r="I9260" t="s">
        <v>28315</v>
      </c>
      <c r="J9260" t="s">
        <v>15079</v>
      </c>
    </row>
    <row r="9261" spans="1:10" x14ac:dyDescent="0.25">
      <c r="A9261" t="s">
        <v>28339</v>
      </c>
      <c r="B9261">
        <v>7.68</v>
      </c>
      <c r="C9261" t="s">
        <v>28340</v>
      </c>
      <c r="D9261" t="s">
        <v>113</v>
      </c>
      <c r="E9261" t="s">
        <v>28313</v>
      </c>
      <c r="F9261" t="s">
        <v>7672</v>
      </c>
      <c r="G9261" t="s">
        <v>28314</v>
      </c>
      <c r="H9261" t="s">
        <v>10298</v>
      </c>
      <c r="I9261" t="s">
        <v>28318</v>
      </c>
      <c r="J9261" t="s">
        <v>15079</v>
      </c>
    </row>
    <row r="9262" spans="1:10" x14ac:dyDescent="0.25">
      <c r="A9262" t="s">
        <v>28341</v>
      </c>
      <c r="B9262">
        <v>3.3519999999999999</v>
      </c>
      <c r="C9262" t="s">
        <v>28342</v>
      </c>
      <c r="D9262" t="s">
        <v>865</v>
      </c>
      <c r="E9262" t="s">
        <v>28343</v>
      </c>
      <c r="F9262" t="s">
        <v>7672</v>
      </c>
      <c r="G9262" t="s">
        <v>28344</v>
      </c>
      <c r="H9262" t="s">
        <v>7674</v>
      </c>
      <c r="I9262" t="s">
        <v>278</v>
      </c>
      <c r="J9262" t="s">
        <v>9237</v>
      </c>
    </row>
    <row r="9263" spans="1:10" x14ac:dyDescent="0.25">
      <c r="A9263" t="s">
        <v>28345</v>
      </c>
      <c r="B9263">
        <v>3.3519999999999999</v>
      </c>
      <c r="C9263" t="s">
        <v>28346</v>
      </c>
      <c r="D9263" t="s">
        <v>28347</v>
      </c>
      <c r="E9263" t="s">
        <v>28343</v>
      </c>
      <c r="F9263" t="s">
        <v>7672</v>
      </c>
      <c r="G9263" t="s">
        <v>28344</v>
      </c>
      <c r="H9263" t="s">
        <v>7674</v>
      </c>
      <c r="I9263" t="s">
        <v>278</v>
      </c>
      <c r="J9263" t="s">
        <v>8427</v>
      </c>
    </row>
    <row r="9264" spans="1:10" x14ac:dyDescent="0.25">
      <c r="A9264" t="s">
        <v>28348</v>
      </c>
      <c r="B9264">
        <v>3.3519999999999999</v>
      </c>
      <c r="C9264" t="s">
        <v>28349</v>
      </c>
      <c r="D9264" t="s">
        <v>28350</v>
      </c>
      <c r="E9264" t="s">
        <v>28343</v>
      </c>
      <c r="F9264" t="s">
        <v>7672</v>
      </c>
      <c r="G9264" t="s">
        <v>28344</v>
      </c>
      <c r="H9264" t="s">
        <v>7674</v>
      </c>
      <c r="I9264" t="s">
        <v>278</v>
      </c>
      <c r="J9264" t="s">
        <v>8439</v>
      </c>
    </row>
    <row r="9265" spans="1:10" x14ac:dyDescent="0.25">
      <c r="A9265" t="s">
        <v>28351</v>
      </c>
      <c r="B9265">
        <v>3.3519999999999999</v>
      </c>
      <c r="C9265" t="s">
        <v>28352</v>
      </c>
      <c r="D9265" t="s">
        <v>11257</v>
      </c>
      <c r="E9265" t="s">
        <v>28343</v>
      </c>
      <c r="F9265" t="s">
        <v>7672</v>
      </c>
      <c r="G9265" t="s">
        <v>28344</v>
      </c>
      <c r="H9265" t="s">
        <v>7674</v>
      </c>
      <c r="I9265" t="s">
        <v>278</v>
      </c>
      <c r="J9265" t="s">
        <v>8462</v>
      </c>
    </row>
    <row r="9266" spans="1:10" x14ac:dyDescent="0.25">
      <c r="A9266" t="s">
        <v>28353</v>
      </c>
      <c r="B9266">
        <v>3.3519999999999999</v>
      </c>
      <c r="C9266" t="s">
        <v>28354</v>
      </c>
      <c r="D9266" t="s">
        <v>3060</v>
      </c>
      <c r="E9266" t="s">
        <v>28343</v>
      </c>
      <c r="F9266" t="s">
        <v>7672</v>
      </c>
      <c r="G9266" t="s">
        <v>28344</v>
      </c>
      <c r="H9266" t="s">
        <v>7674</v>
      </c>
      <c r="I9266" t="s">
        <v>278</v>
      </c>
      <c r="J9266" t="s">
        <v>9998</v>
      </c>
    </row>
    <row r="9267" spans="1:10" x14ac:dyDescent="0.25">
      <c r="A9267" t="s">
        <v>28355</v>
      </c>
      <c r="B9267">
        <v>6.2960000000000003</v>
      </c>
      <c r="C9267" t="s">
        <v>28356</v>
      </c>
      <c r="D9267" t="s">
        <v>1459</v>
      </c>
      <c r="E9267" t="s">
        <v>28357</v>
      </c>
      <c r="F9267" t="s">
        <v>7672</v>
      </c>
      <c r="G9267" t="s">
        <v>28358</v>
      </c>
      <c r="H9267" t="s">
        <v>7674</v>
      </c>
      <c r="I9267" t="s">
        <v>497</v>
      </c>
      <c r="J9267" t="s">
        <v>9694</v>
      </c>
    </row>
    <row r="9268" spans="1:10" x14ac:dyDescent="0.25">
      <c r="A9268" t="s">
        <v>28359</v>
      </c>
      <c r="B9268">
        <v>84</v>
      </c>
      <c r="C9268" t="s">
        <v>28360</v>
      </c>
      <c r="D9268" t="s">
        <v>255</v>
      </c>
      <c r="E9268" t="s">
        <v>28361</v>
      </c>
      <c r="F9268" t="s">
        <v>7672</v>
      </c>
      <c r="G9268" t="s">
        <v>28362</v>
      </c>
      <c r="H9268" t="s">
        <v>28363</v>
      </c>
      <c r="I9268" t="s">
        <v>1243</v>
      </c>
      <c r="J9268" t="s">
        <v>106</v>
      </c>
    </row>
    <row r="9269" spans="1:10" x14ac:dyDescent="0.25">
      <c r="A9269" t="s">
        <v>28364</v>
      </c>
      <c r="B9269">
        <v>84</v>
      </c>
      <c r="C9269" t="s">
        <v>28365</v>
      </c>
      <c r="D9269" t="s">
        <v>60</v>
      </c>
      <c r="E9269" t="s">
        <v>28361</v>
      </c>
      <c r="F9269" t="s">
        <v>7672</v>
      </c>
      <c r="G9269" t="s">
        <v>28362</v>
      </c>
      <c r="H9269" t="s">
        <v>28363</v>
      </c>
      <c r="I9269" t="s">
        <v>1243</v>
      </c>
      <c r="J9269" t="s">
        <v>88</v>
      </c>
    </row>
    <row r="9270" spans="1:10" x14ac:dyDescent="0.25">
      <c r="A9270" t="s">
        <v>28366</v>
      </c>
      <c r="B9270">
        <v>84</v>
      </c>
      <c r="C9270" t="s">
        <v>28367</v>
      </c>
      <c r="D9270" t="s">
        <v>60</v>
      </c>
      <c r="E9270" t="s">
        <v>28361</v>
      </c>
      <c r="F9270" t="s">
        <v>7672</v>
      </c>
      <c r="G9270" t="s">
        <v>28362</v>
      </c>
      <c r="H9270" t="s">
        <v>28363</v>
      </c>
      <c r="I9270" t="s">
        <v>1243</v>
      </c>
      <c r="J9270" t="s">
        <v>131</v>
      </c>
    </row>
    <row r="9271" spans="1:10" x14ac:dyDescent="0.25">
      <c r="A9271" t="s">
        <v>28368</v>
      </c>
      <c r="B9271">
        <v>84</v>
      </c>
      <c r="C9271" t="s">
        <v>28369</v>
      </c>
      <c r="D9271" t="s">
        <v>342</v>
      </c>
      <c r="E9271" t="s">
        <v>28361</v>
      </c>
      <c r="F9271" t="s">
        <v>7672</v>
      </c>
      <c r="G9271" t="s">
        <v>28362</v>
      </c>
      <c r="H9271" t="s">
        <v>28363</v>
      </c>
      <c r="I9271" t="s">
        <v>1243</v>
      </c>
      <c r="J9271" t="s">
        <v>269</v>
      </c>
    </row>
    <row r="9272" spans="1:10" x14ac:dyDescent="0.25">
      <c r="A9272" t="s">
        <v>28370</v>
      </c>
      <c r="B9272">
        <v>84</v>
      </c>
      <c r="C9272" t="s">
        <v>28371</v>
      </c>
      <c r="D9272" t="s">
        <v>53</v>
      </c>
      <c r="E9272" t="s">
        <v>28361</v>
      </c>
      <c r="F9272" t="s">
        <v>7672</v>
      </c>
      <c r="G9272" t="s">
        <v>28362</v>
      </c>
      <c r="H9272" t="s">
        <v>28363</v>
      </c>
      <c r="I9272" t="s">
        <v>1243</v>
      </c>
      <c r="J9272" t="s">
        <v>576</v>
      </c>
    </row>
    <row r="9273" spans="1:10" x14ac:dyDescent="0.25">
      <c r="A9273" t="s">
        <v>28372</v>
      </c>
      <c r="B9273">
        <v>84</v>
      </c>
      <c r="C9273" t="s">
        <v>28373</v>
      </c>
      <c r="D9273" t="s">
        <v>53</v>
      </c>
      <c r="E9273" t="s">
        <v>28361</v>
      </c>
      <c r="F9273" t="s">
        <v>7672</v>
      </c>
      <c r="G9273" t="s">
        <v>28362</v>
      </c>
      <c r="H9273" t="s">
        <v>28363</v>
      </c>
      <c r="I9273" t="s">
        <v>1243</v>
      </c>
      <c r="J9273" t="s">
        <v>255</v>
      </c>
    </row>
    <row r="9274" spans="1:10" x14ac:dyDescent="0.25">
      <c r="A9274" t="s">
        <v>28374</v>
      </c>
      <c r="B9274">
        <v>3.84</v>
      </c>
      <c r="C9274" t="s">
        <v>28375</v>
      </c>
      <c r="D9274" t="s">
        <v>3378</v>
      </c>
      <c r="E9274" t="s">
        <v>28376</v>
      </c>
      <c r="F9274" t="s">
        <v>7672</v>
      </c>
      <c r="G9274" t="s">
        <v>18891</v>
      </c>
      <c r="H9274" t="s">
        <v>7674</v>
      </c>
      <c r="I9274" t="s">
        <v>28377</v>
      </c>
      <c r="J9274" t="s">
        <v>16039</v>
      </c>
    </row>
    <row r="9275" spans="1:10" x14ac:dyDescent="0.25">
      <c r="A9275" t="s">
        <v>28378</v>
      </c>
      <c r="B9275">
        <v>3.84</v>
      </c>
      <c r="C9275" t="s">
        <v>28379</v>
      </c>
      <c r="D9275" t="s">
        <v>725</v>
      </c>
      <c r="E9275" t="s">
        <v>28376</v>
      </c>
      <c r="F9275" t="s">
        <v>7672</v>
      </c>
      <c r="G9275" t="s">
        <v>18891</v>
      </c>
      <c r="H9275" t="s">
        <v>7674</v>
      </c>
      <c r="I9275" t="s">
        <v>28380</v>
      </c>
      <c r="J9275" t="s">
        <v>16039</v>
      </c>
    </row>
    <row r="9276" spans="1:10" x14ac:dyDescent="0.25">
      <c r="A9276" t="s">
        <v>28381</v>
      </c>
      <c r="B9276">
        <v>3.84</v>
      </c>
      <c r="C9276" t="s">
        <v>28382</v>
      </c>
      <c r="D9276" t="s">
        <v>1459</v>
      </c>
      <c r="E9276" t="s">
        <v>28376</v>
      </c>
      <c r="F9276" t="s">
        <v>7672</v>
      </c>
      <c r="G9276" t="s">
        <v>18891</v>
      </c>
      <c r="H9276" t="s">
        <v>7674</v>
      </c>
      <c r="I9276" t="s">
        <v>28380</v>
      </c>
      <c r="J9276" t="s">
        <v>16064</v>
      </c>
    </row>
    <row r="9277" spans="1:10" x14ac:dyDescent="0.25">
      <c r="A9277" t="s">
        <v>28383</v>
      </c>
      <c r="B9277">
        <v>3.84</v>
      </c>
      <c r="C9277" t="s">
        <v>28384</v>
      </c>
      <c r="D9277" t="s">
        <v>8530</v>
      </c>
      <c r="E9277" t="s">
        <v>28376</v>
      </c>
      <c r="F9277" t="s">
        <v>7672</v>
      </c>
      <c r="G9277" t="s">
        <v>18891</v>
      </c>
      <c r="H9277" t="s">
        <v>7674</v>
      </c>
      <c r="I9277" t="s">
        <v>28377</v>
      </c>
      <c r="J9277" t="s">
        <v>16064</v>
      </c>
    </row>
    <row r="9278" spans="1:10" x14ac:dyDescent="0.25">
      <c r="A9278" t="s">
        <v>28385</v>
      </c>
      <c r="B9278">
        <v>3.84</v>
      </c>
      <c r="C9278" t="s">
        <v>28386</v>
      </c>
      <c r="D9278" t="s">
        <v>19353</v>
      </c>
      <c r="E9278" t="s">
        <v>28376</v>
      </c>
      <c r="F9278" t="s">
        <v>7672</v>
      </c>
      <c r="G9278" t="s">
        <v>18891</v>
      </c>
      <c r="H9278" t="s">
        <v>7674</v>
      </c>
      <c r="I9278" t="s">
        <v>28377</v>
      </c>
      <c r="J9278" t="s">
        <v>16089</v>
      </c>
    </row>
    <row r="9279" spans="1:10" x14ac:dyDescent="0.25">
      <c r="A9279" t="s">
        <v>28387</v>
      </c>
      <c r="B9279">
        <v>3.84</v>
      </c>
      <c r="C9279" t="s">
        <v>28388</v>
      </c>
      <c r="D9279" t="s">
        <v>5105</v>
      </c>
      <c r="E9279" t="s">
        <v>28376</v>
      </c>
      <c r="F9279" t="s">
        <v>7672</v>
      </c>
      <c r="G9279" t="s">
        <v>18891</v>
      </c>
      <c r="H9279" t="s">
        <v>7674</v>
      </c>
      <c r="I9279" t="s">
        <v>28380</v>
      </c>
      <c r="J9279" t="s">
        <v>16089</v>
      </c>
    </row>
    <row r="9280" spans="1:10" x14ac:dyDescent="0.25">
      <c r="A9280" t="s">
        <v>28389</v>
      </c>
      <c r="B9280">
        <v>3.84</v>
      </c>
      <c r="C9280" t="s">
        <v>28390</v>
      </c>
      <c r="D9280" t="s">
        <v>28391</v>
      </c>
      <c r="E9280" t="s">
        <v>28376</v>
      </c>
      <c r="F9280" t="s">
        <v>7672</v>
      </c>
      <c r="G9280" t="s">
        <v>18891</v>
      </c>
      <c r="H9280" t="s">
        <v>7674</v>
      </c>
      <c r="I9280" t="s">
        <v>28377</v>
      </c>
      <c r="J9280" t="s">
        <v>16104</v>
      </c>
    </row>
    <row r="9281" spans="1:10" x14ac:dyDescent="0.25">
      <c r="A9281" t="s">
        <v>28392</v>
      </c>
      <c r="B9281">
        <v>3.84</v>
      </c>
      <c r="C9281" t="s">
        <v>28393</v>
      </c>
      <c r="D9281" t="s">
        <v>8024</v>
      </c>
      <c r="E9281" t="s">
        <v>28376</v>
      </c>
      <c r="F9281" t="s">
        <v>7672</v>
      </c>
      <c r="G9281" t="s">
        <v>18891</v>
      </c>
      <c r="H9281" t="s">
        <v>7674</v>
      </c>
      <c r="I9281" t="s">
        <v>28380</v>
      </c>
      <c r="J9281" t="s">
        <v>16104</v>
      </c>
    </row>
    <row r="9282" spans="1:10" x14ac:dyDescent="0.25">
      <c r="A9282" t="s">
        <v>28394</v>
      </c>
      <c r="B9282">
        <v>3.84</v>
      </c>
      <c r="C9282" t="s">
        <v>28395</v>
      </c>
      <c r="D9282" t="s">
        <v>19550</v>
      </c>
      <c r="E9282" t="s">
        <v>28376</v>
      </c>
      <c r="F9282" t="s">
        <v>7672</v>
      </c>
      <c r="G9282" t="s">
        <v>18891</v>
      </c>
      <c r="H9282" t="s">
        <v>7674</v>
      </c>
      <c r="I9282" t="s">
        <v>28377</v>
      </c>
      <c r="J9282" t="s">
        <v>16125</v>
      </c>
    </row>
    <row r="9283" spans="1:10" x14ac:dyDescent="0.25">
      <c r="A9283" t="s">
        <v>28396</v>
      </c>
      <c r="B9283">
        <v>3.84</v>
      </c>
      <c r="C9283" t="s">
        <v>28397</v>
      </c>
      <c r="D9283" t="s">
        <v>10616</v>
      </c>
      <c r="E9283" t="s">
        <v>28376</v>
      </c>
      <c r="F9283" t="s">
        <v>7672</v>
      </c>
      <c r="G9283" t="s">
        <v>18891</v>
      </c>
      <c r="H9283" t="s">
        <v>7674</v>
      </c>
      <c r="I9283" t="s">
        <v>28380</v>
      </c>
      <c r="J9283" t="s">
        <v>16125</v>
      </c>
    </row>
    <row r="9284" spans="1:10" x14ac:dyDescent="0.25">
      <c r="A9284" t="s">
        <v>28398</v>
      </c>
      <c r="B9284">
        <v>3.84</v>
      </c>
      <c r="C9284" t="s">
        <v>28399</v>
      </c>
      <c r="D9284" t="s">
        <v>14276</v>
      </c>
      <c r="E9284" t="s">
        <v>28376</v>
      </c>
      <c r="F9284" t="s">
        <v>7672</v>
      </c>
      <c r="G9284" t="s">
        <v>18891</v>
      </c>
      <c r="H9284" t="s">
        <v>7674</v>
      </c>
      <c r="I9284" t="s">
        <v>28377</v>
      </c>
      <c r="J9284" t="s">
        <v>16143</v>
      </c>
    </row>
    <row r="9285" spans="1:10" x14ac:dyDescent="0.25">
      <c r="A9285" t="s">
        <v>28400</v>
      </c>
      <c r="B9285">
        <v>3.84</v>
      </c>
      <c r="C9285" t="s">
        <v>28401</v>
      </c>
      <c r="D9285" t="s">
        <v>16072</v>
      </c>
      <c r="E9285" t="s">
        <v>28376</v>
      </c>
      <c r="F9285" t="s">
        <v>7672</v>
      </c>
      <c r="G9285" t="s">
        <v>18891</v>
      </c>
      <c r="H9285" t="s">
        <v>7674</v>
      </c>
      <c r="I9285" t="s">
        <v>28380</v>
      </c>
      <c r="J9285" t="s">
        <v>16143</v>
      </c>
    </row>
    <row r="9286" spans="1:10" x14ac:dyDescent="0.25">
      <c r="A9286" t="s">
        <v>28402</v>
      </c>
      <c r="B9286">
        <v>16.792000000000002</v>
      </c>
      <c r="C9286" t="s">
        <v>28403</v>
      </c>
      <c r="D9286" t="s">
        <v>2072</v>
      </c>
      <c r="E9286" t="s">
        <v>28404</v>
      </c>
      <c r="F9286" t="s">
        <v>7672</v>
      </c>
      <c r="G9286" t="s">
        <v>28405</v>
      </c>
      <c r="H9286" t="s">
        <v>18685</v>
      </c>
      <c r="I9286" t="s">
        <v>76</v>
      </c>
      <c r="J9286" t="s">
        <v>7942</v>
      </c>
    </row>
    <row r="9287" spans="1:10" x14ac:dyDescent="0.25">
      <c r="A9287" t="s">
        <v>28406</v>
      </c>
      <c r="B9287">
        <v>16.792000000000002</v>
      </c>
      <c r="C9287" t="s">
        <v>28407</v>
      </c>
      <c r="D9287" t="s">
        <v>4924</v>
      </c>
      <c r="E9287" t="s">
        <v>28404</v>
      </c>
      <c r="F9287" t="s">
        <v>7672</v>
      </c>
      <c r="G9287" t="s">
        <v>28405</v>
      </c>
      <c r="H9287" t="s">
        <v>18685</v>
      </c>
      <c r="I9287" t="s">
        <v>76</v>
      </c>
      <c r="J9287" t="s">
        <v>7981</v>
      </c>
    </row>
    <row r="9288" spans="1:10" x14ac:dyDescent="0.25">
      <c r="A9288" t="s">
        <v>28408</v>
      </c>
      <c r="B9288">
        <v>16.792000000000002</v>
      </c>
      <c r="C9288" t="s">
        <v>28409</v>
      </c>
      <c r="D9288" t="s">
        <v>2198</v>
      </c>
      <c r="E9288" t="s">
        <v>28404</v>
      </c>
      <c r="F9288" t="s">
        <v>7672</v>
      </c>
      <c r="G9288" t="s">
        <v>28405</v>
      </c>
      <c r="H9288" t="s">
        <v>18685</v>
      </c>
      <c r="I9288" t="s">
        <v>76</v>
      </c>
      <c r="J9288" t="s">
        <v>7984</v>
      </c>
    </row>
    <row r="9289" spans="1:10" x14ac:dyDescent="0.25">
      <c r="A9289" t="s">
        <v>28410</v>
      </c>
      <c r="B9289">
        <v>16.792000000000002</v>
      </c>
      <c r="C9289" t="s">
        <v>28411</v>
      </c>
      <c r="D9289" t="s">
        <v>664</v>
      </c>
      <c r="E9289" t="s">
        <v>28404</v>
      </c>
      <c r="F9289" t="s">
        <v>7672</v>
      </c>
      <c r="G9289" t="s">
        <v>28405</v>
      </c>
      <c r="H9289" t="s">
        <v>18685</v>
      </c>
      <c r="I9289" t="s">
        <v>76</v>
      </c>
      <c r="J9289" t="s">
        <v>7987</v>
      </c>
    </row>
    <row r="9290" spans="1:10" x14ac:dyDescent="0.25">
      <c r="A9290" t="s">
        <v>28412</v>
      </c>
      <c r="B9290">
        <v>16.792000000000002</v>
      </c>
      <c r="C9290" t="s">
        <v>28413</v>
      </c>
      <c r="D9290" t="s">
        <v>725</v>
      </c>
      <c r="E9290" t="s">
        <v>28404</v>
      </c>
      <c r="F9290" t="s">
        <v>7672</v>
      </c>
      <c r="G9290" t="s">
        <v>28405</v>
      </c>
      <c r="H9290" t="s">
        <v>18685</v>
      </c>
      <c r="I9290" t="s">
        <v>76</v>
      </c>
      <c r="J9290" t="s">
        <v>8001</v>
      </c>
    </row>
    <row r="9291" spans="1:10" x14ac:dyDescent="0.25">
      <c r="A9291" t="s">
        <v>28414</v>
      </c>
      <c r="B9291">
        <v>10</v>
      </c>
      <c r="C9291" t="s">
        <v>28415</v>
      </c>
      <c r="D9291" t="s">
        <v>715</v>
      </c>
      <c r="E9291" t="s">
        <v>28416</v>
      </c>
      <c r="F9291" t="s">
        <v>7672</v>
      </c>
      <c r="G9291" t="s">
        <v>28417</v>
      </c>
      <c r="H9291" t="s">
        <v>8673</v>
      </c>
      <c r="I9291" t="s">
        <v>28418</v>
      </c>
      <c r="J9291" t="s">
        <v>7675</v>
      </c>
    </row>
    <row r="9292" spans="1:10" x14ac:dyDescent="0.25">
      <c r="A9292" t="s">
        <v>28419</v>
      </c>
      <c r="B9292">
        <v>10</v>
      </c>
      <c r="C9292" t="s">
        <v>28420</v>
      </c>
      <c r="D9292" t="s">
        <v>991</v>
      </c>
      <c r="E9292" t="s">
        <v>28416</v>
      </c>
      <c r="F9292" t="s">
        <v>7672</v>
      </c>
      <c r="G9292" t="s">
        <v>28417</v>
      </c>
      <c r="H9292" t="s">
        <v>8673</v>
      </c>
      <c r="I9292" t="s">
        <v>28421</v>
      </c>
      <c r="J9292" t="s">
        <v>7675</v>
      </c>
    </row>
    <row r="9293" spans="1:10" x14ac:dyDescent="0.25">
      <c r="A9293" t="s">
        <v>28422</v>
      </c>
      <c r="B9293">
        <v>10</v>
      </c>
      <c r="C9293" t="s">
        <v>28423</v>
      </c>
      <c r="D9293" t="s">
        <v>1832</v>
      </c>
      <c r="E9293" t="s">
        <v>28416</v>
      </c>
      <c r="F9293" t="s">
        <v>7672</v>
      </c>
      <c r="G9293" t="s">
        <v>28417</v>
      </c>
      <c r="H9293" t="s">
        <v>8673</v>
      </c>
      <c r="I9293" t="s">
        <v>28421</v>
      </c>
      <c r="J9293" t="s">
        <v>7686</v>
      </c>
    </row>
    <row r="9294" spans="1:10" x14ac:dyDescent="0.25">
      <c r="A9294" t="s">
        <v>28424</v>
      </c>
      <c r="B9294">
        <v>10</v>
      </c>
      <c r="C9294" t="s">
        <v>28425</v>
      </c>
      <c r="D9294" t="s">
        <v>17459</v>
      </c>
      <c r="E9294" t="s">
        <v>28416</v>
      </c>
      <c r="F9294" t="s">
        <v>7672</v>
      </c>
      <c r="G9294" t="s">
        <v>28417</v>
      </c>
      <c r="H9294" t="s">
        <v>8673</v>
      </c>
      <c r="I9294" t="s">
        <v>28418</v>
      </c>
      <c r="J9294" t="s">
        <v>7686</v>
      </c>
    </row>
    <row r="9295" spans="1:10" x14ac:dyDescent="0.25">
      <c r="A9295" t="s">
        <v>28426</v>
      </c>
      <c r="B9295">
        <v>10</v>
      </c>
      <c r="C9295" t="s">
        <v>28427</v>
      </c>
      <c r="D9295" t="s">
        <v>8853</v>
      </c>
      <c r="E9295" t="s">
        <v>28416</v>
      </c>
      <c r="F9295" t="s">
        <v>7672</v>
      </c>
      <c r="G9295" t="s">
        <v>28417</v>
      </c>
      <c r="H9295" t="s">
        <v>8673</v>
      </c>
      <c r="I9295" t="s">
        <v>28418</v>
      </c>
      <c r="J9295" t="s">
        <v>7703</v>
      </c>
    </row>
    <row r="9296" spans="1:10" x14ac:dyDescent="0.25">
      <c r="A9296" t="s">
        <v>28428</v>
      </c>
      <c r="B9296">
        <v>10</v>
      </c>
      <c r="C9296" t="s">
        <v>28429</v>
      </c>
      <c r="D9296" t="s">
        <v>3954</v>
      </c>
      <c r="E9296" t="s">
        <v>28416</v>
      </c>
      <c r="F9296" t="s">
        <v>7672</v>
      </c>
      <c r="G9296" t="s">
        <v>28417</v>
      </c>
      <c r="H9296" t="s">
        <v>8673</v>
      </c>
      <c r="I9296" t="s">
        <v>28421</v>
      </c>
      <c r="J9296" t="s">
        <v>7703</v>
      </c>
    </row>
    <row r="9297" spans="1:10" x14ac:dyDescent="0.25">
      <c r="A9297" t="s">
        <v>28430</v>
      </c>
      <c r="B9297">
        <v>10</v>
      </c>
      <c r="C9297" t="s">
        <v>28431</v>
      </c>
      <c r="D9297" t="s">
        <v>2262</v>
      </c>
      <c r="E9297" t="s">
        <v>28416</v>
      </c>
      <c r="F9297" t="s">
        <v>7672</v>
      </c>
      <c r="G9297" t="s">
        <v>28417</v>
      </c>
      <c r="H9297" t="s">
        <v>8673</v>
      </c>
      <c r="I9297" t="s">
        <v>28421</v>
      </c>
      <c r="J9297" t="s">
        <v>7713</v>
      </c>
    </row>
    <row r="9298" spans="1:10" x14ac:dyDescent="0.25">
      <c r="A9298" t="s">
        <v>28432</v>
      </c>
      <c r="B9298">
        <v>10</v>
      </c>
      <c r="C9298" t="s">
        <v>28433</v>
      </c>
      <c r="D9298" t="s">
        <v>6480</v>
      </c>
      <c r="E9298" t="s">
        <v>28416</v>
      </c>
      <c r="F9298" t="s">
        <v>7672</v>
      </c>
      <c r="G9298" t="s">
        <v>28417</v>
      </c>
      <c r="H9298" t="s">
        <v>8673</v>
      </c>
      <c r="I9298" t="s">
        <v>28418</v>
      </c>
      <c r="J9298" t="s">
        <v>7713</v>
      </c>
    </row>
    <row r="9299" spans="1:10" x14ac:dyDescent="0.25">
      <c r="A9299" t="s">
        <v>28434</v>
      </c>
      <c r="B9299">
        <v>10</v>
      </c>
      <c r="C9299" t="s">
        <v>28435</v>
      </c>
      <c r="D9299" t="s">
        <v>659</v>
      </c>
      <c r="E9299" t="s">
        <v>28416</v>
      </c>
      <c r="F9299" t="s">
        <v>7672</v>
      </c>
      <c r="G9299" t="s">
        <v>28417</v>
      </c>
      <c r="H9299" t="s">
        <v>8673</v>
      </c>
      <c r="I9299" t="s">
        <v>28421</v>
      </c>
      <c r="J9299" t="s">
        <v>7719</v>
      </c>
    </row>
    <row r="9300" spans="1:10" x14ac:dyDescent="0.25">
      <c r="A9300" t="s">
        <v>28436</v>
      </c>
      <c r="B9300">
        <v>10</v>
      </c>
      <c r="C9300" t="s">
        <v>28437</v>
      </c>
      <c r="D9300" t="s">
        <v>1567</v>
      </c>
      <c r="E9300" t="s">
        <v>28416</v>
      </c>
      <c r="F9300" t="s">
        <v>7672</v>
      </c>
      <c r="G9300" t="s">
        <v>28417</v>
      </c>
      <c r="H9300" t="s">
        <v>8673</v>
      </c>
      <c r="I9300" t="s">
        <v>28418</v>
      </c>
      <c r="J9300" t="s">
        <v>7719</v>
      </c>
    </row>
    <row r="9301" spans="1:10" x14ac:dyDescent="0.25">
      <c r="A9301" t="s">
        <v>77</v>
      </c>
      <c r="B9301">
        <v>13.896000000000001</v>
      </c>
      <c r="C9301" t="s">
        <v>79</v>
      </c>
      <c r="D9301" t="s">
        <v>60</v>
      </c>
      <c r="E9301" t="s">
        <v>80</v>
      </c>
      <c r="F9301" t="s">
        <v>7672</v>
      </c>
      <c r="G9301" t="s">
        <v>28438</v>
      </c>
      <c r="H9301" t="s">
        <v>10970</v>
      </c>
      <c r="I9301" t="s">
        <v>28439</v>
      </c>
      <c r="J9301" t="s">
        <v>28440</v>
      </c>
    </row>
    <row r="9302" spans="1:10" x14ac:dyDescent="0.25">
      <c r="A9302" t="s">
        <v>84</v>
      </c>
      <c r="B9302">
        <v>13.896000000000001</v>
      </c>
      <c r="C9302" t="s">
        <v>86</v>
      </c>
      <c r="D9302" t="s">
        <v>88</v>
      </c>
      <c r="E9302" t="s">
        <v>80</v>
      </c>
      <c r="F9302" t="s">
        <v>7672</v>
      </c>
      <c r="G9302" t="s">
        <v>28438</v>
      </c>
      <c r="H9302" t="s">
        <v>10970</v>
      </c>
      <c r="I9302" t="s">
        <v>28441</v>
      </c>
      <c r="J9302" t="s">
        <v>28442</v>
      </c>
    </row>
    <row r="9303" spans="1:10" x14ac:dyDescent="0.25">
      <c r="A9303" t="s">
        <v>91</v>
      </c>
      <c r="B9303">
        <v>13.896000000000001</v>
      </c>
      <c r="C9303" t="s">
        <v>93</v>
      </c>
      <c r="D9303" t="s">
        <v>95</v>
      </c>
      <c r="E9303" t="s">
        <v>80</v>
      </c>
      <c r="F9303" t="s">
        <v>7672</v>
      </c>
      <c r="G9303" t="s">
        <v>28438</v>
      </c>
      <c r="H9303" t="s">
        <v>10970</v>
      </c>
      <c r="I9303" t="s">
        <v>28439</v>
      </c>
      <c r="J9303" t="s">
        <v>28442</v>
      </c>
    </row>
    <row r="9304" spans="1:10" x14ac:dyDescent="0.25">
      <c r="A9304" t="s">
        <v>96</v>
      </c>
      <c r="B9304">
        <v>13.896000000000001</v>
      </c>
      <c r="C9304" t="s">
        <v>98</v>
      </c>
      <c r="D9304" t="s">
        <v>100</v>
      </c>
      <c r="E9304" t="s">
        <v>80</v>
      </c>
      <c r="F9304" t="s">
        <v>7672</v>
      </c>
      <c r="G9304" t="s">
        <v>28438</v>
      </c>
      <c r="H9304" t="s">
        <v>10970</v>
      </c>
      <c r="I9304" t="s">
        <v>28441</v>
      </c>
      <c r="J9304" t="s">
        <v>28443</v>
      </c>
    </row>
    <row r="9305" spans="1:10" x14ac:dyDescent="0.25">
      <c r="A9305" t="s">
        <v>28444</v>
      </c>
      <c r="B9305">
        <v>10.4</v>
      </c>
      <c r="C9305" t="s">
        <v>28445</v>
      </c>
      <c r="D9305" t="s">
        <v>240</v>
      </c>
      <c r="E9305" t="s">
        <v>28446</v>
      </c>
      <c r="F9305" t="s">
        <v>7672</v>
      </c>
      <c r="G9305" t="s">
        <v>28447</v>
      </c>
      <c r="H9305" t="s">
        <v>28142</v>
      </c>
      <c r="I9305" t="s">
        <v>11439</v>
      </c>
      <c r="J9305" t="s">
        <v>7984</v>
      </c>
    </row>
    <row r="9306" spans="1:10" x14ac:dyDescent="0.25">
      <c r="A9306" t="s">
        <v>28448</v>
      </c>
      <c r="B9306">
        <v>10.4</v>
      </c>
      <c r="C9306" t="s">
        <v>28449</v>
      </c>
      <c r="D9306" t="s">
        <v>277</v>
      </c>
      <c r="E9306" t="s">
        <v>28446</v>
      </c>
      <c r="F9306" t="s">
        <v>7672</v>
      </c>
      <c r="G9306" t="s">
        <v>28447</v>
      </c>
      <c r="H9306" t="s">
        <v>28142</v>
      </c>
      <c r="I9306" t="s">
        <v>5202</v>
      </c>
      <c r="J9306" t="s">
        <v>7984</v>
      </c>
    </row>
    <row r="9307" spans="1:10" x14ac:dyDescent="0.25">
      <c r="A9307" t="s">
        <v>28450</v>
      </c>
      <c r="B9307">
        <v>10.4</v>
      </c>
      <c r="C9307" t="s">
        <v>28451</v>
      </c>
      <c r="D9307" t="s">
        <v>199</v>
      </c>
      <c r="E9307" t="s">
        <v>28446</v>
      </c>
      <c r="F9307" t="s">
        <v>7672</v>
      </c>
      <c r="G9307" t="s">
        <v>28447</v>
      </c>
      <c r="H9307" t="s">
        <v>28142</v>
      </c>
      <c r="I9307" t="s">
        <v>11439</v>
      </c>
      <c r="J9307" t="s">
        <v>7987</v>
      </c>
    </row>
    <row r="9308" spans="1:10" x14ac:dyDescent="0.25">
      <c r="A9308" t="s">
        <v>28452</v>
      </c>
      <c r="B9308">
        <v>10.4</v>
      </c>
      <c r="C9308" t="s">
        <v>28453</v>
      </c>
      <c r="D9308" t="s">
        <v>88</v>
      </c>
      <c r="E9308" t="s">
        <v>28446</v>
      </c>
      <c r="F9308" t="s">
        <v>7672</v>
      </c>
      <c r="G9308" t="s">
        <v>28447</v>
      </c>
      <c r="H9308" t="s">
        <v>28142</v>
      </c>
      <c r="I9308" t="s">
        <v>5202</v>
      </c>
      <c r="J9308" t="s">
        <v>7987</v>
      </c>
    </row>
    <row r="9309" spans="1:10" x14ac:dyDescent="0.25">
      <c r="A9309" t="s">
        <v>28454</v>
      </c>
      <c r="B9309">
        <v>5.9920000000000009</v>
      </c>
      <c r="C9309" t="s">
        <v>28455</v>
      </c>
      <c r="D9309" t="s">
        <v>131</v>
      </c>
      <c r="E9309" t="s">
        <v>28456</v>
      </c>
      <c r="F9309" t="s">
        <v>7672</v>
      </c>
      <c r="G9309" t="s">
        <v>28457</v>
      </c>
      <c r="H9309" t="s">
        <v>13951</v>
      </c>
      <c r="I9309" t="s">
        <v>145</v>
      </c>
      <c r="J9309" t="s">
        <v>11498</v>
      </c>
    </row>
    <row r="9310" spans="1:10" x14ac:dyDescent="0.25">
      <c r="A9310" t="s">
        <v>28458</v>
      </c>
      <c r="B9310">
        <v>5.9920000000000009</v>
      </c>
      <c r="C9310" t="s">
        <v>28459</v>
      </c>
      <c r="D9310" t="s">
        <v>240</v>
      </c>
      <c r="E9310" t="s">
        <v>28456</v>
      </c>
      <c r="F9310" t="s">
        <v>7672</v>
      </c>
      <c r="G9310" t="s">
        <v>28457</v>
      </c>
      <c r="H9310" t="s">
        <v>13951</v>
      </c>
      <c r="I9310" t="s">
        <v>145</v>
      </c>
      <c r="J9310" t="s">
        <v>11499</v>
      </c>
    </row>
    <row r="9311" spans="1:10" x14ac:dyDescent="0.25">
      <c r="A9311" t="s">
        <v>28460</v>
      </c>
      <c r="B9311">
        <v>5.9920000000000009</v>
      </c>
      <c r="C9311" t="s">
        <v>28461</v>
      </c>
      <c r="D9311" t="s">
        <v>959</v>
      </c>
      <c r="E9311" t="s">
        <v>28456</v>
      </c>
      <c r="F9311" t="s">
        <v>7672</v>
      </c>
      <c r="G9311" t="s">
        <v>28457</v>
      </c>
      <c r="H9311" t="s">
        <v>13951</v>
      </c>
      <c r="I9311" t="s">
        <v>145</v>
      </c>
      <c r="J9311" t="s">
        <v>11500</v>
      </c>
    </row>
    <row r="9312" spans="1:10" x14ac:dyDescent="0.25">
      <c r="A9312" t="s">
        <v>28462</v>
      </c>
      <c r="B9312">
        <v>9.6000000000000014</v>
      </c>
      <c r="C9312" t="s">
        <v>28463</v>
      </c>
      <c r="D9312" t="s">
        <v>1852</v>
      </c>
      <c r="E9312" t="s">
        <v>28464</v>
      </c>
      <c r="F9312" t="s">
        <v>7672</v>
      </c>
      <c r="G9312" t="s">
        <v>28465</v>
      </c>
      <c r="H9312" t="s">
        <v>7674</v>
      </c>
      <c r="I9312" t="s">
        <v>28466</v>
      </c>
      <c r="J9312" t="s">
        <v>9023</v>
      </c>
    </row>
    <row r="9313" spans="1:10" x14ac:dyDescent="0.25">
      <c r="A9313" t="s">
        <v>28467</v>
      </c>
      <c r="B9313">
        <v>9.6000000000000014</v>
      </c>
      <c r="C9313" t="s">
        <v>28468</v>
      </c>
      <c r="D9313" t="s">
        <v>1822</v>
      </c>
      <c r="E9313" t="s">
        <v>28464</v>
      </c>
      <c r="F9313" t="s">
        <v>7672</v>
      </c>
      <c r="G9313" t="s">
        <v>28465</v>
      </c>
      <c r="H9313" t="s">
        <v>7674</v>
      </c>
      <c r="I9313" t="s">
        <v>21747</v>
      </c>
      <c r="J9313" t="s">
        <v>9023</v>
      </c>
    </row>
    <row r="9314" spans="1:10" x14ac:dyDescent="0.25">
      <c r="A9314" t="s">
        <v>28469</v>
      </c>
      <c r="B9314">
        <v>9.6000000000000014</v>
      </c>
      <c r="C9314" t="s">
        <v>28470</v>
      </c>
      <c r="D9314" t="s">
        <v>240</v>
      </c>
      <c r="E9314" t="s">
        <v>28464</v>
      </c>
      <c r="F9314" t="s">
        <v>7672</v>
      </c>
      <c r="G9314" t="s">
        <v>28465</v>
      </c>
      <c r="H9314" t="s">
        <v>7674</v>
      </c>
      <c r="I9314" t="s">
        <v>5740</v>
      </c>
      <c r="J9314" t="s">
        <v>9023</v>
      </c>
    </row>
    <row r="9315" spans="1:10" x14ac:dyDescent="0.25">
      <c r="A9315" t="s">
        <v>28471</v>
      </c>
      <c r="B9315">
        <v>9.6000000000000014</v>
      </c>
      <c r="C9315" t="s">
        <v>28472</v>
      </c>
      <c r="D9315" t="s">
        <v>113</v>
      </c>
      <c r="E9315" t="s">
        <v>28464</v>
      </c>
      <c r="F9315" t="s">
        <v>7672</v>
      </c>
      <c r="G9315" t="s">
        <v>28465</v>
      </c>
      <c r="H9315" t="s">
        <v>7674</v>
      </c>
      <c r="I9315" t="s">
        <v>10349</v>
      </c>
      <c r="J9315" t="s">
        <v>9023</v>
      </c>
    </row>
    <row r="9316" spans="1:10" x14ac:dyDescent="0.25">
      <c r="A9316" t="s">
        <v>28473</v>
      </c>
      <c r="B9316">
        <v>9.6000000000000014</v>
      </c>
      <c r="C9316" t="s">
        <v>28474</v>
      </c>
      <c r="D9316" t="s">
        <v>664</v>
      </c>
      <c r="E9316" t="s">
        <v>28464</v>
      </c>
      <c r="F9316" t="s">
        <v>7672</v>
      </c>
      <c r="G9316" t="s">
        <v>28465</v>
      </c>
      <c r="H9316" t="s">
        <v>7674</v>
      </c>
      <c r="I9316" t="s">
        <v>28475</v>
      </c>
      <c r="J9316" t="s">
        <v>9023</v>
      </c>
    </row>
    <row r="9317" spans="1:10" x14ac:dyDescent="0.25">
      <c r="A9317" t="s">
        <v>28476</v>
      </c>
      <c r="B9317">
        <v>9.6000000000000014</v>
      </c>
      <c r="C9317" t="s">
        <v>28477</v>
      </c>
      <c r="D9317" t="s">
        <v>53</v>
      </c>
      <c r="E9317" t="s">
        <v>28464</v>
      </c>
      <c r="F9317" t="s">
        <v>7672</v>
      </c>
      <c r="G9317" t="s">
        <v>28465</v>
      </c>
      <c r="H9317" t="s">
        <v>7674</v>
      </c>
      <c r="I9317" t="s">
        <v>28475</v>
      </c>
      <c r="J9317" t="s">
        <v>8883</v>
      </c>
    </row>
    <row r="9318" spans="1:10" x14ac:dyDescent="0.25">
      <c r="A9318" t="s">
        <v>28478</v>
      </c>
      <c r="B9318">
        <v>9.6000000000000014</v>
      </c>
      <c r="C9318" t="s">
        <v>28479</v>
      </c>
      <c r="D9318" t="s">
        <v>240</v>
      </c>
      <c r="E9318" t="s">
        <v>28480</v>
      </c>
      <c r="F9318" t="s">
        <v>7672</v>
      </c>
      <c r="G9318" t="s">
        <v>28481</v>
      </c>
      <c r="H9318" t="s">
        <v>10321</v>
      </c>
      <c r="I9318" t="s">
        <v>16883</v>
      </c>
      <c r="J9318" t="s">
        <v>11373</v>
      </c>
    </row>
    <row r="9319" spans="1:10" x14ac:dyDescent="0.25">
      <c r="A9319" t="s">
        <v>101</v>
      </c>
      <c r="B9319">
        <v>4.8000000000000007</v>
      </c>
      <c r="C9319" t="s">
        <v>103</v>
      </c>
      <c r="D9319" t="s">
        <v>106</v>
      </c>
      <c r="E9319" t="s">
        <v>104</v>
      </c>
      <c r="F9319" t="s">
        <v>7672</v>
      </c>
      <c r="G9319" t="s">
        <v>28482</v>
      </c>
      <c r="H9319" t="s">
        <v>11496</v>
      </c>
      <c r="I9319" t="s">
        <v>28483</v>
      </c>
      <c r="J9319" t="s">
        <v>9426</v>
      </c>
    </row>
    <row r="9320" spans="1:10" x14ac:dyDescent="0.25">
      <c r="A9320" t="s">
        <v>109</v>
      </c>
      <c r="B9320">
        <v>4.8000000000000007</v>
      </c>
      <c r="C9320" t="s">
        <v>111</v>
      </c>
      <c r="D9320" t="s">
        <v>113</v>
      </c>
      <c r="E9320" t="s">
        <v>104</v>
      </c>
      <c r="F9320" t="s">
        <v>7672</v>
      </c>
      <c r="G9320" t="s">
        <v>28482</v>
      </c>
      <c r="H9320" t="s">
        <v>11496</v>
      </c>
      <c r="I9320" t="s">
        <v>28483</v>
      </c>
      <c r="J9320" t="s">
        <v>10862</v>
      </c>
    </row>
    <row r="9321" spans="1:10" x14ac:dyDescent="0.25">
      <c r="A9321" t="s">
        <v>114</v>
      </c>
      <c r="B9321">
        <v>4.8000000000000007</v>
      </c>
      <c r="C9321" t="s">
        <v>116</v>
      </c>
      <c r="D9321" t="s">
        <v>118</v>
      </c>
      <c r="E9321" t="s">
        <v>104</v>
      </c>
      <c r="F9321" t="s">
        <v>7672</v>
      </c>
      <c r="G9321" t="s">
        <v>28482</v>
      </c>
      <c r="H9321" t="s">
        <v>11496</v>
      </c>
      <c r="I9321" t="s">
        <v>28483</v>
      </c>
      <c r="J9321" t="s">
        <v>13084</v>
      </c>
    </row>
    <row r="9322" spans="1:10" x14ac:dyDescent="0.25">
      <c r="A9322" t="s">
        <v>28484</v>
      </c>
      <c r="B9322">
        <v>8.8160000000000007</v>
      </c>
      <c r="C9322" t="s">
        <v>28485</v>
      </c>
      <c r="D9322" t="s">
        <v>352</v>
      </c>
      <c r="E9322" t="s">
        <v>28486</v>
      </c>
      <c r="F9322" t="s">
        <v>7672</v>
      </c>
      <c r="G9322" t="s">
        <v>28487</v>
      </c>
      <c r="H9322" t="s">
        <v>16745</v>
      </c>
      <c r="I9322" t="s">
        <v>76</v>
      </c>
      <c r="J9322" t="s">
        <v>8427</v>
      </c>
    </row>
    <row r="9323" spans="1:10" x14ac:dyDescent="0.25">
      <c r="A9323" t="s">
        <v>28488</v>
      </c>
      <c r="B9323">
        <v>8.8160000000000007</v>
      </c>
      <c r="C9323" t="s">
        <v>28489</v>
      </c>
      <c r="D9323" t="s">
        <v>342</v>
      </c>
      <c r="E9323" t="s">
        <v>28486</v>
      </c>
      <c r="F9323" t="s">
        <v>7672</v>
      </c>
      <c r="G9323" t="s">
        <v>28487</v>
      </c>
      <c r="H9323" t="s">
        <v>16745</v>
      </c>
      <c r="I9323" t="s">
        <v>28490</v>
      </c>
      <c r="J9323" t="s">
        <v>8439</v>
      </c>
    </row>
    <row r="9324" spans="1:10" x14ac:dyDescent="0.25">
      <c r="A9324" t="s">
        <v>28491</v>
      </c>
      <c r="B9324">
        <v>8.8160000000000007</v>
      </c>
      <c r="C9324" t="s">
        <v>28492</v>
      </c>
      <c r="D9324" t="s">
        <v>742</v>
      </c>
      <c r="E9324" t="s">
        <v>28486</v>
      </c>
      <c r="F9324" t="s">
        <v>7672</v>
      </c>
      <c r="G9324" t="s">
        <v>28487</v>
      </c>
      <c r="H9324" t="s">
        <v>16745</v>
      </c>
      <c r="I9324" t="s">
        <v>76</v>
      </c>
      <c r="J9324" t="s">
        <v>8439</v>
      </c>
    </row>
    <row r="9325" spans="1:10" x14ac:dyDescent="0.25">
      <c r="A9325" t="s">
        <v>28493</v>
      </c>
      <c r="B9325">
        <v>8.8160000000000007</v>
      </c>
      <c r="C9325" t="s">
        <v>28494</v>
      </c>
      <c r="D9325" t="s">
        <v>576</v>
      </c>
      <c r="E9325" t="s">
        <v>28486</v>
      </c>
      <c r="F9325" t="s">
        <v>7672</v>
      </c>
      <c r="G9325" t="s">
        <v>28487</v>
      </c>
      <c r="H9325" t="s">
        <v>16745</v>
      </c>
      <c r="I9325" t="s">
        <v>76</v>
      </c>
      <c r="J9325" t="s">
        <v>8451</v>
      </c>
    </row>
    <row r="9326" spans="1:10" x14ac:dyDescent="0.25">
      <c r="A9326" t="s">
        <v>28495</v>
      </c>
      <c r="B9326">
        <v>3.6320000000000001</v>
      </c>
      <c r="C9326" t="s">
        <v>28496</v>
      </c>
      <c r="D9326" t="s">
        <v>582</v>
      </c>
      <c r="E9326" t="s">
        <v>28497</v>
      </c>
      <c r="F9326" t="s">
        <v>7672</v>
      </c>
      <c r="G9326" t="s">
        <v>28498</v>
      </c>
      <c r="H9326" t="s">
        <v>14324</v>
      </c>
      <c r="I9326" t="s">
        <v>28499</v>
      </c>
      <c r="J9326" t="s">
        <v>255</v>
      </c>
    </row>
    <row r="9327" spans="1:10" x14ac:dyDescent="0.25">
      <c r="A9327" t="s">
        <v>28500</v>
      </c>
      <c r="B9327">
        <v>3.6320000000000001</v>
      </c>
      <c r="C9327" t="s">
        <v>28501</v>
      </c>
      <c r="D9327" t="s">
        <v>582</v>
      </c>
      <c r="E9327" t="s">
        <v>28497</v>
      </c>
      <c r="F9327" t="s">
        <v>7672</v>
      </c>
      <c r="G9327" t="s">
        <v>28498</v>
      </c>
      <c r="H9327" t="s">
        <v>14324</v>
      </c>
      <c r="I9327" t="s">
        <v>28499</v>
      </c>
      <c r="J9327" t="s">
        <v>277</v>
      </c>
    </row>
    <row r="9328" spans="1:10" x14ac:dyDescent="0.25">
      <c r="A9328" t="s">
        <v>28502</v>
      </c>
      <c r="B9328">
        <v>4.1520000000000001</v>
      </c>
      <c r="C9328" t="s">
        <v>28503</v>
      </c>
      <c r="D9328" t="s">
        <v>11776</v>
      </c>
      <c r="E9328" t="s">
        <v>28504</v>
      </c>
      <c r="F9328" t="s">
        <v>7672</v>
      </c>
      <c r="G9328" t="s">
        <v>28505</v>
      </c>
      <c r="H9328" t="s">
        <v>24310</v>
      </c>
      <c r="I9328" t="s">
        <v>497</v>
      </c>
      <c r="J9328" t="s">
        <v>9694</v>
      </c>
    </row>
    <row r="9329" spans="1:10" x14ac:dyDescent="0.25">
      <c r="A9329" t="s">
        <v>119</v>
      </c>
      <c r="B9329">
        <v>12</v>
      </c>
      <c r="C9329" t="s">
        <v>121</v>
      </c>
      <c r="D9329" t="s">
        <v>124</v>
      </c>
      <c r="E9329" t="s">
        <v>122</v>
      </c>
      <c r="F9329" t="s">
        <v>7672</v>
      </c>
      <c r="G9329" t="s">
        <v>28506</v>
      </c>
      <c r="H9329" t="s">
        <v>9232</v>
      </c>
      <c r="I9329" t="s">
        <v>28507</v>
      </c>
      <c r="J9329" t="s">
        <v>11497</v>
      </c>
    </row>
    <row r="9330" spans="1:10" x14ac:dyDescent="0.25">
      <c r="A9330" t="s">
        <v>127</v>
      </c>
      <c r="B9330">
        <v>12</v>
      </c>
      <c r="C9330" t="s">
        <v>129</v>
      </c>
      <c r="D9330" t="s">
        <v>131</v>
      </c>
      <c r="E9330" t="s">
        <v>122</v>
      </c>
      <c r="F9330" t="s">
        <v>7672</v>
      </c>
      <c r="G9330" t="s">
        <v>28506</v>
      </c>
      <c r="H9330" t="s">
        <v>9232</v>
      </c>
      <c r="I9330" t="s">
        <v>28507</v>
      </c>
      <c r="J9330" t="s">
        <v>11498</v>
      </c>
    </row>
    <row r="9331" spans="1:10" x14ac:dyDescent="0.25">
      <c r="A9331" t="s">
        <v>28508</v>
      </c>
      <c r="B9331">
        <v>13.44</v>
      </c>
      <c r="C9331" t="s">
        <v>28509</v>
      </c>
      <c r="D9331" t="s">
        <v>60</v>
      </c>
      <c r="E9331" t="s">
        <v>28510</v>
      </c>
      <c r="F9331" t="s">
        <v>7672</v>
      </c>
      <c r="G9331" t="s">
        <v>28511</v>
      </c>
      <c r="H9331" t="s">
        <v>8087</v>
      </c>
      <c r="I9331" t="s">
        <v>28512</v>
      </c>
      <c r="J9331" t="s">
        <v>7942</v>
      </c>
    </row>
    <row r="9332" spans="1:10" x14ac:dyDescent="0.25">
      <c r="A9332" t="s">
        <v>28513</v>
      </c>
      <c r="B9332">
        <v>13.44</v>
      </c>
      <c r="C9332" t="s">
        <v>28514</v>
      </c>
      <c r="D9332" t="s">
        <v>199</v>
      </c>
      <c r="E9332" t="s">
        <v>28510</v>
      </c>
      <c r="F9332" t="s">
        <v>7672</v>
      </c>
      <c r="G9332" t="s">
        <v>28511</v>
      </c>
      <c r="H9332" t="s">
        <v>8087</v>
      </c>
      <c r="I9332" t="s">
        <v>28512</v>
      </c>
      <c r="J9332" t="s">
        <v>7981</v>
      </c>
    </row>
    <row r="9333" spans="1:10" x14ac:dyDescent="0.25">
      <c r="A9333" t="s">
        <v>28515</v>
      </c>
      <c r="B9333">
        <v>7.2</v>
      </c>
      <c r="C9333" t="s">
        <v>28516</v>
      </c>
      <c r="D9333" t="s">
        <v>715</v>
      </c>
      <c r="E9333" t="s">
        <v>28517</v>
      </c>
      <c r="F9333" t="s">
        <v>7672</v>
      </c>
      <c r="G9333" t="s">
        <v>28518</v>
      </c>
      <c r="H9333" t="s">
        <v>11496</v>
      </c>
      <c r="I9333" t="s">
        <v>21560</v>
      </c>
      <c r="J9333" t="s">
        <v>9423</v>
      </c>
    </row>
    <row r="9334" spans="1:10" x14ac:dyDescent="0.25">
      <c r="A9334" t="s">
        <v>28519</v>
      </c>
      <c r="B9334">
        <v>7.2</v>
      </c>
      <c r="C9334" t="s">
        <v>28520</v>
      </c>
      <c r="D9334" t="s">
        <v>903</v>
      </c>
      <c r="E9334" t="s">
        <v>28517</v>
      </c>
      <c r="F9334" t="s">
        <v>7672</v>
      </c>
      <c r="G9334" t="s">
        <v>28518</v>
      </c>
      <c r="H9334" t="s">
        <v>11496</v>
      </c>
      <c r="I9334" t="s">
        <v>21560</v>
      </c>
      <c r="J9334" t="s">
        <v>10862</v>
      </c>
    </row>
    <row r="9335" spans="1:10" x14ac:dyDescent="0.25">
      <c r="A9335" t="s">
        <v>28521</v>
      </c>
      <c r="B9335">
        <v>7.2</v>
      </c>
      <c r="C9335" t="s">
        <v>28522</v>
      </c>
      <c r="D9335" t="s">
        <v>1020</v>
      </c>
      <c r="E9335" t="s">
        <v>28517</v>
      </c>
      <c r="F9335" t="s">
        <v>7672</v>
      </c>
      <c r="G9335" t="s">
        <v>28518</v>
      </c>
      <c r="H9335" t="s">
        <v>11496</v>
      </c>
      <c r="I9335" t="s">
        <v>21560</v>
      </c>
      <c r="J9335" t="s">
        <v>9426</v>
      </c>
    </row>
    <row r="9336" spans="1:10" x14ac:dyDescent="0.25">
      <c r="A9336" t="s">
        <v>28523</v>
      </c>
      <c r="B9336">
        <v>7.2</v>
      </c>
      <c r="C9336" t="s">
        <v>28524</v>
      </c>
      <c r="D9336" t="s">
        <v>2149</v>
      </c>
      <c r="E9336" t="s">
        <v>28517</v>
      </c>
      <c r="F9336" t="s">
        <v>7672</v>
      </c>
      <c r="G9336" t="s">
        <v>28518</v>
      </c>
      <c r="H9336" t="s">
        <v>11496</v>
      </c>
      <c r="I9336" t="s">
        <v>21560</v>
      </c>
      <c r="J9336" t="s">
        <v>13084</v>
      </c>
    </row>
    <row r="9337" spans="1:10" x14ac:dyDescent="0.25">
      <c r="A9337" t="s">
        <v>28525</v>
      </c>
      <c r="B9337">
        <v>10.4</v>
      </c>
      <c r="C9337" t="s">
        <v>28526</v>
      </c>
      <c r="D9337" t="s">
        <v>17467</v>
      </c>
      <c r="E9337" t="s">
        <v>28527</v>
      </c>
      <c r="F9337" t="s">
        <v>7672</v>
      </c>
      <c r="G9337" t="s">
        <v>28528</v>
      </c>
      <c r="H9337" t="s">
        <v>15122</v>
      </c>
      <c r="I9337" t="s">
        <v>1490</v>
      </c>
      <c r="J9337" t="s">
        <v>10369</v>
      </c>
    </row>
    <row r="9338" spans="1:10" x14ac:dyDescent="0.25">
      <c r="A9338" t="s">
        <v>28529</v>
      </c>
      <c r="B9338">
        <v>10.4</v>
      </c>
      <c r="C9338" t="s">
        <v>28530</v>
      </c>
      <c r="D9338" t="s">
        <v>582</v>
      </c>
      <c r="E9338" t="s">
        <v>28527</v>
      </c>
      <c r="F9338" t="s">
        <v>7672</v>
      </c>
      <c r="G9338" t="s">
        <v>28528</v>
      </c>
      <c r="H9338" t="s">
        <v>15122</v>
      </c>
      <c r="I9338" t="s">
        <v>1490</v>
      </c>
      <c r="J9338" t="s">
        <v>11590</v>
      </c>
    </row>
    <row r="9339" spans="1:10" x14ac:dyDescent="0.25">
      <c r="A9339" t="s">
        <v>28531</v>
      </c>
      <c r="B9339">
        <v>7.2</v>
      </c>
      <c r="C9339" t="s">
        <v>28532</v>
      </c>
      <c r="D9339" t="s">
        <v>4322</v>
      </c>
      <c r="E9339" t="s">
        <v>28533</v>
      </c>
      <c r="F9339" t="s">
        <v>7672</v>
      </c>
      <c r="G9339" t="s">
        <v>28534</v>
      </c>
      <c r="H9339" t="s">
        <v>13951</v>
      </c>
      <c r="I9339" t="s">
        <v>10802</v>
      </c>
      <c r="J9339" t="s">
        <v>11710</v>
      </c>
    </row>
    <row r="9340" spans="1:10" x14ac:dyDescent="0.25">
      <c r="A9340" t="s">
        <v>28535</v>
      </c>
      <c r="B9340">
        <v>7.2</v>
      </c>
      <c r="C9340" t="s">
        <v>28536</v>
      </c>
      <c r="D9340" t="s">
        <v>131</v>
      </c>
      <c r="E9340" t="s">
        <v>28533</v>
      </c>
      <c r="F9340" t="s">
        <v>7672</v>
      </c>
      <c r="G9340" t="s">
        <v>28534</v>
      </c>
      <c r="H9340" t="s">
        <v>13951</v>
      </c>
      <c r="I9340" t="s">
        <v>10802</v>
      </c>
      <c r="J9340" t="s">
        <v>12182</v>
      </c>
    </row>
    <row r="9341" spans="1:10" x14ac:dyDescent="0.25">
      <c r="A9341" t="s">
        <v>28537</v>
      </c>
      <c r="B9341">
        <v>10.352</v>
      </c>
      <c r="C9341" t="s">
        <v>28538</v>
      </c>
      <c r="D9341" t="s">
        <v>106</v>
      </c>
      <c r="E9341" t="s">
        <v>28539</v>
      </c>
      <c r="F9341" t="s">
        <v>7672</v>
      </c>
      <c r="G9341" t="s">
        <v>28540</v>
      </c>
      <c r="H9341" t="s">
        <v>11598</v>
      </c>
      <c r="I9341" t="s">
        <v>22861</v>
      </c>
      <c r="J9341" t="s">
        <v>11373</v>
      </c>
    </row>
    <row r="9342" spans="1:10" x14ac:dyDescent="0.25">
      <c r="A9342" t="s">
        <v>28541</v>
      </c>
      <c r="B9342">
        <v>10.352</v>
      </c>
      <c r="C9342" t="s">
        <v>28542</v>
      </c>
      <c r="D9342" t="s">
        <v>964</v>
      </c>
      <c r="E9342" t="s">
        <v>28539</v>
      </c>
      <c r="F9342" t="s">
        <v>7672</v>
      </c>
      <c r="G9342" t="s">
        <v>28540</v>
      </c>
      <c r="H9342" t="s">
        <v>11598</v>
      </c>
      <c r="I9342" t="s">
        <v>22853</v>
      </c>
      <c r="J9342" t="s">
        <v>11373</v>
      </c>
    </row>
    <row r="9343" spans="1:10" x14ac:dyDescent="0.25">
      <c r="A9343" t="s">
        <v>28543</v>
      </c>
      <c r="B9343">
        <v>10.352</v>
      </c>
      <c r="C9343" t="s">
        <v>28544</v>
      </c>
      <c r="D9343" t="s">
        <v>282</v>
      </c>
      <c r="E9343" t="s">
        <v>28539</v>
      </c>
      <c r="F9343" t="s">
        <v>7672</v>
      </c>
      <c r="G9343" t="s">
        <v>28540</v>
      </c>
      <c r="H9343" t="s">
        <v>11598</v>
      </c>
      <c r="I9343" t="s">
        <v>76</v>
      </c>
      <c r="J9343" t="s">
        <v>11376</v>
      </c>
    </row>
    <row r="9344" spans="1:10" x14ac:dyDescent="0.25">
      <c r="A9344" t="s">
        <v>28545</v>
      </c>
      <c r="B9344">
        <v>10.352</v>
      </c>
      <c r="C9344" t="s">
        <v>28546</v>
      </c>
      <c r="D9344" t="s">
        <v>269</v>
      </c>
      <c r="E9344" t="s">
        <v>28539</v>
      </c>
      <c r="F9344" t="s">
        <v>7672</v>
      </c>
      <c r="G9344" t="s">
        <v>28540</v>
      </c>
      <c r="H9344" t="s">
        <v>11598</v>
      </c>
      <c r="I9344" t="s">
        <v>22861</v>
      </c>
      <c r="J9344" t="s">
        <v>11376</v>
      </c>
    </row>
    <row r="9345" spans="1:10" x14ac:dyDescent="0.25">
      <c r="A9345" t="s">
        <v>28547</v>
      </c>
      <c r="B9345">
        <v>10.352</v>
      </c>
      <c r="C9345" t="s">
        <v>28548</v>
      </c>
      <c r="D9345" t="s">
        <v>436</v>
      </c>
      <c r="E9345" t="s">
        <v>28539</v>
      </c>
      <c r="F9345" t="s">
        <v>7672</v>
      </c>
      <c r="G9345" t="s">
        <v>28540</v>
      </c>
      <c r="H9345" t="s">
        <v>11598</v>
      </c>
      <c r="I9345" t="s">
        <v>28549</v>
      </c>
      <c r="J9345" t="s">
        <v>11376</v>
      </c>
    </row>
    <row r="9346" spans="1:10" x14ac:dyDescent="0.25">
      <c r="A9346" t="s">
        <v>28550</v>
      </c>
      <c r="B9346">
        <v>10.352</v>
      </c>
      <c r="C9346" t="s">
        <v>28551</v>
      </c>
      <c r="D9346" t="s">
        <v>964</v>
      </c>
      <c r="E9346" t="s">
        <v>28539</v>
      </c>
      <c r="F9346" t="s">
        <v>7672</v>
      </c>
      <c r="G9346" t="s">
        <v>28540</v>
      </c>
      <c r="H9346" t="s">
        <v>11598</v>
      </c>
      <c r="I9346" t="s">
        <v>22853</v>
      </c>
      <c r="J9346" t="s">
        <v>11376</v>
      </c>
    </row>
    <row r="9347" spans="1:10" x14ac:dyDescent="0.25">
      <c r="A9347" t="s">
        <v>28552</v>
      </c>
      <c r="B9347">
        <v>11.6</v>
      </c>
      <c r="C9347" t="s">
        <v>28553</v>
      </c>
      <c r="D9347" t="s">
        <v>742</v>
      </c>
      <c r="E9347" t="s">
        <v>28554</v>
      </c>
      <c r="F9347" t="s">
        <v>7672</v>
      </c>
      <c r="G9347" t="s">
        <v>28555</v>
      </c>
      <c r="H9347" t="s">
        <v>23005</v>
      </c>
      <c r="I9347" t="s">
        <v>28556</v>
      </c>
      <c r="J9347" t="s">
        <v>7942</v>
      </c>
    </row>
    <row r="9348" spans="1:10" x14ac:dyDescent="0.25">
      <c r="A9348" t="s">
        <v>28557</v>
      </c>
      <c r="B9348">
        <v>11.6</v>
      </c>
      <c r="C9348" t="s">
        <v>28558</v>
      </c>
      <c r="D9348" t="s">
        <v>131</v>
      </c>
      <c r="E9348" t="s">
        <v>28554</v>
      </c>
      <c r="F9348" t="s">
        <v>7672</v>
      </c>
      <c r="G9348" t="s">
        <v>28555</v>
      </c>
      <c r="H9348" t="s">
        <v>23005</v>
      </c>
      <c r="I9348" t="s">
        <v>28556</v>
      </c>
      <c r="J9348" t="s">
        <v>7981</v>
      </c>
    </row>
    <row r="9349" spans="1:10" x14ac:dyDescent="0.25">
      <c r="A9349" t="s">
        <v>28559</v>
      </c>
      <c r="B9349">
        <v>11.6</v>
      </c>
      <c r="C9349" t="s">
        <v>28560</v>
      </c>
      <c r="D9349" t="s">
        <v>576</v>
      </c>
      <c r="E9349" t="s">
        <v>28554</v>
      </c>
      <c r="F9349" t="s">
        <v>7672</v>
      </c>
      <c r="G9349" t="s">
        <v>28555</v>
      </c>
      <c r="H9349" t="s">
        <v>23005</v>
      </c>
      <c r="I9349" t="s">
        <v>17293</v>
      </c>
      <c r="J9349" t="s">
        <v>7984</v>
      </c>
    </row>
    <row r="9350" spans="1:10" x14ac:dyDescent="0.25">
      <c r="A9350" t="s">
        <v>28561</v>
      </c>
      <c r="B9350">
        <v>11.6</v>
      </c>
      <c r="C9350" t="s">
        <v>28562</v>
      </c>
      <c r="D9350" t="s">
        <v>199</v>
      </c>
      <c r="E9350" t="s">
        <v>28554</v>
      </c>
      <c r="F9350" t="s">
        <v>7672</v>
      </c>
      <c r="G9350" t="s">
        <v>28555</v>
      </c>
      <c r="H9350" t="s">
        <v>23005</v>
      </c>
      <c r="I9350" t="s">
        <v>28556</v>
      </c>
      <c r="J9350" t="s">
        <v>8013</v>
      </c>
    </row>
    <row r="9351" spans="1:10" x14ac:dyDescent="0.25">
      <c r="A9351" t="s">
        <v>28563</v>
      </c>
      <c r="B9351">
        <v>7.9200000000000008</v>
      </c>
      <c r="C9351" t="s">
        <v>28564</v>
      </c>
      <c r="D9351" t="s">
        <v>100</v>
      </c>
      <c r="E9351" t="s">
        <v>135</v>
      </c>
      <c r="F9351" t="s">
        <v>7672</v>
      </c>
      <c r="G9351" t="s">
        <v>28565</v>
      </c>
      <c r="H9351" t="s">
        <v>16164</v>
      </c>
      <c r="I9351" t="s">
        <v>15843</v>
      </c>
      <c r="J9351" t="s">
        <v>7675</v>
      </c>
    </row>
    <row r="9352" spans="1:10" x14ac:dyDescent="0.25">
      <c r="A9352" t="s">
        <v>132</v>
      </c>
      <c r="B9352">
        <v>7.9200000000000008</v>
      </c>
      <c r="C9352" t="s">
        <v>134</v>
      </c>
      <c r="D9352" t="s">
        <v>88</v>
      </c>
      <c r="E9352" t="s">
        <v>135</v>
      </c>
      <c r="F9352" t="s">
        <v>7672</v>
      </c>
      <c r="G9352" t="s">
        <v>28565</v>
      </c>
      <c r="H9352" t="s">
        <v>16164</v>
      </c>
      <c r="I9352" t="s">
        <v>3799</v>
      </c>
      <c r="J9352" t="s">
        <v>7675</v>
      </c>
    </row>
    <row r="9353" spans="1:10" x14ac:dyDescent="0.25">
      <c r="A9353" t="s">
        <v>28566</v>
      </c>
      <c r="B9353">
        <v>11.192</v>
      </c>
      <c r="C9353" t="s">
        <v>28567</v>
      </c>
      <c r="D9353" t="s">
        <v>60</v>
      </c>
      <c r="E9353" t="s">
        <v>28568</v>
      </c>
      <c r="F9353" t="s">
        <v>7672</v>
      </c>
      <c r="G9353" t="s">
        <v>28569</v>
      </c>
      <c r="H9353" t="s">
        <v>9127</v>
      </c>
      <c r="I9353" t="s">
        <v>28570</v>
      </c>
      <c r="J9353" t="s">
        <v>9753</v>
      </c>
    </row>
    <row r="9354" spans="1:10" x14ac:dyDescent="0.25">
      <c r="A9354" t="s">
        <v>28571</v>
      </c>
      <c r="B9354">
        <v>5.1920000000000002</v>
      </c>
      <c r="C9354" t="s">
        <v>28572</v>
      </c>
      <c r="D9354" t="s">
        <v>1621</v>
      </c>
      <c r="E9354" t="s">
        <v>28573</v>
      </c>
      <c r="F9354" t="s">
        <v>7672</v>
      </c>
      <c r="G9354" t="s">
        <v>28574</v>
      </c>
      <c r="H9354" t="s">
        <v>8027</v>
      </c>
      <c r="I9354" t="s">
        <v>9391</v>
      </c>
      <c r="J9354" t="s">
        <v>9405</v>
      </c>
    </row>
    <row r="9355" spans="1:10" x14ac:dyDescent="0.25">
      <c r="A9355" t="s">
        <v>28575</v>
      </c>
      <c r="B9355">
        <v>11</v>
      </c>
      <c r="C9355" t="s">
        <v>28576</v>
      </c>
      <c r="D9355" t="s">
        <v>88</v>
      </c>
      <c r="E9355" t="s">
        <v>28577</v>
      </c>
      <c r="F9355" t="s">
        <v>7672</v>
      </c>
      <c r="G9355" t="s">
        <v>28578</v>
      </c>
      <c r="H9355" t="s">
        <v>18003</v>
      </c>
      <c r="I9355" t="s">
        <v>278</v>
      </c>
      <c r="J9355" t="s">
        <v>53</v>
      </c>
    </row>
    <row r="9356" spans="1:10" x14ac:dyDescent="0.25">
      <c r="A9356" t="s">
        <v>28579</v>
      </c>
      <c r="B9356">
        <v>9</v>
      </c>
      <c r="C9356" t="s">
        <v>28580</v>
      </c>
      <c r="D9356" t="s">
        <v>385</v>
      </c>
      <c r="E9356" t="s">
        <v>28581</v>
      </c>
      <c r="F9356" t="s">
        <v>7672</v>
      </c>
      <c r="G9356" t="s">
        <v>28582</v>
      </c>
      <c r="H9356" t="s">
        <v>8301</v>
      </c>
      <c r="I9356" t="s">
        <v>9736</v>
      </c>
      <c r="J9356" t="s">
        <v>8980</v>
      </c>
    </row>
    <row r="9357" spans="1:10" x14ac:dyDescent="0.25">
      <c r="A9357" t="s">
        <v>28583</v>
      </c>
      <c r="B9357">
        <v>9</v>
      </c>
      <c r="C9357" t="s">
        <v>28584</v>
      </c>
      <c r="D9357" t="s">
        <v>720</v>
      </c>
      <c r="E9357" t="s">
        <v>28581</v>
      </c>
      <c r="F9357" t="s">
        <v>7672</v>
      </c>
      <c r="G9357" t="s">
        <v>28582</v>
      </c>
      <c r="H9357" t="s">
        <v>8301</v>
      </c>
      <c r="I9357" t="s">
        <v>9733</v>
      </c>
      <c r="J9357" t="s">
        <v>8980</v>
      </c>
    </row>
    <row r="9358" spans="1:10" x14ac:dyDescent="0.25">
      <c r="A9358" t="s">
        <v>28585</v>
      </c>
      <c r="B9358">
        <v>9</v>
      </c>
      <c r="C9358" t="s">
        <v>28586</v>
      </c>
      <c r="D9358" t="s">
        <v>725</v>
      </c>
      <c r="E9358" t="s">
        <v>28581</v>
      </c>
      <c r="F9358" t="s">
        <v>7672</v>
      </c>
      <c r="G9358" t="s">
        <v>28582</v>
      </c>
      <c r="H9358" t="s">
        <v>8301</v>
      </c>
      <c r="I9358" t="s">
        <v>76</v>
      </c>
      <c r="J9358" t="s">
        <v>8980</v>
      </c>
    </row>
    <row r="9359" spans="1:10" x14ac:dyDescent="0.25">
      <c r="A9359" t="s">
        <v>28587</v>
      </c>
      <c r="B9359">
        <v>9</v>
      </c>
      <c r="C9359" t="s">
        <v>28588</v>
      </c>
      <c r="D9359" t="s">
        <v>4141</v>
      </c>
      <c r="E9359" t="s">
        <v>28581</v>
      </c>
      <c r="F9359" t="s">
        <v>7672</v>
      </c>
      <c r="G9359" t="s">
        <v>28582</v>
      </c>
      <c r="H9359" t="s">
        <v>8301</v>
      </c>
      <c r="I9359" t="s">
        <v>14706</v>
      </c>
      <c r="J9359" t="s">
        <v>8980</v>
      </c>
    </row>
    <row r="9360" spans="1:10" x14ac:dyDescent="0.25">
      <c r="A9360" t="s">
        <v>28589</v>
      </c>
      <c r="B9360">
        <v>9</v>
      </c>
      <c r="C9360" t="s">
        <v>28590</v>
      </c>
      <c r="D9360" t="s">
        <v>131</v>
      </c>
      <c r="E9360" t="s">
        <v>28581</v>
      </c>
      <c r="F9360" t="s">
        <v>7672</v>
      </c>
      <c r="G9360" t="s">
        <v>28582</v>
      </c>
      <c r="H9360" t="s">
        <v>8301</v>
      </c>
      <c r="I9360" t="s">
        <v>9733</v>
      </c>
      <c r="J9360" t="s">
        <v>60</v>
      </c>
    </row>
    <row r="9361" spans="1:10" x14ac:dyDescent="0.25">
      <c r="A9361" t="s">
        <v>28591</v>
      </c>
      <c r="B9361">
        <v>12</v>
      </c>
      <c r="C9361" t="s">
        <v>28592</v>
      </c>
      <c r="D9361" t="s">
        <v>2697</v>
      </c>
      <c r="E9361" t="s">
        <v>28593</v>
      </c>
      <c r="F9361" t="s">
        <v>7672</v>
      </c>
      <c r="G9361" t="s">
        <v>28594</v>
      </c>
      <c r="H9361" t="s">
        <v>8027</v>
      </c>
      <c r="I9361" t="s">
        <v>28595</v>
      </c>
      <c r="J9361" t="s">
        <v>17126</v>
      </c>
    </row>
    <row r="9362" spans="1:10" x14ac:dyDescent="0.25">
      <c r="A9362" t="s">
        <v>28596</v>
      </c>
      <c r="B9362">
        <v>5.4</v>
      </c>
      <c r="C9362" t="s">
        <v>28597</v>
      </c>
      <c r="D9362" t="s">
        <v>8865</v>
      </c>
      <c r="E9362" t="s">
        <v>28598</v>
      </c>
      <c r="F9362" t="s">
        <v>7672</v>
      </c>
      <c r="G9362" t="s">
        <v>28599</v>
      </c>
      <c r="H9362" t="s">
        <v>8027</v>
      </c>
      <c r="I9362" t="s">
        <v>76</v>
      </c>
      <c r="J9362" t="s">
        <v>22923</v>
      </c>
    </row>
    <row r="9363" spans="1:10" x14ac:dyDescent="0.25">
      <c r="A9363" t="s">
        <v>28600</v>
      </c>
      <c r="B9363">
        <v>7.2</v>
      </c>
      <c r="C9363" t="s">
        <v>28601</v>
      </c>
      <c r="D9363" t="s">
        <v>5145</v>
      </c>
      <c r="E9363" t="s">
        <v>28602</v>
      </c>
      <c r="F9363" t="s">
        <v>7672</v>
      </c>
      <c r="G9363" t="s">
        <v>28603</v>
      </c>
      <c r="H9363" t="s">
        <v>11496</v>
      </c>
      <c r="I9363" t="s">
        <v>23828</v>
      </c>
      <c r="J9363" t="s">
        <v>10369</v>
      </c>
    </row>
    <row r="9364" spans="1:10" x14ac:dyDescent="0.25">
      <c r="A9364" t="s">
        <v>28604</v>
      </c>
      <c r="B9364">
        <v>7.2</v>
      </c>
      <c r="C9364" t="s">
        <v>28605</v>
      </c>
      <c r="D9364" t="s">
        <v>3999</v>
      </c>
      <c r="E9364" t="s">
        <v>28602</v>
      </c>
      <c r="F9364" t="s">
        <v>7672</v>
      </c>
      <c r="G9364" t="s">
        <v>28603</v>
      </c>
      <c r="H9364" t="s">
        <v>11496</v>
      </c>
      <c r="I9364" t="s">
        <v>23828</v>
      </c>
      <c r="J9364" t="s">
        <v>11590</v>
      </c>
    </row>
    <row r="9365" spans="1:10" x14ac:dyDescent="0.25">
      <c r="A9365" t="s">
        <v>28606</v>
      </c>
      <c r="B9365">
        <v>7.2</v>
      </c>
      <c r="C9365" t="s">
        <v>28607</v>
      </c>
      <c r="D9365" t="s">
        <v>5119</v>
      </c>
      <c r="E9365" t="s">
        <v>28602</v>
      </c>
      <c r="F9365" t="s">
        <v>7672</v>
      </c>
      <c r="G9365" t="s">
        <v>28603</v>
      </c>
      <c r="H9365" t="s">
        <v>11496</v>
      </c>
      <c r="I9365" t="s">
        <v>23828</v>
      </c>
      <c r="J9365" t="s">
        <v>11593</v>
      </c>
    </row>
    <row r="9366" spans="1:10" x14ac:dyDescent="0.25">
      <c r="A9366" t="s">
        <v>28608</v>
      </c>
      <c r="B9366">
        <v>7.2</v>
      </c>
      <c r="C9366" t="s">
        <v>28609</v>
      </c>
      <c r="D9366" t="s">
        <v>11143</v>
      </c>
      <c r="E9366" t="s">
        <v>28602</v>
      </c>
      <c r="F9366" t="s">
        <v>7672</v>
      </c>
      <c r="G9366" t="s">
        <v>28603</v>
      </c>
      <c r="H9366" t="s">
        <v>11496</v>
      </c>
      <c r="I9366" t="s">
        <v>23828</v>
      </c>
      <c r="J9366" t="s">
        <v>11783</v>
      </c>
    </row>
    <row r="9367" spans="1:10" x14ac:dyDescent="0.25">
      <c r="A9367" t="s">
        <v>28610</v>
      </c>
      <c r="B9367">
        <v>13.2</v>
      </c>
      <c r="C9367" t="s">
        <v>28611</v>
      </c>
      <c r="D9367" t="s">
        <v>269</v>
      </c>
      <c r="E9367" t="s">
        <v>28612</v>
      </c>
      <c r="F9367" t="s">
        <v>7672</v>
      </c>
      <c r="G9367" t="s">
        <v>28613</v>
      </c>
      <c r="H9367" t="s">
        <v>16463</v>
      </c>
      <c r="I9367" t="s">
        <v>28614</v>
      </c>
      <c r="J9367" t="s">
        <v>9023</v>
      </c>
    </row>
    <row r="9368" spans="1:10" x14ac:dyDescent="0.25">
      <c r="A9368" t="s">
        <v>28615</v>
      </c>
      <c r="B9368">
        <v>13.2</v>
      </c>
      <c r="C9368" t="s">
        <v>28616</v>
      </c>
      <c r="D9368" t="s">
        <v>118</v>
      </c>
      <c r="E9368" t="s">
        <v>28612</v>
      </c>
      <c r="F9368" t="s">
        <v>7672</v>
      </c>
      <c r="G9368" t="s">
        <v>28613</v>
      </c>
      <c r="H9368" t="s">
        <v>16463</v>
      </c>
      <c r="I9368" t="s">
        <v>28617</v>
      </c>
      <c r="J9368" t="s">
        <v>9023</v>
      </c>
    </row>
    <row r="9369" spans="1:10" x14ac:dyDescent="0.25">
      <c r="A9369" t="s">
        <v>28618</v>
      </c>
      <c r="B9369">
        <v>13.2</v>
      </c>
      <c r="C9369" t="s">
        <v>28619</v>
      </c>
      <c r="D9369" t="s">
        <v>131</v>
      </c>
      <c r="E9369" t="s">
        <v>28612</v>
      </c>
      <c r="F9369" t="s">
        <v>7672</v>
      </c>
      <c r="G9369" t="s">
        <v>28613</v>
      </c>
      <c r="H9369" t="s">
        <v>16463</v>
      </c>
      <c r="I9369" t="s">
        <v>19697</v>
      </c>
      <c r="J9369" t="s">
        <v>9023</v>
      </c>
    </row>
    <row r="9370" spans="1:10" x14ac:dyDescent="0.25">
      <c r="A9370" t="s">
        <v>28620</v>
      </c>
      <c r="B9370">
        <v>13.2</v>
      </c>
      <c r="C9370" t="s">
        <v>28621</v>
      </c>
      <c r="D9370" t="s">
        <v>88</v>
      </c>
      <c r="E9370" t="s">
        <v>28612</v>
      </c>
      <c r="F9370" t="s">
        <v>7672</v>
      </c>
      <c r="G9370" t="s">
        <v>28613</v>
      </c>
      <c r="H9370" t="s">
        <v>16463</v>
      </c>
      <c r="I9370" t="s">
        <v>28622</v>
      </c>
      <c r="J9370" t="s">
        <v>9023</v>
      </c>
    </row>
    <row r="9371" spans="1:10" x14ac:dyDescent="0.25">
      <c r="A9371" t="s">
        <v>28623</v>
      </c>
      <c r="B9371">
        <v>13.2</v>
      </c>
      <c r="C9371" t="s">
        <v>28624</v>
      </c>
      <c r="D9371" t="s">
        <v>959</v>
      </c>
      <c r="E9371" t="s">
        <v>28612</v>
      </c>
      <c r="F9371" t="s">
        <v>7672</v>
      </c>
      <c r="G9371" t="s">
        <v>28613</v>
      </c>
      <c r="H9371" t="s">
        <v>16463</v>
      </c>
      <c r="I9371" t="s">
        <v>28625</v>
      </c>
      <c r="J9371" t="s">
        <v>9023</v>
      </c>
    </row>
    <row r="9372" spans="1:10" x14ac:dyDescent="0.25">
      <c r="A9372" t="s">
        <v>28626</v>
      </c>
      <c r="B9372">
        <v>13.2</v>
      </c>
      <c r="C9372" t="s">
        <v>28627</v>
      </c>
      <c r="D9372" t="s">
        <v>4270</v>
      </c>
      <c r="E9372" t="s">
        <v>28612</v>
      </c>
      <c r="F9372" t="s">
        <v>7672</v>
      </c>
      <c r="G9372" t="s">
        <v>28613</v>
      </c>
      <c r="H9372" t="s">
        <v>16463</v>
      </c>
      <c r="I9372" t="s">
        <v>28628</v>
      </c>
      <c r="J9372" t="s">
        <v>9023</v>
      </c>
    </row>
    <row r="9373" spans="1:10" x14ac:dyDescent="0.25">
      <c r="A9373" t="s">
        <v>28629</v>
      </c>
      <c r="B9373">
        <v>13.2</v>
      </c>
      <c r="C9373" t="s">
        <v>28630</v>
      </c>
      <c r="D9373" t="s">
        <v>964</v>
      </c>
      <c r="E9373" t="s">
        <v>28612</v>
      </c>
      <c r="F9373" t="s">
        <v>7672</v>
      </c>
      <c r="G9373" t="s">
        <v>28613</v>
      </c>
      <c r="H9373" t="s">
        <v>16463</v>
      </c>
      <c r="I9373" t="s">
        <v>19700</v>
      </c>
      <c r="J9373" t="s">
        <v>8883</v>
      </c>
    </row>
    <row r="9374" spans="1:10" x14ac:dyDescent="0.25">
      <c r="A9374" t="s">
        <v>28631</v>
      </c>
      <c r="B9374">
        <v>13.2</v>
      </c>
      <c r="C9374" t="s">
        <v>28632</v>
      </c>
      <c r="D9374" t="s">
        <v>60</v>
      </c>
      <c r="E9374" t="s">
        <v>28612</v>
      </c>
      <c r="F9374" t="s">
        <v>7672</v>
      </c>
      <c r="G9374" t="s">
        <v>28613</v>
      </c>
      <c r="H9374" t="s">
        <v>16463</v>
      </c>
      <c r="I9374" t="s">
        <v>19700</v>
      </c>
      <c r="J9374" t="s">
        <v>8885</v>
      </c>
    </row>
    <row r="9375" spans="1:10" x14ac:dyDescent="0.25">
      <c r="A9375" t="s">
        <v>28633</v>
      </c>
      <c r="B9375">
        <v>13.2</v>
      </c>
      <c r="C9375" t="s">
        <v>28634</v>
      </c>
      <c r="D9375" t="s">
        <v>342</v>
      </c>
      <c r="E9375" t="s">
        <v>28612</v>
      </c>
      <c r="F9375" t="s">
        <v>7672</v>
      </c>
      <c r="G9375" t="s">
        <v>28613</v>
      </c>
      <c r="H9375" t="s">
        <v>16463</v>
      </c>
      <c r="I9375" t="s">
        <v>19700</v>
      </c>
      <c r="J9375" t="s">
        <v>10908</v>
      </c>
    </row>
    <row r="9376" spans="1:10" x14ac:dyDescent="0.25">
      <c r="A9376" t="s">
        <v>28635</v>
      </c>
      <c r="B9376">
        <v>13.2</v>
      </c>
      <c r="C9376" t="s">
        <v>28636</v>
      </c>
      <c r="D9376" t="s">
        <v>849</v>
      </c>
      <c r="E9376" t="s">
        <v>28612</v>
      </c>
      <c r="F9376" t="s">
        <v>7672</v>
      </c>
      <c r="G9376" t="s">
        <v>28613</v>
      </c>
      <c r="H9376" t="s">
        <v>16463</v>
      </c>
      <c r="I9376" t="s">
        <v>19700</v>
      </c>
      <c r="J9376" t="s">
        <v>9061</v>
      </c>
    </row>
    <row r="9377" spans="1:10" x14ac:dyDescent="0.25">
      <c r="A9377" t="s">
        <v>28637</v>
      </c>
      <c r="B9377">
        <v>6.5920000000000014</v>
      </c>
      <c r="C9377" t="s">
        <v>28638</v>
      </c>
      <c r="D9377" t="s">
        <v>28639</v>
      </c>
      <c r="E9377" t="s">
        <v>28640</v>
      </c>
      <c r="F9377" t="s">
        <v>7672</v>
      </c>
      <c r="G9377" t="s">
        <v>19779</v>
      </c>
      <c r="H9377" t="s">
        <v>8515</v>
      </c>
      <c r="I9377" t="s">
        <v>76</v>
      </c>
      <c r="J9377" t="s">
        <v>11499</v>
      </c>
    </row>
    <row r="9378" spans="1:10" x14ac:dyDescent="0.25">
      <c r="A9378" t="s">
        <v>28641</v>
      </c>
      <c r="B9378">
        <v>6.5920000000000014</v>
      </c>
      <c r="C9378" t="s">
        <v>28642</v>
      </c>
      <c r="D9378" t="s">
        <v>28643</v>
      </c>
      <c r="E9378" t="s">
        <v>28640</v>
      </c>
      <c r="F9378" t="s">
        <v>7672</v>
      </c>
      <c r="G9378" t="s">
        <v>19779</v>
      </c>
      <c r="H9378" t="s">
        <v>8515</v>
      </c>
      <c r="I9378" t="s">
        <v>76</v>
      </c>
      <c r="J9378" t="s">
        <v>11500</v>
      </c>
    </row>
    <row r="9379" spans="1:10" x14ac:dyDescent="0.25">
      <c r="A9379" t="s">
        <v>28644</v>
      </c>
      <c r="B9379">
        <v>6.5920000000000014</v>
      </c>
      <c r="C9379" t="s">
        <v>28645</v>
      </c>
      <c r="D9379" t="s">
        <v>28646</v>
      </c>
      <c r="E9379" t="s">
        <v>28640</v>
      </c>
      <c r="F9379" t="s">
        <v>7672</v>
      </c>
      <c r="G9379" t="s">
        <v>19779</v>
      </c>
      <c r="H9379" t="s">
        <v>8515</v>
      </c>
      <c r="I9379" t="s">
        <v>76</v>
      </c>
      <c r="J9379" t="s">
        <v>11502</v>
      </c>
    </row>
    <row r="9380" spans="1:10" x14ac:dyDescent="0.25">
      <c r="A9380" t="s">
        <v>28647</v>
      </c>
      <c r="B9380">
        <v>3.96</v>
      </c>
      <c r="C9380" t="s">
        <v>28648</v>
      </c>
      <c r="D9380" t="s">
        <v>1512</v>
      </c>
      <c r="E9380" t="s">
        <v>28649</v>
      </c>
      <c r="F9380" t="s">
        <v>7672</v>
      </c>
      <c r="G9380" t="s">
        <v>28650</v>
      </c>
      <c r="H9380" t="s">
        <v>11381</v>
      </c>
      <c r="I9380" t="s">
        <v>11382</v>
      </c>
      <c r="J9380" t="s">
        <v>28651</v>
      </c>
    </row>
    <row r="9381" spans="1:10" x14ac:dyDescent="0.25">
      <c r="A9381" t="s">
        <v>28652</v>
      </c>
      <c r="B9381">
        <v>3.96</v>
      </c>
      <c r="C9381" t="s">
        <v>28653</v>
      </c>
      <c r="D9381" t="s">
        <v>4192</v>
      </c>
      <c r="E9381" t="s">
        <v>28649</v>
      </c>
      <c r="F9381" t="s">
        <v>7672</v>
      </c>
      <c r="G9381" t="s">
        <v>28650</v>
      </c>
      <c r="H9381" t="s">
        <v>11381</v>
      </c>
      <c r="I9381" t="s">
        <v>11382</v>
      </c>
      <c r="J9381" t="s">
        <v>28654</v>
      </c>
    </row>
    <row r="9382" spans="1:10" x14ac:dyDescent="0.25">
      <c r="A9382" t="s">
        <v>28655</v>
      </c>
      <c r="B9382">
        <v>5.04</v>
      </c>
      <c r="C9382" t="s">
        <v>28656</v>
      </c>
      <c r="D9382" t="s">
        <v>28657</v>
      </c>
      <c r="E9382" t="s">
        <v>28658</v>
      </c>
      <c r="F9382" t="s">
        <v>7672</v>
      </c>
      <c r="G9382" t="s">
        <v>28659</v>
      </c>
      <c r="H9382" t="s">
        <v>26482</v>
      </c>
      <c r="I9382" t="s">
        <v>497</v>
      </c>
      <c r="J9382" t="s">
        <v>9694</v>
      </c>
    </row>
    <row r="9383" spans="1:10" x14ac:dyDescent="0.25">
      <c r="A9383" t="s">
        <v>28660</v>
      </c>
      <c r="B9383">
        <v>6.8400000000000007</v>
      </c>
      <c r="C9383" t="s">
        <v>28661</v>
      </c>
      <c r="D9383" t="s">
        <v>3872</v>
      </c>
      <c r="E9383" t="s">
        <v>142</v>
      </c>
      <c r="F9383" t="s">
        <v>7672</v>
      </c>
      <c r="G9383" t="s">
        <v>28662</v>
      </c>
      <c r="H9383" t="s">
        <v>13951</v>
      </c>
      <c r="I9383" t="s">
        <v>497</v>
      </c>
      <c r="J9383" t="s">
        <v>88</v>
      </c>
    </row>
    <row r="9384" spans="1:10" x14ac:dyDescent="0.25">
      <c r="A9384" t="s">
        <v>28663</v>
      </c>
      <c r="B9384">
        <v>6.8400000000000007</v>
      </c>
      <c r="C9384" t="s">
        <v>28664</v>
      </c>
      <c r="D9384" t="s">
        <v>8246</v>
      </c>
      <c r="E9384" t="s">
        <v>142</v>
      </c>
      <c r="F9384" t="s">
        <v>7672</v>
      </c>
      <c r="G9384" t="s">
        <v>28662</v>
      </c>
      <c r="H9384" t="s">
        <v>13951</v>
      </c>
      <c r="I9384" t="s">
        <v>497</v>
      </c>
      <c r="J9384" t="s">
        <v>269</v>
      </c>
    </row>
    <row r="9385" spans="1:10" x14ac:dyDescent="0.25">
      <c r="A9385" t="s">
        <v>139</v>
      </c>
      <c r="B9385">
        <v>6.8400000000000007</v>
      </c>
      <c r="C9385" t="s">
        <v>141</v>
      </c>
      <c r="D9385" t="s">
        <v>144</v>
      </c>
      <c r="E9385" t="s">
        <v>142</v>
      </c>
      <c r="F9385" t="s">
        <v>7672</v>
      </c>
      <c r="G9385" t="s">
        <v>28662</v>
      </c>
      <c r="H9385" t="s">
        <v>13951</v>
      </c>
      <c r="I9385" t="s">
        <v>497</v>
      </c>
      <c r="J9385" t="s">
        <v>255</v>
      </c>
    </row>
    <row r="9386" spans="1:10" x14ac:dyDescent="0.25">
      <c r="A9386" t="s">
        <v>28665</v>
      </c>
      <c r="B9386">
        <v>6.24</v>
      </c>
      <c r="C9386" t="s">
        <v>28666</v>
      </c>
      <c r="D9386" t="s">
        <v>17312</v>
      </c>
      <c r="E9386" t="s">
        <v>28667</v>
      </c>
      <c r="F9386" t="s">
        <v>7672</v>
      </c>
      <c r="G9386" t="s">
        <v>28668</v>
      </c>
      <c r="H9386" t="s">
        <v>8331</v>
      </c>
      <c r="I9386" t="s">
        <v>28669</v>
      </c>
      <c r="J9386" t="s">
        <v>7981</v>
      </c>
    </row>
    <row r="9387" spans="1:10" x14ac:dyDescent="0.25">
      <c r="A9387" t="s">
        <v>28670</v>
      </c>
      <c r="B9387">
        <v>6.24</v>
      </c>
      <c r="C9387" t="s">
        <v>28671</v>
      </c>
      <c r="D9387" t="s">
        <v>3979</v>
      </c>
      <c r="E9387" t="s">
        <v>28667</v>
      </c>
      <c r="F9387" t="s">
        <v>7672</v>
      </c>
      <c r="G9387" t="s">
        <v>28668</v>
      </c>
      <c r="H9387" t="s">
        <v>8331</v>
      </c>
      <c r="I9387" t="s">
        <v>28669</v>
      </c>
      <c r="J9387" t="s">
        <v>7984</v>
      </c>
    </row>
    <row r="9388" spans="1:10" x14ac:dyDescent="0.25">
      <c r="A9388" t="s">
        <v>28672</v>
      </c>
      <c r="B9388">
        <v>6.24</v>
      </c>
      <c r="C9388" t="s">
        <v>28673</v>
      </c>
      <c r="D9388" t="s">
        <v>9325</v>
      </c>
      <c r="E9388" t="s">
        <v>28667</v>
      </c>
      <c r="F9388" t="s">
        <v>7672</v>
      </c>
      <c r="G9388" t="s">
        <v>28668</v>
      </c>
      <c r="H9388" t="s">
        <v>8331</v>
      </c>
      <c r="I9388" t="s">
        <v>28669</v>
      </c>
      <c r="J9388" t="s">
        <v>7987</v>
      </c>
    </row>
    <row r="9389" spans="1:10" x14ac:dyDescent="0.25">
      <c r="A9389" t="s">
        <v>28674</v>
      </c>
      <c r="B9389">
        <v>17.36</v>
      </c>
      <c r="C9389" t="s">
        <v>28675</v>
      </c>
      <c r="D9389" t="s">
        <v>53</v>
      </c>
      <c r="E9389" t="s">
        <v>28676</v>
      </c>
      <c r="F9389" t="s">
        <v>7672</v>
      </c>
      <c r="G9389" t="s">
        <v>28677</v>
      </c>
      <c r="H9389" t="s">
        <v>8087</v>
      </c>
      <c r="I9389" t="s">
        <v>22958</v>
      </c>
      <c r="J9389" t="s">
        <v>7942</v>
      </c>
    </row>
    <row r="9390" spans="1:10" x14ac:dyDescent="0.25">
      <c r="A9390" t="s">
        <v>28678</v>
      </c>
      <c r="B9390">
        <v>7.2</v>
      </c>
      <c r="C9390" t="s">
        <v>28679</v>
      </c>
      <c r="D9390" t="s">
        <v>649</v>
      </c>
      <c r="E9390" t="s">
        <v>28680</v>
      </c>
      <c r="F9390" t="s">
        <v>7672</v>
      </c>
      <c r="G9390" t="s">
        <v>28681</v>
      </c>
      <c r="H9390" t="s">
        <v>7674</v>
      </c>
      <c r="I9390" t="s">
        <v>76</v>
      </c>
      <c r="J9390" t="s">
        <v>11373</v>
      </c>
    </row>
    <row r="9391" spans="1:10" x14ac:dyDescent="0.25">
      <c r="A9391" t="s">
        <v>28682</v>
      </c>
      <c r="B9391">
        <v>7.2</v>
      </c>
      <c r="C9391" t="s">
        <v>28683</v>
      </c>
      <c r="D9391" t="s">
        <v>3430</v>
      </c>
      <c r="E9391" t="s">
        <v>28680</v>
      </c>
      <c r="F9391" t="s">
        <v>7672</v>
      </c>
      <c r="G9391" t="s">
        <v>28681</v>
      </c>
      <c r="H9391" t="s">
        <v>7674</v>
      </c>
      <c r="I9391" t="s">
        <v>76</v>
      </c>
      <c r="J9391" t="s">
        <v>11376</v>
      </c>
    </row>
    <row r="9392" spans="1:10" x14ac:dyDescent="0.25">
      <c r="A9392" t="s">
        <v>28684</v>
      </c>
      <c r="B9392">
        <v>7.2</v>
      </c>
      <c r="C9392" t="s">
        <v>28685</v>
      </c>
      <c r="D9392" t="s">
        <v>1567</v>
      </c>
      <c r="E9392" t="s">
        <v>28680</v>
      </c>
      <c r="F9392" t="s">
        <v>7672</v>
      </c>
      <c r="G9392" t="s">
        <v>28681</v>
      </c>
      <c r="H9392" t="s">
        <v>7674</v>
      </c>
      <c r="I9392" t="s">
        <v>10802</v>
      </c>
      <c r="J9392" t="s">
        <v>11376</v>
      </c>
    </row>
    <row r="9393" spans="1:10" x14ac:dyDescent="0.25">
      <c r="A9393" t="s">
        <v>28686</v>
      </c>
      <c r="B9393">
        <v>7.2</v>
      </c>
      <c r="C9393" t="s">
        <v>28687</v>
      </c>
      <c r="D9393" t="s">
        <v>11566</v>
      </c>
      <c r="E9393" t="s">
        <v>28680</v>
      </c>
      <c r="F9393" t="s">
        <v>7672</v>
      </c>
      <c r="G9393" t="s">
        <v>28681</v>
      </c>
      <c r="H9393" t="s">
        <v>7674</v>
      </c>
      <c r="I9393" t="s">
        <v>10802</v>
      </c>
      <c r="J9393" t="s">
        <v>9114</v>
      </c>
    </row>
    <row r="9394" spans="1:10" x14ac:dyDescent="0.25">
      <c r="A9394" t="s">
        <v>28688</v>
      </c>
      <c r="B9394">
        <v>7.2</v>
      </c>
      <c r="C9394" t="s">
        <v>28689</v>
      </c>
      <c r="D9394" t="s">
        <v>16022</v>
      </c>
      <c r="E9394" t="s">
        <v>28680</v>
      </c>
      <c r="F9394" t="s">
        <v>7672</v>
      </c>
      <c r="G9394" t="s">
        <v>28681</v>
      </c>
      <c r="H9394" t="s">
        <v>7674</v>
      </c>
      <c r="I9394" t="s">
        <v>76</v>
      </c>
      <c r="J9394" t="s">
        <v>9114</v>
      </c>
    </row>
    <row r="9395" spans="1:10" x14ac:dyDescent="0.25">
      <c r="A9395" t="s">
        <v>146</v>
      </c>
      <c r="B9395">
        <v>15.6</v>
      </c>
      <c r="C9395" t="s">
        <v>148</v>
      </c>
      <c r="D9395" t="s">
        <v>151</v>
      </c>
      <c r="E9395" t="s">
        <v>149</v>
      </c>
      <c r="F9395" t="s">
        <v>7672</v>
      </c>
      <c r="G9395" t="s">
        <v>22104</v>
      </c>
      <c r="H9395" t="s">
        <v>8078</v>
      </c>
      <c r="I9395" t="s">
        <v>7952</v>
      </c>
      <c r="J9395" t="s">
        <v>7675</v>
      </c>
    </row>
    <row r="9396" spans="1:10" x14ac:dyDescent="0.25">
      <c r="A9396" t="s">
        <v>154</v>
      </c>
      <c r="B9396">
        <v>15.6</v>
      </c>
      <c r="C9396" t="s">
        <v>156</v>
      </c>
      <c r="D9396" t="s">
        <v>158</v>
      </c>
      <c r="E9396" t="s">
        <v>149</v>
      </c>
      <c r="F9396" t="s">
        <v>7672</v>
      </c>
      <c r="G9396" t="s">
        <v>22104</v>
      </c>
      <c r="H9396" t="s">
        <v>8078</v>
      </c>
      <c r="I9396" t="s">
        <v>7952</v>
      </c>
      <c r="J9396" t="s">
        <v>7686</v>
      </c>
    </row>
    <row r="9397" spans="1:10" x14ac:dyDescent="0.25">
      <c r="A9397" t="s">
        <v>28690</v>
      </c>
      <c r="B9397">
        <v>4.1520000000000001</v>
      </c>
      <c r="C9397" t="s">
        <v>28691</v>
      </c>
      <c r="D9397" t="s">
        <v>28692</v>
      </c>
      <c r="E9397" t="s">
        <v>28693</v>
      </c>
      <c r="F9397" t="s">
        <v>7672</v>
      </c>
      <c r="G9397" t="s">
        <v>28694</v>
      </c>
      <c r="H9397" t="s">
        <v>24310</v>
      </c>
      <c r="I9397" t="s">
        <v>497</v>
      </c>
      <c r="J9397" t="s">
        <v>9694</v>
      </c>
    </row>
    <row r="9398" spans="1:10" x14ac:dyDescent="0.25">
      <c r="A9398" t="s">
        <v>28695</v>
      </c>
      <c r="B9398">
        <v>9</v>
      </c>
      <c r="C9398" t="s">
        <v>28696</v>
      </c>
      <c r="D9398" t="s">
        <v>199</v>
      </c>
      <c r="E9398" t="s">
        <v>28697</v>
      </c>
      <c r="F9398" t="s">
        <v>7672</v>
      </c>
      <c r="G9398" t="s">
        <v>24605</v>
      </c>
      <c r="H9398" t="s">
        <v>16977</v>
      </c>
      <c r="I9398" t="s">
        <v>28698</v>
      </c>
      <c r="J9398" t="s">
        <v>19902</v>
      </c>
    </row>
    <row r="9399" spans="1:10" x14ac:dyDescent="0.25">
      <c r="A9399" t="s">
        <v>159</v>
      </c>
      <c r="B9399">
        <v>53.2</v>
      </c>
      <c r="C9399" t="s">
        <v>161</v>
      </c>
      <c r="D9399" t="s">
        <v>164</v>
      </c>
      <c r="E9399" t="s">
        <v>162</v>
      </c>
      <c r="F9399" t="s">
        <v>7672</v>
      </c>
      <c r="G9399" t="s">
        <v>28699</v>
      </c>
      <c r="H9399" t="s">
        <v>9232</v>
      </c>
      <c r="I9399" t="s">
        <v>28700</v>
      </c>
      <c r="J9399" t="s">
        <v>8427</v>
      </c>
    </row>
    <row r="9400" spans="1:10" x14ac:dyDescent="0.25">
      <c r="A9400" t="s">
        <v>167</v>
      </c>
      <c r="B9400">
        <v>53.2</v>
      </c>
      <c r="C9400" t="s">
        <v>169</v>
      </c>
      <c r="D9400" t="s">
        <v>88</v>
      </c>
      <c r="E9400" t="s">
        <v>162</v>
      </c>
      <c r="F9400" t="s">
        <v>7672</v>
      </c>
      <c r="G9400" t="s">
        <v>28699</v>
      </c>
      <c r="H9400" t="s">
        <v>9232</v>
      </c>
      <c r="I9400" t="s">
        <v>28701</v>
      </c>
      <c r="J9400" t="s">
        <v>8427</v>
      </c>
    </row>
    <row r="9401" spans="1:10" x14ac:dyDescent="0.25">
      <c r="A9401" t="s">
        <v>28702</v>
      </c>
      <c r="B9401">
        <v>11.2</v>
      </c>
      <c r="C9401" t="s">
        <v>28703</v>
      </c>
      <c r="D9401" t="s">
        <v>342</v>
      </c>
      <c r="E9401" t="s">
        <v>28704</v>
      </c>
      <c r="F9401" t="s">
        <v>7672</v>
      </c>
      <c r="G9401" t="s">
        <v>28705</v>
      </c>
      <c r="H9401" t="s">
        <v>28142</v>
      </c>
      <c r="I9401" t="s">
        <v>145</v>
      </c>
      <c r="J9401" t="s">
        <v>7981</v>
      </c>
    </row>
    <row r="9402" spans="1:10" x14ac:dyDescent="0.25">
      <c r="A9402" t="s">
        <v>28706</v>
      </c>
      <c r="B9402">
        <v>11.2</v>
      </c>
      <c r="C9402" t="s">
        <v>28707</v>
      </c>
      <c r="D9402" t="s">
        <v>164</v>
      </c>
      <c r="E9402" t="s">
        <v>28704</v>
      </c>
      <c r="F9402" t="s">
        <v>7672</v>
      </c>
      <c r="G9402" t="s">
        <v>28705</v>
      </c>
      <c r="H9402" t="s">
        <v>28142</v>
      </c>
      <c r="I9402" t="s">
        <v>145</v>
      </c>
      <c r="J9402" t="s">
        <v>7984</v>
      </c>
    </row>
    <row r="9403" spans="1:10" x14ac:dyDescent="0.25">
      <c r="A9403" t="s">
        <v>28708</v>
      </c>
      <c r="B9403">
        <v>11.2</v>
      </c>
      <c r="C9403" t="s">
        <v>28709</v>
      </c>
      <c r="D9403" t="s">
        <v>95</v>
      </c>
      <c r="E9403" t="s">
        <v>28704</v>
      </c>
      <c r="F9403" t="s">
        <v>7672</v>
      </c>
      <c r="G9403" t="s">
        <v>28705</v>
      </c>
      <c r="H9403" t="s">
        <v>28142</v>
      </c>
      <c r="I9403" t="s">
        <v>145</v>
      </c>
      <c r="J9403" t="s">
        <v>7987</v>
      </c>
    </row>
    <row r="9404" spans="1:10" x14ac:dyDescent="0.25">
      <c r="A9404" t="s">
        <v>28710</v>
      </c>
      <c r="B9404">
        <v>11.992000000000001</v>
      </c>
      <c r="C9404" t="s">
        <v>28711</v>
      </c>
      <c r="D9404" t="s">
        <v>118</v>
      </c>
      <c r="E9404" t="s">
        <v>28712</v>
      </c>
      <c r="F9404" t="s">
        <v>7672</v>
      </c>
      <c r="G9404" t="s">
        <v>28713</v>
      </c>
      <c r="H9404" t="s">
        <v>18241</v>
      </c>
      <c r="I9404" t="s">
        <v>4821</v>
      </c>
      <c r="J9404" t="s">
        <v>100</v>
      </c>
    </row>
    <row r="9405" spans="1:10" x14ac:dyDescent="0.25">
      <c r="A9405" t="s">
        <v>28714</v>
      </c>
      <c r="B9405">
        <v>11.992000000000001</v>
      </c>
      <c r="C9405" t="s">
        <v>28715</v>
      </c>
      <c r="D9405" t="s">
        <v>311</v>
      </c>
      <c r="E9405" t="s">
        <v>28712</v>
      </c>
      <c r="F9405" t="s">
        <v>7672</v>
      </c>
      <c r="G9405" t="s">
        <v>28713</v>
      </c>
      <c r="H9405" t="s">
        <v>18241</v>
      </c>
      <c r="I9405" t="s">
        <v>4821</v>
      </c>
      <c r="J9405" t="s">
        <v>106</v>
      </c>
    </row>
    <row r="9406" spans="1:10" x14ac:dyDescent="0.25">
      <c r="A9406" t="s">
        <v>28716</v>
      </c>
      <c r="B9406">
        <v>9.6000000000000014</v>
      </c>
      <c r="C9406" t="s">
        <v>28717</v>
      </c>
      <c r="D9406" t="s">
        <v>106</v>
      </c>
      <c r="E9406" t="s">
        <v>28718</v>
      </c>
      <c r="F9406" t="s">
        <v>7672</v>
      </c>
      <c r="G9406" t="s">
        <v>28719</v>
      </c>
      <c r="H9406" t="s">
        <v>10298</v>
      </c>
      <c r="I9406" t="s">
        <v>76</v>
      </c>
      <c r="J9406" t="s">
        <v>7981</v>
      </c>
    </row>
    <row r="9407" spans="1:10" x14ac:dyDescent="0.25">
      <c r="A9407" t="s">
        <v>28720</v>
      </c>
      <c r="B9407">
        <v>9.6000000000000014</v>
      </c>
      <c r="C9407" t="s">
        <v>28721</v>
      </c>
      <c r="D9407" t="s">
        <v>131</v>
      </c>
      <c r="E9407" t="s">
        <v>28718</v>
      </c>
      <c r="F9407" t="s">
        <v>7672</v>
      </c>
      <c r="G9407" t="s">
        <v>28719</v>
      </c>
      <c r="H9407" t="s">
        <v>10298</v>
      </c>
      <c r="I9407" t="s">
        <v>15352</v>
      </c>
      <c r="J9407" t="s">
        <v>8001</v>
      </c>
    </row>
    <row r="9408" spans="1:10" x14ac:dyDescent="0.25">
      <c r="A9408" t="s">
        <v>28722</v>
      </c>
      <c r="B9408">
        <v>7.2</v>
      </c>
      <c r="C9408" t="s">
        <v>28723</v>
      </c>
      <c r="D9408" t="s">
        <v>633</v>
      </c>
      <c r="E9408" t="s">
        <v>28724</v>
      </c>
      <c r="F9408" t="s">
        <v>7672</v>
      </c>
      <c r="G9408" t="s">
        <v>28725</v>
      </c>
      <c r="H9408" t="s">
        <v>16993</v>
      </c>
      <c r="I9408" t="s">
        <v>28726</v>
      </c>
      <c r="J9408" t="s">
        <v>9423</v>
      </c>
    </row>
    <row r="9409" spans="1:10" x14ac:dyDescent="0.25">
      <c r="A9409" t="s">
        <v>28727</v>
      </c>
      <c r="B9409">
        <v>7.2</v>
      </c>
      <c r="C9409" t="s">
        <v>28728</v>
      </c>
      <c r="D9409" t="s">
        <v>3258</v>
      </c>
      <c r="E9409" t="s">
        <v>28724</v>
      </c>
      <c r="F9409" t="s">
        <v>7672</v>
      </c>
      <c r="G9409" t="s">
        <v>28725</v>
      </c>
      <c r="H9409" t="s">
        <v>16993</v>
      </c>
      <c r="I9409" t="s">
        <v>28729</v>
      </c>
      <c r="J9409" t="s">
        <v>9423</v>
      </c>
    </row>
    <row r="9410" spans="1:10" x14ac:dyDescent="0.25">
      <c r="A9410" t="s">
        <v>28730</v>
      </c>
      <c r="B9410">
        <v>7.2</v>
      </c>
      <c r="C9410" t="s">
        <v>28731</v>
      </c>
      <c r="D9410" t="s">
        <v>1579</v>
      </c>
      <c r="E9410" t="s">
        <v>28724</v>
      </c>
      <c r="F9410" t="s">
        <v>7672</v>
      </c>
      <c r="G9410" t="s">
        <v>28725</v>
      </c>
      <c r="H9410" t="s">
        <v>16993</v>
      </c>
      <c r="I9410" t="s">
        <v>28726</v>
      </c>
      <c r="J9410" t="s">
        <v>9426</v>
      </c>
    </row>
    <row r="9411" spans="1:10" x14ac:dyDescent="0.25">
      <c r="A9411" t="s">
        <v>28732</v>
      </c>
      <c r="B9411">
        <v>7.2</v>
      </c>
      <c r="C9411" t="s">
        <v>28733</v>
      </c>
      <c r="D9411" t="s">
        <v>781</v>
      </c>
      <c r="E9411" t="s">
        <v>28724</v>
      </c>
      <c r="F9411" t="s">
        <v>7672</v>
      </c>
      <c r="G9411" t="s">
        <v>28725</v>
      </c>
      <c r="H9411" t="s">
        <v>16993</v>
      </c>
      <c r="I9411" t="s">
        <v>28734</v>
      </c>
      <c r="J9411" t="s">
        <v>9426</v>
      </c>
    </row>
    <row r="9412" spans="1:10" x14ac:dyDescent="0.25">
      <c r="A9412" t="s">
        <v>28735</v>
      </c>
      <c r="B9412">
        <v>7.2</v>
      </c>
      <c r="C9412" t="s">
        <v>28736</v>
      </c>
      <c r="D9412" t="s">
        <v>2149</v>
      </c>
      <c r="E9412" t="s">
        <v>28724</v>
      </c>
      <c r="F9412" t="s">
        <v>7672</v>
      </c>
      <c r="G9412" t="s">
        <v>28725</v>
      </c>
      <c r="H9412" t="s">
        <v>16993</v>
      </c>
      <c r="I9412" t="s">
        <v>28729</v>
      </c>
      <c r="J9412" t="s">
        <v>9426</v>
      </c>
    </row>
    <row r="9413" spans="1:10" x14ac:dyDescent="0.25">
      <c r="A9413" t="s">
        <v>28737</v>
      </c>
      <c r="B9413">
        <v>7.2</v>
      </c>
      <c r="C9413" t="s">
        <v>28738</v>
      </c>
      <c r="D9413" t="s">
        <v>321</v>
      </c>
      <c r="E9413" t="s">
        <v>28724</v>
      </c>
      <c r="F9413" t="s">
        <v>7672</v>
      </c>
      <c r="G9413" t="s">
        <v>28725</v>
      </c>
      <c r="H9413" t="s">
        <v>16993</v>
      </c>
      <c r="I9413" t="s">
        <v>28726</v>
      </c>
      <c r="J9413" t="s">
        <v>10862</v>
      </c>
    </row>
    <row r="9414" spans="1:10" x14ac:dyDescent="0.25">
      <c r="A9414" t="s">
        <v>28739</v>
      </c>
      <c r="B9414">
        <v>7.2</v>
      </c>
      <c r="C9414" t="s">
        <v>28740</v>
      </c>
      <c r="D9414" t="s">
        <v>4270</v>
      </c>
      <c r="E9414" t="s">
        <v>28724</v>
      </c>
      <c r="F9414" t="s">
        <v>7672</v>
      </c>
      <c r="G9414" t="s">
        <v>28725</v>
      </c>
      <c r="H9414" t="s">
        <v>16993</v>
      </c>
      <c r="I9414" t="s">
        <v>28729</v>
      </c>
      <c r="J9414" t="s">
        <v>10862</v>
      </c>
    </row>
    <row r="9415" spans="1:10" x14ac:dyDescent="0.25">
      <c r="A9415" t="s">
        <v>28741</v>
      </c>
      <c r="B9415">
        <v>7.2</v>
      </c>
      <c r="C9415" t="s">
        <v>28742</v>
      </c>
      <c r="D9415" t="s">
        <v>659</v>
      </c>
      <c r="E9415" t="s">
        <v>28724</v>
      </c>
      <c r="F9415" t="s">
        <v>7672</v>
      </c>
      <c r="G9415" t="s">
        <v>28725</v>
      </c>
      <c r="H9415" t="s">
        <v>16993</v>
      </c>
      <c r="I9415" t="s">
        <v>28726</v>
      </c>
      <c r="J9415" t="s">
        <v>13084</v>
      </c>
    </row>
    <row r="9416" spans="1:10" x14ac:dyDescent="0.25">
      <c r="A9416" t="s">
        <v>28743</v>
      </c>
      <c r="B9416">
        <v>7.2</v>
      </c>
      <c r="C9416" t="s">
        <v>28744</v>
      </c>
      <c r="D9416" t="s">
        <v>199</v>
      </c>
      <c r="E9416" t="s">
        <v>28724</v>
      </c>
      <c r="F9416" t="s">
        <v>7672</v>
      </c>
      <c r="G9416" t="s">
        <v>28725</v>
      </c>
      <c r="H9416" t="s">
        <v>16993</v>
      </c>
      <c r="I9416" t="s">
        <v>28729</v>
      </c>
      <c r="J9416" t="s">
        <v>13084</v>
      </c>
    </row>
    <row r="9417" spans="1:10" x14ac:dyDescent="0.25">
      <c r="A9417" t="s">
        <v>28745</v>
      </c>
      <c r="B9417">
        <v>8</v>
      </c>
      <c r="C9417" t="s">
        <v>28746</v>
      </c>
      <c r="D9417" t="s">
        <v>582</v>
      </c>
      <c r="E9417" t="s">
        <v>28747</v>
      </c>
      <c r="F9417" t="s">
        <v>7672</v>
      </c>
      <c r="G9417" t="s">
        <v>21386</v>
      </c>
      <c r="H9417" t="s">
        <v>14647</v>
      </c>
      <c r="I9417" t="s">
        <v>9391</v>
      </c>
      <c r="J9417" t="s">
        <v>7981</v>
      </c>
    </row>
    <row r="9418" spans="1:10" x14ac:dyDescent="0.25">
      <c r="A9418" t="s">
        <v>28748</v>
      </c>
      <c r="B9418">
        <v>8</v>
      </c>
      <c r="C9418" t="s">
        <v>28749</v>
      </c>
      <c r="D9418" t="s">
        <v>385</v>
      </c>
      <c r="E9418" t="s">
        <v>28747</v>
      </c>
      <c r="F9418" t="s">
        <v>7672</v>
      </c>
      <c r="G9418" t="s">
        <v>21386</v>
      </c>
      <c r="H9418" t="s">
        <v>14647</v>
      </c>
      <c r="I9418" t="s">
        <v>28750</v>
      </c>
      <c r="J9418" t="s">
        <v>7981</v>
      </c>
    </row>
    <row r="9419" spans="1:10" x14ac:dyDescent="0.25">
      <c r="A9419" t="s">
        <v>28751</v>
      </c>
      <c r="B9419">
        <v>8</v>
      </c>
      <c r="C9419" t="s">
        <v>28752</v>
      </c>
      <c r="D9419" t="s">
        <v>95</v>
      </c>
      <c r="E9419" t="s">
        <v>28747</v>
      </c>
      <c r="F9419" t="s">
        <v>7672</v>
      </c>
      <c r="G9419" t="s">
        <v>21386</v>
      </c>
      <c r="H9419" t="s">
        <v>14647</v>
      </c>
      <c r="I9419" t="s">
        <v>28753</v>
      </c>
      <c r="J9419" t="s">
        <v>7984</v>
      </c>
    </row>
    <row r="9420" spans="1:10" x14ac:dyDescent="0.25">
      <c r="A9420" t="s">
        <v>28754</v>
      </c>
      <c r="B9420">
        <v>8</v>
      </c>
      <c r="C9420" t="s">
        <v>28755</v>
      </c>
      <c r="D9420" t="s">
        <v>450</v>
      </c>
      <c r="E9420" t="s">
        <v>28747</v>
      </c>
      <c r="F9420" t="s">
        <v>7672</v>
      </c>
      <c r="G9420" t="s">
        <v>21386</v>
      </c>
      <c r="H9420" t="s">
        <v>14647</v>
      </c>
      <c r="I9420" t="s">
        <v>9391</v>
      </c>
      <c r="J9420" t="s">
        <v>7984</v>
      </c>
    </row>
    <row r="9421" spans="1:10" x14ac:dyDescent="0.25">
      <c r="A9421" t="s">
        <v>28756</v>
      </c>
      <c r="B9421">
        <v>8</v>
      </c>
      <c r="C9421" t="s">
        <v>28757</v>
      </c>
      <c r="D9421" t="s">
        <v>776</v>
      </c>
      <c r="E9421" t="s">
        <v>28747</v>
      </c>
      <c r="F9421" t="s">
        <v>7672</v>
      </c>
      <c r="G9421" t="s">
        <v>21386</v>
      </c>
      <c r="H9421" t="s">
        <v>14647</v>
      </c>
      <c r="I9421" t="s">
        <v>28750</v>
      </c>
      <c r="J9421" t="s">
        <v>7984</v>
      </c>
    </row>
    <row r="9422" spans="1:10" x14ac:dyDescent="0.25">
      <c r="A9422" t="s">
        <v>28758</v>
      </c>
      <c r="B9422">
        <v>8</v>
      </c>
      <c r="C9422" t="s">
        <v>28759</v>
      </c>
      <c r="D9422" t="s">
        <v>113</v>
      </c>
      <c r="E9422" t="s">
        <v>28747</v>
      </c>
      <c r="F9422" t="s">
        <v>7672</v>
      </c>
      <c r="G9422" t="s">
        <v>21386</v>
      </c>
      <c r="H9422" t="s">
        <v>14647</v>
      </c>
      <c r="I9422" t="s">
        <v>28750</v>
      </c>
      <c r="J9422" t="s">
        <v>7987</v>
      </c>
    </row>
    <row r="9423" spans="1:10" x14ac:dyDescent="0.25">
      <c r="A9423" t="s">
        <v>28760</v>
      </c>
      <c r="B9423">
        <v>8</v>
      </c>
      <c r="C9423" t="s">
        <v>28761</v>
      </c>
      <c r="D9423" t="s">
        <v>301</v>
      </c>
      <c r="E9423" t="s">
        <v>28747</v>
      </c>
      <c r="F9423" t="s">
        <v>7672</v>
      </c>
      <c r="G9423" t="s">
        <v>21386</v>
      </c>
      <c r="H9423" t="s">
        <v>14647</v>
      </c>
      <c r="I9423" t="s">
        <v>9391</v>
      </c>
      <c r="J9423" t="s">
        <v>7987</v>
      </c>
    </row>
    <row r="9424" spans="1:10" x14ac:dyDescent="0.25">
      <c r="A9424" t="s">
        <v>28762</v>
      </c>
      <c r="B9424">
        <v>8</v>
      </c>
      <c r="C9424" t="s">
        <v>28763</v>
      </c>
      <c r="D9424" t="s">
        <v>53</v>
      </c>
      <c r="E9424" t="s">
        <v>28747</v>
      </c>
      <c r="F9424" t="s">
        <v>7672</v>
      </c>
      <c r="G9424" t="s">
        <v>21386</v>
      </c>
      <c r="H9424" t="s">
        <v>14647</v>
      </c>
      <c r="I9424" t="s">
        <v>28753</v>
      </c>
      <c r="J9424" t="s">
        <v>7987</v>
      </c>
    </row>
    <row r="9425" spans="1:10" x14ac:dyDescent="0.25">
      <c r="A9425" t="s">
        <v>28764</v>
      </c>
      <c r="B9425">
        <v>14</v>
      </c>
      <c r="C9425" t="s">
        <v>28765</v>
      </c>
      <c r="D9425" t="s">
        <v>1254</v>
      </c>
      <c r="E9425" t="s">
        <v>28766</v>
      </c>
      <c r="F9425" t="s">
        <v>7672</v>
      </c>
      <c r="G9425" t="s">
        <v>28767</v>
      </c>
      <c r="H9425" t="s">
        <v>7674</v>
      </c>
      <c r="I9425" t="s">
        <v>28768</v>
      </c>
      <c r="J9425" t="s">
        <v>7675</v>
      </c>
    </row>
    <row r="9426" spans="1:10" x14ac:dyDescent="0.25">
      <c r="A9426" t="s">
        <v>28769</v>
      </c>
      <c r="B9426">
        <v>14</v>
      </c>
      <c r="C9426" t="s">
        <v>28770</v>
      </c>
      <c r="D9426" t="s">
        <v>926</v>
      </c>
      <c r="E9426" t="s">
        <v>28766</v>
      </c>
      <c r="F9426" t="s">
        <v>7672</v>
      </c>
      <c r="G9426" t="s">
        <v>28767</v>
      </c>
      <c r="H9426" t="s">
        <v>7674</v>
      </c>
      <c r="I9426" t="s">
        <v>17425</v>
      </c>
      <c r="J9426" t="s">
        <v>7675</v>
      </c>
    </row>
    <row r="9427" spans="1:10" x14ac:dyDescent="0.25">
      <c r="A9427" t="s">
        <v>28771</v>
      </c>
      <c r="B9427">
        <v>14</v>
      </c>
      <c r="C9427" t="s">
        <v>28772</v>
      </c>
      <c r="D9427" t="s">
        <v>659</v>
      </c>
      <c r="E9427" t="s">
        <v>28766</v>
      </c>
      <c r="F9427" t="s">
        <v>7672</v>
      </c>
      <c r="G9427" t="s">
        <v>28767</v>
      </c>
      <c r="H9427" t="s">
        <v>7674</v>
      </c>
      <c r="I9427" t="s">
        <v>11878</v>
      </c>
      <c r="J9427" t="s">
        <v>7675</v>
      </c>
    </row>
    <row r="9428" spans="1:10" x14ac:dyDescent="0.25">
      <c r="A9428" t="s">
        <v>28773</v>
      </c>
      <c r="B9428">
        <v>14</v>
      </c>
      <c r="C9428" t="s">
        <v>28774</v>
      </c>
      <c r="D9428" t="s">
        <v>296</v>
      </c>
      <c r="E9428" t="s">
        <v>28766</v>
      </c>
      <c r="F9428" t="s">
        <v>7672</v>
      </c>
      <c r="G9428" t="s">
        <v>28767</v>
      </c>
      <c r="H9428" t="s">
        <v>7674</v>
      </c>
      <c r="I9428" t="s">
        <v>108</v>
      </c>
      <c r="J9428" t="s">
        <v>7675</v>
      </c>
    </row>
    <row r="9429" spans="1:10" x14ac:dyDescent="0.25">
      <c r="A9429" t="s">
        <v>28775</v>
      </c>
      <c r="B9429">
        <v>14</v>
      </c>
      <c r="C9429" t="s">
        <v>28776</v>
      </c>
      <c r="D9429" t="s">
        <v>3999</v>
      </c>
      <c r="E9429" t="s">
        <v>28766</v>
      </c>
      <c r="F9429" t="s">
        <v>7672</v>
      </c>
      <c r="G9429" t="s">
        <v>28767</v>
      </c>
      <c r="H9429" t="s">
        <v>7674</v>
      </c>
      <c r="I9429" t="s">
        <v>28768</v>
      </c>
      <c r="J9429" t="s">
        <v>7686</v>
      </c>
    </row>
    <row r="9430" spans="1:10" x14ac:dyDescent="0.25">
      <c r="A9430" t="s">
        <v>28777</v>
      </c>
      <c r="B9430">
        <v>14</v>
      </c>
      <c r="C9430" t="s">
        <v>28778</v>
      </c>
      <c r="D9430" t="s">
        <v>3827</v>
      </c>
      <c r="E9430" t="s">
        <v>28766</v>
      </c>
      <c r="F9430" t="s">
        <v>7672</v>
      </c>
      <c r="G9430" t="s">
        <v>28767</v>
      </c>
      <c r="H9430" t="s">
        <v>7674</v>
      </c>
      <c r="I9430" t="s">
        <v>17425</v>
      </c>
      <c r="J9430" t="s">
        <v>7686</v>
      </c>
    </row>
    <row r="9431" spans="1:10" x14ac:dyDescent="0.25">
      <c r="A9431" t="s">
        <v>28779</v>
      </c>
      <c r="B9431">
        <v>14</v>
      </c>
      <c r="C9431" t="s">
        <v>28780</v>
      </c>
      <c r="D9431" t="s">
        <v>786</v>
      </c>
      <c r="E9431" t="s">
        <v>28766</v>
      </c>
      <c r="F9431" t="s">
        <v>7672</v>
      </c>
      <c r="G9431" t="s">
        <v>28767</v>
      </c>
      <c r="H9431" t="s">
        <v>7674</v>
      </c>
      <c r="I9431" t="s">
        <v>11878</v>
      </c>
      <c r="J9431" t="s">
        <v>7686</v>
      </c>
    </row>
    <row r="9432" spans="1:10" x14ac:dyDescent="0.25">
      <c r="A9432" t="s">
        <v>28781</v>
      </c>
      <c r="B9432">
        <v>14</v>
      </c>
      <c r="C9432" t="s">
        <v>28782</v>
      </c>
      <c r="D9432" t="s">
        <v>2381</v>
      </c>
      <c r="E9432" t="s">
        <v>28766</v>
      </c>
      <c r="F9432" t="s">
        <v>7672</v>
      </c>
      <c r="G9432" t="s">
        <v>28767</v>
      </c>
      <c r="H9432" t="s">
        <v>7674</v>
      </c>
      <c r="I9432" t="s">
        <v>108</v>
      </c>
      <c r="J9432" t="s">
        <v>7686</v>
      </c>
    </row>
    <row r="9433" spans="1:10" x14ac:dyDescent="0.25">
      <c r="A9433" t="s">
        <v>28783</v>
      </c>
      <c r="B9433">
        <v>14</v>
      </c>
      <c r="C9433" t="s">
        <v>28784</v>
      </c>
      <c r="D9433" t="s">
        <v>8744</v>
      </c>
      <c r="E9433" t="s">
        <v>28766</v>
      </c>
      <c r="F9433" t="s">
        <v>7672</v>
      </c>
      <c r="G9433" t="s">
        <v>28767</v>
      </c>
      <c r="H9433" t="s">
        <v>7674</v>
      </c>
      <c r="I9433" t="s">
        <v>28768</v>
      </c>
      <c r="J9433" t="s">
        <v>7703</v>
      </c>
    </row>
    <row r="9434" spans="1:10" x14ac:dyDescent="0.25">
      <c r="A9434" t="s">
        <v>28785</v>
      </c>
      <c r="B9434">
        <v>14</v>
      </c>
      <c r="C9434" t="s">
        <v>28786</v>
      </c>
      <c r="D9434" t="s">
        <v>40</v>
      </c>
      <c r="E9434" t="s">
        <v>28766</v>
      </c>
      <c r="F9434" t="s">
        <v>7672</v>
      </c>
      <c r="G9434" t="s">
        <v>28767</v>
      </c>
      <c r="H9434" t="s">
        <v>7674</v>
      </c>
      <c r="I9434" t="s">
        <v>17425</v>
      </c>
      <c r="J9434" t="s">
        <v>7703</v>
      </c>
    </row>
    <row r="9435" spans="1:10" x14ac:dyDescent="0.25">
      <c r="A9435" t="s">
        <v>28787</v>
      </c>
      <c r="B9435">
        <v>14</v>
      </c>
      <c r="C9435" t="s">
        <v>28788</v>
      </c>
      <c r="D9435" t="s">
        <v>255</v>
      </c>
      <c r="E9435" t="s">
        <v>28766</v>
      </c>
      <c r="F9435" t="s">
        <v>7672</v>
      </c>
      <c r="G9435" t="s">
        <v>28767</v>
      </c>
      <c r="H9435" t="s">
        <v>7674</v>
      </c>
      <c r="I9435" t="s">
        <v>11878</v>
      </c>
      <c r="J9435" t="s">
        <v>7703</v>
      </c>
    </row>
    <row r="9436" spans="1:10" x14ac:dyDescent="0.25">
      <c r="A9436" t="s">
        <v>28789</v>
      </c>
      <c r="B9436">
        <v>14</v>
      </c>
      <c r="C9436" t="s">
        <v>28790</v>
      </c>
      <c r="D9436" t="s">
        <v>321</v>
      </c>
      <c r="E9436" t="s">
        <v>28766</v>
      </c>
      <c r="F9436" t="s">
        <v>7672</v>
      </c>
      <c r="G9436" t="s">
        <v>28767</v>
      </c>
      <c r="H9436" t="s">
        <v>7674</v>
      </c>
      <c r="I9436" t="s">
        <v>28768</v>
      </c>
      <c r="J9436" t="s">
        <v>7713</v>
      </c>
    </row>
    <row r="9437" spans="1:10" x14ac:dyDescent="0.25">
      <c r="A9437" t="s">
        <v>28791</v>
      </c>
      <c r="B9437">
        <v>4.4000000000000004</v>
      </c>
      <c r="C9437" t="s">
        <v>28792</v>
      </c>
      <c r="D9437" t="s">
        <v>2620</v>
      </c>
      <c r="E9437" t="s">
        <v>28793</v>
      </c>
      <c r="F9437" t="s">
        <v>7672</v>
      </c>
      <c r="G9437" t="s">
        <v>28794</v>
      </c>
      <c r="H9437" t="s">
        <v>8515</v>
      </c>
      <c r="I9437" t="s">
        <v>5202</v>
      </c>
      <c r="J9437" t="s">
        <v>88</v>
      </c>
    </row>
    <row r="9438" spans="1:10" x14ac:dyDescent="0.25">
      <c r="A9438" t="s">
        <v>28795</v>
      </c>
      <c r="B9438">
        <v>4.4000000000000004</v>
      </c>
      <c r="C9438" t="s">
        <v>28796</v>
      </c>
      <c r="D9438" t="s">
        <v>1811</v>
      </c>
      <c r="E9438" t="s">
        <v>28793</v>
      </c>
      <c r="F9438" t="s">
        <v>7672</v>
      </c>
      <c r="G9438" t="s">
        <v>28794</v>
      </c>
      <c r="H9438" t="s">
        <v>8515</v>
      </c>
      <c r="I9438" t="s">
        <v>5202</v>
      </c>
      <c r="J9438" t="s">
        <v>8531</v>
      </c>
    </row>
    <row r="9439" spans="1:10" x14ac:dyDescent="0.25">
      <c r="A9439" t="s">
        <v>28797</v>
      </c>
      <c r="B9439">
        <v>2.7919999999999998</v>
      </c>
      <c r="C9439" t="s">
        <v>28798</v>
      </c>
      <c r="D9439" t="s">
        <v>4794</v>
      </c>
      <c r="E9439" t="s">
        <v>28799</v>
      </c>
      <c r="F9439" t="s">
        <v>7672</v>
      </c>
      <c r="G9439" t="s">
        <v>28800</v>
      </c>
      <c r="H9439" t="s">
        <v>8515</v>
      </c>
      <c r="I9439" t="s">
        <v>278</v>
      </c>
      <c r="J9439" t="s">
        <v>11767</v>
      </c>
    </row>
    <row r="9440" spans="1:10" x14ac:dyDescent="0.25">
      <c r="A9440" t="s">
        <v>28801</v>
      </c>
      <c r="B9440">
        <v>2.7919999999999998</v>
      </c>
      <c r="C9440" t="s">
        <v>28802</v>
      </c>
      <c r="D9440" t="s">
        <v>1949</v>
      </c>
      <c r="E9440" t="s">
        <v>28799</v>
      </c>
      <c r="F9440" t="s">
        <v>7672</v>
      </c>
      <c r="G9440" t="s">
        <v>28800</v>
      </c>
      <c r="H9440" t="s">
        <v>8515</v>
      </c>
      <c r="I9440" t="s">
        <v>278</v>
      </c>
      <c r="J9440" t="s">
        <v>11582</v>
      </c>
    </row>
    <row r="9441" spans="1:10" x14ac:dyDescent="0.25">
      <c r="A9441" t="s">
        <v>28803</v>
      </c>
      <c r="B9441">
        <v>2.7919999999999998</v>
      </c>
      <c r="C9441" t="s">
        <v>28804</v>
      </c>
      <c r="D9441" t="s">
        <v>781</v>
      </c>
      <c r="E9441" t="s">
        <v>28799</v>
      </c>
      <c r="F9441" t="s">
        <v>7672</v>
      </c>
      <c r="G9441" t="s">
        <v>28800</v>
      </c>
      <c r="H9441" t="s">
        <v>8515</v>
      </c>
      <c r="I9441" t="s">
        <v>278</v>
      </c>
      <c r="J9441" t="s">
        <v>11585</v>
      </c>
    </row>
    <row r="9442" spans="1:10" x14ac:dyDescent="0.25">
      <c r="A9442" t="s">
        <v>28805</v>
      </c>
      <c r="B9442">
        <v>2.8</v>
      </c>
      <c r="C9442" t="s">
        <v>28806</v>
      </c>
      <c r="D9442" t="s">
        <v>7882</v>
      </c>
      <c r="E9442" t="s">
        <v>28807</v>
      </c>
      <c r="F9442" t="s">
        <v>7672</v>
      </c>
      <c r="G9442" t="s">
        <v>28808</v>
      </c>
      <c r="H9442" t="s">
        <v>13951</v>
      </c>
      <c r="I9442" t="s">
        <v>5202</v>
      </c>
      <c r="J9442" t="s">
        <v>7675</v>
      </c>
    </row>
    <row r="9443" spans="1:10" x14ac:dyDescent="0.25">
      <c r="A9443" t="s">
        <v>28809</v>
      </c>
      <c r="B9443">
        <v>2.8</v>
      </c>
      <c r="C9443" t="s">
        <v>28810</v>
      </c>
      <c r="D9443" t="s">
        <v>28811</v>
      </c>
      <c r="E9443" t="s">
        <v>28807</v>
      </c>
      <c r="F9443" t="s">
        <v>7672</v>
      </c>
      <c r="G9443" t="s">
        <v>28808</v>
      </c>
      <c r="H9443" t="s">
        <v>13951</v>
      </c>
      <c r="I9443" t="s">
        <v>5202</v>
      </c>
      <c r="J9443" t="s">
        <v>7686</v>
      </c>
    </row>
    <row r="9444" spans="1:10" x14ac:dyDescent="0.25">
      <c r="A9444" t="s">
        <v>28812</v>
      </c>
      <c r="B9444">
        <v>2.8</v>
      </c>
      <c r="C9444" t="s">
        <v>28813</v>
      </c>
      <c r="D9444" t="s">
        <v>7689</v>
      </c>
      <c r="E9444" t="s">
        <v>28807</v>
      </c>
      <c r="F9444" t="s">
        <v>7672</v>
      </c>
      <c r="G9444" t="s">
        <v>28808</v>
      </c>
      <c r="H9444" t="s">
        <v>13951</v>
      </c>
      <c r="I9444" t="s">
        <v>5202</v>
      </c>
      <c r="J9444" t="s">
        <v>7703</v>
      </c>
    </row>
    <row r="9445" spans="1:10" x14ac:dyDescent="0.25">
      <c r="A9445" t="s">
        <v>28814</v>
      </c>
      <c r="B9445">
        <v>2.8</v>
      </c>
      <c r="C9445" t="s">
        <v>28815</v>
      </c>
      <c r="D9445" t="s">
        <v>10062</v>
      </c>
      <c r="E9445" t="s">
        <v>28807</v>
      </c>
      <c r="F9445" t="s">
        <v>7672</v>
      </c>
      <c r="G9445" t="s">
        <v>28808</v>
      </c>
      <c r="H9445" t="s">
        <v>13951</v>
      </c>
      <c r="I9445" t="s">
        <v>5202</v>
      </c>
      <c r="J9445" t="s">
        <v>7713</v>
      </c>
    </row>
    <row r="9446" spans="1:10" x14ac:dyDescent="0.25">
      <c r="A9446" t="s">
        <v>28816</v>
      </c>
      <c r="B9446">
        <v>2.8</v>
      </c>
      <c r="C9446" t="s">
        <v>28817</v>
      </c>
      <c r="D9446" t="s">
        <v>19580</v>
      </c>
      <c r="E9446" t="s">
        <v>28807</v>
      </c>
      <c r="F9446" t="s">
        <v>7672</v>
      </c>
      <c r="G9446" t="s">
        <v>28808</v>
      </c>
      <c r="H9446" t="s">
        <v>13951</v>
      </c>
      <c r="I9446" t="s">
        <v>5202</v>
      </c>
      <c r="J9446" t="s">
        <v>7719</v>
      </c>
    </row>
    <row r="9447" spans="1:10" x14ac:dyDescent="0.25">
      <c r="A9447" t="s">
        <v>28818</v>
      </c>
      <c r="B9447">
        <v>7.2</v>
      </c>
      <c r="C9447" t="s">
        <v>28819</v>
      </c>
      <c r="D9447" t="s">
        <v>10771</v>
      </c>
      <c r="E9447" t="s">
        <v>28820</v>
      </c>
      <c r="F9447" t="s">
        <v>7672</v>
      </c>
      <c r="G9447" t="s">
        <v>28821</v>
      </c>
      <c r="H9447" t="s">
        <v>8331</v>
      </c>
      <c r="I9447" t="s">
        <v>28822</v>
      </c>
      <c r="J9447" t="s">
        <v>7981</v>
      </c>
    </row>
    <row r="9448" spans="1:10" x14ac:dyDescent="0.25">
      <c r="A9448" t="s">
        <v>28823</v>
      </c>
      <c r="B9448">
        <v>7.2</v>
      </c>
      <c r="C9448" t="s">
        <v>28824</v>
      </c>
      <c r="D9448" t="s">
        <v>3815</v>
      </c>
      <c r="E9448" t="s">
        <v>28820</v>
      </c>
      <c r="F9448" t="s">
        <v>7672</v>
      </c>
      <c r="G9448" t="s">
        <v>28821</v>
      </c>
      <c r="H9448" t="s">
        <v>8331</v>
      </c>
      <c r="I9448" t="s">
        <v>28822</v>
      </c>
      <c r="J9448" t="s">
        <v>7984</v>
      </c>
    </row>
    <row r="9449" spans="1:10" x14ac:dyDescent="0.25">
      <c r="A9449" t="s">
        <v>28825</v>
      </c>
      <c r="B9449">
        <v>5.5920000000000014</v>
      </c>
      <c r="C9449" t="s">
        <v>28826</v>
      </c>
      <c r="D9449" t="s">
        <v>975</v>
      </c>
      <c r="E9449" t="s">
        <v>28827</v>
      </c>
      <c r="F9449" t="s">
        <v>7672</v>
      </c>
      <c r="G9449" t="s">
        <v>28828</v>
      </c>
      <c r="H9449" t="s">
        <v>8515</v>
      </c>
      <c r="I9449" t="s">
        <v>28829</v>
      </c>
      <c r="J9449" t="s">
        <v>255</v>
      </c>
    </row>
    <row r="9450" spans="1:10" x14ac:dyDescent="0.25">
      <c r="A9450" t="s">
        <v>28830</v>
      </c>
      <c r="B9450">
        <v>5.5920000000000014</v>
      </c>
      <c r="C9450" t="s">
        <v>28831</v>
      </c>
      <c r="D9450" t="s">
        <v>296</v>
      </c>
      <c r="E9450" t="s">
        <v>28827</v>
      </c>
      <c r="F9450" t="s">
        <v>7672</v>
      </c>
      <c r="G9450" t="s">
        <v>28828</v>
      </c>
      <c r="H9450" t="s">
        <v>8515</v>
      </c>
      <c r="I9450" t="s">
        <v>28829</v>
      </c>
      <c r="J9450" t="s">
        <v>277</v>
      </c>
    </row>
    <row r="9451" spans="1:10" x14ac:dyDescent="0.25">
      <c r="A9451" t="s">
        <v>28832</v>
      </c>
      <c r="B9451">
        <v>20.16</v>
      </c>
      <c r="C9451" t="s">
        <v>28833</v>
      </c>
      <c r="D9451" t="s">
        <v>100</v>
      </c>
      <c r="E9451" t="s">
        <v>28834</v>
      </c>
      <c r="F9451" t="s">
        <v>7672</v>
      </c>
      <c r="G9451" t="s">
        <v>28835</v>
      </c>
      <c r="H9451" t="s">
        <v>8087</v>
      </c>
      <c r="I9451" t="s">
        <v>28836</v>
      </c>
      <c r="J9451" t="s">
        <v>7942</v>
      </c>
    </row>
    <row r="9452" spans="1:10" x14ac:dyDescent="0.25">
      <c r="A9452" t="s">
        <v>28837</v>
      </c>
      <c r="B9452">
        <v>20.16</v>
      </c>
      <c r="C9452" t="s">
        <v>28838</v>
      </c>
      <c r="D9452" t="s">
        <v>95</v>
      </c>
      <c r="E9452" t="s">
        <v>28834</v>
      </c>
      <c r="F9452" t="s">
        <v>7672</v>
      </c>
      <c r="G9452" t="s">
        <v>28835</v>
      </c>
      <c r="H9452" t="s">
        <v>8087</v>
      </c>
      <c r="I9452" t="s">
        <v>28836</v>
      </c>
      <c r="J9452" t="s">
        <v>7981</v>
      </c>
    </row>
    <row r="9453" spans="1:10" x14ac:dyDescent="0.25">
      <c r="A9453" t="s">
        <v>28839</v>
      </c>
      <c r="B9453">
        <v>20.16</v>
      </c>
      <c r="C9453" t="s">
        <v>28840</v>
      </c>
      <c r="D9453" t="s">
        <v>671</v>
      </c>
      <c r="E9453" t="s">
        <v>28834</v>
      </c>
      <c r="F9453" t="s">
        <v>7672</v>
      </c>
      <c r="G9453" t="s">
        <v>28835</v>
      </c>
      <c r="H9453" t="s">
        <v>8087</v>
      </c>
      <c r="I9453" t="s">
        <v>28836</v>
      </c>
      <c r="J9453" t="s">
        <v>7984</v>
      </c>
    </row>
    <row r="9454" spans="1:10" x14ac:dyDescent="0.25">
      <c r="A9454" t="s">
        <v>28841</v>
      </c>
      <c r="B9454">
        <v>20.16</v>
      </c>
      <c r="C9454" t="s">
        <v>28842</v>
      </c>
      <c r="D9454" t="s">
        <v>849</v>
      </c>
      <c r="E9454" t="s">
        <v>28834</v>
      </c>
      <c r="F9454" t="s">
        <v>7672</v>
      </c>
      <c r="G9454" t="s">
        <v>28835</v>
      </c>
      <c r="H9454" t="s">
        <v>8087</v>
      </c>
      <c r="I9454" t="s">
        <v>28836</v>
      </c>
      <c r="J9454" t="s">
        <v>7987</v>
      </c>
    </row>
    <row r="9455" spans="1:10" x14ac:dyDescent="0.25">
      <c r="A9455" t="s">
        <v>28843</v>
      </c>
      <c r="B9455">
        <v>20.16</v>
      </c>
      <c r="C9455" t="s">
        <v>28844</v>
      </c>
      <c r="D9455" t="s">
        <v>277</v>
      </c>
      <c r="E9455" t="s">
        <v>28834</v>
      </c>
      <c r="F9455" t="s">
        <v>7672</v>
      </c>
      <c r="G9455" t="s">
        <v>28835</v>
      </c>
      <c r="H9455" t="s">
        <v>8087</v>
      </c>
      <c r="I9455" t="s">
        <v>28836</v>
      </c>
      <c r="J9455" t="s">
        <v>8001</v>
      </c>
    </row>
    <row r="9456" spans="1:10" x14ac:dyDescent="0.25">
      <c r="A9456" t="s">
        <v>28845</v>
      </c>
      <c r="B9456">
        <v>11.52</v>
      </c>
      <c r="C9456" t="s">
        <v>28846</v>
      </c>
      <c r="D9456" t="s">
        <v>742</v>
      </c>
      <c r="E9456" t="s">
        <v>28847</v>
      </c>
      <c r="F9456" t="s">
        <v>7672</v>
      </c>
      <c r="G9456" t="s">
        <v>28848</v>
      </c>
      <c r="H9456" t="s">
        <v>10298</v>
      </c>
      <c r="I9456" t="s">
        <v>22646</v>
      </c>
      <c r="J9456" t="s">
        <v>8427</v>
      </c>
    </row>
    <row r="9457" spans="1:10" x14ac:dyDescent="0.25">
      <c r="A9457" t="s">
        <v>28849</v>
      </c>
      <c r="B9457">
        <v>11.52</v>
      </c>
      <c r="C9457" t="s">
        <v>28850</v>
      </c>
      <c r="D9457" t="s">
        <v>2381</v>
      </c>
      <c r="E9457" t="s">
        <v>28847</v>
      </c>
      <c r="F9457" t="s">
        <v>7672</v>
      </c>
      <c r="G9457" t="s">
        <v>28848</v>
      </c>
      <c r="H9457" t="s">
        <v>10298</v>
      </c>
      <c r="I9457" t="s">
        <v>5364</v>
      </c>
      <c r="J9457" t="s">
        <v>8427</v>
      </c>
    </row>
    <row r="9458" spans="1:10" x14ac:dyDescent="0.25">
      <c r="A9458" t="s">
        <v>28851</v>
      </c>
      <c r="B9458">
        <v>11.52</v>
      </c>
      <c r="C9458" t="s">
        <v>28852</v>
      </c>
      <c r="D9458" t="s">
        <v>835</v>
      </c>
      <c r="E9458" t="s">
        <v>28847</v>
      </c>
      <c r="F9458" t="s">
        <v>7672</v>
      </c>
      <c r="G9458" t="s">
        <v>28848</v>
      </c>
      <c r="H9458" t="s">
        <v>10298</v>
      </c>
      <c r="I9458" t="s">
        <v>10394</v>
      </c>
      <c r="J9458" t="s">
        <v>8427</v>
      </c>
    </row>
    <row r="9459" spans="1:10" x14ac:dyDescent="0.25">
      <c r="A9459" t="s">
        <v>28853</v>
      </c>
      <c r="B9459">
        <v>11.52</v>
      </c>
      <c r="C9459" t="s">
        <v>28854</v>
      </c>
      <c r="D9459" t="s">
        <v>1143</v>
      </c>
      <c r="E9459" t="s">
        <v>28847</v>
      </c>
      <c r="F9459" t="s">
        <v>7672</v>
      </c>
      <c r="G9459" t="s">
        <v>28848</v>
      </c>
      <c r="H9459" t="s">
        <v>10298</v>
      </c>
      <c r="I9459" t="s">
        <v>22646</v>
      </c>
      <c r="J9459" t="s">
        <v>8439</v>
      </c>
    </row>
    <row r="9460" spans="1:10" x14ac:dyDescent="0.25">
      <c r="A9460" t="s">
        <v>28855</v>
      </c>
      <c r="B9460">
        <v>11.52</v>
      </c>
      <c r="C9460" t="s">
        <v>28856</v>
      </c>
      <c r="D9460" t="s">
        <v>46</v>
      </c>
      <c r="E9460" t="s">
        <v>28847</v>
      </c>
      <c r="F9460" t="s">
        <v>7672</v>
      </c>
      <c r="G9460" t="s">
        <v>28848</v>
      </c>
      <c r="H9460" t="s">
        <v>10298</v>
      </c>
      <c r="I9460" t="s">
        <v>5364</v>
      </c>
      <c r="J9460" t="s">
        <v>8439</v>
      </c>
    </row>
    <row r="9461" spans="1:10" x14ac:dyDescent="0.25">
      <c r="A9461" t="s">
        <v>28857</v>
      </c>
      <c r="B9461">
        <v>11.52</v>
      </c>
      <c r="C9461" t="s">
        <v>28858</v>
      </c>
      <c r="D9461" t="s">
        <v>725</v>
      </c>
      <c r="E9461" t="s">
        <v>28847</v>
      </c>
      <c r="F9461" t="s">
        <v>7672</v>
      </c>
      <c r="G9461" t="s">
        <v>28848</v>
      </c>
      <c r="H9461" t="s">
        <v>10298</v>
      </c>
      <c r="I9461" t="s">
        <v>10394</v>
      </c>
      <c r="J9461" t="s">
        <v>8439</v>
      </c>
    </row>
    <row r="9462" spans="1:10" x14ac:dyDescent="0.25">
      <c r="A9462" t="s">
        <v>28859</v>
      </c>
      <c r="B9462">
        <v>11.52</v>
      </c>
      <c r="C9462" t="s">
        <v>28860</v>
      </c>
      <c r="D9462" t="s">
        <v>60</v>
      </c>
      <c r="E9462" t="s">
        <v>28847</v>
      </c>
      <c r="F9462" t="s">
        <v>7672</v>
      </c>
      <c r="G9462" t="s">
        <v>28848</v>
      </c>
      <c r="H9462" t="s">
        <v>10298</v>
      </c>
      <c r="I9462" t="s">
        <v>28861</v>
      </c>
      <c r="J9462" t="s">
        <v>8451</v>
      </c>
    </row>
    <row r="9463" spans="1:10" x14ac:dyDescent="0.25">
      <c r="A9463" t="s">
        <v>28862</v>
      </c>
      <c r="B9463">
        <v>11.52</v>
      </c>
      <c r="C9463" t="s">
        <v>28863</v>
      </c>
      <c r="D9463" t="s">
        <v>286</v>
      </c>
      <c r="E9463" t="s">
        <v>28847</v>
      </c>
      <c r="F9463" t="s">
        <v>7672</v>
      </c>
      <c r="G9463" t="s">
        <v>28848</v>
      </c>
      <c r="H9463" t="s">
        <v>10298</v>
      </c>
      <c r="I9463" t="s">
        <v>22646</v>
      </c>
      <c r="J9463" t="s">
        <v>8451</v>
      </c>
    </row>
    <row r="9464" spans="1:10" x14ac:dyDescent="0.25">
      <c r="A9464" t="s">
        <v>28864</v>
      </c>
      <c r="B9464">
        <v>11.52</v>
      </c>
      <c r="C9464" t="s">
        <v>28865</v>
      </c>
      <c r="D9464" t="s">
        <v>3378</v>
      </c>
      <c r="E9464" t="s">
        <v>28847</v>
      </c>
      <c r="F9464" t="s">
        <v>7672</v>
      </c>
      <c r="G9464" t="s">
        <v>28848</v>
      </c>
      <c r="H9464" t="s">
        <v>10298</v>
      </c>
      <c r="I9464" t="s">
        <v>5364</v>
      </c>
      <c r="J9464" t="s">
        <v>8451</v>
      </c>
    </row>
    <row r="9465" spans="1:10" x14ac:dyDescent="0.25">
      <c r="A9465" t="s">
        <v>28866</v>
      </c>
      <c r="B9465">
        <v>11.52</v>
      </c>
      <c r="C9465" t="s">
        <v>28867</v>
      </c>
      <c r="D9465" t="s">
        <v>2036</v>
      </c>
      <c r="E9465" t="s">
        <v>28847</v>
      </c>
      <c r="F9465" t="s">
        <v>7672</v>
      </c>
      <c r="G9465" t="s">
        <v>28848</v>
      </c>
      <c r="H9465" t="s">
        <v>10298</v>
      </c>
      <c r="I9465" t="s">
        <v>10394</v>
      </c>
      <c r="J9465" t="s">
        <v>8451</v>
      </c>
    </row>
    <row r="9466" spans="1:10" x14ac:dyDescent="0.25">
      <c r="A9466" t="s">
        <v>28868</v>
      </c>
      <c r="B9466">
        <v>11.52</v>
      </c>
      <c r="C9466" t="s">
        <v>28869</v>
      </c>
      <c r="D9466" t="s">
        <v>301</v>
      </c>
      <c r="E9466" t="s">
        <v>28870</v>
      </c>
      <c r="F9466" t="s">
        <v>7672</v>
      </c>
      <c r="G9466" t="s">
        <v>28871</v>
      </c>
      <c r="H9466" t="s">
        <v>10298</v>
      </c>
      <c r="I9466" t="s">
        <v>14701</v>
      </c>
      <c r="J9466" t="s">
        <v>199</v>
      </c>
    </row>
    <row r="9467" spans="1:10" x14ac:dyDescent="0.25">
      <c r="A9467" t="s">
        <v>28872</v>
      </c>
      <c r="B9467">
        <v>11.52</v>
      </c>
      <c r="C9467" t="s">
        <v>28873</v>
      </c>
      <c r="D9467" t="s">
        <v>282</v>
      </c>
      <c r="E9467" t="s">
        <v>28870</v>
      </c>
      <c r="F9467" t="s">
        <v>7672</v>
      </c>
      <c r="G9467" t="s">
        <v>28871</v>
      </c>
      <c r="H9467" t="s">
        <v>10298</v>
      </c>
      <c r="I9467" t="s">
        <v>14701</v>
      </c>
      <c r="J9467" t="s">
        <v>95</v>
      </c>
    </row>
    <row r="9468" spans="1:10" x14ac:dyDescent="0.25">
      <c r="A9468" t="s">
        <v>28874</v>
      </c>
      <c r="B9468">
        <v>11.52</v>
      </c>
      <c r="C9468" t="s">
        <v>28875</v>
      </c>
      <c r="D9468" t="s">
        <v>1143</v>
      </c>
      <c r="E9468" t="s">
        <v>28870</v>
      </c>
      <c r="F9468" t="s">
        <v>7672</v>
      </c>
      <c r="G9468" t="s">
        <v>28871</v>
      </c>
      <c r="H9468" t="s">
        <v>10298</v>
      </c>
      <c r="I9468" t="s">
        <v>9733</v>
      </c>
      <c r="J9468" t="s">
        <v>95</v>
      </c>
    </row>
    <row r="9469" spans="1:10" x14ac:dyDescent="0.25">
      <c r="A9469" t="s">
        <v>28876</v>
      </c>
      <c r="B9469">
        <v>8.4</v>
      </c>
      <c r="C9469" t="s">
        <v>28877</v>
      </c>
      <c r="D9469" t="s">
        <v>588</v>
      </c>
      <c r="E9469" t="s">
        <v>28878</v>
      </c>
      <c r="F9469" t="s">
        <v>7672</v>
      </c>
      <c r="G9469" t="s">
        <v>28879</v>
      </c>
      <c r="H9469" t="s">
        <v>17992</v>
      </c>
      <c r="I9469" t="s">
        <v>28880</v>
      </c>
      <c r="J9469" t="s">
        <v>10233</v>
      </c>
    </row>
    <row r="9470" spans="1:10" x14ac:dyDescent="0.25">
      <c r="A9470" t="s">
        <v>28881</v>
      </c>
      <c r="B9470">
        <v>13.2</v>
      </c>
      <c r="C9470" t="s">
        <v>28882</v>
      </c>
      <c r="D9470" t="s">
        <v>835</v>
      </c>
      <c r="E9470" t="s">
        <v>28883</v>
      </c>
      <c r="F9470" t="s">
        <v>7672</v>
      </c>
      <c r="G9470" t="s">
        <v>28884</v>
      </c>
      <c r="H9470" t="s">
        <v>11622</v>
      </c>
      <c r="I9470" t="s">
        <v>3030</v>
      </c>
      <c r="J9470" t="s">
        <v>7675</v>
      </c>
    </row>
    <row r="9471" spans="1:10" x14ac:dyDescent="0.25">
      <c r="A9471" t="s">
        <v>28885</v>
      </c>
      <c r="B9471">
        <v>13.2</v>
      </c>
      <c r="C9471" t="s">
        <v>28886</v>
      </c>
      <c r="D9471" t="s">
        <v>2879</v>
      </c>
      <c r="E9471" t="s">
        <v>28883</v>
      </c>
      <c r="F9471" t="s">
        <v>7672</v>
      </c>
      <c r="G9471" t="s">
        <v>28884</v>
      </c>
      <c r="H9471" t="s">
        <v>11622</v>
      </c>
      <c r="I9471" t="s">
        <v>1243</v>
      </c>
      <c r="J9471" t="s">
        <v>7675</v>
      </c>
    </row>
    <row r="9472" spans="1:10" x14ac:dyDescent="0.25">
      <c r="A9472" t="s">
        <v>28887</v>
      </c>
      <c r="B9472">
        <v>13.2</v>
      </c>
      <c r="C9472" t="s">
        <v>28888</v>
      </c>
      <c r="D9472" t="s">
        <v>60</v>
      </c>
      <c r="E9472" t="s">
        <v>28883</v>
      </c>
      <c r="F9472" t="s">
        <v>7672</v>
      </c>
      <c r="G9472" t="s">
        <v>28884</v>
      </c>
      <c r="H9472" t="s">
        <v>11622</v>
      </c>
      <c r="I9472" t="s">
        <v>76</v>
      </c>
      <c r="J9472" t="s">
        <v>7675</v>
      </c>
    </row>
    <row r="9473" spans="1:10" x14ac:dyDescent="0.25">
      <c r="A9473" t="s">
        <v>28889</v>
      </c>
      <c r="B9473">
        <v>13.2</v>
      </c>
      <c r="C9473" t="s">
        <v>28890</v>
      </c>
      <c r="D9473" t="s">
        <v>835</v>
      </c>
      <c r="E9473" t="s">
        <v>28883</v>
      </c>
      <c r="F9473" t="s">
        <v>7672</v>
      </c>
      <c r="G9473" t="s">
        <v>28884</v>
      </c>
      <c r="H9473" t="s">
        <v>11622</v>
      </c>
      <c r="I9473" t="s">
        <v>8357</v>
      </c>
      <c r="J9473" t="s">
        <v>7675</v>
      </c>
    </row>
    <row r="9474" spans="1:10" x14ac:dyDescent="0.25">
      <c r="A9474" t="s">
        <v>28891</v>
      </c>
      <c r="B9474">
        <v>13.2</v>
      </c>
      <c r="C9474" t="s">
        <v>28892</v>
      </c>
      <c r="D9474" t="s">
        <v>277</v>
      </c>
      <c r="E9474" t="s">
        <v>28883</v>
      </c>
      <c r="F9474" t="s">
        <v>7672</v>
      </c>
      <c r="G9474" t="s">
        <v>28884</v>
      </c>
      <c r="H9474" t="s">
        <v>11622</v>
      </c>
      <c r="I9474" t="s">
        <v>28893</v>
      </c>
      <c r="J9474" t="s">
        <v>7675</v>
      </c>
    </row>
    <row r="9475" spans="1:10" x14ac:dyDescent="0.25">
      <c r="A9475" t="s">
        <v>28894</v>
      </c>
      <c r="B9475">
        <v>13.2</v>
      </c>
      <c r="C9475" t="s">
        <v>28895</v>
      </c>
      <c r="D9475" t="s">
        <v>1097</v>
      </c>
      <c r="E9475" t="s">
        <v>28883</v>
      </c>
      <c r="F9475" t="s">
        <v>7672</v>
      </c>
      <c r="G9475" t="s">
        <v>28884</v>
      </c>
      <c r="H9475" t="s">
        <v>11622</v>
      </c>
      <c r="I9475" t="s">
        <v>3030</v>
      </c>
      <c r="J9475" t="s">
        <v>7686</v>
      </c>
    </row>
    <row r="9476" spans="1:10" x14ac:dyDescent="0.25">
      <c r="A9476" t="s">
        <v>28896</v>
      </c>
      <c r="B9476">
        <v>13.2</v>
      </c>
      <c r="C9476" t="s">
        <v>28897</v>
      </c>
      <c r="D9476" t="s">
        <v>436</v>
      </c>
      <c r="E9476" t="s">
        <v>28883</v>
      </c>
      <c r="F9476" t="s">
        <v>7672</v>
      </c>
      <c r="G9476" t="s">
        <v>28884</v>
      </c>
      <c r="H9476" t="s">
        <v>11622</v>
      </c>
      <c r="I9476" t="s">
        <v>1243</v>
      </c>
      <c r="J9476" t="s">
        <v>7686</v>
      </c>
    </row>
    <row r="9477" spans="1:10" x14ac:dyDescent="0.25">
      <c r="A9477" t="s">
        <v>28898</v>
      </c>
      <c r="B9477">
        <v>13.2</v>
      </c>
      <c r="C9477" t="s">
        <v>28899</v>
      </c>
      <c r="D9477" t="s">
        <v>588</v>
      </c>
      <c r="E9477" t="s">
        <v>28883</v>
      </c>
      <c r="F9477" t="s">
        <v>7672</v>
      </c>
      <c r="G9477" t="s">
        <v>28884</v>
      </c>
      <c r="H9477" t="s">
        <v>11622</v>
      </c>
      <c r="I9477" t="s">
        <v>8357</v>
      </c>
      <c r="J9477" t="s">
        <v>7686</v>
      </c>
    </row>
    <row r="9478" spans="1:10" x14ac:dyDescent="0.25">
      <c r="A9478" t="s">
        <v>28900</v>
      </c>
      <c r="B9478">
        <v>13.2</v>
      </c>
      <c r="C9478" t="s">
        <v>28901</v>
      </c>
      <c r="D9478" t="s">
        <v>613</v>
      </c>
      <c r="E9478" t="s">
        <v>28883</v>
      </c>
      <c r="F9478" t="s">
        <v>7672</v>
      </c>
      <c r="G9478" t="s">
        <v>28884</v>
      </c>
      <c r="H9478" t="s">
        <v>11622</v>
      </c>
      <c r="I9478" t="s">
        <v>28893</v>
      </c>
      <c r="J9478" t="s">
        <v>7686</v>
      </c>
    </row>
    <row r="9479" spans="1:10" x14ac:dyDescent="0.25">
      <c r="A9479" t="s">
        <v>28902</v>
      </c>
      <c r="B9479">
        <v>10</v>
      </c>
      <c r="C9479" t="s">
        <v>28903</v>
      </c>
      <c r="D9479" t="s">
        <v>2347</v>
      </c>
      <c r="E9479" t="s">
        <v>28904</v>
      </c>
      <c r="F9479" t="s">
        <v>7672</v>
      </c>
      <c r="G9479" t="s">
        <v>28905</v>
      </c>
      <c r="H9479" t="s">
        <v>22358</v>
      </c>
      <c r="I9479" t="s">
        <v>28906</v>
      </c>
      <c r="J9479" t="s">
        <v>10369</v>
      </c>
    </row>
    <row r="9480" spans="1:10" x14ac:dyDescent="0.25">
      <c r="A9480" t="s">
        <v>28907</v>
      </c>
      <c r="B9480">
        <v>10</v>
      </c>
      <c r="C9480" t="s">
        <v>28908</v>
      </c>
      <c r="D9480" t="s">
        <v>582</v>
      </c>
      <c r="E9480" t="s">
        <v>28904</v>
      </c>
      <c r="F9480" t="s">
        <v>7672</v>
      </c>
      <c r="G9480" t="s">
        <v>28905</v>
      </c>
      <c r="H9480" t="s">
        <v>22358</v>
      </c>
      <c r="I9480" t="s">
        <v>28906</v>
      </c>
      <c r="J9480" t="s">
        <v>11593</v>
      </c>
    </row>
    <row r="9481" spans="1:10" x14ac:dyDescent="0.25">
      <c r="A9481" t="s">
        <v>172</v>
      </c>
      <c r="B9481">
        <v>18.064</v>
      </c>
      <c r="C9481" t="s">
        <v>174</v>
      </c>
      <c r="D9481" t="s">
        <v>164</v>
      </c>
      <c r="E9481" t="s">
        <v>175</v>
      </c>
      <c r="F9481" t="s">
        <v>7672</v>
      </c>
      <c r="G9481" t="s">
        <v>28909</v>
      </c>
      <c r="H9481" t="s">
        <v>10970</v>
      </c>
      <c r="I9481" t="s">
        <v>28910</v>
      </c>
      <c r="J9481" t="s">
        <v>17919</v>
      </c>
    </row>
    <row r="9482" spans="1:10" x14ac:dyDescent="0.25">
      <c r="A9482" t="s">
        <v>179</v>
      </c>
      <c r="B9482">
        <v>18.064</v>
      </c>
      <c r="C9482" t="s">
        <v>181</v>
      </c>
      <c r="D9482" t="s">
        <v>131</v>
      </c>
      <c r="E9482" t="s">
        <v>175</v>
      </c>
      <c r="F9482" t="s">
        <v>7672</v>
      </c>
      <c r="G9482" t="s">
        <v>28909</v>
      </c>
      <c r="H9482" t="s">
        <v>10970</v>
      </c>
      <c r="I9482" t="s">
        <v>28910</v>
      </c>
      <c r="J9482" t="s">
        <v>17923</v>
      </c>
    </row>
    <row r="9483" spans="1:10" x14ac:dyDescent="0.25">
      <c r="A9483" t="s">
        <v>183</v>
      </c>
      <c r="B9483">
        <v>18.064</v>
      </c>
      <c r="C9483" t="s">
        <v>185</v>
      </c>
      <c r="D9483" t="s">
        <v>131</v>
      </c>
      <c r="E9483" t="s">
        <v>175</v>
      </c>
      <c r="F9483" t="s">
        <v>7672</v>
      </c>
      <c r="G9483" t="s">
        <v>28909</v>
      </c>
      <c r="H9483" t="s">
        <v>10970</v>
      </c>
      <c r="I9483" t="s">
        <v>28910</v>
      </c>
      <c r="J9483" t="s">
        <v>10185</v>
      </c>
    </row>
    <row r="9484" spans="1:10" x14ac:dyDescent="0.25">
      <c r="A9484" t="s">
        <v>187</v>
      </c>
      <c r="B9484">
        <v>18.064</v>
      </c>
      <c r="C9484" t="s">
        <v>189</v>
      </c>
      <c r="D9484" t="s">
        <v>100</v>
      </c>
      <c r="E9484" t="s">
        <v>175</v>
      </c>
      <c r="F9484" t="s">
        <v>7672</v>
      </c>
      <c r="G9484" t="s">
        <v>28909</v>
      </c>
      <c r="H9484" t="s">
        <v>10970</v>
      </c>
      <c r="I9484" t="s">
        <v>28910</v>
      </c>
      <c r="J9484" t="s">
        <v>17929</v>
      </c>
    </row>
    <row r="9485" spans="1:10" x14ac:dyDescent="0.25">
      <c r="A9485" t="s">
        <v>191</v>
      </c>
      <c r="B9485">
        <v>18.064</v>
      </c>
      <c r="C9485" t="s">
        <v>193</v>
      </c>
      <c r="D9485" t="s">
        <v>106</v>
      </c>
      <c r="E9485" t="s">
        <v>175</v>
      </c>
      <c r="F9485" t="s">
        <v>7672</v>
      </c>
      <c r="G9485" t="s">
        <v>28909</v>
      </c>
      <c r="H9485" t="s">
        <v>10970</v>
      </c>
      <c r="I9485" t="s">
        <v>28910</v>
      </c>
      <c r="J9485" t="s">
        <v>27577</v>
      </c>
    </row>
    <row r="9486" spans="1:10" x14ac:dyDescent="0.25">
      <c r="A9486" t="s">
        <v>195</v>
      </c>
      <c r="B9486">
        <v>18.064</v>
      </c>
      <c r="C9486" t="s">
        <v>197</v>
      </c>
      <c r="D9486" t="s">
        <v>199</v>
      </c>
      <c r="E9486" t="s">
        <v>175</v>
      </c>
      <c r="F9486" t="s">
        <v>7672</v>
      </c>
      <c r="G9486" t="s">
        <v>28909</v>
      </c>
      <c r="H9486" t="s">
        <v>10970</v>
      </c>
      <c r="I9486" t="s">
        <v>28910</v>
      </c>
      <c r="J9486" t="s">
        <v>17933</v>
      </c>
    </row>
    <row r="9487" spans="1:10" x14ac:dyDescent="0.25">
      <c r="A9487" t="s">
        <v>200</v>
      </c>
      <c r="B9487">
        <v>18.064</v>
      </c>
      <c r="C9487" t="s">
        <v>202</v>
      </c>
      <c r="D9487" t="s">
        <v>88</v>
      </c>
      <c r="E9487" t="s">
        <v>175</v>
      </c>
      <c r="F9487" t="s">
        <v>7672</v>
      </c>
      <c r="G9487" t="s">
        <v>28909</v>
      </c>
      <c r="H9487" t="s">
        <v>10970</v>
      </c>
      <c r="I9487" t="s">
        <v>28910</v>
      </c>
      <c r="J9487" t="s">
        <v>10251</v>
      </c>
    </row>
    <row r="9488" spans="1:10" x14ac:dyDescent="0.25">
      <c r="A9488" t="s">
        <v>204</v>
      </c>
      <c r="B9488">
        <v>18.064</v>
      </c>
      <c r="C9488" t="s">
        <v>206</v>
      </c>
      <c r="D9488" t="s">
        <v>88</v>
      </c>
      <c r="E9488" t="s">
        <v>175</v>
      </c>
      <c r="F9488" t="s">
        <v>7672</v>
      </c>
      <c r="G9488" t="s">
        <v>28909</v>
      </c>
      <c r="H9488" t="s">
        <v>10970</v>
      </c>
      <c r="I9488" t="s">
        <v>28910</v>
      </c>
      <c r="J9488" t="s">
        <v>10262</v>
      </c>
    </row>
    <row r="9489" spans="1:10" x14ac:dyDescent="0.25">
      <c r="A9489" t="s">
        <v>208</v>
      </c>
      <c r="B9489">
        <v>18.064</v>
      </c>
      <c r="C9489" t="s">
        <v>210</v>
      </c>
      <c r="D9489" t="s">
        <v>88</v>
      </c>
      <c r="E9489" t="s">
        <v>175</v>
      </c>
      <c r="F9489" t="s">
        <v>7672</v>
      </c>
      <c r="G9489" t="s">
        <v>28909</v>
      </c>
      <c r="H9489" t="s">
        <v>10970</v>
      </c>
      <c r="I9489" t="s">
        <v>28910</v>
      </c>
      <c r="J9489" t="s">
        <v>8658</v>
      </c>
    </row>
    <row r="9490" spans="1:10" x14ac:dyDescent="0.25">
      <c r="A9490" t="s">
        <v>212</v>
      </c>
      <c r="B9490">
        <v>18.064</v>
      </c>
      <c r="C9490" t="s">
        <v>214</v>
      </c>
      <c r="D9490" t="s">
        <v>131</v>
      </c>
      <c r="E9490" t="s">
        <v>175</v>
      </c>
      <c r="F9490" t="s">
        <v>7672</v>
      </c>
      <c r="G9490" t="s">
        <v>28909</v>
      </c>
      <c r="H9490" t="s">
        <v>10970</v>
      </c>
      <c r="I9490" t="s">
        <v>28910</v>
      </c>
      <c r="J9490" t="s">
        <v>15312</v>
      </c>
    </row>
    <row r="9491" spans="1:10" x14ac:dyDescent="0.25">
      <c r="A9491" t="s">
        <v>216</v>
      </c>
      <c r="B9491">
        <v>18.064</v>
      </c>
      <c r="C9491" t="s">
        <v>218</v>
      </c>
      <c r="D9491" t="s">
        <v>106</v>
      </c>
      <c r="E9491" t="s">
        <v>175</v>
      </c>
      <c r="F9491" t="s">
        <v>7672</v>
      </c>
      <c r="G9491" t="s">
        <v>28909</v>
      </c>
      <c r="H9491" t="s">
        <v>10970</v>
      </c>
      <c r="I9491" t="s">
        <v>28910</v>
      </c>
      <c r="J9491" t="s">
        <v>8659</v>
      </c>
    </row>
    <row r="9492" spans="1:10" x14ac:dyDescent="0.25">
      <c r="A9492" t="s">
        <v>220</v>
      </c>
      <c r="B9492">
        <v>18.064</v>
      </c>
      <c r="C9492" t="s">
        <v>222</v>
      </c>
      <c r="D9492" t="s">
        <v>131</v>
      </c>
      <c r="E9492" t="s">
        <v>175</v>
      </c>
      <c r="F9492" t="s">
        <v>7672</v>
      </c>
      <c r="G9492" t="s">
        <v>28909</v>
      </c>
      <c r="H9492" t="s">
        <v>10970</v>
      </c>
      <c r="I9492" t="s">
        <v>28910</v>
      </c>
      <c r="J9492" t="s">
        <v>10292</v>
      </c>
    </row>
    <row r="9493" spans="1:10" x14ac:dyDescent="0.25">
      <c r="A9493" t="s">
        <v>28911</v>
      </c>
      <c r="B9493">
        <v>9.5920000000000005</v>
      </c>
      <c r="C9493" t="s">
        <v>28912</v>
      </c>
      <c r="D9493" t="s">
        <v>10771</v>
      </c>
      <c r="E9493" t="s">
        <v>28913</v>
      </c>
      <c r="F9493" t="s">
        <v>7672</v>
      </c>
      <c r="G9493" t="s">
        <v>28914</v>
      </c>
      <c r="H9493" t="s">
        <v>7674</v>
      </c>
      <c r="I9493" t="s">
        <v>28915</v>
      </c>
      <c r="J9493" t="s">
        <v>7981</v>
      </c>
    </row>
    <row r="9494" spans="1:10" x14ac:dyDescent="0.25">
      <c r="A9494" t="s">
        <v>28916</v>
      </c>
      <c r="B9494">
        <v>9.5920000000000005</v>
      </c>
      <c r="C9494" t="s">
        <v>28917</v>
      </c>
      <c r="D9494" t="s">
        <v>6379</v>
      </c>
      <c r="E9494" t="s">
        <v>28913</v>
      </c>
      <c r="F9494" t="s">
        <v>7672</v>
      </c>
      <c r="G9494" t="s">
        <v>28914</v>
      </c>
      <c r="H9494" t="s">
        <v>7674</v>
      </c>
      <c r="I9494" t="s">
        <v>28915</v>
      </c>
      <c r="J9494" t="s">
        <v>7984</v>
      </c>
    </row>
    <row r="9495" spans="1:10" x14ac:dyDescent="0.25">
      <c r="A9495" t="s">
        <v>28918</v>
      </c>
      <c r="B9495">
        <v>9.5920000000000005</v>
      </c>
      <c r="C9495" t="s">
        <v>28919</v>
      </c>
      <c r="D9495" t="s">
        <v>11146</v>
      </c>
      <c r="E9495" t="s">
        <v>28913</v>
      </c>
      <c r="F9495" t="s">
        <v>7672</v>
      </c>
      <c r="G9495" t="s">
        <v>28914</v>
      </c>
      <c r="H9495" t="s">
        <v>7674</v>
      </c>
      <c r="I9495" t="s">
        <v>28915</v>
      </c>
      <c r="J9495" t="s">
        <v>7987</v>
      </c>
    </row>
    <row r="9496" spans="1:10" x14ac:dyDescent="0.25">
      <c r="A9496" t="s">
        <v>28920</v>
      </c>
      <c r="B9496">
        <v>9.5920000000000005</v>
      </c>
      <c r="C9496" t="s">
        <v>28921</v>
      </c>
      <c r="D9496" t="s">
        <v>8057</v>
      </c>
      <c r="E9496" t="s">
        <v>28913</v>
      </c>
      <c r="F9496" t="s">
        <v>7672</v>
      </c>
      <c r="G9496" t="s">
        <v>28914</v>
      </c>
      <c r="H9496" t="s">
        <v>7674</v>
      </c>
      <c r="I9496" t="s">
        <v>28915</v>
      </c>
      <c r="J9496" t="s">
        <v>8001</v>
      </c>
    </row>
    <row r="9497" spans="1:10" x14ac:dyDescent="0.25">
      <c r="A9497" t="s">
        <v>28922</v>
      </c>
      <c r="B9497">
        <v>5.7600000000000007</v>
      </c>
      <c r="C9497" t="s">
        <v>28923</v>
      </c>
      <c r="D9497" t="s">
        <v>933</v>
      </c>
      <c r="E9497" t="s">
        <v>28924</v>
      </c>
      <c r="F9497" t="s">
        <v>7672</v>
      </c>
      <c r="G9497" t="s">
        <v>28925</v>
      </c>
      <c r="H9497" t="s">
        <v>8779</v>
      </c>
      <c r="I9497" t="s">
        <v>28926</v>
      </c>
      <c r="J9497" t="s">
        <v>22923</v>
      </c>
    </row>
    <row r="9498" spans="1:10" x14ac:dyDescent="0.25">
      <c r="A9498" t="s">
        <v>28927</v>
      </c>
      <c r="B9498">
        <v>5.7600000000000007</v>
      </c>
      <c r="C9498" t="s">
        <v>28928</v>
      </c>
      <c r="D9498" t="s">
        <v>11485</v>
      </c>
      <c r="E9498" t="s">
        <v>28924</v>
      </c>
      <c r="F9498" t="s">
        <v>7672</v>
      </c>
      <c r="G9498" t="s">
        <v>28925</v>
      </c>
      <c r="H9498" t="s">
        <v>8779</v>
      </c>
      <c r="I9498" t="s">
        <v>28929</v>
      </c>
      <c r="J9498" t="s">
        <v>22923</v>
      </c>
    </row>
    <row r="9499" spans="1:10" x14ac:dyDescent="0.25">
      <c r="A9499" t="s">
        <v>28930</v>
      </c>
      <c r="B9499">
        <v>5.7600000000000007</v>
      </c>
      <c r="C9499" t="s">
        <v>28931</v>
      </c>
      <c r="D9499" t="s">
        <v>8432</v>
      </c>
      <c r="E9499" t="s">
        <v>28924</v>
      </c>
      <c r="F9499" t="s">
        <v>7672</v>
      </c>
      <c r="G9499" t="s">
        <v>28925</v>
      </c>
      <c r="H9499" t="s">
        <v>8779</v>
      </c>
      <c r="I9499" t="s">
        <v>11382</v>
      </c>
      <c r="J9499" t="s">
        <v>22923</v>
      </c>
    </row>
    <row r="9500" spans="1:10" x14ac:dyDescent="0.25">
      <c r="A9500" t="s">
        <v>28932</v>
      </c>
      <c r="B9500">
        <v>5.7600000000000007</v>
      </c>
      <c r="C9500" t="s">
        <v>28933</v>
      </c>
      <c r="D9500" t="s">
        <v>28934</v>
      </c>
      <c r="E9500" t="s">
        <v>28924</v>
      </c>
      <c r="F9500" t="s">
        <v>7672</v>
      </c>
      <c r="G9500" t="s">
        <v>28925</v>
      </c>
      <c r="H9500" t="s">
        <v>8779</v>
      </c>
      <c r="I9500" t="s">
        <v>28926</v>
      </c>
      <c r="J9500" t="s">
        <v>22929</v>
      </c>
    </row>
    <row r="9501" spans="1:10" x14ac:dyDescent="0.25">
      <c r="A9501" t="s">
        <v>28935</v>
      </c>
      <c r="B9501">
        <v>5.7600000000000007</v>
      </c>
      <c r="C9501" t="s">
        <v>28936</v>
      </c>
      <c r="D9501" t="s">
        <v>2204</v>
      </c>
      <c r="E9501" t="s">
        <v>28924</v>
      </c>
      <c r="F9501" t="s">
        <v>7672</v>
      </c>
      <c r="G9501" t="s">
        <v>28925</v>
      </c>
      <c r="H9501" t="s">
        <v>8779</v>
      </c>
      <c r="I9501" t="s">
        <v>28929</v>
      </c>
      <c r="J9501" t="s">
        <v>22929</v>
      </c>
    </row>
    <row r="9502" spans="1:10" x14ac:dyDescent="0.25">
      <c r="A9502" t="s">
        <v>28937</v>
      </c>
      <c r="B9502">
        <v>5.7600000000000007</v>
      </c>
      <c r="C9502" t="s">
        <v>28938</v>
      </c>
      <c r="D9502" t="s">
        <v>9368</v>
      </c>
      <c r="E9502" t="s">
        <v>28924</v>
      </c>
      <c r="F9502" t="s">
        <v>7672</v>
      </c>
      <c r="G9502" t="s">
        <v>28925</v>
      </c>
      <c r="H9502" t="s">
        <v>8779</v>
      </c>
      <c r="I9502" t="s">
        <v>11382</v>
      </c>
      <c r="J9502" t="s">
        <v>22929</v>
      </c>
    </row>
    <row r="9503" spans="1:10" x14ac:dyDescent="0.25">
      <c r="A9503" t="s">
        <v>28939</v>
      </c>
      <c r="B9503">
        <v>8</v>
      </c>
      <c r="C9503" t="s">
        <v>28940</v>
      </c>
      <c r="D9503" t="s">
        <v>8971</v>
      </c>
      <c r="E9503" t="s">
        <v>28941</v>
      </c>
      <c r="F9503" t="s">
        <v>7672</v>
      </c>
      <c r="G9503" t="s">
        <v>28942</v>
      </c>
      <c r="H9503" t="s">
        <v>26787</v>
      </c>
      <c r="I9503" t="s">
        <v>410</v>
      </c>
      <c r="J9503" t="s">
        <v>26788</v>
      </c>
    </row>
    <row r="9504" spans="1:10" x14ac:dyDescent="0.25">
      <c r="A9504" t="s">
        <v>28943</v>
      </c>
      <c r="B9504">
        <v>8</v>
      </c>
      <c r="C9504" t="s">
        <v>28944</v>
      </c>
      <c r="D9504" t="s">
        <v>3430</v>
      </c>
      <c r="E9504" t="s">
        <v>28941</v>
      </c>
      <c r="F9504" t="s">
        <v>7672</v>
      </c>
      <c r="G9504" t="s">
        <v>28942</v>
      </c>
      <c r="H9504" t="s">
        <v>26787</v>
      </c>
      <c r="I9504" t="s">
        <v>410</v>
      </c>
      <c r="J9504" t="s">
        <v>11696</v>
      </c>
    </row>
    <row r="9505" spans="1:10" x14ac:dyDescent="0.25">
      <c r="A9505" t="s">
        <v>28945</v>
      </c>
      <c r="B9505">
        <v>8</v>
      </c>
      <c r="C9505" t="s">
        <v>28946</v>
      </c>
      <c r="D9505" t="s">
        <v>28947</v>
      </c>
      <c r="E9505" t="s">
        <v>28941</v>
      </c>
      <c r="F9505" t="s">
        <v>7672</v>
      </c>
      <c r="G9505" t="s">
        <v>28942</v>
      </c>
      <c r="H9505" t="s">
        <v>26787</v>
      </c>
      <c r="I9505" t="s">
        <v>410</v>
      </c>
      <c r="J9505" t="s">
        <v>11702</v>
      </c>
    </row>
    <row r="9506" spans="1:10" x14ac:dyDescent="0.25">
      <c r="A9506" t="s">
        <v>28948</v>
      </c>
      <c r="B9506">
        <v>8</v>
      </c>
      <c r="C9506" t="s">
        <v>28949</v>
      </c>
      <c r="D9506" t="s">
        <v>3613</v>
      </c>
      <c r="E9506" t="s">
        <v>28941</v>
      </c>
      <c r="F9506" t="s">
        <v>7672</v>
      </c>
      <c r="G9506" t="s">
        <v>28942</v>
      </c>
      <c r="H9506" t="s">
        <v>26787</v>
      </c>
      <c r="I9506" t="s">
        <v>410</v>
      </c>
      <c r="J9506" t="s">
        <v>11710</v>
      </c>
    </row>
    <row r="9507" spans="1:10" x14ac:dyDescent="0.25">
      <c r="A9507" t="s">
        <v>28950</v>
      </c>
      <c r="B9507">
        <v>17.36</v>
      </c>
      <c r="C9507" t="s">
        <v>28951</v>
      </c>
      <c r="D9507" t="s">
        <v>229</v>
      </c>
      <c r="E9507" t="s">
        <v>28952</v>
      </c>
      <c r="F9507" t="s">
        <v>7672</v>
      </c>
      <c r="G9507" t="s">
        <v>28953</v>
      </c>
      <c r="H9507" t="s">
        <v>8087</v>
      </c>
      <c r="I9507" t="s">
        <v>551</v>
      </c>
      <c r="J9507" t="s">
        <v>7942</v>
      </c>
    </row>
    <row r="9508" spans="1:10" x14ac:dyDescent="0.25">
      <c r="A9508" t="s">
        <v>28954</v>
      </c>
      <c r="B9508">
        <v>17.36</v>
      </c>
      <c r="C9508" t="s">
        <v>28955</v>
      </c>
      <c r="D9508" t="s">
        <v>843</v>
      </c>
      <c r="E9508" t="s">
        <v>28952</v>
      </c>
      <c r="F9508" t="s">
        <v>7672</v>
      </c>
      <c r="G9508" t="s">
        <v>28953</v>
      </c>
      <c r="H9508" t="s">
        <v>8087</v>
      </c>
      <c r="I9508" t="s">
        <v>551</v>
      </c>
      <c r="J9508" t="s">
        <v>7981</v>
      </c>
    </row>
    <row r="9509" spans="1:10" x14ac:dyDescent="0.25">
      <c r="A9509" t="s">
        <v>28956</v>
      </c>
      <c r="B9509">
        <v>17.36</v>
      </c>
      <c r="C9509" t="s">
        <v>28957</v>
      </c>
      <c r="D9509" t="s">
        <v>1254</v>
      </c>
      <c r="E9509" t="s">
        <v>28952</v>
      </c>
      <c r="F9509" t="s">
        <v>7672</v>
      </c>
      <c r="G9509" t="s">
        <v>28953</v>
      </c>
      <c r="H9509" t="s">
        <v>8087</v>
      </c>
      <c r="I9509" t="s">
        <v>551</v>
      </c>
      <c r="J9509" t="s">
        <v>7984</v>
      </c>
    </row>
    <row r="9510" spans="1:10" x14ac:dyDescent="0.25">
      <c r="A9510" t="s">
        <v>28958</v>
      </c>
      <c r="B9510">
        <v>17.36</v>
      </c>
      <c r="C9510" t="s">
        <v>28959</v>
      </c>
      <c r="D9510" t="s">
        <v>321</v>
      </c>
      <c r="E9510" t="s">
        <v>28952</v>
      </c>
      <c r="F9510" t="s">
        <v>7672</v>
      </c>
      <c r="G9510" t="s">
        <v>28953</v>
      </c>
      <c r="H9510" t="s">
        <v>8087</v>
      </c>
      <c r="I9510" t="s">
        <v>551</v>
      </c>
      <c r="J9510" t="s">
        <v>7987</v>
      </c>
    </row>
    <row r="9511" spans="1:10" x14ac:dyDescent="0.25">
      <c r="A9511" t="s">
        <v>28960</v>
      </c>
      <c r="B9511">
        <v>17.36</v>
      </c>
      <c r="C9511" t="s">
        <v>28961</v>
      </c>
      <c r="D9511" t="s">
        <v>229</v>
      </c>
      <c r="E9511" t="s">
        <v>28952</v>
      </c>
      <c r="F9511" t="s">
        <v>7672</v>
      </c>
      <c r="G9511" t="s">
        <v>28953</v>
      </c>
      <c r="H9511" t="s">
        <v>8087</v>
      </c>
      <c r="I9511" t="s">
        <v>551</v>
      </c>
      <c r="J9511" t="s">
        <v>8001</v>
      </c>
    </row>
    <row r="9512" spans="1:10" x14ac:dyDescent="0.25">
      <c r="A9512" t="s">
        <v>224</v>
      </c>
      <c r="B9512">
        <v>9.7920000000000016</v>
      </c>
      <c r="C9512" t="s">
        <v>226</v>
      </c>
      <c r="D9512" t="s">
        <v>229</v>
      </c>
      <c r="E9512" t="s">
        <v>227</v>
      </c>
      <c r="F9512" t="s">
        <v>7672</v>
      </c>
      <c r="G9512" t="s">
        <v>28962</v>
      </c>
      <c r="H9512" t="s">
        <v>28963</v>
      </c>
      <c r="I9512" t="s">
        <v>76</v>
      </c>
      <c r="J9512" t="s">
        <v>11499</v>
      </c>
    </row>
    <row r="9513" spans="1:10" x14ac:dyDescent="0.25">
      <c r="A9513" t="s">
        <v>230</v>
      </c>
      <c r="B9513">
        <v>9.7920000000000016</v>
      </c>
      <c r="C9513" t="s">
        <v>232</v>
      </c>
      <c r="D9513" t="s">
        <v>234</v>
      </c>
      <c r="E9513" t="s">
        <v>227</v>
      </c>
      <c r="F9513" t="s">
        <v>7672</v>
      </c>
      <c r="G9513" t="s">
        <v>28962</v>
      </c>
      <c r="H9513" t="s">
        <v>28963</v>
      </c>
      <c r="I9513" t="s">
        <v>235</v>
      </c>
      <c r="J9513" t="s">
        <v>11499</v>
      </c>
    </row>
    <row r="9514" spans="1:10" x14ac:dyDescent="0.25">
      <c r="A9514" t="s">
        <v>236</v>
      </c>
      <c r="B9514">
        <v>9.7920000000000016</v>
      </c>
      <c r="C9514" t="s">
        <v>238</v>
      </c>
      <c r="D9514" t="s">
        <v>240</v>
      </c>
      <c r="E9514" t="s">
        <v>227</v>
      </c>
      <c r="F9514" t="s">
        <v>7672</v>
      </c>
      <c r="G9514" t="s">
        <v>28962</v>
      </c>
      <c r="H9514" t="s">
        <v>28963</v>
      </c>
      <c r="I9514" t="s">
        <v>76</v>
      </c>
      <c r="J9514" t="s">
        <v>11500</v>
      </c>
    </row>
    <row r="9515" spans="1:10" x14ac:dyDescent="0.25">
      <c r="A9515" t="s">
        <v>241</v>
      </c>
      <c r="B9515">
        <v>9.7920000000000016</v>
      </c>
      <c r="C9515" t="s">
        <v>243</v>
      </c>
      <c r="D9515" t="s">
        <v>245</v>
      </c>
      <c r="E9515" t="s">
        <v>227</v>
      </c>
      <c r="F9515" t="s">
        <v>7672</v>
      </c>
      <c r="G9515" t="s">
        <v>28962</v>
      </c>
      <c r="H9515" t="s">
        <v>28963</v>
      </c>
      <c r="I9515" t="s">
        <v>235</v>
      </c>
      <c r="J9515" t="s">
        <v>11500</v>
      </c>
    </row>
    <row r="9516" spans="1:10" x14ac:dyDescent="0.25">
      <c r="A9516" t="s">
        <v>246</v>
      </c>
      <c r="B9516">
        <v>9.7920000000000016</v>
      </c>
      <c r="C9516" t="s">
        <v>248</v>
      </c>
      <c r="D9516" t="s">
        <v>250</v>
      </c>
      <c r="E9516" t="s">
        <v>227</v>
      </c>
      <c r="F9516" t="s">
        <v>7672</v>
      </c>
      <c r="G9516" t="s">
        <v>28962</v>
      </c>
      <c r="H9516" t="s">
        <v>28963</v>
      </c>
      <c r="I9516" t="s">
        <v>235</v>
      </c>
      <c r="J9516" t="s">
        <v>11501</v>
      </c>
    </row>
    <row r="9517" spans="1:10" x14ac:dyDescent="0.25">
      <c r="A9517" t="s">
        <v>251</v>
      </c>
      <c r="B9517">
        <v>9.7920000000000016</v>
      </c>
      <c r="C9517" t="s">
        <v>253</v>
      </c>
      <c r="D9517" t="s">
        <v>255</v>
      </c>
      <c r="E9517" t="s">
        <v>227</v>
      </c>
      <c r="F9517" t="s">
        <v>7672</v>
      </c>
      <c r="G9517" t="s">
        <v>28962</v>
      </c>
      <c r="H9517" t="s">
        <v>28963</v>
      </c>
      <c r="I9517" t="s">
        <v>76</v>
      </c>
      <c r="J9517" t="s">
        <v>11501</v>
      </c>
    </row>
    <row r="9518" spans="1:10" x14ac:dyDescent="0.25">
      <c r="A9518" t="s">
        <v>256</v>
      </c>
      <c r="B9518">
        <v>9.7920000000000016</v>
      </c>
      <c r="C9518" t="s">
        <v>258</v>
      </c>
      <c r="D9518" t="s">
        <v>95</v>
      </c>
      <c r="E9518" t="s">
        <v>227</v>
      </c>
      <c r="F9518" t="s">
        <v>7672</v>
      </c>
      <c r="G9518" t="s">
        <v>28962</v>
      </c>
      <c r="H9518" t="s">
        <v>28963</v>
      </c>
      <c r="I9518" t="s">
        <v>235</v>
      </c>
      <c r="J9518" t="s">
        <v>11502</v>
      </c>
    </row>
    <row r="9519" spans="1:10" x14ac:dyDescent="0.25">
      <c r="A9519" t="s">
        <v>260</v>
      </c>
      <c r="B9519">
        <v>8.4</v>
      </c>
      <c r="C9519" t="s">
        <v>262</v>
      </c>
      <c r="D9519" t="s">
        <v>131</v>
      </c>
      <c r="E9519" t="s">
        <v>263</v>
      </c>
      <c r="F9519" t="s">
        <v>7672</v>
      </c>
      <c r="G9519" t="s">
        <v>28964</v>
      </c>
      <c r="H9519" t="s">
        <v>7954</v>
      </c>
      <c r="I9519" t="s">
        <v>69</v>
      </c>
      <c r="J9519" t="s">
        <v>19794</v>
      </c>
    </row>
    <row r="9520" spans="1:10" x14ac:dyDescent="0.25">
      <c r="A9520" t="s">
        <v>266</v>
      </c>
      <c r="B9520">
        <v>8.4</v>
      </c>
      <c r="C9520" t="s">
        <v>268</v>
      </c>
      <c r="D9520" t="s">
        <v>269</v>
      </c>
      <c r="E9520" t="s">
        <v>263</v>
      </c>
      <c r="F9520" t="s">
        <v>7672</v>
      </c>
      <c r="G9520" t="s">
        <v>28964</v>
      </c>
      <c r="H9520" t="s">
        <v>7954</v>
      </c>
      <c r="I9520" t="s">
        <v>69</v>
      </c>
      <c r="J9520" t="s">
        <v>19793</v>
      </c>
    </row>
    <row r="9521" spans="1:10" x14ac:dyDescent="0.25">
      <c r="A9521" t="s">
        <v>270</v>
      </c>
      <c r="B9521">
        <v>8.4</v>
      </c>
      <c r="C9521" t="s">
        <v>272</v>
      </c>
      <c r="D9521" t="s">
        <v>106</v>
      </c>
      <c r="E9521" t="s">
        <v>263</v>
      </c>
      <c r="F9521" t="s">
        <v>7672</v>
      </c>
      <c r="G9521" t="s">
        <v>28964</v>
      </c>
      <c r="H9521" t="s">
        <v>7954</v>
      </c>
      <c r="I9521" t="s">
        <v>273</v>
      </c>
      <c r="J9521" t="s">
        <v>19794</v>
      </c>
    </row>
    <row r="9522" spans="1:10" x14ac:dyDescent="0.25">
      <c r="A9522" t="s">
        <v>274</v>
      </c>
      <c r="B9522">
        <v>8.4</v>
      </c>
      <c r="C9522" t="s">
        <v>276</v>
      </c>
      <c r="D9522" t="s">
        <v>277</v>
      </c>
      <c r="E9522" t="s">
        <v>263</v>
      </c>
      <c r="F9522" t="s">
        <v>7672</v>
      </c>
      <c r="G9522" t="s">
        <v>28964</v>
      </c>
      <c r="H9522" t="s">
        <v>7954</v>
      </c>
      <c r="I9522" t="s">
        <v>278</v>
      </c>
      <c r="J9522" t="s">
        <v>19794</v>
      </c>
    </row>
    <row r="9523" spans="1:10" x14ac:dyDescent="0.25">
      <c r="A9523" t="s">
        <v>279</v>
      </c>
      <c r="B9523">
        <v>8.4</v>
      </c>
      <c r="C9523" t="s">
        <v>281</v>
      </c>
      <c r="D9523" t="s">
        <v>282</v>
      </c>
      <c r="E9523" t="s">
        <v>263</v>
      </c>
      <c r="F9523" t="s">
        <v>7672</v>
      </c>
      <c r="G9523" t="s">
        <v>28964</v>
      </c>
      <c r="H9523" t="s">
        <v>7954</v>
      </c>
      <c r="I9523" t="s">
        <v>278</v>
      </c>
      <c r="J9523" t="s">
        <v>19793</v>
      </c>
    </row>
    <row r="9524" spans="1:10" x14ac:dyDescent="0.25">
      <c r="A9524" t="s">
        <v>283</v>
      </c>
      <c r="B9524">
        <v>8.4</v>
      </c>
      <c r="C9524" t="s">
        <v>285</v>
      </c>
      <c r="D9524" t="s">
        <v>286</v>
      </c>
      <c r="E9524" t="s">
        <v>263</v>
      </c>
      <c r="F9524" t="s">
        <v>7672</v>
      </c>
      <c r="G9524" t="s">
        <v>28964</v>
      </c>
      <c r="H9524" t="s">
        <v>7954</v>
      </c>
      <c r="I9524" t="s">
        <v>273</v>
      </c>
      <c r="J9524" t="s">
        <v>19793</v>
      </c>
    </row>
    <row r="9525" spans="1:10" x14ac:dyDescent="0.25">
      <c r="A9525" t="s">
        <v>287</v>
      </c>
      <c r="B9525">
        <v>8.4</v>
      </c>
      <c r="C9525" t="s">
        <v>289</v>
      </c>
      <c r="D9525" t="s">
        <v>290</v>
      </c>
      <c r="E9525" t="s">
        <v>263</v>
      </c>
      <c r="F9525" t="s">
        <v>7672</v>
      </c>
      <c r="G9525" t="s">
        <v>28964</v>
      </c>
      <c r="H9525" t="s">
        <v>7954</v>
      </c>
      <c r="I9525" t="s">
        <v>273</v>
      </c>
      <c r="J9525" t="s">
        <v>19795</v>
      </c>
    </row>
    <row r="9526" spans="1:10" x14ac:dyDescent="0.25">
      <c r="A9526" t="s">
        <v>28965</v>
      </c>
      <c r="B9526">
        <v>12.592000000000001</v>
      </c>
      <c r="C9526" t="s">
        <v>28966</v>
      </c>
      <c r="D9526" t="s">
        <v>106</v>
      </c>
      <c r="E9526" t="s">
        <v>28967</v>
      </c>
      <c r="F9526" t="s">
        <v>7672</v>
      </c>
      <c r="G9526" t="s">
        <v>28968</v>
      </c>
      <c r="H9526" t="s">
        <v>11598</v>
      </c>
      <c r="I9526" t="s">
        <v>13052</v>
      </c>
      <c r="J9526" t="s">
        <v>9110</v>
      </c>
    </row>
    <row r="9527" spans="1:10" x14ac:dyDescent="0.25">
      <c r="A9527" t="s">
        <v>28969</v>
      </c>
      <c r="B9527">
        <v>12.592000000000001</v>
      </c>
      <c r="C9527" t="s">
        <v>28970</v>
      </c>
      <c r="D9527" t="s">
        <v>576</v>
      </c>
      <c r="E9527" t="s">
        <v>28967</v>
      </c>
      <c r="F9527" t="s">
        <v>7672</v>
      </c>
      <c r="G9527" t="s">
        <v>28968</v>
      </c>
      <c r="H9527" t="s">
        <v>11598</v>
      </c>
      <c r="I9527" t="s">
        <v>13052</v>
      </c>
      <c r="J9527" t="s">
        <v>11376</v>
      </c>
    </row>
    <row r="9528" spans="1:10" x14ac:dyDescent="0.25">
      <c r="A9528" t="s">
        <v>291</v>
      </c>
      <c r="B9528">
        <v>11.192</v>
      </c>
      <c r="C9528" t="s">
        <v>293</v>
      </c>
      <c r="D9528" t="s">
        <v>296</v>
      </c>
      <c r="E9528" t="s">
        <v>294</v>
      </c>
      <c r="F9528" t="s">
        <v>7672</v>
      </c>
      <c r="G9528" t="s">
        <v>28971</v>
      </c>
      <c r="H9528" t="s">
        <v>28972</v>
      </c>
      <c r="I9528" t="s">
        <v>28973</v>
      </c>
      <c r="J9528" t="s">
        <v>7981</v>
      </c>
    </row>
    <row r="9529" spans="1:10" x14ac:dyDescent="0.25">
      <c r="A9529" t="s">
        <v>297</v>
      </c>
      <c r="B9529">
        <v>9.5920000000000005</v>
      </c>
      <c r="C9529" t="s">
        <v>299</v>
      </c>
      <c r="D9529" t="s">
        <v>301</v>
      </c>
      <c r="E9529" t="s">
        <v>294</v>
      </c>
      <c r="F9529" t="s">
        <v>7672</v>
      </c>
      <c r="G9529" t="s">
        <v>28971</v>
      </c>
      <c r="H9529" t="s">
        <v>28972</v>
      </c>
      <c r="I9529" t="s">
        <v>28974</v>
      </c>
      <c r="J9529" t="s">
        <v>7981</v>
      </c>
    </row>
    <row r="9530" spans="1:10" x14ac:dyDescent="0.25">
      <c r="A9530" t="s">
        <v>302</v>
      </c>
      <c r="B9530">
        <v>11.192</v>
      </c>
      <c r="C9530" t="s">
        <v>304</v>
      </c>
      <c r="D9530" t="s">
        <v>306</v>
      </c>
      <c r="E9530" t="s">
        <v>294</v>
      </c>
      <c r="F9530" t="s">
        <v>7672</v>
      </c>
      <c r="G9530" t="s">
        <v>28971</v>
      </c>
      <c r="H9530" t="s">
        <v>28972</v>
      </c>
      <c r="I9530" t="s">
        <v>28974</v>
      </c>
      <c r="J9530" t="s">
        <v>7984</v>
      </c>
    </row>
    <row r="9531" spans="1:10" x14ac:dyDescent="0.25">
      <c r="A9531" t="s">
        <v>307</v>
      </c>
      <c r="B9531">
        <v>11.192</v>
      </c>
      <c r="C9531" t="s">
        <v>309</v>
      </c>
      <c r="D9531" t="s">
        <v>311</v>
      </c>
      <c r="E9531" t="s">
        <v>294</v>
      </c>
      <c r="F9531" t="s">
        <v>7672</v>
      </c>
      <c r="G9531" t="s">
        <v>28971</v>
      </c>
      <c r="H9531" t="s">
        <v>28972</v>
      </c>
      <c r="I9531" t="s">
        <v>28973</v>
      </c>
      <c r="J9531" t="s">
        <v>7984</v>
      </c>
    </row>
    <row r="9532" spans="1:10" x14ac:dyDescent="0.25">
      <c r="A9532" t="s">
        <v>312</v>
      </c>
      <c r="B9532">
        <v>11.192</v>
      </c>
      <c r="C9532" t="s">
        <v>314</v>
      </c>
      <c r="D9532" t="s">
        <v>316</v>
      </c>
      <c r="E9532" t="s">
        <v>294</v>
      </c>
      <c r="F9532" t="s">
        <v>7672</v>
      </c>
      <c r="G9532" t="s">
        <v>28971</v>
      </c>
      <c r="H9532" t="s">
        <v>28972</v>
      </c>
      <c r="I9532" t="s">
        <v>28973</v>
      </c>
      <c r="J9532" t="s">
        <v>7987</v>
      </c>
    </row>
    <row r="9533" spans="1:10" x14ac:dyDescent="0.25">
      <c r="A9533" t="s">
        <v>317</v>
      </c>
      <c r="B9533">
        <v>9.5920000000000005</v>
      </c>
      <c r="C9533" t="s">
        <v>319</v>
      </c>
      <c r="D9533" t="s">
        <v>321</v>
      </c>
      <c r="E9533" t="s">
        <v>294</v>
      </c>
      <c r="F9533" t="s">
        <v>7672</v>
      </c>
      <c r="G9533" t="s">
        <v>28971</v>
      </c>
      <c r="H9533" t="s">
        <v>28972</v>
      </c>
      <c r="I9533" t="s">
        <v>28974</v>
      </c>
      <c r="J9533" t="s">
        <v>7987</v>
      </c>
    </row>
    <row r="9534" spans="1:10" x14ac:dyDescent="0.25">
      <c r="A9534" t="s">
        <v>322</v>
      </c>
      <c r="B9534">
        <v>9.5920000000000005</v>
      </c>
      <c r="C9534" t="s">
        <v>324</v>
      </c>
      <c r="D9534" t="s">
        <v>245</v>
      </c>
      <c r="E9534" t="s">
        <v>294</v>
      </c>
      <c r="F9534" t="s">
        <v>7672</v>
      </c>
      <c r="G9534" t="s">
        <v>28971</v>
      </c>
      <c r="H9534" t="s">
        <v>28972</v>
      </c>
      <c r="I9534" t="s">
        <v>28974</v>
      </c>
      <c r="J9534" t="s">
        <v>8001</v>
      </c>
    </row>
    <row r="9535" spans="1:10" x14ac:dyDescent="0.25">
      <c r="A9535" t="s">
        <v>326</v>
      </c>
      <c r="B9535">
        <v>9.5920000000000005</v>
      </c>
      <c r="C9535" t="s">
        <v>328</v>
      </c>
      <c r="D9535" t="s">
        <v>330</v>
      </c>
      <c r="E9535" t="s">
        <v>294</v>
      </c>
      <c r="F9535" t="s">
        <v>7672</v>
      </c>
      <c r="G9535" t="s">
        <v>28971</v>
      </c>
      <c r="H9535" t="s">
        <v>28972</v>
      </c>
      <c r="I9535" t="s">
        <v>28973</v>
      </c>
      <c r="J9535" t="s">
        <v>8001</v>
      </c>
    </row>
    <row r="9536" spans="1:10" x14ac:dyDescent="0.25">
      <c r="A9536" t="s">
        <v>28975</v>
      </c>
      <c r="B9536">
        <v>8.16</v>
      </c>
      <c r="C9536" t="s">
        <v>28976</v>
      </c>
      <c r="D9536" t="s">
        <v>2022</v>
      </c>
      <c r="E9536" t="s">
        <v>28977</v>
      </c>
      <c r="F9536" t="s">
        <v>7672</v>
      </c>
      <c r="G9536" t="s">
        <v>28978</v>
      </c>
      <c r="H9536" t="s">
        <v>11037</v>
      </c>
      <c r="I9536" t="s">
        <v>8747</v>
      </c>
      <c r="J9536" t="s">
        <v>8427</v>
      </c>
    </row>
    <row r="9537" spans="1:10" x14ac:dyDescent="0.25">
      <c r="A9537" t="s">
        <v>28979</v>
      </c>
      <c r="B9537">
        <v>8.16</v>
      </c>
      <c r="C9537" t="s">
        <v>28980</v>
      </c>
      <c r="D9537" t="s">
        <v>3378</v>
      </c>
      <c r="E9537" t="s">
        <v>28977</v>
      </c>
      <c r="F9537" t="s">
        <v>7672</v>
      </c>
      <c r="G9537" t="s">
        <v>28978</v>
      </c>
      <c r="H9537" t="s">
        <v>11037</v>
      </c>
      <c r="I9537" t="s">
        <v>8747</v>
      </c>
      <c r="J9537" t="s">
        <v>8439</v>
      </c>
    </row>
    <row r="9538" spans="1:10" x14ac:dyDescent="0.25">
      <c r="A9538" t="s">
        <v>28981</v>
      </c>
      <c r="B9538">
        <v>8.16</v>
      </c>
      <c r="C9538" t="s">
        <v>28982</v>
      </c>
      <c r="D9538" t="s">
        <v>781</v>
      </c>
      <c r="E9538" t="s">
        <v>28977</v>
      </c>
      <c r="F9538" t="s">
        <v>7672</v>
      </c>
      <c r="G9538" t="s">
        <v>28978</v>
      </c>
      <c r="H9538" t="s">
        <v>11037</v>
      </c>
      <c r="I9538" t="s">
        <v>8747</v>
      </c>
      <c r="J9538" t="s">
        <v>8451</v>
      </c>
    </row>
    <row r="9539" spans="1:10" x14ac:dyDescent="0.25">
      <c r="A9539" t="s">
        <v>28983</v>
      </c>
      <c r="B9539">
        <v>2.8719999999999999</v>
      </c>
      <c r="C9539" t="s">
        <v>28984</v>
      </c>
      <c r="D9539" t="s">
        <v>19848</v>
      </c>
      <c r="E9539" t="s">
        <v>28985</v>
      </c>
      <c r="F9539" t="s">
        <v>7672</v>
      </c>
      <c r="G9539" t="s">
        <v>11051</v>
      </c>
      <c r="H9539" t="s">
        <v>7674</v>
      </c>
      <c r="I9539" t="s">
        <v>278</v>
      </c>
      <c r="J9539" t="s">
        <v>8013</v>
      </c>
    </row>
    <row r="9540" spans="1:10" x14ac:dyDescent="0.25">
      <c r="A9540" t="s">
        <v>28986</v>
      </c>
      <c r="B9540">
        <v>9.120000000000001</v>
      </c>
      <c r="C9540" t="s">
        <v>28987</v>
      </c>
      <c r="D9540" t="s">
        <v>2238</v>
      </c>
      <c r="E9540" t="s">
        <v>28988</v>
      </c>
      <c r="F9540" t="s">
        <v>7672</v>
      </c>
      <c r="G9540" t="s">
        <v>28989</v>
      </c>
      <c r="H9540" t="s">
        <v>10298</v>
      </c>
      <c r="I9540" t="s">
        <v>20534</v>
      </c>
      <c r="J9540" t="s">
        <v>8427</v>
      </c>
    </row>
    <row r="9541" spans="1:10" x14ac:dyDescent="0.25">
      <c r="A9541" t="s">
        <v>28990</v>
      </c>
      <c r="B9541">
        <v>7.6000000000000014</v>
      </c>
      <c r="C9541" t="s">
        <v>28991</v>
      </c>
      <c r="D9541" t="s">
        <v>144</v>
      </c>
      <c r="E9541" t="s">
        <v>28988</v>
      </c>
      <c r="F9541" t="s">
        <v>7672</v>
      </c>
      <c r="G9541" t="s">
        <v>28989</v>
      </c>
      <c r="H9541" t="s">
        <v>10298</v>
      </c>
      <c r="I9541" t="s">
        <v>11652</v>
      </c>
      <c r="J9541" t="s">
        <v>8427</v>
      </c>
    </row>
    <row r="9542" spans="1:10" x14ac:dyDescent="0.25">
      <c r="A9542" t="s">
        <v>28992</v>
      </c>
      <c r="B9542">
        <v>7.6000000000000014</v>
      </c>
      <c r="C9542" t="s">
        <v>28993</v>
      </c>
      <c r="D9542" t="s">
        <v>2910</v>
      </c>
      <c r="E9542" t="s">
        <v>28988</v>
      </c>
      <c r="F9542" t="s">
        <v>7672</v>
      </c>
      <c r="G9542" t="s">
        <v>28989</v>
      </c>
      <c r="H9542" t="s">
        <v>10298</v>
      </c>
      <c r="I9542" t="s">
        <v>27718</v>
      </c>
      <c r="J9542" t="s">
        <v>8427</v>
      </c>
    </row>
    <row r="9543" spans="1:10" x14ac:dyDescent="0.25">
      <c r="A9543" t="s">
        <v>28994</v>
      </c>
      <c r="B9543">
        <v>7.6000000000000014</v>
      </c>
      <c r="C9543" t="s">
        <v>28995</v>
      </c>
      <c r="D9543" t="s">
        <v>2879</v>
      </c>
      <c r="E9543" t="s">
        <v>28988</v>
      </c>
      <c r="F9543" t="s">
        <v>7672</v>
      </c>
      <c r="G9543" t="s">
        <v>28989</v>
      </c>
      <c r="H9543" t="s">
        <v>10298</v>
      </c>
      <c r="I9543" t="s">
        <v>27715</v>
      </c>
      <c r="J9543" t="s">
        <v>8427</v>
      </c>
    </row>
    <row r="9544" spans="1:10" x14ac:dyDescent="0.25">
      <c r="A9544" t="s">
        <v>28996</v>
      </c>
      <c r="B9544">
        <v>9.120000000000001</v>
      </c>
      <c r="C9544" t="s">
        <v>28997</v>
      </c>
      <c r="D9544" t="s">
        <v>1020</v>
      </c>
      <c r="E9544" t="s">
        <v>28988</v>
      </c>
      <c r="F9544" t="s">
        <v>7672</v>
      </c>
      <c r="G9544" t="s">
        <v>28989</v>
      </c>
      <c r="H9544" t="s">
        <v>10298</v>
      </c>
      <c r="I9544" t="s">
        <v>20534</v>
      </c>
      <c r="J9544" t="s">
        <v>8439</v>
      </c>
    </row>
    <row r="9545" spans="1:10" x14ac:dyDescent="0.25">
      <c r="A9545" t="s">
        <v>28998</v>
      </c>
      <c r="B9545">
        <v>7.6000000000000014</v>
      </c>
      <c r="C9545" t="s">
        <v>28999</v>
      </c>
      <c r="D9545" t="s">
        <v>1949</v>
      </c>
      <c r="E9545" t="s">
        <v>28988</v>
      </c>
      <c r="F9545" t="s">
        <v>7672</v>
      </c>
      <c r="G9545" t="s">
        <v>28989</v>
      </c>
      <c r="H9545" t="s">
        <v>10298</v>
      </c>
      <c r="I9545" t="s">
        <v>27718</v>
      </c>
      <c r="J9545" t="s">
        <v>8439</v>
      </c>
    </row>
    <row r="9546" spans="1:10" x14ac:dyDescent="0.25">
      <c r="A9546" t="s">
        <v>29000</v>
      </c>
      <c r="B9546">
        <v>7.6000000000000014</v>
      </c>
      <c r="C9546" t="s">
        <v>29001</v>
      </c>
      <c r="D9546" t="s">
        <v>316</v>
      </c>
      <c r="E9546" t="s">
        <v>28988</v>
      </c>
      <c r="F9546" t="s">
        <v>7672</v>
      </c>
      <c r="G9546" t="s">
        <v>28989</v>
      </c>
      <c r="H9546" t="s">
        <v>10298</v>
      </c>
      <c r="I9546" t="s">
        <v>27715</v>
      </c>
      <c r="J9546" t="s">
        <v>8439</v>
      </c>
    </row>
    <row r="9547" spans="1:10" x14ac:dyDescent="0.25">
      <c r="A9547" t="s">
        <v>29002</v>
      </c>
      <c r="B9547">
        <v>7.6000000000000014</v>
      </c>
      <c r="C9547" t="s">
        <v>29003</v>
      </c>
      <c r="D9547" t="s">
        <v>330</v>
      </c>
      <c r="E9547" t="s">
        <v>28988</v>
      </c>
      <c r="F9547" t="s">
        <v>7672</v>
      </c>
      <c r="G9547" t="s">
        <v>28989</v>
      </c>
      <c r="H9547" t="s">
        <v>10298</v>
      </c>
      <c r="I9547" t="s">
        <v>29004</v>
      </c>
      <c r="J9547" t="s">
        <v>8439</v>
      </c>
    </row>
    <row r="9548" spans="1:10" x14ac:dyDescent="0.25">
      <c r="A9548" t="s">
        <v>29005</v>
      </c>
      <c r="B9548">
        <v>7.6000000000000014</v>
      </c>
      <c r="C9548" t="s">
        <v>29006</v>
      </c>
      <c r="D9548" t="s">
        <v>3253</v>
      </c>
      <c r="E9548" t="s">
        <v>28988</v>
      </c>
      <c r="F9548" t="s">
        <v>7672</v>
      </c>
      <c r="G9548" t="s">
        <v>28989</v>
      </c>
      <c r="H9548" t="s">
        <v>10298</v>
      </c>
      <c r="I9548" t="s">
        <v>11652</v>
      </c>
      <c r="J9548" t="s">
        <v>8439</v>
      </c>
    </row>
    <row r="9549" spans="1:10" x14ac:dyDescent="0.25">
      <c r="A9549" t="s">
        <v>29007</v>
      </c>
      <c r="B9549">
        <v>9.120000000000001</v>
      </c>
      <c r="C9549" t="s">
        <v>29008</v>
      </c>
      <c r="D9549" t="s">
        <v>593</v>
      </c>
      <c r="E9549" t="s">
        <v>28988</v>
      </c>
      <c r="F9549" t="s">
        <v>7672</v>
      </c>
      <c r="G9549" t="s">
        <v>28989</v>
      </c>
      <c r="H9549" t="s">
        <v>10298</v>
      </c>
      <c r="I9549" t="s">
        <v>20534</v>
      </c>
      <c r="J9549" t="s">
        <v>8451</v>
      </c>
    </row>
    <row r="9550" spans="1:10" x14ac:dyDescent="0.25">
      <c r="A9550" t="s">
        <v>29009</v>
      </c>
      <c r="B9550">
        <v>7.6000000000000014</v>
      </c>
      <c r="C9550" t="s">
        <v>29010</v>
      </c>
      <c r="D9550" t="s">
        <v>2381</v>
      </c>
      <c r="E9550" t="s">
        <v>28988</v>
      </c>
      <c r="F9550" t="s">
        <v>7672</v>
      </c>
      <c r="G9550" t="s">
        <v>28989</v>
      </c>
      <c r="H9550" t="s">
        <v>10298</v>
      </c>
      <c r="I9550" t="s">
        <v>11652</v>
      </c>
      <c r="J9550" t="s">
        <v>8451</v>
      </c>
    </row>
    <row r="9551" spans="1:10" x14ac:dyDescent="0.25">
      <c r="A9551" t="s">
        <v>29011</v>
      </c>
      <c r="B9551">
        <v>7.6000000000000014</v>
      </c>
      <c r="C9551" t="s">
        <v>29012</v>
      </c>
      <c r="D9551" t="s">
        <v>1536</v>
      </c>
      <c r="E9551" t="s">
        <v>28988</v>
      </c>
      <c r="F9551" t="s">
        <v>7672</v>
      </c>
      <c r="G9551" t="s">
        <v>28989</v>
      </c>
      <c r="H9551" t="s">
        <v>10298</v>
      </c>
      <c r="I9551" t="s">
        <v>27718</v>
      </c>
      <c r="J9551" t="s">
        <v>8451</v>
      </c>
    </row>
    <row r="9552" spans="1:10" x14ac:dyDescent="0.25">
      <c r="A9552" t="s">
        <v>29013</v>
      </c>
      <c r="B9552">
        <v>7.6000000000000014</v>
      </c>
      <c r="C9552" t="s">
        <v>29014</v>
      </c>
      <c r="D9552" t="s">
        <v>1536</v>
      </c>
      <c r="E9552" t="s">
        <v>28988</v>
      </c>
      <c r="F9552" t="s">
        <v>7672</v>
      </c>
      <c r="G9552" t="s">
        <v>28989</v>
      </c>
      <c r="H9552" t="s">
        <v>10298</v>
      </c>
      <c r="I9552" t="s">
        <v>27715</v>
      </c>
      <c r="J9552" t="s">
        <v>8451</v>
      </c>
    </row>
    <row r="9553" spans="1:10" x14ac:dyDescent="0.25">
      <c r="A9553" t="s">
        <v>29015</v>
      </c>
      <c r="B9553">
        <v>7.6000000000000014</v>
      </c>
      <c r="C9553" t="s">
        <v>29016</v>
      </c>
      <c r="D9553" t="s">
        <v>366</v>
      </c>
      <c r="E9553" t="s">
        <v>28988</v>
      </c>
      <c r="F9553" t="s">
        <v>7672</v>
      </c>
      <c r="G9553" t="s">
        <v>28989</v>
      </c>
      <c r="H9553" t="s">
        <v>10298</v>
      </c>
      <c r="I9553" t="s">
        <v>29004</v>
      </c>
      <c r="J9553" t="s">
        <v>8451</v>
      </c>
    </row>
    <row r="9554" spans="1:10" x14ac:dyDescent="0.25">
      <c r="A9554" t="s">
        <v>331</v>
      </c>
      <c r="B9554">
        <v>18.2</v>
      </c>
      <c r="C9554" t="s">
        <v>333</v>
      </c>
      <c r="D9554" t="s">
        <v>53</v>
      </c>
      <c r="E9554" t="s">
        <v>334</v>
      </c>
      <c r="F9554" t="s">
        <v>7672</v>
      </c>
      <c r="G9554" t="s">
        <v>29017</v>
      </c>
      <c r="H9554" t="s">
        <v>9232</v>
      </c>
      <c r="I9554" t="s">
        <v>21724</v>
      </c>
      <c r="J9554" t="s">
        <v>7675</v>
      </c>
    </row>
    <row r="9555" spans="1:10" x14ac:dyDescent="0.25">
      <c r="A9555" t="s">
        <v>338</v>
      </c>
      <c r="B9555">
        <v>18.2</v>
      </c>
      <c r="C9555" t="s">
        <v>340</v>
      </c>
      <c r="D9555" t="s">
        <v>342</v>
      </c>
      <c r="E9555" t="s">
        <v>334</v>
      </c>
      <c r="F9555" t="s">
        <v>7672</v>
      </c>
      <c r="G9555" t="s">
        <v>29017</v>
      </c>
      <c r="H9555" t="s">
        <v>9232</v>
      </c>
      <c r="I9555" t="s">
        <v>23917</v>
      </c>
      <c r="J9555" t="s">
        <v>7719</v>
      </c>
    </row>
    <row r="9556" spans="1:10" x14ac:dyDescent="0.25">
      <c r="A9556" t="s">
        <v>344</v>
      </c>
      <c r="B9556">
        <v>18.2</v>
      </c>
      <c r="C9556" t="s">
        <v>346</v>
      </c>
      <c r="D9556" t="s">
        <v>290</v>
      </c>
      <c r="E9556" t="s">
        <v>334</v>
      </c>
      <c r="F9556" t="s">
        <v>7672</v>
      </c>
      <c r="G9556" t="s">
        <v>29017</v>
      </c>
      <c r="H9556" t="s">
        <v>9232</v>
      </c>
      <c r="I9556" t="s">
        <v>21724</v>
      </c>
      <c r="J9556" t="s">
        <v>7719</v>
      </c>
    </row>
    <row r="9557" spans="1:10" x14ac:dyDescent="0.25">
      <c r="A9557" t="s">
        <v>348</v>
      </c>
      <c r="B9557">
        <v>18.2</v>
      </c>
      <c r="C9557" t="s">
        <v>350</v>
      </c>
      <c r="D9557" t="s">
        <v>352</v>
      </c>
      <c r="E9557" t="s">
        <v>334</v>
      </c>
      <c r="F9557" t="s">
        <v>7672</v>
      </c>
      <c r="G9557" t="s">
        <v>29017</v>
      </c>
      <c r="H9557" t="s">
        <v>9232</v>
      </c>
      <c r="I9557" t="s">
        <v>29018</v>
      </c>
      <c r="J9557" t="s">
        <v>7719</v>
      </c>
    </row>
    <row r="9558" spans="1:10" x14ac:dyDescent="0.25">
      <c r="A9558" t="s">
        <v>29019</v>
      </c>
      <c r="B9558">
        <v>4</v>
      </c>
      <c r="C9558" t="s">
        <v>29020</v>
      </c>
      <c r="D9558" t="s">
        <v>2787</v>
      </c>
      <c r="E9558" t="s">
        <v>29021</v>
      </c>
      <c r="F9558" t="s">
        <v>7672</v>
      </c>
      <c r="G9558" t="s">
        <v>29022</v>
      </c>
      <c r="H9558" t="s">
        <v>16993</v>
      </c>
      <c r="I9558" t="s">
        <v>29023</v>
      </c>
      <c r="J9558" t="s">
        <v>9423</v>
      </c>
    </row>
    <row r="9559" spans="1:10" x14ac:dyDescent="0.25">
      <c r="A9559" t="s">
        <v>29024</v>
      </c>
      <c r="B9559">
        <v>4</v>
      </c>
      <c r="C9559" t="s">
        <v>29025</v>
      </c>
      <c r="D9559" t="s">
        <v>3850</v>
      </c>
      <c r="E9559" t="s">
        <v>29021</v>
      </c>
      <c r="F9559" t="s">
        <v>7672</v>
      </c>
      <c r="G9559" t="s">
        <v>29022</v>
      </c>
      <c r="H9559" t="s">
        <v>16993</v>
      </c>
      <c r="I9559" t="s">
        <v>29026</v>
      </c>
      <c r="J9559" t="s">
        <v>9423</v>
      </c>
    </row>
    <row r="9560" spans="1:10" x14ac:dyDescent="0.25">
      <c r="A9560" t="s">
        <v>29027</v>
      </c>
      <c r="B9560">
        <v>4</v>
      </c>
      <c r="C9560" t="s">
        <v>29028</v>
      </c>
      <c r="D9560" t="s">
        <v>379</v>
      </c>
      <c r="E9560" t="s">
        <v>29021</v>
      </c>
      <c r="F9560" t="s">
        <v>7672</v>
      </c>
      <c r="G9560" t="s">
        <v>29022</v>
      </c>
      <c r="H9560" t="s">
        <v>16993</v>
      </c>
      <c r="I9560" t="s">
        <v>29023</v>
      </c>
      <c r="J9560" t="s">
        <v>9426</v>
      </c>
    </row>
    <row r="9561" spans="1:10" x14ac:dyDescent="0.25">
      <c r="A9561" t="s">
        <v>29029</v>
      </c>
      <c r="B9561">
        <v>4</v>
      </c>
      <c r="C9561" t="s">
        <v>29030</v>
      </c>
      <c r="D9561" t="s">
        <v>8450</v>
      </c>
      <c r="E9561" t="s">
        <v>29021</v>
      </c>
      <c r="F9561" t="s">
        <v>7672</v>
      </c>
      <c r="G9561" t="s">
        <v>29022</v>
      </c>
      <c r="H9561" t="s">
        <v>16993</v>
      </c>
      <c r="I9561" t="s">
        <v>29026</v>
      </c>
      <c r="J9561" t="s">
        <v>9426</v>
      </c>
    </row>
    <row r="9562" spans="1:10" x14ac:dyDescent="0.25">
      <c r="A9562" t="s">
        <v>29031</v>
      </c>
      <c r="B9562">
        <v>4</v>
      </c>
      <c r="C9562" t="s">
        <v>29032</v>
      </c>
      <c r="D9562" t="s">
        <v>598</v>
      </c>
      <c r="E9562" t="s">
        <v>29021</v>
      </c>
      <c r="F9562" t="s">
        <v>7672</v>
      </c>
      <c r="G9562" t="s">
        <v>29022</v>
      </c>
      <c r="H9562" t="s">
        <v>16993</v>
      </c>
      <c r="I9562" t="s">
        <v>29026</v>
      </c>
      <c r="J9562" t="s">
        <v>10862</v>
      </c>
    </row>
    <row r="9563" spans="1:10" x14ac:dyDescent="0.25">
      <c r="A9563" t="s">
        <v>29033</v>
      </c>
      <c r="B9563">
        <v>4</v>
      </c>
      <c r="C9563" t="s">
        <v>29034</v>
      </c>
      <c r="D9563" t="s">
        <v>865</v>
      </c>
      <c r="E9563" t="s">
        <v>29021</v>
      </c>
      <c r="F9563" t="s">
        <v>7672</v>
      </c>
      <c r="G9563" t="s">
        <v>29022</v>
      </c>
      <c r="H9563" t="s">
        <v>16993</v>
      </c>
      <c r="I9563" t="s">
        <v>29026</v>
      </c>
      <c r="J9563" t="s">
        <v>13084</v>
      </c>
    </row>
    <row r="9564" spans="1:10" x14ac:dyDescent="0.25">
      <c r="A9564" t="s">
        <v>29035</v>
      </c>
      <c r="B9564">
        <v>4.08</v>
      </c>
      <c r="C9564" t="s">
        <v>29036</v>
      </c>
      <c r="D9564" t="s">
        <v>2855</v>
      </c>
      <c r="E9564" t="s">
        <v>29037</v>
      </c>
      <c r="F9564" t="s">
        <v>7672</v>
      </c>
      <c r="G9564" t="s">
        <v>29038</v>
      </c>
      <c r="H9564" t="s">
        <v>10298</v>
      </c>
      <c r="I9564" t="s">
        <v>13696</v>
      </c>
      <c r="J9564" t="s">
        <v>8439</v>
      </c>
    </row>
    <row r="9565" spans="1:10" x14ac:dyDescent="0.25">
      <c r="A9565" t="s">
        <v>29039</v>
      </c>
      <c r="B9565">
        <v>4.08</v>
      </c>
      <c r="C9565" t="s">
        <v>29040</v>
      </c>
      <c r="D9565" t="s">
        <v>981</v>
      </c>
      <c r="E9565" t="s">
        <v>29037</v>
      </c>
      <c r="F9565" t="s">
        <v>7672</v>
      </c>
      <c r="G9565" t="s">
        <v>29038</v>
      </c>
      <c r="H9565" t="s">
        <v>10298</v>
      </c>
      <c r="I9565" t="s">
        <v>29041</v>
      </c>
      <c r="J9565" t="s">
        <v>8439</v>
      </c>
    </row>
    <row r="9566" spans="1:10" x14ac:dyDescent="0.25">
      <c r="A9566" t="s">
        <v>29042</v>
      </c>
      <c r="B9566">
        <v>4.08</v>
      </c>
      <c r="C9566" t="s">
        <v>29043</v>
      </c>
      <c r="D9566" t="s">
        <v>991</v>
      </c>
      <c r="E9566" t="s">
        <v>29037</v>
      </c>
      <c r="F9566" t="s">
        <v>7672</v>
      </c>
      <c r="G9566" t="s">
        <v>29038</v>
      </c>
      <c r="H9566" t="s">
        <v>10298</v>
      </c>
      <c r="I9566" t="s">
        <v>29041</v>
      </c>
      <c r="J9566" t="s">
        <v>8451</v>
      </c>
    </row>
    <row r="9567" spans="1:10" x14ac:dyDescent="0.25">
      <c r="A9567" t="s">
        <v>29044</v>
      </c>
      <c r="B9567">
        <v>4.08</v>
      </c>
      <c r="C9567" t="s">
        <v>29045</v>
      </c>
      <c r="D9567" t="s">
        <v>5283</v>
      </c>
      <c r="E9567" t="s">
        <v>29037</v>
      </c>
      <c r="F9567" t="s">
        <v>7672</v>
      </c>
      <c r="G9567" t="s">
        <v>29038</v>
      </c>
      <c r="H9567" t="s">
        <v>10298</v>
      </c>
      <c r="I9567" t="s">
        <v>13696</v>
      </c>
      <c r="J9567" t="s">
        <v>8451</v>
      </c>
    </row>
    <row r="9568" spans="1:10" x14ac:dyDescent="0.25">
      <c r="A9568" t="s">
        <v>354</v>
      </c>
      <c r="B9568">
        <v>8.8000000000000007</v>
      </c>
      <c r="C9568" t="s">
        <v>356</v>
      </c>
      <c r="D9568" t="s">
        <v>359</v>
      </c>
      <c r="E9568" t="s">
        <v>357</v>
      </c>
      <c r="F9568" t="s">
        <v>7672</v>
      </c>
      <c r="G9568" t="s">
        <v>29046</v>
      </c>
      <c r="H9568" t="s">
        <v>18570</v>
      </c>
      <c r="I9568" t="s">
        <v>361</v>
      </c>
      <c r="J9568" t="s">
        <v>7981</v>
      </c>
    </row>
    <row r="9569" spans="1:10" x14ac:dyDescent="0.25">
      <c r="A9569" t="s">
        <v>362</v>
      </c>
      <c r="B9569">
        <v>8.8000000000000007</v>
      </c>
      <c r="C9569" t="s">
        <v>364</v>
      </c>
      <c r="D9569" t="s">
        <v>366</v>
      </c>
      <c r="E9569" t="s">
        <v>357</v>
      </c>
      <c r="F9569" t="s">
        <v>7672</v>
      </c>
      <c r="G9569" t="s">
        <v>29046</v>
      </c>
      <c r="H9569" t="s">
        <v>18570</v>
      </c>
      <c r="I9569" t="s">
        <v>15843</v>
      </c>
      <c r="J9569" t="s">
        <v>7981</v>
      </c>
    </row>
    <row r="9570" spans="1:10" x14ac:dyDescent="0.25">
      <c r="A9570" t="s">
        <v>29047</v>
      </c>
      <c r="B9570">
        <v>11.44</v>
      </c>
      <c r="C9570" t="s">
        <v>29048</v>
      </c>
      <c r="D9570" t="s">
        <v>330</v>
      </c>
      <c r="E9570" t="s">
        <v>29049</v>
      </c>
      <c r="F9570" t="s">
        <v>7672</v>
      </c>
      <c r="G9570" t="s">
        <v>29050</v>
      </c>
      <c r="H9570" t="s">
        <v>12960</v>
      </c>
      <c r="I9570" t="s">
        <v>29051</v>
      </c>
      <c r="J9570" t="s">
        <v>21606</v>
      </c>
    </row>
    <row r="9571" spans="1:10" x14ac:dyDescent="0.25">
      <c r="A9571" t="s">
        <v>29052</v>
      </c>
      <c r="B9571">
        <v>11.44</v>
      </c>
      <c r="C9571" t="s">
        <v>29053</v>
      </c>
      <c r="D9571" t="s">
        <v>250</v>
      </c>
      <c r="E9571" t="s">
        <v>29049</v>
      </c>
      <c r="F9571" t="s">
        <v>7672</v>
      </c>
      <c r="G9571" t="s">
        <v>29050</v>
      </c>
      <c r="H9571" t="s">
        <v>12960</v>
      </c>
      <c r="I9571" t="s">
        <v>29051</v>
      </c>
      <c r="J9571" t="s">
        <v>9775</v>
      </c>
    </row>
    <row r="9572" spans="1:10" x14ac:dyDescent="0.25">
      <c r="A9572" t="s">
        <v>29054</v>
      </c>
      <c r="B9572">
        <v>11.44</v>
      </c>
      <c r="C9572" t="s">
        <v>29055</v>
      </c>
      <c r="D9572" t="s">
        <v>255</v>
      </c>
      <c r="E9572" t="s">
        <v>29049</v>
      </c>
      <c r="F9572" t="s">
        <v>7672</v>
      </c>
      <c r="G9572" t="s">
        <v>29050</v>
      </c>
      <c r="H9572" t="s">
        <v>12960</v>
      </c>
      <c r="I9572" t="s">
        <v>29051</v>
      </c>
      <c r="J9572" t="s">
        <v>9778</v>
      </c>
    </row>
    <row r="9573" spans="1:10" x14ac:dyDescent="0.25">
      <c r="A9573" t="s">
        <v>29056</v>
      </c>
      <c r="B9573">
        <v>11.44</v>
      </c>
      <c r="C9573" t="s">
        <v>29057</v>
      </c>
      <c r="D9573" t="s">
        <v>576</v>
      </c>
      <c r="E9573" t="s">
        <v>29049</v>
      </c>
      <c r="F9573" t="s">
        <v>7672</v>
      </c>
      <c r="G9573" t="s">
        <v>29050</v>
      </c>
      <c r="H9573" t="s">
        <v>12960</v>
      </c>
      <c r="I9573" t="s">
        <v>29051</v>
      </c>
      <c r="J9573" t="s">
        <v>29058</v>
      </c>
    </row>
    <row r="9574" spans="1:10" x14ac:dyDescent="0.25">
      <c r="A9574" t="s">
        <v>29059</v>
      </c>
      <c r="B9574">
        <v>10.8</v>
      </c>
      <c r="C9574" t="s">
        <v>29060</v>
      </c>
      <c r="D9574" t="s">
        <v>199</v>
      </c>
      <c r="E9574" t="s">
        <v>29061</v>
      </c>
      <c r="F9574" t="s">
        <v>7672</v>
      </c>
      <c r="G9574" t="s">
        <v>29062</v>
      </c>
      <c r="H9574" t="s">
        <v>10298</v>
      </c>
      <c r="I9574" t="s">
        <v>17261</v>
      </c>
      <c r="J9574" t="s">
        <v>7942</v>
      </c>
    </row>
    <row r="9575" spans="1:10" x14ac:dyDescent="0.25">
      <c r="A9575" t="s">
        <v>29063</v>
      </c>
      <c r="B9575">
        <v>10.8</v>
      </c>
      <c r="C9575" t="s">
        <v>29064</v>
      </c>
      <c r="D9575" t="s">
        <v>2022</v>
      </c>
      <c r="E9575" t="s">
        <v>29061</v>
      </c>
      <c r="F9575" t="s">
        <v>7672</v>
      </c>
      <c r="G9575" t="s">
        <v>29062</v>
      </c>
      <c r="H9575" t="s">
        <v>10298</v>
      </c>
      <c r="I9575" t="s">
        <v>10394</v>
      </c>
      <c r="J9575" t="s">
        <v>7942</v>
      </c>
    </row>
    <row r="9576" spans="1:10" x14ac:dyDescent="0.25">
      <c r="A9576" t="s">
        <v>29065</v>
      </c>
      <c r="B9576">
        <v>10.8</v>
      </c>
      <c r="C9576" t="s">
        <v>29066</v>
      </c>
      <c r="D9576" t="s">
        <v>3827</v>
      </c>
      <c r="E9576" t="s">
        <v>29061</v>
      </c>
      <c r="F9576" t="s">
        <v>7672</v>
      </c>
      <c r="G9576" t="s">
        <v>29062</v>
      </c>
      <c r="H9576" t="s">
        <v>10298</v>
      </c>
      <c r="I9576" t="s">
        <v>10394</v>
      </c>
      <c r="J9576" t="s">
        <v>7981</v>
      </c>
    </row>
    <row r="9577" spans="1:10" x14ac:dyDescent="0.25">
      <c r="A9577" t="s">
        <v>29067</v>
      </c>
      <c r="B9577">
        <v>10.8</v>
      </c>
      <c r="C9577" t="s">
        <v>29068</v>
      </c>
      <c r="D9577" t="s">
        <v>286</v>
      </c>
      <c r="E9577" t="s">
        <v>29061</v>
      </c>
      <c r="F9577" t="s">
        <v>7672</v>
      </c>
      <c r="G9577" t="s">
        <v>29062</v>
      </c>
      <c r="H9577" t="s">
        <v>10298</v>
      </c>
      <c r="I9577" t="s">
        <v>17261</v>
      </c>
      <c r="J9577" t="s">
        <v>7981</v>
      </c>
    </row>
    <row r="9578" spans="1:10" x14ac:dyDescent="0.25">
      <c r="A9578" t="s">
        <v>29069</v>
      </c>
      <c r="B9578">
        <v>10.8</v>
      </c>
      <c r="C9578" t="s">
        <v>29070</v>
      </c>
      <c r="D9578" t="s">
        <v>1134</v>
      </c>
      <c r="E9578" t="s">
        <v>29061</v>
      </c>
      <c r="F9578" t="s">
        <v>7672</v>
      </c>
      <c r="G9578" t="s">
        <v>29062</v>
      </c>
      <c r="H9578" t="s">
        <v>10298</v>
      </c>
      <c r="I9578" t="s">
        <v>17261</v>
      </c>
      <c r="J9578" t="s">
        <v>7984</v>
      </c>
    </row>
    <row r="9579" spans="1:10" x14ac:dyDescent="0.25">
      <c r="A9579" t="s">
        <v>29071</v>
      </c>
      <c r="B9579">
        <v>10.8</v>
      </c>
      <c r="C9579" t="s">
        <v>29072</v>
      </c>
      <c r="D9579" t="s">
        <v>8313</v>
      </c>
      <c r="E9579" t="s">
        <v>29061</v>
      </c>
      <c r="F9579" t="s">
        <v>7672</v>
      </c>
      <c r="G9579" t="s">
        <v>29062</v>
      </c>
      <c r="H9579" t="s">
        <v>10298</v>
      </c>
      <c r="I9579" t="s">
        <v>10394</v>
      </c>
      <c r="J9579" t="s">
        <v>7984</v>
      </c>
    </row>
    <row r="9580" spans="1:10" x14ac:dyDescent="0.25">
      <c r="A9580" t="s">
        <v>29073</v>
      </c>
      <c r="B9580">
        <v>10.8</v>
      </c>
      <c r="C9580" t="s">
        <v>29074</v>
      </c>
      <c r="D9580" t="s">
        <v>2262</v>
      </c>
      <c r="E9580" t="s">
        <v>29061</v>
      </c>
      <c r="F9580" t="s">
        <v>7672</v>
      </c>
      <c r="G9580" t="s">
        <v>29062</v>
      </c>
      <c r="H9580" t="s">
        <v>10298</v>
      </c>
      <c r="I9580" t="s">
        <v>10394</v>
      </c>
      <c r="J9580" t="s">
        <v>7987</v>
      </c>
    </row>
    <row r="9581" spans="1:10" x14ac:dyDescent="0.25">
      <c r="A9581" t="s">
        <v>29075</v>
      </c>
      <c r="B9581">
        <v>10.8</v>
      </c>
      <c r="C9581" t="s">
        <v>29076</v>
      </c>
      <c r="D9581" t="s">
        <v>250</v>
      </c>
      <c r="E9581" t="s">
        <v>29061</v>
      </c>
      <c r="F9581" t="s">
        <v>7672</v>
      </c>
      <c r="G9581" t="s">
        <v>29062</v>
      </c>
      <c r="H9581" t="s">
        <v>10298</v>
      </c>
      <c r="I9581" t="s">
        <v>17261</v>
      </c>
      <c r="J9581" t="s">
        <v>7987</v>
      </c>
    </row>
    <row r="9582" spans="1:10" x14ac:dyDescent="0.25">
      <c r="A9582" t="s">
        <v>29077</v>
      </c>
      <c r="B9582">
        <v>10.8</v>
      </c>
      <c r="C9582" t="s">
        <v>29078</v>
      </c>
      <c r="D9582" t="s">
        <v>352</v>
      </c>
      <c r="E9582" t="s">
        <v>29061</v>
      </c>
      <c r="F9582" t="s">
        <v>7672</v>
      </c>
      <c r="G9582" t="s">
        <v>29062</v>
      </c>
      <c r="H9582" t="s">
        <v>10298</v>
      </c>
      <c r="I9582" t="s">
        <v>17261</v>
      </c>
      <c r="J9582" t="s">
        <v>8001</v>
      </c>
    </row>
    <row r="9583" spans="1:10" x14ac:dyDescent="0.25">
      <c r="A9583" t="s">
        <v>29079</v>
      </c>
      <c r="B9583">
        <v>10.8</v>
      </c>
      <c r="C9583" t="s">
        <v>29080</v>
      </c>
      <c r="D9583" t="s">
        <v>633</v>
      </c>
      <c r="E9583" t="s">
        <v>29061</v>
      </c>
      <c r="F9583" t="s">
        <v>7672</v>
      </c>
      <c r="G9583" t="s">
        <v>29062</v>
      </c>
      <c r="H9583" t="s">
        <v>10298</v>
      </c>
      <c r="I9583" t="s">
        <v>10394</v>
      </c>
      <c r="J9583" t="s">
        <v>8001</v>
      </c>
    </row>
    <row r="9584" spans="1:10" x14ac:dyDescent="0.25">
      <c r="A9584" t="s">
        <v>29081</v>
      </c>
      <c r="B9584">
        <v>10.8</v>
      </c>
      <c r="C9584" t="s">
        <v>29082</v>
      </c>
      <c r="D9584" t="s">
        <v>1097</v>
      </c>
      <c r="E9584" t="s">
        <v>29061</v>
      </c>
      <c r="F9584" t="s">
        <v>7672</v>
      </c>
      <c r="G9584" t="s">
        <v>29062</v>
      </c>
      <c r="H9584" t="s">
        <v>10298</v>
      </c>
      <c r="I9584" t="s">
        <v>10394</v>
      </c>
      <c r="J9584" t="s">
        <v>8013</v>
      </c>
    </row>
    <row r="9585" spans="1:10" x14ac:dyDescent="0.25">
      <c r="A9585" t="s">
        <v>368</v>
      </c>
      <c r="B9585">
        <v>39.6</v>
      </c>
      <c r="C9585" t="s">
        <v>370</v>
      </c>
      <c r="D9585" t="s">
        <v>118</v>
      </c>
      <c r="E9585" t="s">
        <v>371</v>
      </c>
      <c r="F9585" t="s">
        <v>7672</v>
      </c>
      <c r="G9585" t="s">
        <v>29083</v>
      </c>
      <c r="H9585" t="s">
        <v>9232</v>
      </c>
      <c r="I9585" t="s">
        <v>374</v>
      </c>
      <c r="J9585" t="s">
        <v>8001</v>
      </c>
    </row>
    <row r="9586" spans="1:10" x14ac:dyDescent="0.25">
      <c r="A9586" t="s">
        <v>375</v>
      </c>
      <c r="B9586">
        <v>39.6</v>
      </c>
      <c r="C9586" t="s">
        <v>377</v>
      </c>
      <c r="D9586" t="s">
        <v>379</v>
      </c>
      <c r="E9586" t="s">
        <v>371</v>
      </c>
      <c r="F9586" t="s">
        <v>7672</v>
      </c>
      <c r="G9586" t="s">
        <v>29083</v>
      </c>
      <c r="H9586" t="s">
        <v>9232</v>
      </c>
      <c r="I9586" t="s">
        <v>374</v>
      </c>
      <c r="J9586" t="s">
        <v>8013</v>
      </c>
    </row>
    <row r="9587" spans="1:10" x14ac:dyDescent="0.25">
      <c r="A9587" t="s">
        <v>29084</v>
      </c>
      <c r="B9587">
        <v>9</v>
      </c>
      <c r="C9587" t="s">
        <v>29085</v>
      </c>
      <c r="D9587" t="s">
        <v>282</v>
      </c>
      <c r="E9587" t="s">
        <v>29086</v>
      </c>
      <c r="F9587" t="s">
        <v>7672</v>
      </c>
      <c r="G9587" t="s">
        <v>27279</v>
      </c>
      <c r="H9587" t="s">
        <v>16977</v>
      </c>
      <c r="I9587" t="s">
        <v>27280</v>
      </c>
      <c r="J9587" t="s">
        <v>19899</v>
      </c>
    </row>
    <row r="9588" spans="1:10" x14ac:dyDescent="0.25">
      <c r="A9588" t="s">
        <v>29087</v>
      </c>
      <c r="B9588">
        <v>9</v>
      </c>
      <c r="C9588" t="s">
        <v>29088</v>
      </c>
      <c r="D9588" t="s">
        <v>835</v>
      </c>
      <c r="E9588" t="s">
        <v>29086</v>
      </c>
      <c r="F9588" t="s">
        <v>7672</v>
      </c>
      <c r="G9588" t="s">
        <v>27279</v>
      </c>
      <c r="H9588" t="s">
        <v>16977</v>
      </c>
      <c r="I9588" t="s">
        <v>27280</v>
      </c>
      <c r="J9588" t="s">
        <v>19902</v>
      </c>
    </row>
    <row r="9589" spans="1:10" x14ac:dyDescent="0.25">
      <c r="A9589" t="s">
        <v>29089</v>
      </c>
      <c r="B9589">
        <v>9</v>
      </c>
      <c r="C9589" t="s">
        <v>29090</v>
      </c>
      <c r="D9589" t="s">
        <v>60</v>
      </c>
      <c r="E9589" t="s">
        <v>29086</v>
      </c>
      <c r="F9589" t="s">
        <v>7672</v>
      </c>
      <c r="G9589" t="s">
        <v>27279</v>
      </c>
      <c r="H9589" t="s">
        <v>16977</v>
      </c>
      <c r="I9589" t="s">
        <v>27280</v>
      </c>
      <c r="J9589" t="s">
        <v>19905</v>
      </c>
    </row>
    <row r="9590" spans="1:10" x14ac:dyDescent="0.25">
      <c r="A9590" t="s">
        <v>29091</v>
      </c>
      <c r="B9590">
        <v>7.6000000000000014</v>
      </c>
      <c r="C9590" t="s">
        <v>29092</v>
      </c>
      <c r="D9590" t="s">
        <v>164</v>
      </c>
      <c r="E9590" t="s">
        <v>29093</v>
      </c>
      <c r="F9590" t="s">
        <v>7672</v>
      </c>
      <c r="G9590" t="s">
        <v>29094</v>
      </c>
      <c r="H9590" t="s">
        <v>11496</v>
      </c>
      <c r="I9590" t="s">
        <v>18427</v>
      </c>
      <c r="J9590" t="s">
        <v>106</v>
      </c>
    </row>
    <row r="9591" spans="1:10" x14ac:dyDescent="0.25">
      <c r="A9591" t="s">
        <v>29095</v>
      </c>
      <c r="B9591">
        <v>7.6000000000000014</v>
      </c>
      <c r="C9591" t="s">
        <v>29096</v>
      </c>
      <c r="D9591" t="s">
        <v>742</v>
      </c>
      <c r="E9591" t="s">
        <v>29093</v>
      </c>
      <c r="F9591" t="s">
        <v>7672</v>
      </c>
      <c r="G9591" t="s">
        <v>29094</v>
      </c>
      <c r="H9591" t="s">
        <v>11496</v>
      </c>
      <c r="I9591" t="s">
        <v>18427</v>
      </c>
      <c r="J9591" t="s">
        <v>131</v>
      </c>
    </row>
    <row r="9592" spans="1:10" x14ac:dyDescent="0.25">
      <c r="A9592" t="s">
        <v>29097</v>
      </c>
      <c r="B9592">
        <v>7.6000000000000014</v>
      </c>
      <c r="C9592" t="s">
        <v>29098</v>
      </c>
      <c r="D9592" t="s">
        <v>95</v>
      </c>
      <c r="E9592" t="s">
        <v>29093</v>
      </c>
      <c r="F9592" t="s">
        <v>7672</v>
      </c>
      <c r="G9592" t="s">
        <v>29094</v>
      </c>
      <c r="H9592" t="s">
        <v>11496</v>
      </c>
      <c r="I9592" t="s">
        <v>18427</v>
      </c>
      <c r="J9592" t="s">
        <v>269</v>
      </c>
    </row>
    <row r="9593" spans="1:10" x14ac:dyDescent="0.25">
      <c r="A9593" t="s">
        <v>29099</v>
      </c>
      <c r="B9593">
        <v>7.6000000000000014</v>
      </c>
      <c r="C9593" t="s">
        <v>29100</v>
      </c>
      <c r="D9593" t="s">
        <v>2787</v>
      </c>
      <c r="E9593" t="s">
        <v>29093</v>
      </c>
      <c r="F9593" t="s">
        <v>7672</v>
      </c>
      <c r="G9593" t="s">
        <v>29094</v>
      </c>
      <c r="H9593" t="s">
        <v>11496</v>
      </c>
      <c r="I9593" t="s">
        <v>18427</v>
      </c>
      <c r="J9593" t="s">
        <v>8789</v>
      </c>
    </row>
    <row r="9594" spans="1:10" x14ac:dyDescent="0.25">
      <c r="A9594" t="s">
        <v>29101</v>
      </c>
      <c r="B9594">
        <v>7.2</v>
      </c>
      <c r="C9594" t="s">
        <v>29102</v>
      </c>
      <c r="D9594" t="s">
        <v>8816</v>
      </c>
      <c r="E9594" t="s">
        <v>29103</v>
      </c>
      <c r="F9594" t="s">
        <v>7672</v>
      </c>
      <c r="G9594" t="s">
        <v>29104</v>
      </c>
      <c r="H9594" t="s">
        <v>11381</v>
      </c>
      <c r="I9594" t="s">
        <v>29105</v>
      </c>
      <c r="J9594" t="s">
        <v>8789</v>
      </c>
    </row>
    <row r="9595" spans="1:10" x14ac:dyDescent="0.25">
      <c r="A9595" t="s">
        <v>29106</v>
      </c>
      <c r="B9595">
        <v>5.4</v>
      </c>
      <c r="C9595" t="s">
        <v>29107</v>
      </c>
      <c r="D9595" t="s">
        <v>516</v>
      </c>
      <c r="E9595" t="s">
        <v>29108</v>
      </c>
      <c r="F9595" t="s">
        <v>7672</v>
      </c>
      <c r="G9595" t="s">
        <v>29109</v>
      </c>
      <c r="H9595" t="s">
        <v>13951</v>
      </c>
      <c r="I9595" t="s">
        <v>14757</v>
      </c>
      <c r="J9595" t="s">
        <v>7942</v>
      </c>
    </row>
    <row r="9596" spans="1:10" x14ac:dyDescent="0.25">
      <c r="A9596" t="s">
        <v>29110</v>
      </c>
      <c r="B9596">
        <v>5.4</v>
      </c>
      <c r="C9596" t="s">
        <v>29111</v>
      </c>
      <c r="D9596" t="s">
        <v>941</v>
      </c>
      <c r="E9596" t="s">
        <v>29108</v>
      </c>
      <c r="F9596" t="s">
        <v>7672</v>
      </c>
      <c r="G9596" t="s">
        <v>29109</v>
      </c>
      <c r="H9596" t="s">
        <v>13951</v>
      </c>
      <c r="I9596" t="s">
        <v>14757</v>
      </c>
      <c r="J9596" t="s">
        <v>7981</v>
      </c>
    </row>
    <row r="9597" spans="1:10" x14ac:dyDescent="0.25">
      <c r="A9597" t="s">
        <v>29112</v>
      </c>
      <c r="B9597">
        <v>5.4</v>
      </c>
      <c r="C9597" t="s">
        <v>29113</v>
      </c>
      <c r="D9597" t="s">
        <v>1014</v>
      </c>
      <c r="E9597" t="s">
        <v>29108</v>
      </c>
      <c r="F9597" t="s">
        <v>7672</v>
      </c>
      <c r="G9597" t="s">
        <v>29109</v>
      </c>
      <c r="H9597" t="s">
        <v>13951</v>
      </c>
      <c r="I9597" t="s">
        <v>14757</v>
      </c>
      <c r="J9597" t="s">
        <v>7984</v>
      </c>
    </row>
    <row r="9598" spans="1:10" x14ac:dyDescent="0.25">
      <c r="A9598" t="s">
        <v>29114</v>
      </c>
      <c r="B9598">
        <v>5.4</v>
      </c>
      <c r="C9598" t="s">
        <v>29115</v>
      </c>
      <c r="D9598" t="s">
        <v>913</v>
      </c>
      <c r="E9598" t="s">
        <v>29108</v>
      </c>
      <c r="F9598" t="s">
        <v>7672</v>
      </c>
      <c r="G9598" t="s">
        <v>29109</v>
      </c>
      <c r="H9598" t="s">
        <v>13951</v>
      </c>
      <c r="I9598" t="s">
        <v>14757</v>
      </c>
      <c r="J9598" t="s">
        <v>7987</v>
      </c>
    </row>
    <row r="9599" spans="1:10" x14ac:dyDescent="0.25">
      <c r="A9599" t="s">
        <v>29116</v>
      </c>
      <c r="B9599">
        <v>5.4</v>
      </c>
      <c r="C9599" t="s">
        <v>29117</v>
      </c>
      <c r="D9599" t="s">
        <v>106</v>
      </c>
      <c r="E9599" t="s">
        <v>29108</v>
      </c>
      <c r="F9599" t="s">
        <v>7672</v>
      </c>
      <c r="G9599" t="s">
        <v>29109</v>
      </c>
      <c r="H9599" t="s">
        <v>13951</v>
      </c>
      <c r="I9599" t="s">
        <v>14757</v>
      </c>
      <c r="J9599" t="s">
        <v>8013</v>
      </c>
    </row>
    <row r="9600" spans="1:10" x14ac:dyDescent="0.25">
      <c r="A9600" t="s">
        <v>29118</v>
      </c>
      <c r="B9600">
        <v>16.8</v>
      </c>
      <c r="C9600" t="s">
        <v>29119</v>
      </c>
      <c r="D9600" t="s">
        <v>290</v>
      </c>
      <c r="E9600" t="s">
        <v>29120</v>
      </c>
      <c r="F9600" t="s">
        <v>7672</v>
      </c>
      <c r="G9600" t="s">
        <v>29121</v>
      </c>
      <c r="H9600" t="s">
        <v>7974</v>
      </c>
      <c r="I9600" t="s">
        <v>11439</v>
      </c>
      <c r="J9600" t="s">
        <v>9107</v>
      </c>
    </row>
    <row r="9601" spans="1:10" x14ac:dyDescent="0.25">
      <c r="A9601" t="s">
        <v>29122</v>
      </c>
      <c r="B9601">
        <v>16.8</v>
      </c>
      <c r="C9601" t="s">
        <v>29123</v>
      </c>
      <c r="D9601" t="s">
        <v>106</v>
      </c>
      <c r="E9601" t="s">
        <v>29120</v>
      </c>
      <c r="F9601" t="s">
        <v>7672</v>
      </c>
      <c r="G9601" t="s">
        <v>29121</v>
      </c>
      <c r="H9601" t="s">
        <v>7974</v>
      </c>
      <c r="I9601" t="s">
        <v>11439</v>
      </c>
      <c r="J9601" t="s">
        <v>9110</v>
      </c>
    </row>
    <row r="9602" spans="1:10" x14ac:dyDescent="0.25">
      <c r="A9602" t="s">
        <v>29124</v>
      </c>
      <c r="B9602">
        <v>16.8</v>
      </c>
      <c r="C9602" t="s">
        <v>29125</v>
      </c>
      <c r="D9602" t="s">
        <v>106</v>
      </c>
      <c r="E9602" t="s">
        <v>29120</v>
      </c>
      <c r="F9602" t="s">
        <v>7672</v>
      </c>
      <c r="G9602" t="s">
        <v>29121</v>
      </c>
      <c r="H9602" t="s">
        <v>7974</v>
      </c>
      <c r="I9602" t="s">
        <v>11439</v>
      </c>
      <c r="J9602" t="s">
        <v>9114</v>
      </c>
    </row>
    <row r="9603" spans="1:10" x14ac:dyDescent="0.25">
      <c r="A9603" t="s">
        <v>29126</v>
      </c>
      <c r="B9603">
        <v>4</v>
      </c>
      <c r="C9603" t="s">
        <v>29127</v>
      </c>
      <c r="D9603" t="s">
        <v>3023</v>
      </c>
      <c r="E9603" t="s">
        <v>29128</v>
      </c>
      <c r="F9603" t="s">
        <v>7672</v>
      </c>
      <c r="G9603" t="s">
        <v>29129</v>
      </c>
      <c r="H9603" t="s">
        <v>16993</v>
      </c>
      <c r="I9603" t="s">
        <v>29130</v>
      </c>
      <c r="J9603" t="s">
        <v>255</v>
      </c>
    </row>
    <row r="9604" spans="1:10" x14ac:dyDescent="0.25">
      <c r="A9604" t="s">
        <v>29131</v>
      </c>
      <c r="B9604">
        <v>4</v>
      </c>
      <c r="C9604" t="s">
        <v>29132</v>
      </c>
      <c r="D9604" t="s">
        <v>1644</v>
      </c>
      <c r="E9604" t="s">
        <v>29128</v>
      </c>
      <c r="F9604" t="s">
        <v>7672</v>
      </c>
      <c r="G9604" t="s">
        <v>29129</v>
      </c>
      <c r="H9604" t="s">
        <v>16993</v>
      </c>
      <c r="I9604" t="s">
        <v>29130</v>
      </c>
      <c r="J9604" t="s">
        <v>277</v>
      </c>
    </row>
    <row r="9605" spans="1:10" x14ac:dyDescent="0.25">
      <c r="A9605" t="s">
        <v>29133</v>
      </c>
      <c r="B9605">
        <v>6.16</v>
      </c>
      <c r="C9605" t="s">
        <v>29134</v>
      </c>
      <c r="D9605" t="s">
        <v>835</v>
      </c>
      <c r="E9605" t="s">
        <v>29135</v>
      </c>
      <c r="F9605" t="s">
        <v>7672</v>
      </c>
      <c r="G9605" t="s">
        <v>29136</v>
      </c>
      <c r="H9605" t="s">
        <v>28142</v>
      </c>
      <c r="I9605" t="s">
        <v>29137</v>
      </c>
      <c r="J9605" t="s">
        <v>7981</v>
      </c>
    </row>
    <row r="9606" spans="1:10" x14ac:dyDescent="0.25">
      <c r="A9606" t="s">
        <v>29138</v>
      </c>
      <c r="B9606">
        <v>6.16</v>
      </c>
      <c r="C9606" t="s">
        <v>29139</v>
      </c>
      <c r="D9606" t="s">
        <v>849</v>
      </c>
      <c r="E9606" t="s">
        <v>29135</v>
      </c>
      <c r="F9606" t="s">
        <v>7672</v>
      </c>
      <c r="G9606" t="s">
        <v>29136</v>
      </c>
      <c r="H9606" t="s">
        <v>28142</v>
      </c>
      <c r="I9606" t="s">
        <v>13703</v>
      </c>
      <c r="J9606" t="s">
        <v>7981</v>
      </c>
    </row>
    <row r="9607" spans="1:10" x14ac:dyDescent="0.25">
      <c r="A9607" t="s">
        <v>29140</v>
      </c>
      <c r="B9607">
        <v>6.16</v>
      </c>
      <c r="C9607" t="s">
        <v>29141</v>
      </c>
      <c r="D9607" t="s">
        <v>321</v>
      </c>
      <c r="E9607" t="s">
        <v>29135</v>
      </c>
      <c r="F9607" t="s">
        <v>7672</v>
      </c>
      <c r="G9607" t="s">
        <v>29136</v>
      </c>
      <c r="H9607" t="s">
        <v>28142</v>
      </c>
      <c r="I9607" t="s">
        <v>29137</v>
      </c>
      <c r="J9607" t="s">
        <v>7984</v>
      </c>
    </row>
    <row r="9608" spans="1:10" x14ac:dyDescent="0.25">
      <c r="A9608" t="s">
        <v>29142</v>
      </c>
      <c r="B9608">
        <v>6.16</v>
      </c>
      <c r="C9608" t="s">
        <v>29143</v>
      </c>
      <c r="D9608" t="s">
        <v>95</v>
      </c>
      <c r="E9608" t="s">
        <v>29135</v>
      </c>
      <c r="F9608" t="s">
        <v>7672</v>
      </c>
      <c r="G9608" t="s">
        <v>29136</v>
      </c>
      <c r="H9608" t="s">
        <v>28142</v>
      </c>
      <c r="I9608" t="s">
        <v>76</v>
      </c>
      <c r="J9608" t="s">
        <v>7984</v>
      </c>
    </row>
    <row r="9609" spans="1:10" x14ac:dyDescent="0.25">
      <c r="A9609" t="s">
        <v>29144</v>
      </c>
      <c r="B9609">
        <v>6.16</v>
      </c>
      <c r="C9609" t="s">
        <v>29145</v>
      </c>
      <c r="D9609" t="s">
        <v>40</v>
      </c>
      <c r="E9609" t="s">
        <v>29135</v>
      </c>
      <c r="F9609" t="s">
        <v>7672</v>
      </c>
      <c r="G9609" t="s">
        <v>29136</v>
      </c>
      <c r="H9609" t="s">
        <v>28142</v>
      </c>
      <c r="I9609" t="s">
        <v>13703</v>
      </c>
      <c r="J9609" t="s">
        <v>7984</v>
      </c>
    </row>
    <row r="9610" spans="1:10" x14ac:dyDescent="0.25">
      <c r="A9610" t="s">
        <v>29146</v>
      </c>
      <c r="B9610">
        <v>6.16</v>
      </c>
      <c r="C9610" t="s">
        <v>29147</v>
      </c>
      <c r="D9610" t="s">
        <v>450</v>
      </c>
      <c r="E9610" t="s">
        <v>29135</v>
      </c>
      <c r="F9610" t="s">
        <v>7672</v>
      </c>
      <c r="G9610" t="s">
        <v>29136</v>
      </c>
      <c r="H9610" t="s">
        <v>28142</v>
      </c>
      <c r="I9610" t="s">
        <v>29137</v>
      </c>
      <c r="J9610" t="s">
        <v>7987</v>
      </c>
    </row>
    <row r="9611" spans="1:10" x14ac:dyDescent="0.25">
      <c r="A9611" t="s">
        <v>29148</v>
      </c>
      <c r="B9611">
        <v>6.16</v>
      </c>
      <c r="C9611" t="s">
        <v>29149</v>
      </c>
      <c r="D9611" t="s">
        <v>2022</v>
      </c>
      <c r="E9611" t="s">
        <v>29135</v>
      </c>
      <c r="F9611" t="s">
        <v>7672</v>
      </c>
      <c r="G9611" t="s">
        <v>29136</v>
      </c>
      <c r="H9611" t="s">
        <v>28142</v>
      </c>
      <c r="I9611" t="s">
        <v>76</v>
      </c>
      <c r="J9611" t="s">
        <v>7987</v>
      </c>
    </row>
    <row r="9612" spans="1:10" x14ac:dyDescent="0.25">
      <c r="A9612" t="s">
        <v>29150</v>
      </c>
      <c r="B9612">
        <v>6.16</v>
      </c>
      <c r="C9612" t="s">
        <v>29151</v>
      </c>
      <c r="D9612" t="s">
        <v>379</v>
      </c>
      <c r="E9612" t="s">
        <v>29135</v>
      </c>
      <c r="F9612" t="s">
        <v>7672</v>
      </c>
      <c r="G9612" t="s">
        <v>29136</v>
      </c>
      <c r="H9612" t="s">
        <v>28142</v>
      </c>
      <c r="I9612" t="s">
        <v>13703</v>
      </c>
      <c r="J9612" t="s">
        <v>7987</v>
      </c>
    </row>
    <row r="9613" spans="1:10" x14ac:dyDescent="0.25">
      <c r="A9613" t="s">
        <v>29152</v>
      </c>
      <c r="B9613">
        <v>6.16</v>
      </c>
      <c r="C9613" t="s">
        <v>29153</v>
      </c>
      <c r="D9613" t="s">
        <v>240</v>
      </c>
      <c r="E9613" t="s">
        <v>29135</v>
      </c>
      <c r="F9613" t="s">
        <v>7672</v>
      </c>
      <c r="G9613" t="s">
        <v>29136</v>
      </c>
      <c r="H9613" t="s">
        <v>28142</v>
      </c>
      <c r="I9613" t="s">
        <v>29137</v>
      </c>
      <c r="J9613" t="s">
        <v>8001</v>
      </c>
    </row>
    <row r="9614" spans="1:10" x14ac:dyDescent="0.25">
      <c r="A9614" t="s">
        <v>29154</v>
      </c>
      <c r="B9614">
        <v>6.16</v>
      </c>
      <c r="C9614" t="s">
        <v>29155</v>
      </c>
      <c r="D9614" t="s">
        <v>282</v>
      </c>
      <c r="E9614" t="s">
        <v>29135</v>
      </c>
      <c r="F9614" t="s">
        <v>7672</v>
      </c>
      <c r="G9614" t="s">
        <v>29136</v>
      </c>
      <c r="H9614" t="s">
        <v>28142</v>
      </c>
      <c r="I9614" t="s">
        <v>76</v>
      </c>
      <c r="J9614" t="s">
        <v>8001</v>
      </c>
    </row>
    <row r="9615" spans="1:10" x14ac:dyDescent="0.25">
      <c r="A9615" t="s">
        <v>29156</v>
      </c>
      <c r="B9615">
        <v>6.16</v>
      </c>
      <c r="C9615" t="s">
        <v>29157</v>
      </c>
      <c r="D9615" t="s">
        <v>875</v>
      </c>
      <c r="E9615" t="s">
        <v>29135</v>
      </c>
      <c r="F9615" t="s">
        <v>7672</v>
      </c>
      <c r="G9615" t="s">
        <v>29136</v>
      </c>
      <c r="H9615" t="s">
        <v>28142</v>
      </c>
      <c r="I9615" t="s">
        <v>13703</v>
      </c>
      <c r="J9615" t="s">
        <v>8001</v>
      </c>
    </row>
    <row r="9616" spans="1:10" x14ac:dyDescent="0.25">
      <c r="A9616" t="s">
        <v>29158</v>
      </c>
      <c r="B9616">
        <v>7.2</v>
      </c>
      <c r="C9616" t="s">
        <v>29159</v>
      </c>
      <c r="D9616" t="s">
        <v>10062</v>
      </c>
      <c r="E9616" t="s">
        <v>29160</v>
      </c>
      <c r="F9616" t="s">
        <v>7672</v>
      </c>
      <c r="G9616" t="s">
        <v>29161</v>
      </c>
      <c r="H9616" t="s">
        <v>24169</v>
      </c>
      <c r="I9616" t="s">
        <v>24961</v>
      </c>
      <c r="J9616" t="s">
        <v>100</v>
      </c>
    </row>
    <row r="9617" spans="1:10" x14ac:dyDescent="0.25">
      <c r="A9617" t="s">
        <v>29162</v>
      </c>
      <c r="B9617">
        <v>7.2</v>
      </c>
      <c r="C9617" t="s">
        <v>29163</v>
      </c>
      <c r="D9617" t="s">
        <v>8730</v>
      </c>
      <c r="E9617" t="s">
        <v>29160</v>
      </c>
      <c r="F9617" t="s">
        <v>7672</v>
      </c>
      <c r="G9617" t="s">
        <v>29161</v>
      </c>
      <c r="H9617" t="s">
        <v>24169</v>
      </c>
      <c r="I9617" t="s">
        <v>24961</v>
      </c>
      <c r="J9617" t="s">
        <v>269</v>
      </c>
    </row>
    <row r="9618" spans="1:10" x14ac:dyDescent="0.25">
      <c r="A9618" t="s">
        <v>29164</v>
      </c>
      <c r="B9618">
        <v>7.2</v>
      </c>
      <c r="C9618" t="s">
        <v>29165</v>
      </c>
      <c r="D9618" t="s">
        <v>8715</v>
      </c>
      <c r="E9618" t="s">
        <v>29160</v>
      </c>
      <c r="F9618" t="s">
        <v>7672</v>
      </c>
      <c r="G9618" t="s">
        <v>29161</v>
      </c>
      <c r="H9618" t="s">
        <v>24169</v>
      </c>
      <c r="I9618" t="s">
        <v>24961</v>
      </c>
      <c r="J9618" t="s">
        <v>255</v>
      </c>
    </row>
    <row r="9619" spans="1:10" x14ac:dyDescent="0.25">
      <c r="A9619" t="s">
        <v>380</v>
      </c>
      <c r="B9619">
        <v>18.2</v>
      </c>
      <c r="C9619" t="s">
        <v>382</v>
      </c>
      <c r="D9619" t="s">
        <v>385</v>
      </c>
      <c r="E9619" t="s">
        <v>383</v>
      </c>
      <c r="F9619" t="s">
        <v>7672</v>
      </c>
      <c r="G9619" t="s">
        <v>29166</v>
      </c>
      <c r="H9619" t="s">
        <v>7954</v>
      </c>
      <c r="I9619" t="s">
        <v>387</v>
      </c>
      <c r="J9619" t="s">
        <v>7942</v>
      </c>
    </row>
    <row r="9620" spans="1:10" x14ac:dyDescent="0.25">
      <c r="A9620" t="s">
        <v>388</v>
      </c>
      <c r="B9620">
        <v>18.2</v>
      </c>
      <c r="C9620" t="s">
        <v>390</v>
      </c>
      <c r="D9620" t="s">
        <v>88</v>
      </c>
      <c r="E9620" t="s">
        <v>383</v>
      </c>
      <c r="F9620" t="s">
        <v>7672</v>
      </c>
      <c r="G9620" t="s">
        <v>29166</v>
      </c>
      <c r="H9620" t="s">
        <v>7954</v>
      </c>
      <c r="I9620" t="s">
        <v>387</v>
      </c>
      <c r="J9620" t="s">
        <v>7981</v>
      </c>
    </row>
    <row r="9621" spans="1:10" x14ac:dyDescent="0.25">
      <c r="A9621" t="s">
        <v>392</v>
      </c>
      <c r="B9621">
        <v>18.2</v>
      </c>
      <c r="C9621" t="s">
        <v>394</v>
      </c>
      <c r="D9621" t="s">
        <v>396</v>
      </c>
      <c r="E9621" t="s">
        <v>383</v>
      </c>
      <c r="F9621" t="s">
        <v>7672</v>
      </c>
      <c r="G9621" t="s">
        <v>29166</v>
      </c>
      <c r="H9621" t="s">
        <v>7954</v>
      </c>
      <c r="I9621" t="s">
        <v>387</v>
      </c>
      <c r="J9621" t="s">
        <v>7984</v>
      </c>
    </row>
    <row r="9622" spans="1:10" x14ac:dyDescent="0.25">
      <c r="A9622" t="s">
        <v>397</v>
      </c>
      <c r="B9622">
        <v>18.2</v>
      </c>
      <c r="C9622" t="s">
        <v>399</v>
      </c>
      <c r="D9622" t="s">
        <v>379</v>
      </c>
      <c r="E9622" t="s">
        <v>383</v>
      </c>
      <c r="F9622" t="s">
        <v>7672</v>
      </c>
      <c r="G9622" t="s">
        <v>29166</v>
      </c>
      <c r="H9622" t="s">
        <v>7954</v>
      </c>
      <c r="I9622" t="s">
        <v>387</v>
      </c>
      <c r="J9622" t="s">
        <v>7987</v>
      </c>
    </row>
    <row r="9623" spans="1:10" x14ac:dyDescent="0.25">
      <c r="A9623" t="s">
        <v>401</v>
      </c>
      <c r="B9623">
        <v>18.2</v>
      </c>
      <c r="C9623" t="s">
        <v>403</v>
      </c>
      <c r="D9623" t="s">
        <v>269</v>
      </c>
      <c r="E9623" t="s">
        <v>383</v>
      </c>
      <c r="F9623" t="s">
        <v>7672</v>
      </c>
      <c r="G9623" t="s">
        <v>29166</v>
      </c>
      <c r="H9623" t="s">
        <v>7954</v>
      </c>
      <c r="I9623" t="s">
        <v>387</v>
      </c>
      <c r="J9623" t="s">
        <v>8001</v>
      </c>
    </row>
    <row r="9624" spans="1:10" x14ac:dyDescent="0.25">
      <c r="A9624" t="s">
        <v>29167</v>
      </c>
      <c r="B9624">
        <v>6</v>
      </c>
      <c r="C9624" t="s">
        <v>29168</v>
      </c>
      <c r="D9624" t="s">
        <v>1097</v>
      </c>
      <c r="E9624" t="s">
        <v>29169</v>
      </c>
      <c r="F9624" t="s">
        <v>7672</v>
      </c>
      <c r="G9624" t="s">
        <v>29170</v>
      </c>
      <c r="H9624" t="s">
        <v>16993</v>
      </c>
      <c r="I9624" t="s">
        <v>8357</v>
      </c>
      <c r="J9624" t="s">
        <v>9426</v>
      </c>
    </row>
    <row r="9625" spans="1:10" x14ac:dyDescent="0.25">
      <c r="A9625" t="s">
        <v>29171</v>
      </c>
      <c r="B9625">
        <v>6</v>
      </c>
      <c r="C9625" t="s">
        <v>29172</v>
      </c>
      <c r="D9625" t="s">
        <v>311</v>
      </c>
      <c r="E9625" t="s">
        <v>29169</v>
      </c>
      <c r="F9625" t="s">
        <v>7672</v>
      </c>
      <c r="G9625" t="s">
        <v>29170</v>
      </c>
      <c r="H9625" t="s">
        <v>16993</v>
      </c>
      <c r="I9625" t="s">
        <v>16467</v>
      </c>
      <c r="J9625" t="s">
        <v>9426</v>
      </c>
    </row>
    <row r="9626" spans="1:10" x14ac:dyDescent="0.25">
      <c r="A9626" t="s">
        <v>29173</v>
      </c>
      <c r="B9626">
        <v>6</v>
      </c>
      <c r="C9626" t="s">
        <v>29174</v>
      </c>
      <c r="D9626" t="s">
        <v>286</v>
      </c>
      <c r="E9626" t="s">
        <v>29169</v>
      </c>
      <c r="F9626" t="s">
        <v>7672</v>
      </c>
      <c r="G9626" t="s">
        <v>29170</v>
      </c>
      <c r="H9626" t="s">
        <v>16993</v>
      </c>
      <c r="I9626" t="s">
        <v>8357</v>
      </c>
      <c r="J9626" t="s">
        <v>10862</v>
      </c>
    </row>
    <row r="9627" spans="1:10" x14ac:dyDescent="0.25">
      <c r="A9627" t="s">
        <v>29175</v>
      </c>
      <c r="B9627">
        <v>6</v>
      </c>
      <c r="C9627" t="s">
        <v>29176</v>
      </c>
      <c r="D9627" t="s">
        <v>164</v>
      </c>
      <c r="E9627" t="s">
        <v>29169</v>
      </c>
      <c r="F9627" t="s">
        <v>7672</v>
      </c>
      <c r="G9627" t="s">
        <v>29170</v>
      </c>
      <c r="H9627" t="s">
        <v>16993</v>
      </c>
      <c r="I9627" t="s">
        <v>16467</v>
      </c>
      <c r="J9627" t="s">
        <v>10862</v>
      </c>
    </row>
    <row r="9628" spans="1:10" x14ac:dyDescent="0.25">
      <c r="A9628" t="s">
        <v>29177</v>
      </c>
      <c r="B9628">
        <v>6</v>
      </c>
      <c r="C9628" t="s">
        <v>29178</v>
      </c>
      <c r="D9628" t="s">
        <v>835</v>
      </c>
      <c r="E9628" t="s">
        <v>29169</v>
      </c>
      <c r="F9628" t="s">
        <v>7672</v>
      </c>
      <c r="G9628" t="s">
        <v>29170</v>
      </c>
      <c r="H9628" t="s">
        <v>16993</v>
      </c>
      <c r="I9628" t="s">
        <v>8357</v>
      </c>
      <c r="J9628" t="s">
        <v>13084</v>
      </c>
    </row>
    <row r="9629" spans="1:10" x14ac:dyDescent="0.25">
      <c r="A9629" t="s">
        <v>29179</v>
      </c>
      <c r="B9629">
        <v>6</v>
      </c>
      <c r="C9629" t="s">
        <v>29180</v>
      </c>
      <c r="D9629" t="s">
        <v>255</v>
      </c>
      <c r="E9629" t="s">
        <v>29169</v>
      </c>
      <c r="F9629" t="s">
        <v>7672</v>
      </c>
      <c r="G9629" t="s">
        <v>29170</v>
      </c>
      <c r="H9629" t="s">
        <v>16993</v>
      </c>
      <c r="I9629" t="s">
        <v>16467</v>
      </c>
      <c r="J9629" t="s">
        <v>13084</v>
      </c>
    </row>
    <row r="9630" spans="1:10" x14ac:dyDescent="0.25">
      <c r="A9630" t="s">
        <v>29181</v>
      </c>
      <c r="B9630">
        <v>6</v>
      </c>
      <c r="C9630" t="s">
        <v>29182</v>
      </c>
      <c r="D9630" t="s">
        <v>106</v>
      </c>
      <c r="E9630" t="s">
        <v>29169</v>
      </c>
      <c r="F9630" t="s">
        <v>7672</v>
      </c>
      <c r="G9630" t="s">
        <v>29170</v>
      </c>
      <c r="H9630" t="s">
        <v>16993</v>
      </c>
      <c r="I9630" t="s">
        <v>8357</v>
      </c>
      <c r="J9630" t="s">
        <v>11767</v>
      </c>
    </row>
    <row r="9631" spans="1:10" x14ac:dyDescent="0.25">
      <c r="A9631" t="s">
        <v>29183</v>
      </c>
      <c r="B9631">
        <v>6</v>
      </c>
      <c r="C9631" t="s">
        <v>29184</v>
      </c>
      <c r="D9631" t="s">
        <v>964</v>
      </c>
      <c r="E9631" t="s">
        <v>29169</v>
      </c>
      <c r="F9631" t="s">
        <v>7672</v>
      </c>
      <c r="G9631" t="s">
        <v>29170</v>
      </c>
      <c r="H9631" t="s">
        <v>16993</v>
      </c>
      <c r="I9631" t="s">
        <v>16467</v>
      </c>
      <c r="J9631" t="s">
        <v>11767</v>
      </c>
    </row>
    <row r="9632" spans="1:10" x14ac:dyDescent="0.25">
      <c r="A9632" t="s">
        <v>29185</v>
      </c>
      <c r="B9632">
        <v>4.8000000000000007</v>
      </c>
      <c r="C9632" t="s">
        <v>29186</v>
      </c>
      <c r="D9632" t="s">
        <v>913</v>
      </c>
      <c r="E9632" t="s">
        <v>29187</v>
      </c>
      <c r="F9632" t="s">
        <v>7672</v>
      </c>
      <c r="G9632" t="s">
        <v>29188</v>
      </c>
      <c r="H9632" t="s">
        <v>7674</v>
      </c>
      <c r="I9632" t="s">
        <v>29189</v>
      </c>
      <c r="J9632" t="s">
        <v>7675</v>
      </c>
    </row>
    <row r="9633" spans="1:10" x14ac:dyDescent="0.25">
      <c r="A9633" t="s">
        <v>29190</v>
      </c>
      <c r="B9633">
        <v>4.8000000000000007</v>
      </c>
      <c r="C9633" t="s">
        <v>29191</v>
      </c>
      <c r="D9633" t="s">
        <v>12795</v>
      </c>
      <c r="E9633" t="s">
        <v>29187</v>
      </c>
      <c r="F9633" t="s">
        <v>7672</v>
      </c>
      <c r="G9633" t="s">
        <v>29188</v>
      </c>
      <c r="H9633" t="s">
        <v>7674</v>
      </c>
      <c r="I9633" t="s">
        <v>29189</v>
      </c>
      <c r="J9633" t="s">
        <v>7686</v>
      </c>
    </row>
    <row r="9634" spans="1:10" x14ac:dyDescent="0.25">
      <c r="A9634" t="s">
        <v>29192</v>
      </c>
      <c r="B9634">
        <v>4.8000000000000007</v>
      </c>
      <c r="C9634" t="s">
        <v>29193</v>
      </c>
      <c r="D9634" t="s">
        <v>16044</v>
      </c>
      <c r="E9634" t="s">
        <v>29187</v>
      </c>
      <c r="F9634" t="s">
        <v>7672</v>
      </c>
      <c r="G9634" t="s">
        <v>29188</v>
      </c>
      <c r="H9634" t="s">
        <v>7674</v>
      </c>
      <c r="I9634" t="s">
        <v>29189</v>
      </c>
      <c r="J9634" t="s">
        <v>7703</v>
      </c>
    </row>
    <row r="9635" spans="1:10" x14ac:dyDescent="0.25">
      <c r="A9635" t="s">
        <v>29194</v>
      </c>
      <c r="B9635">
        <v>4.8000000000000007</v>
      </c>
      <c r="C9635" t="s">
        <v>29195</v>
      </c>
      <c r="D9635" t="s">
        <v>15940</v>
      </c>
      <c r="E9635" t="s">
        <v>29187</v>
      </c>
      <c r="F9635" t="s">
        <v>7672</v>
      </c>
      <c r="G9635" t="s">
        <v>29188</v>
      </c>
      <c r="H9635" t="s">
        <v>7674</v>
      </c>
      <c r="I9635" t="s">
        <v>29189</v>
      </c>
      <c r="J9635" t="s">
        <v>7713</v>
      </c>
    </row>
    <row r="9636" spans="1:10" x14ac:dyDescent="0.25">
      <c r="A9636" t="s">
        <v>29196</v>
      </c>
      <c r="B9636">
        <v>4.8000000000000007</v>
      </c>
      <c r="C9636" t="s">
        <v>29197</v>
      </c>
      <c r="D9636" t="s">
        <v>1822</v>
      </c>
      <c r="E9636" t="s">
        <v>29187</v>
      </c>
      <c r="F9636" t="s">
        <v>7672</v>
      </c>
      <c r="G9636" t="s">
        <v>29188</v>
      </c>
      <c r="H9636" t="s">
        <v>7674</v>
      </c>
      <c r="I9636" t="s">
        <v>29189</v>
      </c>
      <c r="J9636" t="s">
        <v>7719</v>
      </c>
    </row>
    <row r="9637" spans="1:10" x14ac:dyDescent="0.25">
      <c r="A9637" t="s">
        <v>29198</v>
      </c>
      <c r="B9637">
        <v>3.8959999999999999</v>
      </c>
      <c r="C9637" t="s">
        <v>29199</v>
      </c>
      <c r="D9637" t="s">
        <v>29200</v>
      </c>
      <c r="E9637" t="s">
        <v>29201</v>
      </c>
      <c r="F9637" t="s">
        <v>7672</v>
      </c>
      <c r="G9637" t="s">
        <v>29202</v>
      </c>
      <c r="H9637" t="s">
        <v>25190</v>
      </c>
      <c r="I9637" t="s">
        <v>497</v>
      </c>
      <c r="J9637" t="s">
        <v>9694</v>
      </c>
    </row>
    <row r="9638" spans="1:10" x14ac:dyDescent="0.25">
      <c r="A9638" t="s">
        <v>29203</v>
      </c>
      <c r="B9638">
        <v>10</v>
      </c>
      <c r="C9638" t="s">
        <v>29204</v>
      </c>
      <c r="D9638" t="s">
        <v>2198</v>
      </c>
      <c r="E9638" t="s">
        <v>29205</v>
      </c>
      <c r="F9638" t="s">
        <v>7672</v>
      </c>
      <c r="G9638" t="s">
        <v>29206</v>
      </c>
      <c r="H9638" t="s">
        <v>8673</v>
      </c>
      <c r="I9638" t="s">
        <v>29207</v>
      </c>
      <c r="J9638" t="s">
        <v>7703</v>
      </c>
    </row>
    <row r="9639" spans="1:10" x14ac:dyDescent="0.25">
      <c r="A9639" t="s">
        <v>29208</v>
      </c>
      <c r="B9639">
        <v>10</v>
      </c>
      <c r="C9639" t="s">
        <v>29209</v>
      </c>
      <c r="D9639" t="s">
        <v>250</v>
      </c>
      <c r="E9639" t="s">
        <v>29205</v>
      </c>
      <c r="F9639" t="s">
        <v>7672</v>
      </c>
      <c r="G9639" t="s">
        <v>29206</v>
      </c>
      <c r="H9639" t="s">
        <v>8673</v>
      </c>
      <c r="I9639" t="s">
        <v>29207</v>
      </c>
      <c r="J9639" t="s">
        <v>7713</v>
      </c>
    </row>
    <row r="9640" spans="1:10" x14ac:dyDescent="0.25">
      <c r="A9640" t="s">
        <v>29210</v>
      </c>
      <c r="B9640">
        <v>10</v>
      </c>
      <c r="C9640" t="s">
        <v>29211</v>
      </c>
      <c r="D9640" t="s">
        <v>1822</v>
      </c>
      <c r="E9640" t="s">
        <v>29205</v>
      </c>
      <c r="F9640" t="s">
        <v>7672</v>
      </c>
      <c r="G9640" t="s">
        <v>29206</v>
      </c>
      <c r="H9640" t="s">
        <v>8673</v>
      </c>
      <c r="I9640" t="s">
        <v>29207</v>
      </c>
      <c r="J9640" t="s">
        <v>7719</v>
      </c>
    </row>
    <row r="9641" spans="1:10" x14ac:dyDescent="0.25">
      <c r="A9641" t="s">
        <v>29212</v>
      </c>
      <c r="B9641">
        <v>3.96</v>
      </c>
      <c r="C9641" t="s">
        <v>29213</v>
      </c>
      <c r="D9641" t="s">
        <v>199</v>
      </c>
      <c r="E9641" t="s">
        <v>29214</v>
      </c>
      <c r="F9641" t="s">
        <v>7672</v>
      </c>
      <c r="G9641" t="s">
        <v>29215</v>
      </c>
      <c r="H9641" t="s">
        <v>11381</v>
      </c>
      <c r="I9641" t="s">
        <v>11382</v>
      </c>
      <c r="J9641" t="s">
        <v>28651</v>
      </c>
    </row>
    <row r="9642" spans="1:10" x14ac:dyDescent="0.25">
      <c r="A9642" t="s">
        <v>29216</v>
      </c>
      <c r="B9642">
        <v>3.96</v>
      </c>
      <c r="C9642" t="s">
        <v>29217</v>
      </c>
      <c r="D9642" t="s">
        <v>705</v>
      </c>
      <c r="E9642" t="s">
        <v>29214</v>
      </c>
      <c r="F9642" t="s">
        <v>7672</v>
      </c>
      <c r="G9642" t="s">
        <v>29215</v>
      </c>
      <c r="H9642" t="s">
        <v>11381</v>
      </c>
      <c r="I9642" t="s">
        <v>29218</v>
      </c>
      <c r="J9642" t="s">
        <v>28654</v>
      </c>
    </row>
    <row r="9643" spans="1:10" x14ac:dyDescent="0.25">
      <c r="A9643" t="s">
        <v>29219</v>
      </c>
      <c r="B9643">
        <v>3.96</v>
      </c>
      <c r="C9643" t="s">
        <v>29220</v>
      </c>
      <c r="D9643" t="s">
        <v>835</v>
      </c>
      <c r="E9643" t="s">
        <v>29214</v>
      </c>
      <c r="F9643" t="s">
        <v>7672</v>
      </c>
      <c r="G9643" t="s">
        <v>29215</v>
      </c>
      <c r="H9643" t="s">
        <v>11381</v>
      </c>
      <c r="I9643" t="s">
        <v>14140</v>
      </c>
      <c r="J9643" t="s">
        <v>28654</v>
      </c>
    </row>
    <row r="9644" spans="1:10" x14ac:dyDescent="0.25">
      <c r="A9644" t="s">
        <v>29221</v>
      </c>
      <c r="B9644">
        <v>3.96</v>
      </c>
      <c r="C9644" t="s">
        <v>29222</v>
      </c>
      <c r="D9644" t="s">
        <v>9506</v>
      </c>
      <c r="E9644" t="s">
        <v>29214</v>
      </c>
      <c r="F9644" t="s">
        <v>7672</v>
      </c>
      <c r="G9644" t="s">
        <v>29215</v>
      </c>
      <c r="H9644" t="s">
        <v>11381</v>
      </c>
      <c r="I9644" t="s">
        <v>11382</v>
      </c>
      <c r="J9644" t="s">
        <v>28654</v>
      </c>
    </row>
    <row r="9645" spans="1:10" x14ac:dyDescent="0.25">
      <c r="A9645" t="s">
        <v>29223</v>
      </c>
      <c r="B9645">
        <v>5</v>
      </c>
      <c r="C9645" t="s">
        <v>29224</v>
      </c>
      <c r="D9645" t="s">
        <v>106</v>
      </c>
      <c r="E9645" t="s">
        <v>29225</v>
      </c>
      <c r="F9645" t="s">
        <v>7672</v>
      </c>
      <c r="G9645" t="s">
        <v>29226</v>
      </c>
      <c r="H9645" t="s">
        <v>10298</v>
      </c>
      <c r="I9645" t="s">
        <v>21755</v>
      </c>
      <c r="J9645" t="s">
        <v>11702</v>
      </c>
    </row>
    <row r="9646" spans="1:10" x14ac:dyDescent="0.25">
      <c r="A9646" t="s">
        <v>29227</v>
      </c>
      <c r="B9646">
        <v>5</v>
      </c>
      <c r="C9646" t="s">
        <v>29228</v>
      </c>
      <c r="D9646" t="s">
        <v>88</v>
      </c>
      <c r="E9646" t="s">
        <v>29225</v>
      </c>
      <c r="F9646" t="s">
        <v>7672</v>
      </c>
      <c r="G9646" t="s">
        <v>29226</v>
      </c>
      <c r="H9646" t="s">
        <v>10298</v>
      </c>
      <c r="I9646" t="s">
        <v>29229</v>
      </c>
      <c r="J9646" t="s">
        <v>11702</v>
      </c>
    </row>
    <row r="9647" spans="1:10" x14ac:dyDescent="0.25">
      <c r="A9647" t="s">
        <v>29230</v>
      </c>
      <c r="B9647">
        <v>5</v>
      </c>
      <c r="C9647" t="s">
        <v>29231</v>
      </c>
      <c r="D9647" t="s">
        <v>359</v>
      </c>
      <c r="E9647" t="s">
        <v>29225</v>
      </c>
      <c r="F9647" t="s">
        <v>7672</v>
      </c>
      <c r="G9647" t="s">
        <v>29226</v>
      </c>
      <c r="H9647" t="s">
        <v>10298</v>
      </c>
      <c r="I9647" t="s">
        <v>21747</v>
      </c>
      <c r="J9647" t="s">
        <v>11702</v>
      </c>
    </row>
    <row r="9648" spans="1:10" x14ac:dyDescent="0.25">
      <c r="A9648" t="s">
        <v>29232</v>
      </c>
      <c r="B9648">
        <v>5</v>
      </c>
      <c r="C9648" t="s">
        <v>29233</v>
      </c>
      <c r="D9648" t="s">
        <v>282</v>
      </c>
      <c r="E9648" t="s">
        <v>29225</v>
      </c>
      <c r="F9648" t="s">
        <v>7672</v>
      </c>
      <c r="G9648" t="s">
        <v>29226</v>
      </c>
      <c r="H9648" t="s">
        <v>10298</v>
      </c>
      <c r="I9648" t="s">
        <v>19568</v>
      </c>
      <c r="J9648" t="s">
        <v>11702</v>
      </c>
    </row>
    <row r="9649" spans="1:10" x14ac:dyDescent="0.25">
      <c r="A9649" t="s">
        <v>29234</v>
      </c>
      <c r="B9649">
        <v>5</v>
      </c>
      <c r="C9649" t="s">
        <v>29235</v>
      </c>
      <c r="D9649" t="s">
        <v>255</v>
      </c>
      <c r="E9649" t="s">
        <v>29225</v>
      </c>
      <c r="F9649" t="s">
        <v>7672</v>
      </c>
      <c r="G9649" t="s">
        <v>29226</v>
      </c>
      <c r="H9649" t="s">
        <v>10298</v>
      </c>
      <c r="I9649" t="s">
        <v>21747</v>
      </c>
      <c r="J9649" t="s">
        <v>11710</v>
      </c>
    </row>
    <row r="9650" spans="1:10" x14ac:dyDescent="0.25">
      <c r="A9650" t="s">
        <v>29236</v>
      </c>
      <c r="B9650">
        <v>5</v>
      </c>
      <c r="C9650" t="s">
        <v>29237</v>
      </c>
      <c r="D9650" t="s">
        <v>106</v>
      </c>
      <c r="E9650" t="s">
        <v>29225</v>
      </c>
      <c r="F9650" t="s">
        <v>7672</v>
      </c>
      <c r="G9650" t="s">
        <v>29226</v>
      </c>
      <c r="H9650" t="s">
        <v>10298</v>
      </c>
      <c r="I9650" t="s">
        <v>19568</v>
      </c>
      <c r="J9650" t="s">
        <v>11710</v>
      </c>
    </row>
    <row r="9651" spans="1:10" x14ac:dyDescent="0.25">
      <c r="A9651" t="s">
        <v>29238</v>
      </c>
      <c r="B9651">
        <v>5</v>
      </c>
      <c r="C9651" t="s">
        <v>29239</v>
      </c>
      <c r="D9651" t="s">
        <v>849</v>
      </c>
      <c r="E9651" t="s">
        <v>29225</v>
      </c>
      <c r="F9651" t="s">
        <v>7672</v>
      </c>
      <c r="G9651" t="s">
        <v>29226</v>
      </c>
      <c r="H9651" t="s">
        <v>10298</v>
      </c>
      <c r="I9651" t="s">
        <v>19568</v>
      </c>
      <c r="J9651" t="s">
        <v>12182</v>
      </c>
    </row>
    <row r="9652" spans="1:10" x14ac:dyDescent="0.25">
      <c r="A9652" t="s">
        <v>29240</v>
      </c>
      <c r="B9652">
        <v>5</v>
      </c>
      <c r="C9652" t="s">
        <v>29241</v>
      </c>
      <c r="D9652" t="s">
        <v>269</v>
      </c>
      <c r="E9652" t="s">
        <v>29225</v>
      </c>
      <c r="F9652" t="s">
        <v>7672</v>
      </c>
      <c r="G9652" t="s">
        <v>29226</v>
      </c>
      <c r="H9652" t="s">
        <v>10298</v>
      </c>
      <c r="I9652" t="s">
        <v>19568</v>
      </c>
      <c r="J9652" t="s">
        <v>10150</v>
      </c>
    </row>
    <row r="9653" spans="1:10" x14ac:dyDescent="0.25">
      <c r="A9653" t="s">
        <v>29242</v>
      </c>
      <c r="B9653">
        <v>5</v>
      </c>
      <c r="C9653" t="s">
        <v>29243</v>
      </c>
      <c r="D9653" t="s">
        <v>106</v>
      </c>
      <c r="E9653" t="s">
        <v>29225</v>
      </c>
      <c r="F9653" t="s">
        <v>7672</v>
      </c>
      <c r="G9653" t="s">
        <v>29226</v>
      </c>
      <c r="H9653" t="s">
        <v>10298</v>
      </c>
      <c r="I9653" t="s">
        <v>21747</v>
      </c>
      <c r="J9653" t="s">
        <v>15238</v>
      </c>
    </row>
    <row r="9654" spans="1:10" x14ac:dyDescent="0.25">
      <c r="A9654" t="s">
        <v>29244</v>
      </c>
      <c r="B9654">
        <v>5</v>
      </c>
      <c r="C9654" t="s">
        <v>29245</v>
      </c>
      <c r="D9654" t="s">
        <v>106</v>
      </c>
      <c r="E9654" t="s">
        <v>29225</v>
      </c>
      <c r="F9654" t="s">
        <v>7672</v>
      </c>
      <c r="G9654" t="s">
        <v>29226</v>
      </c>
      <c r="H9654" t="s">
        <v>10298</v>
      </c>
      <c r="I9654" t="s">
        <v>19568</v>
      </c>
      <c r="J9654" t="s">
        <v>15238</v>
      </c>
    </row>
    <row r="9655" spans="1:10" x14ac:dyDescent="0.25">
      <c r="A9655" t="s">
        <v>29246</v>
      </c>
      <c r="B9655">
        <v>5</v>
      </c>
      <c r="C9655" t="s">
        <v>29247</v>
      </c>
      <c r="D9655" t="s">
        <v>60</v>
      </c>
      <c r="E9655" t="s">
        <v>29225</v>
      </c>
      <c r="F9655" t="s">
        <v>7672</v>
      </c>
      <c r="G9655" t="s">
        <v>29226</v>
      </c>
      <c r="H9655" t="s">
        <v>10298</v>
      </c>
      <c r="I9655" t="s">
        <v>21747</v>
      </c>
      <c r="J9655" t="s">
        <v>15070</v>
      </c>
    </row>
    <row r="9656" spans="1:10" x14ac:dyDescent="0.25">
      <c r="A9656" t="s">
        <v>29248</v>
      </c>
      <c r="B9656">
        <v>5</v>
      </c>
      <c r="C9656" t="s">
        <v>29249</v>
      </c>
      <c r="D9656" t="s">
        <v>88</v>
      </c>
      <c r="E9656" t="s">
        <v>29225</v>
      </c>
      <c r="F9656" t="s">
        <v>7672</v>
      </c>
      <c r="G9656" t="s">
        <v>29226</v>
      </c>
      <c r="H9656" t="s">
        <v>10298</v>
      </c>
      <c r="I9656" t="s">
        <v>19568</v>
      </c>
      <c r="J9656" t="s">
        <v>15070</v>
      </c>
    </row>
    <row r="9657" spans="1:10" x14ac:dyDescent="0.25">
      <c r="A9657" t="s">
        <v>29250</v>
      </c>
      <c r="B9657">
        <v>5</v>
      </c>
      <c r="C9657" t="s">
        <v>29251</v>
      </c>
      <c r="D9657" t="s">
        <v>849</v>
      </c>
      <c r="E9657" t="s">
        <v>29225</v>
      </c>
      <c r="F9657" t="s">
        <v>7672</v>
      </c>
      <c r="G9657" t="s">
        <v>29226</v>
      </c>
      <c r="H9657" t="s">
        <v>10298</v>
      </c>
      <c r="I9657" t="s">
        <v>21747</v>
      </c>
      <c r="J9657" t="s">
        <v>15073</v>
      </c>
    </row>
    <row r="9658" spans="1:10" x14ac:dyDescent="0.25">
      <c r="A9658" t="s">
        <v>29252</v>
      </c>
      <c r="B9658">
        <v>5</v>
      </c>
      <c r="C9658" t="s">
        <v>29253</v>
      </c>
      <c r="D9658" t="s">
        <v>330</v>
      </c>
      <c r="E9658" t="s">
        <v>29225</v>
      </c>
      <c r="F9658" t="s">
        <v>7672</v>
      </c>
      <c r="G9658" t="s">
        <v>29226</v>
      </c>
      <c r="H9658" t="s">
        <v>10298</v>
      </c>
      <c r="I9658" t="s">
        <v>19568</v>
      </c>
      <c r="J9658" t="s">
        <v>15073</v>
      </c>
    </row>
    <row r="9659" spans="1:10" x14ac:dyDescent="0.25">
      <c r="A9659" t="s">
        <v>29254</v>
      </c>
      <c r="B9659">
        <v>5</v>
      </c>
      <c r="C9659" t="s">
        <v>29255</v>
      </c>
      <c r="D9659" t="s">
        <v>385</v>
      </c>
      <c r="E9659" t="s">
        <v>29225</v>
      </c>
      <c r="F9659" t="s">
        <v>7672</v>
      </c>
      <c r="G9659" t="s">
        <v>29226</v>
      </c>
      <c r="H9659" t="s">
        <v>10298</v>
      </c>
      <c r="I9659" t="s">
        <v>21755</v>
      </c>
      <c r="J9659" t="s">
        <v>15076</v>
      </c>
    </row>
    <row r="9660" spans="1:10" x14ac:dyDescent="0.25">
      <c r="A9660" t="s">
        <v>29256</v>
      </c>
      <c r="B9660">
        <v>5</v>
      </c>
      <c r="C9660" t="s">
        <v>29257</v>
      </c>
      <c r="D9660" t="s">
        <v>2879</v>
      </c>
      <c r="E9660" t="s">
        <v>29225</v>
      </c>
      <c r="F9660" t="s">
        <v>7672</v>
      </c>
      <c r="G9660" t="s">
        <v>29226</v>
      </c>
      <c r="H9660" t="s">
        <v>10298</v>
      </c>
      <c r="I9660" t="s">
        <v>21747</v>
      </c>
      <c r="J9660" t="s">
        <v>15076</v>
      </c>
    </row>
    <row r="9661" spans="1:10" x14ac:dyDescent="0.25">
      <c r="A9661" t="s">
        <v>29258</v>
      </c>
      <c r="B9661">
        <v>5</v>
      </c>
      <c r="C9661" t="s">
        <v>29259</v>
      </c>
      <c r="D9661" t="s">
        <v>436</v>
      </c>
      <c r="E9661" t="s">
        <v>29225</v>
      </c>
      <c r="F9661" t="s">
        <v>7672</v>
      </c>
      <c r="G9661" t="s">
        <v>29226</v>
      </c>
      <c r="H9661" t="s">
        <v>10298</v>
      </c>
      <c r="I9661" t="s">
        <v>29229</v>
      </c>
      <c r="J9661" t="s">
        <v>15076</v>
      </c>
    </row>
    <row r="9662" spans="1:10" x14ac:dyDescent="0.25">
      <c r="A9662" t="s">
        <v>29260</v>
      </c>
      <c r="B9662">
        <v>5</v>
      </c>
      <c r="C9662" t="s">
        <v>29261</v>
      </c>
      <c r="D9662" t="s">
        <v>301</v>
      </c>
      <c r="E9662" t="s">
        <v>29225</v>
      </c>
      <c r="F9662" t="s">
        <v>7672</v>
      </c>
      <c r="G9662" t="s">
        <v>29226</v>
      </c>
      <c r="H9662" t="s">
        <v>10298</v>
      </c>
      <c r="I9662" t="s">
        <v>19568</v>
      </c>
      <c r="J9662" t="s">
        <v>15076</v>
      </c>
    </row>
    <row r="9663" spans="1:10" x14ac:dyDescent="0.25">
      <c r="A9663" t="s">
        <v>29262</v>
      </c>
      <c r="B9663">
        <v>5</v>
      </c>
      <c r="C9663" t="s">
        <v>29263</v>
      </c>
      <c r="D9663" t="s">
        <v>311</v>
      </c>
      <c r="E9663" t="s">
        <v>29225</v>
      </c>
      <c r="F9663" t="s">
        <v>7672</v>
      </c>
      <c r="G9663" t="s">
        <v>29226</v>
      </c>
      <c r="H9663" t="s">
        <v>10298</v>
      </c>
      <c r="I9663" t="s">
        <v>21747</v>
      </c>
      <c r="J9663" t="s">
        <v>15079</v>
      </c>
    </row>
    <row r="9664" spans="1:10" x14ac:dyDescent="0.25">
      <c r="A9664" t="s">
        <v>29264</v>
      </c>
      <c r="B9664">
        <v>5</v>
      </c>
      <c r="C9664" t="s">
        <v>29265</v>
      </c>
      <c r="D9664" t="s">
        <v>959</v>
      </c>
      <c r="E9664" t="s">
        <v>29225</v>
      </c>
      <c r="F9664" t="s">
        <v>7672</v>
      </c>
      <c r="G9664" t="s">
        <v>29226</v>
      </c>
      <c r="H9664" t="s">
        <v>10298</v>
      </c>
      <c r="I9664" t="s">
        <v>29229</v>
      </c>
      <c r="J9664" t="s">
        <v>15079</v>
      </c>
    </row>
    <row r="9665" spans="1:10" x14ac:dyDescent="0.25">
      <c r="A9665" t="s">
        <v>29266</v>
      </c>
      <c r="B9665">
        <v>5</v>
      </c>
      <c r="C9665" t="s">
        <v>29267</v>
      </c>
      <c r="D9665" t="s">
        <v>835</v>
      </c>
      <c r="E9665" t="s">
        <v>29225</v>
      </c>
      <c r="F9665" t="s">
        <v>7672</v>
      </c>
      <c r="G9665" t="s">
        <v>29226</v>
      </c>
      <c r="H9665" t="s">
        <v>10298</v>
      </c>
      <c r="I9665" t="s">
        <v>19568</v>
      </c>
      <c r="J9665" t="s">
        <v>15079</v>
      </c>
    </row>
    <row r="9666" spans="1:10" x14ac:dyDescent="0.25">
      <c r="A9666" t="s">
        <v>29268</v>
      </c>
      <c r="B9666">
        <v>5</v>
      </c>
      <c r="C9666" t="s">
        <v>29269</v>
      </c>
      <c r="D9666" t="s">
        <v>964</v>
      </c>
      <c r="E9666" t="s">
        <v>29225</v>
      </c>
      <c r="F9666" t="s">
        <v>7672</v>
      </c>
      <c r="G9666" t="s">
        <v>29226</v>
      </c>
      <c r="H9666" t="s">
        <v>10298</v>
      </c>
      <c r="I9666" t="s">
        <v>21755</v>
      </c>
      <c r="J9666" t="s">
        <v>15079</v>
      </c>
    </row>
    <row r="9667" spans="1:10" x14ac:dyDescent="0.25">
      <c r="A9667" t="s">
        <v>29270</v>
      </c>
      <c r="B9667">
        <v>13.6</v>
      </c>
      <c r="C9667" t="s">
        <v>29271</v>
      </c>
      <c r="D9667" t="s">
        <v>100</v>
      </c>
      <c r="E9667" t="s">
        <v>29272</v>
      </c>
      <c r="F9667" t="s">
        <v>7672</v>
      </c>
      <c r="G9667" t="s">
        <v>29273</v>
      </c>
      <c r="H9667" t="s">
        <v>12232</v>
      </c>
      <c r="I9667" t="s">
        <v>1490</v>
      </c>
      <c r="J9667" t="s">
        <v>8980</v>
      </c>
    </row>
    <row r="9668" spans="1:10" x14ac:dyDescent="0.25">
      <c r="A9668" t="s">
        <v>29274</v>
      </c>
      <c r="B9668">
        <v>13.6</v>
      </c>
      <c r="C9668" t="s">
        <v>29275</v>
      </c>
      <c r="D9668" t="s">
        <v>40</v>
      </c>
      <c r="E9668" t="s">
        <v>29272</v>
      </c>
      <c r="F9668" t="s">
        <v>7672</v>
      </c>
      <c r="G9668" t="s">
        <v>29273</v>
      </c>
      <c r="H9668" t="s">
        <v>12232</v>
      </c>
      <c r="I9668" t="s">
        <v>1490</v>
      </c>
      <c r="J9668" t="s">
        <v>60</v>
      </c>
    </row>
    <row r="9669" spans="1:10" x14ac:dyDescent="0.25">
      <c r="A9669" t="s">
        <v>29276</v>
      </c>
      <c r="B9669">
        <v>13.6</v>
      </c>
      <c r="C9669" t="s">
        <v>29277</v>
      </c>
      <c r="D9669" t="s">
        <v>4327</v>
      </c>
      <c r="E9669" t="s">
        <v>29272</v>
      </c>
      <c r="F9669" t="s">
        <v>7672</v>
      </c>
      <c r="G9669" t="s">
        <v>29273</v>
      </c>
      <c r="H9669" t="s">
        <v>12232</v>
      </c>
      <c r="I9669" t="s">
        <v>1490</v>
      </c>
      <c r="J9669" t="s">
        <v>100</v>
      </c>
    </row>
    <row r="9670" spans="1:10" x14ac:dyDescent="0.25">
      <c r="A9670" t="s">
        <v>405</v>
      </c>
      <c r="B9670">
        <v>4.8000000000000007</v>
      </c>
      <c r="C9670" t="s">
        <v>407</v>
      </c>
      <c r="D9670" t="s">
        <v>164</v>
      </c>
      <c r="E9670" t="s">
        <v>408</v>
      </c>
      <c r="F9670" t="s">
        <v>7672</v>
      </c>
      <c r="G9670" t="s">
        <v>29278</v>
      </c>
      <c r="H9670" t="s">
        <v>11496</v>
      </c>
      <c r="I9670" t="s">
        <v>29279</v>
      </c>
      <c r="J9670" t="s">
        <v>9423</v>
      </c>
    </row>
    <row r="9671" spans="1:10" x14ac:dyDescent="0.25">
      <c r="A9671" t="s">
        <v>29280</v>
      </c>
      <c r="B9671">
        <v>5.7600000000000007</v>
      </c>
      <c r="C9671" t="s">
        <v>29281</v>
      </c>
      <c r="D9671" t="s">
        <v>7754</v>
      </c>
      <c r="E9671" t="s">
        <v>29282</v>
      </c>
      <c r="F9671" t="s">
        <v>7672</v>
      </c>
      <c r="G9671" t="s">
        <v>29283</v>
      </c>
      <c r="H9671" t="s">
        <v>8779</v>
      </c>
      <c r="I9671" t="s">
        <v>29284</v>
      </c>
      <c r="J9671" t="s">
        <v>22929</v>
      </c>
    </row>
    <row r="9672" spans="1:10" x14ac:dyDescent="0.25">
      <c r="A9672" t="s">
        <v>29285</v>
      </c>
      <c r="B9672">
        <v>5.7600000000000007</v>
      </c>
      <c r="C9672" t="s">
        <v>29286</v>
      </c>
      <c r="D9672" t="s">
        <v>9842</v>
      </c>
      <c r="E9672" t="s">
        <v>29282</v>
      </c>
      <c r="F9672" t="s">
        <v>7672</v>
      </c>
      <c r="G9672" t="s">
        <v>29283</v>
      </c>
      <c r="H9672" t="s">
        <v>8779</v>
      </c>
      <c r="I9672" t="s">
        <v>29287</v>
      </c>
      <c r="J9672" t="s">
        <v>22929</v>
      </c>
    </row>
    <row r="9673" spans="1:10" x14ac:dyDescent="0.25">
      <c r="A9673" t="s">
        <v>29288</v>
      </c>
      <c r="B9673">
        <v>114</v>
      </c>
      <c r="C9673" t="s">
        <v>29289</v>
      </c>
      <c r="D9673" t="s">
        <v>913</v>
      </c>
      <c r="E9673" t="s">
        <v>29290</v>
      </c>
      <c r="F9673" t="s">
        <v>7672</v>
      </c>
      <c r="G9673" t="s">
        <v>29291</v>
      </c>
      <c r="H9673" t="s">
        <v>9693</v>
      </c>
      <c r="I9673" t="s">
        <v>17521</v>
      </c>
      <c r="J9673" t="s">
        <v>9694</v>
      </c>
    </row>
    <row r="9674" spans="1:10" x14ac:dyDescent="0.25">
      <c r="A9674" t="s">
        <v>29292</v>
      </c>
      <c r="B9674">
        <v>6.9920000000000009</v>
      </c>
      <c r="C9674" t="s">
        <v>29293</v>
      </c>
      <c r="D9674" t="s">
        <v>282</v>
      </c>
      <c r="E9674" t="s">
        <v>29294</v>
      </c>
      <c r="F9674" t="s">
        <v>7672</v>
      </c>
      <c r="G9674" t="s">
        <v>29295</v>
      </c>
      <c r="H9674" t="s">
        <v>7974</v>
      </c>
      <c r="I9674" t="s">
        <v>8158</v>
      </c>
      <c r="J9674" t="s">
        <v>7942</v>
      </c>
    </row>
    <row r="9675" spans="1:10" x14ac:dyDescent="0.25">
      <c r="A9675" t="s">
        <v>29296</v>
      </c>
      <c r="B9675">
        <v>8.32</v>
      </c>
      <c r="C9675" t="s">
        <v>29297</v>
      </c>
      <c r="D9675" t="s">
        <v>964</v>
      </c>
      <c r="E9675" t="s">
        <v>29298</v>
      </c>
      <c r="F9675" t="s">
        <v>7672</v>
      </c>
      <c r="G9675" t="s">
        <v>29299</v>
      </c>
      <c r="H9675" t="s">
        <v>11381</v>
      </c>
      <c r="I9675" t="s">
        <v>25725</v>
      </c>
      <c r="J9675" t="s">
        <v>8615</v>
      </c>
    </row>
    <row r="9676" spans="1:10" x14ac:dyDescent="0.25">
      <c r="A9676" t="s">
        <v>29300</v>
      </c>
      <c r="B9676">
        <v>7.9920000000000009</v>
      </c>
      <c r="C9676" t="s">
        <v>29301</v>
      </c>
      <c r="D9676" t="s">
        <v>781</v>
      </c>
      <c r="E9676" t="s">
        <v>29302</v>
      </c>
      <c r="F9676" t="s">
        <v>7672</v>
      </c>
      <c r="G9676" t="s">
        <v>29303</v>
      </c>
      <c r="H9676" t="s">
        <v>29304</v>
      </c>
      <c r="I9676" t="s">
        <v>29305</v>
      </c>
      <c r="J9676" t="s">
        <v>9694</v>
      </c>
    </row>
    <row r="9677" spans="1:10" x14ac:dyDescent="0.25">
      <c r="A9677" t="s">
        <v>29306</v>
      </c>
      <c r="B9677">
        <v>5.7600000000000007</v>
      </c>
      <c r="C9677" t="s">
        <v>29307</v>
      </c>
      <c r="D9677" t="s">
        <v>29308</v>
      </c>
      <c r="E9677" t="s">
        <v>29309</v>
      </c>
      <c r="F9677" t="s">
        <v>7672</v>
      </c>
      <c r="G9677" t="s">
        <v>29310</v>
      </c>
      <c r="H9677" t="s">
        <v>11381</v>
      </c>
      <c r="I9677" t="s">
        <v>29311</v>
      </c>
      <c r="J9677" t="s">
        <v>10369</v>
      </c>
    </row>
    <row r="9678" spans="1:10" x14ac:dyDescent="0.25">
      <c r="A9678" t="s">
        <v>29312</v>
      </c>
      <c r="B9678">
        <v>5.7600000000000007</v>
      </c>
      <c r="C9678" t="s">
        <v>29313</v>
      </c>
      <c r="D9678" t="s">
        <v>29314</v>
      </c>
      <c r="E9678" t="s">
        <v>29309</v>
      </c>
      <c r="F9678" t="s">
        <v>7672</v>
      </c>
      <c r="G9678" t="s">
        <v>29310</v>
      </c>
      <c r="H9678" t="s">
        <v>11381</v>
      </c>
      <c r="I9678" t="s">
        <v>29311</v>
      </c>
      <c r="J9678" t="s">
        <v>11590</v>
      </c>
    </row>
    <row r="9679" spans="1:10" x14ac:dyDescent="0.25">
      <c r="A9679" t="s">
        <v>29315</v>
      </c>
      <c r="B9679">
        <v>5.7600000000000007</v>
      </c>
      <c r="C9679" t="s">
        <v>29316</v>
      </c>
      <c r="D9679" t="s">
        <v>29317</v>
      </c>
      <c r="E9679" t="s">
        <v>29309</v>
      </c>
      <c r="F9679" t="s">
        <v>7672</v>
      </c>
      <c r="G9679" t="s">
        <v>29310</v>
      </c>
      <c r="H9679" t="s">
        <v>11381</v>
      </c>
      <c r="I9679" t="s">
        <v>29311</v>
      </c>
      <c r="J9679" t="s">
        <v>11593</v>
      </c>
    </row>
    <row r="9680" spans="1:10" x14ac:dyDescent="0.25">
      <c r="A9680" t="s">
        <v>29318</v>
      </c>
      <c r="B9680">
        <v>6.4</v>
      </c>
      <c r="C9680" t="s">
        <v>29319</v>
      </c>
      <c r="D9680" t="s">
        <v>342</v>
      </c>
      <c r="E9680" t="s">
        <v>29320</v>
      </c>
      <c r="F9680" t="s">
        <v>7672</v>
      </c>
      <c r="G9680" t="s">
        <v>29321</v>
      </c>
      <c r="H9680" t="s">
        <v>10298</v>
      </c>
      <c r="I9680" t="s">
        <v>1490</v>
      </c>
      <c r="J9680" t="s">
        <v>11702</v>
      </c>
    </row>
    <row r="9681" spans="1:10" x14ac:dyDescent="0.25">
      <c r="A9681" t="s">
        <v>29322</v>
      </c>
      <c r="B9681">
        <v>6.4</v>
      </c>
      <c r="C9681" t="s">
        <v>29323</v>
      </c>
      <c r="D9681" t="s">
        <v>164</v>
      </c>
      <c r="E9681" t="s">
        <v>29320</v>
      </c>
      <c r="F9681" t="s">
        <v>7672</v>
      </c>
      <c r="G9681" t="s">
        <v>29321</v>
      </c>
      <c r="H9681" t="s">
        <v>10298</v>
      </c>
      <c r="I9681" t="s">
        <v>1490</v>
      </c>
      <c r="J9681" t="s">
        <v>10150</v>
      </c>
    </row>
    <row r="9682" spans="1:10" x14ac:dyDescent="0.25">
      <c r="A9682" t="s">
        <v>29324</v>
      </c>
      <c r="B9682">
        <v>6.4</v>
      </c>
      <c r="C9682" t="s">
        <v>29325</v>
      </c>
      <c r="D9682" t="s">
        <v>88</v>
      </c>
      <c r="E9682" t="s">
        <v>29320</v>
      </c>
      <c r="F9682" t="s">
        <v>7672</v>
      </c>
      <c r="G9682" t="s">
        <v>29321</v>
      </c>
      <c r="H9682" t="s">
        <v>10298</v>
      </c>
      <c r="I9682" t="s">
        <v>29326</v>
      </c>
      <c r="J9682" t="s">
        <v>15238</v>
      </c>
    </row>
    <row r="9683" spans="1:10" x14ac:dyDescent="0.25">
      <c r="A9683" t="s">
        <v>29327</v>
      </c>
      <c r="B9683">
        <v>6.4</v>
      </c>
      <c r="C9683" t="s">
        <v>29328</v>
      </c>
      <c r="D9683" t="s">
        <v>53</v>
      </c>
      <c r="E9683" t="s">
        <v>29320</v>
      </c>
      <c r="F9683" t="s">
        <v>7672</v>
      </c>
      <c r="G9683" t="s">
        <v>29321</v>
      </c>
      <c r="H9683" t="s">
        <v>10298</v>
      </c>
      <c r="I9683" t="s">
        <v>76</v>
      </c>
      <c r="J9683" t="s">
        <v>15238</v>
      </c>
    </row>
    <row r="9684" spans="1:10" x14ac:dyDescent="0.25">
      <c r="A9684" t="s">
        <v>29329</v>
      </c>
      <c r="B9684">
        <v>6.4</v>
      </c>
      <c r="C9684" t="s">
        <v>29330</v>
      </c>
      <c r="D9684" t="s">
        <v>100</v>
      </c>
      <c r="E9684" t="s">
        <v>29320</v>
      </c>
      <c r="F9684" t="s">
        <v>7672</v>
      </c>
      <c r="G9684" t="s">
        <v>29321</v>
      </c>
      <c r="H9684" t="s">
        <v>10298</v>
      </c>
      <c r="I9684" t="s">
        <v>1490</v>
      </c>
      <c r="J9684" t="s">
        <v>15070</v>
      </c>
    </row>
    <row r="9685" spans="1:10" x14ac:dyDescent="0.25">
      <c r="A9685" t="s">
        <v>29331</v>
      </c>
      <c r="B9685">
        <v>6.4</v>
      </c>
      <c r="C9685" t="s">
        <v>29332</v>
      </c>
      <c r="D9685" t="s">
        <v>199</v>
      </c>
      <c r="E9685" t="s">
        <v>29320</v>
      </c>
      <c r="F9685" t="s">
        <v>7672</v>
      </c>
      <c r="G9685" t="s">
        <v>29321</v>
      </c>
      <c r="H9685" t="s">
        <v>10298</v>
      </c>
      <c r="I9685" t="s">
        <v>29326</v>
      </c>
      <c r="J9685" t="s">
        <v>15073</v>
      </c>
    </row>
    <row r="9686" spans="1:10" x14ac:dyDescent="0.25">
      <c r="A9686" t="s">
        <v>29333</v>
      </c>
      <c r="B9686">
        <v>6.4</v>
      </c>
      <c r="C9686" t="s">
        <v>29334</v>
      </c>
      <c r="D9686" t="s">
        <v>1143</v>
      </c>
      <c r="E9686" t="s">
        <v>29320</v>
      </c>
      <c r="F9686" t="s">
        <v>7672</v>
      </c>
      <c r="G9686" t="s">
        <v>29321</v>
      </c>
      <c r="H9686" t="s">
        <v>10298</v>
      </c>
      <c r="I9686" t="s">
        <v>29326</v>
      </c>
      <c r="J9686" t="s">
        <v>15076</v>
      </c>
    </row>
    <row r="9687" spans="1:10" x14ac:dyDescent="0.25">
      <c r="A9687" t="s">
        <v>29335</v>
      </c>
      <c r="B9687">
        <v>6.4</v>
      </c>
      <c r="C9687" t="s">
        <v>29336</v>
      </c>
      <c r="D9687" t="s">
        <v>576</v>
      </c>
      <c r="E9687" t="s">
        <v>29320</v>
      </c>
      <c r="F9687" t="s">
        <v>7672</v>
      </c>
      <c r="G9687" t="s">
        <v>29321</v>
      </c>
      <c r="H9687" t="s">
        <v>10298</v>
      </c>
      <c r="I9687" t="s">
        <v>16691</v>
      </c>
      <c r="J9687" t="s">
        <v>15076</v>
      </c>
    </row>
    <row r="9688" spans="1:10" x14ac:dyDescent="0.25">
      <c r="A9688" t="s">
        <v>29337</v>
      </c>
      <c r="B9688">
        <v>6.4</v>
      </c>
      <c r="C9688" t="s">
        <v>29338</v>
      </c>
      <c r="D9688" t="s">
        <v>88</v>
      </c>
      <c r="E9688" t="s">
        <v>29320</v>
      </c>
      <c r="F9688" t="s">
        <v>7672</v>
      </c>
      <c r="G9688" t="s">
        <v>29321</v>
      </c>
      <c r="H9688" t="s">
        <v>10298</v>
      </c>
      <c r="I9688" t="s">
        <v>1490</v>
      </c>
      <c r="J9688" t="s">
        <v>15076</v>
      </c>
    </row>
    <row r="9689" spans="1:10" x14ac:dyDescent="0.25">
      <c r="A9689" t="s">
        <v>29339</v>
      </c>
      <c r="B9689">
        <v>6.4</v>
      </c>
      <c r="C9689" t="s">
        <v>29340</v>
      </c>
      <c r="D9689" t="s">
        <v>996</v>
      </c>
      <c r="E9689" t="s">
        <v>29320</v>
      </c>
      <c r="F9689" t="s">
        <v>7672</v>
      </c>
      <c r="G9689" t="s">
        <v>29321</v>
      </c>
      <c r="H9689" t="s">
        <v>10298</v>
      </c>
      <c r="I9689" t="s">
        <v>29326</v>
      </c>
      <c r="J9689" t="s">
        <v>15079</v>
      </c>
    </row>
    <row r="9690" spans="1:10" x14ac:dyDescent="0.25">
      <c r="A9690" t="s">
        <v>29341</v>
      </c>
      <c r="B9690">
        <v>6.4</v>
      </c>
      <c r="C9690" t="s">
        <v>29342</v>
      </c>
      <c r="D9690" t="s">
        <v>698</v>
      </c>
      <c r="E9690" t="s">
        <v>29320</v>
      </c>
      <c r="F9690" t="s">
        <v>7672</v>
      </c>
      <c r="G9690" t="s">
        <v>29321</v>
      </c>
      <c r="H9690" t="s">
        <v>10298</v>
      </c>
      <c r="I9690" t="s">
        <v>10802</v>
      </c>
      <c r="J9690" t="s">
        <v>15079</v>
      </c>
    </row>
    <row r="9691" spans="1:10" x14ac:dyDescent="0.25">
      <c r="A9691" t="s">
        <v>29343</v>
      </c>
      <c r="B9691">
        <v>6.4</v>
      </c>
      <c r="C9691" t="s">
        <v>29344</v>
      </c>
      <c r="D9691" t="s">
        <v>742</v>
      </c>
      <c r="E9691" t="s">
        <v>29320</v>
      </c>
      <c r="F9691" t="s">
        <v>7672</v>
      </c>
      <c r="G9691" t="s">
        <v>29321</v>
      </c>
      <c r="H9691" t="s">
        <v>10298</v>
      </c>
      <c r="I9691" t="s">
        <v>16691</v>
      </c>
      <c r="J9691" t="s">
        <v>15079</v>
      </c>
    </row>
    <row r="9692" spans="1:10" x14ac:dyDescent="0.25">
      <c r="A9692" t="s">
        <v>29345</v>
      </c>
      <c r="B9692">
        <v>6.4</v>
      </c>
      <c r="C9692" t="s">
        <v>29346</v>
      </c>
      <c r="D9692" t="s">
        <v>286</v>
      </c>
      <c r="E9692" t="s">
        <v>29320</v>
      </c>
      <c r="F9692" t="s">
        <v>7672</v>
      </c>
      <c r="G9692" t="s">
        <v>29321</v>
      </c>
      <c r="H9692" t="s">
        <v>10298</v>
      </c>
      <c r="I9692" t="s">
        <v>1490</v>
      </c>
      <c r="J9692" t="s">
        <v>15079</v>
      </c>
    </row>
    <row r="9693" spans="1:10" x14ac:dyDescent="0.25">
      <c r="A9693" t="s">
        <v>29347</v>
      </c>
      <c r="B9693">
        <v>3.592000000000001</v>
      </c>
      <c r="C9693" t="s">
        <v>29348</v>
      </c>
      <c r="D9693" t="s">
        <v>28391</v>
      </c>
      <c r="E9693" t="s">
        <v>29349</v>
      </c>
      <c r="F9693" t="s">
        <v>7672</v>
      </c>
      <c r="G9693" t="s">
        <v>29350</v>
      </c>
      <c r="H9693" t="s">
        <v>18241</v>
      </c>
      <c r="I9693" t="s">
        <v>22420</v>
      </c>
      <c r="J9693" t="s">
        <v>9694</v>
      </c>
    </row>
    <row r="9694" spans="1:10" x14ac:dyDescent="0.25">
      <c r="A9694" t="s">
        <v>29351</v>
      </c>
      <c r="B9694">
        <v>15.391999999999999</v>
      </c>
      <c r="C9694" t="s">
        <v>29352</v>
      </c>
      <c r="D9694" t="s">
        <v>100</v>
      </c>
      <c r="E9694" t="s">
        <v>29353</v>
      </c>
      <c r="F9694" t="s">
        <v>7672</v>
      </c>
      <c r="G9694" t="s">
        <v>29354</v>
      </c>
      <c r="H9694" t="s">
        <v>11598</v>
      </c>
      <c r="I9694" t="s">
        <v>76</v>
      </c>
      <c r="J9694" t="s">
        <v>11376</v>
      </c>
    </row>
    <row r="9695" spans="1:10" x14ac:dyDescent="0.25">
      <c r="A9695" t="s">
        <v>29355</v>
      </c>
      <c r="B9695">
        <v>4</v>
      </c>
      <c r="C9695" t="s">
        <v>29356</v>
      </c>
      <c r="D9695" t="s">
        <v>1852</v>
      </c>
      <c r="E9695" t="s">
        <v>29357</v>
      </c>
      <c r="F9695" t="s">
        <v>7672</v>
      </c>
      <c r="G9695" t="s">
        <v>29358</v>
      </c>
      <c r="H9695" t="s">
        <v>16993</v>
      </c>
      <c r="I9695" t="s">
        <v>29359</v>
      </c>
      <c r="J9695" t="s">
        <v>9423</v>
      </c>
    </row>
    <row r="9696" spans="1:10" x14ac:dyDescent="0.25">
      <c r="A9696" t="s">
        <v>29360</v>
      </c>
      <c r="B9696">
        <v>4</v>
      </c>
      <c r="C9696" t="s">
        <v>29361</v>
      </c>
      <c r="D9696" t="s">
        <v>626</v>
      </c>
      <c r="E9696" t="s">
        <v>29357</v>
      </c>
      <c r="F9696" t="s">
        <v>7672</v>
      </c>
      <c r="G9696" t="s">
        <v>29358</v>
      </c>
      <c r="H9696" t="s">
        <v>16993</v>
      </c>
      <c r="I9696" t="s">
        <v>29362</v>
      </c>
      <c r="J9696" t="s">
        <v>9423</v>
      </c>
    </row>
    <row r="9697" spans="1:10" x14ac:dyDescent="0.25">
      <c r="A9697" t="s">
        <v>29363</v>
      </c>
      <c r="B9697">
        <v>4</v>
      </c>
      <c r="C9697" t="s">
        <v>29364</v>
      </c>
      <c r="D9697" t="s">
        <v>598</v>
      </c>
      <c r="E9697" t="s">
        <v>29357</v>
      </c>
      <c r="F9697" t="s">
        <v>7672</v>
      </c>
      <c r="G9697" t="s">
        <v>29358</v>
      </c>
      <c r="H9697" t="s">
        <v>16993</v>
      </c>
      <c r="I9697" t="s">
        <v>29365</v>
      </c>
      <c r="J9697" t="s">
        <v>9423</v>
      </c>
    </row>
    <row r="9698" spans="1:10" x14ac:dyDescent="0.25">
      <c r="A9698" t="s">
        <v>29366</v>
      </c>
      <c r="B9698">
        <v>4</v>
      </c>
      <c r="C9698" t="s">
        <v>29367</v>
      </c>
      <c r="D9698" t="s">
        <v>4924</v>
      </c>
      <c r="E9698" t="s">
        <v>29357</v>
      </c>
      <c r="F9698" t="s">
        <v>7672</v>
      </c>
      <c r="G9698" t="s">
        <v>29358</v>
      </c>
      <c r="H9698" t="s">
        <v>16993</v>
      </c>
      <c r="I9698" t="s">
        <v>29368</v>
      </c>
      <c r="J9698" t="s">
        <v>9423</v>
      </c>
    </row>
    <row r="9699" spans="1:10" x14ac:dyDescent="0.25">
      <c r="A9699" t="s">
        <v>29369</v>
      </c>
      <c r="B9699">
        <v>4</v>
      </c>
      <c r="C9699" t="s">
        <v>29370</v>
      </c>
      <c r="D9699" t="s">
        <v>2072</v>
      </c>
      <c r="E9699" t="s">
        <v>29357</v>
      </c>
      <c r="F9699" t="s">
        <v>7672</v>
      </c>
      <c r="G9699" t="s">
        <v>29358</v>
      </c>
      <c r="H9699" t="s">
        <v>16993</v>
      </c>
      <c r="I9699" t="s">
        <v>29359</v>
      </c>
      <c r="J9699" t="s">
        <v>9426</v>
      </c>
    </row>
    <row r="9700" spans="1:10" x14ac:dyDescent="0.25">
      <c r="A9700" t="s">
        <v>29371</v>
      </c>
      <c r="B9700">
        <v>4</v>
      </c>
      <c r="C9700" t="s">
        <v>29372</v>
      </c>
      <c r="D9700" t="s">
        <v>5145</v>
      </c>
      <c r="E9700" t="s">
        <v>29357</v>
      </c>
      <c r="F9700" t="s">
        <v>7672</v>
      </c>
      <c r="G9700" t="s">
        <v>29358</v>
      </c>
      <c r="H9700" t="s">
        <v>16993</v>
      </c>
      <c r="I9700" t="s">
        <v>29362</v>
      </c>
      <c r="J9700" t="s">
        <v>9426</v>
      </c>
    </row>
    <row r="9701" spans="1:10" x14ac:dyDescent="0.25">
      <c r="A9701" t="s">
        <v>29373</v>
      </c>
      <c r="B9701">
        <v>4</v>
      </c>
      <c r="C9701" t="s">
        <v>29374</v>
      </c>
      <c r="D9701" t="s">
        <v>366</v>
      </c>
      <c r="E9701" t="s">
        <v>29357</v>
      </c>
      <c r="F9701" t="s">
        <v>7672</v>
      </c>
      <c r="G9701" t="s">
        <v>29358</v>
      </c>
      <c r="H9701" t="s">
        <v>16993</v>
      </c>
      <c r="I9701" t="s">
        <v>29362</v>
      </c>
      <c r="J9701" t="s">
        <v>10862</v>
      </c>
    </row>
    <row r="9702" spans="1:10" x14ac:dyDescent="0.25">
      <c r="A9702" t="s">
        <v>29375</v>
      </c>
      <c r="B9702">
        <v>4</v>
      </c>
      <c r="C9702" t="s">
        <v>29376</v>
      </c>
      <c r="D9702" t="s">
        <v>2253</v>
      </c>
      <c r="E9702" t="s">
        <v>29357</v>
      </c>
      <c r="F9702" t="s">
        <v>7672</v>
      </c>
      <c r="G9702" t="s">
        <v>29358</v>
      </c>
      <c r="H9702" t="s">
        <v>16993</v>
      </c>
      <c r="I9702" t="s">
        <v>29362</v>
      </c>
      <c r="J9702" t="s">
        <v>13084</v>
      </c>
    </row>
    <row r="9703" spans="1:10" x14ac:dyDescent="0.25">
      <c r="A9703" t="s">
        <v>29377</v>
      </c>
      <c r="B9703">
        <v>138</v>
      </c>
      <c r="C9703" t="s">
        <v>29378</v>
      </c>
      <c r="D9703" t="s">
        <v>2804</v>
      </c>
      <c r="E9703" t="s">
        <v>29379</v>
      </c>
      <c r="F9703" t="s">
        <v>7672</v>
      </c>
      <c r="G9703" t="s">
        <v>29380</v>
      </c>
      <c r="H9703" t="s">
        <v>9693</v>
      </c>
      <c r="I9703" t="s">
        <v>17521</v>
      </c>
      <c r="J9703" t="s">
        <v>9694</v>
      </c>
    </row>
    <row r="9704" spans="1:10" x14ac:dyDescent="0.25">
      <c r="A9704" t="s">
        <v>29381</v>
      </c>
      <c r="B9704">
        <v>11.992000000000001</v>
      </c>
      <c r="C9704" t="s">
        <v>29382</v>
      </c>
      <c r="D9704" t="s">
        <v>1567</v>
      </c>
      <c r="E9704" t="s">
        <v>29383</v>
      </c>
      <c r="F9704" t="s">
        <v>7672</v>
      </c>
      <c r="G9704" t="s">
        <v>29384</v>
      </c>
      <c r="H9704" t="s">
        <v>12232</v>
      </c>
      <c r="I9704" t="s">
        <v>15658</v>
      </c>
      <c r="J9704" t="s">
        <v>8451</v>
      </c>
    </row>
    <row r="9705" spans="1:10" x14ac:dyDescent="0.25">
      <c r="A9705" t="s">
        <v>29385</v>
      </c>
      <c r="B9705">
        <v>5.4</v>
      </c>
      <c r="C9705" t="s">
        <v>29386</v>
      </c>
      <c r="D9705" t="s">
        <v>1874</v>
      </c>
      <c r="E9705" t="s">
        <v>29387</v>
      </c>
      <c r="F9705" t="s">
        <v>7672</v>
      </c>
      <c r="G9705" t="s">
        <v>29388</v>
      </c>
      <c r="H9705" t="s">
        <v>24169</v>
      </c>
      <c r="I9705" t="s">
        <v>410</v>
      </c>
      <c r="J9705" t="s">
        <v>7984</v>
      </c>
    </row>
    <row r="9706" spans="1:10" x14ac:dyDescent="0.25">
      <c r="A9706" t="s">
        <v>29389</v>
      </c>
      <c r="B9706">
        <v>5.4</v>
      </c>
      <c r="C9706" t="s">
        <v>29390</v>
      </c>
      <c r="D9706" t="s">
        <v>3378</v>
      </c>
      <c r="E9706" t="s">
        <v>29387</v>
      </c>
      <c r="F9706" t="s">
        <v>7672</v>
      </c>
      <c r="G9706" t="s">
        <v>29388</v>
      </c>
      <c r="H9706" t="s">
        <v>24169</v>
      </c>
      <c r="I9706" t="s">
        <v>410</v>
      </c>
      <c r="J9706" t="s">
        <v>7987</v>
      </c>
    </row>
    <row r="9707" spans="1:10" x14ac:dyDescent="0.25">
      <c r="A9707" t="s">
        <v>29391</v>
      </c>
      <c r="B9707">
        <v>6.8000000000000007</v>
      </c>
      <c r="C9707" t="s">
        <v>29392</v>
      </c>
      <c r="D9707" t="s">
        <v>8744</v>
      </c>
      <c r="E9707" t="s">
        <v>414</v>
      </c>
      <c r="F9707" t="s">
        <v>7672</v>
      </c>
      <c r="G9707" t="s">
        <v>29393</v>
      </c>
      <c r="H9707" t="s">
        <v>8081</v>
      </c>
      <c r="I9707" t="s">
        <v>76</v>
      </c>
      <c r="J9707" t="s">
        <v>7981</v>
      </c>
    </row>
    <row r="9708" spans="1:10" x14ac:dyDescent="0.25">
      <c r="A9708" t="s">
        <v>29394</v>
      </c>
      <c r="B9708">
        <v>6.8000000000000007</v>
      </c>
      <c r="C9708" t="s">
        <v>29395</v>
      </c>
      <c r="D9708" t="s">
        <v>4327</v>
      </c>
      <c r="E9708" t="s">
        <v>414</v>
      </c>
      <c r="F9708" t="s">
        <v>7672</v>
      </c>
      <c r="G9708" t="s">
        <v>29393</v>
      </c>
      <c r="H9708" t="s">
        <v>8081</v>
      </c>
      <c r="I9708" t="s">
        <v>20376</v>
      </c>
      <c r="J9708" t="s">
        <v>7981</v>
      </c>
    </row>
    <row r="9709" spans="1:10" x14ac:dyDescent="0.25">
      <c r="A9709" t="s">
        <v>29396</v>
      </c>
      <c r="B9709">
        <v>6.8000000000000007</v>
      </c>
      <c r="C9709" t="s">
        <v>29397</v>
      </c>
      <c r="D9709" t="s">
        <v>9509</v>
      </c>
      <c r="E9709" t="s">
        <v>414</v>
      </c>
      <c r="F9709" t="s">
        <v>7672</v>
      </c>
      <c r="G9709" t="s">
        <v>29393</v>
      </c>
      <c r="H9709" t="s">
        <v>8081</v>
      </c>
      <c r="I9709" t="s">
        <v>76</v>
      </c>
      <c r="J9709" t="s">
        <v>7984</v>
      </c>
    </row>
    <row r="9710" spans="1:10" x14ac:dyDescent="0.25">
      <c r="A9710" t="s">
        <v>29398</v>
      </c>
      <c r="B9710">
        <v>6.8000000000000007</v>
      </c>
      <c r="C9710" t="s">
        <v>29399</v>
      </c>
      <c r="D9710" t="s">
        <v>2578</v>
      </c>
      <c r="E9710" t="s">
        <v>414</v>
      </c>
      <c r="F9710" t="s">
        <v>7672</v>
      </c>
      <c r="G9710" t="s">
        <v>29393</v>
      </c>
      <c r="H9710" t="s">
        <v>8081</v>
      </c>
      <c r="I9710" t="s">
        <v>20376</v>
      </c>
      <c r="J9710" t="s">
        <v>7984</v>
      </c>
    </row>
    <row r="9711" spans="1:10" x14ac:dyDescent="0.25">
      <c r="A9711" t="s">
        <v>411</v>
      </c>
      <c r="B9711">
        <v>6.8000000000000007</v>
      </c>
      <c r="C9711" t="s">
        <v>413</v>
      </c>
      <c r="D9711" t="s">
        <v>416</v>
      </c>
      <c r="E9711" t="s">
        <v>414</v>
      </c>
      <c r="F9711" t="s">
        <v>7672</v>
      </c>
      <c r="G9711" t="s">
        <v>29393</v>
      </c>
      <c r="H9711" t="s">
        <v>8081</v>
      </c>
      <c r="I9711" t="s">
        <v>20376</v>
      </c>
      <c r="J9711" t="s">
        <v>7987</v>
      </c>
    </row>
    <row r="9712" spans="1:10" x14ac:dyDescent="0.25">
      <c r="A9712" t="s">
        <v>418</v>
      </c>
      <c r="B9712">
        <v>6.8000000000000007</v>
      </c>
      <c r="C9712" t="s">
        <v>420</v>
      </c>
      <c r="D9712" t="s">
        <v>422</v>
      </c>
      <c r="E9712" t="s">
        <v>414</v>
      </c>
      <c r="F9712" t="s">
        <v>7672</v>
      </c>
      <c r="G9712" t="s">
        <v>29393</v>
      </c>
      <c r="H9712" t="s">
        <v>8081</v>
      </c>
      <c r="I9712" t="s">
        <v>76</v>
      </c>
      <c r="J9712" t="s">
        <v>7987</v>
      </c>
    </row>
    <row r="9713" spans="1:10" x14ac:dyDescent="0.25">
      <c r="A9713" t="s">
        <v>29400</v>
      </c>
      <c r="B9713">
        <v>6.8000000000000007</v>
      </c>
      <c r="C9713" t="s">
        <v>29401</v>
      </c>
      <c r="D9713" t="s">
        <v>8767</v>
      </c>
      <c r="E9713" t="s">
        <v>414</v>
      </c>
      <c r="F9713" t="s">
        <v>7672</v>
      </c>
      <c r="G9713" t="s">
        <v>29393</v>
      </c>
      <c r="H9713" t="s">
        <v>8081</v>
      </c>
      <c r="I9713" t="s">
        <v>76</v>
      </c>
      <c r="J9713" t="s">
        <v>8001</v>
      </c>
    </row>
    <row r="9714" spans="1:10" x14ac:dyDescent="0.25">
      <c r="A9714" t="s">
        <v>29402</v>
      </c>
      <c r="B9714">
        <v>6.8000000000000007</v>
      </c>
      <c r="C9714" t="s">
        <v>29403</v>
      </c>
      <c r="D9714" t="s">
        <v>2850</v>
      </c>
      <c r="E9714" t="s">
        <v>414</v>
      </c>
      <c r="F9714" t="s">
        <v>7672</v>
      </c>
      <c r="G9714" t="s">
        <v>29393</v>
      </c>
      <c r="H9714" t="s">
        <v>8081</v>
      </c>
      <c r="I9714" t="s">
        <v>20376</v>
      </c>
      <c r="J9714" t="s">
        <v>8001</v>
      </c>
    </row>
    <row r="9715" spans="1:10" x14ac:dyDescent="0.25">
      <c r="A9715" t="s">
        <v>29404</v>
      </c>
      <c r="B9715">
        <v>1.9119999999999999</v>
      </c>
      <c r="C9715" t="s">
        <v>29405</v>
      </c>
      <c r="D9715" t="s">
        <v>118</v>
      </c>
      <c r="E9715" t="s">
        <v>29406</v>
      </c>
      <c r="F9715" t="s">
        <v>7672</v>
      </c>
      <c r="G9715" t="s">
        <v>29407</v>
      </c>
      <c r="H9715" t="s">
        <v>29408</v>
      </c>
      <c r="I9715" t="s">
        <v>29409</v>
      </c>
      <c r="J9715" t="s">
        <v>9694</v>
      </c>
    </row>
    <row r="9716" spans="1:10" x14ac:dyDescent="0.25">
      <c r="A9716" t="s">
        <v>29410</v>
      </c>
      <c r="B9716">
        <v>6</v>
      </c>
      <c r="C9716" t="s">
        <v>29411</v>
      </c>
      <c r="D9716" t="s">
        <v>290</v>
      </c>
      <c r="E9716" t="s">
        <v>29412</v>
      </c>
      <c r="F9716" t="s">
        <v>7672</v>
      </c>
      <c r="G9716" t="s">
        <v>29413</v>
      </c>
      <c r="H9716" t="s">
        <v>16993</v>
      </c>
      <c r="I9716" t="s">
        <v>29414</v>
      </c>
      <c r="J9716" t="s">
        <v>9426</v>
      </c>
    </row>
    <row r="9717" spans="1:10" x14ac:dyDescent="0.25">
      <c r="A9717" t="s">
        <v>29415</v>
      </c>
      <c r="B9717">
        <v>6</v>
      </c>
      <c r="C9717" t="s">
        <v>29416</v>
      </c>
      <c r="D9717" t="s">
        <v>282</v>
      </c>
      <c r="E9717" t="s">
        <v>29412</v>
      </c>
      <c r="F9717" t="s">
        <v>7672</v>
      </c>
      <c r="G9717" t="s">
        <v>29413</v>
      </c>
      <c r="H9717" t="s">
        <v>16993</v>
      </c>
      <c r="I9717" t="s">
        <v>9733</v>
      </c>
      <c r="J9717" t="s">
        <v>9426</v>
      </c>
    </row>
    <row r="9718" spans="1:10" x14ac:dyDescent="0.25">
      <c r="A9718" t="s">
        <v>29417</v>
      </c>
      <c r="B9718">
        <v>6</v>
      </c>
      <c r="C9718" t="s">
        <v>29418</v>
      </c>
      <c r="D9718" t="s">
        <v>106</v>
      </c>
      <c r="E9718" t="s">
        <v>29412</v>
      </c>
      <c r="F9718" t="s">
        <v>7672</v>
      </c>
      <c r="G9718" t="s">
        <v>29413</v>
      </c>
      <c r="H9718" t="s">
        <v>16993</v>
      </c>
      <c r="I9718" t="s">
        <v>29414</v>
      </c>
      <c r="J9718" t="s">
        <v>10862</v>
      </c>
    </row>
    <row r="9719" spans="1:10" x14ac:dyDescent="0.25">
      <c r="A9719" t="s">
        <v>29419</v>
      </c>
      <c r="B9719">
        <v>6</v>
      </c>
      <c r="C9719" t="s">
        <v>29420</v>
      </c>
      <c r="D9719" t="s">
        <v>106</v>
      </c>
      <c r="E9719" t="s">
        <v>29412</v>
      </c>
      <c r="F9719" t="s">
        <v>7672</v>
      </c>
      <c r="G9719" t="s">
        <v>29413</v>
      </c>
      <c r="H9719" t="s">
        <v>16993</v>
      </c>
      <c r="I9719" t="s">
        <v>9733</v>
      </c>
      <c r="J9719" t="s">
        <v>10862</v>
      </c>
    </row>
    <row r="9720" spans="1:10" x14ac:dyDescent="0.25">
      <c r="A9720" t="s">
        <v>29421</v>
      </c>
      <c r="B9720">
        <v>3.6320000000000001</v>
      </c>
      <c r="C9720" t="s">
        <v>29422</v>
      </c>
      <c r="D9720" t="s">
        <v>46</v>
      </c>
      <c r="E9720" t="s">
        <v>29423</v>
      </c>
      <c r="F9720" t="s">
        <v>7672</v>
      </c>
      <c r="G9720" t="s">
        <v>29424</v>
      </c>
      <c r="H9720" t="s">
        <v>8515</v>
      </c>
      <c r="I9720" t="s">
        <v>16192</v>
      </c>
      <c r="J9720" t="s">
        <v>100</v>
      </c>
    </row>
    <row r="9721" spans="1:10" x14ac:dyDescent="0.25">
      <c r="A9721" t="s">
        <v>29425</v>
      </c>
      <c r="B9721">
        <v>3.6320000000000001</v>
      </c>
      <c r="C9721" t="s">
        <v>29426</v>
      </c>
      <c r="D9721" t="s">
        <v>3640</v>
      </c>
      <c r="E9721" t="s">
        <v>29423</v>
      </c>
      <c r="F9721" t="s">
        <v>7672</v>
      </c>
      <c r="G9721" t="s">
        <v>29424</v>
      </c>
      <c r="H9721" t="s">
        <v>8515</v>
      </c>
      <c r="I9721" t="s">
        <v>16192</v>
      </c>
      <c r="J9721" t="s">
        <v>106</v>
      </c>
    </row>
    <row r="9722" spans="1:10" x14ac:dyDescent="0.25">
      <c r="A9722" t="s">
        <v>29427</v>
      </c>
      <c r="B9722">
        <v>3.6320000000000001</v>
      </c>
      <c r="C9722" t="s">
        <v>29428</v>
      </c>
      <c r="D9722" t="s">
        <v>2910</v>
      </c>
      <c r="E9722" t="s">
        <v>29423</v>
      </c>
      <c r="F9722" t="s">
        <v>7672</v>
      </c>
      <c r="G9722" t="s">
        <v>29424</v>
      </c>
      <c r="H9722" t="s">
        <v>8515</v>
      </c>
      <c r="I9722" t="s">
        <v>16192</v>
      </c>
      <c r="J9722" t="s">
        <v>88</v>
      </c>
    </row>
    <row r="9723" spans="1:10" x14ac:dyDescent="0.25">
      <c r="A9723" t="s">
        <v>29429</v>
      </c>
      <c r="B9723">
        <v>3.6320000000000001</v>
      </c>
      <c r="C9723" t="s">
        <v>29430</v>
      </c>
      <c r="D9723" t="s">
        <v>2072</v>
      </c>
      <c r="E9723" t="s">
        <v>29423</v>
      </c>
      <c r="F9723" t="s">
        <v>7672</v>
      </c>
      <c r="G9723" t="s">
        <v>29424</v>
      </c>
      <c r="H9723" t="s">
        <v>8515</v>
      </c>
      <c r="I9723" t="s">
        <v>16192</v>
      </c>
      <c r="J9723" t="s">
        <v>8531</v>
      </c>
    </row>
    <row r="9724" spans="1:10" x14ac:dyDescent="0.25">
      <c r="A9724" t="s">
        <v>29431</v>
      </c>
      <c r="B9724">
        <v>10.888</v>
      </c>
      <c r="C9724" t="s">
        <v>29432</v>
      </c>
      <c r="D9724" t="s">
        <v>53</v>
      </c>
      <c r="E9724" t="s">
        <v>29433</v>
      </c>
      <c r="F9724" t="s">
        <v>7672</v>
      </c>
      <c r="G9724" t="s">
        <v>29434</v>
      </c>
      <c r="H9724" t="s">
        <v>12423</v>
      </c>
      <c r="I9724" t="s">
        <v>278</v>
      </c>
      <c r="J9724" t="s">
        <v>7675</v>
      </c>
    </row>
    <row r="9725" spans="1:10" x14ac:dyDescent="0.25">
      <c r="A9725" t="s">
        <v>29435</v>
      </c>
      <c r="B9725">
        <v>3.3519999999999999</v>
      </c>
      <c r="C9725" t="s">
        <v>29436</v>
      </c>
      <c r="D9725" t="s">
        <v>330</v>
      </c>
      <c r="E9725" t="s">
        <v>29437</v>
      </c>
      <c r="F9725" t="s">
        <v>7672</v>
      </c>
      <c r="G9725" t="s">
        <v>29438</v>
      </c>
      <c r="H9725" t="s">
        <v>7674</v>
      </c>
      <c r="I9725" t="s">
        <v>29439</v>
      </c>
      <c r="J9725" t="s">
        <v>9237</v>
      </c>
    </row>
    <row r="9726" spans="1:10" x14ac:dyDescent="0.25">
      <c r="A9726" t="s">
        <v>29440</v>
      </c>
      <c r="B9726">
        <v>3.3519999999999999</v>
      </c>
      <c r="C9726" t="s">
        <v>29441</v>
      </c>
      <c r="D9726" t="s">
        <v>1020</v>
      </c>
      <c r="E9726" t="s">
        <v>29437</v>
      </c>
      <c r="F9726" t="s">
        <v>7672</v>
      </c>
      <c r="G9726" t="s">
        <v>29438</v>
      </c>
      <c r="H9726" t="s">
        <v>7674</v>
      </c>
      <c r="I9726" t="s">
        <v>29439</v>
      </c>
      <c r="J9726" t="s">
        <v>8427</v>
      </c>
    </row>
    <row r="9727" spans="1:10" x14ac:dyDescent="0.25">
      <c r="A9727" t="s">
        <v>29442</v>
      </c>
      <c r="B9727">
        <v>3.3519999999999999</v>
      </c>
      <c r="C9727" t="s">
        <v>29443</v>
      </c>
      <c r="D9727" t="s">
        <v>5105</v>
      </c>
      <c r="E9727" t="s">
        <v>29437</v>
      </c>
      <c r="F9727" t="s">
        <v>7672</v>
      </c>
      <c r="G9727" t="s">
        <v>29438</v>
      </c>
      <c r="H9727" t="s">
        <v>7674</v>
      </c>
      <c r="I9727" t="s">
        <v>29439</v>
      </c>
      <c r="J9727" t="s">
        <v>8439</v>
      </c>
    </row>
    <row r="9728" spans="1:10" x14ac:dyDescent="0.25">
      <c r="A9728" t="s">
        <v>29444</v>
      </c>
      <c r="B9728">
        <v>3.3519999999999999</v>
      </c>
      <c r="C9728" t="s">
        <v>29445</v>
      </c>
      <c r="D9728" t="s">
        <v>9506</v>
      </c>
      <c r="E9728" t="s">
        <v>29437</v>
      </c>
      <c r="F9728" t="s">
        <v>7672</v>
      </c>
      <c r="G9728" t="s">
        <v>29438</v>
      </c>
      <c r="H9728" t="s">
        <v>7674</v>
      </c>
      <c r="I9728" t="s">
        <v>29439</v>
      </c>
      <c r="J9728" t="s">
        <v>8451</v>
      </c>
    </row>
    <row r="9729" spans="1:10" x14ac:dyDescent="0.25">
      <c r="A9729" t="s">
        <v>29446</v>
      </c>
      <c r="B9729">
        <v>3.3519999999999999</v>
      </c>
      <c r="C9729" t="s">
        <v>29447</v>
      </c>
      <c r="D9729" t="s">
        <v>1573</v>
      </c>
      <c r="E9729" t="s">
        <v>29437</v>
      </c>
      <c r="F9729" t="s">
        <v>7672</v>
      </c>
      <c r="G9729" t="s">
        <v>29438</v>
      </c>
      <c r="H9729" t="s">
        <v>7674</v>
      </c>
      <c r="I9729" t="s">
        <v>29439</v>
      </c>
      <c r="J9729" t="s">
        <v>8462</v>
      </c>
    </row>
    <row r="9730" spans="1:10" x14ac:dyDescent="0.25">
      <c r="A9730" t="s">
        <v>29448</v>
      </c>
      <c r="B9730">
        <v>3.3519999999999999</v>
      </c>
      <c r="C9730" t="s">
        <v>29449</v>
      </c>
      <c r="D9730" t="s">
        <v>2022</v>
      </c>
      <c r="E9730" t="s">
        <v>29437</v>
      </c>
      <c r="F9730" t="s">
        <v>7672</v>
      </c>
      <c r="G9730" t="s">
        <v>29438</v>
      </c>
      <c r="H9730" t="s">
        <v>7674</v>
      </c>
      <c r="I9730" t="s">
        <v>29439</v>
      </c>
      <c r="J9730" t="s">
        <v>9998</v>
      </c>
    </row>
    <row r="9731" spans="1:10" x14ac:dyDescent="0.25">
      <c r="A9731" t="s">
        <v>29450</v>
      </c>
      <c r="B9731">
        <v>12.592000000000001</v>
      </c>
      <c r="C9731" t="s">
        <v>29451</v>
      </c>
      <c r="D9731" t="s">
        <v>835</v>
      </c>
      <c r="E9731" t="s">
        <v>29452</v>
      </c>
      <c r="F9731" t="s">
        <v>7672</v>
      </c>
      <c r="G9731" t="s">
        <v>29453</v>
      </c>
      <c r="H9731" t="s">
        <v>9127</v>
      </c>
      <c r="I9731" t="s">
        <v>20864</v>
      </c>
      <c r="J9731" t="s">
        <v>9237</v>
      </c>
    </row>
    <row r="9732" spans="1:10" x14ac:dyDescent="0.25">
      <c r="A9732" t="s">
        <v>29454</v>
      </c>
      <c r="B9732">
        <v>12.592000000000001</v>
      </c>
      <c r="C9732" t="s">
        <v>29455</v>
      </c>
      <c r="D9732" t="s">
        <v>2879</v>
      </c>
      <c r="E9732" t="s">
        <v>29452</v>
      </c>
      <c r="F9732" t="s">
        <v>7672</v>
      </c>
      <c r="G9732" t="s">
        <v>29453</v>
      </c>
      <c r="H9732" t="s">
        <v>9127</v>
      </c>
      <c r="I9732" t="s">
        <v>20867</v>
      </c>
      <c r="J9732" t="s">
        <v>9237</v>
      </c>
    </row>
    <row r="9733" spans="1:10" x14ac:dyDescent="0.25">
      <c r="A9733" t="s">
        <v>29456</v>
      </c>
      <c r="B9733">
        <v>12.592000000000001</v>
      </c>
      <c r="C9733" t="s">
        <v>29457</v>
      </c>
      <c r="D9733" t="s">
        <v>311</v>
      </c>
      <c r="E9733" t="s">
        <v>29452</v>
      </c>
      <c r="F9733" t="s">
        <v>7672</v>
      </c>
      <c r="G9733" t="s">
        <v>29453</v>
      </c>
      <c r="H9733" t="s">
        <v>9127</v>
      </c>
      <c r="I9733" t="s">
        <v>20870</v>
      </c>
      <c r="J9733" t="s">
        <v>9237</v>
      </c>
    </row>
    <row r="9734" spans="1:10" x14ac:dyDescent="0.25">
      <c r="A9734" t="s">
        <v>29458</v>
      </c>
      <c r="B9734">
        <v>12.592000000000001</v>
      </c>
      <c r="C9734" t="s">
        <v>29459</v>
      </c>
      <c r="D9734" t="s">
        <v>981</v>
      </c>
      <c r="E9734" t="s">
        <v>29452</v>
      </c>
      <c r="F9734" t="s">
        <v>7672</v>
      </c>
      <c r="G9734" t="s">
        <v>29453</v>
      </c>
      <c r="H9734" t="s">
        <v>9127</v>
      </c>
      <c r="I9734" t="s">
        <v>20864</v>
      </c>
      <c r="J9734" t="s">
        <v>8427</v>
      </c>
    </row>
    <row r="9735" spans="1:10" x14ac:dyDescent="0.25">
      <c r="A9735" t="s">
        <v>29460</v>
      </c>
      <c r="B9735">
        <v>12.592000000000001</v>
      </c>
      <c r="C9735" t="s">
        <v>29461</v>
      </c>
      <c r="D9735" t="s">
        <v>870</v>
      </c>
      <c r="E9735" t="s">
        <v>29452</v>
      </c>
      <c r="F9735" t="s">
        <v>7672</v>
      </c>
      <c r="G9735" t="s">
        <v>29453</v>
      </c>
      <c r="H9735" t="s">
        <v>9127</v>
      </c>
      <c r="I9735" t="s">
        <v>20867</v>
      </c>
      <c r="J9735" t="s">
        <v>8427</v>
      </c>
    </row>
    <row r="9736" spans="1:10" x14ac:dyDescent="0.25">
      <c r="A9736" t="s">
        <v>29462</v>
      </c>
      <c r="B9736">
        <v>12.592000000000001</v>
      </c>
      <c r="C9736" t="s">
        <v>29463</v>
      </c>
      <c r="D9736" t="s">
        <v>975</v>
      </c>
      <c r="E9736" t="s">
        <v>29452</v>
      </c>
      <c r="F9736" t="s">
        <v>7672</v>
      </c>
      <c r="G9736" t="s">
        <v>29453</v>
      </c>
      <c r="H9736" t="s">
        <v>9127</v>
      </c>
      <c r="I9736" t="s">
        <v>20870</v>
      </c>
      <c r="J9736" t="s">
        <v>8427</v>
      </c>
    </row>
    <row r="9737" spans="1:10" x14ac:dyDescent="0.25">
      <c r="A9737" t="s">
        <v>29464</v>
      </c>
      <c r="B9737">
        <v>12.592000000000001</v>
      </c>
      <c r="C9737" t="s">
        <v>29465</v>
      </c>
      <c r="D9737" t="s">
        <v>4270</v>
      </c>
      <c r="E9737" t="s">
        <v>29452</v>
      </c>
      <c r="F9737" t="s">
        <v>7672</v>
      </c>
      <c r="G9737" t="s">
        <v>29453</v>
      </c>
      <c r="H9737" t="s">
        <v>9127</v>
      </c>
      <c r="I9737" t="s">
        <v>20864</v>
      </c>
      <c r="J9737" t="s">
        <v>8439</v>
      </c>
    </row>
    <row r="9738" spans="1:10" x14ac:dyDescent="0.25">
      <c r="A9738" t="s">
        <v>29466</v>
      </c>
      <c r="B9738">
        <v>12.592000000000001</v>
      </c>
      <c r="C9738" t="s">
        <v>29467</v>
      </c>
      <c r="D9738" t="s">
        <v>975</v>
      </c>
      <c r="E9738" t="s">
        <v>29452</v>
      </c>
      <c r="F9738" t="s">
        <v>7672</v>
      </c>
      <c r="G9738" t="s">
        <v>29453</v>
      </c>
      <c r="H9738" t="s">
        <v>9127</v>
      </c>
      <c r="I9738" t="s">
        <v>20867</v>
      </c>
      <c r="J9738" t="s">
        <v>8439</v>
      </c>
    </row>
    <row r="9739" spans="1:10" x14ac:dyDescent="0.25">
      <c r="A9739" t="s">
        <v>29468</v>
      </c>
      <c r="B9739">
        <v>12.592000000000001</v>
      </c>
      <c r="C9739" t="s">
        <v>29469</v>
      </c>
      <c r="D9739" t="s">
        <v>2787</v>
      </c>
      <c r="E9739" t="s">
        <v>29452</v>
      </c>
      <c r="F9739" t="s">
        <v>7672</v>
      </c>
      <c r="G9739" t="s">
        <v>29453</v>
      </c>
      <c r="H9739" t="s">
        <v>9127</v>
      </c>
      <c r="I9739" t="s">
        <v>20870</v>
      </c>
      <c r="J9739" t="s">
        <v>8439</v>
      </c>
    </row>
    <row r="9740" spans="1:10" x14ac:dyDescent="0.25">
      <c r="A9740" t="s">
        <v>29470</v>
      </c>
      <c r="B9740">
        <v>12.592000000000001</v>
      </c>
      <c r="C9740" t="s">
        <v>29471</v>
      </c>
      <c r="D9740" t="s">
        <v>301</v>
      </c>
      <c r="E9740" t="s">
        <v>29452</v>
      </c>
      <c r="F9740" t="s">
        <v>7672</v>
      </c>
      <c r="G9740" t="s">
        <v>29453</v>
      </c>
      <c r="H9740" t="s">
        <v>9127</v>
      </c>
      <c r="I9740" t="s">
        <v>20864</v>
      </c>
      <c r="J9740" t="s">
        <v>8451</v>
      </c>
    </row>
    <row r="9741" spans="1:10" x14ac:dyDescent="0.25">
      <c r="A9741" t="s">
        <v>29472</v>
      </c>
      <c r="B9741">
        <v>12.592000000000001</v>
      </c>
      <c r="C9741" t="s">
        <v>29473</v>
      </c>
      <c r="D9741" t="s">
        <v>582</v>
      </c>
      <c r="E9741" t="s">
        <v>29452</v>
      </c>
      <c r="F9741" t="s">
        <v>7672</v>
      </c>
      <c r="G9741" t="s">
        <v>29453</v>
      </c>
      <c r="H9741" t="s">
        <v>9127</v>
      </c>
      <c r="I9741" t="s">
        <v>20867</v>
      </c>
      <c r="J9741" t="s">
        <v>8451</v>
      </c>
    </row>
    <row r="9742" spans="1:10" x14ac:dyDescent="0.25">
      <c r="A9742" t="s">
        <v>29474</v>
      </c>
      <c r="B9742">
        <v>12.592000000000001</v>
      </c>
      <c r="C9742" t="s">
        <v>29475</v>
      </c>
      <c r="D9742" t="s">
        <v>698</v>
      </c>
      <c r="E9742" t="s">
        <v>29452</v>
      </c>
      <c r="F9742" t="s">
        <v>7672</v>
      </c>
      <c r="G9742" t="s">
        <v>29453</v>
      </c>
      <c r="H9742" t="s">
        <v>9127</v>
      </c>
      <c r="I9742" t="s">
        <v>20870</v>
      </c>
      <c r="J9742" t="s">
        <v>8451</v>
      </c>
    </row>
    <row r="9743" spans="1:10" x14ac:dyDescent="0.25">
      <c r="A9743" t="s">
        <v>29476</v>
      </c>
      <c r="B9743">
        <v>12.592000000000001</v>
      </c>
      <c r="C9743" t="s">
        <v>29477</v>
      </c>
      <c r="D9743" t="s">
        <v>95</v>
      </c>
      <c r="E9743" t="s">
        <v>29452</v>
      </c>
      <c r="F9743" t="s">
        <v>7672</v>
      </c>
      <c r="G9743" t="s">
        <v>29453</v>
      </c>
      <c r="H9743" t="s">
        <v>9127</v>
      </c>
      <c r="I9743" t="s">
        <v>20867</v>
      </c>
      <c r="J9743" t="s">
        <v>8462</v>
      </c>
    </row>
    <row r="9744" spans="1:10" x14ac:dyDescent="0.25">
      <c r="A9744" t="s">
        <v>29478</v>
      </c>
      <c r="B9744">
        <v>12.592000000000001</v>
      </c>
      <c r="C9744" t="s">
        <v>29479</v>
      </c>
      <c r="D9744" t="s">
        <v>164</v>
      </c>
      <c r="E9744" t="s">
        <v>29452</v>
      </c>
      <c r="F9744" t="s">
        <v>7672</v>
      </c>
      <c r="G9744" t="s">
        <v>29453</v>
      </c>
      <c r="H9744" t="s">
        <v>9127</v>
      </c>
      <c r="I9744" t="s">
        <v>20864</v>
      </c>
      <c r="J9744" t="s">
        <v>8462</v>
      </c>
    </row>
    <row r="9745" spans="1:10" x14ac:dyDescent="0.25">
      <c r="A9745" t="s">
        <v>29480</v>
      </c>
      <c r="B9745">
        <v>12.592000000000001</v>
      </c>
      <c r="C9745" t="s">
        <v>29481</v>
      </c>
      <c r="D9745" t="s">
        <v>352</v>
      </c>
      <c r="E9745" t="s">
        <v>29452</v>
      </c>
      <c r="F9745" t="s">
        <v>7672</v>
      </c>
      <c r="G9745" t="s">
        <v>29453</v>
      </c>
      <c r="H9745" t="s">
        <v>9127</v>
      </c>
      <c r="I9745" t="s">
        <v>20870</v>
      </c>
      <c r="J9745" t="s">
        <v>8462</v>
      </c>
    </row>
    <row r="9746" spans="1:10" x14ac:dyDescent="0.25">
      <c r="A9746" t="s">
        <v>423</v>
      </c>
      <c r="B9746">
        <v>12</v>
      </c>
      <c r="C9746" t="s">
        <v>425</v>
      </c>
      <c r="D9746" t="s">
        <v>282</v>
      </c>
      <c r="E9746" t="s">
        <v>426</v>
      </c>
      <c r="F9746" t="s">
        <v>7672</v>
      </c>
      <c r="G9746" t="s">
        <v>29482</v>
      </c>
      <c r="H9746" t="s">
        <v>24627</v>
      </c>
      <c r="I9746" t="s">
        <v>76</v>
      </c>
      <c r="J9746" t="s">
        <v>282</v>
      </c>
    </row>
    <row r="9747" spans="1:10" x14ac:dyDescent="0.25">
      <c r="A9747" t="s">
        <v>428</v>
      </c>
      <c r="B9747">
        <v>12</v>
      </c>
      <c r="C9747" t="s">
        <v>430</v>
      </c>
      <c r="D9747" t="s">
        <v>277</v>
      </c>
      <c r="E9747" t="s">
        <v>426</v>
      </c>
      <c r="F9747" t="s">
        <v>7672</v>
      </c>
      <c r="G9747" t="s">
        <v>29482</v>
      </c>
      <c r="H9747" t="s">
        <v>24627</v>
      </c>
      <c r="I9747" t="s">
        <v>76</v>
      </c>
      <c r="J9747" t="s">
        <v>277</v>
      </c>
    </row>
    <row r="9748" spans="1:10" x14ac:dyDescent="0.25">
      <c r="A9748" t="s">
        <v>432</v>
      </c>
      <c r="B9748">
        <v>12</v>
      </c>
      <c r="C9748" t="s">
        <v>434</v>
      </c>
      <c r="D9748" t="s">
        <v>436</v>
      </c>
      <c r="E9748" t="s">
        <v>426</v>
      </c>
      <c r="F9748" t="s">
        <v>7672</v>
      </c>
      <c r="G9748" t="s">
        <v>29482</v>
      </c>
      <c r="H9748" t="s">
        <v>24627</v>
      </c>
      <c r="I9748" t="s">
        <v>438</v>
      </c>
      <c r="J9748" t="s">
        <v>277</v>
      </c>
    </row>
    <row r="9749" spans="1:10" x14ac:dyDescent="0.25">
      <c r="A9749" t="s">
        <v>29483</v>
      </c>
      <c r="B9749">
        <v>12</v>
      </c>
      <c r="C9749" t="s">
        <v>29484</v>
      </c>
      <c r="D9749" t="s">
        <v>385</v>
      </c>
      <c r="E9749" t="s">
        <v>29485</v>
      </c>
      <c r="F9749" t="s">
        <v>7672</v>
      </c>
      <c r="G9749" t="s">
        <v>29486</v>
      </c>
      <c r="H9749" t="s">
        <v>8779</v>
      </c>
      <c r="I9749" t="s">
        <v>76</v>
      </c>
      <c r="J9749" t="s">
        <v>7981</v>
      </c>
    </row>
    <row r="9750" spans="1:10" x14ac:dyDescent="0.25">
      <c r="A9750" t="s">
        <v>29487</v>
      </c>
      <c r="B9750">
        <v>12</v>
      </c>
      <c r="C9750" t="s">
        <v>29488</v>
      </c>
      <c r="D9750" t="s">
        <v>593</v>
      </c>
      <c r="E9750" t="s">
        <v>29485</v>
      </c>
      <c r="F9750" t="s">
        <v>7672</v>
      </c>
      <c r="G9750" t="s">
        <v>29486</v>
      </c>
      <c r="H9750" t="s">
        <v>8779</v>
      </c>
      <c r="I9750" t="s">
        <v>76</v>
      </c>
      <c r="J9750" t="s">
        <v>7984</v>
      </c>
    </row>
    <row r="9751" spans="1:10" x14ac:dyDescent="0.25">
      <c r="A9751" t="s">
        <v>29489</v>
      </c>
      <c r="B9751">
        <v>12</v>
      </c>
      <c r="C9751" t="s">
        <v>29490</v>
      </c>
      <c r="D9751" t="s">
        <v>3023</v>
      </c>
      <c r="E9751" t="s">
        <v>29485</v>
      </c>
      <c r="F9751" t="s">
        <v>7672</v>
      </c>
      <c r="G9751" t="s">
        <v>29486</v>
      </c>
      <c r="H9751" t="s">
        <v>8779</v>
      </c>
      <c r="I9751" t="s">
        <v>76</v>
      </c>
      <c r="J9751" t="s">
        <v>7987</v>
      </c>
    </row>
    <row r="9752" spans="1:10" x14ac:dyDescent="0.25">
      <c r="A9752" t="s">
        <v>29491</v>
      </c>
      <c r="B9752">
        <v>12</v>
      </c>
      <c r="C9752" t="s">
        <v>29492</v>
      </c>
      <c r="D9752" t="s">
        <v>742</v>
      </c>
      <c r="E9752" t="s">
        <v>29485</v>
      </c>
      <c r="F9752" t="s">
        <v>7672</v>
      </c>
      <c r="G9752" t="s">
        <v>29486</v>
      </c>
      <c r="H9752" t="s">
        <v>8779</v>
      </c>
      <c r="I9752" t="s">
        <v>76</v>
      </c>
      <c r="J9752" t="s">
        <v>8001</v>
      </c>
    </row>
    <row r="9753" spans="1:10" x14ac:dyDescent="0.25">
      <c r="A9753" t="s">
        <v>29493</v>
      </c>
      <c r="B9753">
        <v>7.9200000000000008</v>
      </c>
      <c r="C9753" t="s">
        <v>29494</v>
      </c>
      <c r="D9753" t="s">
        <v>106</v>
      </c>
      <c r="E9753" t="s">
        <v>29495</v>
      </c>
      <c r="F9753" t="s">
        <v>7672</v>
      </c>
      <c r="G9753" t="s">
        <v>29496</v>
      </c>
      <c r="H9753" t="s">
        <v>7674</v>
      </c>
      <c r="I9753" t="s">
        <v>9113</v>
      </c>
      <c r="J9753" t="s">
        <v>9753</v>
      </c>
    </row>
    <row r="9754" spans="1:10" x14ac:dyDescent="0.25">
      <c r="A9754" t="s">
        <v>29497</v>
      </c>
      <c r="B9754">
        <v>7.9200000000000008</v>
      </c>
      <c r="C9754" t="s">
        <v>29498</v>
      </c>
      <c r="D9754" t="s">
        <v>100</v>
      </c>
      <c r="E9754" t="s">
        <v>29495</v>
      </c>
      <c r="F9754" t="s">
        <v>7672</v>
      </c>
      <c r="G9754" t="s">
        <v>29496</v>
      </c>
      <c r="H9754" t="s">
        <v>7674</v>
      </c>
      <c r="I9754" t="s">
        <v>9113</v>
      </c>
      <c r="J9754" t="s">
        <v>9760</v>
      </c>
    </row>
    <row r="9755" spans="1:10" x14ac:dyDescent="0.25">
      <c r="A9755" t="s">
        <v>29499</v>
      </c>
      <c r="B9755">
        <v>16.8</v>
      </c>
      <c r="C9755" t="s">
        <v>29500</v>
      </c>
      <c r="D9755" t="s">
        <v>959</v>
      </c>
      <c r="E9755" t="s">
        <v>29501</v>
      </c>
      <c r="F9755" t="s">
        <v>7672</v>
      </c>
      <c r="G9755" t="s">
        <v>29502</v>
      </c>
      <c r="H9755" t="s">
        <v>7974</v>
      </c>
      <c r="I9755" t="s">
        <v>11439</v>
      </c>
      <c r="J9755" t="s">
        <v>8013</v>
      </c>
    </row>
    <row r="9756" spans="1:10" x14ac:dyDescent="0.25">
      <c r="A9756" t="s">
        <v>29503</v>
      </c>
      <c r="B9756">
        <v>3.3759999999999999</v>
      </c>
      <c r="C9756" t="s">
        <v>29504</v>
      </c>
      <c r="D9756" t="s">
        <v>1386</v>
      </c>
      <c r="E9756" t="s">
        <v>29505</v>
      </c>
      <c r="F9756" t="s">
        <v>7672</v>
      </c>
      <c r="G9756" t="s">
        <v>29506</v>
      </c>
      <c r="H9756" t="s">
        <v>10317</v>
      </c>
      <c r="I9756" t="s">
        <v>497</v>
      </c>
      <c r="J9756" t="s">
        <v>9694</v>
      </c>
    </row>
    <row r="9757" spans="1:10" x14ac:dyDescent="0.25">
      <c r="A9757" t="s">
        <v>29507</v>
      </c>
      <c r="B9757">
        <v>4</v>
      </c>
      <c r="C9757" t="s">
        <v>29508</v>
      </c>
      <c r="D9757" t="s">
        <v>106</v>
      </c>
      <c r="E9757" t="s">
        <v>29509</v>
      </c>
      <c r="F9757" t="s">
        <v>7672</v>
      </c>
      <c r="G9757" t="s">
        <v>29510</v>
      </c>
      <c r="H9757" t="s">
        <v>10298</v>
      </c>
      <c r="I9757" t="s">
        <v>5202</v>
      </c>
      <c r="J9757" t="s">
        <v>11702</v>
      </c>
    </row>
    <row r="9758" spans="1:10" x14ac:dyDescent="0.25">
      <c r="A9758" t="s">
        <v>29511</v>
      </c>
      <c r="B9758">
        <v>4</v>
      </c>
      <c r="C9758" t="s">
        <v>29512</v>
      </c>
      <c r="D9758" t="s">
        <v>598</v>
      </c>
      <c r="E9758" t="s">
        <v>29509</v>
      </c>
      <c r="F9758" t="s">
        <v>7672</v>
      </c>
      <c r="G9758" t="s">
        <v>29510</v>
      </c>
      <c r="H9758" t="s">
        <v>10298</v>
      </c>
      <c r="I9758" t="s">
        <v>5202</v>
      </c>
      <c r="J9758" t="s">
        <v>11710</v>
      </c>
    </row>
    <row r="9759" spans="1:10" x14ac:dyDescent="0.25">
      <c r="A9759" t="s">
        <v>29513</v>
      </c>
      <c r="B9759">
        <v>4</v>
      </c>
      <c r="C9759" t="s">
        <v>29514</v>
      </c>
      <c r="D9759" t="s">
        <v>1822</v>
      </c>
      <c r="E9759" t="s">
        <v>29509</v>
      </c>
      <c r="F9759" t="s">
        <v>7672</v>
      </c>
      <c r="G9759" t="s">
        <v>29510</v>
      </c>
      <c r="H9759" t="s">
        <v>10298</v>
      </c>
      <c r="I9759" t="s">
        <v>5202</v>
      </c>
      <c r="J9759" t="s">
        <v>12182</v>
      </c>
    </row>
    <row r="9760" spans="1:10" x14ac:dyDescent="0.25">
      <c r="A9760" t="s">
        <v>29515</v>
      </c>
      <c r="B9760">
        <v>4</v>
      </c>
      <c r="C9760" t="s">
        <v>29516</v>
      </c>
      <c r="D9760" t="s">
        <v>1459</v>
      </c>
      <c r="E9760" t="s">
        <v>29509</v>
      </c>
      <c r="F9760" t="s">
        <v>7672</v>
      </c>
      <c r="G9760" t="s">
        <v>29510</v>
      </c>
      <c r="H9760" t="s">
        <v>10298</v>
      </c>
      <c r="I9760" t="s">
        <v>5202</v>
      </c>
      <c r="J9760" t="s">
        <v>10150</v>
      </c>
    </row>
    <row r="9761" spans="1:10" x14ac:dyDescent="0.25">
      <c r="A9761" t="s">
        <v>29517</v>
      </c>
      <c r="B9761">
        <v>4</v>
      </c>
      <c r="C9761" t="s">
        <v>29518</v>
      </c>
      <c r="D9761" t="s">
        <v>53</v>
      </c>
      <c r="E9761" t="s">
        <v>29509</v>
      </c>
      <c r="F9761" t="s">
        <v>7672</v>
      </c>
      <c r="G9761" t="s">
        <v>29510</v>
      </c>
      <c r="H9761" t="s">
        <v>10298</v>
      </c>
      <c r="I9761" t="s">
        <v>5202</v>
      </c>
      <c r="J9761" t="s">
        <v>15070</v>
      </c>
    </row>
    <row r="9762" spans="1:10" x14ac:dyDescent="0.25">
      <c r="A9762" t="s">
        <v>29519</v>
      </c>
      <c r="B9762">
        <v>4</v>
      </c>
      <c r="C9762" t="s">
        <v>29520</v>
      </c>
      <c r="D9762" t="s">
        <v>385</v>
      </c>
      <c r="E9762" t="s">
        <v>29509</v>
      </c>
      <c r="F9762" t="s">
        <v>7672</v>
      </c>
      <c r="G9762" t="s">
        <v>29510</v>
      </c>
      <c r="H9762" t="s">
        <v>10298</v>
      </c>
      <c r="I9762" t="s">
        <v>25079</v>
      </c>
      <c r="J9762" t="s">
        <v>15076</v>
      </c>
    </row>
    <row r="9763" spans="1:10" x14ac:dyDescent="0.25">
      <c r="A9763" t="s">
        <v>29521</v>
      </c>
      <c r="B9763">
        <v>4</v>
      </c>
      <c r="C9763" t="s">
        <v>29522</v>
      </c>
      <c r="D9763" t="s">
        <v>164</v>
      </c>
      <c r="E9763" t="s">
        <v>29509</v>
      </c>
      <c r="F9763" t="s">
        <v>7672</v>
      </c>
      <c r="G9763" t="s">
        <v>29510</v>
      </c>
      <c r="H9763" t="s">
        <v>10298</v>
      </c>
      <c r="I9763" t="s">
        <v>5202</v>
      </c>
      <c r="J9763" t="s">
        <v>15076</v>
      </c>
    </row>
    <row r="9764" spans="1:10" x14ac:dyDescent="0.25">
      <c r="A9764" t="s">
        <v>29523</v>
      </c>
      <c r="B9764">
        <v>4</v>
      </c>
      <c r="C9764" t="s">
        <v>29524</v>
      </c>
      <c r="D9764" t="s">
        <v>576</v>
      </c>
      <c r="E9764" t="s">
        <v>29509</v>
      </c>
      <c r="F9764" t="s">
        <v>7672</v>
      </c>
      <c r="G9764" t="s">
        <v>29510</v>
      </c>
      <c r="H9764" t="s">
        <v>10298</v>
      </c>
      <c r="I9764" t="s">
        <v>25070</v>
      </c>
      <c r="J9764" t="s">
        <v>15076</v>
      </c>
    </row>
    <row r="9765" spans="1:10" x14ac:dyDescent="0.25">
      <c r="A9765" t="s">
        <v>29525</v>
      </c>
      <c r="B9765">
        <v>4</v>
      </c>
      <c r="C9765" t="s">
        <v>29526</v>
      </c>
      <c r="D9765" t="s">
        <v>106</v>
      </c>
      <c r="E9765" t="s">
        <v>29509</v>
      </c>
      <c r="F9765" t="s">
        <v>7672</v>
      </c>
      <c r="G9765" t="s">
        <v>29510</v>
      </c>
      <c r="H9765" t="s">
        <v>10298</v>
      </c>
      <c r="I9765" t="s">
        <v>1243</v>
      </c>
      <c r="J9765" t="s">
        <v>15079</v>
      </c>
    </row>
    <row r="9766" spans="1:10" x14ac:dyDescent="0.25">
      <c r="A9766" t="s">
        <v>29527</v>
      </c>
      <c r="B9766">
        <v>4</v>
      </c>
      <c r="C9766" t="s">
        <v>29528</v>
      </c>
      <c r="D9766" t="s">
        <v>113</v>
      </c>
      <c r="E9766" t="s">
        <v>29509</v>
      </c>
      <c r="F9766" t="s">
        <v>7672</v>
      </c>
      <c r="G9766" t="s">
        <v>29510</v>
      </c>
      <c r="H9766" t="s">
        <v>10298</v>
      </c>
      <c r="I9766" t="s">
        <v>25079</v>
      </c>
      <c r="J9766" t="s">
        <v>15079</v>
      </c>
    </row>
    <row r="9767" spans="1:10" x14ac:dyDescent="0.25">
      <c r="A9767" t="s">
        <v>29529</v>
      </c>
      <c r="B9767">
        <v>4</v>
      </c>
      <c r="C9767" t="s">
        <v>29530</v>
      </c>
      <c r="D9767" t="s">
        <v>588</v>
      </c>
      <c r="E9767" t="s">
        <v>29509</v>
      </c>
      <c r="F9767" t="s">
        <v>7672</v>
      </c>
      <c r="G9767" t="s">
        <v>29510</v>
      </c>
      <c r="H9767" t="s">
        <v>10298</v>
      </c>
      <c r="I9767" t="s">
        <v>5202</v>
      </c>
      <c r="J9767" t="s">
        <v>15079</v>
      </c>
    </row>
    <row r="9768" spans="1:10" x14ac:dyDescent="0.25">
      <c r="A9768" t="s">
        <v>29531</v>
      </c>
      <c r="B9768">
        <v>4</v>
      </c>
      <c r="C9768" t="s">
        <v>29532</v>
      </c>
      <c r="D9768" t="s">
        <v>698</v>
      </c>
      <c r="E9768" t="s">
        <v>29509</v>
      </c>
      <c r="F9768" t="s">
        <v>7672</v>
      </c>
      <c r="G9768" t="s">
        <v>29510</v>
      </c>
      <c r="H9768" t="s">
        <v>10298</v>
      </c>
      <c r="I9768" t="s">
        <v>25070</v>
      </c>
      <c r="J9768" t="s">
        <v>15079</v>
      </c>
    </row>
    <row r="9769" spans="1:10" x14ac:dyDescent="0.25">
      <c r="A9769" t="s">
        <v>29533</v>
      </c>
      <c r="B9769">
        <v>5.7600000000000007</v>
      </c>
      <c r="C9769" t="s">
        <v>29534</v>
      </c>
      <c r="D9769" t="s">
        <v>29535</v>
      </c>
      <c r="E9769" t="s">
        <v>29536</v>
      </c>
      <c r="F9769" t="s">
        <v>7672</v>
      </c>
      <c r="G9769" t="s">
        <v>29537</v>
      </c>
      <c r="H9769" t="s">
        <v>24169</v>
      </c>
      <c r="I9769" t="s">
        <v>29538</v>
      </c>
      <c r="J9769" t="s">
        <v>100</v>
      </c>
    </row>
    <row r="9770" spans="1:10" x14ac:dyDescent="0.25">
      <c r="A9770" t="s">
        <v>29539</v>
      </c>
      <c r="B9770">
        <v>5.7600000000000007</v>
      </c>
      <c r="C9770" t="s">
        <v>29540</v>
      </c>
      <c r="D9770" t="s">
        <v>10907</v>
      </c>
      <c r="E9770" t="s">
        <v>29536</v>
      </c>
      <c r="F9770" t="s">
        <v>7672</v>
      </c>
      <c r="G9770" t="s">
        <v>29537</v>
      </c>
      <c r="H9770" t="s">
        <v>24169</v>
      </c>
      <c r="I9770" t="s">
        <v>29538</v>
      </c>
      <c r="J9770" t="s">
        <v>255</v>
      </c>
    </row>
    <row r="9771" spans="1:10" x14ac:dyDescent="0.25">
      <c r="A9771" t="s">
        <v>29541</v>
      </c>
      <c r="B9771">
        <v>10.08</v>
      </c>
      <c r="C9771" t="s">
        <v>29542</v>
      </c>
      <c r="D9771" t="s">
        <v>352</v>
      </c>
      <c r="E9771" t="s">
        <v>29543</v>
      </c>
      <c r="F9771" t="s">
        <v>7672</v>
      </c>
      <c r="G9771" t="s">
        <v>29544</v>
      </c>
      <c r="H9771" t="s">
        <v>11381</v>
      </c>
      <c r="I9771" t="s">
        <v>76</v>
      </c>
      <c r="J9771" t="s">
        <v>7686</v>
      </c>
    </row>
    <row r="9772" spans="1:10" x14ac:dyDescent="0.25">
      <c r="A9772" t="s">
        <v>29545</v>
      </c>
      <c r="B9772">
        <v>10.08</v>
      </c>
      <c r="C9772" t="s">
        <v>29546</v>
      </c>
      <c r="D9772" t="s">
        <v>576</v>
      </c>
      <c r="E9772" t="s">
        <v>29543</v>
      </c>
      <c r="F9772" t="s">
        <v>7672</v>
      </c>
      <c r="G9772" t="s">
        <v>29544</v>
      </c>
      <c r="H9772" t="s">
        <v>11381</v>
      </c>
      <c r="I9772" t="s">
        <v>76</v>
      </c>
      <c r="J9772" t="s">
        <v>7703</v>
      </c>
    </row>
    <row r="9773" spans="1:10" x14ac:dyDescent="0.25">
      <c r="A9773" t="s">
        <v>29547</v>
      </c>
      <c r="B9773">
        <v>3.592000000000001</v>
      </c>
      <c r="C9773" t="s">
        <v>29548</v>
      </c>
      <c r="D9773" t="s">
        <v>164</v>
      </c>
      <c r="E9773" t="s">
        <v>29549</v>
      </c>
      <c r="F9773" t="s">
        <v>7672</v>
      </c>
      <c r="G9773" t="s">
        <v>29550</v>
      </c>
      <c r="H9773" t="s">
        <v>8301</v>
      </c>
      <c r="I9773" t="s">
        <v>278</v>
      </c>
      <c r="J9773" t="s">
        <v>8013</v>
      </c>
    </row>
    <row r="9774" spans="1:10" x14ac:dyDescent="0.25">
      <c r="A9774" t="s">
        <v>29551</v>
      </c>
      <c r="B9774">
        <v>3.592000000000001</v>
      </c>
      <c r="C9774" t="s">
        <v>29552</v>
      </c>
      <c r="D9774" t="s">
        <v>88</v>
      </c>
      <c r="E9774" t="s">
        <v>29553</v>
      </c>
      <c r="F9774" t="s">
        <v>7672</v>
      </c>
      <c r="G9774" t="s">
        <v>29554</v>
      </c>
      <c r="H9774" t="s">
        <v>13951</v>
      </c>
      <c r="I9774" t="s">
        <v>17008</v>
      </c>
      <c r="J9774" t="s">
        <v>7942</v>
      </c>
    </row>
    <row r="9775" spans="1:10" x14ac:dyDescent="0.25">
      <c r="A9775" t="s">
        <v>29555</v>
      </c>
      <c r="B9775">
        <v>5.2</v>
      </c>
      <c r="C9775" t="s">
        <v>29556</v>
      </c>
      <c r="D9775" t="s">
        <v>106</v>
      </c>
      <c r="E9775" t="s">
        <v>29557</v>
      </c>
      <c r="F9775" t="s">
        <v>7672</v>
      </c>
      <c r="G9775" t="s">
        <v>29558</v>
      </c>
      <c r="H9775" t="s">
        <v>26624</v>
      </c>
      <c r="I9775" t="s">
        <v>29559</v>
      </c>
      <c r="J9775" t="s">
        <v>7942</v>
      </c>
    </row>
    <row r="9776" spans="1:10" x14ac:dyDescent="0.25">
      <c r="A9776" t="s">
        <v>29560</v>
      </c>
      <c r="B9776">
        <v>5.2</v>
      </c>
      <c r="C9776" t="s">
        <v>29561</v>
      </c>
      <c r="D9776" t="s">
        <v>60</v>
      </c>
      <c r="E9776" t="s">
        <v>29557</v>
      </c>
      <c r="F9776" t="s">
        <v>7672</v>
      </c>
      <c r="G9776" t="s">
        <v>29558</v>
      </c>
      <c r="H9776" t="s">
        <v>26624</v>
      </c>
      <c r="I9776" t="s">
        <v>29559</v>
      </c>
      <c r="J9776" t="s">
        <v>7981</v>
      </c>
    </row>
    <row r="9777" spans="1:10" x14ac:dyDescent="0.25">
      <c r="A9777" t="s">
        <v>29562</v>
      </c>
      <c r="B9777">
        <v>5.2</v>
      </c>
      <c r="C9777" t="s">
        <v>29563</v>
      </c>
      <c r="D9777" t="s">
        <v>100</v>
      </c>
      <c r="E9777" t="s">
        <v>29557</v>
      </c>
      <c r="F9777" t="s">
        <v>7672</v>
      </c>
      <c r="G9777" t="s">
        <v>29558</v>
      </c>
      <c r="H9777" t="s">
        <v>26624</v>
      </c>
      <c r="I9777" t="s">
        <v>29559</v>
      </c>
      <c r="J9777" t="s">
        <v>7984</v>
      </c>
    </row>
    <row r="9778" spans="1:10" x14ac:dyDescent="0.25">
      <c r="A9778" t="s">
        <v>29564</v>
      </c>
      <c r="B9778">
        <v>5.2</v>
      </c>
      <c r="C9778" t="s">
        <v>29565</v>
      </c>
      <c r="D9778" t="s">
        <v>366</v>
      </c>
      <c r="E9778" t="s">
        <v>29557</v>
      </c>
      <c r="F9778" t="s">
        <v>7672</v>
      </c>
      <c r="G9778" t="s">
        <v>29558</v>
      </c>
      <c r="H9778" t="s">
        <v>26624</v>
      </c>
      <c r="I9778" t="s">
        <v>29559</v>
      </c>
      <c r="J9778" t="s">
        <v>7987</v>
      </c>
    </row>
    <row r="9779" spans="1:10" x14ac:dyDescent="0.25">
      <c r="A9779" t="s">
        <v>29566</v>
      </c>
      <c r="B9779">
        <v>5.2</v>
      </c>
      <c r="C9779" t="s">
        <v>29567</v>
      </c>
      <c r="D9779" t="s">
        <v>95</v>
      </c>
      <c r="E9779" t="s">
        <v>29557</v>
      </c>
      <c r="F9779" t="s">
        <v>7672</v>
      </c>
      <c r="G9779" t="s">
        <v>29558</v>
      </c>
      <c r="H9779" t="s">
        <v>26624</v>
      </c>
      <c r="I9779" t="s">
        <v>29559</v>
      </c>
      <c r="J9779" t="s">
        <v>8001</v>
      </c>
    </row>
    <row r="9780" spans="1:10" x14ac:dyDescent="0.25">
      <c r="A9780" t="s">
        <v>29568</v>
      </c>
      <c r="B9780">
        <v>5.2</v>
      </c>
      <c r="C9780" t="s">
        <v>29569</v>
      </c>
      <c r="D9780" t="s">
        <v>60</v>
      </c>
      <c r="E9780" t="s">
        <v>29557</v>
      </c>
      <c r="F9780" t="s">
        <v>7672</v>
      </c>
      <c r="G9780" t="s">
        <v>29558</v>
      </c>
      <c r="H9780" t="s">
        <v>26624</v>
      </c>
      <c r="I9780" t="s">
        <v>29559</v>
      </c>
      <c r="J9780" t="s">
        <v>8013</v>
      </c>
    </row>
    <row r="9781" spans="1:10" x14ac:dyDescent="0.25">
      <c r="A9781" t="s">
        <v>29570</v>
      </c>
      <c r="B9781">
        <v>5.2</v>
      </c>
      <c r="C9781" t="s">
        <v>29571</v>
      </c>
      <c r="D9781" t="s">
        <v>9254</v>
      </c>
      <c r="E9781" t="s">
        <v>29572</v>
      </c>
      <c r="F9781" t="s">
        <v>7672</v>
      </c>
      <c r="G9781" t="s">
        <v>29573</v>
      </c>
      <c r="H9781" t="s">
        <v>13951</v>
      </c>
      <c r="I9781" t="s">
        <v>497</v>
      </c>
      <c r="J9781" t="s">
        <v>8780</v>
      </c>
    </row>
    <row r="9782" spans="1:10" x14ac:dyDescent="0.25">
      <c r="A9782" t="s">
        <v>29574</v>
      </c>
      <c r="B9782">
        <v>5.2</v>
      </c>
      <c r="C9782" t="s">
        <v>29575</v>
      </c>
      <c r="D9782" t="s">
        <v>1847</v>
      </c>
      <c r="E9782" t="s">
        <v>29572</v>
      </c>
      <c r="F9782" t="s">
        <v>7672</v>
      </c>
      <c r="G9782" t="s">
        <v>29573</v>
      </c>
      <c r="H9782" t="s">
        <v>13951</v>
      </c>
      <c r="I9782" t="s">
        <v>497</v>
      </c>
      <c r="J9782" t="s">
        <v>29576</v>
      </c>
    </row>
    <row r="9783" spans="1:10" x14ac:dyDescent="0.25">
      <c r="A9783" t="s">
        <v>29577</v>
      </c>
      <c r="B9783">
        <v>7.2</v>
      </c>
      <c r="C9783" t="s">
        <v>29578</v>
      </c>
      <c r="D9783" t="s">
        <v>40</v>
      </c>
      <c r="E9783" t="s">
        <v>29579</v>
      </c>
      <c r="F9783" t="s">
        <v>7672</v>
      </c>
      <c r="G9783" t="s">
        <v>29580</v>
      </c>
      <c r="H9783" t="s">
        <v>7674</v>
      </c>
      <c r="I9783" t="s">
        <v>9116</v>
      </c>
      <c r="J9783" t="s">
        <v>8013</v>
      </c>
    </row>
    <row r="9784" spans="1:10" x14ac:dyDescent="0.25">
      <c r="A9784" t="s">
        <v>29581</v>
      </c>
      <c r="B9784">
        <v>4.68</v>
      </c>
      <c r="C9784" t="s">
        <v>29582</v>
      </c>
      <c r="D9784" t="s">
        <v>649</v>
      </c>
      <c r="E9784" t="s">
        <v>29583</v>
      </c>
      <c r="F9784" t="s">
        <v>7672</v>
      </c>
      <c r="G9784" t="s">
        <v>29584</v>
      </c>
      <c r="H9784" t="s">
        <v>10298</v>
      </c>
      <c r="I9784" t="s">
        <v>29585</v>
      </c>
      <c r="J9784" t="s">
        <v>7981</v>
      </c>
    </row>
    <row r="9785" spans="1:10" x14ac:dyDescent="0.25">
      <c r="A9785" t="s">
        <v>29586</v>
      </c>
      <c r="B9785">
        <v>4.68</v>
      </c>
      <c r="C9785" t="s">
        <v>29587</v>
      </c>
      <c r="D9785" t="s">
        <v>3470</v>
      </c>
      <c r="E9785" t="s">
        <v>29583</v>
      </c>
      <c r="F9785" t="s">
        <v>7672</v>
      </c>
      <c r="G9785" t="s">
        <v>29584</v>
      </c>
      <c r="H9785" t="s">
        <v>10298</v>
      </c>
      <c r="I9785" t="s">
        <v>29585</v>
      </c>
      <c r="J9785" t="s">
        <v>7984</v>
      </c>
    </row>
    <row r="9786" spans="1:10" x14ac:dyDescent="0.25">
      <c r="A9786" t="s">
        <v>29588</v>
      </c>
      <c r="B9786">
        <v>4.68</v>
      </c>
      <c r="C9786" t="s">
        <v>29589</v>
      </c>
      <c r="D9786" t="s">
        <v>835</v>
      </c>
      <c r="E9786" t="s">
        <v>29583</v>
      </c>
      <c r="F9786" t="s">
        <v>7672</v>
      </c>
      <c r="G9786" t="s">
        <v>29584</v>
      </c>
      <c r="H9786" t="s">
        <v>10298</v>
      </c>
      <c r="I9786" t="s">
        <v>29585</v>
      </c>
      <c r="J9786" t="s">
        <v>7987</v>
      </c>
    </row>
    <row r="9787" spans="1:10" x14ac:dyDescent="0.25">
      <c r="A9787" t="s">
        <v>29590</v>
      </c>
      <c r="B9787">
        <v>5.9359999999999999</v>
      </c>
      <c r="C9787" t="s">
        <v>29591</v>
      </c>
      <c r="D9787" t="s">
        <v>9951</v>
      </c>
      <c r="E9787" t="s">
        <v>29592</v>
      </c>
      <c r="F9787" t="s">
        <v>7672</v>
      </c>
      <c r="G9787" t="s">
        <v>29593</v>
      </c>
      <c r="H9787" t="s">
        <v>29594</v>
      </c>
      <c r="I9787" t="s">
        <v>29595</v>
      </c>
      <c r="J9787" t="s">
        <v>7703</v>
      </c>
    </row>
    <row r="9788" spans="1:10" x14ac:dyDescent="0.25">
      <c r="A9788" t="s">
        <v>29596</v>
      </c>
      <c r="B9788">
        <v>5.9359999999999999</v>
      </c>
      <c r="C9788" t="s">
        <v>29597</v>
      </c>
      <c r="D9788" t="s">
        <v>1995</v>
      </c>
      <c r="E9788" t="s">
        <v>29592</v>
      </c>
      <c r="F9788" t="s">
        <v>7672</v>
      </c>
      <c r="G9788" t="s">
        <v>29593</v>
      </c>
      <c r="H9788" t="s">
        <v>29594</v>
      </c>
      <c r="I9788" t="s">
        <v>29595</v>
      </c>
      <c r="J9788" t="s">
        <v>7713</v>
      </c>
    </row>
    <row r="9789" spans="1:10" x14ac:dyDescent="0.25">
      <c r="A9789" t="s">
        <v>29598</v>
      </c>
      <c r="B9789">
        <v>5.9359999999999999</v>
      </c>
      <c r="C9789" t="s">
        <v>29599</v>
      </c>
      <c r="D9789" t="s">
        <v>3378</v>
      </c>
      <c r="E9789" t="s">
        <v>29592</v>
      </c>
      <c r="F9789" t="s">
        <v>7672</v>
      </c>
      <c r="G9789" t="s">
        <v>29593</v>
      </c>
      <c r="H9789" t="s">
        <v>29594</v>
      </c>
      <c r="I9789" t="s">
        <v>29595</v>
      </c>
      <c r="J9789" t="s">
        <v>7719</v>
      </c>
    </row>
    <row r="9790" spans="1:10" x14ac:dyDescent="0.25">
      <c r="A9790" t="s">
        <v>439</v>
      </c>
      <c r="B9790">
        <v>13.2</v>
      </c>
      <c r="C9790" t="s">
        <v>441</v>
      </c>
      <c r="D9790" t="s">
        <v>296</v>
      </c>
      <c r="E9790" t="s">
        <v>442</v>
      </c>
      <c r="F9790" t="s">
        <v>7672</v>
      </c>
      <c r="G9790" t="s">
        <v>29600</v>
      </c>
      <c r="H9790" t="s">
        <v>7954</v>
      </c>
      <c r="I9790" t="s">
        <v>7955</v>
      </c>
      <c r="J9790" t="s">
        <v>29601</v>
      </c>
    </row>
    <row r="9791" spans="1:10" x14ac:dyDescent="0.25">
      <c r="A9791" t="s">
        <v>446</v>
      </c>
      <c r="B9791">
        <v>13.2</v>
      </c>
      <c r="C9791" t="s">
        <v>448</v>
      </c>
      <c r="D9791" t="s">
        <v>450</v>
      </c>
      <c r="E9791" t="s">
        <v>442</v>
      </c>
      <c r="F9791" t="s">
        <v>7672</v>
      </c>
      <c r="G9791" t="s">
        <v>29600</v>
      </c>
      <c r="H9791" t="s">
        <v>7954</v>
      </c>
      <c r="I9791" t="s">
        <v>18854</v>
      </c>
      <c r="J9791" t="s">
        <v>29601</v>
      </c>
    </row>
    <row r="9792" spans="1:10" x14ac:dyDescent="0.25">
      <c r="A9792" t="s">
        <v>29602</v>
      </c>
      <c r="B9792">
        <v>132</v>
      </c>
      <c r="C9792" t="s">
        <v>29603</v>
      </c>
      <c r="D9792" t="s">
        <v>12639</v>
      </c>
      <c r="E9792" t="s">
        <v>29604</v>
      </c>
      <c r="F9792" t="s">
        <v>7672</v>
      </c>
      <c r="G9792" t="s">
        <v>29605</v>
      </c>
      <c r="H9792" t="s">
        <v>9693</v>
      </c>
      <c r="I9792" t="s">
        <v>18323</v>
      </c>
      <c r="J9792" t="s">
        <v>9694</v>
      </c>
    </row>
    <row r="9793" spans="1:10" x14ac:dyDescent="0.25">
      <c r="A9793" t="s">
        <v>29606</v>
      </c>
      <c r="B9793">
        <v>8.0960000000000001</v>
      </c>
      <c r="C9793" t="s">
        <v>29607</v>
      </c>
      <c r="D9793" t="s">
        <v>3841</v>
      </c>
      <c r="E9793" t="s">
        <v>29608</v>
      </c>
      <c r="F9793" t="s">
        <v>7672</v>
      </c>
      <c r="G9793" t="s">
        <v>29609</v>
      </c>
      <c r="H9793" t="s">
        <v>7674</v>
      </c>
      <c r="I9793" t="s">
        <v>497</v>
      </c>
      <c r="J9793" t="s">
        <v>9694</v>
      </c>
    </row>
    <row r="9794" spans="1:10" x14ac:dyDescent="0.25">
      <c r="A9794" t="s">
        <v>29610</v>
      </c>
      <c r="B9794">
        <v>21.84</v>
      </c>
      <c r="C9794" t="s">
        <v>29611</v>
      </c>
      <c r="D9794" t="s">
        <v>359</v>
      </c>
      <c r="E9794" t="s">
        <v>29612</v>
      </c>
      <c r="F9794" t="s">
        <v>7672</v>
      </c>
      <c r="G9794" t="s">
        <v>29613</v>
      </c>
      <c r="H9794" t="s">
        <v>8087</v>
      </c>
      <c r="I9794" t="s">
        <v>29614</v>
      </c>
      <c r="J9794" t="s">
        <v>7942</v>
      </c>
    </row>
    <row r="9795" spans="1:10" x14ac:dyDescent="0.25">
      <c r="A9795" t="s">
        <v>29615</v>
      </c>
      <c r="B9795">
        <v>21.84</v>
      </c>
      <c r="C9795" t="s">
        <v>29616</v>
      </c>
      <c r="D9795" t="s">
        <v>245</v>
      </c>
      <c r="E9795" t="s">
        <v>29612</v>
      </c>
      <c r="F9795" t="s">
        <v>7672</v>
      </c>
      <c r="G9795" t="s">
        <v>29613</v>
      </c>
      <c r="H9795" t="s">
        <v>8087</v>
      </c>
      <c r="I9795" t="s">
        <v>29614</v>
      </c>
      <c r="J9795" t="s">
        <v>7981</v>
      </c>
    </row>
    <row r="9796" spans="1:10" x14ac:dyDescent="0.25">
      <c r="A9796" t="s">
        <v>29617</v>
      </c>
      <c r="B9796">
        <v>21.84</v>
      </c>
      <c r="C9796" t="s">
        <v>29618</v>
      </c>
      <c r="D9796" t="s">
        <v>926</v>
      </c>
      <c r="E9796" t="s">
        <v>29612</v>
      </c>
      <c r="F9796" t="s">
        <v>7672</v>
      </c>
      <c r="G9796" t="s">
        <v>29613</v>
      </c>
      <c r="H9796" t="s">
        <v>8087</v>
      </c>
      <c r="I9796" t="s">
        <v>29614</v>
      </c>
      <c r="J9796" t="s">
        <v>7984</v>
      </c>
    </row>
    <row r="9797" spans="1:10" x14ac:dyDescent="0.25">
      <c r="A9797" t="s">
        <v>29619</v>
      </c>
      <c r="B9797">
        <v>21.84</v>
      </c>
      <c r="C9797" t="s">
        <v>29620</v>
      </c>
      <c r="D9797" t="s">
        <v>870</v>
      </c>
      <c r="E9797" t="s">
        <v>29612</v>
      </c>
      <c r="F9797" t="s">
        <v>7672</v>
      </c>
      <c r="G9797" t="s">
        <v>29613</v>
      </c>
      <c r="H9797" t="s">
        <v>8087</v>
      </c>
      <c r="I9797" t="s">
        <v>29614</v>
      </c>
      <c r="J9797" t="s">
        <v>7987</v>
      </c>
    </row>
    <row r="9798" spans="1:10" x14ac:dyDescent="0.25">
      <c r="A9798" t="s">
        <v>29621</v>
      </c>
      <c r="B9798">
        <v>21.84</v>
      </c>
      <c r="C9798" t="s">
        <v>29622</v>
      </c>
      <c r="D9798" t="s">
        <v>613</v>
      </c>
      <c r="E9798" t="s">
        <v>29612</v>
      </c>
      <c r="F9798" t="s">
        <v>7672</v>
      </c>
      <c r="G9798" t="s">
        <v>29613</v>
      </c>
      <c r="H9798" t="s">
        <v>8087</v>
      </c>
      <c r="I9798" t="s">
        <v>29614</v>
      </c>
      <c r="J9798" t="s">
        <v>8001</v>
      </c>
    </row>
    <row r="9799" spans="1:10" x14ac:dyDescent="0.25">
      <c r="A9799" t="s">
        <v>29623</v>
      </c>
      <c r="B9799">
        <v>9</v>
      </c>
      <c r="C9799" t="s">
        <v>29624</v>
      </c>
      <c r="D9799" t="s">
        <v>164</v>
      </c>
      <c r="E9799" t="s">
        <v>29625</v>
      </c>
      <c r="F9799" t="s">
        <v>7672</v>
      </c>
      <c r="G9799" t="s">
        <v>29626</v>
      </c>
      <c r="H9799" t="s">
        <v>11834</v>
      </c>
      <c r="I9799" t="s">
        <v>11872</v>
      </c>
      <c r="J9799" t="s">
        <v>29627</v>
      </c>
    </row>
    <row r="9800" spans="1:10" x14ac:dyDescent="0.25">
      <c r="A9800" t="s">
        <v>29628</v>
      </c>
      <c r="B9800">
        <v>20.847999999999999</v>
      </c>
      <c r="C9800" t="s">
        <v>29629</v>
      </c>
      <c r="D9800" t="s">
        <v>60</v>
      </c>
      <c r="E9800" t="s">
        <v>455</v>
      </c>
      <c r="F9800" t="s">
        <v>7672</v>
      </c>
      <c r="G9800" t="s">
        <v>28909</v>
      </c>
      <c r="H9800" t="s">
        <v>10970</v>
      </c>
      <c r="I9800" t="s">
        <v>29630</v>
      </c>
      <c r="J9800" t="s">
        <v>17919</v>
      </c>
    </row>
    <row r="9801" spans="1:10" x14ac:dyDescent="0.25">
      <c r="A9801" t="s">
        <v>452</v>
      </c>
      <c r="B9801">
        <v>20.847999999999999</v>
      </c>
      <c r="C9801" t="s">
        <v>454</v>
      </c>
      <c r="D9801" t="s">
        <v>100</v>
      </c>
      <c r="E9801" t="s">
        <v>455</v>
      </c>
      <c r="F9801" t="s">
        <v>7672</v>
      </c>
      <c r="G9801" t="s">
        <v>28909</v>
      </c>
      <c r="H9801" t="s">
        <v>10970</v>
      </c>
      <c r="I9801" t="s">
        <v>29631</v>
      </c>
      <c r="J9801" t="s">
        <v>17923</v>
      </c>
    </row>
    <row r="9802" spans="1:10" x14ac:dyDescent="0.25">
      <c r="A9802" t="s">
        <v>459</v>
      </c>
      <c r="B9802">
        <v>20.847999999999999</v>
      </c>
      <c r="C9802" t="s">
        <v>461</v>
      </c>
      <c r="D9802" t="s">
        <v>106</v>
      </c>
      <c r="E9802" t="s">
        <v>455</v>
      </c>
      <c r="F9802" t="s">
        <v>7672</v>
      </c>
      <c r="G9802" t="s">
        <v>28909</v>
      </c>
      <c r="H9802" t="s">
        <v>10970</v>
      </c>
      <c r="I9802" t="s">
        <v>29631</v>
      </c>
      <c r="J9802" t="s">
        <v>17926</v>
      </c>
    </row>
    <row r="9803" spans="1:10" x14ac:dyDescent="0.25">
      <c r="A9803" t="s">
        <v>463</v>
      </c>
      <c r="B9803">
        <v>20.847999999999999</v>
      </c>
      <c r="C9803" t="s">
        <v>465</v>
      </c>
      <c r="D9803" t="s">
        <v>60</v>
      </c>
      <c r="E9803" t="s">
        <v>455</v>
      </c>
      <c r="F9803" t="s">
        <v>7672</v>
      </c>
      <c r="G9803" t="s">
        <v>28909</v>
      </c>
      <c r="H9803" t="s">
        <v>10970</v>
      </c>
      <c r="I9803" t="s">
        <v>29630</v>
      </c>
      <c r="J9803" t="s">
        <v>10283</v>
      </c>
    </row>
    <row r="9804" spans="1:10" x14ac:dyDescent="0.25">
      <c r="A9804" t="s">
        <v>29632</v>
      </c>
      <c r="B9804">
        <v>10</v>
      </c>
      <c r="C9804" t="s">
        <v>29633</v>
      </c>
      <c r="D9804" t="s">
        <v>316</v>
      </c>
      <c r="E9804" t="s">
        <v>29634</v>
      </c>
      <c r="F9804" t="s">
        <v>7672</v>
      </c>
      <c r="G9804" t="s">
        <v>29635</v>
      </c>
      <c r="H9804" t="s">
        <v>7674</v>
      </c>
      <c r="I9804" t="s">
        <v>14264</v>
      </c>
      <c r="J9804" t="s">
        <v>9023</v>
      </c>
    </row>
    <row r="9805" spans="1:10" x14ac:dyDescent="0.25">
      <c r="A9805" t="s">
        <v>29636</v>
      </c>
      <c r="B9805">
        <v>10</v>
      </c>
      <c r="C9805" t="s">
        <v>29637</v>
      </c>
      <c r="D9805" t="s">
        <v>1143</v>
      </c>
      <c r="E9805" t="s">
        <v>29634</v>
      </c>
      <c r="F9805" t="s">
        <v>7672</v>
      </c>
      <c r="G9805" t="s">
        <v>29635</v>
      </c>
      <c r="H9805" t="s">
        <v>7674</v>
      </c>
      <c r="I9805" t="s">
        <v>14271</v>
      </c>
      <c r="J9805" t="s">
        <v>9023</v>
      </c>
    </row>
    <row r="9806" spans="1:10" x14ac:dyDescent="0.25">
      <c r="A9806" t="s">
        <v>469</v>
      </c>
      <c r="B9806">
        <v>8</v>
      </c>
      <c r="C9806" t="s">
        <v>471</v>
      </c>
      <c r="D9806" t="s">
        <v>330</v>
      </c>
      <c r="E9806" t="s">
        <v>472</v>
      </c>
      <c r="F9806" t="s">
        <v>7672</v>
      </c>
      <c r="G9806" t="s">
        <v>29638</v>
      </c>
      <c r="H9806" t="s">
        <v>12519</v>
      </c>
      <c r="I9806" t="s">
        <v>76</v>
      </c>
      <c r="J9806" t="s">
        <v>290</v>
      </c>
    </row>
    <row r="9807" spans="1:10" x14ac:dyDescent="0.25">
      <c r="A9807" t="s">
        <v>29639</v>
      </c>
      <c r="B9807">
        <v>5.0960000000000001</v>
      </c>
      <c r="C9807" t="s">
        <v>29640</v>
      </c>
      <c r="D9807" t="s">
        <v>245</v>
      </c>
      <c r="E9807" t="s">
        <v>29641</v>
      </c>
      <c r="F9807" t="s">
        <v>7672</v>
      </c>
      <c r="G9807" t="s">
        <v>29642</v>
      </c>
      <c r="H9807" t="s">
        <v>8027</v>
      </c>
      <c r="I9807" t="s">
        <v>29643</v>
      </c>
      <c r="J9807" t="s">
        <v>8891</v>
      </c>
    </row>
    <row r="9808" spans="1:10" x14ac:dyDescent="0.25">
      <c r="A9808" t="s">
        <v>29644</v>
      </c>
      <c r="B9808">
        <v>5.0960000000000001</v>
      </c>
      <c r="C9808" t="s">
        <v>29645</v>
      </c>
      <c r="D9808" t="s">
        <v>659</v>
      </c>
      <c r="E9808" t="s">
        <v>29641</v>
      </c>
      <c r="F9808" t="s">
        <v>7672</v>
      </c>
      <c r="G9808" t="s">
        <v>29642</v>
      </c>
      <c r="H9808" t="s">
        <v>8027</v>
      </c>
      <c r="I9808" t="s">
        <v>8158</v>
      </c>
      <c r="J9808" t="s">
        <v>8891</v>
      </c>
    </row>
    <row r="9809" spans="1:10" x14ac:dyDescent="0.25">
      <c r="A9809" t="s">
        <v>29646</v>
      </c>
      <c r="B9809">
        <v>5.0960000000000001</v>
      </c>
      <c r="C9809" t="s">
        <v>29647</v>
      </c>
      <c r="D9809" t="s">
        <v>2253</v>
      </c>
      <c r="E9809" t="s">
        <v>29641</v>
      </c>
      <c r="F9809" t="s">
        <v>7672</v>
      </c>
      <c r="G9809" t="s">
        <v>29642</v>
      </c>
      <c r="H9809" t="s">
        <v>8027</v>
      </c>
      <c r="I9809" t="s">
        <v>11206</v>
      </c>
      <c r="J9809" t="s">
        <v>8891</v>
      </c>
    </row>
    <row r="9810" spans="1:10" x14ac:dyDescent="0.25">
      <c r="A9810" t="s">
        <v>29648</v>
      </c>
      <c r="B9810">
        <v>5.0960000000000001</v>
      </c>
      <c r="C9810" t="s">
        <v>29649</v>
      </c>
      <c r="D9810" t="s">
        <v>379</v>
      </c>
      <c r="E9810" t="s">
        <v>29641</v>
      </c>
      <c r="F9810" t="s">
        <v>7672</v>
      </c>
      <c r="G9810" t="s">
        <v>29642</v>
      </c>
      <c r="H9810" t="s">
        <v>8027</v>
      </c>
      <c r="I9810" t="s">
        <v>29643</v>
      </c>
      <c r="J9810" t="s">
        <v>8896</v>
      </c>
    </row>
    <row r="9811" spans="1:10" x14ac:dyDescent="0.25">
      <c r="A9811" t="s">
        <v>29650</v>
      </c>
      <c r="B9811">
        <v>5.0960000000000001</v>
      </c>
      <c r="C9811" t="s">
        <v>29651</v>
      </c>
      <c r="D9811" t="s">
        <v>12639</v>
      </c>
      <c r="E9811" t="s">
        <v>29641</v>
      </c>
      <c r="F9811" t="s">
        <v>7672</v>
      </c>
      <c r="G9811" t="s">
        <v>29642</v>
      </c>
      <c r="H9811" t="s">
        <v>8027</v>
      </c>
      <c r="I9811" t="s">
        <v>8158</v>
      </c>
      <c r="J9811" t="s">
        <v>8896</v>
      </c>
    </row>
    <row r="9812" spans="1:10" x14ac:dyDescent="0.25">
      <c r="A9812" t="s">
        <v>29652</v>
      </c>
      <c r="B9812">
        <v>5.0960000000000001</v>
      </c>
      <c r="C9812" t="s">
        <v>29653</v>
      </c>
      <c r="D9812" t="s">
        <v>2036</v>
      </c>
      <c r="E9812" t="s">
        <v>29641</v>
      </c>
      <c r="F9812" t="s">
        <v>7672</v>
      </c>
      <c r="G9812" t="s">
        <v>29642</v>
      </c>
      <c r="H9812" t="s">
        <v>8027</v>
      </c>
      <c r="I9812" t="s">
        <v>11206</v>
      </c>
      <c r="J9812" t="s">
        <v>8896</v>
      </c>
    </row>
    <row r="9813" spans="1:10" x14ac:dyDescent="0.25">
      <c r="A9813" t="s">
        <v>29654</v>
      </c>
      <c r="B9813">
        <v>5.0960000000000001</v>
      </c>
      <c r="C9813" t="s">
        <v>29655</v>
      </c>
      <c r="D9813" t="s">
        <v>321</v>
      </c>
      <c r="E9813" t="s">
        <v>29641</v>
      </c>
      <c r="F9813" t="s">
        <v>7672</v>
      </c>
      <c r="G9813" t="s">
        <v>29642</v>
      </c>
      <c r="H9813" t="s">
        <v>8027</v>
      </c>
      <c r="I9813" t="s">
        <v>8158</v>
      </c>
      <c r="J9813" t="s">
        <v>9400</v>
      </c>
    </row>
    <row r="9814" spans="1:10" x14ac:dyDescent="0.25">
      <c r="A9814" t="s">
        <v>29656</v>
      </c>
      <c r="B9814">
        <v>5.0960000000000001</v>
      </c>
      <c r="C9814" t="s">
        <v>29657</v>
      </c>
      <c r="D9814" t="s">
        <v>582</v>
      </c>
      <c r="E9814" t="s">
        <v>29641</v>
      </c>
      <c r="F9814" t="s">
        <v>7672</v>
      </c>
      <c r="G9814" t="s">
        <v>29642</v>
      </c>
      <c r="H9814" t="s">
        <v>8027</v>
      </c>
      <c r="I9814" t="s">
        <v>11206</v>
      </c>
      <c r="J9814" t="s">
        <v>9400</v>
      </c>
    </row>
    <row r="9815" spans="1:10" x14ac:dyDescent="0.25">
      <c r="A9815" t="s">
        <v>29658</v>
      </c>
      <c r="B9815">
        <v>5.0960000000000001</v>
      </c>
      <c r="C9815" t="s">
        <v>29659</v>
      </c>
      <c r="D9815" t="s">
        <v>582</v>
      </c>
      <c r="E9815" t="s">
        <v>29641</v>
      </c>
      <c r="F9815" t="s">
        <v>7672</v>
      </c>
      <c r="G9815" t="s">
        <v>29642</v>
      </c>
      <c r="H9815" t="s">
        <v>8027</v>
      </c>
      <c r="I9815" t="s">
        <v>29643</v>
      </c>
      <c r="J9815" t="s">
        <v>9400</v>
      </c>
    </row>
    <row r="9816" spans="1:10" x14ac:dyDescent="0.25">
      <c r="A9816" t="s">
        <v>29660</v>
      </c>
      <c r="B9816">
        <v>5.0960000000000001</v>
      </c>
      <c r="C9816" t="s">
        <v>29661</v>
      </c>
      <c r="D9816" t="s">
        <v>742</v>
      </c>
      <c r="E9816" t="s">
        <v>29641</v>
      </c>
      <c r="F9816" t="s">
        <v>7672</v>
      </c>
      <c r="G9816" t="s">
        <v>29642</v>
      </c>
      <c r="H9816" t="s">
        <v>8027</v>
      </c>
      <c r="I9816" t="s">
        <v>8158</v>
      </c>
      <c r="J9816" t="s">
        <v>9405</v>
      </c>
    </row>
    <row r="9817" spans="1:10" x14ac:dyDescent="0.25">
      <c r="A9817" t="s">
        <v>29662</v>
      </c>
      <c r="B9817">
        <v>5.0960000000000001</v>
      </c>
      <c r="C9817" t="s">
        <v>29663</v>
      </c>
      <c r="D9817" t="s">
        <v>2697</v>
      </c>
      <c r="E9817" t="s">
        <v>29641</v>
      </c>
      <c r="F9817" t="s">
        <v>7672</v>
      </c>
      <c r="G9817" t="s">
        <v>29642</v>
      </c>
      <c r="H9817" t="s">
        <v>8027</v>
      </c>
      <c r="I9817" t="s">
        <v>11206</v>
      </c>
      <c r="J9817" t="s">
        <v>9405</v>
      </c>
    </row>
    <row r="9818" spans="1:10" x14ac:dyDescent="0.25">
      <c r="A9818" t="s">
        <v>29664</v>
      </c>
      <c r="B9818">
        <v>5.0960000000000001</v>
      </c>
      <c r="C9818" t="s">
        <v>29665</v>
      </c>
      <c r="D9818" t="s">
        <v>269</v>
      </c>
      <c r="E9818" t="s">
        <v>29641</v>
      </c>
      <c r="F9818" t="s">
        <v>7672</v>
      </c>
      <c r="G9818" t="s">
        <v>29642</v>
      </c>
      <c r="H9818" t="s">
        <v>8027</v>
      </c>
      <c r="I9818" t="s">
        <v>29643</v>
      </c>
      <c r="J9818" t="s">
        <v>9405</v>
      </c>
    </row>
    <row r="9819" spans="1:10" x14ac:dyDescent="0.25">
      <c r="A9819" t="s">
        <v>29666</v>
      </c>
      <c r="B9819">
        <v>9.9920000000000009</v>
      </c>
      <c r="C9819" t="s">
        <v>29667</v>
      </c>
      <c r="D9819" t="s">
        <v>245</v>
      </c>
      <c r="E9819" t="s">
        <v>29668</v>
      </c>
      <c r="F9819" t="s">
        <v>7672</v>
      </c>
      <c r="G9819" t="s">
        <v>29669</v>
      </c>
      <c r="H9819" t="s">
        <v>22064</v>
      </c>
      <c r="I9819" t="s">
        <v>11395</v>
      </c>
      <c r="J9819" t="s">
        <v>100</v>
      </c>
    </row>
    <row r="9820" spans="1:10" x14ac:dyDescent="0.25">
      <c r="A9820" t="s">
        <v>29670</v>
      </c>
      <c r="B9820">
        <v>8.8000000000000007</v>
      </c>
      <c r="C9820" t="s">
        <v>29671</v>
      </c>
      <c r="D9820" t="s">
        <v>100</v>
      </c>
      <c r="E9820" t="s">
        <v>29672</v>
      </c>
      <c r="F9820" t="s">
        <v>7672</v>
      </c>
      <c r="G9820" t="s">
        <v>29673</v>
      </c>
      <c r="H9820" t="s">
        <v>26410</v>
      </c>
      <c r="I9820" t="s">
        <v>26417</v>
      </c>
      <c r="J9820" t="s">
        <v>7942</v>
      </c>
    </row>
    <row r="9821" spans="1:10" x14ac:dyDescent="0.25">
      <c r="A9821" t="s">
        <v>29674</v>
      </c>
      <c r="B9821">
        <v>8.8000000000000007</v>
      </c>
      <c r="C9821" t="s">
        <v>29675</v>
      </c>
      <c r="D9821" t="s">
        <v>277</v>
      </c>
      <c r="E9821" t="s">
        <v>29672</v>
      </c>
      <c r="F9821" t="s">
        <v>7672</v>
      </c>
      <c r="G9821" t="s">
        <v>29673</v>
      </c>
      <c r="H9821" t="s">
        <v>26410</v>
      </c>
      <c r="I9821" t="s">
        <v>26417</v>
      </c>
      <c r="J9821" t="s">
        <v>7981</v>
      </c>
    </row>
    <row r="9822" spans="1:10" x14ac:dyDescent="0.25">
      <c r="A9822" t="s">
        <v>29676</v>
      </c>
      <c r="B9822">
        <v>13.992000000000001</v>
      </c>
      <c r="C9822" t="s">
        <v>29677</v>
      </c>
      <c r="D9822" t="s">
        <v>60</v>
      </c>
      <c r="E9822" t="s">
        <v>29678</v>
      </c>
      <c r="F9822" t="s">
        <v>7672</v>
      </c>
      <c r="G9822" t="s">
        <v>29679</v>
      </c>
      <c r="H9822" t="s">
        <v>11598</v>
      </c>
      <c r="I9822" t="s">
        <v>17425</v>
      </c>
      <c r="J9822" t="s">
        <v>11315</v>
      </c>
    </row>
    <row r="9823" spans="1:10" x14ac:dyDescent="0.25">
      <c r="A9823" t="s">
        <v>29680</v>
      </c>
      <c r="B9823">
        <v>13.992000000000001</v>
      </c>
      <c r="C9823" t="s">
        <v>29681</v>
      </c>
      <c r="D9823" t="s">
        <v>106</v>
      </c>
      <c r="E9823" t="s">
        <v>29678</v>
      </c>
      <c r="F9823" t="s">
        <v>7672</v>
      </c>
      <c r="G9823" t="s">
        <v>29679</v>
      </c>
      <c r="H9823" t="s">
        <v>11598</v>
      </c>
      <c r="I9823" t="s">
        <v>76</v>
      </c>
      <c r="J9823" t="s">
        <v>21603</v>
      </c>
    </row>
    <row r="9824" spans="1:10" x14ac:dyDescent="0.25">
      <c r="A9824" t="s">
        <v>29682</v>
      </c>
      <c r="B9824">
        <v>13.992000000000001</v>
      </c>
      <c r="C9824" t="s">
        <v>29683</v>
      </c>
      <c r="D9824" t="s">
        <v>88</v>
      </c>
      <c r="E9824" t="s">
        <v>29678</v>
      </c>
      <c r="F9824" t="s">
        <v>7672</v>
      </c>
      <c r="G9824" t="s">
        <v>29679</v>
      </c>
      <c r="H9824" t="s">
        <v>11598</v>
      </c>
      <c r="I9824" t="s">
        <v>17425</v>
      </c>
      <c r="J9824" t="s">
        <v>21603</v>
      </c>
    </row>
    <row r="9825" spans="1:10" x14ac:dyDescent="0.25">
      <c r="A9825" t="s">
        <v>29684</v>
      </c>
      <c r="B9825">
        <v>13.992000000000001</v>
      </c>
      <c r="C9825" t="s">
        <v>29685</v>
      </c>
      <c r="D9825" t="s">
        <v>269</v>
      </c>
      <c r="E9825" t="s">
        <v>29678</v>
      </c>
      <c r="F9825" t="s">
        <v>7672</v>
      </c>
      <c r="G9825" t="s">
        <v>29679</v>
      </c>
      <c r="H9825" t="s">
        <v>11598</v>
      </c>
      <c r="I9825" t="s">
        <v>17425</v>
      </c>
      <c r="J9825" t="s">
        <v>21606</v>
      </c>
    </row>
    <row r="9826" spans="1:10" x14ac:dyDescent="0.25">
      <c r="A9826" t="s">
        <v>29686</v>
      </c>
      <c r="B9826">
        <v>13.992000000000001</v>
      </c>
      <c r="C9826" t="s">
        <v>29687</v>
      </c>
      <c r="D9826" t="s">
        <v>53</v>
      </c>
      <c r="E9826" t="s">
        <v>29678</v>
      </c>
      <c r="F9826" t="s">
        <v>7672</v>
      </c>
      <c r="G9826" t="s">
        <v>29679</v>
      </c>
      <c r="H9826" t="s">
        <v>11598</v>
      </c>
      <c r="I9826" t="s">
        <v>76</v>
      </c>
      <c r="J9826" t="s">
        <v>9775</v>
      </c>
    </row>
    <row r="9827" spans="1:10" x14ac:dyDescent="0.25">
      <c r="A9827" t="s">
        <v>29688</v>
      </c>
      <c r="B9827">
        <v>13.992000000000001</v>
      </c>
      <c r="C9827" t="s">
        <v>29689</v>
      </c>
      <c r="D9827" t="s">
        <v>95</v>
      </c>
      <c r="E9827" t="s">
        <v>29678</v>
      </c>
      <c r="F9827" t="s">
        <v>7672</v>
      </c>
      <c r="G9827" t="s">
        <v>29679</v>
      </c>
      <c r="H9827" t="s">
        <v>11598</v>
      </c>
      <c r="I9827" t="s">
        <v>17425</v>
      </c>
      <c r="J9827" t="s">
        <v>9775</v>
      </c>
    </row>
    <row r="9828" spans="1:10" x14ac:dyDescent="0.25">
      <c r="A9828" t="s">
        <v>29690</v>
      </c>
      <c r="B9828">
        <v>13.992000000000001</v>
      </c>
      <c r="C9828" t="s">
        <v>29691</v>
      </c>
      <c r="D9828" t="s">
        <v>88</v>
      </c>
      <c r="E9828" t="s">
        <v>29678</v>
      </c>
      <c r="F9828" t="s">
        <v>7672</v>
      </c>
      <c r="G9828" t="s">
        <v>29679</v>
      </c>
      <c r="H9828" t="s">
        <v>11598</v>
      </c>
      <c r="I9828" t="s">
        <v>17425</v>
      </c>
      <c r="J9828" t="s">
        <v>21609</v>
      </c>
    </row>
    <row r="9829" spans="1:10" x14ac:dyDescent="0.25">
      <c r="A9829" t="s">
        <v>29692</v>
      </c>
      <c r="B9829">
        <v>13.992000000000001</v>
      </c>
      <c r="C9829" t="s">
        <v>29693</v>
      </c>
      <c r="D9829" t="s">
        <v>131</v>
      </c>
      <c r="E9829" t="s">
        <v>29678</v>
      </c>
      <c r="F9829" t="s">
        <v>7672</v>
      </c>
      <c r="G9829" t="s">
        <v>29679</v>
      </c>
      <c r="H9829" t="s">
        <v>11598</v>
      </c>
      <c r="I9829" t="s">
        <v>17425</v>
      </c>
      <c r="J9829" t="s">
        <v>21612</v>
      </c>
    </row>
    <row r="9830" spans="1:10" x14ac:dyDescent="0.25">
      <c r="A9830" t="s">
        <v>29694</v>
      </c>
      <c r="B9830">
        <v>13.992000000000001</v>
      </c>
      <c r="C9830" t="s">
        <v>29695</v>
      </c>
      <c r="D9830" t="s">
        <v>106</v>
      </c>
      <c r="E9830" t="s">
        <v>29678</v>
      </c>
      <c r="F9830" t="s">
        <v>7672</v>
      </c>
      <c r="G9830" t="s">
        <v>29679</v>
      </c>
      <c r="H9830" t="s">
        <v>11598</v>
      </c>
      <c r="I9830" t="s">
        <v>76</v>
      </c>
      <c r="J9830" t="s">
        <v>21612</v>
      </c>
    </row>
    <row r="9831" spans="1:10" x14ac:dyDescent="0.25">
      <c r="A9831" t="s">
        <v>475</v>
      </c>
      <c r="B9831">
        <v>16</v>
      </c>
      <c r="C9831" t="s">
        <v>477</v>
      </c>
      <c r="D9831" t="s">
        <v>282</v>
      </c>
      <c r="E9831" t="s">
        <v>478</v>
      </c>
      <c r="F9831" t="s">
        <v>7672</v>
      </c>
      <c r="G9831" t="s">
        <v>29696</v>
      </c>
      <c r="H9831" t="s">
        <v>23005</v>
      </c>
      <c r="I9831" t="s">
        <v>481</v>
      </c>
      <c r="J9831" t="s">
        <v>131</v>
      </c>
    </row>
    <row r="9832" spans="1:10" x14ac:dyDescent="0.25">
      <c r="A9832" t="s">
        <v>482</v>
      </c>
      <c r="B9832">
        <v>16</v>
      </c>
      <c r="C9832" t="s">
        <v>484</v>
      </c>
      <c r="D9832" t="s">
        <v>255</v>
      </c>
      <c r="E9832" t="s">
        <v>478</v>
      </c>
      <c r="F9832" t="s">
        <v>7672</v>
      </c>
      <c r="G9832" t="s">
        <v>29696</v>
      </c>
      <c r="H9832" t="s">
        <v>23005</v>
      </c>
      <c r="I9832" t="s">
        <v>29697</v>
      </c>
      <c r="J9832" t="s">
        <v>131</v>
      </c>
    </row>
    <row r="9833" spans="1:10" x14ac:dyDescent="0.25">
      <c r="A9833" t="s">
        <v>29698</v>
      </c>
      <c r="B9833">
        <v>64</v>
      </c>
      <c r="C9833" t="s">
        <v>29699</v>
      </c>
      <c r="D9833" t="s">
        <v>2879</v>
      </c>
      <c r="E9833" t="s">
        <v>29700</v>
      </c>
      <c r="F9833" t="s">
        <v>7672</v>
      </c>
      <c r="G9833" t="s">
        <v>29701</v>
      </c>
      <c r="H9833" t="s">
        <v>9693</v>
      </c>
      <c r="I9833" t="s">
        <v>22191</v>
      </c>
      <c r="J9833" t="s">
        <v>9694</v>
      </c>
    </row>
    <row r="9834" spans="1:10" x14ac:dyDescent="0.25">
      <c r="A9834" t="s">
        <v>487</v>
      </c>
      <c r="B9834">
        <v>6.4</v>
      </c>
      <c r="C9834" t="s">
        <v>489</v>
      </c>
      <c r="D9834" t="s">
        <v>53</v>
      </c>
      <c r="E9834" t="s">
        <v>490</v>
      </c>
      <c r="F9834" t="s">
        <v>7672</v>
      </c>
      <c r="G9834" t="s">
        <v>29702</v>
      </c>
      <c r="H9834" t="s">
        <v>11496</v>
      </c>
      <c r="I9834" t="s">
        <v>5202</v>
      </c>
      <c r="J9834" t="s">
        <v>10862</v>
      </c>
    </row>
    <row r="9835" spans="1:10" x14ac:dyDescent="0.25">
      <c r="A9835" t="s">
        <v>493</v>
      </c>
      <c r="B9835">
        <v>6.4</v>
      </c>
      <c r="C9835" t="s">
        <v>495</v>
      </c>
      <c r="D9835" t="s">
        <v>245</v>
      </c>
      <c r="E9835" t="s">
        <v>490</v>
      </c>
      <c r="F9835" t="s">
        <v>7672</v>
      </c>
      <c r="G9835" t="s">
        <v>29702</v>
      </c>
      <c r="H9835" t="s">
        <v>11496</v>
      </c>
      <c r="I9835" t="s">
        <v>5202</v>
      </c>
      <c r="J9835" t="s">
        <v>9426</v>
      </c>
    </row>
    <row r="9836" spans="1:10" x14ac:dyDescent="0.25">
      <c r="A9836" t="s">
        <v>498</v>
      </c>
      <c r="B9836">
        <v>6.4</v>
      </c>
      <c r="C9836" t="s">
        <v>500</v>
      </c>
      <c r="D9836" t="s">
        <v>199</v>
      </c>
      <c r="E9836" t="s">
        <v>490</v>
      </c>
      <c r="F9836" t="s">
        <v>7672</v>
      </c>
      <c r="G9836" t="s">
        <v>29702</v>
      </c>
      <c r="H9836" t="s">
        <v>11496</v>
      </c>
      <c r="I9836" t="s">
        <v>5202</v>
      </c>
      <c r="J9836" t="s">
        <v>13084</v>
      </c>
    </row>
    <row r="9837" spans="1:10" x14ac:dyDescent="0.25">
      <c r="A9837" t="s">
        <v>29703</v>
      </c>
      <c r="B9837">
        <v>8.3920000000000012</v>
      </c>
      <c r="C9837" t="s">
        <v>29704</v>
      </c>
      <c r="D9837" t="s">
        <v>366</v>
      </c>
      <c r="E9837" t="s">
        <v>29705</v>
      </c>
      <c r="F9837" t="s">
        <v>7672</v>
      </c>
      <c r="G9837" t="s">
        <v>29706</v>
      </c>
      <c r="H9837" t="s">
        <v>10298</v>
      </c>
      <c r="I9837" t="s">
        <v>9807</v>
      </c>
      <c r="J9837" t="s">
        <v>15177</v>
      </c>
    </row>
    <row r="9838" spans="1:10" x14ac:dyDescent="0.25">
      <c r="A9838" t="s">
        <v>29707</v>
      </c>
      <c r="B9838">
        <v>8.3920000000000012</v>
      </c>
      <c r="C9838" t="s">
        <v>29708</v>
      </c>
      <c r="D9838" t="s">
        <v>6257</v>
      </c>
      <c r="E9838" t="s">
        <v>29705</v>
      </c>
      <c r="F9838" t="s">
        <v>7672</v>
      </c>
      <c r="G9838" t="s">
        <v>29706</v>
      </c>
      <c r="H9838" t="s">
        <v>10298</v>
      </c>
      <c r="I9838" t="s">
        <v>9807</v>
      </c>
      <c r="J9838" t="s">
        <v>29709</v>
      </c>
    </row>
    <row r="9839" spans="1:10" x14ac:dyDescent="0.25">
      <c r="A9839" t="s">
        <v>29710</v>
      </c>
      <c r="B9839">
        <v>8.3920000000000012</v>
      </c>
      <c r="C9839" t="s">
        <v>29711</v>
      </c>
      <c r="D9839" t="s">
        <v>1874</v>
      </c>
      <c r="E9839" t="s">
        <v>29705</v>
      </c>
      <c r="F9839" t="s">
        <v>7672</v>
      </c>
      <c r="G9839" t="s">
        <v>29706</v>
      </c>
      <c r="H9839" t="s">
        <v>10298</v>
      </c>
      <c r="I9839" t="s">
        <v>9807</v>
      </c>
      <c r="J9839" t="s">
        <v>29712</v>
      </c>
    </row>
    <row r="9840" spans="1:10" x14ac:dyDescent="0.25">
      <c r="A9840" t="s">
        <v>29713</v>
      </c>
      <c r="B9840">
        <v>8.3920000000000012</v>
      </c>
      <c r="C9840" t="s">
        <v>29714</v>
      </c>
      <c r="D9840" t="s">
        <v>10774</v>
      </c>
      <c r="E9840" t="s">
        <v>29705</v>
      </c>
      <c r="F9840" t="s">
        <v>7672</v>
      </c>
      <c r="G9840" t="s">
        <v>29706</v>
      </c>
      <c r="H9840" t="s">
        <v>10298</v>
      </c>
      <c r="I9840" t="s">
        <v>9807</v>
      </c>
      <c r="J9840" t="s">
        <v>29715</v>
      </c>
    </row>
    <row r="9841" spans="1:10" x14ac:dyDescent="0.25">
      <c r="A9841" t="s">
        <v>29716</v>
      </c>
      <c r="B9841">
        <v>8.3920000000000012</v>
      </c>
      <c r="C9841" t="s">
        <v>29717</v>
      </c>
      <c r="D9841" t="s">
        <v>9583</v>
      </c>
      <c r="E9841" t="s">
        <v>29705</v>
      </c>
      <c r="F9841" t="s">
        <v>7672</v>
      </c>
      <c r="G9841" t="s">
        <v>29706</v>
      </c>
      <c r="H9841" t="s">
        <v>10298</v>
      </c>
      <c r="I9841" t="s">
        <v>9807</v>
      </c>
      <c r="J9841" t="s">
        <v>29718</v>
      </c>
    </row>
    <row r="9842" spans="1:10" x14ac:dyDescent="0.25">
      <c r="A9842" t="s">
        <v>29719</v>
      </c>
      <c r="B9842">
        <v>8.3920000000000012</v>
      </c>
      <c r="C9842" t="s">
        <v>29720</v>
      </c>
      <c r="D9842" t="s">
        <v>781</v>
      </c>
      <c r="E9842" t="s">
        <v>29705</v>
      </c>
      <c r="F9842" t="s">
        <v>7672</v>
      </c>
      <c r="G9842" t="s">
        <v>29706</v>
      </c>
      <c r="H9842" t="s">
        <v>10298</v>
      </c>
      <c r="I9842" t="s">
        <v>9807</v>
      </c>
      <c r="J9842" t="s">
        <v>29721</v>
      </c>
    </row>
    <row r="9843" spans="1:10" x14ac:dyDescent="0.25">
      <c r="A9843" t="s">
        <v>29722</v>
      </c>
      <c r="B9843">
        <v>8.3920000000000012</v>
      </c>
      <c r="C9843" t="s">
        <v>29723</v>
      </c>
      <c r="D9843" t="s">
        <v>3184</v>
      </c>
      <c r="E9843" t="s">
        <v>29705</v>
      </c>
      <c r="F9843" t="s">
        <v>7672</v>
      </c>
      <c r="G9843" t="s">
        <v>29706</v>
      </c>
      <c r="H9843" t="s">
        <v>10298</v>
      </c>
      <c r="I9843" t="s">
        <v>9807</v>
      </c>
      <c r="J9843" t="s">
        <v>11337</v>
      </c>
    </row>
    <row r="9844" spans="1:10" x14ac:dyDescent="0.25">
      <c r="A9844" t="s">
        <v>29724</v>
      </c>
      <c r="B9844">
        <v>8.3920000000000012</v>
      </c>
      <c r="C9844" t="s">
        <v>29725</v>
      </c>
      <c r="D9844" t="s">
        <v>875</v>
      </c>
      <c r="E9844" t="s">
        <v>29705</v>
      </c>
      <c r="F9844" t="s">
        <v>7672</v>
      </c>
      <c r="G9844" t="s">
        <v>29706</v>
      </c>
      <c r="H9844" t="s">
        <v>10298</v>
      </c>
      <c r="I9844" t="s">
        <v>76</v>
      </c>
      <c r="J9844" t="s">
        <v>11337</v>
      </c>
    </row>
    <row r="9845" spans="1:10" x14ac:dyDescent="0.25">
      <c r="A9845" t="s">
        <v>29726</v>
      </c>
      <c r="B9845">
        <v>8.3920000000000012</v>
      </c>
      <c r="C9845" t="s">
        <v>29727</v>
      </c>
      <c r="D9845" t="s">
        <v>843</v>
      </c>
      <c r="E9845" t="s">
        <v>29705</v>
      </c>
      <c r="F9845" t="s">
        <v>7672</v>
      </c>
      <c r="G9845" t="s">
        <v>29706</v>
      </c>
      <c r="H9845" t="s">
        <v>10298</v>
      </c>
      <c r="I9845" t="s">
        <v>9807</v>
      </c>
      <c r="J9845" t="s">
        <v>11338</v>
      </c>
    </row>
    <row r="9846" spans="1:10" x14ac:dyDescent="0.25">
      <c r="A9846" t="s">
        <v>29728</v>
      </c>
      <c r="B9846">
        <v>8.3920000000000012</v>
      </c>
      <c r="C9846" t="s">
        <v>29729</v>
      </c>
      <c r="D9846" t="s">
        <v>715</v>
      </c>
      <c r="E9846" t="s">
        <v>29705</v>
      </c>
      <c r="F9846" t="s">
        <v>7672</v>
      </c>
      <c r="G9846" t="s">
        <v>29706</v>
      </c>
      <c r="H9846" t="s">
        <v>10298</v>
      </c>
      <c r="I9846" t="s">
        <v>9807</v>
      </c>
      <c r="J9846" t="s">
        <v>11339</v>
      </c>
    </row>
    <row r="9847" spans="1:10" x14ac:dyDescent="0.25">
      <c r="A9847" t="s">
        <v>29730</v>
      </c>
      <c r="B9847">
        <v>8.3920000000000012</v>
      </c>
      <c r="C9847" t="s">
        <v>29731</v>
      </c>
      <c r="D9847" t="s">
        <v>986</v>
      </c>
      <c r="E9847" t="s">
        <v>29705</v>
      </c>
      <c r="F9847" t="s">
        <v>7672</v>
      </c>
      <c r="G9847" t="s">
        <v>29706</v>
      </c>
      <c r="H9847" t="s">
        <v>10298</v>
      </c>
      <c r="I9847" t="s">
        <v>9807</v>
      </c>
      <c r="J9847" t="s">
        <v>11340</v>
      </c>
    </row>
    <row r="9848" spans="1:10" x14ac:dyDescent="0.25">
      <c r="A9848" t="s">
        <v>29732</v>
      </c>
      <c r="B9848">
        <v>8.3920000000000012</v>
      </c>
      <c r="C9848" t="s">
        <v>29733</v>
      </c>
      <c r="D9848" t="s">
        <v>1386</v>
      </c>
      <c r="E9848" t="s">
        <v>29705</v>
      </c>
      <c r="F9848" t="s">
        <v>7672</v>
      </c>
      <c r="G9848" t="s">
        <v>29706</v>
      </c>
      <c r="H9848" t="s">
        <v>10298</v>
      </c>
      <c r="I9848" t="s">
        <v>9807</v>
      </c>
      <c r="J9848" t="s">
        <v>17765</v>
      </c>
    </row>
    <row r="9849" spans="1:10" x14ac:dyDescent="0.25">
      <c r="A9849" t="s">
        <v>29734</v>
      </c>
      <c r="B9849">
        <v>8.3920000000000012</v>
      </c>
      <c r="C9849" t="s">
        <v>29735</v>
      </c>
      <c r="D9849" t="s">
        <v>5592</v>
      </c>
      <c r="E9849" t="s">
        <v>29705</v>
      </c>
      <c r="F9849" t="s">
        <v>7672</v>
      </c>
      <c r="G9849" t="s">
        <v>29706</v>
      </c>
      <c r="H9849" t="s">
        <v>10298</v>
      </c>
      <c r="I9849" t="s">
        <v>9807</v>
      </c>
      <c r="J9849" t="s">
        <v>29736</v>
      </c>
    </row>
    <row r="9850" spans="1:10" x14ac:dyDescent="0.25">
      <c r="A9850" t="s">
        <v>29737</v>
      </c>
      <c r="B9850">
        <v>102</v>
      </c>
      <c r="C9850" t="s">
        <v>29738</v>
      </c>
      <c r="D9850" t="s">
        <v>6257</v>
      </c>
      <c r="E9850" t="s">
        <v>29739</v>
      </c>
      <c r="F9850" t="s">
        <v>7672</v>
      </c>
      <c r="G9850" t="s">
        <v>29740</v>
      </c>
      <c r="H9850" t="s">
        <v>9693</v>
      </c>
      <c r="I9850" t="s">
        <v>17521</v>
      </c>
      <c r="J9850" t="s">
        <v>9694</v>
      </c>
    </row>
    <row r="9851" spans="1:10" x14ac:dyDescent="0.25">
      <c r="A9851" t="s">
        <v>29741</v>
      </c>
      <c r="B9851">
        <v>6.8000000000000007</v>
      </c>
      <c r="C9851" t="s">
        <v>29742</v>
      </c>
      <c r="D9851" t="s">
        <v>436</v>
      </c>
      <c r="E9851" t="s">
        <v>29743</v>
      </c>
      <c r="F9851" t="s">
        <v>7672</v>
      </c>
      <c r="G9851" t="s">
        <v>29744</v>
      </c>
      <c r="H9851" t="s">
        <v>11496</v>
      </c>
      <c r="I9851" t="s">
        <v>235</v>
      </c>
      <c r="J9851" t="s">
        <v>9423</v>
      </c>
    </row>
    <row r="9852" spans="1:10" x14ac:dyDescent="0.25">
      <c r="A9852" t="s">
        <v>29745</v>
      </c>
      <c r="B9852">
        <v>6.8000000000000007</v>
      </c>
      <c r="C9852" t="s">
        <v>29746</v>
      </c>
      <c r="D9852" t="s">
        <v>245</v>
      </c>
      <c r="E9852" t="s">
        <v>29743</v>
      </c>
      <c r="F9852" t="s">
        <v>7672</v>
      </c>
      <c r="G9852" t="s">
        <v>29744</v>
      </c>
      <c r="H9852" t="s">
        <v>11496</v>
      </c>
      <c r="I9852" t="s">
        <v>235</v>
      </c>
      <c r="J9852" t="s">
        <v>10862</v>
      </c>
    </row>
    <row r="9853" spans="1:10" x14ac:dyDescent="0.25">
      <c r="A9853" t="s">
        <v>29747</v>
      </c>
      <c r="B9853">
        <v>6.8000000000000007</v>
      </c>
      <c r="C9853" t="s">
        <v>29748</v>
      </c>
      <c r="D9853" t="s">
        <v>245</v>
      </c>
      <c r="E9853" t="s">
        <v>29743</v>
      </c>
      <c r="F9853" t="s">
        <v>7672</v>
      </c>
      <c r="G9853" t="s">
        <v>29744</v>
      </c>
      <c r="H9853" t="s">
        <v>11496</v>
      </c>
      <c r="I9853" t="s">
        <v>235</v>
      </c>
      <c r="J9853" t="s">
        <v>9426</v>
      </c>
    </row>
    <row r="9854" spans="1:10" x14ac:dyDescent="0.25">
      <c r="A9854" t="s">
        <v>29749</v>
      </c>
      <c r="B9854">
        <v>6.8000000000000007</v>
      </c>
      <c r="C9854" t="s">
        <v>29750</v>
      </c>
      <c r="D9854" t="s">
        <v>588</v>
      </c>
      <c r="E9854" t="s">
        <v>29743</v>
      </c>
      <c r="F9854" t="s">
        <v>7672</v>
      </c>
      <c r="G9854" t="s">
        <v>29744</v>
      </c>
      <c r="H9854" t="s">
        <v>11496</v>
      </c>
      <c r="I9854" t="s">
        <v>235</v>
      </c>
      <c r="J9854" t="s">
        <v>13084</v>
      </c>
    </row>
    <row r="9855" spans="1:10" x14ac:dyDescent="0.25">
      <c r="A9855" t="s">
        <v>29751</v>
      </c>
      <c r="B9855">
        <v>6.8000000000000007</v>
      </c>
      <c r="C9855" t="s">
        <v>29752</v>
      </c>
      <c r="D9855" t="s">
        <v>277</v>
      </c>
      <c r="E9855" t="s">
        <v>29743</v>
      </c>
      <c r="F9855" t="s">
        <v>7672</v>
      </c>
      <c r="G9855" t="s">
        <v>29744</v>
      </c>
      <c r="H9855" t="s">
        <v>11496</v>
      </c>
      <c r="I9855" t="s">
        <v>235</v>
      </c>
      <c r="J9855" t="s">
        <v>11767</v>
      </c>
    </row>
    <row r="9856" spans="1:10" x14ac:dyDescent="0.25">
      <c r="A9856" t="s">
        <v>29753</v>
      </c>
      <c r="B9856">
        <v>6.8000000000000007</v>
      </c>
      <c r="C9856" t="s">
        <v>29754</v>
      </c>
      <c r="D9856" t="s">
        <v>255</v>
      </c>
      <c r="E9856" t="s">
        <v>29743</v>
      </c>
      <c r="F9856" t="s">
        <v>7672</v>
      </c>
      <c r="G9856" t="s">
        <v>29744</v>
      </c>
      <c r="H9856" t="s">
        <v>11496</v>
      </c>
      <c r="I9856" t="s">
        <v>235</v>
      </c>
      <c r="J9856" t="s">
        <v>11582</v>
      </c>
    </row>
    <row r="9857" spans="1:10" x14ac:dyDescent="0.25">
      <c r="A9857" t="s">
        <v>502</v>
      </c>
      <c r="B9857">
        <v>19.600000000000001</v>
      </c>
      <c r="C9857" t="s">
        <v>504</v>
      </c>
      <c r="D9857" t="s">
        <v>255</v>
      </c>
      <c r="E9857" t="s">
        <v>505</v>
      </c>
      <c r="F9857" t="s">
        <v>7672</v>
      </c>
      <c r="G9857" t="s">
        <v>29755</v>
      </c>
      <c r="H9857" t="s">
        <v>7954</v>
      </c>
      <c r="I9857" t="s">
        <v>278</v>
      </c>
      <c r="J9857" t="s">
        <v>7942</v>
      </c>
    </row>
    <row r="9858" spans="1:10" x14ac:dyDescent="0.25">
      <c r="A9858" t="s">
        <v>508</v>
      </c>
      <c r="B9858">
        <v>19.600000000000001</v>
      </c>
      <c r="C9858" t="s">
        <v>510</v>
      </c>
      <c r="D9858" t="s">
        <v>250</v>
      </c>
      <c r="E9858" t="s">
        <v>505</v>
      </c>
      <c r="F9858" t="s">
        <v>7672</v>
      </c>
      <c r="G9858" t="s">
        <v>29755</v>
      </c>
      <c r="H9858" t="s">
        <v>7954</v>
      </c>
      <c r="I9858" t="s">
        <v>278</v>
      </c>
      <c r="J9858" t="s">
        <v>7981</v>
      </c>
    </row>
    <row r="9859" spans="1:10" x14ac:dyDescent="0.25">
      <c r="A9859" t="s">
        <v>512</v>
      </c>
      <c r="B9859">
        <v>19.600000000000001</v>
      </c>
      <c r="C9859" t="s">
        <v>514</v>
      </c>
      <c r="D9859" t="s">
        <v>516</v>
      </c>
      <c r="E9859" t="s">
        <v>505</v>
      </c>
      <c r="F9859" t="s">
        <v>7672</v>
      </c>
      <c r="G9859" t="s">
        <v>29755</v>
      </c>
      <c r="H9859" t="s">
        <v>7954</v>
      </c>
      <c r="I9859" t="s">
        <v>278</v>
      </c>
      <c r="J9859" t="s">
        <v>7984</v>
      </c>
    </row>
    <row r="9860" spans="1:10" x14ac:dyDescent="0.25">
      <c r="A9860" t="s">
        <v>517</v>
      </c>
      <c r="B9860">
        <v>19.600000000000001</v>
      </c>
      <c r="C9860" t="s">
        <v>519</v>
      </c>
      <c r="D9860" t="s">
        <v>385</v>
      </c>
      <c r="E9860" t="s">
        <v>505</v>
      </c>
      <c r="F9860" t="s">
        <v>7672</v>
      </c>
      <c r="G9860" t="s">
        <v>29755</v>
      </c>
      <c r="H9860" t="s">
        <v>7954</v>
      </c>
      <c r="I9860" t="s">
        <v>278</v>
      </c>
      <c r="J9860" t="s">
        <v>7987</v>
      </c>
    </row>
    <row r="9861" spans="1:10" x14ac:dyDescent="0.25">
      <c r="A9861" t="s">
        <v>521</v>
      </c>
      <c r="B9861">
        <v>19.600000000000001</v>
      </c>
      <c r="C9861" t="s">
        <v>523</v>
      </c>
      <c r="D9861" t="s">
        <v>88</v>
      </c>
      <c r="E9861" t="s">
        <v>505</v>
      </c>
      <c r="F9861" t="s">
        <v>7672</v>
      </c>
      <c r="G9861" t="s">
        <v>29755</v>
      </c>
      <c r="H9861" t="s">
        <v>7954</v>
      </c>
      <c r="I9861" t="s">
        <v>278</v>
      </c>
      <c r="J9861" t="s">
        <v>8001</v>
      </c>
    </row>
    <row r="9862" spans="1:10" x14ac:dyDescent="0.25">
      <c r="A9862" t="s">
        <v>29756</v>
      </c>
      <c r="B9862">
        <v>4.8000000000000007</v>
      </c>
      <c r="C9862" t="s">
        <v>29757</v>
      </c>
      <c r="D9862" t="s">
        <v>250</v>
      </c>
      <c r="E9862" t="s">
        <v>29758</v>
      </c>
      <c r="F9862" t="s">
        <v>7672</v>
      </c>
      <c r="G9862" t="s">
        <v>29759</v>
      </c>
      <c r="H9862" t="s">
        <v>11496</v>
      </c>
      <c r="I9862" t="s">
        <v>29760</v>
      </c>
      <c r="J9862" t="s">
        <v>9423</v>
      </c>
    </row>
    <row r="9863" spans="1:10" x14ac:dyDescent="0.25">
      <c r="A9863" t="s">
        <v>29761</v>
      </c>
      <c r="B9863">
        <v>4.8000000000000007</v>
      </c>
      <c r="C9863" t="s">
        <v>29762</v>
      </c>
      <c r="D9863" t="s">
        <v>2253</v>
      </c>
      <c r="E9863" t="s">
        <v>29758</v>
      </c>
      <c r="F9863" t="s">
        <v>7672</v>
      </c>
      <c r="G9863" t="s">
        <v>29759</v>
      </c>
      <c r="H9863" t="s">
        <v>11496</v>
      </c>
      <c r="I9863" t="s">
        <v>29760</v>
      </c>
      <c r="J9863" t="s">
        <v>10862</v>
      </c>
    </row>
    <row r="9864" spans="1:10" x14ac:dyDescent="0.25">
      <c r="A9864" t="s">
        <v>29763</v>
      </c>
      <c r="B9864">
        <v>4.8000000000000007</v>
      </c>
      <c r="C9864" t="s">
        <v>29764</v>
      </c>
      <c r="D9864" t="s">
        <v>2253</v>
      </c>
      <c r="E9864" t="s">
        <v>29758</v>
      </c>
      <c r="F9864" t="s">
        <v>7672</v>
      </c>
      <c r="G9864" t="s">
        <v>29759</v>
      </c>
      <c r="H9864" t="s">
        <v>11496</v>
      </c>
      <c r="I9864" t="s">
        <v>29760</v>
      </c>
      <c r="J9864" t="s">
        <v>9426</v>
      </c>
    </row>
    <row r="9865" spans="1:10" x14ac:dyDescent="0.25">
      <c r="A9865" t="s">
        <v>29765</v>
      </c>
      <c r="B9865">
        <v>4.8000000000000007</v>
      </c>
      <c r="C9865" t="s">
        <v>29766</v>
      </c>
      <c r="D9865" t="s">
        <v>698</v>
      </c>
      <c r="E9865" t="s">
        <v>29758</v>
      </c>
      <c r="F9865" t="s">
        <v>7672</v>
      </c>
      <c r="G9865" t="s">
        <v>29759</v>
      </c>
      <c r="H9865" t="s">
        <v>11496</v>
      </c>
      <c r="I9865" t="s">
        <v>29760</v>
      </c>
      <c r="J9865" t="s">
        <v>13084</v>
      </c>
    </row>
    <row r="9866" spans="1:10" x14ac:dyDescent="0.25">
      <c r="A9866" t="s">
        <v>29767</v>
      </c>
      <c r="B9866">
        <v>8.4</v>
      </c>
      <c r="C9866" t="s">
        <v>29768</v>
      </c>
      <c r="D9866" t="s">
        <v>164</v>
      </c>
      <c r="E9866" t="s">
        <v>29769</v>
      </c>
      <c r="F9866" t="s">
        <v>7672</v>
      </c>
      <c r="G9866" t="s">
        <v>29770</v>
      </c>
      <c r="H9866" t="s">
        <v>11496</v>
      </c>
      <c r="I9866" t="s">
        <v>29771</v>
      </c>
      <c r="J9866" t="s">
        <v>100</v>
      </c>
    </row>
    <row r="9867" spans="1:10" x14ac:dyDescent="0.25">
      <c r="A9867" t="s">
        <v>29772</v>
      </c>
      <c r="B9867">
        <v>8.4</v>
      </c>
      <c r="C9867" t="s">
        <v>29773</v>
      </c>
      <c r="D9867" t="s">
        <v>321</v>
      </c>
      <c r="E9867" t="s">
        <v>29769</v>
      </c>
      <c r="F9867" t="s">
        <v>7672</v>
      </c>
      <c r="G9867" t="s">
        <v>29770</v>
      </c>
      <c r="H9867" t="s">
        <v>11496</v>
      </c>
      <c r="I9867" t="s">
        <v>29771</v>
      </c>
      <c r="J9867" t="s">
        <v>106</v>
      </c>
    </row>
    <row r="9868" spans="1:10" x14ac:dyDescent="0.25">
      <c r="A9868" t="s">
        <v>29774</v>
      </c>
      <c r="B9868">
        <v>8.4</v>
      </c>
      <c r="C9868" t="s">
        <v>29775</v>
      </c>
      <c r="D9868" t="s">
        <v>875</v>
      </c>
      <c r="E9868" t="s">
        <v>29769</v>
      </c>
      <c r="F9868" t="s">
        <v>7672</v>
      </c>
      <c r="G9868" t="s">
        <v>29770</v>
      </c>
      <c r="H9868" t="s">
        <v>11496</v>
      </c>
      <c r="I9868" t="s">
        <v>29771</v>
      </c>
      <c r="J9868" t="s">
        <v>131</v>
      </c>
    </row>
    <row r="9869" spans="1:10" x14ac:dyDescent="0.25">
      <c r="A9869" t="s">
        <v>29776</v>
      </c>
      <c r="B9869">
        <v>8.4</v>
      </c>
      <c r="C9869" t="s">
        <v>29777</v>
      </c>
      <c r="D9869" t="s">
        <v>1644</v>
      </c>
      <c r="E9869" t="s">
        <v>29769</v>
      </c>
      <c r="F9869" t="s">
        <v>7672</v>
      </c>
      <c r="G9869" t="s">
        <v>29770</v>
      </c>
      <c r="H9869" t="s">
        <v>11496</v>
      </c>
      <c r="I9869" t="s">
        <v>29771</v>
      </c>
      <c r="J9869" t="s">
        <v>8789</v>
      </c>
    </row>
    <row r="9870" spans="1:10" x14ac:dyDescent="0.25">
      <c r="A9870" t="s">
        <v>29778</v>
      </c>
      <c r="B9870">
        <v>3.3519999999999999</v>
      </c>
      <c r="C9870" t="s">
        <v>29779</v>
      </c>
      <c r="D9870" t="s">
        <v>3258</v>
      </c>
      <c r="E9870" t="s">
        <v>29780</v>
      </c>
      <c r="F9870" t="s">
        <v>7672</v>
      </c>
      <c r="G9870" t="s">
        <v>29781</v>
      </c>
      <c r="H9870" t="s">
        <v>10298</v>
      </c>
      <c r="I9870" t="s">
        <v>11699</v>
      </c>
      <c r="J9870" t="s">
        <v>12182</v>
      </c>
    </row>
    <row r="9871" spans="1:10" x14ac:dyDescent="0.25">
      <c r="A9871" t="s">
        <v>29782</v>
      </c>
      <c r="B9871">
        <v>3.3519999999999999</v>
      </c>
      <c r="C9871" t="s">
        <v>29783</v>
      </c>
      <c r="D9871" t="s">
        <v>450</v>
      </c>
      <c r="E9871" t="s">
        <v>29780</v>
      </c>
      <c r="F9871" t="s">
        <v>7672</v>
      </c>
      <c r="G9871" t="s">
        <v>29781</v>
      </c>
      <c r="H9871" t="s">
        <v>10298</v>
      </c>
      <c r="I9871" t="s">
        <v>11699</v>
      </c>
      <c r="J9871" t="s">
        <v>10150</v>
      </c>
    </row>
    <row r="9872" spans="1:10" x14ac:dyDescent="0.25">
      <c r="A9872" t="s">
        <v>29784</v>
      </c>
      <c r="B9872">
        <v>7.4960000000000004</v>
      </c>
      <c r="C9872" t="s">
        <v>29785</v>
      </c>
      <c r="D9872" t="s">
        <v>626</v>
      </c>
      <c r="E9872" t="s">
        <v>29786</v>
      </c>
      <c r="F9872" t="s">
        <v>7672</v>
      </c>
      <c r="G9872" t="s">
        <v>29787</v>
      </c>
      <c r="H9872" t="s">
        <v>7674</v>
      </c>
      <c r="I9872" t="s">
        <v>11805</v>
      </c>
      <c r="J9872" t="s">
        <v>9183</v>
      </c>
    </row>
    <row r="9873" spans="1:10" x14ac:dyDescent="0.25">
      <c r="A9873" t="s">
        <v>29788</v>
      </c>
      <c r="B9873">
        <v>7.4960000000000004</v>
      </c>
      <c r="C9873" t="s">
        <v>29789</v>
      </c>
      <c r="D9873" t="s">
        <v>13198</v>
      </c>
      <c r="E9873" t="s">
        <v>29786</v>
      </c>
      <c r="F9873" t="s">
        <v>7672</v>
      </c>
      <c r="G9873" t="s">
        <v>29787</v>
      </c>
      <c r="H9873" t="s">
        <v>7674</v>
      </c>
      <c r="I9873" t="s">
        <v>1413</v>
      </c>
      <c r="J9873" t="s">
        <v>9183</v>
      </c>
    </row>
    <row r="9874" spans="1:10" x14ac:dyDescent="0.25">
      <c r="A9874" t="s">
        <v>29790</v>
      </c>
      <c r="B9874">
        <v>7.4960000000000004</v>
      </c>
      <c r="C9874" t="s">
        <v>29791</v>
      </c>
      <c r="D9874" t="s">
        <v>959</v>
      </c>
      <c r="E9874" t="s">
        <v>29786</v>
      </c>
      <c r="F9874" t="s">
        <v>7672</v>
      </c>
      <c r="G9874" t="s">
        <v>29787</v>
      </c>
      <c r="H9874" t="s">
        <v>7674</v>
      </c>
      <c r="I9874" t="s">
        <v>9245</v>
      </c>
      <c r="J9874" t="s">
        <v>9183</v>
      </c>
    </row>
    <row r="9875" spans="1:10" x14ac:dyDescent="0.25">
      <c r="A9875" t="s">
        <v>29792</v>
      </c>
      <c r="B9875">
        <v>7.4960000000000004</v>
      </c>
      <c r="C9875" t="s">
        <v>29793</v>
      </c>
      <c r="D9875" t="s">
        <v>352</v>
      </c>
      <c r="E9875" t="s">
        <v>29786</v>
      </c>
      <c r="F9875" t="s">
        <v>7672</v>
      </c>
      <c r="G9875" t="s">
        <v>29787</v>
      </c>
      <c r="H9875" t="s">
        <v>7674</v>
      </c>
      <c r="I9875" t="s">
        <v>11805</v>
      </c>
      <c r="J9875" t="s">
        <v>9194</v>
      </c>
    </row>
    <row r="9876" spans="1:10" x14ac:dyDescent="0.25">
      <c r="A9876" t="s">
        <v>29794</v>
      </c>
      <c r="B9876">
        <v>7.4960000000000004</v>
      </c>
      <c r="C9876" t="s">
        <v>29795</v>
      </c>
      <c r="D9876" t="s">
        <v>742</v>
      </c>
      <c r="E9876" t="s">
        <v>29786</v>
      </c>
      <c r="F9876" t="s">
        <v>7672</v>
      </c>
      <c r="G9876" t="s">
        <v>29787</v>
      </c>
      <c r="H9876" t="s">
        <v>7674</v>
      </c>
      <c r="I9876" t="s">
        <v>1413</v>
      </c>
      <c r="J9876" t="s">
        <v>9194</v>
      </c>
    </row>
    <row r="9877" spans="1:10" x14ac:dyDescent="0.25">
      <c r="A9877" t="s">
        <v>29796</v>
      </c>
      <c r="B9877">
        <v>10</v>
      </c>
      <c r="C9877" t="s">
        <v>29797</v>
      </c>
      <c r="D9877" t="s">
        <v>10449</v>
      </c>
      <c r="E9877" t="s">
        <v>29798</v>
      </c>
      <c r="F9877" t="s">
        <v>7672</v>
      </c>
      <c r="G9877" t="s">
        <v>29799</v>
      </c>
      <c r="H9877" t="s">
        <v>22358</v>
      </c>
      <c r="I9877" t="s">
        <v>10802</v>
      </c>
      <c r="J9877" t="s">
        <v>10369</v>
      </c>
    </row>
    <row r="9878" spans="1:10" x14ac:dyDescent="0.25">
      <c r="A9878" t="s">
        <v>29800</v>
      </c>
      <c r="B9878">
        <v>10</v>
      </c>
      <c r="C9878" t="s">
        <v>29801</v>
      </c>
      <c r="D9878" t="s">
        <v>4679</v>
      </c>
      <c r="E9878" t="s">
        <v>29798</v>
      </c>
      <c r="F9878" t="s">
        <v>7672</v>
      </c>
      <c r="G9878" t="s">
        <v>29799</v>
      </c>
      <c r="H9878" t="s">
        <v>22358</v>
      </c>
      <c r="I9878" t="s">
        <v>10802</v>
      </c>
      <c r="J9878" t="s">
        <v>11590</v>
      </c>
    </row>
    <row r="9879" spans="1:10" x14ac:dyDescent="0.25">
      <c r="A9879" t="s">
        <v>29802</v>
      </c>
      <c r="B9879">
        <v>10</v>
      </c>
      <c r="C9879" t="s">
        <v>29803</v>
      </c>
      <c r="D9879" t="s">
        <v>3988</v>
      </c>
      <c r="E9879" t="s">
        <v>29798</v>
      </c>
      <c r="F9879" t="s">
        <v>7672</v>
      </c>
      <c r="G9879" t="s">
        <v>29799</v>
      </c>
      <c r="H9879" t="s">
        <v>22358</v>
      </c>
      <c r="I9879" t="s">
        <v>10802</v>
      </c>
      <c r="J9879" t="s">
        <v>11593</v>
      </c>
    </row>
    <row r="9880" spans="1:10" x14ac:dyDescent="0.25">
      <c r="A9880" t="s">
        <v>29804</v>
      </c>
      <c r="B9880">
        <v>11.696</v>
      </c>
      <c r="C9880" t="s">
        <v>29805</v>
      </c>
      <c r="D9880" t="s">
        <v>100</v>
      </c>
      <c r="E9880" t="s">
        <v>29806</v>
      </c>
      <c r="F9880" t="s">
        <v>7672</v>
      </c>
      <c r="G9880" t="s">
        <v>29807</v>
      </c>
      <c r="H9880" t="s">
        <v>8027</v>
      </c>
      <c r="I9880" t="s">
        <v>21011</v>
      </c>
      <c r="J9880" t="s">
        <v>9110</v>
      </c>
    </row>
    <row r="9881" spans="1:10" x14ac:dyDescent="0.25">
      <c r="A9881" t="s">
        <v>29808</v>
      </c>
      <c r="B9881">
        <v>6.48</v>
      </c>
      <c r="C9881" t="s">
        <v>29809</v>
      </c>
      <c r="D9881" t="s">
        <v>8628</v>
      </c>
      <c r="E9881" t="s">
        <v>29810</v>
      </c>
      <c r="F9881" t="s">
        <v>7672</v>
      </c>
      <c r="G9881" t="s">
        <v>29811</v>
      </c>
      <c r="H9881" t="s">
        <v>7674</v>
      </c>
      <c r="I9881" t="s">
        <v>29812</v>
      </c>
      <c r="J9881" t="s">
        <v>7981</v>
      </c>
    </row>
    <row r="9882" spans="1:10" x14ac:dyDescent="0.25">
      <c r="A9882" t="s">
        <v>29813</v>
      </c>
      <c r="B9882">
        <v>6.48</v>
      </c>
      <c r="C9882" t="s">
        <v>29814</v>
      </c>
      <c r="D9882" t="s">
        <v>8120</v>
      </c>
      <c r="E9882" t="s">
        <v>29810</v>
      </c>
      <c r="F9882" t="s">
        <v>7672</v>
      </c>
      <c r="G9882" t="s">
        <v>29811</v>
      </c>
      <c r="H9882" t="s">
        <v>7674</v>
      </c>
      <c r="I9882" t="s">
        <v>29812</v>
      </c>
      <c r="J9882" t="s">
        <v>7984</v>
      </c>
    </row>
    <row r="9883" spans="1:10" x14ac:dyDescent="0.25">
      <c r="A9883" t="s">
        <v>29815</v>
      </c>
      <c r="B9883">
        <v>6</v>
      </c>
      <c r="C9883" t="s">
        <v>29816</v>
      </c>
      <c r="D9883" t="s">
        <v>164</v>
      </c>
      <c r="E9883" t="s">
        <v>29817</v>
      </c>
      <c r="F9883" t="s">
        <v>7672</v>
      </c>
      <c r="G9883" t="s">
        <v>29818</v>
      </c>
      <c r="H9883" t="s">
        <v>20018</v>
      </c>
      <c r="I9883" t="s">
        <v>935</v>
      </c>
      <c r="J9883" t="s">
        <v>7984</v>
      </c>
    </row>
    <row r="9884" spans="1:10" x14ac:dyDescent="0.25">
      <c r="A9884" t="s">
        <v>29819</v>
      </c>
      <c r="B9884">
        <v>6</v>
      </c>
      <c r="C9884" t="s">
        <v>29820</v>
      </c>
      <c r="D9884" t="s">
        <v>1014</v>
      </c>
      <c r="E9884" t="s">
        <v>29817</v>
      </c>
      <c r="F9884" t="s">
        <v>7672</v>
      </c>
      <c r="G9884" t="s">
        <v>29818</v>
      </c>
      <c r="H9884" t="s">
        <v>20018</v>
      </c>
      <c r="I9884" t="s">
        <v>935</v>
      </c>
      <c r="J9884" t="s">
        <v>7987</v>
      </c>
    </row>
    <row r="9885" spans="1:10" x14ac:dyDescent="0.25">
      <c r="A9885" t="s">
        <v>29821</v>
      </c>
      <c r="B9885">
        <v>6</v>
      </c>
      <c r="C9885" t="s">
        <v>29822</v>
      </c>
      <c r="D9885" t="s">
        <v>1573</v>
      </c>
      <c r="E9885" t="s">
        <v>29817</v>
      </c>
      <c r="F9885" t="s">
        <v>7672</v>
      </c>
      <c r="G9885" t="s">
        <v>29818</v>
      </c>
      <c r="H9885" t="s">
        <v>20018</v>
      </c>
      <c r="I9885" t="s">
        <v>76</v>
      </c>
      <c r="J9885" t="s">
        <v>7987</v>
      </c>
    </row>
    <row r="9886" spans="1:10" x14ac:dyDescent="0.25">
      <c r="A9886" t="s">
        <v>29823</v>
      </c>
      <c r="B9886">
        <v>6</v>
      </c>
      <c r="C9886" t="s">
        <v>29824</v>
      </c>
      <c r="D9886" t="s">
        <v>964</v>
      </c>
      <c r="E9886" t="s">
        <v>29817</v>
      </c>
      <c r="F9886" t="s">
        <v>7672</v>
      </c>
      <c r="G9886" t="s">
        <v>29818</v>
      </c>
      <c r="H9886" t="s">
        <v>20018</v>
      </c>
      <c r="I9886" t="s">
        <v>935</v>
      </c>
      <c r="J9886" t="s">
        <v>8001</v>
      </c>
    </row>
    <row r="9887" spans="1:10" x14ac:dyDescent="0.25">
      <c r="A9887" t="s">
        <v>29825</v>
      </c>
      <c r="B9887">
        <v>10.352</v>
      </c>
      <c r="C9887" t="s">
        <v>29826</v>
      </c>
      <c r="D9887" t="s">
        <v>131</v>
      </c>
      <c r="E9887" t="s">
        <v>29827</v>
      </c>
      <c r="F9887" t="s">
        <v>7672</v>
      </c>
      <c r="G9887" t="s">
        <v>29828</v>
      </c>
      <c r="H9887" t="s">
        <v>11598</v>
      </c>
      <c r="I9887" t="s">
        <v>15352</v>
      </c>
      <c r="J9887" t="s">
        <v>8439</v>
      </c>
    </row>
    <row r="9888" spans="1:10" x14ac:dyDescent="0.25">
      <c r="A9888" t="s">
        <v>29829</v>
      </c>
      <c r="B9888">
        <v>10.352</v>
      </c>
      <c r="C9888" t="s">
        <v>29830</v>
      </c>
      <c r="D9888" t="s">
        <v>164</v>
      </c>
      <c r="E9888" t="s">
        <v>29827</v>
      </c>
      <c r="F9888" t="s">
        <v>7672</v>
      </c>
      <c r="G9888" t="s">
        <v>29828</v>
      </c>
      <c r="H9888" t="s">
        <v>11598</v>
      </c>
      <c r="I9888" t="s">
        <v>15352</v>
      </c>
      <c r="J9888" t="s">
        <v>8451</v>
      </c>
    </row>
    <row r="9889" spans="1:10" x14ac:dyDescent="0.25">
      <c r="A9889" t="s">
        <v>29831</v>
      </c>
      <c r="B9889">
        <v>10.352</v>
      </c>
      <c r="C9889" t="s">
        <v>29832</v>
      </c>
      <c r="D9889" t="s">
        <v>60</v>
      </c>
      <c r="E9889" t="s">
        <v>29827</v>
      </c>
      <c r="F9889" t="s">
        <v>7672</v>
      </c>
      <c r="G9889" t="s">
        <v>29828</v>
      </c>
      <c r="H9889" t="s">
        <v>11598</v>
      </c>
      <c r="I9889" t="s">
        <v>76</v>
      </c>
      <c r="J9889" t="s">
        <v>8451</v>
      </c>
    </row>
    <row r="9890" spans="1:10" x14ac:dyDescent="0.25">
      <c r="A9890" t="s">
        <v>29833</v>
      </c>
      <c r="B9890">
        <v>10.352</v>
      </c>
      <c r="C9890" t="s">
        <v>29834</v>
      </c>
      <c r="D9890" t="s">
        <v>100</v>
      </c>
      <c r="E9890" t="s">
        <v>29827</v>
      </c>
      <c r="F9890" t="s">
        <v>7672</v>
      </c>
      <c r="G9890" t="s">
        <v>29828</v>
      </c>
      <c r="H9890" t="s">
        <v>11598</v>
      </c>
      <c r="I9890" t="s">
        <v>15352</v>
      </c>
      <c r="J9890" t="s">
        <v>8462</v>
      </c>
    </row>
    <row r="9891" spans="1:10" x14ac:dyDescent="0.25">
      <c r="A9891" t="s">
        <v>29835</v>
      </c>
      <c r="B9891">
        <v>7.28</v>
      </c>
      <c r="C9891" t="s">
        <v>29836</v>
      </c>
      <c r="D9891" t="s">
        <v>29837</v>
      </c>
      <c r="E9891" t="s">
        <v>29838</v>
      </c>
      <c r="F9891" t="s">
        <v>7672</v>
      </c>
      <c r="G9891" t="s">
        <v>29839</v>
      </c>
      <c r="H9891" t="s">
        <v>13951</v>
      </c>
      <c r="I9891" t="s">
        <v>497</v>
      </c>
      <c r="J9891" t="s">
        <v>7703</v>
      </c>
    </row>
    <row r="9892" spans="1:10" x14ac:dyDescent="0.25">
      <c r="A9892" t="s">
        <v>29840</v>
      </c>
      <c r="B9892">
        <v>12.992000000000001</v>
      </c>
      <c r="C9892" t="s">
        <v>29841</v>
      </c>
      <c r="D9892" t="s">
        <v>626</v>
      </c>
      <c r="E9892" t="s">
        <v>29842</v>
      </c>
      <c r="F9892" t="s">
        <v>7672</v>
      </c>
      <c r="G9892" t="s">
        <v>29843</v>
      </c>
      <c r="H9892" t="s">
        <v>18003</v>
      </c>
      <c r="I9892" t="s">
        <v>76</v>
      </c>
      <c r="J9892" t="s">
        <v>436</v>
      </c>
    </row>
    <row r="9893" spans="1:10" x14ac:dyDescent="0.25">
      <c r="A9893" t="s">
        <v>29844</v>
      </c>
      <c r="B9893">
        <v>12.992000000000001</v>
      </c>
      <c r="C9893" t="s">
        <v>29845</v>
      </c>
      <c r="D9893" t="s">
        <v>3258</v>
      </c>
      <c r="E9893" t="s">
        <v>29842</v>
      </c>
      <c r="F9893" t="s">
        <v>7672</v>
      </c>
      <c r="G9893" t="s">
        <v>29843</v>
      </c>
      <c r="H9893" t="s">
        <v>18003</v>
      </c>
      <c r="I9893" t="s">
        <v>278</v>
      </c>
      <c r="J9893" t="s">
        <v>436</v>
      </c>
    </row>
    <row r="9894" spans="1:10" x14ac:dyDescent="0.25">
      <c r="A9894" t="s">
        <v>29846</v>
      </c>
      <c r="B9894">
        <v>6.4</v>
      </c>
      <c r="C9894" t="s">
        <v>29847</v>
      </c>
      <c r="D9894" t="s">
        <v>576</v>
      </c>
      <c r="E9894" t="s">
        <v>29848</v>
      </c>
      <c r="F9894" t="s">
        <v>7672</v>
      </c>
      <c r="G9894" t="s">
        <v>29849</v>
      </c>
      <c r="H9894" t="s">
        <v>11496</v>
      </c>
      <c r="I9894" t="s">
        <v>935</v>
      </c>
      <c r="J9894" t="s">
        <v>100</v>
      </c>
    </row>
    <row r="9895" spans="1:10" x14ac:dyDescent="0.25">
      <c r="A9895" t="s">
        <v>29850</v>
      </c>
      <c r="B9895">
        <v>6.4</v>
      </c>
      <c r="C9895" t="s">
        <v>29851</v>
      </c>
      <c r="D9895" t="s">
        <v>124</v>
      </c>
      <c r="E9895" t="s">
        <v>29848</v>
      </c>
      <c r="F9895" t="s">
        <v>7672</v>
      </c>
      <c r="G9895" t="s">
        <v>29849</v>
      </c>
      <c r="H9895" t="s">
        <v>11496</v>
      </c>
      <c r="I9895" t="s">
        <v>935</v>
      </c>
      <c r="J9895" t="s">
        <v>106</v>
      </c>
    </row>
    <row r="9896" spans="1:10" x14ac:dyDescent="0.25">
      <c r="A9896" t="s">
        <v>29852</v>
      </c>
      <c r="B9896">
        <v>6.4</v>
      </c>
      <c r="C9896" t="s">
        <v>29853</v>
      </c>
      <c r="D9896" t="s">
        <v>4804</v>
      </c>
      <c r="E9896" t="s">
        <v>29848</v>
      </c>
      <c r="F9896" t="s">
        <v>7672</v>
      </c>
      <c r="G9896" t="s">
        <v>29849</v>
      </c>
      <c r="H9896" t="s">
        <v>11496</v>
      </c>
      <c r="I9896" t="s">
        <v>935</v>
      </c>
      <c r="J9896" t="s">
        <v>8789</v>
      </c>
    </row>
    <row r="9897" spans="1:10" x14ac:dyDescent="0.25">
      <c r="A9897" t="s">
        <v>29854</v>
      </c>
      <c r="B9897">
        <v>4.32</v>
      </c>
      <c r="C9897" t="s">
        <v>29855</v>
      </c>
      <c r="D9897" t="s">
        <v>576</v>
      </c>
      <c r="E9897" t="s">
        <v>29856</v>
      </c>
      <c r="F9897" t="s">
        <v>7672</v>
      </c>
      <c r="G9897" t="s">
        <v>29857</v>
      </c>
      <c r="H9897" t="s">
        <v>9127</v>
      </c>
      <c r="I9897" t="s">
        <v>1243</v>
      </c>
      <c r="J9897" t="s">
        <v>9110</v>
      </c>
    </row>
    <row r="9898" spans="1:10" x14ac:dyDescent="0.25">
      <c r="A9898" t="s">
        <v>29858</v>
      </c>
      <c r="B9898">
        <v>4.32</v>
      </c>
      <c r="C9898" t="s">
        <v>29859</v>
      </c>
      <c r="D9898" t="s">
        <v>576</v>
      </c>
      <c r="E9898" t="s">
        <v>29856</v>
      </c>
      <c r="F9898" t="s">
        <v>7672</v>
      </c>
      <c r="G9898" t="s">
        <v>29857</v>
      </c>
      <c r="H9898" t="s">
        <v>9127</v>
      </c>
      <c r="I9898" t="s">
        <v>1243</v>
      </c>
      <c r="J9898" t="s">
        <v>11368</v>
      </c>
    </row>
    <row r="9899" spans="1:10" x14ac:dyDescent="0.25">
      <c r="A9899" t="s">
        <v>29860</v>
      </c>
      <c r="B9899">
        <v>4.32</v>
      </c>
      <c r="C9899" t="s">
        <v>29861</v>
      </c>
      <c r="D9899" t="s">
        <v>255</v>
      </c>
      <c r="E9899" t="s">
        <v>29856</v>
      </c>
      <c r="F9899" t="s">
        <v>7672</v>
      </c>
      <c r="G9899" t="s">
        <v>29857</v>
      </c>
      <c r="H9899" t="s">
        <v>9127</v>
      </c>
      <c r="I9899" t="s">
        <v>1243</v>
      </c>
      <c r="J9899" t="s">
        <v>11373</v>
      </c>
    </row>
    <row r="9900" spans="1:10" x14ac:dyDescent="0.25">
      <c r="A9900" t="s">
        <v>29862</v>
      </c>
      <c r="B9900">
        <v>4.32</v>
      </c>
      <c r="C9900" t="s">
        <v>29863</v>
      </c>
      <c r="D9900" t="s">
        <v>385</v>
      </c>
      <c r="E9900" t="s">
        <v>29856</v>
      </c>
      <c r="F9900" t="s">
        <v>7672</v>
      </c>
      <c r="G9900" t="s">
        <v>29857</v>
      </c>
      <c r="H9900" t="s">
        <v>9127</v>
      </c>
      <c r="I9900" t="s">
        <v>1243</v>
      </c>
      <c r="J9900" t="s">
        <v>11376</v>
      </c>
    </row>
    <row r="9901" spans="1:10" x14ac:dyDescent="0.25">
      <c r="A9901" t="s">
        <v>29864</v>
      </c>
      <c r="B9901">
        <v>4.32</v>
      </c>
      <c r="C9901" t="s">
        <v>29865</v>
      </c>
      <c r="D9901" t="s">
        <v>282</v>
      </c>
      <c r="E9901" t="s">
        <v>29856</v>
      </c>
      <c r="F9901" t="s">
        <v>7672</v>
      </c>
      <c r="G9901" t="s">
        <v>29857</v>
      </c>
      <c r="H9901" t="s">
        <v>9127</v>
      </c>
      <c r="I9901" t="s">
        <v>1243</v>
      </c>
      <c r="J9901" t="s">
        <v>9114</v>
      </c>
    </row>
    <row r="9902" spans="1:10" x14ac:dyDescent="0.25">
      <c r="A9902" t="s">
        <v>29866</v>
      </c>
      <c r="B9902">
        <v>8.32</v>
      </c>
      <c r="C9902" t="s">
        <v>29867</v>
      </c>
      <c r="D9902" t="s">
        <v>2243</v>
      </c>
      <c r="E9902" t="s">
        <v>29868</v>
      </c>
      <c r="F9902" t="s">
        <v>7672</v>
      </c>
      <c r="G9902" t="s">
        <v>29869</v>
      </c>
      <c r="H9902" t="s">
        <v>11381</v>
      </c>
      <c r="I9902" t="s">
        <v>25725</v>
      </c>
      <c r="J9902" t="s">
        <v>7942</v>
      </c>
    </row>
    <row r="9903" spans="1:10" x14ac:dyDescent="0.25">
      <c r="A9903" t="s">
        <v>29870</v>
      </c>
      <c r="B9903">
        <v>8.32</v>
      </c>
      <c r="C9903" t="s">
        <v>29871</v>
      </c>
      <c r="D9903" t="s">
        <v>3023</v>
      </c>
      <c r="E9903" t="s">
        <v>29868</v>
      </c>
      <c r="F9903" t="s">
        <v>7672</v>
      </c>
      <c r="G9903" t="s">
        <v>29869</v>
      </c>
      <c r="H9903" t="s">
        <v>11381</v>
      </c>
      <c r="I9903" t="s">
        <v>25725</v>
      </c>
      <c r="J9903" t="s">
        <v>7981</v>
      </c>
    </row>
    <row r="9904" spans="1:10" x14ac:dyDescent="0.25">
      <c r="A9904" t="s">
        <v>29872</v>
      </c>
      <c r="B9904">
        <v>8.32</v>
      </c>
      <c r="C9904" t="s">
        <v>29873</v>
      </c>
      <c r="D9904" t="s">
        <v>60</v>
      </c>
      <c r="E9904" t="s">
        <v>29868</v>
      </c>
      <c r="F9904" t="s">
        <v>7672</v>
      </c>
      <c r="G9904" t="s">
        <v>29869</v>
      </c>
      <c r="H9904" t="s">
        <v>11381</v>
      </c>
      <c r="I9904" t="s">
        <v>25725</v>
      </c>
      <c r="J9904" t="s">
        <v>8013</v>
      </c>
    </row>
    <row r="9905" spans="1:10" x14ac:dyDescent="0.25">
      <c r="A9905" t="s">
        <v>29874</v>
      </c>
      <c r="B9905">
        <v>14</v>
      </c>
      <c r="C9905" t="s">
        <v>29875</v>
      </c>
      <c r="D9905" t="s">
        <v>1014</v>
      </c>
      <c r="E9905" t="s">
        <v>29876</v>
      </c>
      <c r="F9905" t="s">
        <v>7672</v>
      </c>
      <c r="G9905" t="s">
        <v>29877</v>
      </c>
      <c r="H9905" t="s">
        <v>15474</v>
      </c>
      <c r="I9905" t="s">
        <v>935</v>
      </c>
      <c r="J9905" t="s">
        <v>131</v>
      </c>
    </row>
    <row r="9906" spans="1:10" x14ac:dyDescent="0.25">
      <c r="A9906" t="s">
        <v>29878</v>
      </c>
      <c r="B9906">
        <v>14</v>
      </c>
      <c r="C9906" t="s">
        <v>29879</v>
      </c>
      <c r="D9906" t="s">
        <v>4100</v>
      </c>
      <c r="E9906" t="s">
        <v>29876</v>
      </c>
      <c r="F9906" t="s">
        <v>7672</v>
      </c>
      <c r="G9906" t="s">
        <v>29877</v>
      </c>
      <c r="H9906" t="s">
        <v>15474</v>
      </c>
      <c r="I9906" t="s">
        <v>935</v>
      </c>
      <c r="J9906" t="s">
        <v>269</v>
      </c>
    </row>
    <row r="9907" spans="1:10" x14ac:dyDescent="0.25">
      <c r="A9907" t="s">
        <v>29880</v>
      </c>
      <c r="B9907">
        <v>14</v>
      </c>
      <c r="C9907" t="s">
        <v>29881</v>
      </c>
      <c r="D9907" t="s">
        <v>17189</v>
      </c>
      <c r="E9907" t="s">
        <v>29876</v>
      </c>
      <c r="F9907" t="s">
        <v>7672</v>
      </c>
      <c r="G9907" t="s">
        <v>29877</v>
      </c>
      <c r="H9907" t="s">
        <v>15474</v>
      </c>
      <c r="I9907" t="s">
        <v>935</v>
      </c>
      <c r="J9907" t="s">
        <v>255</v>
      </c>
    </row>
    <row r="9908" spans="1:10" x14ac:dyDescent="0.25">
      <c r="A9908" t="s">
        <v>29882</v>
      </c>
      <c r="B9908">
        <v>14</v>
      </c>
      <c r="C9908" t="s">
        <v>29883</v>
      </c>
      <c r="D9908" t="s">
        <v>5661</v>
      </c>
      <c r="E9908" t="s">
        <v>29876</v>
      </c>
      <c r="F9908" t="s">
        <v>7672</v>
      </c>
      <c r="G9908" t="s">
        <v>29877</v>
      </c>
      <c r="H9908" t="s">
        <v>15474</v>
      </c>
      <c r="I9908" t="s">
        <v>935</v>
      </c>
      <c r="J9908" t="s">
        <v>277</v>
      </c>
    </row>
    <row r="9909" spans="1:10" x14ac:dyDescent="0.25">
      <c r="A9909" t="s">
        <v>29884</v>
      </c>
      <c r="B9909">
        <v>14</v>
      </c>
      <c r="C9909" t="s">
        <v>29885</v>
      </c>
      <c r="D9909" t="s">
        <v>791</v>
      </c>
      <c r="E9909" t="s">
        <v>29876</v>
      </c>
      <c r="F9909" t="s">
        <v>7672</v>
      </c>
      <c r="G9909" t="s">
        <v>29877</v>
      </c>
      <c r="H9909" t="s">
        <v>15474</v>
      </c>
      <c r="I9909" t="s">
        <v>935</v>
      </c>
      <c r="J9909" t="s">
        <v>164</v>
      </c>
    </row>
    <row r="9910" spans="1:10" x14ac:dyDescent="0.25">
      <c r="A9910" t="s">
        <v>29886</v>
      </c>
      <c r="B9910">
        <v>14</v>
      </c>
      <c r="C9910" t="s">
        <v>29887</v>
      </c>
      <c r="D9910" t="s">
        <v>4109</v>
      </c>
      <c r="E9910" t="s">
        <v>29876</v>
      </c>
      <c r="F9910" t="s">
        <v>7672</v>
      </c>
      <c r="G9910" t="s">
        <v>29877</v>
      </c>
      <c r="H9910" t="s">
        <v>15474</v>
      </c>
      <c r="I9910" t="s">
        <v>935</v>
      </c>
      <c r="J9910" t="s">
        <v>290</v>
      </c>
    </row>
    <row r="9911" spans="1:10" x14ac:dyDescent="0.25">
      <c r="A9911" t="s">
        <v>29888</v>
      </c>
      <c r="B9911">
        <v>14</v>
      </c>
      <c r="C9911" t="s">
        <v>29889</v>
      </c>
      <c r="D9911" t="s">
        <v>2787</v>
      </c>
      <c r="E9911" t="s">
        <v>29876</v>
      </c>
      <c r="F9911" t="s">
        <v>7672</v>
      </c>
      <c r="G9911" t="s">
        <v>29877</v>
      </c>
      <c r="H9911" t="s">
        <v>15474</v>
      </c>
      <c r="I9911" t="s">
        <v>935</v>
      </c>
      <c r="J9911" t="s">
        <v>15070</v>
      </c>
    </row>
    <row r="9912" spans="1:10" x14ac:dyDescent="0.25">
      <c r="A9912" t="s">
        <v>29890</v>
      </c>
      <c r="B9912">
        <v>14</v>
      </c>
      <c r="C9912" t="s">
        <v>29891</v>
      </c>
      <c r="D9912" t="s">
        <v>671</v>
      </c>
      <c r="E9912" t="s">
        <v>29876</v>
      </c>
      <c r="F9912" t="s">
        <v>7672</v>
      </c>
      <c r="G9912" t="s">
        <v>29877</v>
      </c>
      <c r="H9912" t="s">
        <v>15474</v>
      </c>
      <c r="I9912" t="s">
        <v>935</v>
      </c>
      <c r="J9912" t="s">
        <v>15073</v>
      </c>
    </row>
    <row r="9913" spans="1:10" x14ac:dyDescent="0.25">
      <c r="A9913" t="s">
        <v>29892</v>
      </c>
      <c r="B9913">
        <v>14</v>
      </c>
      <c r="C9913" t="s">
        <v>29893</v>
      </c>
      <c r="D9913" t="s">
        <v>245</v>
      </c>
      <c r="E9913" t="s">
        <v>29876</v>
      </c>
      <c r="F9913" t="s">
        <v>7672</v>
      </c>
      <c r="G9913" t="s">
        <v>29877</v>
      </c>
      <c r="H9913" t="s">
        <v>15474</v>
      </c>
      <c r="I9913" t="s">
        <v>935</v>
      </c>
      <c r="J9913" t="s">
        <v>15076</v>
      </c>
    </row>
    <row r="9914" spans="1:10" x14ac:dyDescent="0.25">
      <c r="A9914" t="s">
        <v>29894</v>
      </c>
      <c r="B9914">
        <v>14</v>
      </c>
      <c r="C9914" t="s">
        <v>29895</v>
      </c>
      <c r="D9914" t="s">
        <v>2022</v>
      </c>
      <c r="E9914" t="s">
        <v>29876</v>
      </c>
      <c r="F9914" t="s">
        <v>7672</v>
      </c>
      <c r="G9914" t="s">
        <v>29877</v>
      </c>
      <c r="H9914" t="s">
        <v>15474</v>
      </c>
      <c r="I9914" t="s">
        <v>935</v>
      </c>
      <c r="J9914" t="s">
        <v>15079</v>
      </c>
    </row>
    <row r="9915" spans="1:10" x14ac:dyDescent="0.25">
      <c r="A9915" t="s">
        <v>29896</v>
      </c>
      <c r="B9915">
        <v>13.992000000000001</v>
      </c>
      <c r="C9915" t="s">
        <v>29897</v>
      </c>
      <c r="D9915" t="s">
        <v>4270</v>
      </c>
      <c r="E9915" t="s">
        <v>29898</v>
      </c>
      <c r="F9915" t="s">
        <v>7672</v>
      </c>
      <c r="G9915" t="s">
        <v>29899</v>
      </c>
      <c r="H9915" t="s">
        <v>10298</v>
      </c>
      <c r="I9915" t="s">
        <v>24441</v>
      </c>
      <c r="J9915" t="s">
        <v>8427</v>
      </c>
    </row>
    <row r="9916" spans="1:10" x14ac:dyDescent="0.25">
      <c r="A9916" t="s">
        <v>29900</v>
      </c>
      <c r="B9916">
        <v>13.992000000000001</v>
      </c>
      <c r="C9916" t="s">
        <v>29901</v>
      </c>
      <c r="D9916" t="s">
        <v>2022</v>
      </c>
      <c r="E9916" t="s">
        <v>29898</v>
      </c>
      <c r="F9916" t="s">
        <v>7672</v>
      </c>
      <c r="G9916" t="s">
        <v>29899</v>
      </c>
      <c r="H9916" t="s">
        <v>10298</v>
      </c>
      <c r="I9916" t="s">
        <v>24441</v>
      </c>
      <c r="J9916" t="s">
        <v>8439</v>
      </c>
    </row>
    <row r="9917" spans="1:10" x14ac:dyDescent="0.25">
      <c r="A9917" t="s">
        <v>29902</v>
      </c>
      <c r="B9917">
        <v>13.992000000000001</v>
      </c>
      <c r="C9917" t="s">
        <v>29903</v>
      </c>
      <c r="D9917" t="s">
        <v>849</v>
      </c>
      <c r="E9917" t="s">
        <v>29898</v>
      </c>
      <c r="F9917" t="s">
        <v>7672</v>
      </c>
      <c r="G9917" t="s">
        <v>29899</v>
      </c>
      <c r="H9917" t="s">
        <v>10298</v>
      </c>
      <c r="I9917" t="s">
        <v>24441</v>
      </c>
      <c r="J9917" t="s">
        <v>8451</v>
      </c>
    </row>
    <row r="9918" spans="1:10" x14ac:dyDescent="0.25">
      <c r="A9918" t="s">
        <v>29904</v>
      </c>
      <c r="B9918">
        <v>9.24</v>
      </c>
      <c r="C9918" t="s">
        <v>29905</v>
      </c>
      <c r="D9918" t="s">
        <v>164</v>
      </c>
      <c r="E9918" t="s">
        <v>29906</v>
      </c>
      <c r="F9918" t="s">
        <v>7672</v>
      </c>
      <c r="G9918" t="s">
        <v>29907</v>
      </c>
      <c r="H9918" t="s">
        <v>12519</v>
      </c>
      <c r="I9918" t="s">
        <v>10802</v>
      </c>
      <c r="J9918" t="s">
        <v>7981</v>
      </c>
    </row>
    <row r="9919" spans="1:10" x14ac:dyDescent="0.25">
      <c r="A9919" t="s">
        <v>29908</v>
      </c>
      <c r="B9919">
        <v>9.24</v>
      </c>
      <c r="C9919" t="s">
        <v>29909</v>
      </c>
      <c r="D9919" t="s">
        <v>100</v>
      </c>
      <c r="E9919" t="s">
        <v>29906</v>
      </c>
      <c r="F9919" t="s">
        <v>7672</v>
      </c>
      <c r="G9919" t="s">
        <v>29907</v>
      </c>
      <c r="H9919" t="s">
        <v>12519</v>
      </c>
      <c r="I9919" t="s">
        <v>10802</v>
      </c>
      <c r="J9919" t="s">
        <v>7987</v>
      </c>
    </row>
    <row r="9920" spans="1:10" x14ac:dyDescent="0.25">
      <c r="A9920" t="s">
        <v>29910</v>
      </c>
      <c r="B9920">
        <v>4.8000000000000007</v>
      </c>
      <c r="C9920" t="s">
        <v>29911</v>
      </c>
      <c r="D9920" t="s">
        <v>4794</v>
      </c>
      <c r="E9920" t="s">
        <v>29912</v>
      </c>
      <c r="F9920" t="s">
        <v>7672</v>
      </c>
      <c r="G9920" t="s">
        <v>29913</v>
      </c>
      <c r="H9920" t="s">
        <v>10298</v>
      </c>
      <c r="I9920" t="s">
        <v>29914</v>
      </c>
      <c r="J9920" t="s">
        <v>12182</v>
      </c>
    </row>
    <row r="9921" spans="1:10" x14ac:dyDescent="0.25">
      <c r="A9921" t="s">
        <v>29915</v>
      </c>
      <c r="B9921">
        <v>4.8000000000000007</v>
      </c>
      <c r="C9921" t="s">
        <v>29916</v>
      </c>
      <c r="D9921" t="s">
        <v>776</v>
      </c>
      <c r="E9921" t="s">
        <v>29912</v>
      </c>
      <c r="F9921" t="s">
        <v>7672</v>
      </c>
      <c r="G9921" t="s">
        <v>29913</v>
      </c>
      <c r="H9921" t="s">
        <v>10298</v>
      </c>
      <c r="I9921" t="s">
        <v>29917</v>
      </c>
      <c r="J9921" t="s">
        <v>10150</v>
      </c>
    </row>
    <row r="9922" spans="1:10" x14ac:dyDescent="0.25">
      <c r="A9922" t="s">
        <v>29918</v>
      </c>
      <c r="B9922">
        <v>4.8000000000000007</v>
      </c>
      <c r="C9922" t="s">
        <v>29919</v>
      </c>
      <c r="D9922" t="s">
        <v>13198</v>
      </c>
      <c r="E9922" t="s">
        <v>29912</v>
      </c>
      <c r="F9922" t="s">
        <v>7672</v>
      </c>
      <c r="G9922" t="s">
        <v>29913</v>
      </c>
      <c r="H9922" t="s">
        <v>10298</v>
      </c>
      <c r="I9922" t="s">
        <v>29920</v>
      </c>
      <c r="J9922" t="s">
        <v>10150</v>
      </c>
    </row>
    <row r="9923" spans="1:10" x14ac:dyDescent="0.25">
      <c r="A9923" t="s">
        <v>29921</v>
      </c>
      <c r="B9923">
        <v>4.8000000000000007</v>
      </c>
      <c r="C9923" t="s">
        <v>29922</v>
      </c>
      <c r="D9923" t="s">
        <v>2587</v>
      </c>
      <c r="E9923" t="s">
        <v>29912</v>
      </c>
      <c r="F9923" t="s">
        <v>7672</v>
      </c>
      <c r="G9923" t="s">
        <v>29913</v>
      </c>
      <c r="H9923" t="s">
        <v>10298</v>
      </c>
      <c r="I9923" t="s">
        <v>29914</v>
      </c>
      <c r="J9923" t="s">
        <v>10150</v>
      </c>
    </row>
    <row r="9924" spans="1:10" x14ac:dyDescent="0.25">
      <c r="A9924" t="s">
        <v>29923</v>
      </c>
      <c r="B9924">
        <v>4.8000000000000007</v>
      </c>
      <c r="C9924" t="s">
        <v>29924</v>
      </c>
      <c r="D9924" t="s">
        <v>4799</v>
      </c>
      <c r="E9924" t="s">
        <v>29912</v>
      </c>
      <c r="F9924" t="s">
        <v>7672</v>
      </c>
      <c r="G9924" t="s">
        <v>29913</v>
      </c>
      <c r="H9924" t="s">
        <v>10298</v>
      </c>
      <c r="I9924" t="s">
        <v>29925</v>
      </c>
      <c r="J9924" t="s">
        <v>10150</v>
      </c>
    </row>
    <row r="9925" spans="1:10" x14ac:dyDescent="0.25">
      <c r="A9925" t="s">
        <v>29926</v>
      </c>
      <c r="B9925">
        <v>4.8000000000000007</v>
      </c>
      <c r="C9925" t="s">
        <v>29927</v>
      </c>
      <c r="D9925" t="s">
        <v>2138</v>
      </c>
      <c r="E9925" t="s">
        <v>29912</v>
      </c>
      <c r="F9925" t="s">
        <v>7672</v>
      </c>
      <c r="G9925" t="s">
        <v>29913</v>
      </c>
      <c r="H9925" t="s">
        <v>10298</v>
      </c>
      <c r="I9925" t="s">
        <v>29928</v>
      </c>
      <c r="J9925" t="s">
        <v>10150</v>
      </c>
    </row>
    <row r="9926" spans="1:10" x14ac:dyDescent="0.25">
      <c r="A9926" t="s">
        <v>29929</v>
      </c>
      <c r="B9926">
        <v>4.8000000000000007</v>
      </c>
      <c r="C9926" t="s">
        <v>29930</v>
      </c>
      <c r="D9926" t="s">
        <v>164</v>
      </c>
      <c r="E9926" t="s">
        <v>29912</v>
      </c>
      <c r="F9926" t="s">
        <v>7672</v>
      </c>
      <c r="G9926" t="s">
        <v>29913</v>
      </c>
      <c r="H9926" t="s">
        <v>10298</v>
      </c>
      <c r="I9926" t="s">
        <v>29914</v>
      </c>
      <c r="J9926" t="s">
        <v>15070</v>
      </c>
    </row>
    <row r="9927" spans="1:10" x14ac:dyDescent="0.25">
      <c r="A9927" t="s">
        <v>29931</v>
      </c>
      <c r="B9927">
        <v>4.8000000000000007</v>
      </c>
      <c r="C9927" t="s">
        <v>29932</v>
      </c>
      <c r="D9927" t="s">
        <v>282</v>
      </c>
      <c r="E9927" t="s">
        <v>29912</v>
      </c>
      <c r="F9927" t="s">
        <v>7672</v>
      </c>
      <c r="G9927" t="s">
        <v>29913</v>
      </c>
      <c r="H9927" t="s">
        <v>10298</v>
      </c>
      <c r="I9927" t="s">
        <v>29914</v>
      </c>
      <c r="J9927" t="s">
        <v>15076</v>
      </c>
    </row>
    <row r="9928" spans="1:10" x14ac:dyDescent="0.25">
      <c r="A9928" t="s">
        <v>29933</v>
      </c>
      <c r="B9928">
        <v>4.8000000000000007</v>
      </c>
      <c r="C9928" t="s">
        <v>29934</v>
      </c>
      <c r="D9928" t="s">
        <v>436</v>
      </c>
      <c r="E9928" t="s">
        <v>29912</v>
      </c>
      <c r="F9928" t="s">
        <v>7672</v>
      </c>
      <c r="G9928" t="s">
        <v>29913</v>
      </c>
      <c r="H9928" t="s">
        <v>10298</v>
      </c>
      <c r="I9928" t="s">
        <v>29925</v>
      </c>
      <c r="J9928" t="s">
        <v>15076</v>
      </c>
    </row>
    <row r="9929" spans="1:10" x14ac:dyDescent="0.25">
      <c r="A9929" t="s">
        <v>29935</v>
      </c>
      <c r="B9929">
        <v>4.8000000000000007</v>
      </c>
      <c r="C9929" t="s">
        <v>29936</v>
      </c>
      <c r="D9929" t="s">
        <v>277</v>
      </c>
      <c r="E9929" t="s">
        <v>29912</v>
      </c>
      <c r="F9929" t="s">
        <v>7672</v>
      </c>
      <c r="G9929" t="s">
        <v>29913</v>
      </c>
      <c r="H9929" t="s">
        <v>10298</v>
      </c>
      <c r="I9929" t="s">
        <v>29920</v>
      </c>
      <c r="J9929" t="s">
        <v>15076</v>
      </c>
    </row>
    <row r="9930" spans="1:10" x14ac:dyDescent="0.25">
      <c r="A9930" t="s">
        <v>29937</v>
      </c>
      <c r="B9930">
        <v>4.8000000000000007</v>
      </c>
      <c r="C9930" t="s">
        <v>29938</v>
      </c>
      <c r="D9930" t="s">
        <v>776</v>
      </c>
      <c r="E9930" t="s">
        <v>29912</v>
      </c>
      <c r="F9930" t="s">
        <v>7672</v>
      </c>
      <c r="G9930" t="s">
        <v>29913</v>
      </c>
      <c r="H9930" t="s">
        <v>10298</v>
      </c>
      <c r="I9930" t="s">
        <v>29914</v>
      </c>
      <c r="J9930" t="s">
        <v>15079</v>
      </c>
    </row>
    <row r="9931" spans="1:10" x14ac:dyDescent="0.25">
      <c r="A9931" t="s">
        <v>29939</v>
      </c>
      <c r="B9931">
        <v>4.8000000000000007</v>
      </c>
      <c r="C9931" t="s">
        <v>29940</v>
      </c>
      <c r="D9931" t="s">
        <v>2620</v>
      </c>
      <c r="E9931" t="s">
        <v>29912</v>
      </c>
      <c r="F9931" t="s">
        <v>7672</v>
      </c>
      <c r="G9931" t="s">
        <v>29913</v>
      </c>
      <c r="H9931" t="s">
        <v>10298</v>
      </c>
      <c r="I9931" t="s">
        <v>29925</v>
      </c>
      <c r="J9931" t="s">
        <v>15079</v>
      </c>
    </row>
    <row r="9932" spans="1:10" x14ac:dyDescent="0.25">
      <c r="A9932" t="s">
        <v>29941</v>
      </c>
      <c r="B9932">
        <v>4.8000000000000007</v>
      </c>
      <c r="C9932" t="s">
        <v>29942</v>
      </c>
      <c r="D9932" t="s">
        <v>1536</v>
      </c>
      <c r="E9932" t="s">
        <v>29912</v>
      </c>
      <c r="F9932" t="s">
        <v>7672</v>
      </c>
      <c r="G9932" t="s">
        <v>29913</v>
      </c>
      <c r="H9932" t="s">
        <v>10298</v>
      </c>
      <c r="I9932" t="s">
        <v>29920</v>
      </c>
      <c r="J9932" t="s">
        <v>15079</v>
      </c>
    </row>
    <row r="9933" spans="1:10" x14ac:dyDescent="0.25">
      <c r="A9933" t="s">
        <v>29943</v>
      </c>
      <c r="B9933">
        <v>4.8000000000000007</v>
      </c>
      <c r="C9933" t="s">
        <v>29944</v>
      </c>
      <c r="D9933" t="s">
        <v>229</v>
      </c>
      <c r="E9933" t="s">
        <v>29912</v>
      </c>
      <c r="F9933" t="s">
        <v>7672</v>
      </c>
      <c r="G9933" t="s">
        <v>29913</v>
      </c>
      <c r="H9933" t="s">
        <v>10298</v>
      </c>
      <c r="I9933" t="s">
        <v>29928</v>
      </c>
      <c r="J9933" t="s">
        <v>15079</v>
      </c>
    </row>
    <row r="9934" spans="1:10" x14ac:dyDescent="0.25">
      <c r="A9934" t="s">
        <v>29945</v>
      </c>
      <c r="B9934">
        <v>9.5920000000000005</v>
      </c>
      <c r="C9934" t="s">
        <v>29946</v>
      </c>
      <c r="D9934" t="s">
        <v>10774</v>
      </c>
      <c r="E9934" t="s">
        <v>29947</v>
      </c>
      <c r="F9934" t="s">
        <v>7672</v>
      </c>
      <c r="G9934" t="s">
        <v>29948</v>
      </c>
      <c r="H9934" t="s">
        <v>7674</v>
      </c>
      <c r="I9934" t="s">
        <v>29949</v>
      </c>
      <c r="J9934" t="s">
        <v>9694</v>
      </c>
    </row>
    <row r="9935" spans="1:10" x14ac:dyDescent="0.25">
      <c r="A9935" t="s">
        <v>29950</v>
      </c>
      <c r="B9935">
        <v>13.2</v>
      </c>
      <c r="C9935" t="s">
        <v>29951</v>
      </c>
      <c r="D9935" t="s">
        <v>60</v>
      </c>
      <c r="E9935" t="s">
        <v>29952</v>
      </c>
      <c r="F9935" t="s">
        <v>7672</v>
      </c>
      <c r="G9935" t="s">
        <v>29953</v>
      </c>
      <c r="H9935" t="s">
        <v>16463</v>
      </c>
      <c r="I9935" t="s">
        <v>29954</v>
      </c>
      <c r="J9935" t="s">
        <v>7675</v>
      </c>
    </row>
    <row r="9936" spans="1:10" x14ac:dyDescent="0.25">
      <c r="A9936" t="s">
        <v>29955</v>
      </c>
      <c r="B9936">
        <v>13.2</v>
      </c>
      <c r="C9936" t="s">
        <v>29956</v>
      </c>
      <c r="D9936" t="s">
        <v>100</v>
      </c>
      <c r="E9936" t="s">
        <v>29952</v>
      </c>
      <c r="F9936" t="s">
        <v>7672</v>
      </c>
      <c r="G9936" t="s">
        <v>29953</v>
      </c>
      <c r="H9936" t="s">
        <v>16463</v>
      </c>
      <c r="I9936" t="s">
        <v>16464</v>
      </c>
      <c r="J9936" t="s">
        <v>7675</v>
      </c>
    </row>
    <row r="9937" spans="1:10" x14ac:dyDescent="0.25">
      <c r="A9937" t="s">
        <v>29957</v>
      </c>
      <c r="B9937">
        <v>13.2</v>
      </c>
      <c r="C9937" t="s">
        <v>29958</v>
      </c>
      <c r="D9937" t="s">
        <v>282</v>
      </c>
      <c r="E9937" t="s">
        <v>29952</v>
      </c>
      <c r="F9937" t="s">
        <v>7672</v>
      </c>
      <c r="G9937" t="s">
        <v>29953</v>
      </c>
      <c r="H9937" t="s">
        <v>16463</v>
      </c>
      <c r="I9937" t="s">
        <v>76</v>
      </c>
      <c r="J9937" t="s">
        <v>7675</v>
      </c>
    </row>
    <row r="9938" spans="1:10" x14ac:dyDescent="0.25">
      <c r="A9938" t="s">
        <v>29959</v>
      </c>
      <c r="B9938">
        <v>13.2</v>
      </c>
      <c r="C9938" t="s">
        <v>29960</v>
      </c>
      <c r="D9938" t="s">
        <v>164</v>
      </c>
      <c r="E9938" t="s">
        <v>29952</v>
      </c>
      <c r="F9938" t="s">
        <v>7672</v>
      </c>
      <c r="G9938" t="s">
        <v>29953</v>
      </c>
      <c r="H9938" t="s">
        <v>16463</v>
      </c>
      <c r="I9938" t="s">
        <v>29954</v>
      </c>
      <c r="J9938" t="s">
        <v>7686</v>
      </c>
    </row>
    <row r="9939" spans="1:10" x14ac:dyDescent="0.25">
      <c r="A9939" t="s">
        <v>29961</v>
      </c>
      <c r="B9939">
        <v>13.2</v>
      </c>
      <c r="C9939" t="s">
        <v>29962</v>
      </c>
      <c r="D9939" t="s">
        <v>113</v>
      </c>
      <c r="E9939" t="s">
        <v>29952</v>
      </c>
      <c r="F9939" t="s">
        <v>7672</v>
      </c>
      <c r="G9939" t="s">
        <v>29953</v>
      </c>
      <c r="H9939" t="s">
        <v>16463</v>
      </c>
      <c r="I9939" t="s">
        <v>29954</v>
      </c>
      <c r="J9939" t="s">
        <v>7703</v>
      </c>
    </row>
    <row r="9940" spans="1:10" x14ac:dyDescent="0.25">
      <c r="A9940" t="s">
        <v>29963</v>
      </c>
      <c r="B9940">
        <v>5.1920000000000002</v>
      </c>
      <c r="C9940" t="s">
        <v>29964</v>
      </c>
      <c r="D9940" t="s">
        <v>2879</v>
      </c>
      <c r="E9940" t="s">
        <v>29965</v>
      </c>
      <c r="F9940" t="s">
        <v>7672</v>
      </c>
      <c r="G9940" t="s">
        <v>29966</v>
      </c>
      <c r="H9940" t="s">
        <v>8027</v>
      </c>
      <c r="I9940" t="s">
        <v>5202</v>
      </c>
      <c r="J9940" t="s">
        <v>8013</v>
      </c>
    </row>
    <row r="9941" spans="1:10" x14ac:dyDescent="0.25">
      <c r="A9941" t="s">
        <v>29967</v>
      </c>
      <c r="B9941">
        <v>8</v>
      </c>
      <c r="C9941" t="s">
        <v>29968</v>
      </c>
      <c r="D9941" t="s">
        <v>9583</v>
      </c>
      <c r="E9941" t="s">
        <v>29969</v>
      </c>
      <c r="F9941" t="s">
        <v>7672</v>
      </c>
      <c r="G9941" t="s">
        <v>29970</v>
      </c>
      <c r="H9941" t="s">
        <v>26787</v>
      </c>
      <c r="I9941" t="s">
        <v>935</v>
      </c>
      <c r="J9941" t="s">
        <v>26788</v>
      </c>
    </row>
    <row r="9942" spans="1:10" x14ac:dyDescent="0.25">
      <c r="A9942" t="s">
        <v>29971</v>
      </c>
      <c r="B9942">
        <v>8</v>
      </c>
      <c r="C9942" t="s">
        <v>29972</v>
      </c>
      <c r="D9942" t="s">
        <v>4109</v>
      </c>
      <c r="E9942" t="s">
        <v>29969</v>
      </c>
      <c r="F9942" t="s">
        <v>7672</v>
      </c>
      <c r="G9942" t="s">
        <v>29970</v>
      </c>
      <c r="H9942" t="s">
        <v>26787</v>
      </c>
      <c r="I9942" t="s">
        <v>935</v>
      </c>
      <c r="J9942" t="s">
        <v>11696</v>
      </c>
    </row>
    <row r="9943" spans="1:10" x14ac:dyDescent="0.25">
      <c r="A9943" t="s">
        <v>29973</v>
      </c>
      <c r="B9943">
        <v>8</v>
      </c>
      <c r="C9943" t="s">
        <v>29974</v>
      </c>
      <c r="D9943" t="s">
        <v>10302</v>
      </c>
      <c r="E9943" t="s">
        <v>29969</v>
      </c>
      <c r="F9943" t="s">
        <v>7672</v>
      </c>
      <c r="G9943" t="s">
        <v>29970</v>
      </c>
      <c r="H9943" t="s">
        <v>26787</v>
      </c>
      <c r="I9943" t="s">
        <v>935</v>
      </c>
      <c r="J9943" t="s">
        <v>11702</v>
      </c>
    </row>
    <row r="9944" spans="1:10" x14ac:dyDescent="0.25">
      <c r="A9944" t="s">
        <v>29975</v>
      </c>
      <c r="B9944">
        <v>8</v>
      </c>
      <c r="C9944" t="s">
        <v>29976</v>
      </c>
      <c r="D9944" t="s">
        <v>17312</v>
      </c>
      <c r="E9944" t="s">
        <v>29969</v>
      </c>
      <c r="F9944" t="s">
        <v>7672</v>
      </c>
      <c r="G9944" t="s">
        <v>29970</v>
      </c>
      <c r="H9944" t="s">
        <v>26787</v>
      </c>
      <c r="I9944" t="s">
        <v>935</v>
      </c>
      <c r="J9944" t="s">
        <v>11710</v>
      </c>
    </row>
    <row r="9945" spans="1:10" x14ac:dyDescent="0.25">
      <c r="A9945" t="s">
        <v>29977</v>
      </c>
      <c r="B9945">
        <v>4.16</v>
      </c>
      <c r="C9945" t="s">
        <v>29978</v>
      </c>
      <c r="D9945" t="s">
        <v>396</v>
      </c>
      <c r="E9945" t="s">
        <v>29979</v>
      </c>
      <c r="F9945" t="s">
        <v>7672</v>
      </c>
      <c r="G9945" t="s">
        <v>29980</v>
      </c>
      <c r="H9945" t="s">
        <v>26624</v>
      </c>
      <c r="I9945" t="s">
        <v>29981</v>
      </c>
      <c r="J9945" t="s">
        <v>7942</v>
      </c>
    </row>
    <row r="9946" spans="1:10" x14ac:dyDescent="0.25">
      <c r="A9946" t="s">
        <v>29982</v>
      </c>
      <c r="B9946">
        <v>4.16</v>
      </c>
      <c r="C9946" t="s">
        <v>29983</v>
      </c>
      <c r="D9946" t="s">
        <v>1134</v>
      </c>
      <c r="E9946" t="s">
        <v>29979</v>
      </c>
      <c r="F9946" t="s">
        <v>7672</v>
      </c>
      <c r="G9946" t="s">
        <v>29980</v>
      </c>
      <c r="H9946" t="s">
        <v>26624</v>
      </c>
      <c r="I9946" t="s">
        <v>29984</v>
      </c>
      <c r="J9946" t="s">
        <v>7942</v>
      </c>
    </row>
    <row r="9947" spans="1:10" x14ac:dyDescent="0.25">
      <c r="A9947" t="s">
        <v>29985</v>
      </c>
      <c r="B9947">
        <v>4.16</v>
      </c>
      <c r="C9947" t="s">
        <v>29986</v>
      </c>
      <c r="D9947" t="s">
        <v>639</v>
      </c>
      <c r="E9947" t="s">
        <v>29979</v>
      </c>
      <c r="F9947" t="s">
        <v>7672</v>
      </c>
      <c r="G9947" t="s">
        <v>29980</v>
      </c>
      <c r="H9947" t="s">
        <v>26624</v>
      </c>
      <c r="I9947" t="s">
        <v>29981</v>
      </c>
      <c r="J9947" t="s">
        <v>7981</v>
      </c>
    </row>
    <row r="9948" spans="1:10" x14ac:dyDescent="0.25">
      <c r="A9948" t="s">
        <v>29987</v>
      </c>
      <c r="B9948">
        <v>4.16</v>
      </c>
      <c r="C9948" t="s">
        <v>29988</v>
      </c>
      <c r="D9948" t="s">
        <v>4584</v>
      </c>
      <c r="E9948" t="s">
        <v>29979</v>
      </c>
      <c r="F9948" t="s">
        <v>7672</v>
      </c>
      <c r="G9948" t="s">
        <v>29980</v>
      </c>
      <c r="H9948" t="s">
        <v>26624</v>
      </c>
      <c r="I9948" t="s">
        <v>29984</v>
      </c>
      <c r="J9948" t="s">
        <v>7981</v>
      </c>
    </row>
    <row r="9949" spans="1:10" x14ac:dyDescent="0.25">
      <c r="A9949" t="s">
        <v>29989</v>
      </c>
      <c r="B9949">
        <v>4.16</v>
      </c>
      <c r="C9949" t="s">
        <v>29990</v>
      </c>
      <c r="D9949" t="s">
        <v>3253</v>
      </c>
      <c r="E9949" t="s">
        <v>29979</v>
      </c>
      <c r="F9949" t="s">
        <v>7672</v>
      </c>
      <c r="G9949" t="s">
        <v>29980</v>
      </c>
      <c r="H9949" t="s">
        <v>26624</v>
      </c>
      <c r="I9949" t="s">
        <v>29981</v>
      </c>
      <c r="J9949" t="s">
        <v>7984</v>
      </c>
    </row>
    <row r="9950" spans="1:10" x14ac:dyDescent="0.25">
      <c r="A9950" t="s">
        <v>29991</v>
      </c>
      <c r="B9950">
        <v>4.16</v>
      </c>
      <c r="C9950" t="s">
        <v>29992</v>
      </c>
      <c r="D9950" t="s">
        <v>10764</v>
      </c>
      <c r="E9950" t="s">
        <v>29979</v>
      </c>
      <c r="F9950" t="s">
        <v>7672</v>
      </c>
      <c r="G9950" t="s">
        <v>29980</v>
      </c>
      <c r="H9950" t="s">
        <v>26624</v>
      </c>
      <c r="I9950" t="s">
        <v>29984</v>
      </c>
      <c r="J9950" t="s">
        <v>7984</v>
      </c>
    </row>
    <row r="9951" spans="1:10" x14ac:dyDescent="0.25">
      <c r="A9951" t="s">
        <v>29993</v>
      </c>
      <c r="B9951">
        <v>4.16</v>
      </c>
      <c r="C9951" t="s">
        <v>29994</v>
      </c>
      <c r="D9951" t="s">
        <v>3572</v>
      </c>
      <c r="E9951" t="s">
        <v>29979</v>
      </c>
      <c r="F9951" t="s">
        <v>7672</v>
      </c>
      <c r="G9951" t="s">
        <v>29980</v>
      </c>
      <c r="H9951" t="s">
        <v>26624</v>
      </c>
      <c r="I9951" t="s">
        <v>29981</v>
      </c>
      <c r="J9951" t="s">
        <v>7987</v>
      </c>
    </row>
    <row r="9952" spans="1:10" x14ac:dyDescent="0.25">
      <c r="A9952" t="s">
        <v>29995</v>
      </c>
      <c r="B9952">
        <v>4.16</v>
      </c>
      <c r="C9952" t="s">
        <v>29996</v>
      </c>
      <c r="D9952" t="s">
        <v>644</v>
      </c>
      <c r="E9952" t="s">
        <v>29979</v>
      </c>
      <c r="F9952" t="s">
        <v>7672</v>
      </c>
      <c r="G9952" t="s">
        <v>29980</v>
      </c>
      <c r="H9952" t="s">
        <v>26624</v>
      </c>
      <c r="I9952" t="s">
        <v>29984</v>
      </c>
      <c r="J9952" t="s">
        <v>7987</v>
      </c>
    </row>
    <row r="9953" spans="1:10" x14ac:dyDescent="0.25">
      <c r="A9953" t="s">
        <v>29997</v>
      </c>
      <c r="B9953">
        <v>4.16</v>
      </c>
      <c r="C9953" t="s">
        <v>29998</v>
      </c>
      <c r="D9953" t="s">
        <v>5145</v>
      </c>
      <c r="E9953" t="s">
        <v>29979</v>
      </c>
      <c r="F9953" t="s">
        <v>7672</v>
      </c>
      <c r="G9953" t="s">
        <v>29980</v>
      </c>
      <c r="H9953" t="s">
        <v>26624</v>
      </c>
      <c r="I9953" t="s">
        <v>29981</v>
      </c>
      <c r="J9953" t="s">
        <v>8001</v>
      </c>
    </row>
    <row r="9954" spans="1:10" x14ac:dyDescent="0.25">
      <c r="A9954" t="s">
        <v>29999</v>
      </c>
      <c r="B9954">
        <v>4.16</v>
      </c>
      <c r="C9954" t="s">
        <v>30000</v>
      </c>
      <c r="D9954" t="s">
        <v>3577</v>
      </c>
      <c r="E9954" t="s">
        <v>29979</v>
      </c>
      <c r="F9954" t="s">
        <v>7672</v>
      </c>
      <c r="G9954" t="s">
        <v>29980</v>
      </c>
      <c r="H9954" t="s">
        <v>26624</v>
      </c>
      <c r="I9954" t="s">
        <v>29984</v>
      </c>
      <c r="J9954" t="s">
        <v>8001</v>
      </c>
    </row>
    <row r="9955" spans="1:10" x14ac:dyDescent="0.25">
      <c r="A9955" t="s">
        <v>30001</v>
      </c>
      <c r="B9955">
        <v>4.16</v>
      </c>
      <c r="C9955" t="s">
        <v>30002</v>
      </c>
      <c r="D9955" t="s">
        <v>875</v>
      </c>
      <c r="E9955" t="s">
        <v>29979</v>
      </c>
      <c r="F9955" t="s">
        <v>7672</v>
      </c>
      <c r="G9955" t="s">
        <v>29980</v>
      </c>
      <c r="H9955" t="s">
        <v>26624</v>
      </c>
      <c r="I9955" t="s">
        <v>29984</v>
      </c>
      <c r="J9955" t="s">
        <v>8013</v>
      </c>
    </row>
    <row r="9956" spans="1:10" x14ac:dyDescent="0.25">
      <c r="A9956" t="s">
        <v>30003</v>
      </c>
      <c r="B9956">
        <v>4.16</v>
      </c>
      <c r="C9956" t="s">
        <v>30004</v>
      </c>
      <c r="D9956" t="s">
        <v>835</v>
      </c>
      <c r="E9956" t="s">
        <v>29979</v>
      </c>
      <c r="F9956" t="s">
        <v>7672</v>
      </c>
      <c r="G9956" t="s">
        <v>29980</v>
      </c>
      <c r="H9956" t="s">
        <v>26624</v>
      </c>
      <c r="I9956" t="s">
        <v>29981</v>
      </c>
      <c r="J9956" t="s">
        <v>8013</v>
      </c>
    </row>
    <row r="9957" spans="1:10" x14ac:dyDescent="0.25">
      <c r="A9957" t="s">
        <v>30005</v>
      </c>
      <c r="B9957">
        <v>3.6</v>
      </c>
      <c r="C9957" t="s">
        <v>30006</v>
      </c>
      <c r="D9957" t="s">
        <v>9275</v>
      </c>
      <c r="E9957" t="s">
        <v>30007</v>
      </c>
      <c r="F9957" t="s">
        <v>7672</v>
      </c>
      <c r="G9957" t="s">
        <v>30008</v>
      </c>
      <c r="H9957" t="s">
        <v>13951</v>
      </c>
      <c r="I9957" t="s">
        <v>1243</v>
      </c>
      <c r="J9957" t="s">
        <v>9694</v>
      </c>
    </row>
    <row r="9958" spans="1:10" x14ac:dyDescent="0.25">
      <c r="A9958" t="s">
        <v>30009</v>
      </c>
      <c r="B9958">
        <v>9</v>
      </c>
      <c r="C9958" t="s">
        <v>30010</v>
      </c>
      <c r="D9958" t="s">
        <v>100</v>
      </c>
      <c r="E9958" t="s">
        <v>30011</v>
      </c>
      <c r="F9958" t="s">
        <v>7672</v>
      </c>
      <c r="G9958" t="s">
        <v>30012</v>
      </c>
      <c r="H9958" t="s">
        <v>11381</v>
      </c>
      <c r="I9958" t="s">
        <v>30013</v>
      </c>
      <c r="J9958" t="s">
        <v>7703</v>
      </c>
    </row>
    <row r="9959" spans="1:10" x14ac:dyDescent="0.25">
      <c r="A9959" t="s">
        <v>30014</v>
      </c>
      <c r="B9959">
        <v>9</v>
      </c>
      <c r="C9959" t="s">
        <v>30015</v>
      </c>
      <c r="D9959" t="s">
        <v>352</v>
      </c>
      <c r="E9959" t="s">
        <v>30011</v>
      </c>
      <c r="F9959" t="s">
        <v>7672</v>
      </c>
      <c r="G9959" t="s">
        <v>30012</v>
      </c>
      <c r="H9959" t="s">
        <v>11381</v>
      </c>
      <c r="I9959" t="s">
        <v>30013</v>
      </c>
      <c r="J9959" t="s">
        <v>7713</v>
      </c>
    </row>
    <row r="9960" spans="1:10" x14ac:dyDescent="0.25">
      <c r="A9960" t="s">
        <v>30016</v>
      </c>
      <c r="B9960">
        <v>9</v>
      </c>
      <c r="C9960" t="s">
        <v>30017</v>
      </c>
      <c r="D9960" t="s">
        <v>342</v>
      </c>
      <c r="E9960" t="s">
        <v>30011</v>
      </c>
      <c r="F9960" t="s">
        <v>7672</v>
      </c>
      <c r="G9960" t="s">
        <v>30012</v>
      </c>
      <c r="H9960" t="s">
        <v>11381</v>
      </c>
      <c r="I9960" t="s">
        <v>30018</v>
      </c>
      <c r="J9960" t="s">
        <v>7719</v>
      </c>
    </row>
    <row r="9961" spans="1:10" x14ac:dyDescent="0.25">
      <c r="A9961" t="s">
        <v>30019</v>
      </c>
      <c r="B9961">
        <v>9</v>
      </c>
      <c r="C9961" t="s">
        <v>30020</v>
      </c>
      <c r="D9961" t="s">
        <v>311</v>
      </c>
      <c r="E9961" t="s">
        <v>30011</v>
      </c>
      <c r="F9961" t="s">
        <v>7672</v>
      </c>
      <c r="G9961" t="s">
        <v>30012</v>
      </c>
      <c r="H9961" t="s">
        <v>11381</v>
      </c>
      <c r="I9961" t="s">
        <v>30013</v>
      </c>
      <c r="J9961" t="s">
        <v>7719</v>
      </c>
    </row>
    <row r="9962" spans="1:10" x14ac:dyDescent="0.25">
      <c r="A9962" t="s">
        <v>30021</v>
      </c>
      <c r="B9962">
        <v>10.792</v>
      </c>
      <c r="C9962" t="s">
        <v>30022</v>
      </c>
      <c r="D9962" t="s">
        <v>1143</v>
      </c>
      <c r="E9962" t="s">
        <v>30023</v>
      </c>
      <c r="F9962" t="s">
        <v>7672</v>
      </c>
      <c r="G9962" t="s">
        <v>30024</v>
      </c>
      <c r="H9962" t="s">
        <v>7674</v>
      </c>
      <c r="I9962" t="s">
        <v>76</v>
      </c>
      <c r="J9962" t="s">
        <v>106</v>
      </c>
    </row>
    <row r="9963" spans="1:10" x14ac:dyDescent="0.25">
      <c r="A9963" t="s">
        <v>30025</v>
      </c>
      <c r="B9963">
        <v>10.792</v>
      </c>
      <c r="C9963" t="s">
        <v>30026</v>
      </c>
      <c r="D9963" t="s">
        <v>959</v>
      </c>
      <c r="E9963" t="s">
        <v>30023</v>
      </c>
      <c r="F9963" t="s">
        <v>7672</v>
      </c>
      <c r="G9963" t="s">
        <v>30024</v>
      </c>
      <c r="H9963" t="s">
        <v>7674</v>
      </c>
      <c r="I9963" t="s">
        <v>76</v>
      </c>
      <c r="J9963" t="s">
        <v>11421</v>
      </c>
    </row>
    <row r="9964" spans="1:10" x14ac:dyDescent="0.25">
      <c r="A9964" t="s">
        <v>30027</v>
      </c>
      <c r="B9964">
        <v>10.792</v>
      </c>
      <c r="C9964" t="s">
        <v>30028</v>
      </c>
      <c r="D9964" t="s">
        <v>964</v>
      </c>
      <c r="E9964" t="s">
        <v>30023</v>
      </c>
      <c r="F9964" t="s">
        <v>7672</v>
      </c>
      <c r="G9964" t="s">
        <v>30024</v>
      </c>
      <c r="H9964" t="s">
        <v>7674</v>
      </c>
      <c r="I9964" t="s">
        <v>235</v>
      </c>
      <c r="J9964" t="s">
        <v>11337</v>
      </c>
    </row>
    <row r="9965" spans="1:10" x14ac:dyDescent="0.25">
      <c r="A9965" t="s">
        <v>30029</v>
      </c>
      <c r="B9965">
        <v>10.792</v>
      </c>
      <c r="C9965" t="s">
        <v>30030</v>
      </c>
      <c r="D9965" t="s">
        <v>576</v>
      </c>
      <c r="E9965" t="s">
        <v>30023</v>
      </c>
      <c r="F9965" t="s">
        <v>7672</v>
      </c>
      <c r="G9965" t="s">
        <v>30024</v>
      </c>
      <c r="H9965" t="s">
        <v>7674</v>
      </c>
      <c r="I9965" t="s">
        <v>76</v>
      </c>
      <c r="J9965" t="s">
        <v>11337</v>
      </c>
    </row>
    <row r="9966" spans="1:10" x14ac:dyDescent="0.25">
      <c r="A9966" t="s">
        <v>30031</v>
      </c>
      <c r="B9966">
        <v>10.792</v>
      </c>
      <c r="C9966" t="s">
        <v>30032</v>
      </c>
      <c r="D9966" t="s">
        <v>60</v>
      </c>
      <c r="E9966" t="s">
        <v>30023</v>
      </c>
      <c r="F9966" t="s">
        <v>7672</v>
      </c>
      <c r="G9966" t="s">
        <v>30024</v>
      </c>
      <c r="H9966" t="s">
        <v>7674</v>
      </c>
      <c r="I9966" t="s">
        <v>235</v>
      </c>
      <c r="J9966" t="s">
        <v>11338</v>
      </c>
    </row>
    <row r="9967" spans="1:10" x14ac:dyDescent="0.25">
      <c r="A9967" t="s">
        <v>30033</v>
      </c>
      <c r="B9967">
        <v>10.792</v>
      </c>
      <c r="C9967" t="s">
        <v>30034</v>
      </c>
      <c r="D9967" t="s">
        <v>269</v>
      </c>
      <c r="E9967" t="s">
        <v>30023</v>
      </c>
      <c r="F9967" t="s">
        <v>7672</v>
      </c>
      <c r="G9967" t="s">
        <v>30024</v>
      </c>
      <c r="H9967" t="s">
        <v>7674</v>
      </c>
      <c r="I9967" t="s">
        <v>235</v>
      </c>
      <c r="J9967" t="s">
        <v>11339</v>
      </c>
    </row>
    <row r="9968" spans="1:10" x14ac:dyDescent="0.25">
      <c r="A9968" t="s">
        <v>30035</v>
      </c>
      <c r="B9968">
        <v>2.8</v>
      </c>
      <c r="C9968" t="s">
        <v>30036</v>
      </c>
      <c r="D9968" t="s">
        <v>95</v>
      </c>
      <c r="E9968" t="s">
        <v>30037</v>
      </c>
      <c r="F9968" t="s">
        <v>7672</v>
      </c>
      <c r="G9968" t="s">
        <v>30038</v>
      </c>
      <c r="H9968" t="s">
        <v>14324</v>
      </c>
      <c r="I9968" t="s">
        <v>30039</v>
      </c>
      <c r="J9968" t="s">
        <v>100</v>
      </c>
    </row>
    <row r="9969" spans="1:10" x14ac:dyDescent="0.25">
      <c r="A9969" t="s">
        <v>30040</v>
      </c>
      <c r="B9969">
        <v>2.8</v>
      </c>
      <c r="C9969" t="s">
        <v>30041</v>
      </c>
      <c r="D9969" t="s">
        <v>865</v>
      </c>
      <c r="E9969" t="s">
        <v>30037</v>
      </c>
      <c r="F9969" t="s">
        <v>7672</v>
      </c>
      <c r="G9969" t="s">
        <v>30038</v>
      </c>
      <c r="H9969" t="s">
        <v>14324</v>
      </c>
      <c r="I9969" t="s">
        <v>30039</v>
      </c>
      <c r="J9969" t="s">
        <v>106</v>
      </c>
    </row>
    <row r="9970" spans="1:10" x14ac:dyDescent="0.25">
      <c r="A9970" t="s">
        <v>30042</v>
      </c>
      <c r="B9970">
        <v>2.8</v>
      </c>
      <c r="C9970" t="s">
        <v>30043</v>
      </c>
      <c r="D9970" t="s">
        <v>3175</v>
      </c>
      <c r="E9970" t="s">
        <v>30037</v>
      </c>
      <c r="F9970" t="s">
        <v>7672</v>
      </c>
      <c r="G9970" t="s">
        <v>30038</v>
      </c>
      <c r="H9970" t="s">
        <v>14324</v>
      </c>
      <c r="I9970" t="s">
        <v>30039</v>
      </c>
      <c r="J9970" t="s">
        <v>88</v>
      </c>
    </row>
    <row r="9971" spans="1:10" x14ac:dyDescent="0.25">
      <c r="A9971" t="s">
        <v>30044</v>
      </c>
      <c r="B9971">
        <v>2.8</v>
      </c>
      <c r="C9971" t="s">
        <v>30045</v>
      </c>
      <c r="D9971" t="s">
        <v>6194</v>
      </c>
      <c r="E9971" t="s">
        <v>30037</v>
      </c>
      <c r="F9971" t="s">
        <v>7672</v>
      </c>
      <c r="G9971" t="s">
        <v>30038</v>
      </c>
      <c r="H9971" t="s">
        <v>14324</v>
      </c>
      <c r="I9971" t="s">
        <v>30039</v>
      </c>
      <c r="J9971" t="s">
        <v>131</v>
      </c>
    </row>
    <row r="9972" spans="1:10" x14ac:dyDescent="0.25">
      <c r="A9972" t="s">
        <v>30046</v>
      </c>
      <c r="B9972">
        <v>2.8</v>
      </c>
      <c r="C9972" t="s">
        <v>30047</v>
      </c>
      <c r="D9972" t="s">
        <v>991</v>
      </c>
      <c r="E9972" t="s">
        <v>30037</v>
      </c>
      <c r="F9972" t="s">
        <v>7672</v>
      </c>
      <c r="G9972" t="s">
        <v>30038</v>
      </c>
      <c r="H9972" t="s">
        <v>14324</v>
      </c>
      <c r="I9972" t="s">
        <v>30039</v>
      </c>
      <c r="J9972" t="s">
        <v>269</v>
      </c>
    </row>
    <row r="9973" spans="1:10" x14ac:dyDescent="0.25">
      <c r="A9973" t="s">
        <v>30048</v>
      </c>
      <c r="B9973">
        <v>2.8</v>
      </c>
      <c r="C9973" t="s">
        <v>30049</v>
      </c>
      <c r="D9973" t="s">
        <v>3175</v>
      </c>
      <c r="E9973" t="s">
        <v>30037</v>
      </c>
      <c r="F9973" t="s">
        <v>7672</v>
      </c>
      <c r="G9973" t="s">
        <v>30038</v>
      </c>
      <c r="H9973" t="s">
        <v>14324</v>
      </c>
      <c r="I9973" t="s">
        <v>30039</v>
      </c>
      <c r="J9973" t="s">
        <v>255</v>
      </c>
    </row>
    <row r="9974" spans="1:10" x14ac:dyDescent="0.25">
      <c r="A9974" t="s">
        <v>30050</v>
      </c>
      <c r="B9974">
        <v>2.8</v>
      </c>
      <c r="C9974" t="s">
        <v>30051</v>
      </c>
      <c r="D9974" t="s">
        <v>3258</v>
      </c>
      <c r="E9974" t="s">
        <v>30037</v>
      </c>
      <c r="F9974" t="s">
        <v>7672</v>
      </c>
      <c r="G9974" t="s">
        <v>30038</v>
      </c>
      <c r="H9974" t="s">
        <v>14324</v>
      </c>
      <c r="I9974" t="s">
        <v>30039</v>
      </c>
      <c r="J9974" t="s">
        <v>277</v>
      </c>
    </row>
    <row r="9975" spans="1:10" x14ac:dyDescent="0.25">
      <c r="A9975" t="s">
        <v>525</v>
      </c>
      <c r="B9975">
        <v>4.7920000000000007</v>
      </c>
      <c r="C9975" t="s">
        <v>527</v>
      </c>
      <c r="D9975" t="s">
        <v>530</v>
      </c>
      <c r="E9975" t="s">
        <v>528</v>
      </c>
      <c r="F9975" t="s">
        <v>7672</v>
      </c>
      <c r="G9975" t="s">
        <v>30052</v>
      </c>
      <c r="H9975" t="s">
        <v>26019</v>
      </c>
      <c r="I9975" t="s">
        <v>497</v>
      </c>
      <c r="J9975" t="s">
        <v>9694</v>
      </c>
    </row>
    <row r="9976" spans="1:10" x14ac:dyDescent="0.25">
      <c r="A9976" t="s">
        <v>30053</v>
      </c>
      <c r="B9976">
        <v>8.64</v>
      </c>
      <c r="C9976" t="s">
        <v>30054</v>
      </c>
      <c r="D9976" t="s">
        <v>1954</v>
      </c>
      <c r="E9976" t="s">
        <v>30055</v>
      </c>
      <c r="F9976" t="s">
        <v>7672</v>
      </c>
      <c r="G9976" t="s">
        <v>30056</v>
      </c>
      <c r="H9976" t="s">
        <v>24169</v>
      </c>
      <c r="I9976" t="s">
        <v>30057</v>
      </c>
      <c r="J9976" t="s">
        <v>9023</v>
      </c>
    </row>
    <row r="9977" spans="1:10" x14ac:dyDescent="0.25">
      <c r="A9977" t="s">
        <v>30058</v>
      </c>
      <c r="B9977">
        <v>8.64</v>
      </c>
      <c r="C9977" t="s">
        <v>30059</v>
      </c>
      <c r="D9977" t="s">
        <v>8111</v>
      </c>
      <c r="E9977" t="s">
        <v>30055</v>
      </c>
      <c r="F9977" t="s">
        <v>7672</v>
      </c>
      <c r="G9977" t="s">
        <v>30056</v>
      </c>
      <c r="H9977" t="s">
        <v>24169</v>
      </c>
      <c r="I9977" t="s">
        <v>30057</v>
      </c>
      <c r="J9977" t="s">
        <v>8883</v>
      </c>
    </row>
    <row r="9978" spans="1:10" x14ac:dyDescent="0.25">
      <c r="A9978" t="s">
        <v>30060</v>
      </c>
      <c r="B9978">
        <v>8.64</v>
      </c>
      <c r="C9978" t="s">
        <v>30061</v>
      </c>
      <c r="D9978" t="s">
        <v>1143</v>
      </c>
      <c r="E9978" t="s">
        <v>30055</v>
      </c>
      <c r="F9978" t="s">
        <v>7672</v>
      </c>
      <c r="G9978" t="s">
        <v>30056</v>
      </c>
      <c r="H9978" t="s">
        <v>24169</v>
      </c>
      <c r="I9978" t="s">
        <v>30057</v>
      </c>
      <c r="J9978" t="s">
        <v>10908</v>
      </c>
    </row>
    <row r="9979" spans="1:10" x14ac:dyDescent="0.25">
      <c r="A9979" t="s">
        <v>30062</v>
      </c>
      <c r="B9979">
        <v>8.64</v>
      </c>
      <c r="C9979" t="s">
        <v>30063</v>
      </c>
      <c r="D9979" t="s">
        <v>53</v>
      </c>
      <c r="E9979" t="s">
        <v>30055</v>
      </c>
      <c r="F9979" t="s">
        <v>7672</v>
      </c>
      <c r="G9979" t="s">
        <v>30056</v>
      </c>
      <c r="H9979" t="s">
        <v>24169</v>
      </c>
      <c r="I9979" t="s">
        <v>30057</v>
      </c>
      <c r="J9979" t="s">
        <v>10926</v>
      </c>
    </row>
    <row r="9980" spans="1:10" x14ac:dyDescent="0.25">
      <c r="A9980" t="s">
        <v>533</v>
      </c>
      <c r="B9980">
        <v>10.992000000000001</v>
      </c>
      <c r="C9980" t="s">
        <v>535</v>
      </c>
      <c r="D9980" t="s">
        <v>106</v>
      </c>
      <c r="E9980" t="s">
        <v>536</v>
      </c>
      <c r="F9980" t="s">
        <v>7672</v>
      </c>
      <c r="G9980" t="s">
        <v>30064</v>
      </c>
      <c r="H9980" t="s">
        <v>17415</v>
      </c>
      <c r="I9980" t="s">
        <v>30065</v>
      </c>
      <c r="J9980" t="s">
        <v>131</v>
      </c>
    </row>
    <row r="9981" spans="1:10" x14ac:dyDescent="0.25">
      <c r="A9981" t="s">
        <v>30066</v>
      </c>
      <c r="B9981">
        <v>14.215999999999999</v>
      </c>
      <c r="C9981" t="s">
        <v>30067</v>
      </c>
      <c r="D9981" t="s">
        <v>776</v>
      </c>
      <c r="E9981" t="s">
        <v>30068</v>
      </c>
      <c r="F9981" t="s">
        <v>7672</v>
      </c>
      <c r="G9981" t="s">
        <v>30069</v>
      </c>
      <c r="H9981" t="s">
        <v>16745</v>
      </c>
      <c r="I9981" t="s">
        <v>18589</v>
      </c>
      <c r="J9981" t="s">
        <v>8427</v>
      </c>
    </row>
    <row r="9982" spans="1:10" x14ac:dyDescent="0.25">
      <c r="A9982" t="s">
        <v>30070</v>
      </c>
      <c r="B9982">
        <v>14.215999999999999</v>
      </c>
      <c r="C9982" t="s">
        <v>30071</v>
      </c>
      <c r="D9982" t="s">
        <v>698</v>
      </c>
      <c r="E9982" t="s">
        <v>30068</v>
      </c>
      <c r="F9982" t="s">
        <v>7672</v>
      </c>
      <c r="G9982" t="s">
        <v>30069</v>
      </c>
      <c r="H9982" t="s">
        <v>16745</v>
      </c>
      <c r="I9982" t="s">
        <v>18589</v>
      </c>
      <c r="J9982" t="s">
        <v>8439</v>
      </c>
    </row>
    <row r="9983" spans="1:10" x14ac:dyDescent="0.25">
      <c r="A9983" t="s">
        <v>30072</v>
      </c>
      <c r="B9983">
        <v>14.215999999999999</v>
      </c>
      <c r="C9983" t="s">
        <v>30073</v>
      </c>
      <c r="D9983" t="s">
        <v>2879</v>
      </c>
      <c r="E9983" t="s">
        <v>30068</v>
      </c>
      <c r="F9983" t="s">
        <v>7672</v>
      </c>
      <c r="G9983" t="s">
        <v>30069</v>
      </c>
      <c r="H9983" t="s">
        <v>16745</v>
      </c>
      <c r="I9983" t="s">
        <v>18589</v>
      </c>
      <c r="J9983" t="s">
        <v>8451</v>
      </c>
    </row>
    <row r="9984" spans="1:10" x14ac:dyDescent="0.25">
      <c r="A9984" t="s">
        <v>30074</v>
      </c>
      <c r="B9984">
        <v>7.2</v>
      </c>
      <c r="C9984" t="s">
        <v>30075</v>
      </c>
      <c r="D9984" t="s">
        <v>106</v>
      </c>
      <c r="E9984" t="s">
        <v>30076</v>
      </c>
      <c r="F9984" t="s">
        <v>7672</v>
      </c>
      <c r="G9984" t="s">
        <v>30077</v>
      </c>
      <c r="H9984" t="s">
        <v>10298</v>
      </c>
      <c r="I9984" t="s">
        <v>30078</v>
      </c>
      <c r="J9984" t="s">
        <v>7942</v>
      </c>
    </row>
    <row r="9985" spans="1:10" x14ac:dyDescent="0.25">
      <c r="A9985" t="s">
        <v>30079</v>
      </c>
      <c r="B9985">
        <v>7.2</v>
      </c>
      <c r="C9985" t="s">
        <v>30080</v>
      </c>
      <c r="D9985" t="s">
        <v>106</v>
      </c>
      <c r="E9985" t="s">
        <v>30076</v>
      </c>
      <c r="F9985" t="s">
        <v>7672</v>
      </c>
      <c r="G9985" t="s">
        <v>30077</v>
      </c>
      <c r="H9985" t="s">
        <v>10298</v>
      </c>
      <c r="I9985" t="s">
        <v>29771</v>
      </c>
      <c r="J9985" t="s">
        <v>7942</v>
      </c>
    </row>
    <row r="9986" spans="1:10" x14ac:dyDescent="0.25">
      <c r="A9986" t="s">
        <v>30081</v>
      </c>
      <c r="B9986">
        <v>7.2</v>
      </c>
      <c r="C9986" t="s">
        <v>30082</v>
      </c>
      <c r="D9986" t="s">
        <v>164</v>
      </c>
      <c r="E9986" t="s">
        <v>30076</v>
      </c>
      <c r="F9986" t="s">
        <v>7672</v>
      </c>
      <c r="G9986" t="s">
        <v>30077</v>
      </c>
      <c r="H9986" t="s">
        <v>10298</v>
      </c>
      <c r="I9986" t="s">
        <v>29771</v>
      </c>
      <c r="J9986" t="s">
        <v>7981</v>
      </c>
    </row>
    <row r="9987" spans="1:10" x14ac:dyDescent="0.25">
      <c r="A9987" t="s">
        <v>30083</v>
      </c>
      <c r="B9987">
        <v>13</v>
      </c>
      <c r="C9987" t="s">
        <v>30084</v>
      </c>
      <c r="D9987" t="s">
        <v>3435</v>
      </c>
      <c r="E9987" t="s">
        <v>30085</v>
      </c>
      <c r="F9987" t="s">
        <v>7672</v>
      </c>
      <c r="G9987" t="s">
        <v>30086</v>
      </c>
      <c r="H9987" t="s">
        <v>17992</v>
      </c>
      <c r="I9987" t="s">
        <v>21260</v>
      </c>
      <c r="J9987" t="s">
        <v>8013</v>
      </c>
    </row>
    <row r="9988" spans="1:10" x14ac:dyDescent="0.25">
      <c r="A9988" t="s">
        <v>30087</v>
      </c>
      <c r="B9988">
        <v>13</v>
      </c>
      <c r="C9988" t="s">
        <v>30088</v>
      </c>
      <c r="D9988" t="s">
        <v>913</v>
      </c>
      <c r="E9988" t="s">
        <v>30085</v>
      </c>
      <c r="F9988" t="s">
        <v>7672</v>
      </c>
      <c r="G9988" t="s">
        <v>30086</v>
      </c>
      <c r="H9988" t="s">
        <v>17992</v>
      </c>
      <c r="I9988" t="s">
        <v>25330</v>
      </c>
      <c r="J9988" t="s">
        <v>8013</v>
      </c>
    </row>
    <row r="9989" spans="1:10" x14ac:dyDescent="0.25">
      <c r="A9989" t="s">
        <v>30089</v>
      </c>
      <c r="B9989">
        <v>13</v>
      </c>
      <c r="C9989" t="s">
        <v>30090</v>
      </c>
      <c r="D9989" t="s">
        <v>3944</v>
      </c>
      <c r="E9989" t="s">
        <v>30085</v>
      </c>
      <c r="F9989" t="s">
        <v>7672</v>
      </c>
      <c r="G9989" t="s">
        <v>30086</v>
      </c>
      <c r="H9989" t="s">
        <v>17992</v>
      </c>
      <c r="I9989" t="s">
        <v>30091</v>
      </c>
      <c r="J9989" t="s">
        <v>8013</v>
      </c>
    </row>
    <row r="9990" spans="1:10" x14ac:dyDescent="0.25">
      <c r="A9990" t="s">
        <v>30092</v>
      </c>
      <c r="B9990">
        <v>6.4960000000000004</v>
      </c>
      <c r="C9990" t="s">
        <v>30093</v>
      </c>
      <c r="D9990" t="s">
        <v>593</v>
      </c>
      <c r="E9990" t="s">
        <v>30094</v>
      </c>
      <c r="F9990" t="s">
        <v>7672</v>
      </c>
      <c r="G9990" t="s">
        <v>30095</v>
      </c>
      <c r="H9990" t="s">
        <v>17992</v>
      </c>
      <c r="I9990" t="s">
        <v>11206</v>
      </c>
      <c r="J9990" t="s">
        <v>8427</v>
      </c>
    </row>
    <row r="9991" spans="1:10" x14ac:dyDescent="0.25">
      <c r="A9991" t="s">
        <v>30096</v>
      </c>
      <c r="B9991">
        <v>6.4960000000000004</v>
      </c>
      <c r="C9991" t="s">
        <v>30097</v>
      </c>
      <c r="D9991" t="s">
        <v>2243</v>
      </c>
      <c r="E9991" t="s">
        <v>30094</v>
      </c>
      <c r="F9991" t="s">
        <v>7672</v>
      </c>
      <c r="G9991" t="s">
        <v>30095</v>
      </c>
      <c r="H9991" t="s">
        <v>17992</v>
      </c>
      <c r="I9991" t="s">
        <v>8158</v>
      </c>
      <c r="J9991" t="s">
        <v>8427</v>
      </c>
    </row>
    <row r="9992" spans="1:10" x14ac:dyDescent="0.25">
      <c r="A9992" t="s">
        <v>30098</v>
      </c>
      <c r="B9992">
        <v>6.4960000000000004</v>
      </c>
      <c r="C9992" t="s">
        <v>30099</v>
      </c>
      <c r="D9992" t="s">
        <v>8193</v>
      </c>
      <c r="E9992" t="s">
        <v>30094</v>
      </c>
      <c r="F9992" t="s">
        <v>7672</v>
      </c>
      <c r="G9992" t="s">
        <v>30095</v>
      </c>
      <c r="H9992" t="s">
        <v>17992</v>
      </c>
      <c r="I9992" t="s">
        <v>11206</v>
      </c>
      <c r="J9992" t="s">
        <v>8439</v>
      </c>
    </row>
    <row r="9993" spans="1:10" x14ac:dyDescent="0.25">
      <c r="A9993" t="s">
        <v>30100</v>
      </c>
      <c r="B9993">
        <v>6.4960000000000004</v>
      </c>
      <c r="C9993" t="s">
        <v>30101</v>
      </c>
      <c r="D9993" t="s">
        <v>2262</v>
      </c>
      <c r="E9993" t="s">
        <v>30094</v>
      </c>
      <c r="F9993" t="s">
        <v>7672</v>
      </c>
      <c r="G9993" t="s">
        <v>30095</v>
      </c>
      <c r="H9993" t="s">
        <v>17992</v>
      </c>
      <c r="I9993" t="s">
        <v>8158</v>
      </c>
      <c r="J9993" t="s">
        <v>8439</v>
      </c>
    </row>
    <row r="9994" spans="1:10" x14ac:dyDescent="0.25">
      <c r="A9994" t="s">
        <v>30102</v>
      </c>
      <c r="B9994">
        <v>6.4960000000000004</v>
      </c>
      <c r="C9994" t="s">
        <v>30103</v>
      </c>
      <c r="D9994" t="s">
        <v>725</v>
      </c>
      <c r="E9994" t="s">
        <v>30094</v>
      </c>
      <c r="F9994" t="s">
        <v>7672</v>
      </c>
      <c r="G9994" t="s">
        <v>30095</v>
      </c>
      <c r="H9994" t="s">
        <v>17992</v>
      </c>
      <c r="I9994" t="s">
        <v>11206</v>
      </c>
      <c r="J9994" t="s">
        <v>8451</v>
      </c>
    </row>
    <row r="9995" spans="1:10" x14ac:dyDescent="0.25">
      <c r="A9995" t="s">
        <v>30104</v>
      </c>
      <c r="B9995">
        <v>6.4960000000000004</v>
      </c>
      <c r="C9995" t="s">
        <v>30105</v>
      </c>
      <c r="D9995" t="s">
        <v>865</v>
      </c>
      <c r="E9995" t="s">
        <v>30094</v>
      </c>
      <c r="F9995" t="s">
        <v>7672</v>
      </c>
      <c r="G9995" t="s">
        <v>30095</v>
      </c>
      <c r="H9995" t="s">
        <v>17992</v>
      </c>
      <c r="I9995" t="s">
        <v>8158</v>
      </c>
      <c r="J9995" t="s">
        <v>8451</v>
      </c>
    </row>
    <row r="9996" spans="1:10" x14ac:dyDescent="0.25">
      <c r="A9996" t="s">
        <v>30106</v>
      </c>
      <c r="B9996">
        <v>6.4960000000000004</v>
      </c>
      <c r="C9996" t="s">
        <v>30107</v>
      </c>
      <c r="D9996" t="s">
        <v>3577</v>
      </c>
      <c r="E9996" t="s">
        <v>30094</v>
      </c>
      <c r="F9996" t="s">
        <v>7672</v>
      </c>
      <c r="G9996" t="s">
        <v>30095</v>
      </c>
      <c r="H9996" t="s">
        <v>17992</v>
      </c>
      <c r="I9996" t="s">
        <v>11206</v>
      </c>
      <c r="J9996" t="s">
        <v>8462</v>
      </c>
    </row>
    <row r="9997" spans="1:10" x14ac:dyDescent="0.25">
      <c r="A9997" t="s">
        <v>30108</v>
      </c>
      <c r="B9997">
        <v>6.4960000000000004</v>
      </c>
      <c r="C9997" t="s">
        <v>30109</v>
      </c>
      <c r="D9997" t="s">
        <v>926</v>
      </c>
      <c r="E9997" t="s">
        <v>30094</v>
      </c>
      <c r="F9997" t="s">
        <v>7672</v>
      </c>
      <c r="G9997" t="s">
        <v>30095</v>
      </c>
      <c r="H9997" t="s">
        <v>17992</v>
      </c>
      <c r="I9997" t="s">
        <v>8158</v>
      </c>
      <c r="J9997" t="s">
        <v>8462</v>
      </c>
    </row>
    <row r="9998" spans="1:10" x14ac:dyDescent="0.25">
      <c r="A9998" t="s">
        <v>540</v>
      </c>
      <c r="B9998">
        <v>12.32</v>
      </c>
      <c r="C9998" t="s">
        <v>542</v>
      </c>
      <c r="D9998" t="s">
        <v>53</v>
      </c>
      <c r="E9998" t="s">
        <v>543</v>
      </c>
      <c r="F9998" t="s">
        <v>7672</v>
      </c>
      <c r="G9998" t="s">
        <v>30110</v>
      </c>
      <c r="H9998" t="s">
        <v>8087</v>
      </c>
      <c r="I9998" t="s">
        <v>546</v>
      </c>
      <c r="J9998" t="s">
        <v>7942</v>
      </c>
    </row>
    <row r="9999" spans="1:10" x14ac:dyDescent="0.25">
      <c r="A9999" t="s">
        <v>547</v>
      </c>
      <c r="B9999">
        <v>12.32</v>
      </c>
      <c r="C9999" t="s">
        <v>549</v>
      </c>
      <c r="D9999" t="s">
        <v>106</v>
      </c>
      <c r="E9999" t="s">
        <v>543</v>
      </c>
      <c r="F9999" t="s">
        <v>7672</v>
      </c>
      <c r="G9999" t="s">
        <v>30110</v>
      </c>
      <c r="H9999" t="s">
        <v>8087</v>
      </c>
      <c r="I9999" t="s">
        <v>551</v>
      </c>
      <c r="J9999" t="s">
        <v>7942</v>
      </c>
    </row>
    <row r="10000" spans="1:10" x14ac:dyDescent="0.25">
      <c r="A10000" t="s">
        <v>30111</v>
      </c>
      <c r="B10000">
        <v>12.32</v>
      </c>
      <c r="C10000" t="s">
        <v>30112</v>
      </c>
      <c r="D10000" t="s">
        <v>88</v>
      </c>
      <c r="E10000" t="s">
        <v>543</v>
      </c>
      <c r="F10000" t="s">
        <v>7672</v>
      </c>
      <c r="G10000" t="s">
        <v>30110</v>
      </c>
      <c r="H10000" t="s">
        <v>8087</v>
      </c>
      <c r="I10000" t="s">
        <v>551</v>
      </c>
      <c r="J10000" t="s">
        <v>7981</v>
      </c>
    </row>
    <row r="10001" spans="1:10" x14ac:dyDescent="0.25">
      <c r="A10001" t="s">
        <v>552</v>
      </c>
      <c r="B10001">
        <v>12.32</v>
      </c>
      <c r="C10001" t="s">
        <v>554</v>
      </c>
      <c r="D10001" t="s">
        <v>100</v>
      </c>
      <c r="E10001" t="s">
        <v>543</v>
      </c>
      <c r="F10001" t="s">
        <v>7672</v>
      </c>
      <c r="G10001" t="s">
        <v>30110</v>
      </c>
      <c r="H10001" t="s">
        <v>8087</v>
      </c>
      <c r="I10001" t="s">
        <v>546</v>
      </c>
      <c r="J10001" t="s">
        <v>7981</v>
      </c>
    </row>
    <row r="10002" spans="1:10" x14ac:dyDescent="0.25">
      <c r="A10002" t="s">
        <v>556</v>
      </c>
      <c r="B10002">
        <v>12.32</v>
      </c>
      <c r="C10002" t="s">
        <v>558</v>
      </c>
      <c r="D10002" t="s">
        <v>100</v>
      </c>
      <c r="E10002" t="s">
        <v>543</v>
      </c>
      <c r="F10002" t="s">
        <v>7672</v>
      </c>
      <c r="G10002" t="s">
        <v>30110</v>
      </c>
      <c r="H10002" t="s">
        <v>8087</v>
      </c>
      <c r="I10002" t="s">
        <v>546</v>
      </c>
      <c r="J10002" t="s">
        <v>7984</v>
      </c>
    </row>
    <row r="10003" spans="1:10" x14ac:dyDescent="0.25">
      <c r="A10003" t="s">
        <v>560</v>
      </c>
      <c r="B10003">
        <v>12.32</v>
      </c>
      <c r="C10003" t="s">
        <v>562</v>
      </c>
      <c r="D10003" t="s">
        <v>269</v>
      </c>
      <c r="E10003" t="s">
        <v>543</v>
      </c>
      <c r="F10003" t="s">
        <v>7672</v>
      </c>
      <c r="G10003" t="s">
        <v>30110</v>
      </c>
      <c r="H10003" t="s">
        <v>8087</v>
      </c>
      <c r="I10003" t="s">
        <v>551</v>
      </c>
      <c r="J10003" t="s">
        <v>7987</v>
      </c>
    </row>
    <row r="10004" spans="1:10" x14ac:dyDescent="0.25">
      <c r="A10004" t="s">
        <v>564</v>
      </c>
      <c r="B10004">
        <v>12.32</v>
      </c>
      <c r="C10004" t="s">
        <v>566</v>
      </c>
      <c r="D10004" t="s">
        <v>255</v>
      </c>
      <c r="E10004" t="s">
        <v>543</v>
      </c>
      <c r="F10004" t="s">
        <v>7672</v>
      </c>
      <c r="G10004" t="s">
        <v>30110</v>
      </c>
      <c r="H10004" t="s">
        <v>8087</v>
      </c>
      <c r="I10004" t="s">
        <v>546</v>
      </c>
      <c r="J10004" t="s">
        <v>7987</v>
      </c>
    </row>
    <row r="10005" spans="1:10" x14ac:dyDescent="0.25">
      <c r="A10005" t="s">
        <v>568</v>
      </c>
      <c r="B10005">
        <v>12.32</v>
      </c>
      <c r="C10005" t="s">
        <v>570</v>
      </c>
      <c r="D10005" t="s">
        <v>164</v>
      </c>
      <c r="E10005" t="s">
        <v>543</v>
      </c>
      <c r="F10005" t="s">
        <v>7672</v>
      </c>
      <c r="G10005" t="s">
        <v>30110</v>
      </c>
      <c r="H10005" t="s">
        <v>8087</v>
      </c>
      <c r="I10005" t="s">
        <v>546</v>
      </c>
      <c r="J10005" t="s">
        <v>8001</v>
      </c>
    </row>
    <row r="10006" spans="1:10" x14ac:dyDescent="0.25">
      <c r="A10006" t="s">
        <v>572</v>
      </c>
      <c r="B10006">
        <v>12.32</v>
      </c>
      <c r="C10006" t="s">
        <v>574</v>
      </c>
      <c r="D10006" t="s">
        <v>576</v>
      </c>
      <c r="E10006" t="s">
        <v>543</v>
      </c>
      <c r="F10006" t="s">
        <v>7672</v>
      </c>
      <c r="G10006" t="s">
        <v>30110</v>
      </c>
      <c r="H10006" t="s">
        <v>8087</v>
      </c>
      <c r="I10006" t="s">
        <v>551</v>
      </c>
      <c r="J10006" t="s">
        <v>8001</v>
      </c>
    </row>
    <row r="10007" spans="1:10" x14ac:dyDescent="0.25">
      <c r="A10007" t="s">
        <v>30113</v>
      </c>
      <c r="B10007">
        <v>6</v>
      </c>
      <c r="C10007" t="s">
        <v>30114</v>
      </c>
      <c r="D10007" t="s">
        <v>991</v>
      </c>
      <c r="E10007" t="s">
        <v>30115</v>
      </c>
      <c r="F10007" t="s">
        <v>7672</v>
      </c>
      <c r="G10007" t="s">
        <v>30116</v>
      </c>
      <c r="H10007" t="s">
        <v>8515</v>
      </c>
      <c r="I10007" t="s">
        <v>1490</v>
      </c>
      <c r="J10007" t="s">
        <v>11767</v>
      </c>
    </row>
    <row r="10008" spans="1:10" x14ac:dyDescent="0.25">
      <c r="A10008" t="s">
        <v>30117</v>
      </c>
      <c r="B10008">
        <v>6</v>
      </c>
      <c r="C10008" t="s">
        <v>30118</v>
      </c>
      <c r="D10008" t="s">
        <v>396</v>
      </c>
      <c r="E10008" t="s">
        <v>30115</v>
      </c>
      <c r="F10008" t="s">
        <v>7672</v>
      </c>
      <c r="G10008" t="s">
        <v>30116</v>
      </c>
      <c r="H10008" t="s">
        <v>8515</v>
      </c>
      <c r="I10008" t="s">
        <v>25810</v>
      </c>
      <c r="J10008" t="s">
        <v>11767</v>
      </c>
    </row>
    <row r="10009" spans="1:10" x14ac:dyDescent="0.25">
      <c r="A10009" t="s">
        <v>30119</v>
      </c>
      <c r="B10009">
        <v>6</v>
      </c>
      <c r="C10009" t="s">
        <v>30120</v>
      </c>
      <c r="D10009" t="s">
        <v>849</v>
      </c>
      <c r="E10009" t="s">
        <v>30115</v>
      </c>
      <c r="F10009" t="s">
        <v>7672</v>
      </c>
      <c r="G10009" t="s">
        <v>30116</v>
      </c>
      <c r="H10009" t="s">
        <v>8515</v>
      </c>
      <c r="I10009" t="s">
        <v>5202</v>
      </c>
      <c r="J10009" t="s">
        <v>11767</v>
      </c>
    </row>
    <row r="10010" spans="1:10" x14ac:dyDescent="0.25">
      <c r="A10010" t="s">
        <v>30121</v>
      </c>
      <c r="B10010">
        <v>6</v>
      </c>
      <c r="C10010" t="s">
        <v>30122</v>
      </c>
      <c r="D10010" t="s">
        <v>3572</v>
      </c>
      <c r="E10010" t="s">
        <v>30123</v>
      </c>
      <c r="F10010" t="s">
        <v>7672</v>
      </c>
      <c r="G10010" t="s">
        <v>30124</v>
      </c>
      <c r="H10010" t="s">
        <v>11496</v>
      </c>
      <c r="I10010" t="s">
        <v>6036</v>
      </c>
      <c r="J10010" t="s">
        <v>9423</v>
      </c>
    </row>
    <row r="10011" spans="1:10" x14ac:dyDescent="0.25">
      <c r="A10011" t="s">
        <v>30125</v>
      </c>
      <c r="B10011">
        <v>6</v>
      </c>
      <c r="C10011" t="s">
        <v>30126</v>
      </c>
      <c r="D10011" t="s">
        <v>3944</v>
      </c>
      <c r="E10011" t="s">
        <v>30123</v>
      </c>
      <c r="F10011" t="s">
        <v>7672</v>
      </c>
      <c r="G10011" t="s">
        <v>30124</v>
      </c>
      <c r="H10011" t="s">
        <v>11496</v>
      </c>
      <c r="I10011" t="s">
        <v>6036</v>
      </c>
      <c r="J10011" t="s">
        <v>9426</v>
      </c>
    </row>
    <row r="10012" spans="1:10" x14ac:dyDescent="0.25">
      <c r="A10012" t="s">
        <v>30127</v>
      </c>
      <c r="B10012">
        <v>12</v>
      </c>
      <c r="C10012" t="s">
        <v>30128</v>
      </c>
      <c r="D10012" t="s">
        <v>290</v>
      </c>
      <c r="E10012" t="s">
        <v>30129</v>
      </c>
      <c r="F10012" t="s">
        <v>7672</v>
      </c>
      <c r="G10012" t="s">
        <v>30130</v>
      </c>
      <c r="H10012" t="s">
        <v>8027</v>
      </c>
      <c r="I10012" t="s">
        <v>8158</v>
      </c>
      <c r="J10012" t="s">
        <v>8891</v>
      </c>
    </row>
    <row r="10013" spans="1:10" x14ac:dyDescent="0.25">
      <c r="A10013" t="s">
        <v>30131</v>
      </c>
      <c r="B10013">
        <v>12</v>
      </c>
      <c r="C10013" t="s">
        <v>30132</v>
      </c>
      <c r="D10013" t="s">
        <v>1143</v>
      </c>
      <c r="E10013" t="s">
        <v>30129</v>
      </c>
      <c r="F10013" t="s">
        <v>7672</v>
      </c>
      <c r="G10013" t="s">
        <v>30130</v>
      </c>
      <c r="H10013" t="s">
        <v>8027</v>
      </c>
      <c r="I10013" t="s">
        <v>8158</v>
      </c>
      <c r="J10013" t="s">
        <v>8896</v>
      </c>
    </row>
    <row r="10014" spans="1:10" x14ac:dyDescent="0.25">
      <c r="A10014" t="s">
        <v>30133</v>
      </c>
      <c r="B10014">
        <v>12</v>
      </c>
      <c r="C10014" t="s">
        <v>30134</v>
      </c>
      <c r="D10014" t="s">
        <v>250</v>
      </c>
      <c r="E10014" t="s">
        <v>30129</v>
      </c>
      <c r="F10014" t="s">
        <v>7672</v>
      </c>
      <c r="G10014" t="s">
        <v>30130</v>
      </c>
      <c r="H10014" t="s">
        <v>8027</v>
      </c>
      <c r="I10014" t="s">
        <v>8158</v>
      </c>
      <c r="J10014" t="s">
        <v>9400</v>
      </c>
    </row>
    <row r="10015" spans="1:10" x14ac:dyDescent="0.25">
      <c r="A10015" t="s">
        <v>577</v>
      </c>
      <c r="B10015">
        <v>11.128</v>
      </c>
      <c r="C10015" t="s">
        <v>579</v>
      </c>
      <c r="D10015" t="s">
        <v>582</v>
      </c>
      <c r="E10015" t="s">
        <v>580</v>
      </c>
      <c r="F10015" t="s">
        <v>7672</v>
      </c>
      <c r="G10015" t="s">
        <v>30135</v>
      </c>
      <c r="H10015" t="s">
        <v>10970</v>
      </c>
      <c r="I10015" t="s">
        <v>30136</v>
      </c>
      <c r="J10015" t="s">
        <v>28442</v>
      </c>
    </row>
    <row r="10016" spans="1:10" x14ac:dyDescent="0.25">
      <c r="A10016" t="s">
        <v>584</v>
      </c>
      <c r="B10016">
        <v>11.128</v>
      </c>
      <c r="C10016" t="s">
        <v>586</v>
      </c>
      <c r="D10016" t="s">
        <v>588</v>
      </c>
      <c r="E10016" t="s">
        <v>580</v>
      </c>
      <c r="F10016" t="s">
        <v>7672</v>
      </c>
      <c r="G10016" t="s">
        <v>30135</v>
      </c>
      <c r="H10016" t="s">
        <v>10970</v>
      </c>
      <c r="I10016" t="s">
        <v>30136</v>
      </c>
      <c r="J10016" t="s">
        <v>28443</v>
      </c>
    </row>
    <row r="10017" spans="1:10" x14ac:dyDescent="0.25">
      <c r="A10017" t="s">
        <v>589</v>
      </c>
      <c r="B10017">
        <v>11.128</v>
      </c>
      <c r="C10017" t="s">
        <v>591</v>
      </c>
      <c r="D10017" t="s">
        <v>593</v>
      </c>
      <c r="E10017" t="s">
        <v>580</v>
      </c>
      <c r="F10017" t="s">
        <v>7672</v>
      </c>
      <c r="G10017" t="s">
        <v>30135</v>
      </c>
      <c r="H10017" t="s">
        <v>10970</v>
      </c>
      <c r="I10017" t="s">
        <v>30136</v>
      </c>
      <c r="J10017" t="s">
        <v>30137</v>
      </c>
    </row>
    <row r="10018" spans="1:10" x14ac:dyDescent="0.25">
      <c r="A10018" t="s">
        <v>594</v>
      </c>
      <c r="B10018">
        <v>11.128</v>
      </c>
      <c r="C10018" t="s">
        <v>596</v>
      </c>
      <c r="D10018" t="s">
        <v>598</v>
      </c>
      <c r="E10018" t="s">
        <v>580</v>
      </c>
      <c r="F10018" t="s">
        <v>7672</v>
      </c>
      <c r="G10018" t="s">
        <v>30135</v>
      </c>
      <c r="H10018" t="s">
        <v>10970</v>
      </c>
      <c r="I10018" t="s">
        <v>30136</v>
      </c>
      <c r="J10018" t="s">
        <v>30138</v>
      </c>
    </row>
    <row r="10019" spans="1:10" x14ac:dyDescent="0.25">
      <c r="A10019" t="s">
        <v>599</v>
      </c>
      <c r="B10019">
        <v>11.128</v>
      </c>
      <c r="C10019" t="s">
        <v>601</v>
      </c>
      <c r="D10019" t="s">
        <v>240</v>
      </c>
      <c r="E10019" t="s">
        <v>580</v>
      </c>
      <c r="F10019" t="s">
        <v>7672</v>
      </c>
      <c r="G10019" t="s">
        <v>30135</v>
      </c>
      <c r="H10019" t="s">
        <v>10970</v>
      </c>
      <c r="I10019" t="s">
        <v>30136</v>
      </c>
      <c r="J10019" t="s">
        <v>30139</v>
      </c>
    </row>
    <row r="10020" spans="1:10" x14ac:dyDescent="0.25">
      <c r="A10020" t="s">
        <v>30140</v>
      </c>
      <c r="B10020">
        <v>9</v>
      </c>
      <c r="C10020" t="s">
        <v>30141</v>
      </c>
      <c r="D10020" t="s">
        <v>1567</v>
      </c>
      <c r="E10020" t="s">
        <v>30142</v>
      </c>
      <c r="F10020" t="s">
        <v>7672</v>
      </c>
      <c r="G10020" t="s">
        <v>30143</v>
      </c>
      <c r="H10020" t="s">
        <v>13951</v>
      </c>
      <c r="I10020" t="s">
        <v>30144</v>
      </c>
      <c r="J10020" t="s">
        <v>7675</v>
      </c>
    </row>
    <row r="10021" spans="1:10" x14ac:dyDescent="0.25">
      <c r="A10021" t="s">
        <v>30145</v>
      </c>
      <c r="B10021">
        <v>13.6</v>
      </c>
      <c r="C10021" t="s">
        <v>30146</v>
      </c>
      <c r="D10021" t="s">
        <v>4141</v>
      </c>
      <c r="E10021" t="s">
        <v>30147</v>
      </c>
      <c r="F10021" t="s">
        <v>7672</v>
      </c>
      <c r="G10021" t="s">
        <v>30148</v>
      </c>
      <c r="H10021" t="s">
        <v>12232</v>
      </c>
      <c r="I10021" t="s">
        <v>30149</v>
      </c>
      <c r="J10021" t="s">
        <v>8451</v>
      </c>
    </row>
    <row r="10022" spans="1:10" x14ac:dyDescent="0.25">
      <c r="A10022" t="s">
        <v>30150</v>
      </c>
      <c r="B10022">
        <v>7.2</v>
      </c>
      <c r="C10022" t="s">
        <v>30151</v>
      </c>
      <c r="D10022" t="s">
        <v>296</v>
      </c>
      <c r="E10022" t="s">
        <v>30152</v>
      </c>
      <c r="F10022" t="s">
        <v>7672</v>
      </c>
      <c r="G10022" t="s">
        <v>30153</v>
      </c>
      <c r="H10022" t="s">
        <v>30154</v>
      </c>
      <c r="I10022" t="s">
        <v>30155</v>
      </c>
      <c r="J10022" t="s">
        <v>7981</v>
      </c>
    </row>
    <row r="10023" spans="1:10" x14ac:dyDescent="0.25">
      <c r="A10023" t="s">
        <v>603</v>
      </c>
      <c r="B10023">
        <v>39.6</v>
      </c>
      <c r="C10023" t="s">
        <v>605</v>
      </c>
      <c r="D10023" t="s">
        <v>199</v>
      </c>
      <c r="E10023" t="s">
        <v>606</v>
      </c>
      <c r="F10023" t="s">
        <v>7672</v>
      </c>
      <c r="G10023" t="s">
        <v>30156</v>
      </c>
      <c r="H10023" t="s">
        <v>12423</v>
      </c>
      <c r="I10023" t="s">
        <v>609</v>
      </c>
      <c r="J10023" t="s">
        <v>7981</v>
      </c>
    </row>
    <row r="10024" spans="1:10" x14ac:dyDescent="0.25">
      <c r="A10024" t="s">
        <v>610</v>
      </c>
      <c r="B10024">
        <v>39.6</v>
      </c>
      <c r="C10024" t="s">
        <v>612</v>
      </c>
      <c r="D10024" t="s">
        <v>613</v>
      </c>
      <c r="E10024" t="s">
        <v>606</v>
      </c>
      <c r="F10024" t="s">
        <v>7672</v>
      </c>
      <c r="G10024" t="s">
        <v>30156</v>
      </c>
      <c r="H10024" t="s">
        <v>12423</v>
      </c>
      <c r="I10024" t="s">
        <v>609</v>
      </c>
      <c r="J10024" t="s">
        <v>7984</v>
      </c>
    </row>
    <row r="10025" spans="1:10" x14ac:dyDescent="0.25">
      <c r="A10025" t="s">
        <v>30157</v>
      </c>
      <c r="B10025">
        <v>39.6</v>
      </c>
      <c r="C10025" t="s">
        <v>30158</v>
      </c>
      <c r="D10025" t="s">
        <v>913</v>
      </c>
      <c r="E10025" t="s">
        <v>30159</v>
      </c>
      <c r="F10025" t="s">
        <v>7672</v>
      </c>
      <c r="G10025" t="s">
        <v>30160</v>
      </c>
      <c r="H10025" t="s">
        <v>21219</v>
      </c>
      <c r="I10025" t="s">
        <v>30161</v>
      </c>
      <c r="J10025" t="s">
        <v>7981</v>
      </c>
    </row>
    <row r="10026" spans="1:10" x14ac:dyDescent="0.25">
      <c r="A10026" t="s">
        <v>30162</v>
      </c>
      <c r="B10026">
        <v>39.6</v>
      </c>
      <c r="C10026" t="s">
        <v>30163</v>
      </c>
      <c r="D10026" t="s">
        <v>903</v>
      </c>
      <c r="E10026" t="s">
        <v>30159</v>
      </c>
      <c r="F10026" t="s">
        <v>7672</v>
      </c>
      <c r="G10026" t="s">
        <v>30160</v>
      </c>
      <c r="H10026" t="s">
        <v>21219</v>
      </c>
      <c r="I10026" t="s">
        <v>76</v>
      </c>
      <c r="J10026" t="s">
        <v>7981</v>
      </c>
    </row>
    <row r="10027" spans="1:10" x14ac:dyDescent="0.25">
      <c r="A10027" t="s">
        <v>30164</v>
      </c>
      <c r="B10027">
        <v>39.6</v>
      </c>
      <c r="C10027" t="s">
        <v>30165</v>
      </c>
      <c r="D10027" t="s">
        <v>255</v>
      </c>
      <c r="E10027" t="s">
        <v>30159</v>
      </c>
      <c r="F10027" t="s">
        <v>7672</v>
      </c>
      <c r="G10027" t="s">
        <v>30160</v>
      </c>
      <c r="H10027" t="s">
        <v>21219</v>
      </c>
      <c r="I10027" t="s">
        <v>18571</v>
      </c>
      <c r="J10027" t="s">
        <v>7981</v>
      </c>
    </row>
    <row r="10028" spans="1:10" x14ac:dyDescent="0.25">
      <c r="A10028" t="s">
        <v>30166</v>
      </c>
      <c r="B10028">
        <v>39.6</v>
      </c>
      <c r="C10028" t="s">
        <v>30167</v>
      </c>
      <c r="D10028" t="s">
        <v>598</v>
      </c>
      <c r="E10028" t="s">
        <v>30159</v>
      </c>
      <c r="F10028" t="s">
        <v>7672</v>
      </c>
      <c r="G10028" t="s">
        <v>30160</v>
      </c>
      <c r="H10028" t="s">
        <v>21219</v>
      </c>
      <c r="I10028" t="s">
        <v>30161</v>
      </c>
      <c r="J10028" t="s">
        <v>7984</v>
      </c>
    </row>
    <row r="10029" spans="1:10" x14ac:dyDescent="0.25">
      <c r="A10029" t="s">
        <v>30168</v>
      </c>
      <c r="B10029">
        <v>39.6</v>
      </c>
      <c r="C10029" t="s">
        <v>30169</v>
      </c>
      <c r="D10029" t="s">
        <v>2371</v>
      </c>
      <c r="E10029" t="s">
        <v>30159</v>
      </c>
      <c r="F10029" t="s">
        <v>7672</v>
      </c>
      <c r="G10029" t="s">
        <v>30160</v>
      </c>
      <c r="H10029" t="s">
        <v>21219</v>
      </c>
      <c r="I10029" t="s">
        <v>76</v>
      </c>
      <c r="J10029" t="s">
        <v>7984</v>
      </c>
    </row>
    <row r="10030" spans="1:10" x14ac:dyDescent="0.25">
      <c r="A10030" t="s">
        <v>30170</v>
      </c>
      <c r="B10030">
        <v>39.6</v>
      </c>
      <c r="C10030" t="s">
        <v>30171</v>
      </c>
      <c r="D10030" t="s">
        <v>835</v>
      </c>
      <c r="E10030" t="s">
        <v>30159</v>
      </c>
      <c r="F10030" t="s">
        <v>7672</v>
      </c>
      <c r="G10030" t="s">
        <v>30160</v>
      </c>
      <c r="H10030" t="s">
        <v>21219</v>
      </c>
      <c r="I10030" t="s">
        <v>10433</v>
      </c>
      <c r="J10030" t="s">
        <v>7984</v>
      </c>
    </row>
    <row r="10031" spans="1:10" x14ac:dyDescent="0.25">
      <c r="A10031" t="s">
        <v>30172</v>
      </c>
      <c r="B10031">
        <v>39.6</v>
      </c>
      <c r="C10031" t="s">
        <v>30173</v>
      </c>
      <c r="D10031" t="s">
        <v>671</v>
      </c>
      <c r="E10031" t="s">
        <v>30159</v>
      </c>
      <c r="F10031" t="s">
        <v>7672</v>
      </c>
      <c r="G10031" t="s">
        <v>30160</v>
      </c>
      <c r="H10031" t="s">
        <v>21219</v>
      </c>
      <c r="I10031" t="s">
        <v>18571</v>
      </c>
      <c r="J10031" t="s">
        <v>7984</v>
      </c>
    </row>
    <row r="10032" spans="1:10" x14ac:dyDescent="0.25">
      <c r="A10032" t="s">
        <v>30174</v>
      </c>
      <c r="B10032">
        <v>39.6</v>
      </c>
      <c r="C10032" t="s">
        <v>30175</v>
      </c>
      <c r="D10032" t="s">
        <v>1134</v>
      </c>
      <c r="E10032" t="s">
        <v>30159</v>
      </c>
      <c r="F10032" t="s">
        <v>7672</v>
      </c>
      <c r="G10032" t="s">
        <v>30160</v>
      </c>
      <c r="H10032" t="s">
        <v>21219</v>
      </c>
      <c r="I10032" t="s">
        <v>76</v>
      </c>
      <c r="J10032" t="s">
        <v>7987</v>
      </c>
    </row>
    <row r="10033" spans="1:10" x14ac:dyDescent="0.25">
      <c r="A10033" t="s">
        <v>30176</v>
      </c>
      <c r="B10033">
        <v>39.6</v>
      </c>
      <c r="C10033" t="s">
        <v>30177</v>
      </c>
      <c r="D10033" t="s">
        <v>100</v>
      </c>
      <c r="E10033" t="s">
        <v>30159</v>
      </c>
      <c r="F10033" t="s">
        <v>7672</v>
      </c>
      <c r="G10033" t="s">
        <v>30160</v>
      </c>
      <c r="H10033" t="s">
        <v>21219</v>
      </c>
      <c r="I10033" t="s">
        <v>10433</v>
      </c>
      <c r="J10033" t="s">
        <v>7987</v>
      </c>
    </row>
    <row r="10034" spans="1:10" x14ac:dyDescent="0.25">
      <c r="A10034" t="s">
        <v>30178</v>
      </c>
      <c r="B10034">
        <v>39.6</v>
      </c>
      <c r="C10034" t="s">
        <v>30179</v>
      </c>
      <c r="D10034" t="s">
        <v>450</v>
      </c>
      <c r="E10034" t="s">
        <v>30159</v>
      </c>
      <c r="F10034" t="s">
        <v>7672</v>
      </c>
      <c r="G10034" t="s">
        <v>30160</v>
      </c>
      <c r="H10034" t="s">
        <v>21219</v>
      </c>
      <c r="I10034" t="s">
        <v>76</v>
      </c>
      <c r="J10034" t="s">
        <v>8001</v>
      </c>
    </row>
    <row r="10035" spans="1:10" x14ac:dyDescent="0.25">
      <c r="A10035" t="s">
        <v>30180</v>
      </c>
      <c r="B10035">
        <v>3.08</v>
      </c>
      <c r="C10035" t="s">
        <v>30181</v>
      </c>
      <c r="D10035" t="s">
        <v>53</v>
      </c>
      <c r="E10035" t="s">
        <v>30182</v>
      </c>
      <c r="F10035" t="s">
        <v>7672</v>
      </c>
      <c r="G10035" t="s">
        <v>30183</v>
      </c>
      <c r="H10035" t="s">
        <v>10298</v>
      </c>
      <c r="I10035" t="s">
        <v>30184</v>
      </c>
      <c r="J10035" t="s">
        <v>8439</v>
      </c>
    </row>
    <row r="10036" spans="1:10" x14ac:dyDescent="0.25">
      <c r="A10036" t="s">
        <v>30185</v>
      </c>
      <c r="B10036">
        <v>3.08</v>
      </c>
      <c r="C10036" t="s">
        <v>30186</v>
      </c>
      <c r="D10036" t="s">
        <v>849</v>
      </c>
      <c r="E10036" t="s">
        <v>30182</v>
      </c>
      <c r="F10036" t="s">
        <v>7672</v>
      </c>
      <c r="G10036" t="s">
        <v>30183</v>
      </c>
      <c r="H10036" t="s">
        <v>10298</v>
      </c>
      <c r="I10036" t="s">
        <v>30187</v>
      </c>
      <c r="J10036" t="s">
        <v>8439</v>
      </c>
    </row>
    <row r="10037" spans="1:10" x14ac:dyDescent="0.25">
      <c r="A10037" t="s">
        <v>30188</v>
      </c>
      <c r="B10037">
        <v>3.08</v>
      </c>
      <c r="C10037" t="s">
        <v>30189</v>
      </c>
      <c r="D10037" t="s">
        <v>277</v>
      </c>
      <c r="E10037" t="s">
        <v>30182</v>
      </c>
      <c r="F10037" t="s">
        <v>7672</v>
      </c>
      <c r="G10037" t="s">
        <v>30183</v>
      </c>
      <c r="H10037" t="s">
        <v>10298</v>
      </c>
      <c r="I10037" t="s">
        <v>30190</v>
      </c>
      <c r="J10037" t="s">
        <v>8439</v>
      </c>
    </row>
    <row r="10038" spans="1:10" x14ac:dyDescent="0.25">
      <c r="A10038" t="s">
        <v>30191</v>
      </c>
      <c r="B10038">
        <v>3.08</v>
      </c>
      <c r="C10038" t="s">
        <v>30192</v>
      </c>
      <c r="D10038" t="s">
        <v>1143</v>
      </c>
      <c r="E10038" t="s">
        <v>30182</v>
      </c>
      <c r="F10038" t="s">
        <v>7672</v>
      </c>
      <c r="G10038" t="s">
        <v>30183</v>
      </c>
      <c r="H10038" t="s">
        <v>10298</v>
      </c>
      <c r="I10038" t="s">
        <v>30187</v>
      </c>
      <c r="J10038" t="s">
        <v>8451</v>
      </c>
    </row>
    <row r="10039" spans="1:10" x14ac:dyDescent="0.25">
      <c r="A10039" t="s">
        <v>30193</v>
      </c>
      <c r="B10039">
        <v>3.08</v>
      </c>
      <c r="C10039" t="s">
        <v>30194</v>
      </c>
      <c r="D10039" t="s">
        <v>131</v>
      </c>
      <c r="E10039" t="s">
        <v>30182</v>
      </c>
      <c r="F10039" t="s">
        <v>7672</v>
      </c>
      <c r="G10039" t="s">
        <v>30183</v>
      </c>
      <c r="H10039" t="s">
        <v>10298</v>
      </c>
      <c r="I10039" t="s">
        <v>30184</v>
      </c>
      <c r="J10039" t="s">
        <v>8451</v>
      </c>
    </row>
    <row r="10040" spans="1:10" x14ac:dyDescent="0.25">
      <c r="A10040" t="s">
        <v>30195</v>
      </c>
      <c r="B10040">
        <v>3.08</v>
      </c>
      <c r="C10040" t="s">
        <v>30196</v>
      </c>
      <c r="D10040" t="s">
        <v>234</v>
      </c>
      <c r="E10040" t="s">
        <v>30182</v>
      </c>
      <c r="F10040" t="s">
        <v>7672</v>
      </c>
      <c r="G10040" t="s">
        <v>30183</v>
      </c>
      <c r="H10040" t="s">
        <v>10298</v>
      </c>
      <c r="I10040" t="s">
        <v>30197</v>
      </c>
      <c r="J10040" t="s">
        <v>8451</v>
      </c>
    </row>
    <row r="10041" spans="1:10" x14ac:dyDescent="0.25">
      <c r="A10041" t="s">
        <v>30198</v>
      </c>
      <c r="B10041">
        <v>3.08</v>
      </c>
      <c r="C10041" t="s">
        <v>30199</v>
      </c>
      <c r="D10041" t="s">
        <v>164</v>
      </c>
      <c r="E10041" t="s">
        <v>30182</v>
      </c>
      <c r="F10041" t="s">
        <v>7672</v>
      </c>
      <c r="G10041" t="s">
        <v>30183</v>
      </c>
      <c r="H10041" t="s">
        <v>10298</v>
      </c>
      <c r="I10041" t="s">
        <v>30200</v>
      </c>
      <c r="J10041" t="s">
        <v>8451</v>
      </c>
    </row>
    <row r="10042" spans="1:10" x14ac:dyDescent="0.25">
      <c r="A10042" t="s">
        <v>30201</v>
      </c>
      <c r="B10042">
        <v>3.08</v>
      </c>
      <c r="C10042" t="s">
        <v>30202</v>
      </c>
      <c r="D10042" t="s">
        <v>255</v>
      </c>
      <c r="E10042" t="s">
        <v>30182</v>
      </c>
      <c r="F10042" t="s">
        <v>7672</v>
      </c>
      <c r="G10042" t="s">
        <v>30183</v>
      </c>
      <c r="H10042" t="s">
        <v>10298</v>
      </c>
      <c r="I10042" t="s">
        <v>30190</v>
      </c>
      <c r="J10042" t="s">
        <v>8451</v>
      </c>
    </row>
    <row r="10043" spans="1:10" x14ac:dyDescent="0.25">
      <c r="A10043" t="s">
        <v>615</v>
      </c>
      <c r="B10043">
        <v>4.16</v>
      </c>
      <c r="C10043" t="s">
        <v>617</v>
      </c>
      <c r="D10043" t="s">
        <v>436</v>
      </c>
      <c r="E10043" t="s">
        <v>618</v>
      </c>
      <c r="F10043" t="s">
        <v>7672</v>
      </c>
      <c r="G10043" t="s">
        <v>30203</v>
      </c>
      <c r="H10043" t="s">
        <v>30204</v>
      </c>
      <c r="I10043" t="s">
        <v>497</v>
      </c>
      <c r="J10043" t="s">
        <v>9694</v>
      </c>
    </row>
    <row r="10044" spans="1:10" x14ac:dyDescent="0.25">
      <c r="A10044" t="s">
        <v>30205</v>
      </c>
      <c r="B10044">
        <v>8</v>
      </c>
      <c r="C10044" t="s">
        <v>30206</v>
      </c>
      <c r="D10044" t="s">
        <v>95</v>
      </c>
      <c r="E10044" t="s">
        <v>30207</v>
      </c>
      <c r="F10044" t="s">
        <v>7672</v>
      </c>
      <c r="G10044" t="s">
        <v>30208</v>
      </c>
      <c r="H10044" t="s">
        <v>15474</v>
      </c>
      <c r="I10044" t="s">
        <v>1440</v>
      </c>
      <c r="J10044" t="s">
        <v>7984</v>
      </c>
    </row>
    <row r="10045" spans="1:10" x14ac:dyDescent="0.25">
      <c r="A10045" t="s">
        <v>30209</v>
      </c>
      <c r="B10045">
        <v>8</v>
      </c>
      <c r="C10045" t="s">
        <v>30210</v>
      </c>
      <c r="D10045" t="s">
        <v>4327</v>
      </c>
      <c r="E10045" t="s">
        <v>30207</v>
      </c>
      <c r="F10045" t="s">
        <v>7672</v>
      </c>
      <c r="G10045" t="s">
        <v>30208</v>
      </c>
      <c r="H10045" t="s">
        <v>15474</v>
      </c>
      <c r="I10045" t="s">
        <v>7570</v>
      </c>
      <c r="J10045" t="s">
        <v>7984</v>
      </c>
    </row>
    <row r="10046" spans="1:10" x14ac:dyDescent="0.25">
      <c r="A10046" t="s">
        <v>30211</v>
      </c>
      <c r="B10046">
        <v>8</v>
      </c>
      <c r="C10046" t="s">
        <v>30212</v>
      </c>
      <c r="D10046" t="s">
        <v>720</v>
      </c>
      <c r="E10046" t="s">
        <v>30207</v>
      </c>
      <c r="F10046" t="s">
        <v>7672</v>
      </c>
      <c r="G10046" t="s">
        <v>30208</v>
      </c>
      <c r="H10046" t="s">
        <v>15474</v>
      </c>
      <c r="I10046" t="s">
        <v>1440</v>
      </c>
      <c r="J10046" t="s">
        <v>7987</v>
      </c>
    </row>
    <row r="10047" spans="1:10" x14ac:dyDescent="0.25">
      <c r="A10047" t="s">
        <v>30213</v>
      </c>
      <c r="B10047">
        <v>8</v>
      </c>
      <c r="C10047" t="s">
        <v>30214</v>
      </c>
      <c r="D10047" t="s">
        <v>10774</v>
      </c>
      <c r="E10047" t="s">
        <v>30207</v>
      </c>
      <c r="F10047" t="s">
        <v>7672</v>
      </c>
      <c r="G10047" t="s">
        <v>30208</v>
      </c>
      <c r="H10047" t="s">
        <v>15474</v>
      </c>
      <c r="I10047" t="s">
        <v>7570</v>
      </c>
      <c r="J10047" t="s">
        <v>7987</v>
      </c>
    </row>
    <row r="10048" spans="1:10" x14ac:dyDescent="0.25">
      <c r="A10048" t="s">
        <v>30215</v>
      </c>
      <c r="B10048">
        <v>8</v>
      </c>
      <c r="C10048" t="s">
        <v>30216</v>
      </c>
      <c r="D10048" t="s">
        <v>742</v>
      </c>
      <c r="E10048" t="s">
        <v>30207</v>
      </c>
      <c r="F10048" t="s">
        <v>7672</v>
      </c>
      <c r="G10048" t="s">
        <v>30208</v>
      </c>
      <c r="H10048" t="s">
        <v>15474</v>
      </c>
      <c r="I10048" t="s">
        <v>1440</v>
      </c>
      <c r="J10048" t="s">
        <v>8001</v>
      </c>
    </row>
    <row r="10049" spans="1:10" x14ac:dyDescent="0.25">
      <c r="A10049" t="s">
        <v>30217</v>
      </c>
      <c r="B10049">
        <v>8</v>
      </c>
      <c r="C10049" t="s">
        <v>30218</v>
      </c>
      <c r="D10049" t="s">
        <v>1822</v>
      </c>
      <c r="E10049" t="s">
        <v>30207</v>
      </c>
      <c r="F10049" t="s">
        <v>7672</v>
      </c>
      <c r="G10049" t="s">
        <v>30208</v>
      </c>
      <c r="H10049" t="s">
        <v>15474</v>
      </c>
      <c r="I10049" t="s">
        <v>7570</v>
      </c>
      <c r="J10049" t="s">
        <v>8001</v>
      </c>
    </row>
    <row r="10050" spans="1:10" x14ac:dyDescent="0.25">
      <c r="A10050" t="s">
        <v>30219</v>
      </c>
      <c r="B10050">
        <v>6.3760000000000003</v>
      </c>
      <c r="C10050" t="s">
        <v>30220</v>
      </c>
      <c r="D10050" t="s">
        <v>8786</v>
      </c>
      <c r="E10050" t="s">
        <v>30221</v>
      </c>
      <c r="F10050" t="s">
        <v>7672</v>
      </c>
      <c r="G10050" t="s">
        <v>30222</v>
      </c>
      <c r="H10050" t="s">
        <v>11496</v>
      </c>
      <c r="I10050" t="s">
        <v>145</v>
      </c>
      <c r="J10050" t="s">
        <v>30223</v>
      </c>
    </row>
    <row r="10051" spans="1:10" x14ac:dyDescent="0.25">
      <c r="A10051" t="s">
        <v>30224</v>
      </c>
      <c r="B10051">
        <v>6.3760000000000003</v>
      </c>
      <c r="C10051" t="s">
        <v>30225</v>
      </c>
      <c r="D10051" t="s">
        <v>3604</v>
      </c>
      <c r="E10051" t="s">
        <v>30221</v>
      </c>
      <c r="F10051" t="s">
        <v>7672</v>
      </c>
      <c r="G10051" t="s">
        <v>30222</v>
      </c>
      <c r="H10051" t="s">
        <v>11496</v>
      </c>
      <c r="I10051" t="s">
        <v>145</v>
      </c>
      <c r="J10051" t="s">
        <v>7981</v>
      </c>
    </row>
    <row r="10052" spans="1:10" x14ac:dyDescent="0.25">
      <c r="A10052" t="s">
        <v>30226</v>
      </c>
      <c r="B10052">
        <v>6.3760000000000003</v>
      </c>
      <c r="C10052" t="s">
        <v>30227</v>
      </c>
      <c r="D10052" t="s">
        <v>4924</v>
      </c>
      <c r="E10052" t="s">
        <v>30221</v>
      </c>
      <c r="F10052" t="s">
        <v>7672</v>
      </c>
      <c r="G10052" t="s">
        <v>30222</v>
      </c>
      <c r="H10052" t="s">
        <v>11496</v>
      </c>
      <c r="I10052" t="s">
        <v>145</v>
      </c>
      <c r="J10052" t="s">
        <v>7984</v>
      </c>
    </row>
    <row r="10053" spans="1:10" x14ac:dyDescent="0.25">
      <c r="A10053" t="s">
        <v>30228</v>
      </c>
      <c r="B10053">
        <v>6.3760000000000003</v>
      </c>
      <c r="C10053" t="s">
        <v>30229</v>
      </c>
      <c r="D10053" t="s">
        <v>1143</v>
      </c>
      <c r="E10053" t="s">
        <v>30221</v>
      </c>
      <c r="F10053" t="s">
        <v>7672</v>
      </c>
      <c r="G10053" t="s">
        <v>30222</v>
      </c>
      <c r="H10053" t="s">
        <v>11496</v>
      </c>
      <c r="I10053" t="s">
        <v>145</v>
      </c>
      <c r="J10053" t="s">
        <v>7987</v>
      </c>
    </row>
    <row r="10054" spans="1:10" x14ac:dyDescent="0.25">
      <c r="A10054" t="s">
        <v>30230</v>
      </c>
      <c r="B10054">
        <v>6.3760000000000003</v>
      </c>
      <c r="C10054" t="s">
        <v>30231</v>
      </c>
      <c r="D10054" t="s">
        <v>311</v>
      </c>
      <c r="E10054" t="s">
        <v>30221</v>
      </c>
      <c r="F10054" t="s">
        <v>7672</v>
      </c>
      <c r="G10054" t="s">
        <v>30222</v>
      </c>
      <c r="H10054" t="s">
        <v>11496</v>
      </c>
      <c r="I10054" t="s">
        <v>145</v>
      </c>
      <c r="J10054" t="s">
        <v>30232</v>
      </c>
    </row>
    <row r="10055" spans="1:10" x14ac:dyDescent="0.25">
      <c r="A10055" t="s">
        <v>30233</v>
      </c>
      <c r="B10055">
        <v>14.295999999999999</v>
      </c>
      <c r="C10055" t="s">
        <v>30234</v>
      </c>
      <c r="D10055" t="s">
        <v>199</v>
      </c>
      <c r="E10055" t="s">
        <v>30235</v>
      </c>
      <c r="F10055" t="s">
        <v>7672</v>
      </c>
      <c r="G10055" t="s">
        <v>30236</v>
      </c>
      <c r="H10055" t="s">
        <v>16463</v>
      </c>
      <c r="I10055" t="s">
        <v>30237</v>
      </c>
      <c r="J10055" t="s">
        <v>7675</v>
      </c>
    </row>
    <row r="10056" spans="1:10" x14ac:dyDescent="0.25">
      <c r="A10056" t="s">
        <v>30238</v>
      </c>
      <c r="B10056">
        <v>14.295999999999999</v>
      </c>
      <c r="C10056" t="s">
        <v>30239</v>
      </c>
      <c r="D10056" t="s">
        <v>576</v>
      </c>
      <c r="E10056" t="s">
        <v>30235</v>
      </c>
      <c r="F10056" t="s">
        <v>7672</v>
      </c>
      <c r="G10056" t="s">
        <v>30236</v>
      </c>
      <c r="H10056" t="s">
        <v>16463</v>
      </c>
      <c r="I10056" t="s">
        <v>30240</v>
      </c>
      <c r="J10056" t="s">
        <v>7675</v>
      </c>
    </row>
    <row r="10057" spans="1:10" x14ac:dyDescent="0.25">
      <c r="A10057" t="s">
        <v>30241</v>
      </c>
      <c r="B10057">
        <v>14.295999999999999</v>
      </c>
      <c r="C10057" t="s">
        <v>30242</v>
      </c>
      <c r="D10057" t="s">
        <v>240</v>
      </c>
      <c r="E10057" t="s">
        <v>30235</v>
      </c>
      <c r="F10057" t="s">
        <v>7672</v>
      </c>
      <c r="G10057" t="s">
        <v>30236</v>
      </c>
      <c r="H10057" t="s">
        <v>16463</v>
      </c>
      <c r="I10057" t="s">
        <v>30237</v>
      </c>
      <c r="J10057" t="s">
        <v>7686</v>
      </c>
    </row>
    <row r="10058" spans="1:10" x14ac:dyDescent="0.25">
      <c r="A10058" t="s">
        <v>30243</v>
      </c>
      <c r="B10058">
        <v>14.295999999999999</v>
      </c>
      <c r="C10058" t="s">
        <v>30244</v>
      </c>
      <c r="D10058" t="s">
        <v>234</v>
      </c>
      <c r="E10058" t="s">
        <v>30235</v>
      </c>
      <c r="F10058" t="s">
        <v>7672</v>
      </c>
      <c r="G10058" t="s">
        <v>30236</v>
      </c>
      <c r="H10058" t="s">
        <v>16463</v>
      </c>
      <c r="I10058" t="s">
        <v>30240</v>
      </c>
      <c r="J10058" t="s">
        <v>7686</v>
      </c>
    </row>
    <row r="10059" spans="1:10" x14ac:dyDescent="0.25">
      <c r="A10059" t="s">
        <v>30245</v>
      </c>
      <c r="B10059">
        <v>14.295999999999999</v>
      </c>
      <c r="C10059" t="s">
        <v>30246</v>
      </c>
      <c r="D10059" t="s">
        <v>450</v>
      </c>
      <c r="E10059" t="s">
        <v>30235</v>
      </c>
      <c r="F10059" t="s">
        <v>7672</v>
      </c>
      <c r="G10059" t="s">
        <v>30236</v>
      </c>
      <c r="H10059" t="s">
        <v>16463</v>
      </c>
      <c r="I10059" t="s">
        <v>30240</v>
      </c>
      <c r="J10059" t="s">
        <v>7703</v>
      </c>
    </row>
    <row r="10060" spans="1:10" x14ac:dyDescent="0.25">
      <c r="A10060" t="s">
        <v>30247</v>
      </c>
      <c r="B10060">
        <v>14.295999999999999</v>
      </c>
      <c r="C10060" t="s">
        <v>30248</v>
      </c>
      <c r="D10060" t="s">
        <v>88</v>
      </c>
      <c r="E10060" t="s">
        <v>30235</v>
      </c>
      <c r="F10060" t="s">
        <v>7672</v>
      </c>
      <c r="G10060" t="s">
        <v>30236</v>
      </c>
      <c r="H10060" t="s">
        <v>16463</v>
      </c>
      <c r="I10060" t="s">
        <v>30249</v>
      </c>
      <c r="J10060" t="s">
        <v>7703</v>
      </c>
    </row>
    <row r="10061" spans="1:10" x14ac:dyDescent="0.25">
      <c r="A10061" t="s">
        <v>30250</v>
      </c>
      <c r="B10061">
        <v>14.295999999999999</v>
      </c>
      <c r="C10061" t="s">
        <v>30251</v>
      </c>
      <c r="D10061" t="s">
        <v>366</v>
      </c>
      <c r="E10061" t="s">
        <v>30235</v>
      </c>
      <c r="F10061" t="s">
        <v>7672</v>
      </c>
      <c r="G10061" t="s">
        <v>30236</v>
      </c>
      <c r="H10061" t="s">
        <v>16463</v>
      </c>
      <c r="I10061" t="s">
        <v>30237</v>
      </c>
      <c r="J10061" t="s">
        <v>7713</v>
      </c>
    </row>
    <row r="10062" spans="1:10" x14ac:dyDescent="0.25">
      <c r="A10062" t="s">
        <v>30252</v>
      </c>
      <c r="B10062">
        <v>14.295999999999999</v>
      </c>
      <c r="C10062" t="s">
        <v>30253</v>
      </c>
      <c r="D10062" t="s">
        <v>715</v>
      </c>
      <c r="E10062" t="s">
        <v>30235</v>
      </c>
      <c r="F10062" t="s">
        <v>7672</v>
      </c>
      <c r="G10062" t="s">
        <v>30236</v>
      </c>
      <c r="H10062" t="s">
        <v>16463</v>
      </c>
      <c r="I10062" t="s">
        <v>30240</v>
      </c>
      <c r="J10062" t="s">
        <v>7713</v>
      </c>
    </row>
    <row r="10063" spans="1:10" x14ac:dyDescent="0.25">
      <c r="A10063" t="s">
        <v>30254</v>
      </c>
      <c r="B10063">
        <v>14.295999999999999</v>
      </c>
      <c r="C10063" t="s">
        <v>30255</v>
      </c>
      <c r="D10063" t="s">
        <v>781</v>
      </c>
      <c r="E10063" t="s">
        <v>30235</v>
      </c>
      <c r="F10063" t="s">
        <v>7672</v>
      </c>
      <c r="G10063" t="s">
        <v>30236</v>
      </c>
      <c r="H10063" t="s">
        <v>16463</v>
      </c>
      <c r="I10063" t="s">
        <v>30249</v>
      </c>
      <c r="J10063" t="s">
        <v>7713</v>
      </c>
    </row>
    <row r="10064" spans="1:10" x14ac:dyDescent="0.25">
      <c r="A10064" t="s">
        <v>30256</v>
      </c>
      <c r="B10064">
        <v>14.295999999999999</v>
      </c>
      <c r="C10064" t="s">
        <v>30257</v>
      </c>
      <c r="D10064" t="s">
        <v>240</v>
      </c>
      <c r="E10064" t="s">
        <v>30235</v>
      </c>
      <c r="F10064" t="s">
        <v>7672</v>
      </c>
      <c r="G10064" t="s">
        <v>30236</v>
      </c>
      <c r="H10064" t="s">
        <v>16463</v>
      </c>
      <c r="I10064" t="s">
        <v>30240</v>
      </c>
      <c r="J10064" t="s">
        <v>7719</v>
      </c>
    </row>
    <row r="10065" spans="1:10" x14ac:dyDescent="0.25">
      <c r="A10065" t="s">
        <v>30258</v>
      </c>
      <c r="B10065">
        <v>14.295999999999999</v>
      </c>
      <c r="C10065" t="s">
        <v>30259</v>
      </c>
      <c r="D10065" t="s">
        <v>60</v>
      </c>
      <c r="E10065" t="s">
        <v>30235</v>
      </c>
      <c r="F10065" t="s">
        <v>7672</v>
      </c>
      <c r="G10065" t="s">
        <v>30236</v>
      </c>
      <c r="H10065" t="s">
        <v>16463</v>
      </c>
      <c r="I10065" t="s">
        <v>30249</v>
      </c>
      <c r="J10065" t="s">
        <v>7719</v>
      </c>
    </row>
    <row r="10066" spans="1:10" x14ac:dyDescent="0.25">
      <c r="A10066" t="s">
        <v>30260</v>
      </c>
      <c r="B10066">
        <v>11.192</v>
      </c>
      <c r="C10066" t="s">
        <v>30261</v>
      </c>
      <c r="D10066" t="s">
        <v>849</v>
      </c>
      <c r="E10066" t="s">
        <v>30262</v>
      </c>
      <c r="F10066" t="s">
        <v>7672</v>
      </c>
      <c r="G10066" t="s">
        <v>30263</v>
      </c>
      <c r="H10066" t="s">
        <v>9127</v>
      </c>
      <c r="I10066" t="s">
        <v>12571</v>
      </c>
      <c r="J10066" t="s">
        <v>8451</v>
      </c>
    </row>
    <row r="10067" spans="1:10" x14ac:dyDescent="0.25">
      <c r="A10067" t="s">
        <v>30264</v>
      </c>
      <c r="B10067">
        <v>11.192</v>
      </c>
      <c r="C10067" t="s">
        <v>30265</v>
      </c>
      <c r="D10067" t="s">
        <v>436</v>
      </c>
      <c r="E10067" t="s">
        <v>30262</v>
      </c>
      <c r="F10067" t="s">
        <v>7672</v>
      </c>
      <c r="G10067" t="s">
        <v>30263</v>
      </c>
      <c r="H10067" t="s">
        <v>9127</v>
      </c>
      <c r="I10067" t="s">
        <v>12571</v>
      </c>
      <c r="J10067" t="s">
        <v>8462</v>
      </c>
    </row>
    <row r="10068" spans="1:10" x14ac:dyDescent="0.25">
      <c r="A10068" t="s">
        <v>30266</v>
      </c>
      <c r="B10068">
        <v>11.192</v>
      </c>
      <c r="C10068" t="s">
        <v>30267</v>
      </c>
      <c r="D10068" t="s">
        <v>53</v>
      </c>
      <c r="E10068" t="s">
        <v>30262</v>
      </c>
      <c r="F10068" t="s">
        <v>7672</v>
      </c>
      <c r="G10068" t="s">
        <v>30263</v>
      </c>
      <c r="H10068" t="s">
        <v>9127</v>
      </c>
      <c r="I10068" t="s">
        <v>30268</v>
      </c>
      <c r="J10068" t="s">
        <v>8462</v>
      </c>
    </row>
    <row r="10069" spans="1:10" x14ac:dyDescent="0.25">
      <c r="A10069" t="s">
        <v>30269</v>
      </c>
      <c r="B10069">
        <v>11.192</v>
      </c>
      <c r="C10069" t="s">
        <v>30270</v>
      </c>
      <c r="D10069" t="s">
        <v>282</v>
      </c>
      <c r="E10069" t="s">
        <v>30262</v>
      </c>
      <c r="F10069" t="s">
        <v>7672</v>
      </c>
      <c r="G10069" t="s">
        <v>30263</v>
      </c>
      <c r="H10069" t="s">
        <v>9127</v>
      </c>
      <c r="I10069" t="s">
        <v>76</v>
      </c>
      <c r="J10069" t="s">
        <v>8462</v>
      </c>
    </row>
    <row r="10070" spans="1:10" x14ac:dyDescent="0.25">
      <c r="A10070" t="s">
        <v>30271</v>
      </c>
      <c r="B10070">
        <v>9.5920000000000005</v>
      </c>
      <c r="C10070" t="s">
        <v>30272</v>
      </c>
      <c r="D10070" t="s">
        <v>269</v>
      </c>
      <c r="E10070" t="s">
        <v>30273</v>
      </c>
      <c r="F10070" t="s">
        <v>7672</v>
      </c>
      <c r="G10070" t="s">
        <v>30274</v>
      </c>
      <c r="H10070" t="s">
        <v>7674</v>
      </c>
      <c r="I10070" t="s">
        <v>410</v>
      </c>
      <c r="J10070" t="s">
        <v>16143</v>
      </c>
    </row>
    <row r="10071" spans="1:10" x14ac:dyDescent="0.25">
      <c r="A10071" t="s">
        <v>30275</v>
      </c>
      <c r="B10071">
        <v>8.6880000000000006</v>
      </c>
      <c r="C10071" t="s">
        <v>30276</v>
      </c>
      <c r="D10071" t="s">
        <v>106</v>
      </c>
      <c r="E10071" t="s">
        <v>30277</v>
      </c>
      <c r="F10071" t="s">
        <v>7672</v>
      </c>
      <c r="G10071" t="s">
        <v>23376</v>
      </c>
      <c r="H10071" t="s">
        <v>10970</v>
      </c>
      <c r="I10071" t="s">
        <v>30278</v>
      </c>
      <c r="J10071" t="s">
        <v>7675</v>
      </c>
    </row>
    <row r="10072" spans="1:10" x14ac:dyDescent="0.25">
      <c r="A10072" t="s">
        <v>30279</v>
      </c>
      <c r="B10072">
        <v>78</v>
      </c>
      <c r="C10072" t="s">
        <v>30280</v>
      </c>
      <c r="D10072" t="s">
        <v>959</v>
      </c>
      <c r="E10072" t="s">
        <v>30281</v>
      </c>
      <c r="F10072" t="s">
        <v>7672</v>
      </c>
      <c r="G10072" t="s">
        <v>30282</v>
      </c>
      <c r="H10072" t="s">
        <v>19910</v>
      </c>
      <c r="I10072" t="s">
        <v>19911</v>
      </c>
      <c r="J10072" t="s">
        <v>9694</v>
      </c>
    </row>
    <row r="10073" spans="1:10" x14ac:dyDescent="0.25">
      <c r="A10073" t="s">
        <v>621</v>
      </c>
      <c r="B10073">
        <v>36</v>
      </c>
      <c r="C10073" t="s">
        <v>623</v>
      </c>
      <c r="D10073" t="s">
        <v>626</v>
      </c>
      <c r="E10073" t="s">
        <v>624</v>
      </c>
      <c r="F10073" t="s">
        <v>7672</v>
      </c>
      <c r="G10073" t="s">
        <v>30283</v>
      </c>
      <c r="H10073" t="s">
        <v>10970</v>
      </c>
      <c r="I10073" t="s">
        <v>628</v>
      </c>
      <c r="J10073" t="s">
        <v>7981</v>
      </c>
    </row>
    <row r="10074" spans="1:10" x14ac:dyDescent="0.25">
      <c r="A10074" t="s">
        <v>629</v>
      </c>
      <c r="B10074">
        <v>36</v>
      </c>
      <c r="C10074" t="s">
        <v>631</v>
      </c>
      <c r="D10074" t="s">
        <v>633</v>
      </c>
      <c r="E10074" t="s">
        <v>624</v>
      </c>
      <c r="F10074" t="s">
        <v>7672</v>
      </c>
      <c r="G10074" t="s">
        <v>30283</v>
      </c>
      <c r="H10074" t="s">
        <v>10970</v>
      </c>
      <c r="I10074" t="s">
        <v>635</v>
      </c>
      <c r="J10074" t="s">
        <v>7981</v>
      </c>
    </row>
    <row r="10075" spans="1:10" x14ac:dyDescent="0.25">
      <c r="A10075" t="s">
        <v>636</v>
      </c>
      <c r="B10075">
        <v>36</v>
      </c>
      <c r="C10075" t="s">
        <v>638</v>
      </c>
      <c r="D10075" t="s">
        <v>639</v>
      </c>
      <c r="E10075" t="s">
        <v>624</v>
      </c>
      <c r="F10075" t="s">
        <v>7672</v>
      </c>
      <c r="G10075" t="s">
        <v>30283</v>
      </c>
      <c r="H10075" t="s">
        <v>10970</v>
      </c>
      <c r="I10075" t="s">
        <v>628</v>
      </c>
      <c r="J10075" t="s">
        <v>7984</v>
      </c>
    </row>
    <row r="10076" spans="1:10" x14ac:dyDescent="0.25">
      <c r="A10076" t="s">
        <v>641</v>
      </c>
      <c r="B10076">
        <v>36</v>
      </c>
      <c r="C10076" t="s">
        <v>643</v>
      </c>
      <c r="D10076" t="s">
        <v>644</v>
      </c>
      <c r="E10076" t="s">
        <v>624</v>
      </c>
      <c r="F10076" t="s">
        <v>7672</v>
      </c>
      <c r="G10076" t="s">
        <v>30283</v>
      </c>
      <c r="H10076" t="s">
        <v>10970</v>
      </c>
      <c r="I10076" t="s">
        <v>635</v>
      </c>
      <c r="J10076" t="s">
        <v>7984</v>
      </c>
    </row>
    <row r="10077" spans="1:10" x14ac:dyDescent="0.25">
      <c r="A10077" t="s">
        <v>646</v>
      </c>
      <c r="B10077">
        <v>36</v>
      </c>
      <c r="C10077" t="s">
        <v>648</v>
      </c>
      <c r="D10077" t="s">
        <v>649</v>
      </c>
      <c r="E10077" t="s">
        <v>624</v>
      </c>
      <c r="F10077" t="s">
        <v>7672</v>
      </c>
      <c r="G10077" t="s">
        <v>30283</v>
      </c>
      <c r="H10077" t="s">
        <v>10970</v>
      </c>
      <c r="I10077" t="s">
        <v>628</v>
      </c>
      <c r="J10077" t="s">
        <v>7987</v>
      </c>
    </row>
    <row r="10078" spans="1:10" x14ac:dyDescent="0.25">
      <c r="A10078" t="s">
        <v>651</v>
      </c>
      <c r="B10078">
        <v>36</v>
      </c>
      <c r="C10078" t="s">
        <v>653</v>
      </c>
      <c r="D10078" t="s">
        <v>654</v>
      </c>
      <c r="E10078" t="s">
        <v>624</v>
      </c>
      <c r="F10078" t="s">
        <v>7672</v>
      </c>
      <c r="G10078" t="s">
        <v>30283</v>
      </c>
      <c r="H10078" t="s">
        <v>10970</v>
      </c>
      <c r="I10078" t="s">
        <v>635</v>
      </c>
      <c r="J10078" t="s">
        <v>7987</v>
      </c>
    </row>
    <row r="10079" spans="1:10" x14ac:dyDescent="0.25">
      <c r="A10079" t="s">
        <v>656</v>
      </c>
      <c r="B10079">
        <v>36</v>
      </c>
      <c r="C10079" t="s">
        <v>658</v>
      </c>
      <c r="D10079" t="s">
        <v>659</v>
      </c>
      <c r="E10079" t="s">
        <v>624</v>
      </c>
      <c r="F10079" t="s">
        <v>7672</v>
      </c>
      <c r="G10079" t="s">
        <v>30283</v>
      </c>
      <c r="H10079" t="s">
        <v>10970</v>
      </c>
      <c r="I10079" t="s">
        <v>628</v>
      </c>
      <c r="J10079" t="s">
        <v>8001</v>
      </c>
    </row>
    <row r="10080" spans="1:10" x14ac:dyDescent="0.25">
      <c r="A10080" t="s">
        <v>661</v>
      </c>
      <c r="B10080">
        <v>36</v>
      </c>
      <c r="C10080" t="s">
        <v>663</v>
      </c>
      <c r="D10080" t="s">
        <v>664</v>
      </c>
      <c r="E10080" t="s">
        <v>624</v>
      </c>
      <c r="F10080" t="s">
        <v>7672</v>
      </c>
      <c r="G10080" t="s">
        <v>30283</v>
      </c>
      <c r="H10080" t="s">
        <v>10970</v>
      </c>
      <c r="I10080" t="s">
        <v>635</v>
      </c>
      <c r="J10080" t="s">
        <v>8001</v>
      </c>
    </row>
    <row r="10081" spans="1:10" x14ac:dyDescent="0.25">
      <c r="A10081" t="s">
        <v>30284</v>
      </c>
      <c r="B10081">
        <v>18.696000000000002</v>
      </c>
      <c r="C10081" t="s">
        <v>30285</v>
      </c>
      <c r="D10081" t="s">
        <v>342</v>
      </c>
      <c r="E10081" t="s">
        <v>30286</v>
      </c>
      <c r="F10081" t="s">
        <v>7672</v>
      </c>
      <c r="G10081" t="s">
        <v>30287</v>
      </c>
      <c r="H10081" t="s">
        <v>16463</v>
      </c>
      <c r="I10081" t="s">
        <v>16483</v>
      </c>
      <c r="J10081" t="s">
        <v>7675</v>
      </c>
    </row>
    <row r="10082" spans="1:10" x14ac:dyDescent="0.25">
      <c r="A10082" t="s">
        <v>30288</v>
      </c>
      <c r="B10082">
        <v>18.696000000000002</v>
      </c>
      <c r="C10082" t="s">
        <v>30289</v>
      </c>
      <c r="D10082" t="s">
        <v>781</v>
      </c>
      <c r="E10082" t="s">
        <v>30286</v>
      </c>
      <c r="F10082" t="s">
        <v>7672</v>
      </c>
      <c r="G10082" t="s">
        <v>30287</v>
      </c>
      <c r="H10082" t="s">
        <v>16463</v>
      </c>
      <c r="I10082" t="s">
        <v>30290</v>
      </c>
      <c r="J10082" t="s">
        <v>7675</v>
      </c>
    </row>
    <row r="10083" spans="1:10" x14ac:dyDescent="0.25">
      <c r="A10083" t="s">
        <v>30291</v>
      </c>
      <c r="B10083">
        <v>18.696000000000002</v>
      </c>
      <c r="C10083" t="s">
        <v>30292</v>
      </c>
      <c r="D10083" t="s">
        <v>352</v>
      </c>
      <c r="E10083" t="s">
        <v>30286</v>
      </c>
      <c r="F10083" t="s">
        <v>7672</v>
      </c>
      <c r="G10083" t="s">
        <v>30287</v>
      </c>
      <c r="H10083" t="s">
        <v>16463</v>
      </c>
      <c r="I10083" t="s">
        <v>16464</v>
      </c>
      <c r="J10083" t="s">
        <v>7675</v>
      </c>
    </row>
    <row r="10084" spans="1:10" x14ac:dyDescent="0.25">
      <c r="A10084" t="s">
        <v>30293</v>
      </c>
      <c r="B10084">
        <v>18.696000000000002</v>
      </c>
      <c r="C10084" t="s">
        <v>30294</v>
      </c>
      <c r="D10084" t="s">
        <v>2620</v>
      </c>
      <c r="E10084" t="s">
        <v>30286</v>
      </c>
      <c r="F10084" t="s">
        <v>7672</v>
      </c>
      <c r="G10084" t="s">
        <v>30287</v>
      </c>
      <c r="H10084" t="s">
        <v>16463</v>
      </c>
      <c r="I10084" t="s">
        <v>30295</v>
      </c>
      <c r="J10084" t="s">
        <v>7675</v>
      </c>
    </row>
    <row r="10085" spans="1:10" x14ac:dyDescent="0.25">
      <c r="A10085" t="s">
        <v>30296</v>
      </c>
      <c r="B10085">
        <v>18.696000000000002</v>
      </c>
      <c r="C10085" t="s">
        <v>30297</v>
      </c>
      <c r="D10085" t="s">
        <v>582</v>
      </c>
      <c r="E10085" t="s">
        <v>30286</v>
      </c>
      <c r="F10085" t="s">
        <v>7672</v>
      </c>
      <c r="G10085" t="s">
        <v>30287</v>
      </c>
      <c r="H10085" t="s">
        <v>16463</v>
      </c>
      <c r="I10085" t="s">
        <v>30295</v>
      </c>
      <c r="J10085" t="s">
        <v>7686</v>
      </c>
    </row>
    <row r="10086" spans="1:10" x14ac:dyDescent="0.25">
      <c r="A10086" t="s">
        <v>30298</v>
      </c>
      <c r="B10086">
        <v>18.696000000000002</v>
      </c>
      <c r="C10086" t="s">
        <v>30299</v>
      </c>
      <c r="D10086" t="s">
        <v>2022</v>
      </c>
      <c r="E10086" t="s">
        <v>30286</v>
      </c>
      <c r="F10086" t="s">
        <v>7672</v>
      </c>
      <c r="G10086" t="s">
        <v>30287</v>
      </c>
      <c r="H10086" t="s">
        <v>16463</v>
      </c>
      <c r="I10086" t="s">
        <v>30290</v>
      </c>
      <c r="J10086" t="s">
        <v>7686</v>
      </c>
    </row>
    <row r="10087" spans="1:10" x14ac:dyDescent="0.25">
      <c r="A10087" t="s">
        <v>30300</v>
      </c>
      <c r="B10087">
        <v>18.696000000000002</v>
      </c>
      <c r="C10087" t="s">
        <v>30301</v>
      </c>
      <c r="D10087" t="s">
        <v>436</v>
      </c>
      <c r="E10087" t="s">
        <v>30286</v>
      </c>
      <c r="F10087" t="s">
        <v>7672</v>
      </c>
      <c r="G10087" t="s">
        <v>30287</v>
      </c>
      <c r="H10087" t="s">
        <v>16463</v>
      </c>
      <c r="I10087" t="s">
        <v>16464</v>
      </c>
      <c r="J10087" t="s">
        <v>7686</v>
      </c>
    </row>
    <row r="10088" spans="1:10" x14ac:dyDescent="0.25">
      <c r="A10088" t="s">
        <v>666</v>
      </c>
      <c r="B10088">
        <v>13.72</v>
      </c>
      <c r="C10088" t="s">
        <v>668</v>
      </c>
      <c r="D10088" t="s">
        <v>671</v>
      </c>
      <c r="E10088" t="s">
        <v>669</v>
      </c>
      <c r="F10088" t="s">
        <v>7672</v>
      </c>
      <c r="G10088" t="s">
        <v>30302</v>
      </c>
      <c r="H10088" t="s">
        <v>11335</v>
      </c>
      <c r="I10088" t="s">
        <v>21142</v>
      </c>
      <c r="J10088" t="s">
        <v>30303</v>
      </c>
    </row>
    <row r="10089" spans="1:10" x14ac:dyDescent="0.25">
      <c r="A10089" t="s">
        <v>30304</v>
      </c>
      <c r="B10089">
        <v>2.7919999999999998</v>
      </c>
      <c r="C10089" t="s">
        <v>30305</v>
      </c>
      <c r="D10089" t="s">
        <v>296</v>
      </c>
      <c r="E10089" t="s">
        <v>30306</v>
      </c>
      <c r="F10089" t="s">
        <v>7672</v>
      </c>
      <c r="G10089" t="s">
        <v>30307</v>
      </c>
      <c r="H10089" t="s">
        <v>8515</v>
      </c>
      <c r="I10089" t="s">
        <v>30308</v>
      </c>
      <c r="J10089" t="s">
        <v>11767</v>
      </c>
    </row>
    <row r="10090" spans="1:10" x14ac:dyDescent="0.25">
      <c r="A10090" t="s">
        <v>30309</v>
      </c>
      <c r="B10090">
        <v>16</v>
      </c>
      <c r="C10090" t="s">
        <v>30310</v>
      </c>
      <c r="D10090" t="s">
        <v>1134</v>
      </c>
      <c r="E10090" t="s">
        <v>30311</v>
      </c>
      <c r="F10090" t="s">
        <v>7672</v>
      </c>
      <c r="G10090" t="s">
        <v>30312</v>
      </c>
      <c r="H10090" t="s">
        <v>11496</v>
      </c>
      <c r="I10090" t="s">
        <v>410</v>
      </c>
      <c r="J10090" t="s">
        <v>11767</v>
      </c>
    </row>
    <row r="10091" spans="1:10" x14ac:dyDescent="0.25">
      <c r="A10091" t="s">
        <v>30313</v>
      </c>
      <c r="B10091">
        <v>16</v>
      </c>
      <c r="C10091" t="s">
        <v>30314</v>
      </c>
      <c r="D10091" t="s">
        <v>1536</v>
      </c>
      <c r="E10091" t="s">
        <v>30311</v>
      </c>
      <c r="F10091" t="s">
        <v>7672</v>
      </c>
      <c r="G10091" t="s">
        <v>30312</v>
      </c>
      <c r="H10091" t="s">
        <v>11496</v>
      </c>
      <c r="I10091" t="s">
        <v>18399</v>
      </c>
      <c r="J10091" t="s">
        <v>11767</v>
      </c>
    </row>
    <row r="10092" spans="1:10" x14ac:dyDescent="0.25">
      <c r="A10092" t="s">
        <v>30315</v>
      </c>
      <c r="B10092">
        <v>16</v>
      </c>
      <c r="C10092" t="s">
        <v>30316</v>
      </c>
      <c r="D10092" t="s">
        <v>835</v>
      </c>
      <c r="E10092" t="s">
        <v>30311</v>
      </c>
      <c r="F10092" t="s">
        <v>7672</v>
      </c>
      <c r="G10092" t="s">
        <v>30312</v>
      </c>
      <c r="H10092" t="s">
        <v>11496</v>
      </c>
      <c r="I10092" t="s">
        <v>18399</v>
      </c>
      <c r="J10092" t="s">
        <v>11582</v>
      </c>
    </row>
    <row r="10093" spans="1:10" x14ac:dyDescent="0.25">
      <c r="A10093" t="s">
        <v>30317</v>
      </c>
      <c r="B10093">
        <v>7.6000000000000014</v>
      </c>
      <c r="C10093" t="s">
        <v>30318</v>
      </c>
      <c r="D10093" t="s">
        <v>671</v>
      </c>
      <c r="E10093" t="s">
        <v>30319</v>
      </c>
      <c r="F10093" t="s">
        <v>7672</v>
      </c>
      <c r="G10093" t="s">
        <v>30320</v>
      </c>
      <c r="H10093" t="s">
        <v>15122</v>
      </c>
      <c r="I10093" t="s">
        <v>145</v>
      </c>
      <c r="J10093" t="s">
        <v>11767</v>
      </c>
    </row>
    <row r="10094" spans="1:10" x14ac:dyDescent="0.25">
      <c r="A10094" t="s">
        <v>30321</v>
      </c>
      <c r="B10094">
        <v>7.6000000000000014</v>
      </c>
      <c r="C10094" t="s">
        <v>30322</v>
      </c>
      <c r="D10094" t="s">
        <v>53</v>
      </c>
      <c r="E10094" t="s">
        <v>30319</v>
      </c>
      <c r="F10094" t="s">
        <v>7672</v>
      </c>
      <c r="G10094" t="s">
        <v>30320</v>
      </c>
      <c r="H10094" t="s">
        <v>15122</v>
      </c>
      <c r="I10094" t="s">
        <v>145</v>
      </c>
      <c r="J10094" t="s">
        <v>11585</v>
      </c>
    </row>
    <row r="10095" spans="1:10" x14ac:dyDescent="0.25">
      <c r="A10095" t="s">
        <v>30323</v>
      </c>
      <c r="B10095">
        <v>14</v>
      </c>
      <c r="C10095" t="s">
        <v>30324</v>
      </c>
      <c r="D10095" t="s">
        <v>742</v>
      </c>
      <c r="E10095" t="s">
        <v>30325</v>
      </c>
      <c r="F10095" t="s">
        <v>7672</v>
      </c>
      <c r="G10095" t="s">
        <v>30326</v>
      </c>
      <c r="H10095" t="s">
        <v>23005</v>
      </c>
      <c r="I10095" t="s">
        <v>76</v>
      </c>
      <c r="J10095" t="s">
        <v>131</v>
      </c>
    </row>
    <row r="10096" spans="1:10" x14ac:dyDescent="0.25">
      <c r="A10096" t="s">
        <v>30327</v>
      </c>
      <c r="B10096">
        <v>66</v>
      </c>
      <c r="C10096" t="s">
        <v>30328</v>
      </c>
      <c r="D10096" t="s">
        <v>40</v>
      </c>
      <c r="E10096" t="s">
        <v>30329</v>
      </c>
      <c r="F10096" t="s">
        <v>7672</v>
      </c>
      <c r="G10096" t="s">
        <v>30330</v>
      </c>
      <c r="H10096" t="s">
        <v>9693</v>
      </c>
      <c r="I10096" t="s">
        <v>17521</v>
      </c>
      <c r="J10096" t="s">
        <v>9694</v>
      </c>
    </row>
    <row r="10097" spans="1:10" x14ac:dyDescent="0.25">
      <c r="A10097" t="s">
        <v>30331</v>
      </c>
      <c r="B10097">
        <v>14</v>
      </c>
      <c r="C10097" t="s">
        <v>30332</v>
      </c>
      <c r="D10097" t="s">
        <v>359</v>
      </c>
      <c r="E10097" t="s">
        <v>30333</v>
      </c>
      <c r="F10097" t="s">
        <v>7672</v>
      </c>
      <c r="G10097" t="s">
        <v>30334</v>
      </c>
      <c r="H10097" t="s">
        <v>21685</v>
      </c>
      <c r="I10097" t="s">
        <v>1243</v>
      </c>
      <c r="J10097" t="s">
        <v>7981</v>
      </c>
    </row>
    <row r="10098" spans="1:10" x14ac:dyDescent="0.25">
      <c r="A10098" t="s">
        <v>30335</v>
      </c>
      <c r="B10098">
        <v>14</v>
      </c>
      <c r="C10098" t="s">
        <v>30336</v>
      </c>
      <c r="D10098" t="s">
        <v>588</v>
      </c>
      <c r="E10098" t="s">
        <v>30333</v>
      </c>
      <c r="F10098" t="s">
        <v>7672</v>
      </c>
      <c r="G10098" t="s">
        <v>30334</v>
      </c>
      <c r="H10098" t="s">
        <v>21685</v>
      </c>
      <c r="I10098" t="s">
        <v>1243</v>
      </c>
      <c r="J10098" t="s">
        <v>7984</v>
      </c>
    </row>
    <row r="10099" spans="1:10" x14ac:dyDescent="0.25">
      <c r="A10099" t="s">
        <v>30337</v>
      </c>
      <c r="B10099">
        <v>14</v>
      </c>
      <c r="C10099" t="s">
        <v>30338</v>
      </c>
      <c r="D10099" t="s">
        <v>366</v>
      </c>
      <c r="E10099" t="s">
        <v>30333</v>
      </c>
      <c r="F10099" t="s">
        <v>7672</v>
      </c>
      <c r="G10099" t="s">
        <v>30334</v>
      </c>
      <c r="H10099" t="s">
        <v>21685</v>
      </c>
      <c r="I10099" t="s">
        <v>1243</v>
      </c>
      <c r="J10099" t="s">
        <v>7987</v>
      </c>
    </row>
    <row r="10100" spans="1:10" x14ac:dyDescent="0.25">
      <c r="A10100" t="s">
        <v>30339</v>
      </c>
      <c r="B10100">
        <v>8.3920000000000012</v>
      </c>
      <c r="C10100" t="s">
        <v>30340</v>
      </c>
      <c r="D10100" t="s">
        <v>742</v>
      </c>
      <c r="E10100" t="s">
        <v>30341</v>
      </c>
      <c r="F10100" t="s">
        <v>7672</v>
      </c>
      <c r="G10100" t="s">
        <v>30342</v>
      </c>
      <c r="H10100" t="s">
        <v>7674</v>
      </c>
      <c r="I10100" t="s">
        <v>26472</v>
      </c>
      <c r="J10100" t="s">
        <v>8001</v>
      </c>
    </row>
    <row r="10101" spans="1:10" x14ac:dyDescent="0.25">
      <c r="A10101" t="s">
        <v>30343</v>
      </c>
      <c r="B10101">
        <v>4.4800000000000004</v>
      </c>
      <c r="C10101" t="s">
        <v>30344</v>
      </c>
      <c r="D10101" t="s">
        <v>113</v>
      </c>
      <c r="E10101" t="s">
        <v>30345</v>
      </c>
      <c r="F10101" t="s">
        <v>7672</v>
      </c>
      <c r="G10101" t="s">
        <v>30346</v>
      </c>
      <c r="H10101" t="s">
        <v>8515</v>
      </c>
      <c r="I10101" t="s">
        <v>9877</v>
      </c>
      <c r="J10101" t="s">
        <v>11582</v>
      </c>
    </row>
    <row r="10102" spans="1:10" x14ac:dyDescent="0.25">
      <c r="A10102" t="s">
        <v>30347</v>
      </c>
      <c r="B10102">
        <v>4.4800000000000004</v>
      </c>
      <c r="C10102" t="s">
        <v>30348</v>
      </c>
      <c r="D10102" t="s">
        <v>3378</v>
      </c>
      <c r="E10102" t="s">
        <v>30345</v>
      </c>
      <c r="F10102" t="s">
        <v>7672</v>
      </c>
      <c r="G10102" t="s">
        <v>30346</v>
      </c>
      <c r="H10102" t="s">
        <v>8515</v>
      </c>
      <c r="I10102" t="s">
        <v>8747</v>
      </c>
      <c r="J10102" t="s">
        <v>10369</v>
      </c>
    </row>
    <row r="10103" spans="1:10" x14ac:dyDescent="0.25">
      <c r="A10103" t="s">
        <v>30349</v>
      </c>
      <c r="B10103">
        <v>4.4800000000000004</v>
      </c>
      <c r="C10103" t="s">
        <v>30350</v>
      </c>
      <c r="D10103" t="s">
        <v>277</v>
      </c>
      <c r="E10103" t="s">
        <v>30345</v>
      </c>
      <c r="F10103" t="s">
        <v>7672</v>
      </c>
      <c r="G10103" t="s">
        <v>30346</v>
      </c>
      <c r="H10103" t="s">
        <v>8515</v>
      </c>
      <c r="I10103" t="s">
        <v>9877</v>
      </c>
      <c r="J10103" t="s">
        <v>10369</v>
      </c>
    </row>
    <row r="10104" spans="1:10" x14ac:dyDescent="0.25">
      <c r="A10104" t="s">
        <v>30351</v>
      </c>
      <c r="B10104">
        <v>1.296</v>
      </c>
      <c r="C10104" t="s">
        <v>30352</v>
      </c>
      <c r="D10104" t="s">
        <v>2072</v>
      </c>
      <c r="E10104" t="s">
        <v>30353</v>
      </c>
      <c r="F10104" t="s">
        <v>7672</v>
      </c>
      <c r="G10104" t="s">
        <v>30354</v>
      </c>
      <c r="H10104" t="s">
        <v>26449</v>
      </c>
      <c r="I10104" t="s">
        <v>1243</v>
      </c>
      <c r="J10104" t="s">
        <v>9694</v>
      </c>
    </row>
    <row r="10105" spans="1:10" x14ac:dyDescent="0.25">
      <c r="A10105" t="s">
        <v>30355</v>
      </c>
      <c r="B10105">
        <v>6.4</v>
      </c>
      <c r="C10105" t="s">
        <v>30356</v>
      </c>
      <c r="D10105" t="s">
        <v>2787</v>
      </c>
      <c r="E10105" t="s">
        <v>30357</v>
      </c>
      <c r="F10105" t="s">
        <v>7672</v>
      </c>
      <c r="G10105" t="s">
        <v>30358</v>
      </c>
      <c r="H10105" t="s">
        <v>11496</v>
      </c>
      <c r="I10105" t="s">
        <v>30359</v>
      </c>
      <c r="J10105" t="s">
        <v>9423</v>
      </c>
    </row>
    <row r="10106" spans="1:10" x14ac:dyDescent="0.25">
      <c r="A10106" t="s">
        <v>30360</v>
      </c>
      <c r="B10106">
        <v>6.4</v>
      </c>
      <c r="C10106" t="s">
        <v>30361</v>
      </c>
      <c r="D10106" t="s">
        <v>2804</v>
      </c>
      <c r="E10106" t="s">
        <v>30357</v>
      </c>
      <c r="F10106" t="s">
        <v>7672</v>
      </c>
      <c r="G10106" t="s">
        <v>30358</v>
      </c>
      <c r="H10106" t="s">
        <v>11496</v>
      </c>
      <c r="I10106" t="s">
        <v>30359</v>
      </c>
      <c r="J10106" t="s">
        <v>9426</v>
      </c>
    </row>
    <row r="10107" spans="1:10" x14ac:dyDescent="0.25">
      <c r="A10107" t="s">
        <v>30362</v>
      </c>
      <c r="B10107">
        <v>6.4</v>
      </c>
      <c r="C10107" t="s">
        <v>30363</v>
      </c>
      <c r="D10107" t="s">
        <v>659</v>
      </c>
      <c r="E10107" t="s">
        <v>30357</v>
      </c>
      <c r="F10107" t="s">
        <v>7672</v>
      </c>
      <c r="G10107" t="s">
        <v>30358</v>
      </c>
      <c r="H10107" t="s">
        <v>11496</v>
      </c>
      <c r="I10107" t="s">
        <v>30359</v>
      </c>
      <c r="J10107" t="s">
        <v>10862</v>
      </c>
    </row>
    <row r="10108" spans="1:10" x14ac:dyDescent="0.25">
      <c r="A10108" t="s">
        <v>30364</v>
      </c>
      <c r="B10108">
        <v>6.4</v>
      </c>
      <c r="C10108" t="s">
        <v>30365</v>
      </c>
      <c r="D10108" t="s">
        <v>626</v>
      </c>
      <c r="E10108" t="s">
        <v>30357</v>
      </c>
      <c r="F10108" t="s">
        <v>7672</v>
      </c>
      <c r="G10108" t="s">
        <v>30358</v>
      </c>
      <c r="H10108" t="s">
        <v>11496</v>
      </c>
      <c r="I10108" t="s">
        <v>30359</v>
      </c>
      <c r="J10108" t="s">
        <v>13084</v>
      </c>
    </row>
    <row r="10109" spans="1:10" x14ac:dyDescent="0.25">
      <c r="A10109" t="s">
        <v>30366</v>
      </c>
      <c r="B10109">
        <v>6.4</v>
      </c>
      <c r="C10109" t="s">
        <v>30367</v>
      </c>
      <c r="D10109" t="s">
        <v>849</v>
      </c>
      <c r="E10109" t="s">
        <v>30357</v>
      </c>
      <c r="F10109" t="s">
        <v>7672</v>
      </c>
      <c r="G10109" t="s">
        <v>30358</v>
      </c>
      <c r="H10109" t="s">
        <v>11496</v>
      </c>
      <c r="I10109" t="s">
        <v>30359</v>
      </c>
      <c r="J10109" t="s">
        <v>11767</v>
      </c>
    </row>
    <row r="10110" spans="1:10" x14ac:dyDescent="0.25">
      <c r="A10110" t="s">
        <v>30368</v>
      </c>
      <c r="B10110">
        <v>4</v>
      </c>
      <c r="C10110" t="s">
        <v>30369</v>
      </c>
      <c r="D10110" t="s">
        <v>1573</v>
      </c>
      <c r="E10110" t="s">
        <v>30370</v>
      </c>
      <c r="F10110" t="s">
        <v>7672</v>
      </c>
      <c r="G10110" t="s">
        <v>30371</v>
      </c>
      <c r="H10110" t="s">
        <v>13951</v>
      </c>
      <c r="I10110" t="s">
        <v>76</v>
      </c>
      <c r="J10110" t="s">
        <v>7675</v>
      </c>
    </row>
    <row r="10111" spans="1:10" x14ac:dyDescent="0.25">
      <c r="A10111" t="s">
        <v>30372</v>
      </c>
      <c r="B10111">
        <v>4</v>
      </c>
      <c r="C10111" t="s">
        <v>30373</v>
      </c>
      <c r="D10111" t="s">
        <v>2056</v>
      </c>
      <c r="E10111" t="s">
        <v>30370</v>
      </c>
      <c r="F10111" t="s">
        <v>7672</v>
      </c>
      <c r="G10111" t="s">
        <v>30371</v>
      </c>
      <c r="H10111" t="s">
        <v>13951</v>
      </c>
      <c r="I10111" t="s">
        <v>76</v>
      </c>
      <c r="J10111" t="s">
        <v>7686</v>
      </c>
    </row>
    <row r="10112" spans="1:10" x14ac:dyDescent="0.25">
      <c r="A10112" t="s">
        <v>30374</v>
      </c>
      <c r="B10112">
        <v>3</v>
      </c>
      <c r="C10112" t="s">
        <v>30375</v>
      </c>
      <c r="D10112" t="s">
        <v>4794</v>
      </c>
      <c r="E10112" t="s">
        <v>30376</v>
      </c>
      <c r="F10112" t="s">
        <v>7672</v>
      </c>
      <c r="G10112" t="s">
        <v>30377</v>
      </c>
      <c r="H10112" t="s">
        <v>26624</v>
      </c>
      <c r="I10112" t="s">
        <v>26625</v>
      </c>
      <c r="J10112" t="s">
        <v>8427</v>
      </c>
    </row>
    <row r="10113" spans="1:10" x14ac:dyDescent="0.25">
      <c r="A10113" t="s">
        <v>30378</v>
      </c>
      <c r="B10113">
        <v>3</v>
      </c>
      <c r="C10113" t="s">
        <v>30379</v>
      </c>
      <c r="D10113" t="s">
        <v>654</v>
      </c>
      <c r="E10113" t="s">
        <v>30376</v>
      </c>
      <c r="F10113" t="s">
        <v>7672</v>
      </c>
      <c r="G10113" t="s">
        <v>30377</v>
      </c>
      <c r="H10113" t="s">
        <v>26624</v>
      </c>
      <c r="I10113" t="s">
        <v>26625</v>
      </c>
      <c r="J10113" t="s">
        <v>8439</v>
      </c>
    </row>
    <row r="10114" spans="1:10" x14ac:dyDescent="0.25">
      <c r="A10114" t="s">
        <v>30380</v>
      </c>
      <c r="B10114">
        <v>3</v>
      </c>
      <c r="C10114" t="s">
        <v>30381</v>
      </c>
      <c r="D10114" t="s">
        <v>290</v>
      </c>
      <c r="E10114" t="s">
        <v>30376</v>
      </c>
      <c r="F10114" t="s">
        <v>7672</v>
      </c>
      <c r="G10114" t="s">
        <v>30377</v>
      </c>
      <c r="H10114" t="s">
        <v>26624</v>
      </c>
      <c r="I10114" t="s">
        <v>26625</v>
      </c>
      <c r="J10114" t="s">
        <v>8451</v>
      </c>
    </row>
    <row r="10115" spans="1:10" x14ac:dyDescent="0.25">
      <c r="A10115" t="s">
        <v>30382</v>
      </c>
      <c r="B10115">
        <v>6.8000000000000007</v>
      </c>
      <c r="C10115" t="s">
        <v>30383</v>
      </c>
      <c r="D10115" t="s">
        <v>131</v>
      </c>
      <c r="E10115" t="s">
        <v>30384</v>
      </c>
      <c r="F10115" t="s">
        <v>7672</v>
      </c>
      <c r="G10115" t="s">
        <v>30385</v>
      </c>
      <c r="H10115" t="s">
        <v>26649</v>
      </c>
      <c r="I10115" t="s">
        <v>30386</v>
      </c>
      <c r="J10115" t="s">
        <v>7942</v>
      </c>
    </row>
    <row r="10116" spans="1:10" x14ac:dyDescent="0.25">
      <c r="A10116" t="s">
        <v>30387</v>
      </c>
      <c r="B10116">
        <v>6.8000000000000007</v>
      </c>
      <c r="C10116" t="s">
        <v>30388</v>
      </c>
      <c r="D10116" t="s">
        <v>88</v>
      </c>
      <c r="E10116" t="s">
        <v>30384</v>
      </c>
      <c r="F10116" t="s">
        <v>7672</v>
      </c>
      <c r="G10116" t="s">
        <v>30385</v>
      </c>
      <c r="H10116" t="s">
        <v>26649</v>
      </c>
      <c r="I10116" t="s">
        <v>30386</v>
      </c>
      <c r="J10116" t="s">
        <v>7984</v>
      </c>
    </row>
    <row r="10117" spans="1:10" x14ac:dyDescent="0.25">
      <c r="A10117" t="s">
        <v>30389</v>
      </c>
      <c r="B10117">
        <v>6.8000000000000007</v>
      </c>
      <c r="C10117" t="s">
        <v>30390</v>
      </c>
      <c r="D10117" t="s">
        <v>588</v>
      </c>
      <c r="E10117" t="s">
        <v>30384</v>
      </c>
      <c r="F10117" t="s">
        <v>7672</v>
      </c>
      <c r="G10117" t="s">
        <v>30385</v>
      </c>
      <c r="H10117" t="s">
        <v>26649</v>
      </c>
      <c r="I10117" t="s">
        <v>30386</v>
      </c>
      <c r="J10117" t="s">
        <v>7987</v>
      </c>
    </row>
    <row r="10118" spans="1:10" x14ac:dyDescent="0.25">
      <c r="A10118" t="s">
        <v>30391</v>
      </c>
      <c r="B10118">
        <v>6.8000000000000007</v>
      </c>
      <c r="C10118" t="s">
        <v>30392</v>
      </c>
      <c r="D10118" t="s">
        <v>582</v>
      </c>
      <c r="E10118" t="s">
        <v>30384</v>
      </c>
      <c r="F10118" t="s">
        <v>7672</v>
      </c>
      <c r="G10118" t="s">
        <v>30385</v>
      </c>
      <c r="H10118" t="s">
        <v>26649</v>
      </c>
      <c r="I10118" t="s">
        <v>30386</v>
      </c>
      <c r="J10118" t="s">
        <v>8001</v>
      </c>
    </row>
    <row r="10119" spans="1:10" x14ac:dyDescent="0.25">
      <c r="A10119" t="s">
        <v>30393</v>
      </c>
      <c r="B10119">
        <v>6.8000000000000007</v>
      </c>
      <c r="C10119" t="s">
        <v>30394</v>
      </c>
      <c r="D10119" t="s">
        <v>849</v>
      </c>
      <c r="E10119" t="s">
        <v>30384</v>
      </c>
      <c r="F10119" t="s">
        <v>7672</v>
      </c>
      <c r="G10119" t="s">
        <v>30385</v>
      </c>
      <c r="H10119" t="s">
        <v>26649</v>
      </c>
      <c r="I10119" t="s">
        <v>30395</v>
      </c>
      <c r="J10119" t="s">
        <v>8001</v>
      </c>
    </row>
    <row r="10120" spans="1:10" x14ac:dyDescent="0.25">
      <c r="A10120" t="s">
        <v>30396</v>
      </c>
      <c r="B10120">
        <v>6.8000000000000007</v>
      </c>
      <c r="C10120" t="s">
        <v>30397</v>
      </c>
      <c r="D10120" t="s">
        <v>164</v>
      </c>
      <c r="E10120" t="s">
        <v>30384</v>
      </c>
      <c r="F10120" t="s">
        <v>7672</v>
      </c>
      <c r="G10120" t="s">
        <v>30385</v>
      </c>
      <c r="H10120" t="s">
        <v>26649</v>
      </c>
      <c r="I10120" t="s">
        <v>30386</v>
      </c>
      <c r="J10120" t="s">
        <v>8013</v>
      </c>
    </row>
    <row r="10121" spans="1:10" x14ac:dyDescent="0.25">
      <c r="A10121" t="s">
        <v>30398</v>
      </c>
      <c r="B10121">
        <v>6.8000000000000007</v>
      </c>
      <c r="C10121" t="s">
        <v>30399</v>
      </c>
      <c r="D10121" t="s">
        <v>60</v>
      </c>
      <c r="E10121" t="s">
        <v>30384</v>
      </c>
      <c r="F10121" t="s">
        <v>7672</v>
      </c>
      <c r="G10121" t="s">
        <v>30385</v>
      </c>
      <c r="H10121" t="s">
        <v>26649</v>
      </c>
      <c r="I10121" t="s">
        <v>30395</v>
      </c>
      <c r="J10121" t="s">
        <v>8013</v>
      </c>
    </row>
    <row r="10122" spans="1:10" x14ac:dyDescent="0.25">
      <c r="A10122" t="s">
        <v>30400</v>
      </c>
      <c r="B10122">
        <v>6.9920000000000009</v>
      </c>
      <c r="C10122" t="s">
        <v>30401</v>
      </c>
      <c r="D10122" t="s">
        <v>88</v>
      </c>
      <c r="E10122" t="s">
        <v>30402</v>
      </c>
      <c r="F10122" t="s">
        <v>7672</v>
      </c>
      <c r="G10122" t="s">
        <v>30403</v>
      </c>
      <c r="H10122" t="s">
        <v>10298</v>
      </c>
      <c r="I10122" t="s">
        <v>30404</v>
      </c>
      <c r="J10122" t="s">
        <v>15079</v>
      </c>
    </row>
    <row r="10123" spans="1:10" x14ac:dyDescent="0.25">
      <c r="A10123" t="s">
        <v>30405</v>
      </c>
      <c r="B10123">
        <v>6.9920000000000009</v>
      </c>
      <c r="C10123" t="s">
        <v>30406</v>
      </c>
      <c r="D10123" t="s">
        <v>342</v>
      </c>
      <c r="E10123" t="s">
        <v>30402</v>
      </c>
      <c r="F10123" t="s">
        <v>7672</v>
      </c>
      <c r="G10123" t="s">
        <v>30403</v>
      </c>
      <c r="H10123" t="s">
        <v>10298</v>
      </c>
      <c r="I10123" t="s">
        <v>30407</v>
      </c>
      <c r="J10123" t="s">
        <v>15079</v>
      </c>
    </row>
    <row r="10124" spans="1:10" x14ac:dyDescent="0.25">
      <c r="A10124" t="s">
        <v>30408</v>
      </c>
      <c r="B10124">
        <v>3.6</v>
      </c>
      <c r="C10124" t="s">
        <v>30409</v>
      </c>
      <c r="D10124" t="s">
        <v>6893</v>
      </c>
      <c r="E10124" t="s">
        <v>30410</v>
      </c>
      <c r="F10124" t="s">
        <v>7672</v>
      </c>
      <c r="G10124" t="s">
        <v>30411</v>
      </c>
      <c r="H10124" t="s">
        <v>10298</v>
      </c>
      <c r="I10124" t="s">
        <v>11206</v>
      </c>
      <c r="J10124" t="s">
        <v>8001</v>
      </c>
    </row>
    <row r="10125" spans="1:10" x14ac:dyDescent="0.25">
      <c r="A10125" t="s">
        <v>30412</v>
      </c>
      <c r="B10125">
        <v>3.6</v>
      </c>
      <c r="C10125" t="s">
        <v>30413</v>
      </c>
      <c r="D10125" t="s">
        <v>2253</v>
      </c>
      <c r="E10125" t="s">
        <v>30410</v>
      </c>
      <c r="F10125" t="s">
        <v>7672</v>
      </c>
      <c r="G10125" t="s">
        <v>30411</v>
      </c>
      <c r="H10125" t="s">
        <v>10298</v>
      </c>
      <c r="I10125" t="s">
        <v>11206</v>
      </c>
      <c r="J10125" t="s">
        <v>8013</v>
      </c>
    </row>
    <row r="10126" spans="1:10" x14ac:dyDescent="0.25">
      <c r="A10126" t="s">
        <v>674</v>
      </c>
      <c r="B10126">
        <v>12.96</v>
      </c>
      <c r="C10126" t="s">
        <v>676</v>
      </c>
      <c r="D10126" t="s">
        <v>311</v>
      </c>
      <c r="E10126" t="s">
        <v>677</v>
      </c>
      <c r="F10126" t="s">
        <v>7672</v>
      </c>
      <c r="G10126" t="s">
        <v>30414</v>
      </c>
      <c r="H10126" t="s">
        <v>14959</v>
      </c>
      <c r="I10126" t="s">
        <v>680</v>
      </c>
      <c r="J10126" t="s">
        <v>53</v>
      </c>
    </row>
    <row r="10127" spans="1:10" x14ac:dyDescent="0.25">
      <c r="A10127" t="s">
        <v>681</v>
      </c>
      <c r="B10127">
        <v>12.96</v>
      </c>
      <c r="C10127" t="s">
        <v>683</v>
      </c>
      <c r="D10127" t="s">
        <v>282</v>
      </c>
      <c r="E10127" t="s">
        <v>677</v>
      </c>
      <c r="F10127" t="s">
        <v>7672</v>
      </c>
      <c r="G10127" t="s">
        <v>30414</v>
      </c>
      <c r="H10127" t="s">
        <v>14959</v>
      </c>
      <c r="I10127" t="s">
        <v>76</v>
      </c>
      <c r="J10127" t="s">
        <v>53</v>
      </c>
    </row>
    <row r="10128" spans="1:10" x14ac:dyDescent="0.25">
      <c r="A10128" t="s">
        <v>685</v>
      </c>
      <c r="B10128">
        <v>12.96</v>
      </c>
      <c r="C10128" t="s">
        <v>687</v>
      </c>
      <c r="D10128" t="s">
        <v>311</v>
      </c>
      <c r="E10128" t="s">
        <v>677</v>
      </c>
      <c r="F10128" t="s">
        <v>7672</v>
      </c>
      <c r="G10128" t="s">
        <v>30414</v>
      </c>
      <c r="H10128" t="s">
        <v>14959</v>
      </c>
      <c r="I10128" t="s">
        <v>680</v>
      </c>
      <c r="J10128" t="s">
        <v>342</v>
      </c>
    </row>
    <row r="10129" spans="1:10" x14ac:dyDescent="0.25">
      <c r="A10129" t="s">
        <v>689</v>
      </c>
      <c r="B10129">
        <v>12.96</v>
      </c>
      <c r="C10129" t="s">
        <v>691</v>
      </c>
      <c r="D10129" t="s">
        <v>88</v>
      </c>
      <c r="E10129" t="s">
        <v>677</v>
      </c>
      <c r="F10129" t="s">
        <v>7672</v>
      </c>
      <c r="G10129" t="s">
        <v>30414</v>
      </c>
      <c r="H10129" t="s">
        <v>14959</v>
      </c>
      <c r="I10129" t="s">
        <v>680</v>
      </c>
      <c r="J10129" t="s">
        <v>106</v>
      </c>
    </row>
    <row r="10130" spans="1:10" x14ac:dyDescent="0.25">
      <c r="A10130" t="s">
        <v>30415</v>
      </c>
      <c r="B10130">
        <v>3.6</v>
      </c>
      <c r="C10130" t="s">
        <v>30416</v>
      </c>
      <c r="D10130" t="s">
        <v>124</v>
      </c>
      <c r="E10130" t="s">
        <v>30417</v>
      </c>
      <c r="F10130" t="s">
        <v>7672</v>
      </c>
      <c r="G10130" t="s">
        <v>15006</v>
      </c>
      <c r="H10130" t="s">
        <v>10298</v>
      </c>
      <c r="I10130" t="s">
        <v>8656</v>
      </c>
      <c r="J10130" t="s">
        <v>8427</v>
      </c>
    </row>
    <row r="10131" spans="1:10" x14ac:dyDescent="0.25">
      <c r="A10131" t="s">
        <v>30418</v>
      </c>
      <c r="B10131">
        <v>3.6</v>
      </c>
      <c r="C10131" t="s">
        <v>30419</v>
      </c>
      <c r="D10131" t="s">
        <v>1811</v>
      </c>
      <c r="E10131" t="s">
        <v>30417</v>
      </c>
      <c r="F10131" t="s">
        <v>7672</v>
      </c>
      <c r="G10131" t="s">
        <v>15006</v>
      </c>
      <c r="H10131" t="s">
        <v>10298</v>
      </c>
      <c r="I10131" t="s">
        <v>8656</v>
      </c>
      <c r="J10131" t="s">
        <v>8439</v>
      </c>
    </row>
    <row r="10132" spans="1:10" x14ac:dyDescent="0.25">
      <c r="A10132" t="s">
        <v>30420</v>
      </c>
      <c r="B10132">
        <v>3.6</v>
      </c>
      <c r="C10132" t="s">
        <v>30421</v>
      </c>
      <c r="D10132" t="s">
        <v>698</v>
      </c>
      <c r="E10132" t="s">
        <v>30417</v>
      </c>
      <c r="F10132" t="s">
        <v>7672</v>
      </c>
      <c r="G10132" t="s">
        <v>15006</v>
      </c>
      <c r="H10132" t="s">
        <v>10298</v>
      </c>
      <c r="I10132" t="s">
        <v>8656</v>
      </c>
      <c r="J10132" t="s">
        <v>8451</v>
      </c>
    </row>
    <row r="10133" spans="1:10" x14ac:dyDescent="0.25">
      <c r="A10133" t="s">
        <v>30422</v>
      </c>
      <c r="B10133">
        <v>37.799999999999997</v>
      </c>
      <c r="C10133" t="s">
        <v>30423</v>
      </c>
      <c r="D10133" t="s">
        <v>106</v>
      </c>
      <c r="E10133" t="s">
        <v>30424</v>
      </c>
      <c r="F10133" t="s">
        <v>7672</v>
      </c>
      <c r="G10133" t="s">
        <v>30425</v>
      </c>
      <c r="H10133" t="s">
        <v>8673</v>
      </c>
      <c r="I10133" t="s">
        <v>30426</v>
      </c>
      <c r="J10133" t="s">
        <v>7675</v>
      </c>
    </row>
    <row r="10134" spans="1:10" x14ac:dyDescent="0.25">
      <c r="A10134" t="s">
        <v>30427</v>
      </c>
      <c r="B10134">
        <v>37.799999999999997</v>
      </c>
      <c r="C10134" t="s">
        <v>30428</v>
      </c>
      <c r="D10134" t="s">
        <v>875</v>
      </c>
      <c r="E10134" t="s">
        <v>30424</v>
      </c>
      <c r="F10134" t="s">
        <v>7672</v>
      </c>
      <c r="G10134" t="s">
        <v>30425</v>
      </c>
      <c r="H10134" t="s">
        <v>8673</v>
      </c>
      <c r="I10134" t="s">
        <v>30429</v>
      </c>
      <c r="J10134" t="s">
        <v>7675</v>
      </c>
    </row>
    <row r="10135" spans="1:10" x14ac:dyDescent="0.25">
      <c r="A10135" t="s">
        <v>30430</v>
      </c>
      <c r="B10135">
        <v>37.799999999999997</v>
      </c>
      <c r="C10135" t="s">
        <v>30431</v>
      </c>
      <c r="D10135" t="s">
        <v>725</v>
      </c>
      <c r="E10135" t="s">
        <v>30424</v>
      </c>
      <c r="F10135" t="s">
        <v>7672</v>
      </c>
      <c r="G10135" t="s">
        <v>30425</v>
      </c>
      <c r="H10135" t="s">
        <v>8673</v>
      </c>
      <c r="I10135" t="s">
        <v>30429</v>
      </c>
      <c r="J10135" t="s">
        <v>7686</v>
      </c>
    </row>
    <row r="10136" spans="1:10" x14ac:dyDescent="0.25">
      <c r="A10136" t="s">
        <v>30432</v>
      </c>
      <c r="B10136">
        <v>37.799999999999997</v>
      </c>
      <c r="C10136" t="s">
        <v>30433</v>
      </c>
      <c r="D10136" t="s">
        <v>2262</v>
      </c>
      <c r="E10136" t="s">
        <v>30424</v>
      </c>
      <c r="F10136" t="s">
        <v>7672</v>
      </c>
      <c r="G10136" t="s">
        <v>30425</v>
      </c>
      <c r="H10136" t="s">
        <v>8673</v>
      </c>
      <c r="I10136" t="s">
        <v>30429</v>
      </c>
      <c r="J10136" t="s">
        <v>7703</v>
      </c>
    </row>
    <row r="10137" spans="1:10" x14ac:dyDescent="0.25">
      <c r="A10137" t="s">
        <v>30434</v>
      </c>
      <c r="B10137">
        <v>37.799999999999997</v>
      </c>
      <c r="C10137" t="s">
        <v>30435</v>
      </c>
      <c r="D10137" t="s">
        <v>941</v>
      </c>
      <c r="E10137" t="s">
        <v>30424</v>
      </c>
      <c r="F10137" t="s">
        <v>7672</v>
      </c>
      <c r="G10137" t="s">
        <v>30425</v>
      </c>
      <c r="H10137" t="s">
        <v>8673</v>
      </c>
      <c r="I10137" t="s">
        <v>30429</v>
      </c>
      <c r="J10137" t="s">
        <v>7713</v>
      </c>
    </row>
    <row r="10138" spans="1:10" x14ac:dyDescent="0.25">
      <c r="A10138" t="s">
        <v>30436</v>
      </c>
      <c r="B10138">
        <v>37.799999999999997</v>
      </c>
      <c r="C10138" t="s">
        <v>30437</v>
      </c>
      <c r="D10138" t="s">
        <v>1536</v>
      </c>
      <c r="E10138" t="s">
        <v>30424</v>
      </c>
      <c r="F10138" t="s">
        <v>7672</v>
      </c>
      <c r="G10138" t="s">
        <v>30425</v>
      </c>
      <c r="H10138" t="s">
        <v>8673</v>
      </c>
      <c r="I10138" t="s">
        <v>30429</v>
      </c>
      <c r="J10138" t="s">
        <v>7719</v>
      </c>
    </row>
    <row r="10139" spans="1:10" x14ac:dyDescent="0.25">
      <c r="A10139" t="s">
        <v>30438</v>
      </c>
      <c r="B10139">
        <v>4.16</v>
      </c>
      <c r="C10139" t="s">
        <v>30439</v>
      </c>
      <c r="D10139" t="s">
        <v>436</v>
      </c>
      <c r="E10139" t="s">
        <v>30440</v>
      </c>
      <c r="F10139" t="s">
        <v>7672</v>
      </c>
      <c r="G10139" t="s">
        <v>30441</v>
      </c>
      <c r="H10139" t="s">
        <v>26624</v>
      </c>
      <c r="I10139" t="s">
        <v>27883</v>
      </c>
      <c r="J10139" t="s">
        <v>7942</v>
      </c>
    </row>
    <row r="10140" spans="1:10" x14ac:dyDescent="0.25">
      <c r="A10140" t="s">
        <v>30442</v>
      </c>
      <c r="B10140">
        <v>4.16</v>
      </c>
      <c r="C10140" t="s">
        <v>30443</v>
      </c>
      <c r="D10140" t="s">
        <v>1536</v>
      </c>
      <c r="E10140" t="s">
        <v>30440</v>
      </c>
      <c r="F10140" t="s">
        <v>7672</v>
      </c>
      <c r="G10140" t="s">
        <v>30441</v>
      </c>
      <c r="H10140" t="s">
        <v>26624</v>
      </c>
      <c r="I10140" t="s">
        <v>27883</v>
      </c>
      <c r="J10140" t="s">
        <v>7981</v>
      </c>
    </row>
    <row r="10141" spans="1:10" x14ac:dyDescent="0.25">
      <c r="A10141" t="s">
        <v>30444</v>
      </c>
      <c r="B10141">
        <v>4.16</v>
      </c>
      <c r="C10141" t="s">
        <v>30445</v>
      </c>
      <c r="D10141" t="s">
        <v>2078</v>
      </c>
      <c r="E10141" t="s">
        <v>30440</v>
      </c>
      <c r="F10141" t="s">
        <v>7672</v>
      </c>
      <c r="G10141" t="s">
        <v>30441</v>
      </c>
      <c r="H10141" t="s">
        <v>26624</v>
      </c>
      <c r="I10141" t="s">
        <v>27883</v>
      </c>
      <c r="J10141" t="s">
        <v>7984</v>
      </c>
    </row>
    <row r="10142" spans="1:10" x14ac:dyDescent="0.25">
      <c r="A10142" t="s">
        <v>30446</v>
      </c>
      <c r="B10142">
        <v>4.16</v>
      </c>
      <c r="C10142" t="s">
        <v>30447</v>
      </c>
      <c r="D10142" t="s">
        <v>2262</v>
      </c>
      <c r="E10142" t="s">
        <v>30440</v>
      </c>
      <c r="F10142" t="s">
        <v>7672</v>
      </c>
      <c r="G10142" t="s">
        <v>30441</v>
      </c>
      <c r="H10142" t="s">
        <v>26624</v>
      </c>
      <c r="I10142" t="s">
        <v>27883</v>
      </c>
      <c r="J10142" t="s">
        <v>7987</v>
      </c>
    </row>
    <row r="10143" spans="1:10" x14ac:dyDescent="0.25">
      <c r="A10143" t="s">
        <v>30448</v>
      </c>
      <c r="B10143">
        <v>4.16</v>
      </c>
      <c r="C10143" t="s">
        <v>30449</v>
      </c>
      <c r="D10143" t="s">
        <v>3086</v>
      </c>
      <c r="E10143" t="s">
        <v>30440</v>
      </c>
      <c r="F10143" t="s">
        <v>7672</v>
      </c>
      <c r="G10143" t="s">
        <v>30441</v>
      </c>
      <c r="H10143" t="s">
        <v>26624</v>
      </c>
      <c r="I10143" t="s">
        <v>27883</v>
      </c>
      <c r="J10143" t="s">
        <v>8001</v>
      </c>
    </row>
    <row r="10144" spans="1:10" x14ac:dyDescent="0.25">
      <c r="A10144" t="s">
        <v>30450</v>
      </c>
      <c r="B10144">
        <v>4.16</v>
      </c>
      <c r="C10144" t="s">
        <v>30451</v>
      </c>
      <c r="D10144" t="s">
        <v>959</v>
      </c>
      <c r="E10144" t="s">
        <v>30440</v>
      </c>
      <c r="F10144" t="s">
        <v>7672</v>
      </c>
      <c r="G10144" t="s">
        <v>30441</v>
      </c>
      <c r="H10144" t="s">
        <v>26624</v>
      </c>
      <c r="I10144" t="s">
        <v>27883</v>
      </c>
      <c r="J10144" t="s">
        <v>8013</v>
      </c>
    </row>
    <row r="10145" spans="1:10" x14ac:dyDescent="0.25">
      <c r="A10145" t="s">
        <v>30452</v>
      </c>
      <c r="B10145">
        <v>8.3920000000000012</v>
      </c>
      <c r="C10145" t="s">
        <v>30453</v>
      </c>
      <c r="D10145" t="s">
        <v>2238</v>
      </c>
      <c r="E10145" t="s">
        <v>30454</v>
      </c>
      <c r="F10145" t="s">
        <v>7672</v>
      </c>
      <c r="G10145" t="s">
        <v>30455</v>
      </c>
      <c r="H10145" t="s">
        <v>10298</v>
      </c>
      <c r="I10145" t="s">
        <v>9245</v>
      </c>
      <c r="J10145" t="s">
        <v>290</v>
      </c>
    </row>
    <row r="10146" spans="1:10" x14ac:dyDescent="0.25">
      <c r="A10146" t="s">
        <v>30456</v>
      </c>
      <c r="B10146">
        <v>15.6</v>
      </c>
      <c r="C10146" t="s">
        <v>30457</v>
      </c>
      <c r="D10146" t="s">
        <v>46</v>
      </c>
      <c r="E10146" t="s">
        <v>30458</v>
      </c>
      <c r="F10146" t="s">
        <v>7672</v>
      </c>
      <c r="G10146" t="s">
        <v>30459</v>
      </c>
      <c r="H10146" t="s">
        <v>8078</v>
      </c>
      <c r="I10146" t="s">
        <v>16889</v>
      </c>
      <c r="J10146" t="s">
        <v>7942</v>
      </c>
    </row>
    <row r="10147" spans="1:10" x14ac:dyDescent="0.25">
      <c r="A10147" t="s">
        <v>30460</v>
      </c>
      <c r="B10147">
        <v>9.2000000000000011</v>
      </c>
      <c r="C10147" t="s">
        <v>30461</v>
      </c>
      <c r="D10147" t="s">
        <v>2022</v>
      </c>
      <c r="E10147" t="s">
        <v>30462</v>
      </c>
      <c r="F10147" t="s">
        <v>7672</v>
      </c>
      <c r="G10147" t="s">
        <v>30463</v>
      </c>
      <c r="H10147" t="s">
        <v>22358</v>
      </c>
      <c r="I10147" t="s">
        <v>28906</v>
      </c>
      <c r="J10147" t="s">
        <v>11767</v>
      </c>
    </row>
    <row r="10148" spans="1:10" x14ac:dyDescent="0.25">
      <c r="A10148" t="s">
        <v>30464</v>
      </c>
      <c r="B10148">
        <v>90</v>
      </c>
      <c r="C10148" t="s">
        <v>30465</v>
      </c>
      <c r="D10148" t="s">
        <v>3604</v>
      </c>
      <c r="E10148" t="s">
        <v>30466</v>
      </c>
      <c r="F10148" t="s">
        <v>7672</v>
      </c>
      <c r="G10148" t="s">
        <v>30467</v>
      </c>
      <c r="H10148" t="s">
        <v>9693</v>
      </c>
      <c r="I10148" t="s">
        <v>30468</v>
      </c>
      <c r="J10148" t="s">
        <v>9694</v>
      </c>
    </row>
    <row r="10149" spans="1:10" x14ac:dyDescent="0.25">
      <c r="A10149" t="s">
        <v>30469</v>
      </c>
      <c r="B10149">
        <v>5.6000000000000014</v>
      </c>
      <c r="C10149" t="s">
        <v>30470</v>
      </c>
      <c r="D10149" t="s">
        <v>996</v>
      </c>
      <c r="E10149" t="s">
        <v>30471</v>
      </c>
      <c r="F10149" t="s">
        <v>7672</v>
      </c>
      <c r="G10149" t="s">
        <v>30472</v>
      </c>
      <c r="H10149" t="s">
        <v>11496</v>
      </c>
      <c r="I10149" t="s">
        <v>20011</v>
      </c>
      <c r="J10149" t="s">
        <v>9423</v>
      </c>
    </row>
    <row r="10150" spans="1:10" x14ac:dyDescent="0.25">
      <c r="A10150" t="s">
        <v>30473</v>
      </c>
      <c r="B10150">
        <v>5.6000000000000014</v>
      </c>
      <c r="C10150" t="s">
        <v>30474</v>
      </c>
      <c r="D10150" t="s">
        <v>10764</v>
      </c>
      <c r="E10150" t="s">
        <v>30471</v>
      </c>
      <c r="F10150" t="s">
        <v>7672</v>
      </c>
      <c r="G10150" t="s">
        <v>30472</v>
      </c>
      <c r="H10150" t="s">
        <v>11496</v>
      </c>
      <c r="I10150" t="s">
        <v>20011</v>
      </c>
      <c r="J10150" t="s">
        <v>9426</v>
      </c>
    </row>
    <row r="10151" spans="1:10" x14ac:dyDescent="0.25">
      <c r="A10151" t="s">
        <v>30475</v>
      </c>
      <c r="B10151">
        <v>5.6000000000000014</v>
      </c>
      <c r="C10151" t="s">
        <v>30476</v>
      </c>
      <c r="D10151" t="s">
        <v>2149</v>
      </c>
      <c r="E10151" t="s">
        <v>30471</v>
      </c>
      <c r="F10151" t="s">
        <v>7672</v>
      </c>
      <c r="G10151" t="s">
        <v>30472</v>
      </c>
      <c r="H10151" t="s">
        <v>11496</v>
      </c>
      <c r="I10151" t="s">
        <v>20011</v>
      </c>
      <c r="J10151" t="s">
        <v>10862</v>
      </c>
    </row>
    <row r="10152" spans="1:10" x14ac:dyDescent="0.25">
      <c r="A10152" t="s">
        <v>30477</v>
      </c>
      <c r="B10152">
        <v>5.6000000000000014</v>
      </c>
      <c r="C10152" t="s">
        <v>30478</v>
      </c>
      <c r="D10152" t="s">
        <v>4270</v>
      </c>
      <c r="E10152" t="s">
        <v>30471</v>
      </c>
      <c r="F10152" t="s">
        <v>7672</v>
      </c>
      <c r="G10152" t="s">
        <v>30472</v>
      </c>
      <c r="H10152" t="s">
        <v>11496</v>
      </c>
      <c r="I10152" t="s">
        <v>20011</v>
      </c>
      <c r="J10152" t="s">
        <v>13084</v>
      </c>
    </row>
    <row r="10153" spans="1:10" x14ac:dyDescent="0.25">
      <c r="A10153" t="s">
        <v>30479</v>
      </c>
      <c r="B10153">
        <v>13.992000000000001</v>
      </c>
      <c r="C10153" t="s">
        <v>30480</v>
      </c>
      <c r="D10153" t="s">
        <v>576</v>
      </c>
      <c r="E10153" t="s">
        <v>30481</v>
      </c>
      <c r="F10153" t="s">
        <v>7672</v>
      </c>
      <c r="G10153" t="s">
        <v>21231</v>
      </c>
      <c r="H10153" t="s">
        <v>11598</v>
      </c>
      <c r="I10153" t="s">
        <v>11206</v>
      </c>
      <c r="J10153" t="s">
        <v>9237</v>
      </c>
    </row>
    <row r="10154" spans="1:10" x14ac:dyDescent="0.25">
      <c r="A10154" t="s">
        <v>30482</v>
      </c>
      <c r="B10154">
        <v>13.992000000000001</v>
      </c>
      <c r="C10154" t="s">
        <v>30483</v>
      </c>
      <c r="D10154" t="s">
        <v>131</v>
      </c>
      <c r="E10154" t="s">
        <v>30481</v>
      </c>
      <c r="F10154" t="s">
        <v>7672</v>
      </c>
      <c r="G10154" t="s">
        <v>21231</v>
      </c>
      <c r="H10154" t="s">
        <v>11598</v>
      </c>
      <c r="I10154" t="s">
        <v>11206</v>
      </c>
      <c r="J10154" t="s">
        <v>8427</v>
      </c>
    </row>
    <row r="10155" spans="1:10" x14ac:dyDescent="0.25">
      <c r="A10155" t="s">
        <v>30484</v>
      </c>
      <c r="B10155">
        <v>13.992000000000001</v>
      </c>
      <c r="C10155" t="s">
        <v>30485</v>
      </c>
      <c r="D10155" t="s">
        <v>959</v>
      </c>
      <c r="E10155" t="s">
        <v>30481</v>
      </c>
      <c r="F10155" t="s">
        <v>7672</v>
      </c>
      <c r="G10155" t="s">
        <v>21231</v>
      </c>
      <c r="H10155" t="s">
        <v>11598</v>
      </c>
      <c r="I10155" t="s">
        <v>11206</v>
      </c>
      <c r="J10155" t="s">
        <v>8439</v>
      </c>
    </row>
    <row r="10156" spans="1:10" x14ac:dyDescent="0.25">
      <c r="A10156" t="s">
        <v>30486</v>
      </c>
      <c r="B10156">
        <v>13.992000000000001</v>
      </c>
      <c r="C10156" t="s">
        <v>30487</v>
      </c>
      <c r="D10156" t="s">
        <v>106</v>
      </c>
      <c r="E10156" t="s">
        <v>30481</v>
      </c>
      <c r="F10156" t="s">
        <v>7672</v>
      </c>
      <c r="G10156" t="s">
        <v>21231</v>
      </c>
      <c r="H10156" t="s">
        <v>11598</v>
      </c>
      <c r="I10156" t="s">
        <v>11206</v>
      </c>
      <c r="J10156" t="s">
        <v>8451</v>
      </c>
    </row>
    <row r="10157" spans="1:10" x14ac:dyDescent="0.25">
      <c r="A10157" t="s">
        <v>30488</v>
      </c>
      <c r="B10157">
        <v>13.992000000000001</v>
      </c>
      <c r="C10157" t="s">
        <v>30489</v>
      </c>
      <c r="D10157" t="s">
        <v>60</v>
      </c>
      <c r="E10157" t="s">
        <v>30481</v>
      </c>
      <c r="F10157" t="s">
        <v>7672</v>
      </c>
      <c r="G10157" t="s">
        <v>21231</v>
      </c>
      <c r="H10157" t="s">
        <v>11598</v>
      </c>
      <c r="I10157" t="s">
        <v>11206</v>
      </c>
      <c r="J10157" t="s">
        <v>8462</v>
      </c>
    </row>
    <row r="10158" spans="1:10" x14ac:dyDescent="0.25">
      <c r="A10158" t="s">
        <v>30490</v>
      </c>
      <c r="B10158">
        <v>5.4</v>
      </c>
      <c r="C10158" t="s">
        <v>30491</v>
      </c>
      <c r="D10158" t="s">
        <v>1536</v>
      </c>
      <c r="E10158" t="s">
        <v>30492</v>
      </c>
      <c r="F10158" t="s">
        <v>7672</v>
      </c>
      <c r="G10158" t="s">
        <v>30493</v>
      </c>
      <c r="H10158" t="s">
        <v>24169</v>
      </c>
      <c r="I10158" t="s">
        <v>410</v>
      </c>
      <c r="J10158" t="s">
        <v>7942</v>
      </c>
    </row>
    <row r="10159" spans="1:10" x14ac:dyDescent="0.25">
      <c r="A10159" t="s">
        <v>30494</v>
      </c>
      <c r="B10159">
        <v>5.4</v>
      </c>
      <c r="C10159" t="s">
        <v>30495</v>
      </c>
      <c r="D10159" t="s">
        <v>250</v>
      </c>
      <c r="E10159" t="s">
        <v>30492</v>
      </c>
      <c r="F10159" t="s">
        <v>7672</v>
      </c>
      <c r="G10159" t="s">
        <v>30493</v>
      </c>
      <c r="H10159" t="s">
        <v>24169</v>
      </c>
      <c r="I10159" t="s">
        <v>410</v>
      </c>
      <c r="J10159" t="s">
        <v>8001</v>
      </c>
    </row>
    <row r="10160" spans="1:10" x14ac:dyDescent="0.25">
      <c r="A10160" t="s">
        <v>30496</v>
      </c>
      <c r="B10160">
        <v>5.4</v>
      </c>
      <c r="C10160" t="s">
        <v>30497</v>
      </c>
      <c r="D10160" t="s">
        <v>926</v>
      </c>
      <c r="E10160" t="s">
        <v>30492</v>
      </c>
      <c r="F10160" t="s">
        <v>7672</v>
      </c>
      <c r="G10160" t="s">
        <v>30493</v>
      </c>
      <c r="H10160" t="s">
        <v>24169</v>
      </c>
      <c r="I10160" t="s">
        <v>410</v>
      </c>
      <c r="J10160" t="s">
        <v>8013</v>
      </c>
    </row>
    <row r="10161" spans="1:10" x14ac:dyDescent="0.25">
      <c r="A10161" t="s">
        <v>30498</v>
      </c>
      <c r="B10161">
        <v>10.8</v>
      </c>
      <c r="C10161" t="s">
        <v>30499</v>
      </c>
      <c r="D10161" t="s">
        <v>2078</v>
      </c>
      <c r="E10161" t="s">
        <v>30500</v>
      </c>
      <c r="F10161" t="s">
        <v>7672</v>
      </c>
      <c r="G10161" t="s">
        <v>30501</v>
      </c>
      <c r="H10161" t="s">
        <v>13951</v>
      </c>
      <c r="I10161" t="s">
        <v>410</v>
      </c>
      <c r="J10161" t="s">
        <v>7703</v>
      </c>
    </row>
    <row r="10162" spans="1:10" x14ac:dyDescent="0.25">
      <c r="A10162" t="s">
        <v>30502</v>
      </c>
      <c r="B10162">
        <v>10.8</v>
      </c>
      <c r="C10162" t="s">
        <v>30503</v>
      </c>
      <c r="D10162" t="s">
        <v>282</v>
      </c>
      <c r="E10162" t="s">
        <v>30500</v>
      </c>
      <c r="F10162" t="s">
        <v>7672</v>
      </c>
      <c r="G10162" t="s">
        <v>30501</v>
      </c>
      <c r="H10162" t="s">
        <v>13951</v>
      </c>
      <c r="I10162" t="s">
        <v>410</v>
      </c>
      <c r="J10162" t="s">
        <v>7713</v>
      </c>
    </row>
    <row r="10163" spans="1:10" x14ac:dyDescent="0.25">
      <c r="A10163" t="s">
        <v>30504</v>
      </c>
      <c r="B10163">
        <v>10.8</v>
      </c>
      <c r="C10163" t="s">
        <v>30505</v>
      </c>
      <c r="D10163" t="s">
        <v>1097</v>
      </c>
      <c r="E10163" t="s">
        <v>30500</v>
      </c>
      <c r="F10163" t="s">
        <v>7672</v>
      </c>
      <c r="G10163" t="s">
        <v>30501</v>
      </c>
      <c r="H10163" t="s">
        <v>13951</v>
      </c>
      <c r="I10163" t="s">
        <v>410</v>
      </c>
      <c r="J10163" t="s">
        <v>7719</v>
      </c>
    </row>
    <row r="10164" spans="1:10" x14ac:dyDescent="0.25">
      <c r="A10164" t="s">
        <v>30506</v>
      </c>
      <c r="B10164">
        <v>5.4</v>
      </c>
      <c r="C10164" t="s">
        <v>30507</v>
      </c>
      <c r="D10164" t="s">
        <v>626</v>
      </c>
      <c r="E10164" t="s">
        <v>30508</v>
      </c>
      <c r="F10164" t="s">
        <v>7672</v>
      </c>
      <c r="G10164" t="s">
        <v>30509</v>
      </c>
      <c r="H10164" t="s">
        <v>10298</v>
      </c>
      <c r="I10164" t="s">
        <v>30510</v>
      </c>
      <c r="J10164" t="s">
        <v>30511</v>
      </c>
    </row>
    <row r="10165" spans="1:10" x14ac:dyDescent="0.25">
      <c r="A10165" t="s">
        <v>30512</v>
      </c>
      <c r="B10165">
        <v>5.4</v>
      </c>
      <c r="C10165" t="s">
        <v>30513</v>
      </c>
      <c r="D10165" t="s">
        <v>30514</v>
      </c>
      <c r="E10165" t="s">
        <v>30508</v>
      </c>
      <c r="F10165" t="s">
        <v>7672</v>
      </c>
      <c r="G10165" t="s">
        <v>30509</v>
      </c>
      <c r="H10165" t="s">
        <v>10298</v>
      </c>
      <c r="I10165" t="s">
        <v>30515</v>
      </c>
      <c r="J10165" t="s">
        <v>30516</v>
      </c>
    </row>
    <row r="10166" spans="1:10" x14ac:dyDescent="0.25">
      <c r="A10166" t="s">
        <v>30517</v>
      </c>
      <c r="B10166">
        <v>5.4</v>
      </c>
      <c r="C10166" t="s">
        <v>30518</v>
      </c>
      <c r="D10166" t="s">
        <v>8562</v>
      </c>
      <c r="E10166" t="s">
        <v>30508</v>
      </c>
      <c r="F10166" t="s">
        <v>7672</v>
      </c>
      <c r="G10166" t="s">
        <v>30509</v>
      </c>
      <c r="H10166" t="s">
        <v>10298</v>
      </c>
      <c r="I10166" t="s">
        <v>30510</v>
      </c>
      <c r="J10166" t="s">
        <v>30516</v>
      </c>
    </row>
    <row r="10167" spans="1:10" x14ac:dyDescent="0.25">
      <c r="A10167" t="s">
        <v>30519</v>
      </c>
      <c r="B10167">
        <v>9.6000000000000014</v>
      </c>
      <c r="C10167" t="s">
        <v>30520</v>
      </c>
      <c r="D10167" t="s">
        <v>88</v>
      </c>
      <c r="E10167" t="s">
        <v>30521</v>
      </c>
      <c r="F10167" t="s">
        <v>7672</v>
      </c>
      <c r="G10167" t="s">
        <v>30522</v>
      </c>
      <c r="H10167" t="s">
        <v>8979</v>
      </c>
      <c r="I10167" t="s">
        <v>30523</v>
      </c>
      <c r="J10167" t="s">
        <v>7984</v>
      </c>
    </row>
    <row r="10168" spans="1:10" x14ac:dyDescent="0.25">
      <c r="A10168" t="s">
        <v>30524</v>
      </c>
      <c r="B10168">
        <v>9.6000000000000014</v>
      </c>
      <c r="C10168" t="s">
        <v>30525</v>
      </c>
      <c r="D10168" t="s">
        <v>229</v>
      </c>
      <c r="E10168" t="s">
        <v>30521</v>
      </c>
      <c r="F10168" t="s">
        <v>7672</v>
      </c>
      <c r="G10168" t="s">
        <v>30522</v>
      </c>
      <c r="H10168" t="s">
        <v>8979</v>
      </c>
      <c r="I10168" t="s">
        <v>30526</v>
      </c>
      <c r="J10168" t="s">
        <v>7984</v>
      </c>
    </row>
    <row r="10169" spans="1:10" x14ac:dyDescent="0.25">
      <c r="A10169" t="s">
        <v>30527</v>
      </c>
      <c r="B10169">
        <v>9.6000000000000014</v>
      </c>
      <c r="C10169" t="s">
        <v>30528</v>
      </c>
      <c r="D10169" t="s">
        <v>1621</v>
      </c>
      <c r="E10169" t="s">
        <v>30521</v>
      </c>
      <c r="F10169" t="s">
        <v>7672</v>
      </c>
      <c r="G10169" t="s">
        <v>30522</v>
      </c>
      <c r="H10169" t="s">
        <v>8979</v>
      </c>
      <c r="I10169" t="s">
        <v>30523</v>
      </c>
      <c r="J10169" t="s">
        <v>7987</v>
      </c>
    </row>
    <row r="10170" spans="1:10" x14ac:dyDescent="0.25">
      <c r="A10170" t="s">
        <v>30529</v>
      </c>
      <c r="B10170">
        <v>9.6000000000000014</v>
      </c>
      <c r="C10170" t="s">
        <v>30530</v>
      </c>
      <c r="D10170" t="s">
        <v>234</v>
      </c>
      <c r="E10170" t="s">
        <v>30521</v>
      </c>
      <c r="F10170" t="s">
        <v>7672</v>
      </c>
      <c r="G10170" t="s">
        <v>30522</v>
      </c>
      <c r="H10170" t="s">
        <v>8979</v>
      </c>
      <c r="I10170" t="s">
        <v>30526</v>
      </c>
      <c r="J10170" t="s">
        <v>7987</v>
      </c>
    </row>
    <row r="10171" spans="1:10" x14ac:dyDescent="0.25">
      <c r="A10171" t="s">
        <v>30531</v>
      </c>
      <c r="B10171">
        <v>9.6000000000000014</v>
      </c>
      <c r="C10171" t="s">
        <v>30532</v>
      </c>
      <c r="D10171" t="s">
        <v>286</v>
      </c>
      <c r="E10171" t="s">
        <v>30521</v>
      </c>
      <c r="F10171" t="s">
        <v>7672</v>
      </c>
      <c r="G10171" t="s">
        <v>30522</v>
      </c>
      <c r="H10171" t="s">
        <v>8979</v>
      </c>
      <c r="I10171" t="s">
        <v>30523</v>
      </c>
      <c r="J10171" t="s">
        <v>8001</v>
      </c>
    </row>
    <row r="10172" spans="1:10" x14ac:dyDescent="0.25">
      <c r="A10172" t="s">
        <v>30533</v>
      </c>
      <c r="B10172">
        <v>9.6000000000000014</v>
      </c>
      <c r="C10172" t="s">
        <v>30534</v>
      </c>
      <c r="D10172" t="s">
        <v>671</v>
      </c>
      <c r="E10172" t="s">
        <v>30521</v>
      </c>
      <c r="F10172" t="s">
        <v>7672</v>
      </c>
      <c r="G10172" t="s">
        <v>30522</v>
      </c>
      <c r="H10172" t="s">
        <v>8979</v>
      </c>
      <c r="I10172" t="s">
        <v>30526</v>
      </c>
      <c r="J10172" t="s">
        <v>8001</v>
      </c>
    </row>
    <row r="10173" spans="1:10" x14ac:dyDescent="0.25">
      <c r="A10173" t="s">
        <v>30535</v>
      </c>
      <c r="B10173">
        <v>6.3920000000000003</v>
      </c>
      <c r="C10173" t="s">
        <v>30536</v>
      </c>
      <c r="D10173" t="s">
        <v>67</v>
      </c>
      <c r="E10173" t="s">
        <v>30537</v>
      </c>
      <c r="F10173" t="s">
        <v>7672</v>
      </c>
      <c r="G10173" t="s">
        <v>30538</v>
      </c>
      <c r="H10173" t="s">
        <v>22419</v>
      </c>
      <c r="I10173" t="s">
        <v>22420</v>
      </c>
      <c r="J10173" t="s">
        <v>9694</v>
      </c>
    </row>
    <row r="10174" spans="1:10" x14ac:dyDescent="0.25">
      <c r="A10174" t="s">
        <v>693</v>
      </c>
      <c r="B10174">
        <v>44.095999999999997</v>
      </c>
      <c r="C10174" t="s">
        <v>695</v>
      </c>
      <c r="D10174" t="s">
        <v>698</v>
      </c>
      <c r="E10174" t="s">
        <v>696</v>
      </c>
      <c r="F10174" t="s">
        <v>7672</v>
      </c>
      <c r="G10174" t="s">
        <v>30539</v>
      </c>
      <c r="H10174" t="s">
        <v>21219</v>
      </c>
      <c r="I10174" t="s">
        <v>700</v>
      </c>
      <c r="J10174" t="s">
        <v>7981</v>
      </c>
    </row>
    <row r="10175" spans="1:10" x14ac:dyDescent="0.25">
      <c r="A10175" t="s">
        <v>701</v>
      </c>
      <c r="B10175">
        <v>44.095999999999997</v>
      </c>
      <c r="C10175" t="s">
        <v>703</v>
      </c>
      <c r="D10175" t="s">
        <v>705</v>
      </c>
      <c r="E10175" t="s">
        <v>696</v>
      </c>
      <c r="F10175" t="s">
        <v>7672</v>
      </c>
      <c r="G10175" t="s">
        <v>30539</v>
      </c>
      <c r="H10175" t="s">
        <v>21219</v>
      </c>
      <c r="I10175" t="s">
        <v>76</v>
      </c>
      <c r="J10175" t="s">
        <v>7981</v>
      </c>
    </row>
    <row r="10176" spans="1:10" x14ac:dyDescent="0.25">
      <c r="A10176" t="s">
        <v>706</v>
      </c>
      <c r="B10176">
        <v>44.095999999999997</v>
      </c>
      <c r="C10176" t="s">
        <v>708</v>
      </c>
      <c r="D10176" t="s">
        <v>705</v>
      </c>
      <c r="E10176" t="s">
        <v>696</v>
      </c>
      <c r="F10176" t="s">
        <v>7672</v>
      </c>
      <c r="G10176" t="s">
        <v>30539</v>
      </c>
      <c r="H10176" t="s">
        <v>21219</v>
      </c>
      <c r="I10176" t="s">
        <v>710</v>
      </c>
      <c r="J10176" t="s">
        <v>7981</v>
      </c>
    </row>
    <row r="10177" spans="1:10" x14ac:dyDescent="0.25">
      <c r="A10177" t="s">
        <v>711</v>
      </c>
      <c r="B10177">
        <v>44.095999999999997</v>
      </c>
      <c r="C10177" t="s">
        <v>713</v>
      </c>
      <c r="D10177" t="s">
        <v>715</v>
      </c>
      <c r="E10177" t="s">
        <v>696</v>
      </c>
      <c r="F10177" t="s">
        <v>7672</v>
      </c>
      <c r="G10177" t="s">
        <v>30539</v>
      </c>
      <c r="H10177" t="s">
        <v>21219</v>
      </c>
      <c r="I10177" t="s">
        <v>76</v>
      </c>
      <c r="J10177" t="s">
        <v>7984</v>
      </c>
    </row>
    <row r="10178" spans="1:10" x14ac:dyDescent="0.25">
      <c r="A10178" t="s">
        <v>716</v>
      </c>
      <c r="B10178">
        <v>44.095999999999997</v>
      </c>
      <c r="C10178" t="s">
        <v>718</v>
      </c>
      <c r="D10178" t="s">
        <v>720</v>
      </c>
      <c r="E10178" t="s">
        <v>696</v>
      </c>
      <c r="F10178" t="s">
        <v>7672</v>
      </c>
      <c r="G10178" t="s">
        <v>30539</v>
      </c>
      <c r="H10178" t="s">
        <v>21219</v>
      </c>
      <c r="I10178" t="s">
        <v>710</v>
      </c>
      <c r="J10178" t="s">
        <v>7984</v>
      </c>
    </row>
    <row r="10179" spans="1:10" x14ac:dyDescent="0.25">
      <c r="A10179" t="s">
        <v>721</v>
      </c>
      <c r="B10179">
        <v>44.095999999999997</v>
      </c>
      <c r="C10179" t="s">
        <v>723</v>
      </c>
      <c r="D10179" t="s">
        <v>725</v>
      </c>
      <c r="E10179" t="s">
        <v>696</v>
      </c>
      <c r="F10179" t="s">
        <v>7672</v>
      </c>
      <c r="G10179" t="s">
        <v>30539</v>
      </c>
      <c r="H10179" t="s">
        <v>21219</v>
      </c>
      <c r="I10179" t="s">
        <v>700</v>
      </c>
      <c r="J10179" t="s">
        <v>7984</v>
      </c>
    </row>
    <row r="10180" spans="1:10" x14ac:dyDescent="0.25">
      <c r="A10180" t="s">
        <v>726</v>
      </c>
      <c r="B10180">
        <v>44.095999999999997</v>
      </c>
      <c r="C10180" t="s">
        <v>728</v>
      </c>
      <c r="D10180" t="s">
        <v>385</v>
      </c>
      <c r="E10180" t="s">
        <v>696</v>
      </c>
      <c r="F10180" t="s">
        <v>7672</v>
      </c>
      <c r="G10180" t="s">
        <v>30539</v>
      </c>
      <c r="H10180" t="s">
        <v>21219</v>
      </c>
      <c r="I10180" t="s">
        <v>710</v>
      </c>
      <c r="J10180" t="s">
        <v>7987</v>
      </c>
    </row>
    <row r="10181" spans="1:10" x14ac:dyDescent="0.25">
      <c r="A10181" t="s">
        <v>730</v>
      </c>
      <c r="B10181">
        <v>44.095999999999997</v>
      </c>
      <c r="C10181" t="s">
        <v>732</v>
      </c>
      <c r="D10181" t="s">
        <v>306</v>
      </c>
      <c r="E10181" t="s">
        <v>696</v>
      </c>
      <c r="F10181" t="s">
        <v>7672</v>
      </c>
      <c r="G10181" t="s">
        <v>30539</v>
      </c>
      <c r="H10181" t="s">
        <v>21219</v>
      </c>
      <c r="I10181" t="s">
        <v>76</v>
      </c>
      <c r="J10181" t="s">
        <v>7987</v>
      </c>
    </row>
    <row r="10182" spans="1:10" x14ac:dyDescent="0.25">
      <c r="A10182" t="s">
        <v>734</v>
      </c>
      <c r="B10182">
        <v>44.095999999999997</v>
      </c>
      <c r="C10182" t="s">
        <v>736</v>
      </c>
      <c r="D10182" t="s">
        <v>199</v>
      </c>
      <c r="E10182" t="s">
        <v>696</v>
      </c>
      <c r="F10182" t="s">
        <v>7672</v>
      </c>
      <c r="G10182" t="s">
        <v>30539</v>
      </c>
      <c r="H10182" t="s">
        <v>21219</v>
      </c>
      <c r="I10182" t="s">
        <v>700</v>
      </c>
      <c r="J10182" t="s">
        <v>7987</v>
      </c>
    </row>
    <row r="10183" spans="1:10" x14ac:dyDescent="0.25">
      <c r="A10183" t="s">
        <v>738</v>
      </c>
      <c r="B10183">
        <v>44.095999999999997</v>
      </c>
      <c r="C10183" t="s">
        <v>740</v>
      </c>
      <c r="D10183" t="s">
        <v>742</v>
      </c>
      <c r="E10183" t="s">
        <v>696</v>
      </c>
      <c r="F10183" t="s">
        <v>7672</v>
      </c>
      <c r="G10183" t="s">
        <v>30539</v>
      </c>
      <c r="H10183" t="s">
        <v>21219</v>
      </c>
      <c r="I10183" t="s">
        <v>76</v>
      </c>
      <c r="J10183" t="s">
        <v>8001</v>
      </c>
    </row>
    <row r="10184" spans="1:10" x14ac:dyDescent="0.25">
      <c r="A10184" t="s">
        <v>743</v>
      </c>
      <c r="B10184">
        <v>44.095999999999997</v>
      </c>
      <c r="C10184" t="s">
        <v>745</v>
      </c>
      <c r="D10184" t="s">
        <v>88</v>
      </c>
      <c r="E10184" t="s">
        <v>696</v>
      </c>
      <c r="F10184" t="s">
        <v>7672</v>
      </c>
      <c r="G10184" t="s">
        <v>30539</v>
      </c>
      <c r="H10184" t="s">
        <v>21219</v>
      </c>
      <c r="I10184" t="s">
        <v>700</v>
      </c>
      <c r="J10184" t="s">
        <v>8001</v>
      </c>
    </row>
    <row r="10185" spans="1:10" x14ac:dyDescent="0.25">
      <c r="A10185" t="s">
        <v>30540</v>
      </c>
      <c r="B10185">
        <v>20</v>
      </c>
      <c r="C10185" t="s">
        <v>30541</v>
      </c>
      <c r="D10185" t="s">
        <v>277</v>
      </c>
      <c r="E10185" t="s">
        <v>30542</v>
      </c>
      <c r="F10185" t="s">
        <v>7672</v>
      </c>
      <c r="G10185" t="s">
        <v>30543</v>
      </c>
      <c r="H10185" t="s">
        <v>11496</v>
      </c>
      <c r="I10185" t="s">
        <v>30544</v>
      </c>
      <c r="J10185" t="s">
        <v>11767</v>
      </c>
    </row>
    <row r="10186" spans="1:10" x14ac:dyDescent="0.25">
      <c r="A10186" t="s">
        <v>30545</v>
      </c>
      <c r="B10186">
        <v>20</v>
      </c>
      <c r="C10186" t="s">
        <v>30546</v>
      </c>
      <c r="D10186" t="s">
        <v>255</v>
      </c>
      <c r="E10186" t="s">
        <v>30542</v>
      </c>
      <c r="F10186" t="s">
        <v>7672</v>
      </c>
      <c r="G10186" t="s">
        <v>30543</v>
      </c>
      <c r="H10186" t="s">
        <v>11496</v>
      </c>
      <c r="I10186" t="s">
        <v>30547</v>
      </c>
      <c r="J10186" t="s">
        <v>11767</v>
      </c>
    </row>
    <row r="10187" spans="1:10" x14ac:dyDescent="0.25">
      <c r="A10187" t="s">
        <v>30548</v>
      </c>
      <c r="B10187">
        <v>20</v>
      </c>
      <c r="C10187" t="s">
        <v>30549</v>
      </c>
      <c r="D10187" t="s">
        <v>255</v>
      </c>
      <c r="E10187" t="s">
        <v>30542</v>
      </c>
      <c r="F10187" t="s">
        <v>7672</v>
      </c>
      <c r="G10187" t="s">
        <v>30543</v>
      </c>
      <c r="H10187" t="s">
        <v>11496</v>
      </c>
      <c r="I10187" t="s">
        <v>30550</v>
      </c>
      <c r="J10187" t="s">
        <v>11767</v>
      </c>
    </row>
    <row r="10188" spans="1:10" x14ac:dyDescent="0.25">
      <c r="A10188" t="s">
        <v>747</v>
      </c>
      <c r="C10188" t="s">
        <v>749</v>
      </c>
      <c r="D10188" t="s">
        <v>752</v>
      </c>
      <c r="E10188" t="s">
        <v>750</v>
      </c>
      <c r="F10188" t="s">
        <v>7672</v>
      </c>
      <c r="G10188" t="s">
        <v>30551</v>
      </c>
      <c r="H10188" t="s">
        <v>30552</v>
      </c>
      <c r="I10188" t="s">
        <v>30553</v>
      </c>
      <c r="J10188" t="s">
        <v>9694</v>
      </c>
    </row>
    <row r="10189" spans="1:10" x14ac:dyDescent="0.25">
      <c r="A10189" t="s">
        <v>30554</v>
      </c>
      <c r="B10189">
        <v>2.3919999999999999</v>
      </c>
      <c r="C10189" t="s">
        <v>30555</v>
      </c>
      <c r="D10189" t="s">
        <v>3665</v>
      </c>
      <c r="E10189" t="s">
        <v>30556</v>
      </c>
      <c r="F10189" t="s">
        <v>7672</v>
      </c>
      <c r="G10189" t="s">
        <v>30557</v>
      </c>
      <c r="H10189" t="s">
        <v>10298</v>
      </c>
      <c r="I10189" t="s">
        <v>30558</v>
      </c>
      <c r="J10189" t="s">
        <v>10150</v>
      </c>
    </row>
    <row r="10190" spans="1:10" x14ac:dyDescent="0.25">
      <c r="A10190" t="s">
        <v>30559</v>
      </c>
      <c r="B10190">
        <v>2.3919999999999999</v>
      </c>
      <c r="C10190" t="s">
        <v>30560</v>
      </c>
      <c r="D10190" t="s">
        <v>991</v>
      </c>
      <c r="E10190" t="s">
        <v>30556</v>
      </c>
      <c r="F10190" t="s">
        <v>7672</v>
      </c>
      <c r="G10190" t="s">
        <v>30557</v>
      </c>
      <c r="H10190" t="s">
        <v>10298</v>
      </c>
      <c r="I10190" t="s">
        <v>30561</v>
      </c>
      <c r="J10190" t="s">
        <v>10150</v>
      </c>
    </row>
    <row r="10191" spans="1:10" x14ac:dyDescent="0.25">
      <c r="A10191" t="s">
        <v>30562</v>
      </c>
      <c r="B10191">
        <v>4.16</v>
      </c>
      <c r="C10191" t="s">
        <v>30563</v>
      </c>
      <c r="D10191" t="s">
        <v>290</v>
      </c>
      <c r="E10191" t="s">
        <v>30564</v>
      </c>
      <c r="F10191" t="s">
        <v>7672</v>
      </c>
      <c r="G10191" t="s">
        <v>30565</v>
      </c>
      <c r="H10191" t="s">
        <v>11496</v>
      </c>
      <c r="I10191" t="s">
        <v>30566</v>
      </c>
      <c r="J10191" t="s">
        <v>9423</v>
      </c>
    </row>
    <row r="10192" spans="1:10" x14ac:dyDescent="0.25">
      <c r="A10192" t="s">
        <v>30567</v>
      </c>
      <c r="B10192">
        <v>4.16</v>
      </c>
      <c r="C10192" t="s">
        <v>30568</v>
      </c>
      <c r="D10192" t="s">
        <v>379</v>
      </c>
      <c r="E10192" t="s">
        <v>30564</v>
      </c>
      <c r="F10192" t="s">
        <v>7672</v>
      </c>
      <c r="G10192" t="s">
        <v>30565</v>
      </c>
      <c r="H10192" t="s">
        <v>11496</v>
      </c>
      <c r="I10192" t="s">
        <v>30566</v>
      </c>
      <c r="J10192" t="s">
        <v>9426</v>
      </c>
    </row>
    <row r="10193" spans="1:10" x14ac:dyDescent="0.25">
      <c r="A10193" t="s">
        <v>754</v>
      </c>
      <c r="B10193">
        <v>12</v>
      </c>
      <c r="C10193" t="s">
        <v>756</v>
      </c>
      <c r="D10193" t="s">
        <v>613</v>
      </c>
      <c r="E10193" t="s">
        <v>757</v>
      </c>
      <c r="F10193" t="s">
        <v>7672</v>
      </c>
      <c r="G10193" t="s">
        <v>30569</v>
      </c>
      <c r="H10193" t="s">
        <v>9232</v>
      </c>
      <c r="I10193" t="s">
        <v>30570</v>
      </c>
      <c r="J10193" t="s">
        <v>11497</v>
      </c>
    </row>
    <row r="10194" spans="1:10" x14ac:dyDescent="0.25">
      <c r="A10194" t="s">
        <v>30571</v>
      </c>
      <c r="B10194">
        <v>54</v>
      </c>
      <c r="C10194" t="s">
        <v>30572</v>
      </c>
      <c r="D10194" t="s">
        <v>14011</v>
      </c>
      <c r="E10194" t="s">
        <v>30573</v>
      </c>
      <c r="F10194" t="s">
        <v>7672</v>
      </c>
      <c r="G10194" t="s">
        <v>30574</v>
      </c>
      <c r="H10194" t="s">
        <v>9693</v>
      </c>
      <c r="I10194" t="s">
        <v>26279</v>
      </c>
      <c r="J10194" t="s">
        <v>9694</v>
      </c>
    </row>
    <row r="10195" spans="1:10" x14ac:dyDescent="0.25">
      <c r="A10195" t="s">
        <v>30575</v>
      </c>
      <c r="B10195">
        <v>108</v>
      </c>
      <c r="C10195" t="s">
        <v>30576</v>
      </c>
      <c r="D10195" t="s">
        <v>1512</v>
      </c>
      <c r="E10195" t="s">
        <v>30577</v>
      </c>
      <c r="F10195" t="s">
        <v>7672</v>
      </c>
      <c r="G10195" t="s">
        <v>30578</v>
      </c>
      <c r="H10195" t="s">
        <v>9693</v>
      </c>
      <c r="I10195" t="s">
        <v>18323</v>
      </c>
      <c r="J10195" t="s">
        <v>9694</v>
      </c>
    </row>
    <row r="10196" spans="1:10" x14ac:dyDescent="0.25">
      <c r="A10196" t="s">
        <v>30579</v>
      </c>
      <c r="B10196">
        <v>108</v>
      </c>
      <c r="C10196" t="s">
        <v>30580</v>
      </c>
      <c r="D10196" t="s">
        <v>986</v>
      </c>
      <c r="E10196" t="s">
        <v>30581</v>
      </c>
      <c r="F10196" t="s">
        <v>7672</v>
      </c>
      <c r="G10196" t="s">
        <v>30582</v>
      </c>
      <c r="H10196" t="s">
        <v>9693</v>
      </c>
      <c r="I10196" t="s">
        <v>18323</v>
      </c>
      <c r="J10196" t="s">
        <v>9694</v>
      </c>
    </row>
    <row r="10197" spans="1:10" x14ac:dyDescent="0.25">
      <c r="A10197" t="s">
        <v>30583</v>
      </c>
      <c r="B10197">
        <v>48</v>
      </c>
      <c r="C10197" t="s">
        <v>30584</v>
      </c>
      <c r="D10197" t="s">
        <v>53</v>
      </c>
      <c r="E10197" t="s">
        <v>30585</v>
      </c>
      <c r="F10197" t="s">
        <v>7672</v>
      </c>
      <c r="G10197" t="s">
        <v>30586</v>
      </c>
      <c r="H10197" t="s">
        <v>22190</v>
      </c>
      <c r="I10197" t="s">
        <v>278</v>
      </c>
      <c r="J10197" t="s">
        <v>9694</v>
      </c>
    </row>
    <row r="10198" spans="1:10" x14ac:dyDescent="0.25">
      <c r="A10198" t="s">
        <v>30587</v>
      </c>
      <c r="B10198">
        <v>10.792</v>
      </c>
      <c r="C10198" t="s">
        <v>30588</v>
      </c>
      <c r="D10198" t="s">
        <v>835</v>
      </c>
      <c r="E10198" t="s">
        <v>30589</v>
      </c>
      <c r="F10198" t="s">
        <v>7672</v>
      </c>
      <c r="G10198" t="s">
        <v>13049</v>
      </c>
      <c r="H10198" t="s">
        <v>11598</v>
      </c>
      <c r="I10198" t="s">
        <v>30590</v>
      </c>
      <c r="J10198" t="s">
        <v>7942</v>
      </c>
    </row>
    <row r="10199" spans="1:10" x14ac:dyDescent="0.25">
      <c r="A10199" t="s">
        <v>30591</v>
      </c>
      <c r="B10199">
        <v>9.7920000000000016</v>
      </c>
      <c r="C10199" t="s">
        <v>30592</v>
      </c>
      <c r="D10199" t="s">
        <v>250</v>
      </c>
      <c r="E10199" t="s">
        <v>30593</v>
      </c>
      <c r="F10199" t="s">
        <v>7672</v>
      </c>
      <c r="G10199" t="s">
        <v>30594</v>
      </c>
      <c r="H10199" t="s">
        <v>10298</v>
      </c>
      <c r="I10199" t="s">
        <v>18749</v>
      </c>
      <c r="J10199" t="s">
        <v>8427</v>
      </c>
    </row>
    <row r="10200" spans="1:10" x14ac:dyDescent="0.25">
      <c r="A10200" t="s">
        <v>30595</v>
      </c>
      <c r="B10200">
        <v>9.7920000000000016</v>
      </c>
      <c r="C10200" t="s">
        <v>30596</v>
      </c>
      <c r="D10200" t="s">
        <v>311</v>
      </c>
      <c r="E10200" t="s">
        <v>30593</v>
      </c>
      <c r="F10200" t="s">
        <v>7672</v>
      </c>
      <c r="G10200" t="s">
        <v>30594</v>
      </c>
      <c r="H10200" t="s">
        <v>10298</v>
      </c>
      <c r="I10200" t="s">
        <v>18749</v>
      </c>
      <c r="J10200" t="s">
        <v>8439</v>
      </c>
    </row>
    <row r="10201" spans="1:10" x14ac:dyDescent="0.25">
      <c r="A10201" t="s">
        <v>30597</v>
      </c>
      <c r="B10201">
        <v>9.7920000000000016</v>
      </c>
      <c r="C10201" t="s">
        <v>30598</v>
      </c>
      <c r="D10201" t="s">
        <v>849</v>
      </c>
      <c r="E10201" t="s">
        <v>30593</v>
      </c>
      <c r="F10201" t="s">
        <v>7672</v>
      </c>
      <c r="G10201" t="s">
        <v>30594</v>
      </c>
      <c r="H10201" t="s">
        <v>10298</v>
      </c>
      <c r="I10201" t="s">
        <v>18749</v>
      </c>
      <c r="J10201" t="s">
        <v>8451</v>
      </c>
    </row>
    <row r="10202" spans="1:10" x14ac:dyDescent="0.25">
      <c r="A10202" t="s">
        <v>30599</v>
      </c>
      <c r="B10202">
        <v>4.4800000000000004</v>
      </c>
      <c r="C10202" t="s">
        <v>30600</v>
      </c>
      <c r="D10202" t="s">
        <v>385</v>
      </c>
      <c r="E10202" t="s">
        <v>30601</v>
      </c>
      <c r="F10202" t="s">
        <v>7672</v>
      </c>
      <c r="G10202" t="s">
        <v>30602</v>
      </c>
      <c r="H10202" t="s">
        <v>11496</v>
      </c>
      <c r="I10202" t="s">
        <v>30603</v>
      </c>
      <c r="J10202" t="s">
        <v>9426</v>
      </c>
    </row>
    <row r="10203" spans="1:10" x14ac:dyDescent="0.25">
      <c r="A10203" t="s">
        <v>760</v>
      </c>
      <c r="B10203">
        <v>7.8000000000000007</v>
      </c>
      <c r="C10203" t="s">
        <v>762</v>
      </c>
      <c r="D10203" t="s">
        <v>715</v>
      </c>
      <c r="E10203" t="s">
        <v>763</v>
      </c>
      <c r="F10203" t="s">
        <v>7672</v>
      </c>
      <c r="G10203" t="s">
        <v>30604</v>
      </c>
      <c r="H10203" t="s">
        <v>7947</v>
      </c>
      <c r="I10203" t="s">
        <v>278</v>
      </c>
      <c r="J10203" t="s">
        <v>8001</v>
      </c>
    </row>
    <row r="10204" spans="1:10" x14ac:dyDescent="0.25">
      <c r="A10204" t="s">
        <v>30605</v>
      </c>
      <c r="B10204">
        <v>4</v>
      </c>
      <c r="C10204" t="s">
        <v>30606</v>
      </c>
      <c r="D10204" t="s">
        <v>613</v>
      </c>
      <c r="E10204" t="s">
        <v>30607</v>
      </c>
      <c r="F10204" t="s">
        <v>7672</v>
      </c>
      <c r="G10204" t="s">
        <v>30608</v>
      </c>
      <c r="H10204" t="s">
        <v>11381</v>
      </c>
      <c r="I10204" t="s">
        <v>30609</v>
      </c>
      <c r="J10204" t="s">
        <v>25717</v>
      </c>
    </row>
    <row r="10205" spans="1:10" x14ac:dyDescent="0.25">
      <c r="A10205" t="s">
        <v>30610</v>
      </c>
      <c r="B10205">
        <v>4</v>
      </c>
      <c r="C10205" t="s">
        <v>30611</v>
      </c>
      <c r="D10205" t="s">
        <v>164</v>
      </c>
      <c r="E10205" t="s">
        <v>30607</v>
      </c>
      <c r="F10205" t="s">
        <v>7672</v>
      </c>
      <c r="G10205" t="s">
        <v>30608</v>
      </c>
      <c r="H10205" t="s">
        <v>11381</v>
      </c>
      <c r="I10205" t="s">
        <v>30609</v>
      </c>
      <c r="J10205" t="s">
        <v>30612</v>
      </c>
    </row>
    <row r="10206" spans="1:10" x14ac:dyDescent="0.25">
      <c r="A10206" t="s">
        <v>766</v>
      </c>
      <c r="B10206">
        <v>3.36</v>
      </c>
      <c r="C10206" t="s">
        <v>768</v>
      </c>
      <c r="D10206" t="s">
        <v>106</v>
      </c>
      <c r="E10206" t="s">
        <v>769</v>
      </c>
      <c r="F10206" t="s">
        <v>7672</v>
      </c>
      <c r="G10206" t="s">
        <v>30613</v>
      </c>
      <c r="H10206" t="s">
        <v>11496</v>
      </c>
      <c r="I10206" t="s">
        <v>410</v>
      </c>
      <c r="J10206" t="s">
        <v>9423</v>
      </c>
    </row>
    <row r="10207" spans="1:10" x14ac:dyDescent="0.25">
      <c r="A10207" t="s">
        <v>772</v>
      </c>
      <c r="B10207">
        <v>3.36</v>
      </c>
      <c r="C10207" t="s">
        <v>774</v>
      </c>
      <c r="D10207" t="s">
        <v>776</v>
      </c>
      <c r="E10207" t="s">
        <v>769</v>
      </c>
      <c r="F10207" t="s">
        <v>7672</v>
      </c>
      <c r="G10207" t="s">
        <v>30613</v>
      </c>
      <c r="H10207" t="s">
        <v>11496</v>
      </c>
      <c r="I10207" t="s">
        <v>410</v>
      </c>
      <c r="J10207" t="s">
        <v>9426</v>
      </c>
    </row>
    <row r="10208" spans="1:10" x14ac:dyDescent="0.25">
      <c r="A10208" t="s">
        <v>777</v>
      </c>
      <c r="B10208">
        <v>3.36</v>
      </c>
      <c r="C10208" t="s">
        <v>779</v>
      </c>
      <c r="D10208" t="s">
        <v>781</v>
      </c>
      <c r="E10208" t="s">
        <v>769</v>
      </c>
      <c r="F10208" t="s">
        <v>7672</v>
      </c>
      <c r="G10208" t="s">
        <v>30613</v>
      </c>
      <c r="H10208" t="s">
        <v>11496</v>
      </c>
      <c r="I10208" t="s">
        <v>410</v>
      </c>
      <c r="J10208" t="s">
        <v>13084</v>
      </c>
    </row>
    <row r="10209" spans="1:10" x14ac:dyDescent="0.25">
      <c r="A10209" t="s">
        <v>782</v>
      </c>
      <c r="B10209">
        <v>3.36</v>
      </c>
      <c r="C10209" t="s">
        <v>784</v>
      </c>
      <c r="D10209" t="s">
        <v>786</v>
      </c>
      <c r="E10209" t="s">
        <v>769</v>
      </c>
      <c r="F10209" t="s">
        <v>7672</v>
      </c>
      <c r="G10209" t="s">
        <v>30613</v>
      </c>
      <c r="H10209" t="s">
        <v>11496</v>
      </c>
      <c r="I10209" t="s">
        <v>410</v>
      </c>
      <c r="J10209" t="s">
        <v>11767</v>
      </c>
    </row>
    <row r="10210" spans="1:10" x14ac:dyDescent="0.25">
      <c r="A10210" t="s">
        <v>787</v>
      </c>
      <c r="B10210">
        <v>3.36</v>
      </c>
      <c r="C10210" t="s">
        <v>789</v>
      </c>
      <c r="D10210" t="s">
        <v>791</v>
      </c>
      <c r="E10210" t="s">
        <v>769</v>
      </c>
      <c r="F10210" t="s">
        <v>7672</v>
      </c>
      <c r="G10210" t="s">
        <v>30613</v>
      </c>
      <c r="H10210" t="s">
        <v>11496</v>
      </c>
      <c r="I10210" t="s">
        <v>410</v>
      </c>
      <c r="J10210" t="s">
        <v>11582</v>
      </c>
    </row>
    <row r="10211" spans="1:10" x14ac:dyDescent="0.25">
      <c r="A10211" t="s">
        <v>30614</v>
      </c>
      <c r="B10211">
        <v>5.4</v>
      </c>
      <c r="C10211" t="s">
        <v>30615</v>
      </c>
      <c r="D10211" t="s">
        <v>12277</v>
      </c>
      <c r="E10211" t="s">
        <v>30616</v>
      </c>
      <c r="F10211" t="s">
        <v>7672</v>
      </c>
      <c r="G10211" t="s">
        <v>30617</v>
      </c>
      <c r="H10211" t="s">
        <v>24169</v>
      </c>
      <c r="I10211" t="s">
        <v>278</v>
      </c>
      <c r="J10211" t="s">
        <v>7984</v>
      </c>
    </row>
    <row r="10212" spans="1:10" x14ac:dyDescent="0.25">
      <c r="A10212" t="s">
        <v>30618</v>
      </c>
      <c r="B10212">
        <v>5.4</v>
      </c>
      <c r="C10212" t="s">
        <v>30619</v>
      </c>
      <c r="D10212" t="s">
        <v>19045</v>
      </c>
      <c r="E10212" t="s">
        <v>30616</v>
      </c>
      <c r="F10212" t="s">
        <v>7672</v>
      </c>
      <c r="G10212" t="s">
        <v>30617</v>
      </c>
      <c r="H10212" t="s">
        <v>24169</v>
      </c>
      <c r="I10212" t="s">
        <v>278</v>
      </c>
      <c r="J10212" t="s">
        <v>7987</v>
      </c>
    </row>
    <row r="10213" spans="1:10" x14ac:dyDescent="0.25">
      <c r="A10213" t="s">
        <v>30620</v>
      </c>
      <c r="B10213">
        <v>5.4</v>
      </c>
      <c r="C10213" t="s">
        <v>30621</v>
      </c>
      <c r="D10213" t="s">
        <v>803</v>
      </c>
      <c r="E10213" t="s">
        <v>30616</v>
      </c>
      <c r="F10213" t="s">
        <v>7672</v>
      </c>
      <c r="G10213" t="s">
        <v>30617</v>
      </c>
      <c r="H10213" t="s">
        <v>24169</v>
      </c>
      <c r="I10213" t="s">
        <v>278</v>
      </c>
      <c r="J10213" t="s">
        <v>8001</v>
      </c>
    </row>
    <row r="10214" spans="1:10" x14ac:dyDescent="0.25">
      <c r="A10214" t="s">
        <v>30622</v>
      </c>
      <c r="B10214">
        <v>19.992000000000001</v>
      </c>
      <c r="C10214" t="s">
        <v>30623</v>
      </c>
      <c r="D10214" t="s">
        <v>245</v>
      </c>
      <c r="E10214" t="s">
        <v>30624</v>
      </c>
      <c r="F10214" t="s">
        <v>7672</v>
      </c>
      <c r="G10214" t="s">
        <v>30625</v>
      </c>
      <c r="H10214" t="s">
        <v>8027</v>
      </c>
      <c r="I10214" t="s">
        <v>1675</v>
      </c>
      <c r="J10214" t="s">
        <v>8427</v>
      </c>
    </row>
    <row r="10215" spans="1:10" x14ac:dyDescent="0.25">
      <c r="A10215" t="s">
        <v>30626</v>
      </c>
      <c r="B10215">
        <v>6.4960000000000004</v>
      </c>
      <c r="C10215" t="s">
        <v>30627</v>
      </c>
      <c r="D10215" t="s">
        <v>282</v>
      </c>
      <c r="E10215" t="s">
        <v>30624</v>
      </c>
      <c r="F10215" t="s">
        <v>7672</v>
      </c>
      <c r="G10215" t="s">
        <v>30625</v>
      </c>
      <c r="H10215" t="s">
        <v>8027</v>
      </c>
      <c r="I10215" t="s">
        <v>27550</v>
      </c>
      <c r="J10215" t="s">
        <v>8427</v>
      </c>
    </row>
    <row r="10216" spans="1:10" x14ac:dyDescent="0.25">
      <c r="A10216" t="s">
        <v>30628</v>
      </c>
      <c r="B10216">
        <v>19.992000000000001</v>
      </c>
      <c r="C10216" t="s">
        <v>30629</v>
      </c>
      <c r="D10216" t="s">
        <v>671</v>
      </c>
      <c r="E10216" t="s">
        <v>30624</v>
      </c>
      <c r="F10216" t="s">
        <v>7672</v>
      </c>
      <c r="G10216" t="s">
        <v>30625</v>
      </c>
      <c r="H10216" t="s">
        <v>8027</v>
      </c>
      <c r="I10216" t="s">
        <v>1675</v>
      </c>
      <c r="J10216" t="s">
        <v>8439</v>
      </c>
    </row>
    <row r="10217" spans="1:10" x14ac:dyDescent="0.25">
      <c r="A10217" t="s">
        <v>30630</v>
      </c>
      <c r="B10217">
        <v>6.4960000000000004</v>
      </c>
      <c r="C10217" t="s">
        <v>30631</v>
      </c>
      <c r="D10217" t="s">
        <v>352</v>
      </c>
      <c r="E10217" t="s">
        <v>30624</v>
      </c>
      <c r="F10217" t="s">
        <v>7672</v>
      </c>
      <c r="G10217" t="s">
        <v>30625</v>
      </c>
      <c r="H10217" t="s">
        <v>8027</v>
      </c>
      <c r="I10217" t="s">
        <v>27550</v>
      </c>
      <c r="J10217" t="s">
        <v>8439</v>
      </c>
    </row>
    <row r="10218" spans="1:10" x14ac:dyDescent="0.25">
      <c r="A10218" t="s">
        <v>30632</v>
      </c>
      <c r="B10218">
        <v>6.4960000000000004</v>
      </c>
      <c r="C10218" t="s">
        <v>30633</v>
      </c>
      <c r="D10218" t="s">
        <v>342</v>
      </c>
      <c r="E10218" t="s">
        <v>30624</v>
      </c>
      <c r="F10218" t="s">
        <v>7672</v>
      </c>
      <c r="G10218" t="s">
        <v>30625</v>
      </c>
      <c r="H10218" t="s">
        <v>8027</v>
      </c>
      <c r="I10218" t="s">
        <v>27553</v>
      </c>
      <c r="J10218" t="s">
        <v>8439</v>
      </c>
    </row>
    <row r="10219" spans="1:10" x14ac:dyDescent="0.25">
      <c r="A10219" t="s">
        <v>30634</v>
      </c>
      <c r="B10219">
        <v>6.4960000000000004</v>
      </c>
      <c r="C10219" t="s">
        <v>30635</v>
      </c>
      <c r="D10219" t="s">
        <v>88</v>
      </c>
      <c r="E10219" t="s">
        <v>30624</v>
      </c>
      <c r="F10219" t="s">
        <v>7672</v>
      </c>
      <c r="G10219" t="s">
        <v>30625</v>
      </c>
      <c r="H10219" t="s">
        <v>8027</v>
      </c>
      <c r="I10219" t="s">
        <v>27550</v>
      </c>
      <c r="J10219" t="s">
        <v>8451</v>
      </c>
    </row>
    <row r="10220" spans="1:10" x14ac:dyDescent="0.25">
      <c r="A10220" t="s">
        <v>30636</v>
      </c>
      <c r="B10220">
        <v>6.4960000000000004</v>
      </c>
      <c r="C10220" t="s">
        <v>30637</v>
      </c>
      <c r="D10220" t="s">
        <v>277</v>
      </c>
      <c r="E10220" t="s">
        <v>30624</v>
      </c>
      <c r="F10220" t="s">
        <v>7672</v>
      </c>
      <c r="G10220" t="s">
        <v>30625</v>
      </c>
      <c r="H10220" t="s">
        <v>8027</v>
      </c>
      <c r="I10220" t="s">
        <v>27550</v>
      </c>
      <c r="J10220" t="s">
        <v>8462</v>
      </c>
    </row>
    <row r="10221" spans="1:10" x14ac:dyDescent="0.25">
      <c r="A10221" t="s">
        <v>30638</v>
      </c>
      <c r="B10221">
        <v>6.4960000000000004</v>
      </c>
      <c r="C10221" t="s">
        <v>30639</v>
      </c>
      <c r="D10221" t="s">
        <v>106</v>
      </c>
      <c r="E10221" t="s">
        <v>30624</v>
      </c>
      <c r="F10221" t="s">
        <v>7672</v>
      </c>
      <c r="G10221" t="s">
        <v>30625</v>
      </c>
      <c r="H10221" t="s">
        <v>8027</v>
      </c>
      <c r="I10221" t="s">
        <v>27553</v>
      </c>
      <c r="J10221" t="s">
        <v>8462</v>
      </c>
    </row>
    <row r="10222" spans="1:10" x14ac:dyDescent="0.25">
      <c r="A10222" t="s">
        <v>30640</v>
      </c>
      <c r="B10222">
        <v>4.68</v>
      </c>
      <c r="C10222" t="s">
        <v>30641</v>
      </c>
      <c r="D10222" t="s">
        <v>2364</v>
      </c>
      <c r="E10222" t="s">
        <v>30642</v>
      </c>
      <c r="F10222" t="s">
        <v>7672</v>
      </c>
      <c r="G10222" t="s">
        <v>30643</v>
      </c>
      <c r="H10222" t="s">
        <v>16293</v>
      </c>
      <c r="I10222" t="s">
        <v>76</v>
      </c>
      <c r="J10222" t="s">
        <v>7981</v>
      </c>
    </row>
    <row r="10223" spans="1:10" x14ac:dyDescent="0.25">
      <c r="A10223" t="s">
        <v>30644</v>
      </c>
      <c r="B10223">
        <v>6.24</v>
      </c>
      <c r="C10223" t="s">
        <v>30645</v>
      </c>
      <c r="D10223" t="s">
        <v>106</v>
      </c>
      <c r="E10223" t="s">
        <v>30646</v>
      </c>
      <c r="F10223" t="s">
        <v>7672</v>
      </c>
      <c r="G10223" t="s">
        <v>30647</v>
      </c>
      <c r="H10223" t="s">
        <v>28142</v>
      </c>
      <c r="I10223" t="s">
        <v>278</v>
      </c>
      <c r="J10223" t="s">
        <v>7981</v>
      </c>
    </row>
    <row r="10224" spans="1:10" x14ac:dyDescent="0.25">
      <c r="A10224" t="s">
        <v>30648</v>
      </c>
      <c r="B10224">
        <v>6.24</v>
      </c>
      <c r="C10224" t="s">
        <v>30649</v>
      </c>
      <c r="D10224" t="s">
        <v>366</v>
      </c>
      <c r="E10224" t="s">
        <v>30646</v>
      </c>
      <c r="F10224" t="s">
        <v>7672</v>
      </c>
      <c r="G10224" t="s">
        <v>30647</v>
      </c>
      <c r="H10224" t="s">
        <v>28142</v>
      </c>
      <c r="I10224" t="s">
        <v>278</v>
      </c>
      <c r="J10224" t="s">
        <v>7984</v>
      </c>
    </row>
    <row r="10225" spans="1:10" x14ac:dyDescent="0.25">
      <c r="A10225" t="s">
        <v>30650</v>
      </c>
      <c r="B10225">
        <v>6.24</v>
      </c>
      <c r="C10225" t="s">
        <v>30651</v>
      </c>
      <c r="D10225" t="s">
        <v>352</v>
      </c>
      <c r="E10225" t="s">
        <v>30646</v>
      </c>
      <c r="F10225" t="s">
        <v>7672</v>
      </c>
      <c r="G10225" t="s">
        <v>30647</v>
      </c>
      <c r="H10225" t="s">
        <v>28142</v>
      </c>
      <c r="I10225" t="s">
        <v>278</v>
      </c>
      <c r="J10225" t="s">
        <v>7987</v>
      </c>
    </row>
    <row r="10226" spans="1:10" x14ac:dyDescent="0.25">
      <c r="A10226" t="s">
        <v>30652</v>
      </c>
      <c r="B10226">
        <v>6.24</v>
      </c>
      <c r="C10226" t="s">
        <v>30653</v>
      </c>
      <c r="D10226" t="s">
        <v>53</v>
      </c>
      <c r="E10226" t="s">
        <v>30646</v>
      </c>
      <c r="F10226" t="s">
        <v>7672</v>
      </c>
      <c r="G10226" t="s">
        <v>30647</v>
      </c>
      <c r="H10226" t="s">
        <v>28142</v>
      </c>
      <c r="I10226" t="s">
        <v>278</v>
      </c>
      <c r="J10226" t="s">
        <v>8001</v>
      </c>
    </row>
    <row r="10227" spans="1:10" x14ac:dyDescent="0.25">
      <c r="A10227" t="s">
        <v>30654</v>
      </c>
      <c r="B10227">
        <v>6.8400000000000007</v>
      </c>
      <c r="C10227" t="s">
        <v>30655</v>
      </c>
      <c r="D10227" t="s">
        <v>3815</v>
      </c>
      <c r="E10227" t="s">
        <v>30656</v>
      </c>
      <c r="F10227" t="s">
        <v>7672</v>
      </c>
      <c r="G10227" t="s">
        <v>30657</v>
      </c>
      <c r="H10227" t="s">
        <v>11381</v>
      </c>
      <c r="I10227" t="s">
        <v>15158</v>
      </c>
      <c r="J10227" t="s">
        <v>7675</v>
      </c>
    </row>
    <row r="10228" spans="1:10" x14ac:dyDescent="0.25">
      <c r="A10228" t="s">
        <v>30658</v>
      </c>
      <c r="B10228">
        <v>6.8400000000000007</v>
      </c>
      <c r="C10228" t="s">
        <v>30659</v>
      </c>
      <c r="D10228" t="s">
        <v>8336</v>
      </c>
      <c r="E10228" t="s">
        <v>30656</v>
      </c>
      <c r="F10228" t="s">
        <v>7672</v>
      </c>
      <c r="G10228" t="s">
        <v>30657</v>
      </c>
      <c r="H10228" t="s">
        <v>11381</v>
      </c>
      <c r="I10228" t="s">
        <v>15158</v>
      </c>
      <c r="J10228" t="s">
        <v>7686</v>
      </c>
    </row>
    <row r="10229" spans="1:10" x14ac:dyDescent="0.25">
      <c r="A10229" t="s">
        <v>30660</v>
      </c>
      <c r="B10229">
        <v>6.8400000000000007</v>
      </c>
      <c r="C10229" t="s">
        <v>30661</v>
      </c>
      <c r="D10229" t="s">
        <v>1932</v>
      </c>
      <c r="E10229" t="s">
        <v>30656</v>
      </c>
      <c r="F10229" t="s">
        <v>7672</v>
      </c>
      <c r="G10229" t="s">
        <v>30657</v>
      </c>
      <c r="H10229" t="s">
        <v>11381</v>
      </c>
      <c r="I10229" t="s">
        <v>15158</v>
      </c>
      <c r="J10229" t="s">
        <v>7703</v>
      </c>
    </row>
    <row r="10230" spans="1:10" x14ac:dyDescent="0.25">
      <c r="A10230" t="s">
        <v>30662</v>
      </c>
      <c r="B10230">
        <v>6.8400000000000007</v>
      </c>
      <c r="C10230" t="s">
        <v>30663</v>
      </c>
      <c r="D10230" t="s">
        <v>113</v>
      </c>
      <c r="E10230" t="s">
        <v>30656</v>
      </c>
      <c r="F10230" t="s">
        <v>7672</v>
      </c>
      <c r="G10230" t="s">
        <v>30657</v>
      </c>
      <c r="H10230" t="s">
        <v>11381</v>
      </c>
      <c r="I10230" t="s">
        <v>15158</v>
      </c>
      <c r="J10230" t="s">
        <v>7713</v>
      </c>
    </row>
    <row r="10231" spans="1:10" x14ac:dyDescent="0.25">
      <c r="A10231" t="s">
        <v>30664</v>
      </c>
      <c r="B10231">
        <v>8</v>
      </c>
      <c r="C10231" t="s">
        <v>30665</v>
      </c>
      <c r="D10231" t="s">
        <v>516</v>
      </c>
      <c r="E10231" t="s">
        <v>30666</v>
      </c>
      <c r="F10231" t="s">
        <v>7672</v>
      </c>
      <c r="G10231" t="s">
        <v>30667</v>
      </c>
      <c r="H10231" t="s">
        <v>20018</v>
      </c>
      <c r="I10231" t="s">
        <v>935</v>
      </c>
      <c r="J10231" t="s">
        <v>7984</v>
      </c>
    </row>
    <row r="10232" spans="1:10" x14ac:dyDescent="0.25">
      <c r="A10232" t="s">
        <v>30668</v>
      </c>
      <c r="B10232">
        <v>8</v>
      </c>
      <c r="C10232" t="s">
        <v>30669</v>
      </c>
      <c r="D10232" t="s">
        <v>1644</v>
      </c>
      <c r="E10232" t="s">
        <v>30666</v>
      </c>
      <c r="F10232" t="s">
        <v>7672</v>
      </c>
      <c r="G10232" t="s">
        <v>30667</v>
      </c>
      <c r="H10232" t="s">
        <v>20018</v>
      </c>
      <c r="I10232" t="s">
        <v>935</v>
      </c>
      <c r="J10232" t="s">
        <v>7987</v>
      </c>
    </row>
    <row r="10233" spans="1:10" x14ac:dyDescent="0.25">
      <c r="A10233" t="s">
        <v>30670</v>
      </c>
      <c r="B10233">
        <v>8</v>
      </c>
      <c r="C10233" t="s">
        <v>30671</v>
      </c>
      <c r="D10233" t="s">
        <v>277</v>
      </c>
      <c r="E10233" t="s">
        <v>30666</v>
      </c>
      <c r="F10233" t="s">
        <v>7672</v>
      </c>
      <c r="G10233" t="s">
        <v>30667</v>
      </c>
      <c r="H10233" t="s">
        <v>20018</v>
      </c>
      <c r="I10233" t="s">
        <v>76</v>
      </c>
      <c r="J10233" t="s">
        <v>7987</v>
      </c>
    </row>
    <row r="10234" spans="1:10" x14ac:dyDescent="0.25">
      <c r="A10234" t="s">
        <v>30672</v>
      </c>
      <c r="B10234">
        <v>8</v>
      </c>
      <c r="C10234" t="s">
        <v>30673</v>
      </c>
      <c r="D10234" t="s">
        <v>100</v>
      </c>
      <c r="E10234" t="s">
        <v>30666</v>
      </c>
      <c r="F10234" t="s">
        <v>7672</v>
      </c>
      <c r="G10234" t="s">
        <v>30667</v>
      </c>
      <c r="H10234" t="s">
        <v>20018</v>
      </c>
      <c r="I10234" t="s">
        <v>935</v>
      </c>
      <c r="J10234" t="s">
        <v>8001</v>
      </c>
    </row>
    <row r="10235" spans="1:10" x14ac:dyDescent="0.25">
      <c r="A10235" t="s">
        <v>792</v>
      </c>
      <c r="B10235">
        <v>9.2000000000000011</v>
      </c>
      <c r="C10235" t="s">
        <v>794</v>
      </c>
      <c r="D10235" t="s">
        <v>301</v>
      </c>
      <c r="E10235" t="s">
        <v>795</v>
      </c>
      <c r="F10235" t="s">
        <v>7672</v>
      </c>
      <c r="G10235" t="s">
        <v>30674</v>
      </c>
      <c r="H10235" t="s">
        <v>22037</v>
      </c>
      <c r="I10235" t="s">
        <v>278</v>
      </c>
      <c r="J10235" t="s">
        <v>30675</v>
      </c>
    </row>
    <row r="10236" spans="1:10" x14ac:dyDescent="0.25">
      <c r="A10236" t="s">
        <v>30676</v>
      </c>
      <c r="B10236">
        <v>9.36</v>
      </c>
      <c r="C10236" t="s">
        <v>30677</v>
      </c>
      <c r="D10236" t="s">
        <v>30678</v>
      </c>
      <c r="E10236" t="s">
        <v>30679</v>
      </c>
      <c r="F10236" t="s">
        <v>7672</v>
      </c>
      <c r="G10236" t="s">
        <v>30680</v>
      </c>
      <c r="H10236" t="s">
        <v>13951</v>
      </c>
      <c r="I10236" t="s">
        <v>497</v>
      </c>
      <c r="J10236" t="s">
        <v>9023</v>
      </c>
    </row>
    <row r="10237" spans="1:10" x14ac:dyDescent="0.25">
      <c r="A10237" t="s">
        <v>30681</v>
      </c>
      <c r="B10237">
        <v>9.36</v>
      </c>
      <c r="C10237" t="s">
        <v>30682</v>
      </c>
      <c r="D10237" t="s">
        <v>10963</v>
      </c>
      <c r="E10237" t="s">
        <v>30679</v>
      </c>
      <c r="F10237" t="s">
        <v>7672</v>
      </c>
      <c r="G10237" t="s">
        <v>30680</v>
      </c>
      <c r="H10237" t="s">
        <v>13951</v>
      </c>
      <c r="I10237" t="s">
        <v>497</v>
      </c>
      <c r="J10237" t="s">
        <v>8883</v>
      </c>
    </row>
    <row r="10238" spans="1:10" x14ac:dyDescent="0.25">
      <c r="A10238" t="s">
        <v>30683</v>
      </c>
      <c r="B10238">
        <v>9.36</v>
      </c>
      <c r="C10238" t="s">
        <v>30684</v>
      </c>
      <c r="D10238" t="s">
        <v>6480</v>
      </c>
      <c r="E10238" t="s">
        <v>30679</v>
      </c>
      <c r="F10238" t="s">
        <v>7672</v>
      </c>
      <c r="G10238" t="s">
        <v>30680</v>
      </c>
      <c r="H10238" t="s">
        <v>13951</v>
      </c>
      <c r="I10238" t="s">
        <v>497</v>
      </c>
      <c r="J10238" t="s">
        <v>10908</v>
      </c>
    </row>
    <row r="10239" spans="1:10" x14ac:dyDescent="0.25">
      <c r="A10239" t="s">
        <v>30685</v>
      </c>
      <c r="B10239">
        <v>9.36</v>
      </c>
      <c r="C10239" t="s">
        <v>30686</v>
      </c>
      <c r="D10239" t="s">
        <v>11297</v>
      </c>
      <c r="E10239" t="s">
        <v>30679</v>
      </c>
      <c r="F10239" t="s">
        <v>7672</v>
      </c>
      <c r="G10239" t="s">
        <v>30680</v>
      </c>
      <c r="H10239" t="s">
        <v>13951</v>
      </c>
      <c r="I10239" t="s">
        <v>497</v>
      </c>
      <c r="J10239" t="s">
        <v>10926</v>
      </c>
    </row>
    <row r="10240" spans="1:10" x14ac:dyDescent="0.25">
      <c r="A10240" t="s">
        <v>30687</v>
      </c>
      <c r="B10240">
        <v>9.36</v>
      </c>
      <c r="C10240" t="s">
        <v>30688</v>
      </c>
      <c r="D10240" t="s">
        <v>3577</v>
      </c>
      <c r="E10240" t="s">
        <v>30679</v>
      </c>
      <c r="F10240" t="s">
        <v>7672</v>
      </c>
      <c r="G10240" t="s">
        <v>30680</v>
      </c>
      <c r="H10240" t="s">
        <v>13951</v>
      </c>
      <c r="I10240" t="s">
        <v>497</v>
      </c>
      <c r="J10240" t="s">
        <v>10918</v>
      </c>
    </row>
    <row r="10241" spans="1:10" x14ac:dyDescent="0.25">
      <c r="A10241" t="s">
        <v>30689</v>
      </c>
      <c r="B10241">
        <v>84</v>
      </c>
      <c r="C10241" t="s">
        <v>30690</v>
      </c>
      <c r="D10241" t="s">
        <v>849</v>
      </c>
      <c r="E10241" t="s">
        <v>30691</v>
      </c>
      <c r="F10241" t="s">
        <v>7672</v>
      </c>
      <c r="G10241" t="s">
        <v>30692</v>
      </c>
      <c r="H10241" t="s">
        <v>22190</v>
      </c>
      <c r="I10241" t="s">
        <v>22191</v>
      </c>
      <c r="J10241" t="s">
        <v>9694</v>
      </c>
    </row>
    <row r="10242" spans="1:10" x14ac:dyDescent="0.25">
      <c r="A10242" t="s">
        <v>798</v>
      </c>
      <c r="B10242">
        <v>30</v>
      </c>
      <c r="C10242" t="s">
        <v>800</v>
      </c>
      <c r="D10242" t="s">
        <v>803</v>
      </c>
      <c r="E10242" t="s">
        <v>801</v>
      </c>
      <c r="F10242" t="s">
        <v>7672</v>
      </c>
      <c r="G10242" t="s">
        <v>30693</v>
      </c>
      <c r="H10242" t="s">
        <v>9693</v>
      </c>
      <c r="I10242" t="s">
        <v>17521</v>
      </c>
      <c r="J10242" t="s">
        <v>9694</v>
      </c>
    </row>
    <row r="10243" spans="1:10" x14ac:dyDescent="0.25">
      <c r="A10243" t="s">
        <v>30694</v>
      </c>
      <c r="B10243">
        <v>84</v>
      </c>
      <c r="C10243" t="s">
        <v>30695</v>
      </c>
      <c r="D10243" t="s">
        <v>639</v>
      </c>
      <c r="E10243" t="s">
        <v>30696</v>
      </c>
      <c r="F10243" t="s">
        <v>7672</v>
      </c>
      <c r="G10243" t="s">
        <v>30697</v>
      </c>
      <c r="H10243" t="s">
        <v>9693</v>
      </c>
      <c r="I10243" t="s">
        <v>26279</v>
      </c>
      <c r="J10243" t="s">
        <v>9694</v>
      </c>
    </row>
    <row r="10244" spans="1:10" x14ac:dyDescent="0.25">
      <c r="A10244" t="s">
        <v>30698</v>
      </c>
      <c r="B10244">
        <v>42</v>
      </c>
      <c r="C10244" t="s">
        <v>30699</v>
      </c>
      <c r="D10244" t="s">
        <v>286</v>
      </c>
      <c r="E10244" t="s">
        <v>30700</v>
      </c>
      <c r="F10244" t="s">
        <v>7672</v>
      </c>
      <c r="G10244" t="s">
        <v>30701</v>
      </c>
      <c r="H10244" t="s">
        <v>22190</v>
      </c>
      <c r="I10244" t="s">
        <v>22191</v>
      </c>
      <c r="J10244" t="s">
        <v>9694</v>
      </c>
    </row>
    <row r="10245" spans="1:10" x14ac:dyDescent="0.25">
      <c r="A10245" t="s">
        <v>30702</v>
      </c>
      <c r="B10245">
        <v>84</v>
      </c>
      <c r="C10245" t="s">
        <v>30703</v>
      </c>
      <c r="D10245" t="s">
        <v>742</v>
      </c>
      <c r="E10245" t="s">
        <v>30704</v>
      </c>
      <c r="F10245" t="s">
        <v>7672</v>
      </c>
      <c r="G10245" t="s">
        <v>30705</v>
      </c>
      <c r="H10245" t="s">
        <v>22190</v>
      </c>
      <c r="I10245" t="s">
        <v>22191</v>
      </c>
      <c r="J10245" t="s">
        <v>9694</v>
      </c>
    </row>
    <row r="10246" spans="1:10" x14ac:dyDescent="0.25">
      <c r="A10246" t="s">
        <v>30706</v>
      </c>
      <c r="B10246">
        <v>8.3920000000000012</v>
      </c>
      <c r="C10246" t="s">
        <v>30707</v>
      </c>
      <c r="D10246" t="s">
        <v>576</v>
      </c>
      <c r="E10246" t="s">
        <v>30708</v>
      </c>
      <c r="F10246" t="s">
        <v>7672</v>
      </c>
      <c r="G10246" t="s">
        <v>30709</v>
      </c>
      <c r="H10246" t="s">
        <v>9127</v>
      </c>
      <c r="I10246" t="s">
        <v>13703</v>
      </c>
      <c r="J10246" t="s">
        <v>11368</v>
      </c>
    </row>
    <row r="10247" spans="1:10" x14ac:dyDescent="0.25">
      <c r="A10247" t="s">
        <v>30710</v>
      </c>
      <c r="B10247">
        <v>8.3920000000000012</v>
      </c>
      <c r="C10247" t="s">
        <v>30711</v>
      </c>
      <c r="D10247" t="s">
        <v>199</v>
      </c>
      <c r="E10247" t="s">
        <v>30708</v>
      </c>
      <c r="F10247" t="s">
        <v>7672</v>
      </c>
      <c r="G10247" t="s">
        <v>30709</v>
      </c>
      <c r="H10247" t="s">
        <v>9127</v>
      </c>
      <c r="I10247" t="s">
        <v>13703</v>
      </c>
      <c r="J10247" t="s">
        <v>11373</v>
      </c>
    </row>
    <row r="10248" spans="1:10" x14ac:dyDescent="0.25">
      <c r="A10248" t="s">
        <v>30712</v>
      </c>
      <c r="B10248">
        <v>8.3920000000000012</v>
      </c>
      <c r="C10248" t="s">
        <v>30713</v>
      </c>
      <c r="D10248" t="s">
        <v>366</v>
      </c>
      <c r="E10248" t="s">
        <v>30708</v>
      </c>
      <c r="F10248" t="s">
        <v>7672</v>
      </c>
      <c r="G10248" t="s">
        <v>30709</v>
      </c>
      <c r="H10248" t="s">
        <v>9127</v>
      </c>
      <c r="I10248" t="s">
        <v>76</v>
      </c>
      <c r="J10248" t="s">
        <v>11373</v>
      </c>
    </row>
    <row r="10249" spans="1:10" x14ac:dyDescent="0.25">
      <c r="A10249" t="s">
        <v>30714</v>
      </c>
      <c r="B10249">
        <v>8.3920000000000012</v>
      </c>
      <c r="C10249" t="s">
        <v>30715</v>
      </c>
      <c r="D10249" t="s">
        <v>301</v>
      </c>
      <c r="E10249" t="s">
        <v>30708</v>
      </c>
      <c r="F10249" t="s">
        <v>7672</v>
      </c>
      <c r="G10249" t="s">
        <v>30709</v>
      </c>
      <c r="H10249" t="s">
        <v>9127</v>
      </c>
      <c r="I10249" t="s">
        <v>16298</v>
      </c>
      <c r="J10249" t="s">
        <v>11373</v>
      </c>
    </row>
    <row r="10250" spans="1:10" x14ac:dyDescent="0.25">
      <c r="A10250" t="s">
        <v>30716</v>
      </c>
      <c r="B10250">
        <v>8.3920000000000012</v>
      </c>
      <c r="C10250" t="s">
        <v>30717</v>
      </c>
      <c r="D10250" t="s">
        <v>352</v>
      </c>
      <c r="E10250" t="s">
        <v>30708</v>
      </c>
      <c r="F10250" t="s">
        <v>7672</v>
      </c>
      <c r="G10250" t="s">
        <v>30709</v>
      </c>
      <c r="H10250" t="s">
        <v>9127</v>
      </c>
      <c r="I10250" t="s">
        <v>13703</v>
      </c>
      <c r="J10250" t="s">
        <v>11376</v>
      </c>
    </row>
    <row r="10251" spans="1:10" x14ac:dyDescent="0.25">
      <c r="A10251" t="s">
        <v>30718</v>
      </c>
      <c r="B10251">
        <v>8.3920000000000012</v>
      </c>
      <c r="C10251" t="s">
        <v>30719</v>
      </c>
      <c r="D10251" t="s">
        <v>742</v>
      </c>
      <c r="E10251" t="s">
        <v>30708</v>
      </c>
      <c r="F10251" t="s">
        <v>7672</v>
      </c>
      <c r="G10251" t="s">
        <v>30709</v>
      </c>
      <c r="H10251" t="s">
        <v>9127</v>
      </c>
      <c r="I10251" t="s">
        <v>76</v>
      </c>
      <c r="J10251" t="s">
        <v>11376</v>
      </c>
    </row>
    <row r="10252" spans="1:10" x14ac:dyDescent="0.25">
      <c r="A10252" t="s">
        <v>30720</v>
      </c>
      <c r="B10252">
        <v>8.3920000000000012</v>
      </c>
      <c r="C10252" t="s">
        <v>30721</v>
      </c>
      <c r="D10252" t="s">
        <v>964</v>
      </c>
      <c r="E10252" t="s">
        <v>30708</v>
      </c>
      <c r="F10252" t="s">
        <v>7672</v>
      </c>
      <c r="G10252" t="s">
        <v>30709</v>
      </c>
      <c r="H10252" t="s">
        <v>9127</v>
      </c>
      <c r="I10252" t="s">
        <v>16298</v>
      </c>
      <c r="J10252" t="s">
        <v>11376</v>
      </c>
    </row>
    <row r="10253" spans="1:10" x14ac:dyDescent="0.25">
      <c r="A10253" t="s">
        <v>30722</v>
      </c>
      <c r="B10253">
        <v>8.3920000000000012</v>
      </c>
      <c r="C10253" t="s">
        <v>30723</v>
      </c>
      <c r="D10253" t="s">
        <v>269</v>
      </c>
      <c r="E10253" t="s">
        <v>30708</v>
      </c>
      <c r="F10253" t="s">
        <v>7672</v>
      </c>
      <c r="G10253" t="s">
        <v>30709</v>
      </c>
      <c r="H10253" t="s">
        <v>9127</v>
      </c>
      <c r="I10253" t="s">
        <v>13703</v>
      </c>
      <c r="J10253" t="s">
        <v>9114</v>
      </c>
    </row>
    <row r="10254" spans="1:10" x14ac:dyDescent="0.25">
      <c r="A10254" t="s">
        <v>30724</v>
      </c>
      <c r="B10254">
        <v>8.3920000000000012</v>
      </c>
      <c r="C10254" t="s">
        <v>30725</v>
      </c>
      <c r="D10254" t="s">
        <v>88</v>
      </c>
      <c r="E10254" t="s">
        <v>30708</v>
      </c>
      <c r="F10254" t="s">
        <v>7672</v>
      </c>
      <c r="G10254" t="s">
        <v>30709</v>
      </c>
      <c r="H10254" t="s">
        <v>9127</v>
      </c>
      <c r="I10254" t="s">
        <v>16298</v>
      </c>
      <c r="J10254" t="s">
        <v>9114</v>
      </c>
    </row>
    <row r="10255" spans="1:10" x14ac:dyDescent="0.25">
      <c r="A10255" t="s">
        <v>30726</v>
      </c>
      <c r="B10255">
        <v>8.3920000000000012</v>
      </c>
      <c r="C10255" t="s">
        <v>30727</v>
      </c>
      <c r="D10255" t="s">
        <v>269</v>
      </c>
      <c r="E10255" t="s">
        <v>30708</v>
      </c>
      <c r="F10255" t="s">
        <v>7672</v>
      </c>
      <c r="G10255" t="s">
        <v>30709</v>
      </c>
      <c r="H10255" t="s">
        <v>9127</v>
      </c>
      <c r="I10255" t="s">
        <v>76</v>
      </c>
      <c r="J10255" t="s">
        <v>9114</v>
      </c>
    </row>
    <row r="10256" spans="1:10" x14ac:dyDescent="0.25">
      <c r="A10256" t="s">
        <v>806</v>
      </c>
      <c r="B10256">
        <v>4.8000000000000007</v>
      </c>
      <c r="C10256" t="s">
        <v>808</v>
      </c>
      <c r="D10256" t="s">
        <v>131</v>
      </c>
      <c r="E10256" t="s">
        <v>809</v>
      </c>
      <c r="F10256" t="s">
        <v>7672</v>
      </c>
      <c r="G10256" t="s">
        <v>30728</v>
      </c>
      <c r="H10256" t="s">
        <v>10970</v>
      </c>
      <c r="I10256" t="s">
        <v>4821</v>
      </c>
      <c r="J10256" t="s">
        <v>7981</v>
      </c>
    </row>
    <row r="10257" spans="1:10" x14ac:dyDescent="0.25">
      <c r="A10257" t="s">
        <v>30729</v>
      </c>
      <c r="B10257">
        <v>4.8000000000000007</v>
      </c>
      <c r="C10257" t="s">
        <v>30730</v>
      </c>
      <c r="D10257" t="s">
        <v>118</v>
      </c>
      <c r="E10257" t="s">
        <v>809</v>
      </c>
      <c r="F10257" t="s">
        <v>7672</v>
      </c>
      <c r="G10257" t="s">
        <v>30728</v>
      </c>
      <c r="H10257" t="s">
        <v>10970</v>
      </c>
      <c r="I10257" t="s">
        <v>410</v>
      </c>
      <c r="J10257" t="s">
        <v>7981</v>
      </c>
    </row>
    <row r="10258" spans="1:10" x14ac:dyDescent="0.25">
      <c r="A10258" t="s">
        <v>30731</v>
      </c>
      <c r="B10258">
        <v>4.8000000000000007</v>
      </c>
      <c r="C10258" t="s">
        <v>30732</v>
      </c>
      <c r="D10258" t="s">
        <v>588</v>
      </c>
      <c r="E10258" t="s">
        <v>809</v>
      </c>
      <c r="F10258" t="s">
        <v>7672</v>
      </c>
      <c r="G10258" t="s">
        <v>30728</v>
      </c>
      <c r="H10258" t="s">
        <v>10970</v>
      </c>
      <c r="I10258" t="s">
        <v>410</v>
      </c>
      <c r="J10258" t="s">
        <v>7984</v>
      </c>
    </row>
    <row r="10259" spans="1:10" x14ac:dyDescent="0.25">
      <c r="A10259" t="s">
        <v>30733</v>
      </c>
      <c r="B10259">
        <v>4.8000000000000007</v>
      </c>
      <c r="C10259" t="s">
        <v>30734</v>
      </c>
      <c r="D10259" t="s">
        <v>385</v>
      </c>
      <c r="E10259" t="s">
        <v>809</v>
      </c>
      <c r="F10259" t="s">
        <v>7672</v>
      </c>
      <c r="G10259" t="s">
        <v>30728</v>
      </c>
      <c r="H10259" t="s">
        <v>10970</v>
      </c>
      <c r="I10259" t="s">
        <v>410</v>
      </c>
      <c r="J10259" t="s">
        <v>7987</v>
      </c>
    </row>
    <row r="10260" spans="1:10" x14ac:dyDescent="0.25">
      <c r="A10260" t="s">
        <v>812</v>
      </c>
      <c r="B10260">
        <v>20.847999999999999</v>
      </c>
      <c r="C10260" t="s">
        <v>814</v>
      </c>
      <c r="D10260" t="s">
        <v>255</v>
      </c>
      <c r="E10260" t="s">
        <v>815</v>
      </c>
      <c r="F10260" t="s">
        <v>7672</v>
      </c>
      <c r="G10260" t="s">
        <v>30735</v>
      </c>
      <c r="H10260" t="s">
        <v>10970</v>
      </c>
      <c r="I10260" t="s">
        <v>818</v>
      </c>
      <c r="J10260" t="s">
        <v>10292</v>
      </c>
    </row>
    <row r="10261" spans="1:10" x14ac:dyDescent="0.25">
      <c r="A10261" t="s">
        <v>819</v>
      </c>
      <c r="B10261">
        <v>20.847999999999999</v>
      </c>
      <c r="C10261" t="s">
        <v>821</v>
      </c>
      <c r="D10261" t="s">
        <v>277</v>
      </c>
      <c r="E10261" t="s">
        <v>815</v>
      </c>
      <c r="F10261" t="s">
        <v>7672</v>
      </c>
      <c r="G10261" t="s">
        <v>30735</v>
      </c>
      <c r="H10261" t="s">
        <v>10970</v>
      </c>
      <c r="I10261" t="s">
        <v>30736</v>
      </c>
      <c r="J10261" t="s">
        <v>12704</v>
      </c>
    </row>
    <row r="10262" spans="1:10" x14ac:dyDescent="0.25">
      <c r="A10262" t="s">
        <v>825</v>
      </c>
      <c r="B10262">
        <v>20.847999999999999</v>
      </c>
      <c r="C10262" t="s">
        <v>827</v>
      </c>
      <c r="D10262" t="s">
        <v>164</v>
      </c>
      <c r="E10262" t="s">
        <v>815</v>
      </c>
      <c r="F10262" t="s">
        <v>7672</v>
      </c>
      <c r="G10262" t="s">
        <v>30735</v>
      </c>
      <c r="H10262" t="s">
        <v>10970</v>
      </c>
      <c r="I10262" t="s">
        <v>30736</v>
      </c>
      <c r="J10262" t="s">
        <v>18627</v>
      </c>
    </row>
    <row r="10263" spans="1:10" x14ac:dyDescent="0.25">
      <c r="A10263" t="s">
        <v>30737</v>
      </c>
      <c r="B10263">
        <v>8</v>
      </c>
      <c r="C10263" t="s">
        <v>30738</v>
      </c>
      <c r="D10263" t="s">
        <v>3184</v>
      </c>
      <c r="E10263" t="s">
        <v>30739</v>
      </c>
      <c r="F10263" t="s">
        <v>7672</v>
      </c>
      <c r="G10263" t="s">
        <v>30740</v>
      </c>
      <c r="H10263" t="s">
        <v>10298</v>
      </c>
      <c r="I10263" t="s">
        <v>11652</v>
      </c>
      <c r="J10263" t="s">
        <v>7942</v>
      </c>
    </row>
    <row r="10264" spans="1:10" x14ac:dyDescent="0.25">
      <c r="A10264" t="s">
        <v>30741</v>
      </c>
      <c r="B10264">
        <v>8</v>
      </c>
      <c r="C10264" t="s">
        <v>30742</v>
      </c>
      <c r="D10264" t="s">
        <v>2910</v>
      </c>
      <c r="E10264" t="s">
        <v>30739</v>
      </c>
      <c r="F10264" t="s">
        <v>7672</v>
      </c>
      <c r="G10264" t="s">
        <v>30740</v>
      </c>
      <c r="H10264" t="s">
        <v>10298</v>
      </c>
      <c r="I10264" t="s">
        <v>76</v>
      </c>
      <c r="J10264" t="s">
        <v>7942</v>
      </c>
    </row>
    <row r="10265" spans="1:10" x14ac:dyDescent="0.25">
      <c r="A10265" t="s">
        <v>30743</v>
      </c>
      <c r="B10265">
        <v>8</v>
      </c>
      <c r="C10265" t="s">
        <v>30744</v>
      </c>
      <c r="D10265" t="s">
        <v>100</v>
      </c>
      <c r="E10265" t="s">
        <v>30739</v>
      </c>
      <c r="F10265" t="s">
        <v>7672</v>
      </c>
      <c r="G10265" t="s">
        <v>30740</v>
      </c>
      <c r="H10265" t="s">
        <v>10298</v>
      </c>
      <c r="I10265" t="s">
        <v>14389</v>
      </c>
      <c r="J10265" t="s">
        <v>7981</v>
      </c>
    </row>
    <row r="10266" spans="1:10" x14ac:dyDescent="0.25">
      <c r="A10266" t="s">
        <v>30745</v>
      </c>
      <c r="B10266">
        <v>8</v>
      </c>
      <c r="C10266" t="s">
        <v>30746</v>
      </c>
      <c r="D10266" t="s">
        <v>2243</v>
      </c>
      <c r="E10266" t="s">
        <v>30739</v>
      </c>
      <c r="F10266" t="s">
        <v>7672</v>
      </c>
      <c r="G10266" t="s">
        <v>30740</v>
      </c>
      <c r="H10266" t="s">
        <v>10298</v>
      </c>
      <c r="I10266" t="s">
        <v>11652</v>
      </c>
      <c r="J10266" t="s">
        <v>7981</v>
      </c>
    </row>
    <row r="10267" spans="1:10" x14ac:dyDescent="0.25">
      <c r="A10267" t="s">
        <v>30747</v>
      </c>
      <c r="B10267">
        <v>8</v>
      </c>
      <c r="C10267" t="s">
        <v>30748</v>
      </c>
      <c r="D10267" t="s">
        <v>933</v>
      </c>
      <c r="E10267" t="s">
        <v>30739</v>
      </c>
      <c r="F10267" t="s">
        <v>7672</v>
      </c>
      <c r="G10267" t="s">
        <v>30740</v>
      </c>
      <c r="H10267" t="s">
        <v>10298</v>
      </c>
      <c r="I10267" t="s">
        <v>76</v>
      </c>
      <c r="J10267" t="s">
        <v>7981</v>
      </c>
    </row>
    <row r="10268" spans="1:10" x14ac:dyDescent="0.25">
      <c r="A10268" t="s">
        <v>30749</v>
      </c>
      <c r="B10268">
        <v>8</v>
      </c>
      <c r="C10268" t="s">
        <v>30750</v>
      </c>
      <c r="D10268" t="s">
        <v>8618</v>
      </c>
      <c r="E10268" t="s">
        <v>30739</v>
      </c>
      <c r="F10268" t="s">
        <v>7672</v>
      </c>
      <c r="G10268" t="s">
        <v>30740</v>
      </c>
      <c r="H10268" t="s">
        <v>10298</v>
      </c>
      <c r="I10268" t="s">
        <v>76</v>
      </c>
      <c r="J10268" t="s">
        <v>7984</v>
      </c>
    </row>
    <row r="10269" spans="1:10" x14ac:dyDescent="0.25">
      <c r="A10269" t="s">
        <v>30751</v>
      </c>
      <c r="B10269">
        <v>6.4</v>
      </c>
      <c r="C10269" t="s">
        <v>30752</v>
      </c>
      <c r="D10269" t="s">
        <v>342</v>
      </c>
      <c r="E10269" t="s">
        <v>30753</v>
      </c>
      <c r="F10269" t="s">
        <v>7672</v>
      </c>
      <c r="G10269" t="s">
        <v>30754</v>
      </c>
      <c r="H10269" t="s">
        <v>11496</v>
      </c>
      <c r="I10269" t="s">
        <v>30755</v>
      </c>
      <c r="J10269" t="s">
        <v>9423</v>
      </c>
    </row>
    <row r="10270" spans="1:10" x14ac:dyDescent="0.25">
      <c r="A10270" t="s">
        <v>30756</v>
      </c>
      <c r="B10270">
        <v>6.4</v>
      </c>
      <c r="C10270" t="s">
        <v>30757</v>
      </c>
      <c r="D10270" t="s">
        <v>582</v>
      </c>
      <c r="E10270" t="s">
        <v>30753</v>
      </c>
      <c r="F10270" t="s">
        <v>7672</v>
      </c>
      <c r="G10270" t="s">
        <v>30754</v>
      </c>
      <c r="H10270" t="s">
        <v>11496</v>
      </c>
      <c r="I10270" t="s">
        <v>30755</v>
      </c>
      <c r="J10270" t="s">
        <v>10862</v>
      </c>
    </row>
    <row r="10271" spans="1:10" x14ac:dyDescent="0.25">
      <c r="A10271" t="s">
        <v>30758</v>
      </c>
      <c r="B10271">
        <v>6.4</v>
      </c>
      <c r="C10271" t="s">
        <v>30759</v>
      </c>
      <c r="D10271" t="s">
        <v>1097</v>
      </c>
      <c r="E10271" t="s">
        <v>30753</v>
      </c>
      <c r="F10271" t="s">
        <v>7672</v>
      </c>
      <c r="G10271" t="s">
        <v>30754</v>
      </c>
      <c r="H10271" t="s">
        <v>11496</v>
      </c>
      <c r="I10271" t="s">
        <v>30755</v>
      </c>
      <c r="J10271" t="s">
        <v>9426</v>
      </c>
    </row>
    <row r="10272" spans="1:10" x14ac:dyDescent="0.25">
      <c r="A10272" t="s">
        <v>30760</v>
      </c>
      <c r="B10272">
        <v>6.4</v>
      </c>
      <c r="C10272" t="s">
        <v>30761</v>
      </c>
      <c r="D10272" t="s">
        <v>95</v>
      </c>
      <c r="E10272" t="s">
        <v>30753</v>
      </c>
      <c r="F10272" t="s">
        <v>7672</v>
      </c>
      <c r="G10272" t="s">
        <v>30754</v>
      </c>
      <c r="H10272" t="s">
        <v>11496</v>
      </c>
      <c r="I10272" t="s">
        <v>30755</v>
      </c>
      <c r="J10272" t="s">
        <v>13084</v>
      </c>
    </row>
    <row r="10273" spans="1:10" x14ac:dyDescent="0.25">
      <c r="A10273" t="s">
        <v>30762</v>
      </c>
      <c r="B10273">
        <v>12.592000000000001</v>
      </c>
      <c r="C10273" t="s">
        <v>30763</v>
      </c>
      <c r="D10273" t="s">
        <v>199</v>
      </c>
      <c r="E10273" t="s">
        <v>30764</v>
      </c>
      <c r="F10273" t="s">
        <v>7672</v>
      </c>
      <c r="G10273" t="s">
        <v>30765</v>
      </c>
      <c r="H10273" t="s">
        <v>11598</v>
      </c>
      <c r="I10273" t="s">
        <v>30766</v>
      </c>
      <c r="J10273" t="s">
        <v>8451</v>
      </c>
    </row>
    <row r="10274" spans="1:10" x14ac:dyDescent="0.25">
      <c r="A10274" t="s">
        <v>30767</v>
      </c>
      <c r="B10274">
        <v>12.592000000000001</v>
      </c>
      <c r="C10274" t="s">
        <v>30768</v>
      </c>
      <c r="D10274" t="s">
        <v>100</v>
      </c>
      <c r="E10274" t="s">
        <v>30764</v>
      </c>
      <c r="F10274" t="s">
        <v>7672</v>
      </c>
      <c r="G10274" t="s">
        <v>30765</v>
      </c>
      <c r="H10274" t="s">
        <v>11598</v>
      </c>
      <c r="I10274" t="s">
        <v>30268</v>
      </c>
      <c r="J10274" t="s">
        <v>8451</v>
      </c>
    </row>
    <row r="10275" spans="1:10" x14ac:dyDescent="0.25">
      <c r="A10275" t="s">
        <v>30769</v>
      </c>
      <c r="B10275">
        <v>12.592000000000001</v>
      </c>
      <c r="C10275" t="s">
        <v>30770</v>
      </c>
      <c r="D10275" t="s">
        <v>342</v>
      </c>
      <c r="E10275" t="s">
        <v>30764</v>
      </c>
      <c r="F10275" t="s">
        <v>7672</v>
      </c>
      <c r="G10275" t="s">
        <v>30765</v>
      </c>
      <c r="H10275" t="s">
        <v>11598</v>
      </c>
      <c r="I10275" t="s">
        <v>30771</v>
      </c>
      <c r="J10275" t="s">
        <v>8462</v>
      </c>
    </row>
    <row r="10276" spans="1:10" x14ac:dyDescent="0.25">
      <c r="A10276" t="s">
        <v>30772</v>
      </c>
      <c r="B10276">
        <v>12.592000000000001</v>
      </c>
      <c r="C10276" t="s">
        <v>30773</v>
      </c>
      <c r="D10276" t="s">
        <v>255</v>
      </c>
      <c r="E10276" t="s">
        <v>30764</v>
      </c>
      <c r="F10276" t="s">
        <v>7672</v>
      </c>
      <c r="G10276" t="s">
        <v>30765</v>
      </c>
      <c r="H10276" t="s">
        <v>11598</v>
      </c>
      <c r="I10276" t="s">
        <v>30268</v>
      </c>
      <c r="J10276" t="s">
        <v>8462</v>
      </c>
    </row>
    <row r="10277" spans="1:10" x14ac:dyDescent="0.25">
      <c r="A10277" t="s">
        <v>30774</v>
      </c>
      <c r="B10277">
        <v>12.592000000000001</v>
      </c>
      <c r="C10277" t="s">
        <v>30775</v>
      </c>
      <c r="D10277" t="s">
        <v>330</v>
      </c>
      <c r="E10277" t="s">
        <v>30764</v>
      </c>
      <c r="F10277" t="s">
        <v>7672</v>
      </c>
      <c r="G10277" t="s">
        <v>30765</v>
      </c>
      <c r="H10277" t="s">
        <v>11598</v>
      </c>
      <c r="I10277" t="s">
        <v>30766</v>
      </c>
      <c r="J10277" t="s">
        <v>8462</v>
      </c>
    </row>
    <row r="10278" spans="1:10" x14ac:dyDescent="0.25">
      <c r="A10278" t="s">
        <v>830</v>
      </c>
      <c r="B10278">
        <v>7.8400000000000007</v>
      </c>
      <c r="C10278" t="s">
        <v>832</v>
      </c>
      <c r="D10278" t="s">
        <v>835</v>
      </c>
      <c r="E10278" t="s">
        <v>833</v>
      </c>
      <c r="F10278" t="s">
        <v>7672</v>
      </c>
      <c r="G10278" t="s">
        <v>30776</v>
      </c>
      <c r="H10278" t="s">
        <v>8078</v>
      </c>
      <c r="I10278" t="s">
        <v>30777</v>
      </c>
      <c r="J10278" t="s">
        <v>9694</v>
      </c>
    </row>
    <row r="10279" spans="1:10" x14ac:dyDescent="0.25">
      <c r="A10279" t="s">
        <v>30778</v>
      </c>
      <c r="B10279">
        <v>14.295999999999999</v>
      </c>
      <c r="C10279" t="s">
        <v>30779</v>
      </c>
      <c r="D10279" t="s">
        <v>60</v>
      </c>
      <c r="E10279" t="s">
        <v>30780</v>
      </c>
      <c r="F10279" t="s">
        <v>7672</v>
      </c>
      <c r="G10279" t="s">
        <v>30781</v>
      </c>
      <c r="H10279" t="s">
        <v>16463</v>
      </c>
      <c r="I10279" t="s">
        <v>26593</v>
      </c>
      <c r="J10279" t="s">
        <v>7686</v>
      </c>
    </row>
    <row r="10280" spans="1:10" x14ac:dyDescent="0.25">
      <c r="A10280" t="s">
        <v>30782</v>
      </c>
      <c r="B10280">
        <v>14.295999999999999</v>
      </c>
      <c r="C10280" t="s">
        <v>30783</v>
      </c>
      <c r="D10280" t="s">
        <v>100</v>
      </c>
      <c r="E10280" t="s">
        <v>30780</v>
      </c>
      <c r="F10280" t="s">
        <v>7672</v>
      </c>
      <c r="G10280" t="s">
        <v>30781</v>
      </c>
      <c r="H10280" t="s">
        <v>16463</v>
      </c>
      <c r="I10280" t="s">
        <v>26593</v>
      </c>
      <c r="J10280" t="s">
        <v>7703</v>
      </c>
    </row>
    <row r="10281" spans="1:10" x14ac:dyDescent="0.25">
      <c r="A10281" t="s">
        <v>30784</v>
      </c>
      <c r="B10281">
        <v>14.295999999999999</v>
      </c>
      <c r="C10281" t="s">
        <v>30785</v>
      </c>
      <c r="D10281" t="s">
        <v>240</v>
      </c>
      <c r="E10281" t="s">
        <v>30780</v>
      </c>
      <c r="F10281" t="s">
        <v>7672</v>
      </c>
      <c r="G10281" t="s">
        <v>30781</v>
      </c>
      <c r="H10281" t="s">
        <v>16463</v>
      </c>
      <c r="I10281" t="s">
        <v>30786</v>
      </c>
      <c r="J10281" t="s">
        <v>7713</v>
      </c>
    </row>
    <row r="10282" spans="1:10" x14ac:dyDescent="0.25">
      <c r="A10282" t="s">
        <v>30787</v>
      </c>
      <c r="B10282">
        <v>14.295999999999999</v>
      </c>
      <c r="C10282" t="s">
        <v>30788</v>
      </c>
      <c r="D10282" t="s">
        <v>229</v>
      </c>
      <c r="E10282" t="s">
        <v>30780</v>
      </c>
      <c r="F10282" t="s">
        <v>7672</v>
      </c>
      <c r="G10282" t="s">
        <v>30781</v>
      </c>
      <c r="H10282" t="s">
        <v>16463</v>
      </c>
      <c r="I10282" t="s">
        <v>30789</v>
      </c>
      <c r="J10282" t="s">
        <v>7713</v>
      </c>
    </row>
    <row r="10283" spans="1:10" x14ac:dyDescent="0.25">
      <c r="A10283" t="s">
        <v>30790</v>
      </c>
      <c r="B10283">
        <v>14.295999999999999</v>
      </c>
      <c r="C10283" t="s">
        <v>30791</v>
      </c>
      <c r="D10283" t="s">
        <v>975</v>
      </c>
      <c r="E10283" t="s">
        <v>30780</v>
      </c>
      <c r="F10283" t="s">
        <v>7672</v>
      </c>
      <c r="G10283" t="s">
        <v>30781</v>
      </c>
      <c r="H10283" t="s">
        <v>16463</v>
      </c>
      <c r="I10283" t="s">
        <v>30792</v>
      </c>
      <c r="J10283" t="s">
        <v>7719</v>
      </c>
    </row>
    <row r="10284" spans="1:10" x14ac:dyDescent="0.25">
      <c r="A10284" t="s">
        <v>30793</v>
      </c>
      <c r="B10284">
        <v>14.295999999999999</v>
      </c>
      <c r="C10284" t="s">
        <v>30794</v>
      </c>
      <c r="D10284" t="s">
        <v>255</v>
      </c>
      <c r="E10284" t="s">
        <v>30780</v>
      </c>
      <c r="F10284" t="s">
        <v>7672</v>
      </c>
      <c r="G10284" t="s">
        <v>30781</v>
      </c>
      <c r="H10284" t="s">
        <v>16463</v>
      </c>
      <c r="I10284" t="s">
        <v>30795</v>
      </c>
      <c r="J10284" t="s">
        <v>7719</v>
      </c>
    </row>
    <row r="10285" spans="1:10" x14ac:dyDescent="0.25">
      <c r="A10285" t="s">
        <v>30796</v>
      </c>
      <c r="B10285">
        <v>14.295999999999999</v>
      </c>
      <c r="C10285" t="s">
        <v>30797</v>
      </c>
      <c r="D10285" t="s">
        <v>975</v>
      </c>
      <c r="E10285" t="s">
        <v>30780</v>
      </c>
      <c r="F10285" t="s">
        <v>7672</v>
      </c>
      <c r="G10285" t="s">
        <v>30781</v>
      </c>
      <c r="H10285" t="s">
        <v>16463</v>
      </c>
      <c r="I10285" t="s">
        <v>30786</v>
      </c>
      <c r="J10285" t="s">
        <v>7719</v>
      </c>
    </row>
    <row r="10286" spans="1:10" x14ac:dyDescent="0.25">
      <c r="A10286" t="s">
        <v>30798</v>
      </c>
      <c r="B10286">
        <v>14.295999999999999</v>
      </c>
      <c r="C10286" t="s">
        <v>30799</v>
      </c>
      <c r="D10286" t="s">
        <v>1236</v>
      </c>
      <c r="E10286" t="s">
        <v>30780</v>
      </c>
      <c r="F10286" t="s">
        <v>7672</v>
      </c>
      <c r="G10286" t="s">
        <v>30781</v>
      </c>
      <c r="H10286" t="s">
        <v>16463</v>
      </c>
      <c r="I10286" t="s">
        <v>30789</v>
      </c>
      <c r="J10286" t="s">
        <v>7719</v>
      </c>
    </row>
    <row r="10287" spans="1:10" x14ac:dyDescent="0.25">
      <c r="A10287" t="s">
        <v>30800</v>
      </c>
      <c r="B10287">
        <v>10.352</v>
      </c>
      <c r="C10287" t="s">
        <v>30801</v>
      </c>
      <c r="D10287" t="s">
        <v>131</v>
      </c>
      <c r="E10287" t="s">
        <v>30802</v>
      </c>
      <c r="F10287" t="s">
        <v>7672</v>
      </c>
      <c r="G10287" t="s">
        <v>30803</v>
      </c>
      <c r="H10287" t="s">
        <v>11598</v>
      </c>
      <c r="I10287" t="s">
        <v>22856</v>
      </c>
      <c r="J10287" t="s">
        <v>8013</v>
      </c>
    </row>
    <row r="10288" spans="1:10" x14ac:dyDescent="0.25">
      <c r="A10288" t="s">
        <v>30804</v>
      </c>
      <c r="B10288">
        <v>10.352</v>
      </c>
      <c r="C10288" t="s">
        <v>30805</v>
      </c>
      <c r="D10288" t="s">
        <v>282</v>
      </c>
      <c r="E10288" t="s">
        <v>30802</v>
      </c>
      <c r="F10288" t="s">
        <v>7672</v>
      </c>
      <c r="G10288" t="s">
        <v>30803</v>
      </c>
      <c r="H10288" t="s">
        <v>11598</v>
      </c>
      <c r="I10288" t="s">
        <v>28549</v>
      </c>
      <c r="J10288" t="s">
        <v>8013</v>
      </c>
    </row>
    <row r="10289" spans="1:10" x14ac:dyDescent="0.25">
      <c r="A10289" t="s">
        <v>30806</v>
      </c>
      <c r="B10289">
        <v>10.352</v>
      </c>
      <c r="C10289" t="s">
        <v>30807</v>
      </c>
      <c r="D10289" t="s">
        <v>959</v>
      </c>
      <c r="E10289" t="s">
        <v>30802</v>
      </c>
      <c r="F10289" t="s">
        <v>7672</v>
      </c>
      <c r="G10289" t="s">
        <v>30803</v>
      </c>
      <c r="H10289" t="s">
        <v>11598</v>
      </c>
      <c r="I10289" t="s">
        <v>22853</v>
      </c>
      <c r="J10289" t="s">
        <v>8013</v>
      </c>
    </row>
    <row r="10290" spans="1:10" x14ac:dyDescent="0.25">
      <c r="A10290" t="s">
        <v>30808</v>
      </c>
      <c r="B10290">
        <v>138</v>
      </c>
      <c r="C10290" t="s">
        <v>30809</v>
      </c>
      <c r="D10290" t="s">
        <v>113</v>
      </c>
      <c r="E10290" t="s">
        <v>30810</v>
      </c>
      <c r="F10290" t="s">
        <v>7672</v>
      </c>
      <c r="G10290" t="s">
        <v>30811</v>
      </c>
      <c r="H10290" t="s">
        <v>9693</v>
      </c>
      <c r="I10290" t="s">
        <v>30812</v>
      </c>
      <c r="J10290" t="s">
        <v>9694</v>
      </c>
    </row>
    <row r="10291" spans="1:10" x14ac:dyDescent="0.25">
      <c r="A10291" t="s">
        <v>30813</v>
      </c>
      <c r="B10291">
        <v>13.2</v>
      </c>
      <c r="C10291" t="s">
        <v>30814</v>
      </c>
      <c r="D10291" t="s">
        <v>835</v>
      </c>
      <c r="E10291" t="s">
        <v>30815</v>
      </c>
      <c r="F10291" t="s">
        <v>7672</v>
      </c>
      <c r="G10291" t="s">
        <v>30816</v>
      </c>
      <c r="H10291" t="s">
        <v>16463</v>
      </c>
      <c r="I10291" t="s">
        <v>29697</v>
      </c>
      <c r="J10291" t="s">
        <v>9023</v>
      </c>
    </row>
    <row r="10292" spans="1:10" x14ac:dyDescent="0.25">
      <c r="A10292" t="s">
        <v>30817</v>
      </c>
      <c r="B10292">
        <v>13.2</v>
      </c>
      <c r="C10292" t="s">
        <v>30818</v>
      </c>
      <c r="D10292" t="s">
        <v>342</v>
      </c>
      <c r="E10292" t="s">
        <v>30815</v>
      </c>
      <c r="F10292" t="s">
        <v>7672</v>
      </c>
      <c r="G10292" t="s">
        <v>30816</v>
      </c>
      <c r="H10292" t="s">
        <v>16463</v>
      </c>
      <c r="I10292" t="s">
        <v>25810</v>
      </c>
      <c r="J10292" t="s">
        <v>9023</v>
      </c>
    </row>
    <row r="10293" spans="1:10" x14ac:dyDescent="0.25">
      <c r="A10293" t="s">
        <v>30819</v>
      </c>
      <c r="B10293">
        <v>13.2</v>
      </c>
      <c r="C10293" t="s">
        <v>30820</v>
      </c>
      <c r="D10293" t="s">
        <v>588</v>
      </c>
      <c r="E10293" t="s">
        <v>30815</v>
      </c>
      <c r="F10293" t="s">
        <v>7672</v>
      </c>
      <c r="G10293" t="s">
        <v>30816</v>
      </c>
      <c r="H10293" t="s">
        <v>16463</v>
      </c>
      <c r="I10293" t="s">
        <v>30821</v>
      </c>
      <c r="J10293" t="s">
        <v>9023</v>
      </c>
    </row>
    <row r="10294" spans="1:10" x14ac:dyDescent="0.25">
      <c r="A10294" t="s">
        <v>30822</v>
      </c>
      <c r="B10294">
        <v>13.2</v>
      </c>
      <c r="C10294" t="s">
        <v>30823</v>
      </c>
      <c r="D10294" t="s">
        <v>576</v>
      </c>
      <c r="E10294" t="s">
        <v>30815</v>
      </c>
      <c r="F10294" t="s">
        <v>7672</v>
      </c>
      <c r="G10294" t="s">
        <v>30816</v>
      </c>
      <c r="H10294" t="s">
        <v>16463</v>
      </c>
      <c r="I10294" t="s">
        <v>30824</v>
      </c>
      <c r="J10294" t="s">
        <v>9023</v>
      </c>
    </row>
    <row r="10295" spans="1:10" x14ac:dyDescent="0.25">
      <c r="A10295" t="s">
        <v>30825</v>
      </c>
      <c r="B10295">
        <v>13.2</v>
      </c>
      <c r="C10295" t="s">
        <v>30826</v>
      </c>
      <c r="D10295" t="s">
        <v>1236</v>
      </c>
      <c r="E10295" t="s">
        <v>30815</v>
      </c>
      <c r="F10295" t="s">
        <v>7672</v>
      </c>
      <c r="G10295" t="s">
        <v>30816</v>
      </c>
      <c r="H10295" t="s">
        <v>16463</v>
      </c>
      <c r="I10295" t="s">
        <v>17045</v>
      </c>
      <c r="J10295" t="s">
        <v>9023</v>
      </c>
    </row>
    <row r="10296" spans="1:10" x14ac:dyDescent="0.25">
      <c r="A10296" t="s">
        <v>30827</v>
      </c>
      <c r="B10296">
        <v>5.7600000000000007</v>
      </c>
      <c r="C10296" t="s">
        <v>30828</v>
      </c>
      <c r="D10296" t="s">
        <v>698</v>
      </c>
      <c r="E10296" t="s">
        <v>30829</v>
      </c>
      <c r="F10296" t="s">
        <v>7672</v>
      </c>
      <c r="G10296" t="s">
        <v>30830</v>
      </c>
      <c r="H10296" t="s">
        <v>11496</v>
      </c>
      <c r="I10296" t="s">
        <v>17045</v>
      </c>
      <c r="J10296" t="s">
        <v>11582</v>
      </c>
    </row>
    <row r="10297" spans="1:10" x14ac:dyDescent="0.25">
      <c r="A10297" t="s">
        <v>30831</v>
      </c>
      <c r="B10297">
        <v>5.7600000000000007</v>
      </c>
      <c r="C10297" t="s">
        <v>30832</v>
      </c>
      <c r="D10297" t="s">
        <v>2099</v>
      </c>
      <c r="E10297" t="s">
        <v>30829</v>
      </c>
      <c r="F10297" t="s">
        <v>7672</v>
      </c>
      <c r="G10297" t="s">
        <v>30830</v>
      </c>
      <c r="H10297" t="s">
        <v>11496</v>
      </c>
      <c r="I10297" t="s">
        <v>17045</v>
      </c>
      <c r="J10297" t="s">
        <v>11585</v>
      </c>
    </row>
    <row r="10298" spans="1:10" x14ac:dyDescent="0.25">
      <c r="A10298" t="s">
        <v>30833</v>
      </c>
      <c r="B10298">
        <v>5.6000000000000014</v>
      </c>
      <c r="C10298" t="s">
        <v>30834</v>
      </c>
      <c r="D10298" t="s">
        <v>60</v>
      </c>
      <c r="E10298" t="s">
        <v>30835</v>
      </c>
      <c r="F10298" t="s">
        <v>7672</v>
      </c>
      <c r="G10298" t="s">
        <v>30836</v>
      </c>
      <c r="H10298" t="s">
        <v>16993</v>
      </c>
      <c r="I10298" t="s">
        <v>30837</v>
      </c>
      <c r="J10298" t="s">
        <v>9423</v>
      </c>
    </row>
    <row r="10299" spans="1:10" x14ac:dyDescent="0.25">
      <c r="A10299" t="s">
        <v>30838</v>
      </c>
      <c r="B10299">
        <v>5.6000000000000014</v>
      </c>
      <c r="C10299" t="s">
        <v>30839</v>
      </c>
      <c r="D10299" t="s">
        <v>301</v>
      </c>
      <c r="E10299" t="s">
        <v>30835</v>
      </c>
      <c r="F10299" t="s">
        <v>7672</v>
      </c>
      <c r="G10299" t="s">
        <v>30836</v>
      </c>
      <c r="H10299" t="s">
        <v>16993</v>
      </c>
      <c r="I10299" t="s">
        <v>30840</v>
      </c>
      <c r="J10299" t="s">
        <v>9423</v>
      </c>
    </row>
    <row r="10300" spans="1:10" x14ac:dyDescent="0.25">
      <c r="A10300" t="s">
        <v>30841</v>
      </c>
      <c r="B10300">
        <v>5.6000000000000014</v>
      </c>
      <c r="C10300" t="s">
        <v>30842</v>
      </c>
      <c r="D10300" t="s">
        <v>240</v>
      </c>
      <c r="E10300" t="s">
        <v>30835</v>
      </c>
      <c r="F10300" t="s">
        <v>7672</v>
      </c>
      <c r="G10300" t="s">
        <v>30836</v>
      </c>
      <c r="H10300" t="s">
        <v>16993</v>
      </c>
      <c r="I10300" t="s">
        <v>30843</v>
      </c>
      <c r="J10300" t="s">
        <v>9423</v>
      </c>
    </row>
    <row r="10301" spans="1:10" x14ac:dyDescent="0.25">
      <c r="A10301" t="s">
        <v>30844</v>
      </c>
      <c r="B10301">
        <v>5.6000000000000014</v>
      </c>
      <c r="C10301" t="s">
        <v>30845</v>
      </c>
      <c r="D10301" t="s">
        <v>436</v>
      </c>
      <c r="E10301" t="s">
        <v>30835</v>
      </c>
      <c r="F10301" t="s">
        <v>7672</v>
      </c>
      <c r="G10301" t="s">
        <v>30836</v>
      </c>
      <c r="H10301" t="s">
        <v>16993</v>
      </c>
      <c r="I10301" t="s">
        <v>30843</v>
      </c>
      <c r="J10301" t="s">
        <v>9426</v>
      </c>
    </row>
    <row r="10302" spans="1:10" x14ac:dyDescent="0.25">
      <c r="A10302" t="s">
        <v>30846</v>
      </c>
      <c r="B10302">
        <v>5.6000000000000014</v>
      </c>
      <c r="C10302" t="s">
        <v>30847</v>
      </c>
      <c r="D10302" t="s">
        <v>199</v>
      </c>
      <c r="E10302" t="s">
        <v>30835</v>
      </c>
      <c r="F10302" t="s">
        <v>7672</v>
      </c>
      <c r="G10302" t="s">
        <v>30836</v>
      </c>
      <c r="H10302" t="s">
        <v>16993</v>
      </c>
      <c r="I10302" t="s">
        <v>30843</v>
      </c>
      <c r="J10302" t="s">
        <v>10862</v>
      </c>
    </row>
    <row r="10303" spans="1:10" x14ac:dyDescent="0.25">
      <c r="A10303" t="s">
        <v>30848</v>
      </c>
      <c r="B10303">
        <v>5.6000000000000014</v>
      </c>
      <c r="C10303" t="s">
        <v>30849</v>
      </c>
      <c r="D10303" t="s">
        <v>269</v>
      </c>
      <c r="E10303" t="s">
        <v>30835</v>
      </c>
      <c r="F10303" t="s">
        <v>7672</v>
      </c>
      <c r="G10303" t="s">
        <v>30836</v>
      </c>
      <c r="H10303" t="s">
        <v>16993</v>
      </c>
      <c r="I10303" t="s">
        <v>30840</v>
      </c>
      <c r="J10303" t="s">
        <v>13084</v>
      </c>
    </row>
    <row r="10304" spans="1:10" x14ac:dyDescent="0.25">
      <c r="A10304" t="s">
        <v>30850</v>
      </c>
      <c r="B10304">
        <v>5.6000000000000014</v>
      </c>
      <c r="C10304" t="s">
        <v>30851</v>
      </c>
      <c r="D10304" t="s">
        <v>2697</v>
      </c>
      <c r="E10304" t="s">
        <v>30835</v>
      </c>
      <c r="F10304" t="s">
        <v>7672</v>
      </c>
      <c r="G10304" t="s">
        <v>30836</v>
      </c>
      <c r="H10304" t="s">
        <v>16993</v>
      </c>
      <c r="I10304" t="s">
        <v>30843</v>
      </c>
      <c r="J10304" t="s">
        <v>13084</v>
      </c>
    </row>
    <row r="10305" spans="1:10" x14ac:dyDescent="0.25">
      <c r="A10305" t="s">
        <v>30852</v>
      </c>
      <c r="B10305">
        <v>8</v>
      </c>
      <c r="C10305" t="s">
        <v>30853</v>
      </c>
      <c r="D10305" t="s">
        <v>436</v>
      </c>
      <c r="E10305" t="s">
        <v>30854</v>
      </c>
      <c r="F10305" t="s">
        <v>7672</v>
      </c>
      <c r="G10305" t="s">
        <v>30855</v>
      </c>
      <c r="H10305" t="s">
        <v>8779</v>
      </c>
      <c r="I10305" t="s">
        <v>20066</v>
      </c>
      <c r="J10305" t="s">
        <v>7981</v>
      </c>
    </row>
    <row r="10306" spans="1:10" x14ac:dyDescent="0.25">
      <c r="A10306" t="s">
        <v>30856</v>
      </c>
      <c r="B10306">
        <v>8</v>
      </c>
      <c r="C10306" t="s">
        <v>30857</v>
      </c>
      <c r="D10306" t="s">
        <v>576</v>
      </c>
      <c r="E10306" t="s">
        <v>30854</v>
      </c>
      <c r="F10306" t="s">
        <v>7672</v>
      </c>
      <c r="G10306" t="s">
        <v>30855</v>
      </c>
      <c r="H10306" t="s">
        <v>8779</v>
      </c>
      <c r="I10306" t="s">
        <v>20066</v>
      </c>
      <c r="J10306" t="s">
        <v>7984</v>
      </c>
    </row>
    <row r="10307" spans="1:10" x14ac:dyDescent="0.25">
      <c r="A10307" t="s">
        <v>30858</v>
      </c>
      <c r="B10307">
        <v>4.9920000000000009</v>
      </c>
      <c r="C10307" t="s">
        <v>30859</v>
      </c>
      <c r="D10307" t="s">
        <v>1579</v>
      </c>
      <c r="E10307" t="s">
        <v>30860</v>
      </c>
      <c r="F10307" t="s">
        <v>7672</v>
      </c>
      <c r="G10307" t="s">
        <v>30861</v>
      </c>
      <c r="H10307" t="s">
        <v>13951</v>
      </c>
      <c r="I10307" t="s">
        <v>30862</v>
      </c>
      <c r="J10307" t="s">
        <v>282</v>
      </c>
    </row>
    <row r="10308" spans="1:10" x14ac:dyDescent="0.25">
      <c r="A10308" t="s">
        <v>30863</v>
      </c>
      <c r="B10308">
        <v>4.9920000000000009</v>
      </c>
      <c r="C10308" t="s">
        <v>30864</v>
      </c>
      <c r="D10308" t="s">
        <v>2371</v>
      </c>
      <c r="E10308" t="s">
        <v>30860</v>
      </c>
      <c r="F10308" t="s">
        <v>7672</v>
      </c>
      <c r="G10308" t="s">
        <v>30861</v>
      </c>
      <c r="H10308" t="s">
        <v>13951</v>
      </c>
      <c r="I10308" t="s">
        <v>30862</v>
      </c>
      <c r="J10308" t="s">
        <v>277</v>
      </c>
    </row>
    <row r="10309" spans="1:10" x14ac:dyDescent="0.25">
      <c r="A10309" t="s">
        <v>30865</v>
      </c>
      <c r="B10309">
        <v>4.9920000000000009</v>
      </c>
      <c r="C10309" t="s">
        <v>30866</v>
      </c>
      <c r="D10309" t="s">
        <v>1386</v>
      </c>
      <c r="E10309" t="s">
        <v>30860</v>
      </c>
      <c r="F10309" t="s">
        <v>7672</v>
      </c>
      <c r="G10309" t="s">
        <v>30861</v>
      </c>
      <c r="H10309" t="s">
        <v>13951</v>
      </c>
      <c r="I10309" t="s">
        <v>30862</v>
      </c>
      <c r="J10309" t="s">
        <v>436</v>
      </c>
    </row>
    <row r="10310" spans="1:10" x14ac:dyDescent="0.25">
      <c r="A10310" t="s">
        <v>30867</v>
      </c>
      <c r="B10310">
        <v>4.9920000000000009</v>
      </c>
      <c r="C10310" t="s">
        <v>30868</v>
      </c>
      <c r="D10310" t="s">
        <v>2787</v>
      </c>
      <c r="E10310" t="s">
        <v>30860</v>
      </c>
      <c r="F10310" t="s">
        <v>7672</v>
      </c>
      <c r="G10310" t="s">
        <v>30861</v>
      </c>
      <c r="H10310" t="s">
        <v>13951</v>
      </c>
      <c r="I10310" t="s">
        <v>30862</v>
      </c>
      <c r="J10310" t="s">
        <v>53</v>
      </c>
    </row>
    <row r="10311" spans="1:10" x14ac:dyDescent="0.25">
      <c r="A10311" t="s">
        <v>30869</v>
      </c>
      <c r="B10311">
        <v>4.9920000000000009</v>
      </c>
      <c r="C10311" t="s">
        <v>30870</v>
      </c>
      <c r="D10311" t="s">
        <v>2056</v>
      </c>
      <c r="E10311" t="s">
        <v>30860</v>
      </c>
      <c r="F10311" t="s">
        <v>7672</v>
      </c>
      <c r="G10311" t="s">
        <v>30861</v>
      </c>
      <c r="H10311" t="s">
        <v>13951</v>
      </c>
      <c r="I10311" t="s">
        <v>30862</v>
      </c>
      <c r="J10311" t="s">
        <v>60</v>
      </c>
    </row>
    <row r="10312" spans="1:10" x14ac:dyDescent="0.25">
      <c r="A10312" t="s">
        <v>838</v>
      </c>
      <c r="B10312">
        <v>4.8000000000000007</v>
      </c>
      <c r="C10312" t="s">
        <v>840</v>
      </c>
      <c r="D10312" t="s">
        <v>843</v>
      </c>
      <c r="E10312" t="s">
        <v>841</v>
      </c>
      <c r="F10312" t="s">
        <v>7672</v>
      </c>
      <c r="G10312" t="s">
        <v>30871</v>
      </c>
      <c r="H10312" t="s">
        <v>11496</v>
      </c>
      <c r="I10312" t="s">
        <v>935</v>
      </c>
      <c r="J10312" t="s">
        <v>9423</v>
      </c>
    </row>
    <row r="10313" spans="1:10" x14ac:dyDescent="0.25">
      <c r="A10313" t="s">
        <v>30872</v>
      </c>
      <c r="B10313">
        <v>4.8000000000000007</v>
      </c>
      <c r="C10313" t="s">
        <v>30873</v>
      </c>
      <c r="D10313" t="s">
        <v>269</v>
      </c>
      <c r="E10313" t="s">
        <v>841</v>
      </c>
      <c r="F10313" t="s">
        <v>7672</v>
      </c>
      <c r="G10313" t="s">
        <v>30871</v>
      </c>
      <c r="H10313" t="s">
        <v>11496</v>
      </c>
      <c r="I10313" t="s">
        <v>935</v>
      </c>
      <c r="J10313" t="s">
        <v>9426</v>
      </c>
    </row>
    <row r="10314" spans="1:10" x14ac:dyDescent="0.25">
      <c r="A10314" t="s">
        <v>844</v>
      </c>
      <c r="B10314">
        <v>7.2</v>
      </c>
      <c r="C10314" t="s">
        <v>846</v>
      </c>
      <c r="D10314" t="s">
        <v>849</v>
      </c>
      <c r="E10314" t="s">
        <v>847</v>
      </c>
      <c r="F10314" t="s">
        <v>7672</v>
      </c>
      <c r="G10314" t="s">
        <v>30874</v>
      </c>
      <c r="H10314" t="s">
        <v>7954</v>
      </c>
      <c r="I10314" t="s">
        <v>30875</v>
      </c>
      <c r="J10314" t="s">
        <v>7981</v>
      </c>
    </row>
    <row r="10315" spans="1:10" x14ac:dyDescent="0.25">
      <c r="A10315" t="s">
        <v>30876</v>
      </c>
      <c r="B10315">
        <v>6.4</v>
      </c>
      <c r="C10315" t="s">
        <v>30877</v>
      </c>
      <c r="D10315" t="s">
        <v>2697</v>
      </c>
      <c r="E10315" t="s">
        <v>30878</v>
      </c>
      <c r="F10315" t="s">
        <v>7672</v>
      </c>
      <c r="G10315" t="s">
        <v>30879</v>
      </c>
      <c r="H10315" t="s">
        <v>16993</v>
      </c>
      <c r="I10315" t="s">
        <v>8357</v>
      </c>
      <c r="J10315" t="s">
        <v>269</v>
      </c>
    </row>
    <row r="10316" spans="1:10" x14ac:dyDescent="0.25">
      <c r="A10316" t="s">
        <v>30880</v>
      </c>
      <c r="B10316">
        <v>6.4</v>
      </c>
      <c r="C10316" t="s">
        <v>30881</v>
      </c>
      <c r="D10316" t="s">
        <v>671</v>
      </c>
      <c r="E10316" t="s">
        <v>30878</v>
      </c>
      <c r="F10316" t="s">
        <v>7672</v>
      </c>
      <c r="G10316" t="s">
        <v>30879</v>
      </c>
      <c r="H10316" t="s">
        <v>16993</v>
      </c>
      <c r="I10316" t="s">
        <v>16467</v>
      </c>
      <c r="J10316" t="s">
        <v>255</v>
      </c>
    </row>
    <row r="10317" spans="1:10" x14ac:dyDescent="0.25">
      <c r="A10317" t="s">
        <v>30882</v>
      </c>
      <c r="B10317">
        <v>6.4</v>
      </c>
      <c r="C10317" t="s">
        <v>30883</v>
      </c>
      <c r="D10317" t="s">
        <v>1097</v>
      </c>
      <c r="E10317" t="s">
        <v>30878</v>
      </c>
      <c r="F10317" t="s">
        <v>7672</v>
      </c>
      <c r="G10317" t="s">
        <v>30879</v>
      </c>
      <c r="H10317" t="s">
        <v>16993</v>
      </c>
      <c r="I10317" t="s">
        <v>8357</v>
      </c>
      <c r="J10317" t="s">
        <v>255</v>
      </c>
    </row>
    <row r="10318" spans="1:10" x14ac:dyDescent="0.25">
      <c r="A10318" t="s">
        <v>30884</v>
      </c>
      <c r="B10318">
        <v>6.4</v>
      </c>
      <c r="C10318" t="s">
        <v>30885</v>
      </c>
      <c r="D10318" t="s">
        <v>88</v>
      </c>
      <c r="E10318" t="s">
        <v>30878</v>
      </c>
      <c r="F10318" t="s">
        <v>7672</v>
      </c>
      <c r="G10318" t="s">
        <v>30879</v>
      </c>
      <c r="H10318" t="s">
        <v>16993</v>
      </c>
      <c r="I10318" t="s">
        <v>16467</v>
      </c>
      <c r="J10318" t="s">
        <v>277</v>
      </c>
    </row>
    <row r="10319" spans="1:10" x14ac:dyDescent="0.25">
      <c r="A10319" t="s">
        <v>30886</v>
      </c>
      <c r="B10319">
        <v>6.4</v>
      </c>
      <c r="C10319" t="s">
        <v>30887</v>
      </c>
      <c r="D10319" t="s">
        <v>849</v>
      </c>
      <c r="E10319" t="s">
        <v>30878</v>
      </c>
      <c r="F10319" t="s">
        <v>7672</v>
      </c>
      <c r="G10319" t="s">
        <v>30879</v>
      </c>
      <c r="H10319" t="s">
        <v>16993</v>
      </c>
      <c r="I10319" t="s">
        <v>8357</v>
      </c>
      <c r="J10319" t="s">
        <v>277</v>
      </c>
    </row>
    <row r="10320" spans="1:10" x14ac:dyDescent="0.25">
      <c r="A10320" t="s">
        <v>30888</v>
      </c>
      <c r="B10320">
        <v>20.16</v>
      </c>
      <c r="C10320" t="s">
        <v>30889</v>
      </c>
      <c r="D10320" t="s">
        <v>199</v>
      </c>
      <c r="E10320" t="s">
        <v>30890</v>
      </c>
      <c r="F10320" t="s">
        <v>7672</v>
      </c>
      <c r="G10320" t="s">
        <v>30891</v>
      </c>
      <c r="H10320" t="s">
        <v>8087</v>
      </c>
      <c r="I10320" t="s">
        <v>30892</v>
      </c>
      <c r="J10320" t="s">
        <v>7942</v>
      </c>
    </row>
    <row r="10321" spans="1:10" x14ac:dyDescent="0.25">
      <c r="A10321" t="s">
        <v>30893</v>
      </c>
      <c r="B10321">
        <v>20.16</v>
      </c>
      <c r="C10321" t="s">
        <v>30894</v>
      </c>
      <c r="D10321" t="s">
        <v>240</v>
      </c>
      <c r="E10321" t="s">
        <v>30890</v>
      </c>
      <c r="F10321" t="s">
        <v>7672</v>
      </c>
      <c r="G10321" t="s">
        <v>30891</v>
      </c>
      <c r="H10321" t="s">
        <v>8087</v>
      </c>
      <c r="I10321" t="s">
        <v>30892</v>
      </c>
      <c r="J10321" t="s">
        <v>7981</v>
      </c>
    </row>
    <row r="10322" spans="1:10" x14ac:dyDescent="0.25">
      <c r="A10322" t="s">
        <v>30895</v>
      </c>
      <c r="B10322">
        <v>20.16</v>
      </c>
      <c r="C10322" t="s">
        <v>30896</v>
      </c>
      <c r="D10322" t="s">
        <v>124</v>
      </c>
      <c r="E10322" t="s">
        <v>30890</v>
      </c>
      <c r="F10322" t="s">
        <v>7672</v>
      </c>
      <c r="G10322" t="s">
        <v>30891</v>
      </c>
      <c r="H10322" t="s">
        <v>8087</v>
      </c>
      <c r="I10322" t="s">
        <v>30892</v>
      </c>
      <c r="J10322" t="s">
        <v>7984</v>
      </c>
    </row>
    <row r="10323" spans="1:10" x14ac:dyDescent="0.25">
      <c r="A10323" t="s">
        <v>30897</v>
      </c>
      <c r="B10323">
        <v>20.16</v>
      </c>
      <c r="C10323" t="s">
        <v>30898</v>
      </c>
      <c r="D10323" t="s">
        <v>2697</v>
      </c>
      <c r="E10323" t="s">
        <v>30890</v>
      </c>
      <c r="F10323" t="s">
        <v>7672</v>
      </c>
      <c r="G10323" t="s">
        <v>30891</v>
      </c>
      <c r="H10323" t="s">
        <v>8087</v>
      </c>
      <c r="I10323" t="s">
        <v>30892</v>
      </c>
      <c r="J10323" t="s">
        <v>7987</v>
      </c>
    </row>
    <row r="10324" spans="1:10" x14ac:dyDescent="0.25">
      <c r="A10324" t="s">
        <v>30899</v>
      </c>
      <c r="B10324">
        <v>20.16</v>
      </c>
      <c r="C10324" t="s">
        <v>30900</v>
      </c>
      <c r="D10324" t="s">
        <v>835</v>
      </c>
      <c r="E10324" t="s">
        <v>30890</v>
      </c>
      <c r="F10324" t="s">
        <v>7672</v>
      </c>
      <c r="G10324" t="s">
        <v>30891</v>
      </c>
      <c r="H10324" t="s">
        <v>8087</v>
      </c>
      <c r="I10324" t="s">
        <v>30892</v>
      </c>
      <c r="J10324" t="s">
        <v>8001</v>
      </c>
    </row>
    <row r="10325" spans="1:10" x14ac:dyDescent="0.25">
      <c r="A10325" t="s">
        <v>850</v>
      </c>
      <c r="B10325">
        <v>22.4</v>
      </c>
      <c r="C10325" t="s">
        <v>852</v>
      </c>
      <c r="D10325" t="s">
        <v>106</v>
      </c>
      <c r="E10325" t="s">
        <v>853</v>
      </c>
      <c r="F10325" t="s">
        <v>7672</v>
      </c>
      <c r="G10325" t="s">
        <v>26464</v>
      </c>
      <c r="H10325" t="s">
        <v>7954</v>
      </c>
      <c r="I10325" t="s">
        <v>856</v>
      </c>
      <c r="J10325" t="s">
        <v>7942</v>
      </c>
    </row>
    <row r="10326" spans="1:10" x14ac:dyDescent="0.25">
      <c r="A10326" t="s">
        <v>857</v>
      </c>
      <c r="B10326">
        <v>22.4</v>
      </c>
      <c r="C10326" t="s">
        <v>859</v>
      </c>
      <c r="D10326" t="s">
        <v>671</v>
      </c>
      <c r="E10326" t="s">
        <v>853</v>
      </c>
      <c r="F10326" t="s">
        <v>7672</v>
      </c>
      <c r="G10326" t="s">
        <v>26464</v>
      </c>
      <c r="H10326" t="s">
        <v>7954</v>
      </c>
      <c r="I10326" t="s">
        <v>856</v>
      </c>
      <c r="J10326" t="s">
        <v>7981</v>
      </c>
    </row>
    <row r="10327" spans="1:10" x14ac:dyDescent="0.25">
      <c r="A10327" t="s">
        <v>861</v>
      </c>
      <c r="B10327">
        <v>22.4</v>
      </c>
      <c r="C10327" t="s">
        <v>863</v>
      </c>
      <c r="D10327" t="s">
        <v>865</v>
      </c>
      <c r="E10327" t="s">
        <v>853</v>
      </c>
      <c r="F10327" t="s">
        <v>7672</v>
      </c>
      <c r="G10327" t="s">
        <v>26464</v>
      </c>
      <c r="H10327" t="s">
        <v>7954</v>
      </c>
      <c r="I10327" t="s">
        <v>856</v>
      </c>
      <c r="J10327" t="s">
        <v>7984</v>
      </c>
    </row>
    <row r="10328" spans="1:10" x14ac:dyDescent="0.25">
      <c r="A10328" t="s">
        <v>866</v>
      </c>
      <c r="B10328">
        <v>22.4</v>
      </c>
      <c r="C10328" t="s">
        <v>868</v>
      </c>
      <c r="D10328" t="s">
        <v>870</v>
      </c>
      <c r="E10328" t="s">
        <v>853</v>
      </c>
      <c r="F10328" t="s">
        <v>7672</v>
      </c>
      <c r="G10328" t="s">
        <v>26464</v>
      </c>
      <c r="H10328" t="s">
        <v>7954</v>
      </c>
      <c r="I10328" t="s">
        <v>856</v>
      </c>
      <c r="J10328" t="s">
        <v>7987</v>
      </c>
    </row>
    <row r="10329" spans="1:10" x14ac:dyDescent="0.25">
      <c r="A10329" t="s">
        <v>871</v>
      </c>
      <c r="B10329">
        <v>22.4</v>
      </c>
      <c r="C10329" t="s">
        <v>873</v>
      </c>
      <c r="D10329" t="s">
        <v>875</v>
      </c>
      <c r="E10329" t="s">
        <v>853</v>
      </c>
      <c r="F10329" t="s">
        <v>7672</v>
      </c>
      <c r="G10329" t="s">
        <v>26464</v>
      </c>
      <c r="H10329" t="s">
        <v>7954</v>
      </c>
      <c r="I10329" t="s">
        <v>856</v>
      </c>
      <c r="J10329" t="s">
        <v>8001</v>
      </c>
    </row>
    <row r="10330" spans="1:10" x14ac:dyDescent="0.25">
      <c r="A10330" t="s">
        <v>30901</v>
      </c>
      <c r="B10330">
        <v>13</v>
      </c>
      <c r="C10330" t="s">
        <v>30902</v>
      </c>
      <c r="D10330" t="s">
        <v>981</v>
      </c>
      <c r="E10330" t="s">
        <v>30903</v>
      </c>
      <c r="F10330" t="s">
        <v>7672</v>
      </c>
      <c r="G10330" t="s">
        <v>30904</v>
      </c>
      <c r="H10330" t="s">
        <v>18003</v>
      </c>
      <c r="I10330" t="s">
        <v>76</v>
      </c>
      <c r="J10330" t="s">
        <v>436</v>
      </c>
    </row>
    <row r="10331" spans="1:10" x14ac:dyDescent="0.25">
      <c r="A10331" t="s">
        <v>30905</v>
      </c>
      <c r="B10331">
        <v>13</v>
      </c>
      <c r="C10331" t="s">
        <v>30906</v>
      </c>
      <c r="D10331" t="s">
        <v>321</v>
      </c>
      <c r="E10331" t="s">
        <v>30903</v>
      </c>
      <c r="F10331" t="s">
        <v>7672</v>
      </c>
      <c r="G10331" t="s">
        <v>30904</v>
      </c>
      <c r="H10331" t="s">
        <v>18003</v>
      </c>
      <c r="I10331" t="s">
        <v>76</v>
      </c>
      <c r="J10331" t="s">
        <v>53</v>
      </c>
    </row>
    <row r="10332" spans="1:10" x14ac:dyDescent="0.25">
      <c r="A10332" t="s">
        <v>30907</v>
      </c>
      <c r="B10332">
        <v>13</v>
      </c>
      <c r="C10332" t="s">
        <v>30908</v>
      </c>
      <c r="D10332" t="s">
        <v>6257</v>
      </c>
      <c r="E10332" t="s">
        <v>30903</v>
      </c>
      <c r="F10332" t="s">
        <v>7672</v>
      </c>
      <c r="G10332" t="s">
        <v>30904</v>
      </c>
      <c r="H10332" t="s">
        <v>18003</v>
      </c>
      <c r="I10332" t="s">
        <v>76</v>
      </c>
      <c r="J10332" t="s">
        <v>60</v>
      </c>
    </row>
    <row r="10333" spans="1:10" x14ac:dyDescent="0.25">
      <c r="A10333" t="s">
        <v>30909</v>
      </c>
      <c r="B10333">
        <v>13</v>
      </c>
      <c r="C10333" t="s">
        <v>30910</v>
      </c>
      <c r="D10333" t="s">
        <v>2149</v>
      </c>
      <c r="E10333" t="s">
        <v>30903</v>
      </c>
      <c r="F10333" t="s">
        <v>7672</v>
      </c>
      <c r="G10333" t="s">
        <v>30904</v>
      </c>
      <c r="H10333" t="s">
        <v>18003</v>
      </c>
      <c r="I10333" t="s">
        <v>76</v>
      </c>
      <c r="J10333" t="s">
        <v>342</v>
      </c>
    </row>
    <row r="10334" spans="1:10" x14ac:dyDescent="0.25">
      <c r="A10334" t="s">
        <v>30911</v>
      </c>
      <c r="B10334">
        <v>13</v>
      </c>
      <c r="C10334" t="s">
        <v>30912</v>
      </c>
      <c r="D10334" t="s">
        <v>1579</v>
      </c>
      <c r="E10334" t="s">
        <v>30903</v>
      </c>
      <c r="F10334" t="s">
        <v>7672</v>
      </c>
      <c r="G10334" t="s">
        <v>30904</v>
      </c>
      <c r="H10334" t="s">
        <v>18003</v>
      </c>
      <c r="I10334" t="s">
        <v>76</v>
      </c>
      <c r="J10334" t="s">
        <v>100</v>
      </c>
    </row>
    <row r="10335" spans="1:10" x14ac:dyDescent="0.25">
      <c r="A10335" t="s">
        <v>30913</v>
      </c>
      <c r="B10335">
        <v>13</v>
      </c>
      <c r="C10335" t="s">
        <v>30914</v>
      </c>
      <c r="D10335" t="s">
        <v>3086</v>
      </c>
      <c r="E10335" t="s">
        <v>30903</v>
      </c>
      <c r="F10335" t="s">
        <v>7672</v>
      </c>
      <c r="G10335" t="s">
        <v>30904</v>
      </c>
      <c r="H10335" t="s">
        <v>18003</v>
      </c>
      <c r="I10335" t="s">
        <v>76</v>
      </c>
      <c r="J10335" t="s">
        <v>106</v>
      </c>
    </row>
    <row r="10336" spans="1:10" x14ac:dyDescent="0.25">
      <c r="A10336" t="s">
        <v>30915</v>
      </c>
      <c r="B10336">
        <v>11.192</v>
      </c>
      <c r="C10336" t="s">
        <v>30916</v>
      </c>
      <c r="D10336" t="s">
        <v>835</v>
      </c>
      <c r="E10336" t="s">
        <v>30917</v>
      </c>
      <c r="F10336" t="s">
        <v>7672</v>
      </c>
      <c r="G10336" t="s">
        <v>30918</v>
      </c>
      <c r="H10336" t="s">
        <v>10298</v>
      </c>
      <c r="I10336" t="s">
        <v>24723</v>
      </c>
      <c r="J10336" t="s">
        <v>8427</v>
      </c>
    </row>
    <row r="10337" spans="1:10" x14ac:dyDescent="0.25">
      <c r="A10337" t="s">
        <v>30919</v>
      </c>
      <c r="B10337">
        <v>11.192</v>
      </c>
      <c r="C10337" t="s">
        <v>30920</v>
      </c>
      <c r="D10337" t="s">
        <v>164</v>
      </c>
      <c r="E10337" t="s">
        <v>30917</v>
      </c>
      <c r="F10337" t="s">
        <v>7672</v>
      </c>
      <c r="G10337" t="s">
        <v>30918</v>
      </c>
      <c r="H10337" t="s">
        <v>10298</v>
      </c>
      <c r="I10337" t="s">
        <v>24723</v>
      </c>
      <c r="J10337" t="s">
        <v>8439</v>
      </c>
    </row>
    <row r="10338" spans="1:10" x14ac:dyDescent="0.25">
      <c r="A10338" t="s">
        <v>30921</v>
      </c>
      <c r="B10338">
        <v>11.192</v>
      </c>
      <c r="C10338" t="s">
        <v>30922</v>
      </c>
      <c r="D10338" t="s">
        <v>106</v>
      </c>
      <c r="E10338" t="s">
        <v>30917</v>
      </c>
      <c r="F10338" t="s">
        <v>7672</v>
      </c>
      <c r="G10338" t="s">
        <v>30918</v>
      </c>
      <c r="H10338" t="s">
        <v>10298</v>
      </c>
      <c r="I10338" t="s">
        <v>24723</v>
      </c>
      <c r="J10338" t="s">
        <v>8451</v>
      </c>
    </row>
    <row r="10339" spans="1:10" x14ac:dyDescent="0.25">
      <c r="A10339" t="s">
        <v>30923</v>
      </c>
      <c r="B10339">
        <v>6.7120000000000006</v>
      </c>
      <c r="C10339" t="s">
        <v>30924</v>
      </c>
      <c r="D10339" t="s">
        <v>996</v>
      </c>
      <c r="E10339" t="s">
        <v>30925</v>
      </c>
      <c r="F10339" t="s">
        <v>7672</v>
      </c>
      <c r="G10339" t="s">
        <v>30926</v>
      </c>
      <c r="H10339" t="s">
        <v>7674</v>
      </c>
      <c r="I10339" t="s">
        <v>8577</v>
      </c>
      <c r="J10339" t="s">
        <v>16039</v>
      </c>
    </row>
    <row r="10340" spans="1:10" x14ac:dyDescent="0.25">
      <c r="A10340" t="s">
        <v>30927</v>
      </c>
      <c r="B10340">
        <v>6.7120000000000006</v>
      </c>
      <c r="C10340" t="s">
        <v>30928</v>
      </c>
      <c r="D10340" t="s">
        <v>13859</v>
      </c>
      <c r="E10340" t="s">
        <v>30925</v>
      </c>
      <c r="F10340" t="s">
        <v>7672</v>
      </c>
      <c r="G10340" t="s">
        <v>30926</v>
      </c>
      <c r="H10340" t="s">
        <v>7674</v>
      </c>
      <c r="I10340" t="s">
        <v>8577</v>
      </c>
      <c r="J10340" t="s">
        <v>16064</v>
      </c>
    </row>
    <row r="10341" spans="1:10" x14ac:dyDescent="0.25">
      <c r="A10341" t="s">
        <v>30929</v>
      </c>
      <c r="B10341">
        <v>6.7120000000000006</v>
      </c>
      <c r="C10341" t="s">
        <v>30930</v>
      </c>
      <c r="D10341" t="s">
        <v>3988</v>
      </c>
      <c r="E10341" t="s">
        <v>30925</v>
      </c>
      <c r="F10341" t="s">
        <v>7672</v>
      </c>
      <c r="G10341" t="s">
        <v>30926</v>
      </c>
      <c r="H10341" t="s">
        <v>7674</v>
      </c>
      <c r="I10341" t="s">
        <v>8577</v>
      </c>
      <c r="J10341" t="s">
        <v>16089</v>
      </c>
    </row>
    <row r="10342" spans="1:10" x14ac:dyDescent="0.25">
      <c r="A10342" t="s">
        <v>30931</v>
      </c>
      <c r="B10342">
        <v>6.7120000000000006</v>
      </c>
      <c r="C10342" t="s">
        <v>30932</v>
      </c>
      <c r="D10342" t="s">
        <v>8631</v>
      </c>
      <c r="E10342" t="s">
        <v>30925</v>
      </c>
      <c r="F10342" t="s">
        <v>7672</v>
      </c>
      <c r="G10342" t="s">
        <v>30926</v>
      </c>
      <c r="H10342" t="s">
        <v>7674</v>
      </c>
      <c r="I10342" t="s">
        <v>8577</v>
      </c>
      <c r="J10342" t="s">
        <v>16104</v>
      </c>
    </row>
    <row r="10343" spans="1:10" x14ac:dyDescent="0.25">
      <c r="A10343" t="s">
        <v>30933</v>
      </c>
      <c r="B10343">
        <v>6.7120000000000006</v>
      </c>
      <c r="C10343" t="s">
        <v>30934</v>
      </c>
      <c r="D10343" t="s">
        <v>8803</v>
      </c>
      <c r="E10343" t="s">
        <v>30925</v>
      </c>
      <c r="F10343" t="s">
        <v>7672</v>
      </c>
      <c r="G10343" t="s">
        <v>30926</v>
      </c>
      <c r="H10343" t="s">
        <v>7674</v>
      </c>
      <c r="I10343" t="s">
        <v>8577</v>
      </c>
      <c r="J10343" t="s">
        <v>16125</v>
      </c>
    </row>
    <row r="10344" spans="1:10" x14ac:dyDescent="0.25">
      <c r="A10344" t="s">
        <v>30935</v>
      </c>
      <c r="B10344">
        <v>6.7120000000000006</v>
      </c>
      <c r="C10344" t="s">
        <v>30936</v>
      </c>
      <c r="D10344" t="s">
        <v>4794</v>
      </c>
      <c r="E10344" t="s">
        <v>30925</v>
      </c>
      <c r="F10344" t="s">
        <v>7672</v>
      </c>
      <c r="G10344" t="s">
        <v>30926</v>
      </c>
      <c r="H10344" t="s">
        <v>7674</v>
      </c>
      <c r="I10344" t="s">
        <v>8577</v>
      </c>
      <c r="J10344" t="s">
        <v>16143</v>
      </c>
    </row>
    <row r="10345" spans="1:10" x14ac:dyDescent="0.25">
      <c r="A10345" t="s">
        <v>30937</v>
      </c>
      <c r="B10345">
        <v>4.6719999999999997</v>
      </c>
      <c r="C10345" t="s">
        <v>30938</v>
      </c>
      <c r="D10345" t="s">
        <v>199</v>
      </c>
      <c r="E10345" t="s">
        <v>30939</v>
      </c>
      <c r="F10345" t="s">
        <v>7672</v>
      </c>
      <c r="G10345" t="s">
        <v>30940</v>
      </c>
      <c r="H10345" t="s">
        <v>24357</v>
      </c>
      <c r="I10345" t="s">
        <v>497</v>
      </c>
      <c r="J10345" t="s">
        <v>9694</v>
      </c>
    </row>
    <row r="10346" spans="1:10" x14ac:dyDescent="0.25">
      <c r="A10346" t="s">
        <v>30941</v>
      </c>
      <c r="B10346">
        <v>15.4</v>
      </c>
      <c r="C10346" t="s">
        <v>30942</v>
      </c>
      <c r="D10346" t="s">
        <v>60</v>
      </c>
      <c r="E10346" t="s">
        <v>30943</v>
      </c>
      <c r="F10346" t="s">
        <v>7672</v>
      </c>
      <c r="G10346" t="s">
        <v>30944</v>
      </c>
      <c r="H10346" t="s">
        <v>7954</v>
      </c>
      <c r="I10346" t="s">
        <v>273</v>
      </c>
      <c r="J10346" t="s">
        <v>29601</v>
      </c>
    </row>
    <row r="10347" spans="1:10" x14ac:dyDescent="0.25">
      <c r="A10347" t="s">
        <v>30945</v>
      </c>
      <c r="B10347">
        <v>4</v>
      </c>
      <c r="C10347" t="s">
        <v>30946</v>
      </c>
      <c r="D10347" t="s">
        <v>106</v>
      </c>
      <c r="E10347" t="s">
        <v>30947</v>
      </c>
      <c r="F10347" t="s">
        <v>7672</v>
      </c>
      <c r="G10347" t="s">
        <v>30948</v>
      </c>
      <c r="H10347" t="s">
        <v>16993</v>
      </c>
      <c r="I10347" t="s">
        <v>10387</v>
      </c>
      <c r="J10347" t="s">
        <v>9423</v>
      </c>
    </row>
    <row r="10348" spans="1:10" x14ac:dyDescent="0.25">
      <c r="A10348" t="s">
        <v>30949</v>
      </c>
      <c r="B10348">
        <v>4</v>
      </c>
      <c r="C10348" t="s">
        <v>30950</v>
      </c>
      <c r="D10348" t="s">
        <v>1143</v>
      </c>
      <c r="E10348" t="s">
        <v>30947</v>
      </c>
      <c r="F10348" t="s">
        <v>7672</v>
      </c>
      <c r="G10348" t="s">
        <v>30948</v>
      </c>
      <c r="H10348" t="s">
        <v>16993</v>
      </c>
      <c r="I10348" t="s">
        <v>30951</v>
      </c>
      <c r="J10348" t="s">
        <v>9423</v>
      </c>
    </row>
    <row r="10349" spans="1:10" x14ac:dyDescent="0.25">
      <c r="A10349" t="s">
        <v>30952</v>
      </c>
      <c r="B10349">
        <v>4</v>
      </c>
      <c r="C10349" t="s">
        <v>30953</v>
      </c>
      <c r="D10349" t="s">
        <v>95</v>
      </c>
      <c r="E10349" t="s">
        <v>30947</v>
      </c>
      <c r="F10349" t="s">
        <v>7672</v>
      </c>
      <c r="G10349" t="s">
        <v>30948</v>
      </c>
      <c r="H10349" t="s">
        <v>16993</v>
      </c>
      <c r="I10349" t="s">
        <v>29362</v>
      </c>
      <c r="J10349" t="s">
        <v>9423</v>
      </c>
    </row>
    <row r="10350" spans="1:10" x14ac:dyDescent="0.25">
      <c r="A10350" t="s">
        <v>30954</v>
      </c>
      <c r="B10350">
        <v>4</v>
      </c>
      <c r="C10350" t="s">
        <v>30955</v>
      </c>
      <c r="D10350" t="s">
        <v>60</v>
      </c>
      <c r="E10350" t="s">
        <v>30947</v>
      </c>
      <c r="F10350" t="s">
        <v>7672</v>
      </c>
      <c r="G10350" t="s">
        <v>30948</v>
      </c>
      <c r="H10350" t="s">
        <v>16993</v>
      </c>
      <c r="I10350" t="s">
        <v>29368</v>
      </c>
      <c r="J10350" t="s">
        <v>9423</v>
      </c>
    </row>
    <row r="10351" spans="1:10" x14ac:dyDescent="0.25">
      <c r="A10351" t="s">
        <v>30956</v>
      </c>
      <c r="B10351">
        <v>4</v>
      </c>
      <c r="C10351" t="s">
        <v>30957</v>
      </c>
      <c r="D10351" t="s">
        <v>613</v>
      </c>
      <c r="E10351" t="s">
        <v>30947</v>
      </c>
      <c r="F10351" t="s">
        <v>7672</v>
      </c>
      <c r="G10351" t="s">
        <v>30948</v>
      </c>
      <c r="H10351" t="s">
        <v>16993</v>
      </c>
      <c r="I10351" t="s">
        <v>30958</v>
      </c>
      <c r="J10351" t="s">
        <v>9423</v>
      </c>
    </row>
    <row r="10352" spans="1:10" x14ac:dyDescent="0.25">
      <c r="A10352" t="s">
        <v>30959</v>
      </c>
      <c r="B10352">
        <v>4</v>
      </c>
      <c r="C10352" t="s">
        <v>30960</v>
      </c>
      <c r="D10352" t="s">
        <v>53</v>
      </c>
      <c r="E10352" t="s">
        <v>30947</v>
      </c>
      <c r="F10352" t="s">
        <v>7672</v>
      </c>
      <c r="G10352" t="s">
        <v>30948</v>
      </c>
      <c r="H10352" t="s">
        <v>16993</v>
      </c>
      <c r="I10352" t="s">
        <v>29362</v>
      </c>
      <c r="J10352" t="s">
        <v>9426</v>
      </c>
    </row>
    <row r="10353" spans="1:10" x14ac:dyDescent="0.25">
      <c r="A10353" t="s">
        <v>30961</v>
      </c>
      <c r="B10353">
        <v>9.9920000000000009</v>
      </c>
      <c r="C10353" t="s">
        <v>30962</v>
      </c>
      <c r="D10353" t="s">
        <v>40</v>
      </c>
      <c r="E10353" t="s">
        <v>30963</v>
      </c>
      <c r="F10353" t="s">
        <v>7672</v>
      </c>
      <c r="G10353" t="s">
        <v>25925</v>
      </c>
      <c r="H10353" t="s">
        <v>12137</v>
      </c>
      <c r="I10353" t="s">
        <v>25926</v>
      </c>
      <c r="J10353" t="s">
        <v>11501</v>
      </c>
    </row>
    <row r="10354" spans="1:10" x14ac:dyDescent="0.25">
      <c r="A10354" t="s">
        <v>30964</v>
      </c>
      <c r="B10354">
        <v>9.9920000000000009</v>
      </c>
      <c r="C10354" t="s">
        <v>30965</v>
      </c>
      <c r="D10354" t="s">
        <v>250</v>
      </c>
      <c r="E10354" t="s">
        <v>30963</v>
      </c>
      <c r="F10354" t="s">
        <v>7672</v>
      </c>
      <c r="G10354" t="s">
        <v>25925</v>
      </c>
      <c r="H10354" t="s">
        <v>12137</v>
      </c>
      <c r="I10354" t="s">
        <v>10822</v>
      </c>
      <c r="J10354" t="s">
        <v>282</v>
      </c>
    </row>
    <row r="10355" spans="1:10" x14ac:dyDescent="0.25">
      <c r="A10355" t="s">
        <v>30966</v>
      </c>
      <c r="B10355">
        <v>9.9920000000000009</v>
      </c>
      <c r="C10355" t="s">
        <v>30967</v>
      </c>
      <c r="D10355" t="s">
        <v>664</v>
      </c>
      <c r="E10355" t="s">
        <v>30963</v>
      </c>
      <c r="F10355" t="s">
        <v>7672</v>
      </c>
      <c r="G10355" t="s">
        <v>25925</v>
      </c>
      <c r="H10355" t="s">
        <v>12137</v>
      </c>
      <c r="I10355" t="s">
        <v>935</v>
      </c>
      <c r="J10355" t="s">
        <v>282</v>
      </c>
    </row>
    <row r="10356" spans="1:10" x14ac:dyDescent="0.25">
      <c r="A10356" t="s">
        <v>30968</v>
      </c>
      <c r="B10356">
        <v>2.7919999999999998</v>
      </c>
      <c r="C10356" t="s">
        <v>30969</v>
      </c>
      <c r="D10356" t="s">
        <v>40</v>
      </c>
      <c r="E10356" t="s">
        <v>30970</v>
      </c>
      <c r="F10356" t="s">
        <v>7672</v>
      </c>
      <c r="G10356" t="s">
        <v>30971</v>
      </c>
      <c r="H10356" t="s">
        <v>8515</v>
      </c>
      <c r="I10356" t="s">
        <v>30972</v>
      </c>
      <c r="J10356" t="s">
        <v>11767</v>
      </c>
    </row>
    <row r="10357" spans="1:10" x14ac:dyDescent="0.25">
      <c r="A10357" t="s">
        <v>30973</v>
      </c>
      <c r="B10357">
        <v>3.1120000000000001</v>
      </c>
      <c r="C10357" t="s">
        <v>30974</v>
      </c>
      <c r="D10357" t="s">
        <v>229</v>
      </c>
      <c r="E10357" t="s">
        <v>30975</v>
      </c>
      <c r="F10357" t="s">
        <v>7672</v>
      </c>
      <c r="G10357" t="s">
        <v>30976</v>
      </c>
      <c r="H10357" t="s">
        <v>29408</v>
      </c>
      <c r="I10357" t="s">
        <v>1243</v>
      </c>
      <c r="J10357" t="s">
        <v>9694</v>
      </c>
    </row>
    <row r="10358" spans="1:10" x14ac:dyDescent="0.25">
      <c r="A10358" t="s">
        <v>30977</v>
      </c>
      <c r="B10358">
        <v>18</v>
      </c>
      <c r="C10358" t="s">
        <v>30978</v>
      </c>
      <c r="D10358" t="s">
        <v>234</v>
      </c>
      <c r="E10358" t="s">
        <v>30979</v>
      </c>
      <c r="F10358" t="s">
        <v>7672</v>
      </c>
      <c r="G10358" t="s">
        <v>30980</v>
      </c>
      <c r="H10358" t="s">
        <v>11496</v>
      </c>
      <c r="I10358" t="s">
        <v>8357</v>
      </c>
      <c r="J10358" t="s">
        <v>11767</v>
      </c>
    </row>
    <row r="10359" spans="1:10" x14ac:dyDescent="0.25">
      <c r="A10359" t="s">
        <v>30981</v>
      </c>
      <c r="B10359">
        <v>18</v>
      </c>
      <c r="C10359" t="s">
        <v>30982</v>
      </c>
      <c r="D10359" t="s">
        <v>2253</v>
      </c>
      <c r="E10359" t="s">
        <v>30979</v>
      </c>
      <c r="F10359" t="s">
        <v>7672</v>
      </c>
      <c r="G10359" t="s">
        <v>30980</v>
      </c>
      <c r="H10359" t="s">
        <v>11496</v>
      </c>
      <c r="I10359" t="s">
        <v>5202</v>
      </c>
      <c r="J10359" t="s">
        <v>11767</v>
      </c>
    </row>
    <row r="10360" spans="1:10" x14ac:dyDescent="0.25">
      <c r="A10360" t="s">
        <v>30983</v>
      </c>
      <c r="B10360">
        <v>6</v>
      </c>
      <c r="C10360" t="s">
        <v>30984</v>
      </c>
      <c r="D10360" t="s">
        <v>1852</v>
      </c>
      <c r="E10360" t="s">
        <v>30985</v>
      </c>
      <c r="F10360" t="s">
        <v>7672</v>
      </c>
      <c r="G10360" t="s">
        <v>30986</v>
      </c>
      <c r="H10360" t="s">
        <v>11496</v>
      </c>
      <c r="I10360" t="s">
        <v>5202</v>
      </c>
      <c r="J10360" t="s">
        <v>9423</v>
      </c>
    </row>
    <row r="10361" spans="1:10" x14ac:dyDescent="0.25">
      <c r="A10361" t="s">
        <v>30987</v>
      </c>
      <c r="B10361">
        <v>6</v>
      </c>
      <c r="C10361" t="s">
        <v>30988</v>
      </c>
      <c r="D10361" t="s">
        <v>786</v>
      </c>
      <c r="E10361" t="s">
        <v>30985</v>
      </c>
      <c r="F10361" t="s">
        <v>7672</v>
      </c>
      <c r="G10361" t="s">
        <v>30986</v>
      </c>
      <c r="H10361" t="s">
        <v>11496</v>
      </c>
      <c r="I10361" t="s">
        <v>5202</v>
      </c>
      <c r="J10361" t="s">
        <v>9426</v>
      </c>
    </row>
    <row r="10362" spans="1:10" x14ac:dyDescent="0.25">
      <c r="A10362" t="s">
        <v>30989</v>
      </c>
      <c r="B10362">
        <v>6</v>
      </c>
      <c r="C10362" t="s">
        <v>30990</v>
      </c>
      <c r="D10362" t="s">
        <v>1536</v>
      </c>
      <c r="E10362" t="s">
        <v>30985</v>
      </c>
      <c r="F10362" t="s">
        <v>7672</v>
      </c>
      <c r="G10362" t="s">
        <v>30986</v>
      </c>
      <c r="H10362" t="s">
        <v>11496</v>
      </c>
      <c r="I10362" t="s">
        <v>5202</v>
      </c>
      <c r="J10362" t="s">
        <v>10862</v>
      </c>
    </row>
    <row r="10363" spans="1:10" x14ac:dyDescent="0.25">
      <c r="A10363" t="s">
        <v>30991</v>
      </c>
      <c r="B10363">
        <v>6</v>
      </c>
      <c r="C10363" t="s">
        <v>30992</v>
      </c>
      <c r="D10363" t="s">
        <v>2072</v>
      </c>
      <c r="E10363" t="s">
        <v>30985</v>
      </c>
      <c r="F10363" t="s">
        <v>7672</v>
      </c>
      <c r="G10363" t="s">
        <v>30986</v>
      </c>
      <c r="H10363" t="s">
        <v>11496</v>
      </c>
      <c r="I10363" t="s">
        <v>5202</v>
      </c>
      <c r="J10363" t="s">
        <v>13084</v>
      </c>
    </row>
    <row r="10364" spans="1:10" x14ac:dyDescent="0.25">
      <c r="A10364" t="s">
        <v>30993</v>
      </c>
      <c r="B10364">
        <v>7.2</v>
      </c>
      <c r="C10364" t="s">
        <v>30994</v>
      </c>
      <c r="D10364" t="s">
        <v>301</v>
      </c>
      <c r="E10364" t="s">
        <v>30995</v>
      </c>
      <c r="F10364" t="s">
        <v>7672</v>
      </c>
      <c r="G10364" t="s">
        <v>30996</v>
      </c>
      <c r="H10364" t="s">
        <v>8779</v>
      </c>
      <c r="I10364" t="s">
        <v>278</v>
      </c>
      <c r="J10364" t="s">
        <v>8001</v>
      </c>
    </row>
    <row r="10365" spans="1:10" x14ac:dyDescent="0.25">
      <c r="A10365" t="s">
        <v>30997</v>
      </c>
      <c r="B10365">
        <v>7.2</v>
      </c>
      <c r="C10365" t="s">
        <v>30998</v>
      </c>
      <c r="D10365" t="s">
        <v>164</v>
      </c>
      <c r="E10365" t="s">
        <v>30995</v>
      </c>
      <c r="F10365" t="s">
        <v>7672</v>
      </c>
      <c r="G10365" t="s">
        <v>30996</v>
      </c>
      <c r="H10365" t="s">
        <v>8779</v>
      </c>
      <c r="I10365" t="s">
        <v>20066</v>
      </c>
      <c r="J10365" t="s">
        <v>8001</v>
      </c>
    </row>
    <row r="10366" spans="1:10" x14ac:dyDescent="0.25">
      <c r="A10366" t="s">
        <v>30999</v>
      </c>
      <c r="B10366">
        <v>7.2</v>
      </c>
      <c r="C10366" t="s">
        <v>31000</v>
      </c>
      <c r="D10366" t="s">
        <v>366</v>
      </c>
      <c r="E10366" t="s">
        <v>30995</v>
      </c>
      <c r="F10366" t="s">
        <v>7672</v>
      </c>
      <c r="G10366" t="s">
        <v>30996</v>
      </c>
      <c r="H10366" t="s">
        <v>8779</v>
      </c>
      <c r="I10366" t="s">
        <v>278</v>
      </c>
      <c r="J10366" t="s">
        <v>8013</v>
      </c>
    </row>
    <row r="10367" spans="1:10" x14ac:dyDescent="0.25">
      <c r="A10367" t="s">
        <v>31001</v>
      </c>
      <c r="B10367">
        <v>7.2</v>
      </c>
      <c r="C10367" t="s">
        <v>31002</v>
      </c>
      <c r="D10367" t="s">
        <v>245</v>
      </c>
      <c r="E10367" t="s">
        <v>30995</v>
      </c>
      <c r="F10367" t="s">
        <v>7672</v>
      </c>
      <c r="G10367" t="s">
        <v>30996</v>
      </c>
      <c r="H10367" t="s">
        <v>8779</v>
      </c>
      <c r="I10367" t="s">
        <v>20066</v>
      </c>
      <c r="J10367" t="s">
        <v>8013</v>
      </c>
    </row>
    <row r="10368" spans="1:10" x14ac:dyDescent="0.25">
      <c r="A10368" t="s">
        <v>31003</v>
      </c>
      <c r="B10368">
        <v>36</v>
      </c>
      <c r="C10368" t="s">
        <v>31004</v>
      </c>
      <c r="D10368" t="s">
        <v>664</v>
      </c>
      <c r="E10368" t="s">
        <v>31005</v>
      </c>
      <c r="F10368" t="s">
        <v>7672</v>
      </c>
      <c r="G10368" t="s">
        <v>31006</v>
      </c>
      <c r="H10368" t="s">
        <v>9693</v>
      </c>
      <c r="I10368" t="s">
        <v>30812</v>
      </c>
      <c r="J10368" t="s">
        <v>9694</v>
      </c>
    </row>
    <row r="10369" spans="1:10" x14ac:dyDescent="0.25">
      <c r="A10369" t="s">
        <v>31007</v>
      </c>
      <c r="B10369">
        <v>5.2</v>
      </c>
      <c r="C10369" t="s">
        <v>31008</v>
      </c>
      <c r="D10369" t="s">
        <v>1143</v>
      </c>
      <c r="E10369" t="s">
        <v>31009</v>
      </c>
      <c r="F10369" t="s">
        <v>7672</v>
      </c>
      <c r="G10369" t="s">
        <v>31010</v>
      </c>
      <c r="H10369" t="s">
        <v>26624</v>
      </c>
      <c r="I10369" t="s">
        <v>29559</v>
      </c>
      <c r="J10369" t="s">
        <v>7987</v>
      </c>
    </row>
    <row r="10370" spans="1:10" x14ac:dyDescent="0.25">
      <c r="A10370" t="s">
        <v>31011</v>
      </c>
      <c r="B10370">
        <v>5.2</v>
      </c>
      <c r="C10370" t="s">
        <v>31012</v>
      </c>
      <c r="D10370" t="s">
        <v>286</v>
      </c>
      <c r="E10370" t="s">
        <v>31009</v>
      </c>
      <c r="F10370" t="s">
        <v>7672</v>
      </c>
      <c r="G10370" t="s">
        <v>31010</v>
      </c>
      <c r="H10370" t="s">
        <v>26624</v>
      </c>
      <c r="I10370" t="s">
        <v>29559</v>
      </c>
      <c r="J10370" t="s">
        <v>8001</v>
      </c>
    </row>
    <row r="10371" spans="1:10" x14ac:dyDescent="0.25">
      <c r="A10371" t="s">
        <v>31013</v>
      </c>
      <c r="B10371">
        <v>5.2</v>
      </c>
      <c r="C10371" t="s">
        <v>31014</v>
      </c>
      <c r="D10371" t="s">
        <v>269</v>
      </c>
      <c r="E10371" t="s">
        <v>31009</v>
      </c>
      <c r="F10371" t="s">
        <v>7672</v>
      </c>
      <c r="G10371" t="s">
        <v>31010</v>
      </c>
      <c r="H10371" t="s">
        <v>26624</v>
      </c>
      <c r="I10371" t="s">
        <v>29559</v>
      </c>
      <c r="J10371" t="s">
        <v>8013</v>
      </c>
    </row>
    <row r="10372" spans="1:10" x14ac:dyDescent="0.25">
      <c r="A10372" t="s">
        <v>31015</v>
      </c>
      <c r="B10372">
        <v>3.36</v>
      </c>
      <c r="C10372" t="s">
        <v>31016</v>
      </c>
      <c r="D10372" t="s">
        <v>164</v>
      </c>
      <c r="E10372" t="s">
        <v>31017</v>
      </c>
      <c r="F10372" t="s">
        <v>7672</v>
      </c>
      <c r="G10372" t="s">
        <v>31018</v>
      </c>
      <c r="H10372" t="s">
        <v>8081</v>
      </c>
      <c r="I10372" t="s">
        <v>31019</v>
      </c>
      <c r="J10372" t="s">
        <v>8001</v>
      </c>
    </row>
    <row r="10373" spans="1:10" x14ac:dyDescent="0.25">
      <c r="A10373" t="s">
        <v>31020</v>
      </c>
      <c r="B10373">
        <v>5.04</v>
      </c>
      <c r="C10373" t="s">
        <v>31021</v>
      </c>
      <c r="D10373" t="s">
        <v>4187</v>
      </c>
      <c r="E10373" t="s">
        <v>31022</v>
      </c>
      <c r="F10373" t="s">
        <v>7672</v>
      </c>
      <c r="G10373" t="s">
        <v>31023</v>
      </c>
      <c r="H10373" t="s">
        <v>24169</v>
      </c>
      <c r="I10373" t="s">
        <v>31024</v>
      </c>
      <c r="J10373" t="s">
        <v>11696</v>
      </c>
    </row>
    <row r="10374" spans="1:10" x14ac:dyDescent="0.25">
      <c r="A10374" t="s">
        <v>31025</v>
      </c>
      <c r="B10374">
        <v>8</v>
      </c>
      <c r="C10374" t="s">
        <v>31026</v>
      </c>
      <c r="D10374" t="s">
        <v>106</v>
      </c>
      <c r="E10374" t="s">
        <v>31027</v>
      </c>
      <c r="F10374" t="s">
        <v>7672</v>
      </c>
      <c r="G10374" t="s">
        <v>31028</v>
      </c>
      <c r="H10374" t="s">
        <v>15474</v>
      </c>
      <c r="I10374" t="s">
        <v>1243</v>
      </c>
      <c r="J10374" t="s">
        <v>24088</v>
      </c>
    </row>
    <row r="10375" spans="1:10" x14ac:dyDescent="0.25">
      <c r="A10375" t="s">
        <v>31029</v>
      </c>
      <c r="B10375">
        <v>11.2</v>
      </c>
      <c r="C10375" t="s">
        <v>31030</v>
      </c>
      <c r="D10375" t="s">
        <v>88</v>
      </c>
      <c r="E10375" t="s">
        <v>879</v>
      </c>
      <c r="F10375" t="s">
        <v>7672</v>
      </c>
      <c r="G10375" t="s">
        <v>31031</v>
      </c>
      <c r="H10375" t="s">
        <v>8078</v>
      </c>
      <c r="I10375" t="s">
        <v>8982</v>
      </c>
      <c r="J10375" t="s">
        <v>25717</v>
      </c>
    </row>
    <row r="10376" spans="1:10" x14ac:dyDescent="0.25">
      <c r="A10376" t="s">
        <v>876</v>
      </c>
      <c r="B10376">
        <v>11.2</v>
      </c>
      <c r="C10376" t="s">
        <v>878</v>
      </c>
      <c r="D10376" t="s">
        <v>229</v>
      </c>
      <c r="E10376" t="s">
        <v>879</v>
      </c>
      <c r="F10376" t="s">
        <v>7672</v>
      </c>
      <c r="G10376" t="s">
        <v>31031</v>
      </c>
      <c r="H10376" t="s">
        <v>8078</v>
      </c>
      <c r="I10376" t="s">
        <v>8982</v>
      </c>
      <c r="J10376" t="s">
        <v>30612</v>
      </c>
    </row>
    <row r="10377" spans="1:10" x14ac:dyDescent="0.25">
      <c r="A10377" t="s">
        <v>31032</v>
      </c>
      <c r="B10377">
        <v>11.2</v>
      </c>
      <c r="C10377" t="s">
        <v>31033</v>
      </c>
      <c r="D10377" t="s">
        <v>576</v>
      </c>
      <c r="E10377" t="s">
        <v>879</v>
      </c>
      <c r="F10377" t="s">
        <v>7672</v>
      </c>
      <c r="G10377" t="s">
        <v>31031</v>
      </c>
      <c r="H10377" t="s">
        <v>8078</v>
      </c>
      <c r="I10377" t="s">
        <v>8982</v>
      </c>
      <c r="J10377" t="s">
        <v>22929</v>
      </c>
    </row>
    <row r="10378" spans="1:10" x14ac:dyDescent="0.25">
      <c r="A10378" t="s">
        <v>31034</v>
      </c>
      <c r="B10378">
        <v>8</v>
      </c>
      <c r="C10378" t="s">
        <v>31035</v>
      </c>
      <c r="D10378" t="s">
        <v>106</v>
      </c>
      <c r="E10378" t="s">
        <v>31036</v>
      </c>
      <c r="F10378" t="s">
        <v>7672</v>
      </c>
      <c r="G10378" t="s">
        <v>31037</v>
      </c>
      <c r="H10378" t="s">
        <v>8515</v>
      </c>
      <c r="I10378" t="s">
        <v>27776</v>
      </c>
      <c r="J10378" t="s">
        <v>106</v>
      </c>
    </row>
    <row r="10379" spans="1:10" x14ac:dyDescent="0.25">
      <c r="A10379" t="s">
        <v>31038</v>
      </c>
      <c r="B10379">
        <v>8</v>
      </c>
      <c r="C10379" t="s">
        <v>31039</v>
      </c>
      <c r="D10379" t="s">
        <v>2697</v>
      </c>
      <c r="E10379" t="s">
        <v>31036</v>
      </c>
      <c r="F10379" t="s">
        <v>7672</v>
      </c>
      <c r="G10379" t="s">
        <v>31037</v>
      </c>
      <c r="H10379" t="s">
        <v>8515</v>
      </c>
      <c r="I10379" t="s">
        <v>27776</v>
      </c>
      <c r="J10379" t="s">
        <v>88</v>
      </c>
    </row>
    <row r="10380" spans="1:10" x14ac:dyDescent="0.25">
      <c r="A10380" t="s">
        <v>31040</v>
      </c>
      <c r="B10380">
        <v>2.7919999999999998</v>
      </c>
      <c r="C10380" t="s">
        <v>31041</v>
      </c>
      <c r="D10380" t="s">
        <v>875</v>
      </c>
      <c r="E10380" t="s">
        <v>31042</v>
      </c>
      <c r="F10380" t="s">
        <v>7672</v>
      </c>
      <c r="G10380" t="s">
        <v>31043</v>
      </c>
      <c r="H10380" t="s">
        <v>10298</v>
      </c>
      <c r="I10380" t="s">
        <v>11699</v>
      </c>
      <c r="J10380" t="s">
        <v>10150</v>
      </c>
    </row>
    <row r="10381" spans="1:10" x14ac:dyDescent="0.25">
      <c r="A10381" t="s">
        <v>31044</v>
      </c>
      <c r="B10381">
        <v>5.2</v>
      </c>
      <c r="C10381" t="s">
        <v>31045</v>
      </c>
      <c r="D10381" t="s">
        <v>964</v>
      </c>
      <c r="E10381" t="s">
        <v>31046</v>
      </c>
      <c r="F10381" t="s">
        <v>7672</v>
      </c>
      <c r="G10381" t="s">
        <v>31047</v>
      </c>
      <c r="H10381" t="s">
        <v>26624</v>
      </c>
      <c r="I10381" t="s">
        <v>31048</v>
      </c>
      <c r="J10381" t="s">
        <v>7942</v>
      </c>
    </row>
    <row r="10382" spans="1:10" x14ac:dyDescent="0.25">
      <c r="A10382" t="s">
        <v>31049</v>
      </c>
      <c r="B10382">
        <v>5.2</v>
      </c>
      <c r="C10382" t="s">
        <v>31050</v>
      </c>
      <c r="D10382" t="s">
        <v>352</v>
      </c>
      <c r="E10382" t="s">
        <v>31046</v>
      </c>
      <c r="F10382" t="s">
        <v>7672</v>
      </c>
      <c r="G10382" t="s">
        <v>31047</v>
      </c>
      <c r="H10382" t="s">
        <v>26624</v>
      </c>
      <c r="I10382" t="s">
        <v>31048</v>
      </c>
      <c r="J10382" t="s">
        <v>7981</v>
      </c>
    </row>
    <row r="10383" spans="1:10" x14ac:dyDescent="0.25">
      <c r="A10383" t="s">
        <v>31051</v>
      </c>
      <c r="B10383">
        <v>5.2</v>
      </c>
      <c r="C10383" t="s">
        <v>31052</v>
      </c>
      <c r="D10383" t="s">
        <v>106</v>
      </c>
      <c r="E10383" t="s">
        <v>31046</v>
      </c>
      <c r="F10383" t="s">
        <v>7672</v>
      </c>
      <c r="G10383" t="s">
        <v>31047</v>
      </c>
      <c r="H10383" t="s">
        <v>26624</v>
      </c>
      <c r="I10383" t="s">
        <v>31048</v>
      </c>
      <c r="J10383" t="s">
        <v>8001</v>
      </c>
    </row>
    <row r="10384" spans="1:10" x14ac:dyDescent="0.25">
      <c r="A10384" t="s">
        <v>31053</v>
      </c>
      <c r="B10384">
        <v>5.2</v>
      </c>
      <c r="C10384" t="s">
        <v>31054</v>
      </c>
      <c r="D10384" t="s">
        <v>100</v>
      </c>
      <c r="E10384" t="s">
        <v>31046</v>
      </c>
      <c r="F10384" t="s">
        <v>7672</v>
      </c>
      <c r="G10384" t="s">
        <v>31047</v>
      </c>
      <c r="H10384" t="s">
        <v>26624</v>
      </c>
      <c r="I10384" t="s">
        <v>31048</v>
      </c>
      <c r="J10384" t="s">
        <v>8013</v>
      </c>
    </row>
    <row r="10385" spans="1:10" x14ac:dyDescent="0.25">
      <c r="A10385" t="s">
        <v>31055</v>
      </c>
      <c r="B10385">
        <v>5.04</v>
      </c>
      <c r="C10385" t="s">
        <v>31056</v>
      </c>
      <c r="D10385" t="s">
        <v>3234</v>
      </c>
      <c r="E10385" t="s">
        <v>31057</v>
      </c>
      <c r="F10385" t="s">
        <v>7672</v>
      </c>
      <c r="G10385" t="s">
        <v>31058</v>
      </c>
      <c r="H10385" t="s">
        <v>24169</v>
      </c>
      <c r="I10385" t="s">
        <v>24961</v>
      </c>
      <c r="J10385" t="s">
        <v>11696</v>
      </c>
    </row>
    <row r="10386" spans="1:10" x14ac:dyDescent="0.25">
      <c r="A10386" t="s">
        <v>31059</v>
      </c>
      <c r="B10386">
        <v>6.48</v>
      </c>
      <c r="C10386" t="s">
        <v>31060</v>
      </c>
      <c r="D10386" t="s">
        <v>234</v>
      </c>
      <c r="E10386" t="s">
        <v>31057</v>
      </c>
      <c r="F10386" t="s">
        <v>7672</v>
      </c>
      <c r="G10386" t="s">
        <v>31058</v>
      </c>
      <c r="H10386" t="s">
        <v>24169</v>
      </c>
      <c r="I10386" t="s">
        <v>24961</v>
      </c>
      <c r="J10386" t="s">
        <v>15070</v>
      </c>
    </row>
    <row r="10387" spans="1:10" x14ac:dyDescent="0.25">
      <c r="A10387" t="s">
        <v>31061</v>
      </c>
      <c r="B10387">
        <v>7.2</v>
      </c>
      <c r="C10387" t="s">
        <v>31062</v>
      </c>
      <c r="D10387" t="s">
        <v>659</v>
      </c>
      <c r="E10387" t="s">
        <v>31063</v>
      </c>
      <c r="F10387" t="s">
        <v>7672</v>
      </c>
      <c r="G10387" t="s">
        <v>31064</v>
      </c>
      <c r="H10387" t="s">
        <v>7974</v>
      </c>
      <c r="I10387" t="s">
        <v>76</v>
      </c>
      <c r="J10387" t="s">
        <v>11376</v>
      </c>
    </row>
    <row r="10388" spans="1:10" x14ac:dyDescent="0.25">
      <c r="A10388" t="s">
        <v>31065</v>
      </c>
      <c r="B10388">
        <v>7.2</v>
      </c>
      <c r="C10388" t="s">
        <v>31066</v>
      </c>
      <c r="D10388" t="s">
        <v>4011</v>
      </c>
      <c r="E10388" t="s">
        <v>31063</v>
      </c>
      <c r="F10388" t="s">
        <v>7672</v>
      </c>
      <c r="G10388" t="s">
        <v>31064</v>
      </c>
      <c r="H10388" t="s">
        <v>7974</v>
      </c>
      <c r="I10388" t="s">
        <v>76</v>
      </c>
      <c r="J10388" t="s">
        <v>9114</v>
      </c>
    </row>
    <row r="10389" spans="1:10" x14ac:dyDescent="0.25">
      <c r="A10389" t="s">
        <v>31067</v>
      </c>
      <c r="B10389">
        <v>7.2</v>
      </c>
      <c r="C10389" t="s">
        <v>31068</v>
      </c>
      <c r="D10389" t="s">
        <v>941</v>
      </c>
      <c r="E10389" t="s">
        <v>31063</v>
      </c>
      <c r="F10389" t="s">
        <v>7672</v>
      </c>
      <c r="G10389" t="s">
        <v>31064</v>
      </c>
      <c r="H10389" t="s">
        <v>7974</v>
      </c>
      <c r="I10389" t="s">
        <v>7399</v>
      </c>
      <c r="J10389" t="s">
        <v>9114</v>
      </c>
    </row>
    <row r="10390" spans="1:10" x14ac:dyDescent="0.25">
      <c r="A10390" t="s">
        <v>31069</v>
      </c>
      <c r="B10390">
        <v>7.2</v>
      </c>
      <c r="C10390" t="s">
        <v>31070</v>
      </c>
      <c r="D10390" t="s">
        <v>2036</v>
      </c>
      <c r="E10390" t="s">
        <v>31063</v>
      </c>
      <c r="F10390" t="s">
        <v>7672</v>
      </c>
      <c r="G10390" t="s">
        <v>31064</v>
      </c>
      <c r="H10390" t="s">
        <v>7974</v>
      </c>
      <c r="I10390" t="s">
        <v>16691</v>
      </c>
      <c r="J10390" t="s">
        <v>9114</v>
      </c>
    </row>
    <row r="10391" spans="1:10" x14ac:dyDescent="0.25">
      <c r="A10391" t="s">
        <v>31071</v>
      </c>
      <c r="B10391">
        <v>7.2</v>
      </c>
      <c r="C10391" t="s">
        <v>31072</v>
      </c>
      <c r="D10391" t="s">
        <v>875</v>
      </c>
      <c r="E10391" t="s">
        <v>31063</v>
      </c>
      <c r="F10391" t="s">
        <v>7672</v>
      </c>
      <c r="G10391" t="s">
        <v>31064</v>
      </c>
      <c r="H10391" t="s">
        <v>7974</v>
      </c>
      <c r="I10391" t="s">
        <v>2496</v>
      </c>
      <c r="J10391" t="s">
        <v>9114</v>
      </c>
    </row>
    <row r="10392" spans="1:10" x14ac:dyDescent="0.25">
      <c r="A10392" t="s">
        <v>31073</v>
      </c>
      <c r="B10392">
        <v>7.2</v>
      </c>
      <c r="C10392" t="s">
        <v>31074</v>
      </c>
      <c r="D10392" t="s">
        <v>164</v>
      </c>
      <c r="E10392" t="s">
        <v>31063</v>
      </c>
      <c r="F10392" t="s">
        <v>7672</v>
      </c>
      <c r="G10392" t="s">
        <v>31064</v>
      </c>
      <c r="H10392" t="s">
        <v>7974</v>
      </c>
      <c r="I10392" t="s">
        <v>27763</v>
      </c>
      <c r="J10392" t="s">
        <v>9114</v>
      </c>
    </row>
    <row r="10393" spans="1:10" x14ac:dyDescent="0.25">
      <c r="A10393" t="s">
        <v>31075</v>
      </c>
      <c r="B10393">
        <v>2.7919999999999998</v>
      </c>
      <c r="C10393" t="s">
        <v>31076</v>
      </c>
      <c r="D10393" t="s">
        <v>366</v>
      </c>
      <c r="E10393" t="s">
        <v>31077</v>
      </c>
      <c r="F10393" t="s">
        <v>7672</v>
      </c>
      <c r="G10393" t="s">
        <v>31078</v>
      </c>
      <c r="H10393" t="s">
        <v>8515</v>
      </c>
      <c r="I10393" t="s">
        <v>16192</v>
      </c>
      <c r="J10393" t="s">
        <v>11767</v>
      </c>
    </row>
    <row r="10394" spans="1:10" x14ac:dyDescent="0.25">
      <c r="A10394" t="s">
        <v>31079</v>
      </c>
      <c r="B10394">
        <v>6.16</v>
      </c>
      <c r="C10394" t="s">
        <v>31080</v>
      </c>
      <c r="D10394" t="s">
        <v>164</v>
      </c>
      <c r="E10394" t="s">
        <v>31081</v>
      </c>
      <c r="F10394" t="s">
        <v>7672</v>
      </c>
      <c r="G10394" t="s">
        <v>31082</v>
      </c>
      <c r="H10394" t="s">
        <v>8515</v>
      </c>
      <c r="I10394" t="s">
        <v>145</v>
      </c>
      <c r="J10394" t="s">
        <v>10369</v>
      </c>
    </row>
    <row r="10395" spans="1:10" x14ac:dyDescent="0.25">
      <c r="A10395" t="s">
        <v>31083</v>
      </c>
      <c r="B10395">
        <v>6.16</v>
      </c>
      <c r="C10395" t="s">
        <v>31084</v>
      </c>
      <c r="D10395" t="s">
        <v>277</v>
      </c>
      <c r="E10395" t="s">
        <v>31081</v>
      </c>
      <c r="F10395" t="s">
        <v>7672</v>
      </c>
      <c r="G10395" t="s">
        <v>31082</v>
      </c>
      <c r="H10395" t="s">
        <v>8515</v>
      </c>
      <c r="I10395" t="s">
        <v>145</v>
      </c>
      <c r="J10395" t="s">
        <v>11590</v>
      </c>
    </row>
    <row r="10396" spans="1:10" x14ac:dyDescent="0.25">
      <c r="A10396" t="s">
        <v>31085</v>
      </c>
      <c r="B10396">
        <v>6.2960000000000003</v>
      </c>
      <c r="C10396" t="s">
        <v>31086</v>
      </c>
      <c r="D10396" t="s">
        <v>277</v>
      </c>
      <c r="E10396" t="s">
        <v>31087</v>
      </c>
      <c r="F10396" t="s">
        <v>7672</v>
      </c>
      <c r="G10396" t="s">
        <v>31088</v>
      </c>
      <c r="H10396" t="s">
        <v>14647</v>
      </c>
      <c r="I10396" t="s">
        <v>14654</v>
      </c>
      <c r="J10396" t="s">
        <v>7981</v>
      </c>
    </row>
    <row r="10397" spans="1:10" x14ac:dyDescent="0.25">
      <c r="A10397" t="s">
        <v>31089</v>
      </c>
      <c r="B10397">
        <v>6.2960000000000003</v>
      </c>
      <c r="C10397" t="s">
        <v>31090</v>
      </c>
      <c r="D10397" t="s">
        <v>576</v>
      </c>
      <c r="E10397" t="s">
        <v>31087</v>
      </c>
      <c r="F10397" t="s">
        <v>7672</v>
      </c>
      <c r="G10397" t="s">
        <v>31088</v>
      </c>
      <c r="H10397" t="s">
        <v>14647</v>
      </c>
      <c r="I10397" t="s">
        <v>14654</v>
      </c>
      <c r="J10397" t="s">
        <v>7984</v>
      </c>
    </row>
    <row r="10398" spans="1:10" x14ac:dyDescent="0.25">
      <c r="A10398" t="s">
        <v>881</v>
      </c>
      <c r="B10398">
        <v>9.6000000000000014</v>
      </c>
      <c r="C10398" t="s">
        <v>883</v>
      </c>
      <c r="D10398" t="s">
        <v>282</v>
      </c>
      <c r="E10398" t="s">
        <v>884</v>
      </c>
      <c r="F10398" t="s">
        <v>7672</v>
      </c>
      <c r="G10398" t="s">
        <v>31091</v>
      </c>
      <c r="H10398" t="s">
        <v>8979</v>
      </c>
      <c r="I10398" t="s">
        <v>887</v>
      </c>
      <c r="J10398" t="s">
        <v>12514</v>
      </c>
    </row>
    <row r="10399" spans="1:10" x14ac:dyDescent="0.25">
      <c r="A10399" t="s">
        <v>31092</v>
      </c>
      <c r="B10399">
        <v>6</v>
      </c>
      <c r="C10399" t="s">
        <v>31093</v>
      </c>
      <c r="D10399" t="s">
        <v>245</v>
      </c>
      <c r="E10399" t="s">
        <v>31094</v>
      </c>
      <c r="F10399" t="s">
        <v>7672</v>
      </c>
      <c r="G10399" t="s">
        <v>31095</v>
      </c>
      <c r="H10399" t="s">
        <v>11496</v>
      </c>
      <c r="I10399" t="s">
        <v>1243</v>
      </c>
      <c r="J10399" t="s">
        <v>9423</v>
      </c>
    </row>
    <row r="10400" spans="1:10" x14ac:dyDescent="0.25">
      <c r="A10400" t="s">
        <v>31096</v>
      </c>
      <c r="B10400">
        <v>6</v>
      </c>
      <c r="C10400" t="s">
        <v>31097</v>
      </c>
      <c r="D10400" t="s">
        <v>593</v>
      </c>
      <c r="E10400" t="s">
        <v>31094</v>
      </c>
      <c r="F10400" t="s">
        <v>7672</v>
      </c>
      <c r="G10400" t="s">
        <v>31095</v>
      </c>
      <c r="H10400" t="s">
        <v>11496</v>
      </c>
      <c r="I10400" t="s">
        <v>1243</v>
      </c>
      <c r="J10400" t="s">
        <v>9426</v>
      </c>
    </row>
    <row r="10401" spans="1:10" x14ac:dyDescent="0.25">
      <c r="A10401" t="s">
        <v>31098</v>
      </c>
      <c r="B10401">
        <v>6</v>
      </c>
      <c r="C10401" t="s">
        <v>31099</v>
      </c>
      <c r="D10401" t="s">
        <v>715</v>
      </c>
      <c r="E10401" t="s">
        <v>31094</v>
      </c>
      <c r="F10401" t="s">
        <v>7672</v>
      </c>
      <c r="G10401" t="s">
        <v>31095</v>
      </c>
      <c r="H10401" t="s">
        <v>11496</v>
      </c>
      <c r="I10401" t="s">
        <v>1243</v>
      </c>
      <c r="J10401" t="s">
        <v>10862</v>
      </c>
    </row>
    <row r="10402" spans="1:10" x14ac:dyDescent="0.25">
      <c r="A10402" t="s">
        <v>31100</v>
      </c>
      <c r="B10402">
        <v>6</v>
      </c>
      <c r="C10402" t="s">
        <v>31101</v>
      </c>
      <c r="D10402" t="s">
        <v>715</v>
      </c>
      <c r="E10402" t="s">
        <v>31094</v>
      </c>
      <c r="F10402" t="s">
        <v>7672</v>
      </c>
      <c r="G10402" t="s">
        <v>31095</v>
      </c>
      <c r="H10402" t="s">
        <v>11496</v>
      </c>
      <c r="I10402" t="s">
        <v>1243</v>
      </c>
      <c r="J10402" t="s">
        <v>13084</v>
      </c>
    </row>
    <row r="10403" spans="1:10" x14ac:dyDescent="0.25">
      <c r="A10403" t="s">
        <v>31102</v>
      </c>
      <c r="B10403">
        <v>6</v>
      </c>
      <c r="C10403" t="s">
        <v>31103</v>
      </c>
      <c r="D10403" t="s">
        <v>613</v>
      </c>
      <c r="E10403" t="s">
        <v>31094</v>
      </c>
      <c r="F10403" t="s">
        <v>7672</v>
      </c>
      <c r="G10403" t="s">
        <v>31095</v>
      </c>
      <c r="H10403" t="s">
        <v>11496</v>
      </c>
      <c r="I10403" t="s">
        <v>1243</v>
      </c>
      <c r="J10403" t="s">
        <v>11767</v>
      </c>
    </row>
    <row r="10404" spans="1:10" x14ac:dyDescent="0.25">
      <c r="A10404" t="s">
        <v>31104</v>
      </c>
      <c r="B10404">
        <v>6.4</v>
      </c>
      <c r="C10404" t="s">
        <v>31105</v>
      </c>
      <c r="D10404" t="s">
        <v>639</v>
      </c>
      <c r="E10404" t="s">
        <v>31106</v>
      </c>
      <c r="F10404" t="s">
        <v>7672</v>
      </c>
      <c r="G10404" t="s">
        <v>31107</v>
      </c>
      <c r="H10404" t="s">
        <v>11496</v>
      </c>
      <c r="I10404" t="s">
        <v>10802</v>
      </c>
      <c r="J10404" t="s">
        <v>9423</v>
      </c>
    </row>
    <row r="10405" spans="1:10" x14ac:dyDescent="0.25">
      <c r="A10405" t="s">
        <v>31108</v>
      </c>
      <c r="B10405">
        <v>6.4</v>
      </c>
      <c r="C10405" t="s">
        <v>31109</v>
      </c>
      <c r="D10405" t="s">
        <v>3444</v>
      </c>
      <c r="E10405" t="s">
        <v>31106</v>
      </c>
      <c r="F10405" t="s">
        <v>7672</v>
      </c>
      <c r="G10405" t="s">
        <v>31107</v>
      </c>
      <c r="H10405" t="s">
        <v>11496</v>
      </c>
      <c r="I10405" t="s">
        <v>10802</v>
      </c>
      <c r="J10405" t="s">
        <v>9426</v>
      </c>
    </row>
    <row r="10406" spans="1:10" x14ac:dyDescent="0.25">
      <c r="A10406" t="s">
        <v>31110</v>
      </c>
      <c r="B10406">
        <v>6.4</v>
      </c>
      <c r="C10406" t="s">
        <v>31111</v>
      </c>
      <c r="D10406" t="s">
        <v>2036</v>
      </c>
      <c r="E10406" t="s">
        <v>31106</v>
      </c>
      <c r="F10406" t="s">
        <v>7672</v>
      </c>
      <c r="G10406" t="s">
        <v>31107</v>
      </c>
      <c r="H10406" t="s">
        <v>11496</v>
      </c>
      <c r="I10406" t="s">
        <v>10802</v>
      </c>
      <c r="J10406" t="s">
        <v>10862</v>
      </c>
    </row>
    <row r="10407" spans="1:10" x14ac:dyDescent="0.25">
      <c r="A10407" t="s">
        <v>31112</v>
      </c>
      <c r="B10407">
        <v>6.4</v>
      </c>
      <c r="C10407" t="s">
        <v>31113</v>
      </c>
      <c r="D10407" t="s">
        <v>1822</v>
      </c>
      <c r="E10407" t="s">
        <v>31106</v>
      </c>
      <c r="F10407" t="s">
        <v>7672</v>
      </c>
      <c r="G10407" t="s">
        <v>31107</v>
      </c>
      <c r="H10407" t="s">
        <v>11496</v>
      </c>
      <c r="I10407" t="s">
        <v>10802</v>
      </c>
      <c r="J10407" t="s">
        <v>13084</v>
      </c>
    </row>
    <row r="10408" spans="1:10" x14ac:dyDescent="0.25">
      <c r="A10408" t="s">
        <v>31114</v>
      </c>
      <c r="B10408">
        <v>192</v>
      </c>
      <c r="C10408" t="s">
        <v>31115</v>
      </c>
      <c r="D10408" t="s">
        <v>342</v>
      </c>
      <c r="E10408" t="s">
        <v>31116</v>
      </c>
      <c r="F10408" t="s">
        <v>7672</v>
      </c>
      <c r="G10408" t="s">
        <v>31117</v>
      </c>
      <c r="H10408" t="s">
        <v>19910</v>
      </c>
      <c r="I10408" t="s">
        <v>18323</v>
      </c>
      <c r="J10408" t="s">
        <v>9694</v>
      </c>
    </row>
    <row r="10409" spans="1:10" x14ac:dyDescent="0.25">
      <c r="A10409" t="s">
        <v>31118</v>
      </c>
      <c r="B10409">
        <v>7.8319999999999999</v>
      </c>
      <c r="C10409" t="s">
        <v>31119</v>
      </c>
      <c r="D10409" t="s">
        <v>849</v>
      </c>
      <c r="E10409" t="s">
        <v>31120</v>
      </c>
      <c r="F10409" t="s">
        <v>7672</v>
      </c>
      <c r="G10409" t="s">
        <v>31121</v>
      </c>
      <c r="H10409" t="s">
        <v>10298</v>
      </c>
      <c r="I10409" t="s">
        <v>14701</v>
      </c>
      <c r="J10409" t="s">
        <v>31122</v>
      </c>
    </row>
    <row r="10410" spans="1:10" x14ac:dyDescent="0.25">
      <c r="A10410" t="s">
        <v>31123</v>
      </c>
      <c r="B10410">
        <v>7.8319999999999999</v>
      </c>
      <c r="C10410" t="s">
        <v>31124</v>
      </c>
      <c r="D10410" t="s">
        <v>131</v>
      </c>
      <c r="E10410" t="s">
        <v>31120</v>
      </c>
      <c r="F10410" t="s">
        <v>7672</v>
      </c>
      <c r="G10410" t="s">
        <v>31121</v>
      </c>
      <c r="H10410" t="s">
        <v>10298</v>
      </c>
      <c r="I10410" t="s">
        <v>14701</v>
      </c>
      <c r="J10410" t="s">
        <v>31125</v>
      </c>
    </row>
    <row r="10411" spans="1:10" x14ac:dyDescent="0.25">
      <c r="A10411" t="s">
        <v>31126</v>
      </c>
      <c r="B10411">
        <v>7.8319999999999999</v>
      </c>
      <c r="C10411" t="s">
        <v>31127</v>
      </c>
      <c r="D10411" t="s">
        <v>269</v>
      </c>
      <c r="E10411" t="s">
        <v>31120</v>
      </c>
      <c r="F10411" t="s">
        <v>7672</v>
      </c>
      <c r="G10411" t="s">
        <v>31121</v>
      </c>
      <c r="H10411" t="s">
        <v>10298</v>
      </c>
      <c r="I10411" t="s">
        <v>14701</v>
      </c>
      <c r="J10411" t="s">
        <v>31128</v>
      </c>
    </row>
    <row r="10412" spans="1:10" x14ac:dyDescent="0.25">
      <c r="A10412" t="s">
        <v>31129</v>
      </c>
      <c r="B10412">
        <v>2.8</v>
      </c>
      <c r="C10412" t="s">
        <v>31130</v>
      </c>
      <c r="D10412" t="s">
        <v>53</v>
      </c>
      <c r="E10412" t="s">
        <v>31131</v>
      </c>
      <c r="F10412" t="s">
        <v>7672</v>
      </c>
      <c r="G10412" t="s">
        <v>31132</v>
      </c>
      <c r="H10412" t="s">
        <v>10298</v>
      </c>
      <c r="I10412" t="s">
        <v>31133</v>
      </c>
      <c r="J10412" t="s">
        <v>10150</v>
      </c>
    </row>
    <row r="10413" spans="1:10" x14ac:dyDescent="0.25">
      <c r="A10413" t="s">
        <v>31134</v>
      </c>
      <c r="B10413">
        <v>2.8</v>
      </c>
      <c r="C10413" t="s">
        <v>31135</v>
      </c>
      <c r="D10413" t="s">
        <v>290</v>
      </c>
      <c r="E10413" t="s">
        <v>31131</v>
      </c>
      <c r="F10413" t="s">
        <v>7672</v>
      </c>
      <c r="G10413" t="s">
        <v>31132</v>
      </c>
      <c r="H10413" t="s">
        <v>10298</v>
      </c>
      <c r="I10413" t="s">
        <v>6385</v>
      </c>
      <c r="J10413" t="s">
        <v>15079</v>
      </c>
    </row>
    <row r="10414" spans="1:10" x14ac:dyDescent="0.25">
      <c r="A10414" t="s">
        <v>31136</v>
      </c>
      <c r="B10414">
        <v>9.7920000000000016</v>
      </c>
      <c r="C10414" t="s">
        <v>31137</v>
      </c>
      <c r="D10414" t="s">
        <v>342</v>
      </c>
      <c r="E10414" t="s">
        <v>31138</v>
      </c>
      <c r="F10414" t="s">
        <v>7672</v>
      </c>
      <c r="G10414" t="s">
        <v>31139</v>
      </c>
      <c r="H10414" t="s">
        <v>7674</v>
      </c>
      <c r="I10414" t="s">
        <v>22018</v>
      </c>
      <c r="J10414" t="s">
        <v>16039</v>
      </c>
    </row>
    <row r="10415" spans="1:10" x14ac:dyDescent="0.25">
      <c r="A10415" t="s">
        <v>31140</v>
      </c>
      <c r="B10415">
        <v>9.7920000000000016</v>
      </c>
      <c r="C10415" t="s">
        <v>31141</v>
      </c>
      <c r="D10415" t="s">
        <v>95</v>
      </c>
      <c r="E10415" t="s">
        <v>31138</v>
      </c>
      <c r="F10415" t="s">
        <v>7672</v>
      </c>
      <c r="G10415" t="s">
        <v>31139</v>
      </c>
      <c r="H10415" t="s">
        <v>7674</v>
      </c>
      <c r="I10415" t="s">
        <v>22018</v>
      </c>
      <c r="J10415" t="s">
        <v>16064</v>
      </c>
    </row>
    <row r="10416" spans="1:10" x14ac:dyDescent="0.25">
      <c r="A10416" t="s">
        <v>31142</v>
      </c>
      <c r="B10416">
        <v>9.7920000000000016</v>
      </c>
      <c r="C10416" t="s">
        <v>31143</v>
      </c>
      <c r="D10416" t="s">
        <v>301</v>
      </c>
      <c r="E10416" t="s">
        <v>31138</v>
      </c>
      <c r="F10416" t="s">
        <v>7672</v>
      </c>
      <c r="G10416" t="s">
        <v>31139</v>
      </c>
      <c r="H10416" t="s">
        <v>7674</v>
      </c>
      <c r="I10416" t="s">
        <v>22018</v>
      </c>
      <c r="J10416" t="s">
        <v>16089</v>
      </c>
    </row>
    <row r="10417" spans="1:10" x14ac:dyDescent="0.25">
      <c r="A10417" t="s">
        <v>31144</v>
      </c>
      <c r="B10417">
        <v>9.7920000000000016</v>
      </c>
      <c r="C10417" t="s">
        <v>31145</v>
      </c>
      <c r="D10417" t="s">
        <v>255</v>
      </c>
      <c r="E10417" t="s">
        <v>31138</v>
      </c>
      <c r="F10417" t="s">
        <v>7672</v>
      </c>
      <c r="G10417" t="s">
        <v>31139</v>
      </c>
      <c r="H10417" t="s">
        <v>7674</v>
      </c>
      <c r="I10417" t="s">
        <v>31146</v>
      </c>
      <c r="J10417" t="s">
        <v>16104</v>
      </c>
    </row>
    <row r="10418" spans="1:10" x14ac:dyDescent="0.25">
      <c r="A10418" t="s">
        <v>31147</v>
      </c>
      <c r="B10418">
        <v>9.7920000000000016</v>
      </c>
      <c r="C10418" t="s">
        <v>31148</v>
      </c>
      <c r="D10418" t="s">
        <v>301</v>
      </c>
      <c r="E10418" t="s">
        <v>31138</v>
      </c>
      <c r="F10418" t="s">
        <v>7672</v>
      </c>
      <c r="G10418" t="s">
        <v>31139</v>
      </c>
      <c r="H10418" t="s">
        <v>7674</v>
      </c>
      <c r="I10418" t="s">
        <v>22018</v>
      </c>
      <c r="J10418" t="s">
        <v>16104</v>
      </c>
    </row>
    <row r="10419" spans="1:10" x14ac:dyDescent="0.25">
      <c r="A10419" t="s">
        <v>31149</v>
      </c>
      <c r="B10419">
        <v>9.7920000000000016</v>
      </c>
      <c r="C10419" t="s">
        <v>31150</v>
      </c>
      <c r="D10419" t="s">
        <v>385</v>
      </c>
      <c r="E10419" t="s">
        <v>31138</v>
      </c>
      <c r="F10419" t="s">
        <v>7672</v>
      </c>
      <c r="G10419" t="s">
        <v>31139</v>
      </c>
      <c r="H10419" t="s">
        <v>7674</v>
      </c>
      <c r="I10419" t="s">
        <v>31146</v>
      </c>
      <c r="J10419" t="s">
        <v>16125</v>
      </c>
    </row>
    <row r="10420" spans="1:10" x14ac:dyDescent="0.25">
      <c r="A10420" t="s">
        <v>31151</v>
      </c>
      <c r="B10420">
        <v>9.7920000000000016</v>
      </c>
      <c r="C10420" t="s">
        <v>31152</v>
      </c>
      <c r="D10420" t="s">
        <v>1134</v>
      </c>
      <c r="E10420" t="s">
        <v>31138</v>
      </c>
      <c r="F10420" t="s">
        <v>7672</v>
      </c>
      <c r="G10420" t="s">
        <v>31139</v>
      </c>
      <c r="H10420" t="s">
        <v>7674</v>
      </c>
      <c r="I10420" t="s">
        <v>22018</v>
      </c>
      <c r="J10420" t="s">
        <v>16125</v>
      </c>
    </row>
    <row r="10421" spans="1:10" x14ac:dyDescent="0.25">
      <c r="A10421" t="s">
        <v>31153</v>
      </c>
      <c r="B10421">
        <v>9.7920000000000016</v>
      </c>
      <c r="C10421" t="s">
        <v>31154</v>
      </c>
      <c r="D10421" t="s">
        <v>229</v>
      </c>
      <c r="E10421" t="s">
        <v>31138</v>
      </c>
      <c r="F10421" t="s">
        <v>7672</v>
      </c>
      <c r="G10421" t="s">
        <v>31139</v>
      </c>
      <c r="H10421" t="s">
        <v>7674</v>
      </c>
      <c r="I10421" t="s">
        <v>31146</v>
      </c>
      <c r="J10421" t="s">
        <v>16143</v>
      </c>
    </row>
    <row r="10422" spans="1:10" x14ac:dyDescent="0.25">
      <c r="A10422" t="s">
        <v>31155</v>
      </c>
      <c r="B10422">
        <v>9.7920000000000016</v>
      </c>
      <c r="C10422" t="s">
        <v>31156</v>
      </c>
      <c r="D10422" t="s">
        <v>781</v>
      </c>
      <c r="E10422" t="s">
        <v>31138</v>
      </c>
      <c r="F10422" t="s">
        <v>7672</v>
      </c>
      <c r="G10422" t="s">
        <v>31139</v>
      </c>
      <c r="H10422" t="s">
        <v>7674</v>
      </c>
      <c r="I10422" t="s">
        <v>22018</v>
      </c>
      <c r="J10422" t="s">
        <v>16143</v>
      </c>
    </row>
    <row r="10423" spans="1:10" x14ac:dyDescent="0.25">
      <c r="A10423" t="s">
        <v>31157</v>
      </c>
      <c r="B10423">
        <v>3.6</v>
      </c>
      <c r="C10423" t="s">
        <v>31158</v>
      </c>
      <c r="D10423" t="s">
        <v>9857</v>
      </c>
      <c r="E10423" t="s">
        <v>31159</v>
      </c>
      <c r="F10423" t="s">
        <v>7672</v>
      </c>
      <c r="G10423" t="s">
        <v>31160</v>
      </c>
      <c r="H10423" t="s">
        <v>13951</v>
      </c>
      <c r="I10423" t="s">
        <v>76</v>
      </c>
      <c r="J10423" t="s">
        <v>9694</v>
      </c>
    </row>
    <row r="10424" spans="1:10" x14ac:dyDescent="0.25">
      <c r="A10424" t="s">
        <v>31161</v>
      </c>
      <c r="B10424">
        <v>11.192</v>
      </c>
      <c r="C10424" t="s">
        <v>31162</v>
      </c>
      <c r="D10424" t="s">
        <v>282</v>
      </c>
      <c r="E10424" t="s">
        <v>31163</v>
      </c>
      <c r="F10424" t="s">
        <v>7672</v>
      </c>
      <c r="G10424" t="s">
        <v>31164</v>
      </c>
      <c r="H10424" t="s">
        <v>9127</v>
      </c>
      <c r="I10424" t="s">
        <v>31165</v>
      </c>
      <c r="J10424" t="s">
        <v>15795</v>
      </c>
    </row>
    <row r="10425" spans="1:10" x14ac:dyDescent="0.25">
      <c r="A10425" t="s">
        <v>31166</v>
      </c>
      <c r="B10425">
        <v>11.192</v>
      </c>
      <c r="C10425" t="s">
        <v>31167</v>
      </c>
      <c r="D10425" t="s">
        <v>436</v>
      </c>
      <c r="E10425" t="s">
        <v>31163</v>
      </c>
      <c r="F10425" t="s">
        <v>7672</v>
      </c>
      <c r="G10425" t="s">
        <v>31164</v>
      </c>
      <c r="H10425" t="s">
        <v>9127</v>
      </c>
      <c r="I10425" t="s">
        <v>31168</v>
      </c>
      <c r="J10425" t="s">
        <v>15795</v>
      </c>
    </row>
    <row r="10426" spans="1:10" x14ac:dyDescent="0.25">
      <c r="A10426" t="s">
        <v>888</v>
      </c>
      <c r="B10426">
        <v>5.7600000000000007</v>
      </c>
      <c r="C10426" t="s">
        <v>890</v>
      </c>
      <c r="D10426" t="s">
        <v>240</v>
      </c>
      <c r="E10426" t="s">
        <v>891</v>
      </c>
      <c r="F10426" t="s">
        <v>7672</v>
      </c>
      <c r="G10426" t="s">
        <v>31169</v>
      </c>
      <c r="H10426" t="s">
        <v>11496</v>
      </c>
      <c r="I10426" t="s">
        <v>5202</v>
      </c>
      <c r="J10426" t="s">
        <v>9423</v>
      </c>
    </row>
    <row r="10427" spans="1:10" x14ac:dyDescent="0.25">
      <c r="A10427" t="s">
        <v>895</v>
      </c>
      <c r="B10427">
        <v>5.7600000000000007</v>
      </c>
      <c r="C10427" t="s">
        <v>897</v>
      </c>
      <c r="D10427" t="s">
        <v>311</v>
      </c>
      <c r="E10427" t="s">
        <v>891</v>
      </c>
      <c r="F10427" t="s">
        <v>7672</v>
      </c>
      <c r="G10427" t="s">
        <v>31169</v>
      </c>
      <c r="H10427" t="s">
        <v>11496</v>
      </c>
      <c r="I10427" t="s">
        <v>5202</v>
      </c>
      <c r="J10427" t="s">
        <v>10862</v>
      </c>
    </row>
    <row r="10428" spans="1:10" x14ac:dyDescent="0.25">
      <c r="A10428" t="s">
        <v>899</v>
      </c>
      <c r="B10428">
        <v>5.7600000000000007</v>
      </c>
      <c r="C10428" t="s">
        <v>901</v>
      </c>
      <c r="D10428" t="s">
        <v>903</v>
      </c>
      <c r="E10428" t="s">
        <v>891</v>
      </c>
      <c r="F10428" t="s">
        <v>7672</v>
      </c>
      <c r="G10428" t="s">
        <v>31169</v>
      </c>
      <c r="H10428" t="s">
        <v>11496</v>
      </c>
      <c r="I10428" t="s">
        <v>5202</v>
      </c>
      <c r="J10428" t="s">
        <v>9426</v>
      </c>
    </row>
    <row r="10429" spans="1:10" x14ac:dyDescent="0.25">
      <c r="A10429" t="s">
        <v>904</v>
      </c>
      <c r="B10429">
        <v>5.7600000000000007</v>
      </c>
      <c r="C10429" t="s">
        <v>906</v>
      </c>
      <c r="D10429" t="s">
        <v>908</v>
      </c>
      <c r="E10429" t="s">
        <v>891</v>
      </c>
      <c r="F10429" t="s">
        <v>7672</v>
      </c>
      <c r="G10429" t="s">
        <v>31169</v>
      </c>
      <c r="H10429" t="s">
        <v>11496</v>
      </c>
      <c r="I10429" t="s">
        <v>5202</v>
      </c>
      <c r="J10429" t="s">
        <v>13084</v>
      </c>
    </row>
    <row r="10430" spans="1:10" x14ac:dyDescent="0.25">
      <c r="A10430" t="s">
        <v>909</v>
      </c>
      <c r="B10430">
        <v>5.7600000000000007</v>
      </c>
      <c r="C10430" t="s">
        <v>911</v>
      </c>
      <c r="D10430" t="s">
        <v>913</v>
      </c>
      <c r="E10430" t="s">
        <v>891</v>
      </c>
      <c r="F10430" t="s">
        <v>7672</v>
      </c>
      <c r="G10430" t="s">
        <v>31169</v>
      </c>
      <c r="H10430" t="s">
        <v>11496</v>
      </c>
      <c r="I10430" t="s">
        <v>5202</v>
      </c>
      <c r="J10430" t="s">
        <v>11767</v>
      </c>
    </row>
    <row r="10431" spans="1:10" x14ac:dyDescent="0.25">
      <c r="A10431" t="s">
        <v>31170</v>
      </c>
      <c r="B10431">
        <v>14</v>
      </c>
      <c r="C10431" t="s">
        <v>31171</v>
      </c>
      <c r="D10431" t="s">
        <v>269</v>
      </c>
      <c r="E10431" t="s">
        <v>31172</v>
      </c>
      <c r="F10431" t="s">
        <v>7672</v>
      </c>
      <c r="G10431" t="s">
        <v>31173</v>
      </c>
      <c r="H10431" t="s">
        <v>15474</v>
      </c>
      <c r="I10431" t="s">
        <v>935</v>
      </c>
      <c r="J10431" t="s">
        <v>255</v>
      </c>
    </row>
    <row r="10432" spans="1:10" x14ac:dyDescent="0.25">
      <c r="A10432" t="s">
        <v>31174</v>
      </c>
      <c r="B10432">
        <v>14</v>
      </c>
      <c r="C10432" t="s">
        <v>31175</v>
      </c>
      <c r="D10432" t="s">
        <v>2787</v>
      </c>
      <c r="E10432" t="s">
        <v>31172</v>
      </c>
      <c r="F10432" t="s">
        <v>7672</v>
      </c>
      <c r="G10432" t="s">
        <v>31173</v>
      </c>
      <c r="H10432" t="s">
        <v>15474</v>
      </c>
      <c r="I10432" t="s">
        <v>935</v>
      </c>
      <c r="J10432" t="s">
        <v>277</v>
      </c>
    </row>
    <row r="10433" spans="1:10" x14ac:dyDescent="0.25">
      <c r="A10433" t="s">
        <v>31176</v>
      </c>
      <c r="B10433">
        <v>54</v>
      </c>
      <c r="C10433" t="s">
        <v>31177</v>
      </c>
      <c r="D10433" t="s">
        <v>330</v>
      </c>
      <c r="E10433" t="s">
        <v>31178</v>
      </c>
      <c r="F10433" t="s">
        <v>7672</v>
      </c>
      <c r="G10433" t="s">
        <v>31179</v>
      </c>
      <c r="H10433" t="s">
        <v>22190</v>
      </c>
      <c r="I10433" t="s">
        <v>22191</v>
      </c>
      <c r="J10433" t="s">
        <v>9694</v>
      </c>
    </row>
    <row r="10434" spans="1:10" x14ac:dyDescent="0.25">
      <c r="A10434" t="s">
        <v>31180</v>
      </c>
      <c r="B10434">
        <v>42</v>
      </c>
      <c r="C10434" t="s">
        <v>31181</v>
      </c>
      <c r="D10434" t="s">
        <v>88</v>
      </c>
      <c r="E10434" t="s">
        <v>31182</v>
      </c>
      <c r="F10434" t="s">
        <v>7672</v>
      </c>
      <c r="G10434" t="s">
        <v>31183</v>
      </c>
      <c r="H10434" t="s">
        <v>9693</v>
      </c>
      <c r="I10434" t="s">
        <v>26279</v>
      </c>
      <c r="J10434" t="s">
        <v>9694</v>
      </c>
    </row>
    <row r="10435" spans="1:10" x14ac:dyDescent="0.25">
      <c r="A10435" t="s">
        <v>31184</v>
      </c>
      <c r="B10435">
        <v>126</v>
      </c>
      <c r="C10435" t="s">
        <v>31185</v>
      </c>
      <c r="D10435" t="s">
        <v>941</v>
      </c>
      <c r="E10435" t="s">
        <v>31186</v>
      </c>
      <c r="F10435" t="s">
        <v>7672</v>
      </c>
      <c r="G10435" t="s">
        <v>31187</v>
      </c>
      <c r="H10435" t="s">
        <v>9693</v>
      </c>
      <c r="I10435" t="s">
        <v>31188</v>
      </c>
      <c r="J10435" t="s">
        <v>9694</v>
      </c>
    </row>
    <row r="10436" spans="1:10" x14ac:dyDescent="0.25">
      <c r="A10436" t="s">
        <v>31189</v>
      </c>
      <c r="B10436">
        <v>3.6320000000000001</v>
      </c>
      <c r="C10436" t="s">
        <v>31190</v>
      </c>
      <c r="D10436" t="s">
        <v>316</v>
      </c>
      <c r="E10436" t="s">
        <v>31191</v>
      </c>
      <c r="F10436" t="s">
        <v>7672</v>
      </c>
      <c r="G10436" t="s">
        <v>31192</v>
      </c>
      <c r="H10436" t="s">
        <v>8515</v>
      </c>
      <c r="I10436" t="s">
        <v>4821</v>
      </c>
      <c r="J10436" t="s">
        <v>100</v>
      </c>
    </row>
    <row r="10437" spans="1:10" x14ac:dyDescent="0.25">
      <c r="A10437" t="s">
        <v>31193</v>
      </c>
      <c r="B10437">
        <v>3.6320000000000001</v>
      </c>
      <c r="C10437" t="s">
        <v>31194</v>
      </c>
      <c r="D10437" t="s">
        <v>4109</v>
      </c>
      <c r="E10437" t="s">
        <v>31191</v>
      </c>
      <c r="F10437" t="s">
        <v>7672</v>
      </c>
      <c r="G10437" t="s">
        <v>31192</v>
      </c>
      <c r="H10437" t="s">
        <v>8515</v>
      </c>
      <c r="I10437" t="s">
        <v>4821</v>
      </c>
      <c r="J10437" t="s">
        <v>106</v>
      </c>
    </row>
    <row r="10438" spans="1:10" x14ac:dyDescent="0.25">
      <c r="A10438" t="s">
        <v>31195</v>
      </c>
      <c r="B10438">
        <v>3.6320000000000001</v>
      </c>
      <c r="C10438" t="s">
        <v>31196</v>
      </c>
      <c r="D10438" t="s">
        <v>2347</v>
      </c>
      <c r="E10438" t="s">
        <v>31191</v>
      </c>
      <c r="F10438" t="s">
        <v>7672</v>
      </c>
      <c r="G10438" t="s">
        <v>31192</v>
      </c>
      <c r="H10438" t="s">
        <v>8515</v>
      </c>
      <c r="I10438" t="s">
        <v>4821</v>
      </c>
      <c r="J10438" t="s">
        <v>88</v>
      </c>
    </row>
    <row r="10439" spans="1:10" x14ac:dyDescent="0.25">
      <c r="A10439" t="s">
        <v>31197</v>
      </c>
      <c r="B10439">
        <v>3.6320000000000001</v>
      </c>
      <c r="C10439" t="s">
        <v>31198</v>
      </c>
      <c r="D10439" t="s">
        <v>1811</v>
      </c>
      <c r="E10439" t="s">
        <v>31191</v>
      </c>
      <c r="F10439" t="s">
        <v>7672</v>
      </c>
      <c r="G10439" t="s">
        <v>31192</v>
      </c>
      <c r="H10439" t="s">
        <v>8515</v>
      </c>
      <c r="I10439" t="s">
        <v>4821</v>
      </c>
      <c r="J10439" t="s">
        <v>8531</v>
      </c>
    </row>
    <row r="10440" spans="1:10" x14ac:dyDescent="0.25">
      <c r="A10440" t="s">
        <v>31199</v>
      </c>
      <c r="B10440">
        <v>3.6320000000000001</v>
      </c>
      <c r="C10440" t="s">
        <v>31200</v>
      </c>
      <c r="D10440" t="s">
        <v>6194</v>
      </c>
      <c r="E10440" t="s">
        <v>31191</v>
      </c>
      <c r="F10440" t="s">
        <v>7672</v>
      </c>
      <c r="G10440" t="s">
        <v>31192</v>
      </c>
      <c r="H10440" t="s">
        <v>8515</v>
      </c>
      <c r="I10440" t="s">
        <v>4821</v>
      </c>
      <c r="J10440" t="s">
        <v>131</v>
      </c>
    </row>
    <row r="10441" spans="1:10" x14ac:dyDescent="0.25">
      <c r="A10441" t="s">
        <v>31201</v>
      </c>
      <c r="B10441">
        <v>3.6320000000000001</v>
      </c>
      <c r="C10441" t="s">
        <v>31202</v>
      </c>
      <c r="D10441" t="s">
        <v>576</v>
      </c>
      <c r="E10441" t="s">
        <v>31191</v>
      </c>
      <c r="F10441" t="s">
        <v>7672</v>
      </c>
      <c r="G10441" t="s">
        <v>31192</v>
      </c>
      <c r="H10441" t="s">
        <v>8515</v>
      </c>
      <c r="I10441" t="s">
        <v>4821</v>
      </c>
      <c r="J10441" t="s">
        <v>269</v>
      </c>
    </row>
    <row r="10442" spans="1:10" x14ac:dyDescent="0.25">
      <c r="A10442" t="s">
        <v>31203</v>
      </c>
      <c r="B10442">
        <v>3.6320000000000001</v>
      </c>
      <c r="C10442" t="s">
        <v>31204</v>
      </c>
      <c r="D10442" t="s">
        <v>849</v>
      </c>
      <c r="E10442" t="s">
        <v>31191</v>
      </c>
      <c r="F10442" t="s">
        <v>7672</v>
      </c>
      <c r="G10442" t="s">
        <v>31192</v>
      </c>
      <c r="H10442" t="s">
        <v>8515</v>
      </c>
      <c r="I10442" t="s">
        <v>4821</v>
      </c>
      <c r="J10442" t="s">
        <v>255</v>
      </c>
    </row>
    <row r="10443" spans="1:10" x14ac:dyDescent="0.25">
      <c r="A10443" t="s">
        <v>31205</v>
      </c>
      <c r="B10443">
        <v>8</v>
      </c>
      <c r="C10443" t="s">
        <v>31206</v>
      </c>
      <c r="D10443" t="s">
        <v>385</v>
      </c>
      <c r="E10443" t="s">
        <v>31207</v>
      </c>
      <c r="F10443" t="s">
        <v>7672</v>
      </c>
      <c r="G10443" t="s">
        <v>31208</v>
      </c>
      <c r="H10443" t="s">
        <v>7974</v>
      </c>
      <c r="I10443" t="s">
        <v>31209</v>
      </c>
      <c r="J10443" t="s">
        <v>8439</v>
      </c>
    </row>
    <row r="10444" spans="1:10" x14ac:dyDescent="0.25">
      <c r="A10444" t="s">
        <v>31210</v>
      </c>
      <c r="B10444">
        <v>8</v>
      </c>
      <c r="C10444" t="s">
        <v>31211</v>
      </c>
      <c r="D10444" t="s">
        <v>2879</v>
      </c>
      <c r="E10444" t="s">
        <v>31207</v>
      </c>
      <c r="F10444" t="s">
        <v>7672</v>
      </c>
      <c r="G10444" t="s">
        <v>31208</v>
      </c>
      <c r="H10444" t="s">
        <v>7974</v>
      </c>
      <c r="I10444" t="s">
        <v>31209</v>
      </c>
      <c r="J10444" t="s">
        <v>8451</v>
      </c>
    </row>
    <row r="10445" spans="1:10" x14ac:dyDescent="0.25">
      <c r="A10445" t="s">
        <v>31212</v>
      </c>
      <c r="B10445">
        <v>8</v>
      </c>
      <c r="C10445" t="s">
        <v>31213</v>
      </c>
      <c r="D10445" t="s">
        <v>277</v>
      </c>
      <c r="E10445" t="s">
        <v>31207</v>
      </c>
      <c r="F10445" t="s">
        <v>7672</v>
      </c>
      <c r="G10445" t="s">
        <v>31208</v>
      </c>
      <c r="H10445" t="s">
        <v>7974</v>
      </c>
      <c r="I10445" t="s">
        <v>31209</v>
      </c>
      <c r="J10445" t="s">
        <v>8462</v>
      </c>
    </row>
    <row r="10446" spans="1:10" x14ac:dyDescent="0.25">
      <c r="A10446" t="s">
        <v>31214</v>
      </c>
      <c r="B10446">
        <v>8</v>
      </c>
      <c r="C10446" t="s">
        <v>31215</v>
      </c>
      <c r="D10446" t="s">
        <v>199</v>
      </c>
      <c r="E10446" t="s">
        <v>31207</v>
      </c>
      <c r="F10446" t="s">
        <v>7672</v>
      </c>
      <c r="G10446" t="s">
        <v>31208</v>
      </c>
      <c r="H10446" t="s">
        <v>7974</v>
      </c>
      <c r="I10446" t="s">
        <v>31209</v>
      </c>
      <c r="J10446" t="s">
        <v>9998</v>
      </c>
    </row>
    <row r="10447" spans="1:10" x14ac:dyDescent="0.25">
      <c r="A10447" t="s">
        <v>31216</v>
      </c>
      <c r="B10447">
        <v>8</v>
      </c>
      <c r="C10447" t="s">
        <v>31217</v>
      </c>
      <c r="D10447" t="s">
        <v>576</v>
      </c>
      <c r="E10447" t="s">
        <v>31207</v>
      </c>
      <c r="F10447" t="s">
        <v>7672</v>
      </c>
      <c r="G10447" t="s">
        <v>31208</v>
      </c>
      <c r="H10447" t="s">
        <v>7974</v>
      </c>
      <c r="I10447" t="s">
        <v>31218</v>
      </c>
      <c r="J10447" t="s">
        <v>9998</v>
      </c>
    </row>
    <row r="10448" spans="1:10" x14ac:dyDescent="0.25">
      <c r="A10448" t="s">
        <v>31219</v>
      </c>
      <c r="B10448">
        <v>12.096</v>
      </c>
      <c r="C10448" t="s">
        <v>31220</v>
      </c>
      <c r="D10448" t="s">
        <v>113</v>
      </c>
      <c r="E10448" t="s">
        <v>31221</v>
      </c>
      <c r="F10448" t="s">
        <v>7672</v>
      </c>
      <c r="G10448" t="s">
        <v>31222</v>
      </c>
      <c r="H10448" t="s">
        <v>12519</v>
      </c>
      <c r="I10448" t="s">
        <v>278</v>
      </c>
      <c r="J10448" t="s">
        <v>7981</v>
      </c>
    </row>
    <row r="10449" spans="1:10" x14ac:dyDescent="0.25">
      <c r="A10449" t="s">
        <v>31223</v>
      </c>
      <c r="B10449">
        <v>12.096</v>
      </c>
      <c r="C10449" t="s">
        <v>31224</v>
      </c>
      <c r="D10449" t="s">
        <v>926</v>
      </c>
      <c r="E10449" t="s">
        <v>31221</v>
      </c>
      <c r="F10449" t="s">
        <v>7672</v>
      </c>
      <c r="G10449" t="s">
        <v>31222</v>
      </c>
      <c r="H10449" t="s">
        <v>12519</v>
      </c>
      <c r="I10449" t="s">
        <v>278</v>
      </c>
      <c r="J10449" t="s">
        <v>7984</v>
      </c>
    </row>
    <row r="10450" spans="1:10" x14ac:dyDescent="0.25">
      <c r="A10450" t="s">
        <v>31225</v>
      </c>
      <c r="B10450">
        <v>12.096</v>
      </c>
      <c r="C10450" t="s">
        <v>31226</v>
      </c>
      <c r="D10450" t="s">
        <v>516</v>
      </c>
      <c r="E10450" t="s">
        <v>31221</v>
      </c>
      <c r="F10450" t="s">
        <v>7672</v>
      </c>
      <c r="G10450" t="s">
        <v>31222</v>
      </c>
      <c r="H10450" t="s">
        <v>12519</v>
      </c>
      <c r="I10450" t="s">
        <v>278</v>
      </c>
      <c r="J10450" t="s">
        <v>7987</v>
      </c>
    </row>
    <row r="10451" spans="1:10" x14ac:dyDescent="0.25">
      <c r="A10451" t="s">
        <v>31227</v>
      </c>
      <c r="B10451">
        <v>7.4960000000000004</v>
      </c>
      <c r="C10451" t="s">
        <v>31228</v>
      </c>
      <c r="D10451" t="s">
        <v>60</v>
      </c>
      <c r="E10451" t="s">
        <v>31229</v>
      </c>
      <c r="F10451" t="s">
        <v>7672</v>
      </c>
      <c r="G10451" t="s">
        <v>31230</v>
      </c>
      <c r="H10451" t="s">
        <v>7674</v>
      </c>
      <c r="I10451" t="s">
        <v>1413</v>
      </c>
      <c r="J10451" t="s">
        <v>95</v>
      </c>
    </row>
    <row r="10452" spans="1:10" x14ac:dyDescent="0.25">
      <c r="A10452" t="s">
        <v>31231</v>
      </c>
      <c r="B10452">
        <v>7.4960000000000004</v>
      </c>
      <c r="C10452" t="s">
        <v>31232</v>
      </c>
      <c r="D10452" t="s">
        <v>100</v>
      </c>
      <c r="E10452" t="s">
        <v>31229</v>
      </c>
      <c r="F10452" t="s">
        <v>7672</v>
      </c>
      <c r="G10452" t="s">
        <v>31230</v>
      </c>
      <c r="H10452" t="s">
        <v>7674</v>
      </c>
      <c r="I10452" t="s">
        <v>31233</v>
      </c>
      <c r="J10452" t="s">
        <v>95</v>
      </c>
    </row>
    <row r="10453" spans="1:10" x14ac:dyDescent="0.25">
      <c r="A10453" t="s">
        <v>31234</v>
      </c>
      <c r="B10453">
        <v>7.4960000000000004</v>
      </c>
      <c r="C10453" t="s">
        <v>31235</v>
      </c>
      <c r="D10453" t="s">
        <v>781</v>
      </c>
      <c r="E10453" t="s">
        <v>31229</v>
      </c>
      <c r="F10453" t="s">
        <v>7672</v>
      </c>
      <c r="G10453" t="s">
        <v>31230</v>
      </c>
      <c r="H10453" t="s">
        <v>7674</v>
      </c>
      <c r="I10453" t="s">
        <v>31233</v>
      </c>
      <c r="J10453" t="s">
        <v>9183</v>
      </c>
    </row>
    <row r="10454" spans="1:10" x14ac:dyDescent="0.25">
      <c r="A10454" t="s">
        <v>31236</v>
      </c>
      <c r="B10454">
        <v>7.4960000000000004</v>
      </c>
      <c r="C10454" t="s">
        <v>31237</v>
      </c>
      <c r="D10454" t="s">
        <v>60</v>
      </c>
      <c r="E10454" t="s">
        <v>31229</v>
      </c>
      <c r="F10454" t="s">
        <v>7672</v>
      </c>
      <c r="G10454" t="s">
        <v>31230</v>
      </c>
      <c r="H10454" t="s">
        <v>7674</v>
      </c>
      <c r="I10454" t="s">
        <v>1413</v>
      </c>
      <c r="J10454" t="s">
        <v>9183</v>
      </c>
    </row>
    <row r="10455" spans="1:10" x14ac:dyDescent="0.25">
      <c r="A10455" t="s">
        <v>31238</v>
      </c>
      <c r="B10455">
        <v>4.16</v>
      </c>
      <c r="C10455" t="s">
        <v>31239</v>
      </c>
      <c r="D10455" t="s">
        <v>199</v>
      </c>
      <c r="E10455" t="s">
        <v>31240</v>
      </c>
      <c r="F10455" t="s">
        <v>7672</v>
      </c>
      <c r="G10455" t="s">
        <v>31241</v>
      </c>
      <c r="H10455" t="s">
        <v>26624</v>
      </c>
      <c r="I10455" t="s">
        <v>31242</v>
      </c>
      <c r="J10455" t="s">
        <v>7942</v>
      </c>
    </row>
    <row r="10456" spans="1:10" x14ac:dyDescent="0.25">
      <c r="A10456" t="s">
        <v>31243</v>
      </c>
      <c r="B10456">
        <v>4.16</v>
      </c>
      <c r="C10456" t="s">
        <v>31244</v>
      </c>
      <c r="D10456" t="s">
        <v>1134</v>
      </c>
      <c r="E10456" t="s">
        <v>31240</v>
      </c>
      <c r="F10456" t="s">
        <v>7672</v>
      </c>
      <c r="G10456" t="s">
        <v>31241</v>
      </c>
      <c r="H10456" t="s">
        <v>26624</v>
      </c>
      <c r="I10456" t="s">
        <v>31245</v>
      </c>
      <c r="J10456" t="s">
        <v>7942</v>
      </c>
    </row>
    <row r="10457" spans="1:10" x14ac:dyDescent="0.25">
      <c r="A10457" t="s">
        <v>31246</v>
      </c>
      <c r="B10457">
        <v>4.16</v>
      </c>
      <c r="C10457" t="s">
        <v>31247</v>
      </c>
      <c r="D10457" t="s">
        <v>2072</v>
      </c>
      <c r="E10457" t="s">
        <v>31240</v>
      </c>
      <c r="F10457" t="s">
        <v>7672</v>
      </c>
      <c r="G10457" t="s">
        <v>31241</v>
      </c>
      <c r="H10457" t="s">
        <v>26624</v>
      </c>
      <c r="I10457" t="s">
        <v>31248</v>
      </c>
      <c r="J10457" t="s">
        <v>7942</v>
      </c>
    </row>
    <row r="10458" spans="1:10" x14ac:dyDescent="0.25">
      <c r="A10458" t="s">
        <v>31249</v>
      </c>
      <c r="B10458">
        <v>4.16</v>
      </c>
      <c r="C10458" t="s">
        <v>31250</v>
      </c>
      <c r="D10458" t="s">
        <v>286</v>
      </c>
      <c r="E10458" t="s">
        <v>31240</v>
      </c>
      <c r="F10458" t="s">
        <v>7672</v>
      </c>
      <c r="G10458" t="s">
        <v>31241</v>
      </c>
      <c r="H10458" t="s">
        <v>26624</v>
      </c>
      <c r="I10458" t="s">
        <v>31248</v>
      </c>
      <c r="J10458" t="s">
        <v>7981</v>
      </c>
    </row>
    <row r="10459" spans="1:10" x14ac:dyDescent="0.25">
      <c r="A10459" t="s">
        <v>31251</v>
      </c>
      <c r="B10459">
        <v>4.16</v>
      </c>
      <c r="C10459" t="s">
        <v>31252</v>
      </c>
      <c r="D10459" t="s">
        <v>124</v>
      </c>
      <c r="E10459" t="s">
        <v>31240</v>
      </c>
      <c r="F10459" t="s">
        <v>7672</v>
      </c>
      <c r="G10459" t="s">
        <v>31241</v>
      </c>
      <c r="H10459" t="s">
        <v>26624</v>
      </c>
      <c r="I10459" t="s">
        <v>31245</v>
      </c>
      <c r="J10459" t="s">
        <v>7984</v>
      </c>
    </row>
    <row r="10460" spans="1:10" x14ac:dyDescent="0.25">
      <c r="A10460" t="s">
        <v>31253</v>
      </c>
      <c r="B10460">
        <v>4.16</v>
      </c>
      <c r="C10460" t="s">
        <v>31254</v>
      </c>
      <c r="D10460" t="s">
        <v>959</v>
      </c>
      <c r="E10460" t="s">
        <v>31240</v>
      </c>
      <c r="F10460" t="s">
        <v>7672</v>
      </c>
      <c r="G10460" t="s">
        <v>31241</v>
      </c>
      <c r="H10460" t="s">
        <v>26624</v>
      </c>
      <c r="I10460" t="s">
        <v>31248</v>
      </c>
      <c r="J10460" t="s">
        <v>7984</v>
      </c>
    </row>
    <row r="10461" spans="1:10" x14ac:dyDescent="0.25">
      <c r="A10461" t="s">
        <v>31255</v>
      </c>
      <c r="B10461">
        <v>4.16</v>
      </c>
      <c r="C10461" t="s">
        <v>31256</v>
      </c>
      <c r="D10461" t="s">
        <v>277</v>
      </c>
      <c r="E10461" t="s">
        <v>31240</v>
      </c>
      <c r="F10461" t="s">
        <v>7672</v>
      </c>
      <c r="G10461" t="s">
        <v>31241</v>
      </c>
      <c r="H10461" t="s">
        <v>26624</v>
      </c>
      <c r="I10461" t="s">
        <v>31248</v>
      </c>
      <c r="J10461" t="s">
        <v>7987</v>
      </c>
    </row>
    <row r="10462" spans="1:10" x14ac:dyDescent="0.25">
      <c r="A10462" t="s">
        <v>31257</v>
      </c>
      <c r="B10462">
        <v>4.16</v>
      </c>
      <c r="C10462" t="s">
        <v>31258</v>
      </c>
      <c r="D10462" t="s">
        <v>2697</v>
      </c>
      <c r="E10462" t="s">
        <v>31240</v>
      </c>
      <c r="F10462" t="s">
        <v>7672</v>
      </c>
      <c r="G10462" t="s">
        <v>31241</v>
      </c>
      <c r="H10462" t="s">
        <v>26624</v>
      </c>
      <c r="I10462" t="s">
        <v>31245</v>
      </c>
      <c r="J10462" t="s">
        <v>7987</v>
      </c>
    </row>
    <row r="10463" spans="1:10" x14ac:dyDescent="0.25">
      <c r="A10463" t="s">
        <v>31259</v>
      </c>
      <c r="B10463">
        <v>4.16</v>
      </c>
      <c r="C10463" t="s">
        <v>31260</v>
      </c>
      <c r="D10463" t="s">
        <v>255</v>
      </c>
      <c r="E10463" t="s">
        <v>31240</v>
      </c>
      <c r="F10463" t="s">
        <v>7672</v>
      </c>
      <c r="G10463" t="s">
        <v>31241</v>
      </c>
      <c r="H10463" t="s">
        <v>26624</v>
      </c>
      <c r="I10463" t="s">
        <v>31261</v>
      </c>
      <c r="J10463" t="s">
        <v>7987</v>
      </c>
    </row>
    <row r="10464" spans="1:10" x14ac:dyDescent="0.25">
      <c r="A10464" t="s">
        <v>31262</v>
      </c>
      <c r="B10464">
        <v>4.16</v>
      </c>
      <c r="C10464" t="s">
        <v>31263</v>
      </c>
      <c r="D10464" t="s">
        <v>352</v>
      </c>
      <c r="E10464" t="s">
        <v>31240</v>
      </c>
      <c r="F10464" t="s">
        <v>7672</v>
      </c>
      <c r="G10464" t="s">
        <v>31241</v>
      </c>
      <c r="H10464" t="s">
        <v>26624</v>
      </c>
      <c r="I10464" t="s">
        <v>31248</v>
      </c>
      <c r="J10464" t="s">
        <v>8001</v>
      </c>
    </row>
    <row r="10465" spans="1:10" x14ac:dyDescent="0.25">
      <c r="A10465" t="s">
        <v>31264</v>
      </c>
      <c r="B10465">
        <v>4.16</v>
      </c>
      <c r="C10465" t="s">
        <v>31265</v>
      </c>
      <c r="D10465" t="s">
        <v>2879</v>
      </c>
      <c r="E10465" t="s">
        <v>31240</v>
      </c>
      <c r="F10465" t="s">
        <v>7672</v>
      </c>
      <c r="G10465" t="s">
        <v>31241</v>
      </c>
      <c r="H10465" t="s">
        <v>26624</v>
      </c>
      <c r="I10465" t="s">
        <v>31261</v>
      </c>
      <c r="J10465" t="s">
        <v>8001</v>
      </c>
    </row>
    <row r="10466" spans="1:10" x14ac:dyDescent="0.25">
      <c r="A10466" t="s">
        <v>31266</v>
      </c>
      <c r="B10466">
        <v>4.16</v>
      </c>
      <c r="C10466" t="s">
        <v>31267</v>
      </c>
      <c r="D10466" t="s">
        <v>576</v>
      </c>
      <c r="E10466" t="s">
        <v>31240</v>
      </c>
      <c r="F10466" t="s">
        <v>7672</v>
      </c>
      <c r="G10466" t="s">
        <v>31241</v>
      </c>
      <c r="H10466" t="s">
        <v>26624</v>
      </c>
      <c r="I10466" t="s">
        <v>31248</v>
      </c>
      <c r="J10466" t="s">
        <v>8013</v>
      </c>
    </row>
    <row r="10467" spans="1:10" x14ac:dyDescent="0.25">
      <c r="A10467" t="s">
        <v>31268</v>
      </c>
      <c r="B10467">
        <v>4.16</v>
      </c>
      <c r="C10467" t="s">
        <v>31269</v>
      </c>
      <c r="D10467" t="s">
        <v>60</v>
      </c>
      <c r="E10467" t="s">
        <v>31240</v>
      </c>
      <c r="F10467" t="s">
        <v>7672</v>
      </c>
      <c r="G10467" t="s">
        <v>31241</v>
      </c>
      <c r="H10467" t="s">
        <v>26624</v>
      </c>
      <c r="I10467" t="s">
        <v>31270</v>
      </c>
      <c r="J10467" t="s">
        <v>8013</v>
      </c>
    </row>
    <row r="10468" spans="1:10" x14ac:dyDescent="0.25">
      <c r="A10468" t="s">
        <v>31271</v>
      </c>
      <c r="B10468">
        <v>4.16</v>
      </c>
      <c r="C10468" t="s">
        <v>31272</v>
      </c>
      <c r="D10468" t="s">
        <v>301</v>
      </c>
      <c r="E10468" t="s">
        <v>31240</v>
      </c>
      <c r="F10468" t="s">
        <v>7672</v>
      </c>
      <c r="G10468" t="s">
        <v>31241</v>
      </c>
      <c r="H10468" t="s">
        <v>26624</v>
      </c>
      <c r="I10468" t="s">
        <v>31261</v>
      </c>
      <c r="J10468" t="s">
        <v>8013</v>
      </c>
    </row>
    <row r="10469" spans="1:10" x14ac:dyDescent="0.25">
      <c r="A10469" t="s">
        <v>31273</v>
      </c>
      <c r="B10469">
        <v>4.16</v>
      </c>
      <c r="C10469" t="s">
        <v>31274</v>
      </c>
      <c r="D10469" t="s">
        <v>106</v>
      </c>
      <c r="E10469" t="s">
        <v>31240</v>
      </c>
      <c r="F10469" t="s">
        <v>7672</v>
      </c>
      <c r="G10469" t="s">
        <v>31241</v>
      </c>
      <c r="H10469" t="s">
        <v>26624</v>
      </c>
      <c r="I10469" t="s">
        <v>31242</v>
      </c>
      <c r="J10469" t="s">
        <v>8013</v>
      </c>
    </row>
    <row r="10470" spans="1:10" x14ac:dyDescent="0.25">
      <c r="A10470" t="s">
        <v>31275</v>
      </c>
      <c r="B10470">
        <v>9.36</v>
      </c>
      <c r="C10470" t="s">
        <v>31276</v>
      </c>
      <c r="D10470" t="s">
        <v>865</v>
      </c>
      <c r="E10470" t="s">
        <v>31277</v>
      </c>
      <c r="F10470" t="s">
        <v>7672</v>
      </c>
      <c r="G10470" t="s">
        <v>31278</v>
      </c>
      <c r="H10470" t="s">
        <v>24169</v>
      </c>
      <c r="I10470" t="s">
        <v>31279</v>
      </c>
      <c r="J10470" t="s">
        <v>10908</v>
      </c>
    </row>
    <row r="10471" spans="1:10" x14ac:dyDescent="0.25">
      <c r="A10471" t="s">
        <v>31280</v>
      </c>
      <c r="B10471">
        <v>9.36</v>
      </c>
      <c r="C10471" t="s">
        <v>31281</v>
      </c>
      <c r="D10471" t="s">
        <v>9671</v>
      </c>
      <c r="E10471" t="s">
        <v>31277</v>
      </c>
      <c r="F10471" t="s">
        <v>7672</v>
      </c>
      <c r="G10471" t="s">
        <v>31278</v>
      </c>
      <c r="H10471" t="s">
        <v>24169</v>
      </c>
      <c r="I10471" t="s">
        <v>31279</v>
      </c>
      <c r="J10471" t="s">
        <v>10926</v>
      </c>
    </row>
    <row r="10472" spans="1:10" x14ac:dyDescent="0.25">
      <c r="A10472" t="s">
        <v>31282</v>
      </c>
      <c r="B10472">
        <v>9.36</v>
      </c>
      <c r="C10472" t="s">
        <v>31283</v>
      </c>
      <c r="D10472" t="s">
        <v>588</v>
      </c>
      <c r="E10472" t="s">
        <v>31277</v>
      </c>
      <c r="F10472" t="s">
        <v>7672</v>
      </c>
      <c r="G10472" t="s">
        <v>31278</v>
      </c>
      <c r="H10472" t="s">
        <v>24169</v>
      </c>
      <c r="I10472" t="s">
        <v>31279</v>
      </c>
      <c r="J10472" t="s">
        <v>10918</v>
      </c>
    </row>
    <row r="10473" spans="1:10" x14ac:dyDescent="0.25">
      <c r="A10473" t="s">
        <v>31284</v>
      </c>
      <c r="B10473">
        <v>15.592000000000001</v>
      </c>
      <c r="C10473" t="s">
        <v>31285</v>
      </c>
      <c r="D10473" t="s">
        <v>2149</v>
      </c>
      <c r="E10473" t="s">
        <v>31286</v>
      </c>
      <c r="F10473" t="s">
        <v>7672</v>
      </c>
      <c r="G10473" t="s">
        <v>31287</v>
      </c>
      <c r="H10473" t="s">
        <v>9127</v>
      </c>
      <c r="I10473" t="s">
        <v>76</v>
      </c>
      <c r="J10473" t="s">
        <v>8427</v>
      </c>
    </row>
    <row r="10474" spans="1:10" x14ac:dyDescent="0.25">
      <c r="A10474" t="s">
        <v>31288</v>
      </c>
      <c r="B10474">
        <v>15.592000000000001</v>
      </c>
      <c r="C10474" t="s">
        <v>31289</v>
      </c>
      <c r="D10474" t="s">
        <v>7057</v>
      </c>
      <c r="E10474" t="s">
        <v>31286</v>
      </c>
      <c r="F10474" t="s">
        <v>7672</v>
      </c>
      <c r="G10474" t="s">
        <v>31287</v>
      </c>
      <c r="H10474" t="s">
        <v>9127</v>
      </c>
      <c r="I10474" t="s">
        <v>76</v>
      </c>
      <c r="J10474" t="s">
        <v>8439</v>
      </c>
    </row>
    <row r="10475" spans="1:10" x14ac:dyDescent="0.25">
      <c r="A10475" t="s">
        <v>31290</v>
      </c>
      <c r="B10475">
        <v>15.592000000000001</v>
      </c>
      <c r="C10475" t="s">
        <v>31291</v>
      </c>
      <c r="D10475" t="s">
        <v>8618</v>
      </c>
      <c r="E10475" t="s">
        <v>31286</v>
      </c>
      <c r="F10475" t="s">
        <v>7672</v>
      </c>
      <c r="G10475" t="s">
        <v>31287</v>
      </c>
      <c r="H10475" t="s">
        <v>9127</v>
      </c>
      <c r="I10475" t="s">
        <v>76</v>
      </c>
      <c r="J10475" t="s">
        <v>8451</v>
      </c>
    </row>
    <row r="10476" spans="1:10" x14ac:dyDescent="0.25">
      <c r="A10476" t="s">
        <v>31292</v>
      </c>
      <c r="B10476">
        <v>15.592000000000001</v>
      </c>
      <c r="C10476" t="s">
        <v>31293</v>
      </c>
      <c r="D10476" t="s">
        <v>3184</v>
      </c>
      <c r="E10476" t="s">
        <v>31286</v>
      </c>
      <c r="F10476" t="s">
        <v>7672</v>
      </c>
      <c r="G10476" t="s">
        <v>31287</v>
      </c>
      <c r="H10476" t="s">
        <v>9127</v>
      </c>
      <c r="I10476" t="s">
        <v>76</v>
      </c>
      <c r="J10476" t="s">
        <v>8462</v>
      </c>
    </row>
    <row r="10477" spans="1:10" x14ac:dyDescent="0.25">
      <c r="A10477" t="s">
        <v>31294</v>
      </c>
      <c r="B10477">
        <v>9.5920000000000005</v>
      </c>
      <c r="C10477" t="s">
        <v>31295</v>
      </c>
      <c r="D10477" t="s">
        <v>6155</v>
      </c>
      <c r="E10477" t="s">
        <v>31296</v>
      </c>
      <c r="F10477" t="s">
        <v>7672</v>
      </c>
      <c r="G10477" t="s">
        <v>31297</v>
      </c>
      <c r="H10477" t="s">
        <v>7674</v>
      </c>
      <c r="I10477" t="s">
        <v>31298</v>
      </c>
      <c r="J10477" t="s">
        <v>9694</v>
      </c>
    </row>
    <row r="10478" spans="1:10" x14ac:dyDescent="0.25">
      <c r="A10478" t="s">
        <v>31299</v>
      </c>
      <c r="B10478">
        <v>7.1920000000000002</v>
      </c>
      <c r="C10478" t="s">
        <v>31300</v>
      </c>
      <c r="D10478" t="s">
        <v>588</v>
      </c>
      <c r="E10478" t="s">
        <v>31301</v>
      </c>
      <c r="F10478" t="s">
        <v>7672</v>
      </c>
      <c r="G10478" t="s">
        <v>31302</v>
      </c>
      <c r="H10478" t="s">
        <v>7674</v>
      </c>
      <c r="I10478" t="s">
        <v>11082</v>
      </c>
      <c r="J10478" t="s">
        <v>16039</v>
      </c>
    </row>
    <row r="10479" spans="1:10" x14ac:dyDescent="0.25">
      <c r="A10479" t="s">
        <v>31303</v>
      </c>
      <c r="B10479">
        <v>7.1920000000000002</v>
      </c>
      <c r="C10479" t="s">
        <v>31304</v>
      </c>
      <c r="D10479" t="s">
        <v>2099</v>
      </c>
      <c r="E10479" t="s">
        <v>31301</v>
      </c>
      <c r="F10479" t="s">
        <v>7672</v>
      </c>
      <c r="G10479" t="s">
        <v>31302</v>
      </c>
      <c r="H10479" t="s">
        <v>7674</v>
      </c>
      <c r="I10479" t="s">
        <v>11082</v>
      </c>
      <c r="J10479" t="s">
        <v>16064</v>
      </c>
    </row>
    <row r="10480" spans="1:10" x14ac:dyDescent="0.25">
      <c r="A10480" t="s">
        <v>31305</v>
      </c>
      <c r="B10480">
        <v>7.1920000000000002</v>
      </c>
      <c r="C10480" t="s">
        <v>31306</v>
      </c>
      <c r="D10480" t="s">
        <v>903</v>
      </c>
      <c r="E10480" t="s">
        <v>31301</v>
      </c>
      <c r="F10480" t="s">
        <v>7672</v>
      </c>
      <c r="G10480" t="s">
        <v>31302</v>
      </c>
      <c r="H10480" t="s">
        <v>7674</v>
      </c>
      <c r="I10480" t="s">
        <v>11082</v>
      </c>
      <c r="J10480" t="s">
        <v>16089</v>
      </c>
    </row>
    <row r="10481" spans="1:10" x14ac:dyDescent="0.25">
      <c r="A10481" t="s">
        <v>31307</v>
      </c>
      <c r="B10481">
        <v>7.1920000000000002</v>
      </c>
      <c r="C10481" t="s">
        <v>31308</v>
      </c>
      <c r="D10481" t="s">
        <v>379</v>
      </c>
      <c r="E10481" t="s">
        <v>31301</v>
      </c>
      <c r="F10481" t="s">
        <v>7672</v>
      </c>
      <c r="G10481" t="s">
        <v>31302</v>
      </c>
      <c r="H10481" t="s">
        <v>7674</v>
      </c>
      <c r="I10481" t="s">
        <v>11082</v>
      </c>
      <c r="J10481" t="s">
        <v>16104</v>
      </c>
    </row>
    <row r="10482" spans="1:10" x14ac:dyDescent="0.25">
      <c r="A10482" t="s">
        <v>31309</v>
      </c>
      <c r="B10482">
        <v>7.1920000000000002</v>
      </c>
      <c r="C10482" t="s">
        <v>31310</v>
      </c>
      <c r="D10482" t="s">
        <v>959</v>
      </c>
      <c r="E10482" t="s">
        <v>31301</v>
      </c>
      <c r="F10482" t="s">
        <v>7672</v>
      </c>
      <c r="G10482" t="s">
        <v>31302</v>
      </c>
      <c r="H10482" t="s">
        <v>7674</v>
      </c>
      <c r="I10482" t="s">
        <v>11082</v>
      </c>
      <c r="J10482" t="s">
        <v>16125</v>
      </c>
    </row>
    <row r="10483" spans="1:10" x14ac:dyDescent="0.25">
      <c r="A10483" t="s">
        <v>31311</v>
      </c>
      <c r="B10483">
        <v>7.1920000000000002</v>
      </c>
      <c r="C10483" t="s">
        <v>31312</v>
      </c>
      <c r="D10483" t="s">
        <v>118</v>
      </c>
      <c r="E10483" t="s">
        <v>31301</v>
      </c>
      <c r="F10483" t="s">
        <v>7672</v>
      </c>
      <c r="G10483" t="s">
        <v>31302</v>
      </c>
      <c r="H10483" t="s">
        <v>7674</v>
      </c>
      <c r="I10483" t="s">
        <v>11082</v>
      </c>
      <c r="J10483" t="s">
        <v>16143</v>
      </c>
    </row>
    <row r="10484" spans="1:10" x14ac:dyDescent="0.25">
      <c r="A10484" t="s">
        <v>914</v>
      </c>
      <c r="B10484">
        <v>53.2</v>
      </c>
      <c r="C10484" t="s">
        <v>916</v>
      </c>
      <c r="D10484" t="s">
        <v>290</v>
      </c>
      <c r="E10484" t="s">
        <v>917</v>
      </c>
      <c r="F10484" t="s">
        <v>7672</v>
      </c>
      <c r="G10484" t="s">
        <v>31313</v>
      </c>
      <c r="H10484" t="s">
        <v>9232</v>
      </c>
      <c r="I10484" t="s">
        <v>2213</v>
      </c>
      <c r="J10484" t="s">
        <v>7675</v>
      </c>
    </row>
    <row r="10485" spans="1:10" x14ac:dyDescent="0.25">
      <c r="A10485" t="s">
        <v>31314</v>
      </c>
      <c r="B10485">
        <v>5.4</v>
      </c>
      <c r="C10485" t="s">
        <v>31315</v>
      </c>
      <c r="D10485" t="s">
        <v>4924</v>
      </c>
      <c r="E10485" t="s">
        <v>31316</v>
      </c>
      <c r="F10485" t="s">
        <v>7672</v>
      </c>
      <c r="G10485" t="s">
        <v>31317</v>
      </c>
      <c r="H10485" t="s">
        <v>11496</v>
      </c>
      <c r="I10485" t="s">
        <v>12093</v>
      </c>
      <c r="J10485" t="s">
        <v>100</v>
      </c>
    </row>
    <row r="10486" spans="1:10" x14ac:dyDescent="0.25">
      <c r="A10486" t="s">
        <v>31318</v>
      </c>
      <c r="B10486">
        <v>4.32</v>
      </c>
      <c r="C10486" t="s">
        <v>31319</v>
      </c>
      <c r="D10486" t="s">
        <v>199</v>
      </c>
      <c r="E10486" t="s">
        <v>31320</v>
      </c>
      <c r="F10486" t="s">
        <v>7672</v>
      </c>
      <c r="G10486" t="s">
        <v>31321</v>
      </c>
      <c r="H10486" t="s">
        <v>16993</v>
      </c>
      <c r="I10486" t="s">
        <v>24896</v>
      </c>
      <c r="J10486" t="s">
        <v>131</v>
      </c>
    </row>
    <row r="10487" spans="1:10" x14ac:dyDescent="0.25">
      <c r="A10487" t="s">
        <v>31322</v>
      </c>
      <c r="B10487">
        <v>4.32</v>
      </c>
      <c r="C10487" t="s">
        <v>31323</v>
      </c>
      <c r="D10487" t="s">
        <v>849</v>
      </c>
      <c r="E10487" t="s">
        <v>31320</v>
      </c>
      <c r="F10487" t="s">
        <v>7672</v>
      </c>
      <c r="G10487" t="s">
        <v>31321</v>
      </c>
      <c r="H10487" t="s">
        <v>16993</v>
      </c>
      <c r="I10487" t="s">
        <v>24896</v>
      </c>
      <c r="J10487" t="s">
        <v>269</v>
      </c>
    </row>
    <row r="10488" spans="1:10" x14ac:dyDescent="0.25">
      <c r="A10488" t="s">
        <v>31324</v>
      </c>
      <c r="B10488">
        <v>4.32</v>
      </c>
      <c r="C10488" t="s">
        <v>31325</v>
      </c>
      <c r="D10488" t="s">
        <v>379</v>
      </c>
      <c r="E10488" t="s">
        <v>31320</v>
      </c>
      <c r="F10488" t="s">
        <v>7672</v>
      </c>
      <c r="G10488" t="s">
        <v>31321</v>
      </c>
      <c r="H10488" t="s">
        <v>16993</v>
      </c>
      <c r="I10488" t="s">
        <v>24896</v>
      </c>
      <c r="J10488" t="s">
        <v>255</v>
      </c>
    </row>
    <row r="10489" spans="1:10" x14ac:dyDescent="0.25">
      <c r="A10489" t="s">
        <v>31326</v>
      </c>
      <c r="B10489">
        <v>5.2</v>
      </c>
      <c r="C10489" t="s">
        <v>31327</v>
      </c>
      <c r="D10489" t="s">
        <v>436</v>
      </c>
      <c r="E10489" t="s">
        <v>31328</v>
      </c>
      <c r="F10489" t="s">
        <v>7672</v>
      </c>
      <c r="G10489" t="s">
        <v>31329</v>
      </c>
      <c r="H10489" t="s">
        <v>29304</v>
      </c>
      <c r="I10489" t="s">
        <v>10349</v>
      </c>
      <c r="J10489" t="s">
        <v>100</v>
      </c>
    </row>
    <row r="10490" spans="1:10" x14ac:dyDescent="0.25">
      <c r="A10490" t="s">
        <v>31330</v>
      </c>
      <c r="B10490">
        <v>5.2</v>
      </c>
      <c r="C10490" t="s">
        <v>31331</v>
      </c>
      <c r="D10490" t="s">
        <v>2697</v>
      </c>
      <c r="E10490" t="s">
        <v>31328</v>
      </c>
      <c r="F10490" t="s">
        <v>7672</v>
      </c>
      <c r="G10490" t="s">
        <v>31329</v>
      </c>
      <c r="H10490" t="s">
        <v>29304</v>
      </c>
      <c r="I10490" t="s">
        <v>10349</v>
      </c>
      <c r="J10490" t="s">
        <v>106</v>
      </c>
    </row>
    <row r="10491" spans="1:10" x14ac:dyDescent="0.25">
      <c r="A10491" t="s">
        <v>31332</v>
      </c>
      <c r="B10491">
        <v>5.2</v>
      </c>
      <c r="C10491" t="s">
        <v>31333</v>
      </c>
      <c r="D10491" t="s">
        <v>366</v>
      </c>
      <c r="E10491" t="s">
        <v>31328</v>
      </c>
      <c r="F10491" t="s">
        <v>7672</v>
      </c>
      <c r="G10491" t="s">
        <v>31329</v>
      </c>
      <c r="H10491" t="s">
        <v>29304</v>
      </c>
      <c r="I10491" t="s">
        <v>10349</v>
      </c>
      <c r="J10491" t="s">
        <v>88</v>
      </c>
    </row>
    <row r="10492" spans="1:10" x14ac:dyDescent="0.25">
      <c r="A10492" t="s">
        <v>31334</v>
      </c>
      <c r="B10492">
        <v>5.2</v>
      </c>
      <c r="C10492" t="s">
        <v>31335</v>
      </c>
      <c r="D10492" t="s">
        <v>60</v>
      </c>
      <c r="E10492" t="s">
        <v>31328</v>
      </c>
      <c r="F10492" t="s">
        <v>7672</v>
      </c>
      <c r="G10492" t="s">
        <v>31329</v>
      </c>
      <c r="H10492" t="s">
        <v>29304</v>
      </c>
      <c r="I10492" t="s">
        <v>10349</v>
      </c>
      <c r="J10492" t="s">
        <v>131</v>
      </c>
    </row>
    <row r="10493" spans="1:10" x14ac:dyDescent="0.25">
      <c r="A10493" t="s">
        <v>921</v>
      </c>
      <c r="B10493">
        <v>16.495999999999999</v>
      </c>
      <c r="C10493" t="s">
        <v>923</v>
      </c>
      <c r="D10493" t="s">
        <v>926</v>
      </c>
      <c r="E10493" t="s">
        <v>924</v>
      </c>
      <c r="F10493" t="s">
        <v>7672</v>
      </c>
      <c r="G10493" t="s">
        <v>31336</v>
      </c>
      <c r="H10493" t="s">
        <v>8078</v>
      </c>
      <c r="I10493" t="s">
        <v>76</v>
      </c>
      <c r="J10493" t="s">
        <v>9694</v>
      </c>
    </row>
    <row r="10494" spans="1:10" x14ac:dyDescent="0.25">
      <c r="A10494" t="s">
        <v>31337</v>
      </c>
      <c r="B10494">
        <v>6.24</v>
      </c>
      <c r="C10494" t="s">
        <v>31338</v>
      </c>
      <c r="D10494" t="s">
        <v>776</v>
      </c>
      <c r="E10494" t="s">
        <v>31339</v>
      </c>
      <c r="F10494" t="s">
        <v>7672</v>
      </c>
      <c r="G10494" t="s">
        <v>31340</v>
      </c>
      <c r="H10494" t="s">
        <v>11496</v>
      </c>
      <c r="I10494" t="s">
        <v>410</v>
      </c>
      <c r="J10494" t="s">
        <v>9423</v>
      </c>
    </row>
    <row r="10495" spans="1:10" x14ac:dyDescent="0.25">
      <c r="A10495" t="s">
        <v>31341</v>
      </c>
      <c r="B10495">
        <v>6.24</v>
      </c>
      <c r="C10495" t="s">
        <v>31342</v>
      </c>
      <c r="D10495" t="s">
        <v>60</v>
      </c>
      <c r="E10495" t="s">
        <v>31339</v>
      </c>
      <c r="F10495" t="s">
        <v>7672</v>
      </c>
      <c r="G10495" t="s">
        <v>31340</v>
      </c>
      <c r="H10495" t="s">
        <v>11496</v>
      </c>
      <c r="I10495" t="s">
        <v>410</v>
      </c>
      <c r="J10495" t="s">
        <v>10862</v>
      </c>
    </row>
    <row r="10496" spans="1:10" x14ac:dyDescent="0.25">
      <c r="A10496" t="s">
        <v>31343</v>
      </c>
      <c r="B10496">
        <v>6.24</v>
      </c>
      <c r="C10496" t="s">
        <v>31344</v>
      </c>
      <c r="D10496" t="s">
        <v>1254</v>
      </c>
      <c r="E10496" t="s">
        <v>31339</v>
      </c>
      <c r="F10496" t="s">
        <v>7672</v>
      </c>
      <c r="G10496" t="s">
        <v>31340</v>
      </c>
      <c r="H10496" t="s">
        <v>11496</v>
      </c>
      <c r="I10496" t="s">
        <v>410</v>
      </c>
      <c r="J10496" t="s">
        <v>9426</v>
      </c>
    </row>
    <row r="10497" spans="1:10" x14ac:dyDescent="0.25">
      <c r="A10497" t="s">
        <v>31345</v>
      </c>
      <c r="B10497">
        <v>6.24</v>
      </c>
      <c r="C10497" t="s">
        <v>31346</v>
      </c>
      <c r="D10497" t="s">
        <v>245</v>
      </c>
      <c r="E10497" t="s">
        <v>31339</v>
      </c>
      <c r="F10497" t="s">
        <v>7672</v>
      </c>
      <c r="G10497" t="s">
        <v>31340</v>
      </c>
      <c r="H10497" t="s">
        <v>11496</v>
      </c>
      <c r="I10497" t="s">
        <v>410</v>
      </c>
      <c r="J10497" t="s">
        <v>13084</v>
      </c>
    </row>
    <row r="10498" spans="1:10" x14ac:dyDescent="0.25">
      <c r="A10498" t="s">
        <v>928</v>
      </c>
      <c r="B10498">
        <v>8.4</v>
      </c>
      <c r="C10498" t="s">
        <v>930</v>
      </c>
      <c r="D10498" t="s">
        <v>933</v>
      </c>
      <c r="E10498" t="s">
        <v>931</v>
      </c>
      <c r="F10498" t="s">
        <v>7672</v>
      </c>
      <c r="G10498" t="s">
        <v>31347</v>
      </c>
      <c r="H10498" t="s">
        <v>13951</v>
      </c>
      <c r="I10498" t="s">
        <v>497</v>
      </c>
      <c r="J10498" t="s">
        <v>100</v>
      </c>
    </row>
    <row r="10499" spans="1:10" x14ac:dyDescent="0.25">
      <c r="A10499" t="s">
        <v>31348</v>
      </c>
      <c r="B10499">
        <v>7.2</v>
      </c>
      <c r="C10499" t="s">
        <v>31349</v>
      </c>
      <c r="D10499" t="s">
        <v>11566</v>
      </c>
      <c r="E10499" t="s">
        <v>31350</v>
      </c>
      <c r="F10499" t="s">
        <v>7672</v>
      </c>
      <c r="G10499" t="s">
        <v>31351</v>
      </c>
      <c r="H10499" t="s">
        <v>8331</v>
      </c>
      <c r="I10499" t="s">
        <v>3035</v>
      </c>
      <c r="J10499" t="s">
        <v>7981</v>
      </c>
    </row>
    <row r="10500" spans="1:10" x14ac:dyDescent="0.25">
      <c r="A10500" t="s">
        <v>31352</v>
      </c>
      <c r="B10500">
        <v>7.2</v>
      </c>
      <c r="C10500" t="s">
        <v>31353</v>
      </c>
      <c r="D10500" t="s">
        <v>3572</v>
      </c>
      <c r="E10500" t="s">
        <v>31350</v>
      </c>
      <c r="F10500" t="s">
        <v>7672</v>
      </c>
      <c r="G10500" t="s">
        <v>31351</v>
      </c>
      <c r="H10500" t="s">
        <v>8331</v>
      </c>
      <c r="I10500" t="s">
        <v>3035</v>
      </c>
      <c r="J10500" t="s">
        <v>7984</v>
      </c>
    </row>
    <row r="10501" spans="1:10" x14ac:dyDescent="0.25">
      <c r="A10501" t="s">
        <v>31354</v>
      </c>
      <c r="B10501">
        <v>60</v>
      </c>
      <c r="C10501" t="s">
        <v>31355</v>
      </c>
      <c r="D10501" t="s">
        <v>2879</v>
      </c>
      <c r="E10501" t="s">
        <v>31356</v>
      </c>
      <c r="F10501" t="s">
        <v>7672</v>
      </c>
      <c r="G10501" t="s">
        <v>31357</v>
      </c>
      <c r="H10501" t="s">
        <v>22190</v>
      </c>
      <c r="I10501" t="s">
        <v>22191</v>
      </c>
      <c r="J10501" t="s">
        <v>9694</v>
      </c>
    </row>
    <row r="10502" spans="1:10" x14ac:dyDescent="0.25">
      <c r="A10502" t="s">
        <v>31358</v>
      </c>
      <c r="B10502">
        <v>30</v>
      </c>
      <c r="C10502" t="s">
        <v>31359</v>
      </c>
      <c r="D10502" t="s">
        <v>705</v>
      </c>
      <c r="E10502" t="s">
        <v>31360</v>
      </c>
      <c r="F10502" t="s">
        <v>7672</v>
      </c>
      <c r="G10502" t="s">
        <v>31361</v>
      </c>
      <c r="H10502" t="s">
        <v>9693</v>
      </c>
      <c r="I10502" t="s">
        <v>17521</v>
      </c>
      <c r="J10502" t="s">
        <v>9694</v>
      </c>
    </row>
    <row r="10503" spans="1:10" x14ac:dyDescent="0.25">
      <c r="A10503" t="s">
        <v>31362</v>
      </c>
      <c r="B10503">
        <v>6</v>
      </c>
      <c r="C10503" t="s">
        <v>31363</v>
      </c>
      <c r="D10503" t="s">
        <v>436</v>
      </c>
      <c r="E10503" t="s">
        <v>31364</v>
      </c>
      <c r="F10503" t="s">
        <v>7672</v>
      </c>
      <c r="G10503" t="s">
        <v>31365</v>
      </c>
      <c r="H10503" t="s">
        <v>11496</v>
      </c>
      <c r="I10503" t="s">
        <v>31366</v>
      </c>
      <c r="J10503" t="s">
        <v>100</v>
      </c>
    </row>
    <row r="10504" spans="1:10" x14ac:dyDescent="0.25">
      <c r="A10504" t="s">
        <v>31367</v>
      </c>
      <c r="B10504">
        <v>6</v>
      </c>
      <c r="C10504" t="s">
        <v>31368</v>
      </c>
      <c r="D10504" t="s">
        <v>450</v>
      </c>
      <c r="E10504" t="s">
        <v>31364</v>
      </c>
      <c r="F10504" t="s">
        <v>7672</v>
      </c>
      <c r="G10504" t="s">
        <v>31365</v>
      </c>
      <c r="H10504" t="s">
        <v>11496</v>
      </c>
      <c r="I10504" t="s">
        <v>31366</v>
      </c>
      <c r="J10504" t="s">
        <v>106</v>
      </c>
    </row>
    <row r="10505" spans="1:10" x14ac:dyDescent="0.25">
      <c r="A10505" t="s">
        <v>31369</v>
      </c>
      <c r="B10505">
        <v>6</v>
      </c>
      <c r="C10505" t="s">
        <v>31370</v>
      </c>
      <c r="D10505" t="s">
        <v>6480</v>
      </c>
      <c r="E10505" t="s">
        <v>31364</v>
      </c>
      <c r="F10505" t="s">
        <v>7672</v>
      </c>
      <c r="G10505" t="s">
        <v>31365</v>
      </c>
      <c r="H10505" t="s">
        <v>11496</v>
      </c>
      <c r="I10505" t="s">
        <v>31366</v>
      </c>
      <c r="J10505" t="s">
        <v>164</v>
      </c>
    </row>
    <row r="10506" spans="1:10" x14ac:dyDescent="0.25">
      <c r="A10506" t="s">
        <v>31371</v>
      </c>
      <c r="B10506">
        <v>180</v>
      </c>
      <c r="C10506" t="s">
        <v>31372</v>
      </c>
      <c r="D10506" t="s">
        <v>229</v>
      </c>
      <c r="E10506" t="s">
        <v>31373</v>
      </c>
      <c r="F10506" t="s">
        <v>7672</v>
      </c>
      <c r="G10506" t="s">
        <v>31374</v>
      </c>
      <c r="H10506" t="s">
        <v>9693</v>
      </c>
      <c r="I10506" t="s">
        <v>18323</v>
      </c>
      <c r="J10506" t="s">
        <v>9694</v>
      </c>
    </row>
    <row r="10507" spans="1:10" x14ac:dyDescent="0.25">
      <c r="A10507" t="s">
        <v>936</v>
      </c>
      <c r="B10507">
        <v>6.4</v>
      </c>
      <c r="C10507" t="s">
        <v>938</v>
      </c>
      <c r="D10507" t="s">
        <v>941</v>
      </c>
      <c r="E10507" t="s">
        <v>939</v>
      </c>
      <c r="F10507" t="s">
        <v>7672</v>
      </c>
      <c r="G10507" t="s">
        <v>31375</v>
      </c>
      <c r="H10507" t="s">
        <v>11496</v>
      </c>
      <c r="I10507" t="s">
        <v>31376</v>
      </c>
      <c r="J10507" t="s">
        <v>100</v>
      </c>
    </row>
    <row r="10508" spans="1:10" x14ac:dyDescent="0.25">
      <c r="A10508" t="s">
        <v>31377</v>
      </c>
      <c r="B10508">
        <v>13.2</v>
      </c>
      <c r="C10508" t="s">
        <v>31378</v>
      </c>
      <c r="D10508" t="s">
        <v>286</v>
      </c>
      <c r="E10508" t="s">
        <v>31379</v>
      </c>
      <c r="F10508" t="s">
        <v>7672</v>
      </c>
      <c r="G10508" t="s">
        <v>31380</v>
      </c>
      <c r="H10508" t="s">
        <v>11622</v>
      </c>
      <c r="I10508" t="s">
        <v>31381</v>
      </c>
      <c r="J10508" t="s">
        <v>7675</v>
      </c>
    </row>
    <row r="10509" spans="1:10" x14ac:dyDescent="0.25">
      <c r="A10509" t="s">
        <v>31382</v>
      </c>
      <c r="B10509">
        <v>13.2</v>
      </c>
      <c r="C10509" t="s">
        <v>31383</v>
      </c>
      <c r="D10509" t="s">
        <v>277</v>
      </c>
      <c r="E10509" t="s">
        <v>31379</v>
      </c>
      <c r="F10509" t="s">
        <v>7672</v>
      </c>
      <c r="G10509" t="s">
        <v>31380</v>
      </c>
      <c r="H10509" t="s">
        <v>11622</v>
      </c>
      <c r="I10509" t="s">
        <v>31381</v>
      </c>
      <c r="J10509" t="s">
        <v>7686</v>
      </c>
    </row>
    <row r="10510" spans="1:10" x14ac:dyDescent="0.25">
      <c r="A10510" t="s">
        <v>943</v>
      </c>
      <c r="B10510">
        <v>17.815999999999999</v>
      </c>
      <c r="C10510" t="s">
        <v>945</v>
      </c>
      <c r="D10510" t="s">
        <v>53</v>
      </c>
      <c r="E10510" t="s">
        <v>946</v>
      </c>
      <c r="F10510" t="s">
        <v>7672</v>
      </c>
      <c r="G10510" t="s">
        <v>31384</v>
      </c>
      <c r="H10510" t="s">
        <v>18570</v>
      </c>
      <c r="I10510" t="s">
        <v>5202</v>
      </c>
      <c r="J10510" t="s">
        <v>342</v>
      </c>
    </row>
    <row r="10511" spans="1:10" x14ac:dyDescent="0.25">
      <c r="A10511" t="s">
        <v>31385</v>
      </c>
      <c r="B10511">
        <v>6.7200000000000006</v>
      </c>
      <c r="C10511" t="s">
        <v>31386</v>
      </c>
      <c r="D10511" t="s">
        <v>342</v>
      </c>
      <c r="E10511" t="s">
        <v>31387</v>
      </c>
      <c r="F10511" t="s">
        <v>7672</v>
      </c>
      <c r="G10511" t="s">
        <v>31388</v>
      </c>
      <c r="H10511" t="s">
        <v>7974</v>
      </c>
      <c r="I10511" t="s">
        <v>26070</v>
      </c>
      <c r="J10511" t="s">
        <v>8603</v>
      </c>
    </row>
    <row r="10512" spans="1:10" x14ac:dyDescent="0.25">
      <c r="A10512" t="s">
        <v>31389</v>
      </c>
      <c r="B10512">
        <v>6.7200000000000006</v>
      </c>
      <c r="C10512" t="s">
        <v>31390</v>
      </c>
      <c r="D10512" t="s">
        <v>342</v>
      </c>
      <c r="E10512" t="s">
        <v>31387</v>
      </c>
      <c r="F10512" t="s">
        <v>7672</v>
      </c>
      <c r="G10512" t="s">
        <v>31388</v>
      </c>
      <c r="H10512" t="s">
        <v>7974</v>
      </c>
      <c r="I10512" t="s">
        <v>26091</v>
      </c>
      <c r="J10512" t="s">
        <v>8603</v>
      </c>
    </row>
    <row r="10513" spans="1:10" x14ac:dyDescent="0.25">
      <c r="A10513" t="s">
        <v>31391</v>
      </c>
      <c r="B10513">
        <v>6.7200000000000006</v>
      </c>
      <c r="C10513" t="s">
        <v>31392</v>
      </c>
      <c r="D10513" t="s">
        <v>576</v>
      </c>
      <c r="E10513" t="s">
        <v>31387</v>
      </c>
      <c r="F10513" t="s">
        <v>7672</v>
      </c>
      <c r="G10513" t="s">
        <v>31388</v>
      </c>
      <c r="H10513" t="s">
        <v>7974</v>
      </c>
      <c r="I10513" t="s">
        <v>108</v>
      </c>
      <c r="J10513" t="s">
        <v>8615</v>
      </c>
    </row>
    <row r="10514" spans="1:10" x14ac:dyDescent="0.25">
      <c r="A10514" t="s">
        <v>31393</v>
      </c>
      <c r="B10514">
        <v>6.7200000000000006</v>
      </c>
      <c r="C10514" t="s">
        <v>31394</v>
      </c>
      <c r="D10514" t="s">
        <v>342</v>
      </c>
      <c r="E10514" t="s">
        <v>31387</v>
      </c>
      <c r="F10514" t="s">
        <v>7672</v>
      </c>
      <c r="G10514" t="s">
        <v>31388</v>
      </c>
      <c r="H10514" t="s">
        <v>7974</v>
      </c>
      <c r="I10514" t="s">
        <v>26091</v>
      </c>
      <c r="J10514" t="s">
        <v>8615</v>
      </c>
    </row>
    <row r="10515" spans="1:10" x14ac:dyDescent="0.25">
      <c r="A10515" t="s">
        <v>31395</v>
      </c>
      <c r="B10515">
        <v>6.7200000000000006</v>
      </c>
      <c r="C10515" t="s">
        <v>31396</v>
      </c>
      <c r="D10515" t="s">
        <v>959</v>
      </c>
      <c r="E10515" t="s">
        <v>31387</v>
      </c>
      <c r="F10515" t="s">
        <v>7672</v>
      </c>
      <c r="G10515" t="s">
        <v>31388</v>
      </c>
      <c r="H10515" t="s">
        <v>7974</v>
      </c>
      <c r="I10515" t="s">
        <v>26062</v>
      </c>
      <c r="J10515" t="s">
        <v>8625</v>
      </c>
    </row>
    <row r="10516" spans="1:10" x14ac:dyDescent="0.25">
      <c r="A10516" t="s">
        <v>31397</v>
      </c>
      <c r="B10516">
        <v>3.992</v>
      </c>
      <c r="C10516" t="s">
        <v>31398</v>
      </c>
      <c r="D10516" t="s">
        <v>106</v>
      </c>
      <c r="E10516" t="s">
        <v>31399</v>
      </c>
      <c r="F10516" t="s">
        <v>7672</v>
      </c>
      <c r="G10516" t="s">
        <v>31400</v>
      </c>
      <c r="H10516" t="s">
        <v>29304</v>
      </c>
      <c r="I10516" t="s">
        <v>31401</v>
      </c>
      <c r="J10516" t="s">
        <v>15981</v>
      </c>
    </row>
    <row r="10517" spans="1:10" x14ac:dyDescent="0.25">
      <c r="A10517" t="s">
        <v>31402</v>
      </c>
      <c r="B10517">
        <v>3.992</v>
      </c>
      <c r="C10517" t="s">
        <v>31403</v>
      </c>
      <c r="D10517" t="s">
        <v>53</v>
      </c>
      <c r="E10517" t="s">
        <v>31399</v>
      </c>
      <c r="F10517" t="s">
        <v>7672</v>
      </c>
      <c r="G10517" t="s">
        <v>31400</v>
      </c>
      <c r="H10517" t="s">
        <v>29304</v>
      </c>
      <c r="I10517" t="s">
        <v>31401</v>
      </c>
      <c r="J10517" t="s">
        <v>7675</v>
      </c>
    </row>
    <row r="10518" spans="1:10" x14ac:dyDescent="0.25">
      <c r="A10518" t="s">
        <v>31404</v>
      </c>
      <c r="B10518">
        <v>18.696000000000002</v>
      </c>
      <c r="C10518" t="s">
        <v>31405</v>
      </c>
      <c r="D10518" t="s">
        <v>164</v>
      </c>
      <c r="E10518" t="s">
        <v>31406</v>
      </c>
      <c r="F10518" t="s">
        <v>7672</v>
      </c>
      <c r="G10518" t="s">
        <v>31407</v>
      </c>
      <c r="H10518" t="s">
        <v>16463</v>
      </c>
      <c r="I10518" t="s">
        <v>31408</v>
      </c>
      <c r="J10518" t="s">
        <v>7686</v>
      </c>
    </row>
    <row r="10519" spans="1:10" x14ac:dyDescent="0.25">
      <c r="A10519" t="s">
        <v>31409</v>
      </c>
      <c r="B10519">
        <v>18.696000000000002</v>
      </c>
      <c r="C10519" t="s">
        <v>31410</v>
      </c>
      <c r="D10519" t="s">
        <v>88</v>
      </c>
      <c r="E10519" t="s">
        <v>31406</v>
      </c>
      <c r="F10519" t="s">
        <v>7672</v>
      </c>
      <c r="G10519" t="s">
        <v>31407</v>
      </c>
      <c r="H10519" t="s">
        <v>16463</v>
      </c>
      <c r="I10519" t="s">
        <v>31411</v>
      </c>
      <c r="J10519" t="s">
        <v>7686</v>
      </c>
    </row>
    <row r="10520" spans="1:10" x14ac:dyDescent="0.25">
      <c r="A10520" t="s">
        <v>31412</v>
      </c>
      <c r="B10520">
        <v>18.696000000000002</v>
      </c>
      <c r="C10520" t="s">
        <v>31413</v>
      </c>
      <c r="D10520" t="s">
        <v>941</v>
      </c>
      <c r="E10520" t="s">
        <v>31406</v>
      </c>
      <c r="F10520" t="s">
        <v>7672</v>
      </c>
      <c r="G10520" t="s">
        <v>31407</v>
      </c>
      <c r="H10520" t="s">
        <v>16463</v>
      </c>
      <c r="I10520" t="s">
        <v>31411</v>
      </c>
      <c r="J10520" t="s">
        <v>7703</v>
      </c>
    </row>
    <row r="10521" spans="1:10" x14ac:dyDescent="0.25">
      <c r="A10521" t="s">
        <v>31414</v>
      </c>
      <c r="B10521">
        <v>18.696000000000002</v>
      </c>
      <c r="C10521" t="s">
        <v>31415</v>
      </c>
      <c r="D10521" t="s">
        <v>4327</v>
      </c>
      <c r="E10521" t="s">
        <v>31406</v>
      </c>
      <c r="F10521" t="s">
        <v>7672</v>
      </c>
      <c r="G10521" t="s">
        <v>31407</v>
      </c>
      <c r="H10521" t="s">
        <v>16463</v>
      </c>
      <c r="I10521" t="s">
        <v>31408</v>
      </c>
      <c r="J10521" t="s">
        <v>7703</v>
      </c>
    </row>
    <row r="10522" spans="1:10" x14ac:dyDescent="0.25">
      <c r="A10522" t="s">
        <v>31416</v>
      </c>
      <c r="B10522">
        <v>18.696000000000002</v>
      </c>
      <c r="C10522" t="s">
        <v>31417</v>
      </c>
      <c r="D10522" t="s">
        <v>1621</v>
      </c>
      <c r="E10522" t="s">
        <v>31406</v>
      </c>
      <c r="F10522" t="s">
        <v>7672</v>
      </c>
      <c r="G10522" t="s">
        <v>31407</v>
      </c>
      <c r="H10522" t="s">
        <v>16463</v>
      </c>
      <c r="I10522" t="s">
        <v>31408</v>
      </c>
      <c r="J10522" t="s">
        <v>7713</v>
      </c>
    </row>
    <row r="10523" spans="1:10" x14ac:dyDescent="0.25">
      <c r="A10523" t="s">
        <v>31418</v>
      </c>
      <c r="B10523">
        <v>18.696000000000002</v>
      </c>
      <c r="C10523" t="s">
        <v>31419</v>
      </c>
      <c r="D10523" t="s">
        <v>396</v>
      </c>
      <c r="E10523" t="s">
        <v>31406</v>
      </c>
      <c r="F10523" t="s">
        <v>7672</v>
      </c>
      <c r="G10523" t="s">
        <v>31407</v>
      </c>
      <c r="H10523" t="s">
        <v>16463</v>
      </c>
      <c r="I10523" t="s">
        <v>31411</v>
      </c>
      <c r="J10523" t="s">
        <v>7713</v>
      </c>
    </row>
    <row r="10524" spans="1:10" x14ac:dyDescent="0.25">
      <c r="A10524" t="s">
        <v>31420</v>
      </c>
      <c r="B10524">
        <v>18.696000000000002</v>
      </c>
      <c r="C10524" t="s">
        <v>31421</v>
      </c>
      <c r="D10524" t="s">
        <v>282</v>
      </c>
      <c r="E10524" t="s">
        <v>31406</v>
      </c>
      <c r="F10524" t="s">
        <v>7672</v>
      </c>
      <c r="G10524" t="s">
        <v>31407</v>
      </c>
      <c r="H10524" t="s">
        <v>16463</v>
      </c>
      <c r="I10524" t="s">
        <v>31411</v>
      </c>
      <c r="J10524" t="s">
        <v>7719</v>
      </c>
    </row>
    <row r="10525" spans="1:10" x14ac:dyDescent="0.25">
      <c r="A10525" t="s">
        <v>31422</v>
      </c>
      <c r="B10525">
        <v>2.7919999999999998</v>
      </c>
      <c r="C10525" t="s">
        <v>31423</v>
      </c>
      <c r="D10525" t="s">
        <v>1822</v>
      </c>
      <c r="E10525" t="s">
        <v>31424</v>
      </c>
      <c r="F10525" t="s">
        <v>7672</v>
      </c>
      <c r="G10525" t="s">
        <v>31425</v>
      </c>
      <c r="H10525" t="s">
        <v>8515</v>
      </c>
      <c r="I10525" t="s">
        <v>31426</v>
      </c>
      <c r="J10525" t="s">
        <v>11767</v>
      </c>
    </row>
    <row r="10526" spans="1:10" x14ac:dyDescent="0.25">
      <c r="A10526" t="s">
        <v>31427</v>
      </c>
      <c r="B10526">
        <v>2.7919999999999998</v>
      </c>
      <c r="C10526" t="s">
        <v>31428</v>
      </c>
      <c r="D10526" t="s">
        <v>742</v>
      </c>
      <c r="E10526" t="s">
        <v>31424</v>
      </c>
      <c r="F10526" t="s">
        <v>7672</v>
      </c>
      <c r="G10526" t="s">
        <v>31425</v>
      </c>
      <c r="H10526" t="s">
        <v>8515</v>
      </c>
      <c r="I10526" t="s">
        <v>31426</v>
      </c>
      <c r="J10526" t="s">
        <v>11582</v>
      </c>
    </row>
    <row r="10527" spans="1:10" x14ac:dyDescent="0.25">
      <c r="A10527" t="s">
        <v>31429</v>
      </c>
      <c r="B10527">
        <v>2.7919999999999998</v>
      </c>
      <c r="C10527" t="s">
        <v>31430</v>
      </c>
      <c r="D10527" t="s">
        <v>6194</v>
      </c>
      <c r="E10527" t="s">
        <v>31424</v>
      </c>
      <c r="F10527" t="s">
        <v>7672</v>
      </c>
      <c r="G10527" t="s">
        <v>31425</v>
      </c>
      <c r="H10527" t="s">
        <v>8515</v>
      </c>
      <c r="I10527" t="s">
        <v>31426</v>
      </c>
      <c r="J10527" t="s">
        <v>10369</v>
      </c>
    </row>
    <row r="10528" spans="1:10" x14ac:dyDescent="0.25">
      <c r="A10528" t="s">
        <v>31431</v>
      </c>
      <c r="B10528">
        <v>2.7919999999999998</v>
      </c>
      <c r="C10528" t="s">
        <v>31432</v>
      </c>
      <c r="D10528" t="s">
        <v>8421</v>
      </c>
      <c r="E10528" t="s">
        <v>31424</v>
      </c>
      <c r="F10528" t="s">
        <v>7672</v>
      </c>
      <c r="G10528" t="s">
        <v>31425</v>
      </c>
      <c r="H10528" t="s">
        <v>8515</v>
      </c>
      <c r="I10528" t="s">
        <v>31426</v>
      </c>
      <c r="J10528" t="s">
        <v>11590</v>
      </c>
    </row>
    <row r="10529" spans="1:10" x14ac:dyDescent="0.25">
      <c r="A10529" t="s">
        <v>31433</v>
      </c>
      <c r="B10529">
        <v>2.7919999999999998</v>
      </c>
      <c r="C10529" t="s">
        <v>31434</v>
      </c>
      <c r="D10529" t="s">
        <v>3832</v>
      </c>
      <c r="E10529" t="s">
        <v>31424</v>
      </c>
      <c r="F10529" t="s">
        <v>7672</v>
      </c>
      <c r="G10529" t="s">
        <v>31425</v>
      </c>
      <c r="H10529" t="s">
        <v>8515</v>
      </c>
      <c r="I10529" t="s">
        <v>31426</v>
      </c>
      <c r="J10529" t="s">
        <v>11593</v>
      </c>
    </row>
    <row r="10530" spans="1:10" x14ac:dyDescent="0.25">
      <c r="A10530" t="s">
        <v>31435</v>
      </c>
      <c r="B10530">
        <v>2.7919999999999998</v>
      </c>
      <c r="C10530" t="s">
        <v>31436</v>
      </c>
      <c r="D10530" t="s">
        <v>776</v>
      </c>
      <c r="E10530" t="s">
        <v>31424</v>
      </c>
      <c r="F10530" t="s">
        <v>7672</v>
      </c>
      <c r="G10530" t="s">
        <v>31425</v>
      </c>
      <c r="H10530" t="s">
        <v>8515</v>
      </c>
      <c r="I10530" t="s">
        <v>31426</v>
      </c>
      <c r="J10530" t="s">
        <v>11783</v>
      </c>
    </row>
    <row r="10531" spans="1:10" x14ac:dyDescent="0.25">
      <c r="A10531" t="s">
        <v>31437</v>
      </c>
      <c r="B10531">
        <v>10.4</v>
      </c>
      <c r="C10531" t="s">
        <v>31438</v>
      </c>
      <c r="D10531" t="s">
        <v>742</v>
      </c>
      <c r="E10531" t="s">
        <v>31439</v>
      </c>
      <c r="F10531" t="s">
        <v>7672</v>
      </c>
      <c r="G10531" t="s">
        <v>31440</v>
      </c>
      <c r="H10531" t="s">
        <v>26649</v>
      </c>
      <c r="I10531" t="s">
        <v>30386</v>
      </c>
      <c r="J10531" t="s">
        <v>7942</v>
      </c>
    </row>
    <row r="10532" spans="1:10" x14ac:dyDescent="0.25">
      <c r="A10532" t="s">
        <v>31441</v>
      </c>
      <c r="B10532">
        <v>10.4</v>
      </c>
      <c r="C10532" t="s">
        <v>31442</v>
      </c>
      <c r="D10532" t="s">
        <v>282</v>
      </c>
      <c r="E10532" t="s">
        <v>31439</v>
      </c>
      <c r="F10532" t="s">
        <v>7672</v>
      </c>
      <c r="G10532" t="s">
        <v>31440</v>
      </c>
      <c r="H10532" t="s">
        <v>26649</v>
      </c>
      <c r="I10532" t="s">
        <v>30386</v>
      </c>
      <c r="J10532" t="s">
        <v>7981</v>
      </c>
    </row>
    <row r="10533" spans="1:10" x14ac:dyDescent="0.25">
      <c r="A10533" t="s">
        <v>31443</v>
      </c>
      <c r="B10533">
        <v>4.16</v>
      </c>
      <c r="C10533" t="s">
        <v>31444</v>
      </c>
      <c r="D10533" t="s">
        <v>705</v>
      </c>
      <c r="E10533" t="s">
        <v>31445</v>
      </c>
      <c r="F10533" t="s">
        <v>7672</v>
      </c>
      <c r="G10533" t="s">
        <v>31446</v>
      </c>
      <c r="H10533" t="s">
        <v>11598</v>
      </c>
      <c r="I10533" t="s">
        <v>76</v>
      </c>
      <c r="J10533" t="s">
        <v>9694</v>
      </c>
    </row>
    <row r="10534" spans="1:10" x14ac:dyDescent="0.25">
      <c r="A10534" t="s">
        <v>31447</v>
      </c>
      <c r="B10534">
        <v>5.2</v>
      </c>
      <c r="C10534" t="s">
        <v>31448</v>
      </c>
      <c r="D10534" t="s">
        <v>330</v>
      </c>
      <c r="E10534" t="s">
        <v>31449</v>
      </c>
      <c r="F10534" t="s">
        <v>7672</v>
      </c>
      <c r="G10534" t="s">
        <v>31450</v>
      </c>
      <c r="H10534" t="s">
        <v>11496</v>
      </c>
      <c r="I10534" t="s">
        <v>410</v>
      </c>
      <c r="J10534" t="s">
        <v>9426</v>
      </c>
    </row>
    <row r="10535" spans="1:10" x14ac:dyDescent="0.25">
      <c r="A10535" t="s">
        <v>31451</v>
      </c>
      <c r="B10535">
        <v>5.2</v>
      </c>
      <c r="C10535" t="s">
        <v>31452</v>
      </c>
      <c r="D10535" t="s">
        <v>342</v>
      </c>
      <c r="E10535" t="s">
        <v>31449</v>
      </c>
      <c r="F10535" t="s">
        <v>7672</v>
      </c>
      <c r="G10535" t="s">
        <v>31450</v>
      </c>
      <c r="H10535" t="s">
        <v>11496</v>
      </c>
      <c r="I10535" t="s">
        <v>410</v>
      </c>
      <c r="J10535" t="s">
        <v>10862</v>
      </c>
    </row>
    <row r="10536" spans="1:10" x14ac:dyDescent="0.25">
      <c r="A10536" t="s">
        <v>31453</v>
      </c>
      <c r="B10536">
        <v>5.2</v>
      </c>
      <c r="C10536" t="s">
        <v>31454</v>
      </c>
      <c r="D10536" t="s">
        <v>352</v>
      </c>
      <c r="E10536" t="s">
        <v>31449</v>
      </c>
      <c r="F10536" t="s">
        <v>7672</v>
      </c>
      <c r="G10536" t="s">
        <v>31450</v>
      </c>
      <c r="H10536" t="s">
        <v>11496</v>
      </c>
      <c r="I10536" t="s">
        <v>410</v>
      </c>
      <c r="J10536" t="s">
        <v>13084</v>
      </c>
    </row>
    <row r="10537" spans="1:10" x14ac:dyDescent="0.25">
      <c r="A10537" t="s">
        <v>31455</v>
      </c>
      <c r="B10537">
        <v>5.2</v>
      </c>
      <c r="C10537" t="s">
        <v>31456</v>
      </c>
      <c r="D10537" t="s">
        <v>301</v>
      </c>
      <c r="E10537" t="s">
        <v>31449</v>
      </c>
      <c r="F10537" t="s">
        <v>7672</v>
      </c>
      <c r="G10537" t="s">
        <v>31450</v>
      </c>
      <c r="H10537" t="s">
        <v>11496</v>
      </c>
      <c r="I10537" t="s">
        <v>410</v>
      </c>
      <c r="J10537" t="s">
        <v>11767</v>
      </c>
    </row>
    <row r="10538" spans="1:10" x14ac:dyDescent="0.25">
      <c r="A10538" t="s">
        <v>31457</v>
      </c>
      <c r="B10538">
        <v>5.2</v>
      </c>
      <c r="C10538" t="s">
        <v>31458</v>
      </c>
      <c r="D10538" t="s">
        <v>282</v>
      </c>
      <c r="E10538" t="s">
        <v>31449</v>
      </c>
      <c r="F10538" t="s">
        <v>7672</v>
      </c>
      <c r="G10538" t="s">
        <v>31450</v>
      </c>
      <c r="H10538" t="s">
        <v>11496</v>
      </c>
      <c r="I10538" t="s">
        <v>410</v>
      </c>
      <c r="J10538" t="s">
        <v>11582</v>
      </c>
    </row>
    <row r="10539" spans="1:10" x14ac:dyDescent="0.25">
      <c r="A10539" t="s">
        <v>31459</v>
      </c>
      <c r="B10539">
        <v>11.04</v>
      </c>
      <c r="C10539" t="s">
        <v>31460</v>
      </c>
      <c r="D10539" t="s">
        <v>106</v>
      </c>
      <c r="E10539" t="s">
        <v>31461</v>
      </c>
      <c r="F10539" t="s">
        <v>7672</v>
      </c>
      <c r="G10539" t="s">
        <v>31462</v>
      </c>
      <c r="H10539" t="s">
        <v>31463</v>
      </c>
      <c r="I10539" t="s">
        <v>5740</v>
      </c>
      <c r="J10539" t="s">
        <v>7942</v>
      </c>
    </row>
    <row r="10540" spans="1:10" x14ac:dyDescent="0.25">
      <c r="A10540" t="s">
        <v>31464</v>
      </c>
      <c r="B10540">
        <v>11.04</v>
      </c>
      <c r="C10540" t="s">
        <v>31465</v>
      </c>
      <c r="D10540" t="s">
        <v>164</v>
      </c>
      <c r="E10540" t="s">
        <v>31461</v>
      </c>
      <c r="F10540" t="s">
        <v>7672</v>
      </c>
      <c r="G10540" t="s">
        <v>31462</v>
      </c>
      <c r="H10540" t="s">
        <v>31463</v>
      </c>
      <c r="I10540" t="s">
        <v>31466</v>
      </c>
      <c r="J10540" t="s">
        <v>7942</v>
      </c>
    </row>
    <row r="10541" spans="1:10" x14ac:dyDescent="0.25">
      <c r="A10541" t="s">
        <v>31467</v>
      </c>
      <c r="B10541">
        <v>11.04</v>
      </c>
      <c r="C10541" t="s">
        <v>31468</v>
      </c>
      <c r="D10541" t="s">
        <v>306</v>
      </c>
      <c r="E10541" t="s">
        <v>31461</v>
      </c>
      <c r="F10541" t="s">
        <v>7672</v>
      </c>
      <c r="G10541" t="s">
        <v>31462</v>
      </c>
      <c r="H10541" t="s">
        <v>31463</v>
      </c>
      <c r="I10541" t="s">
        <v>31466</v>
      </c>
      <c r="J10541" t="s">
        <v>7981</v>
      </c>
    </row>
    <row r="10542" spans="1:10" x14ac:dyDescent="0.25">
      <c r="A10542" t="s">
        <v>31469</v>
      </c>
      <c r="B10542">
        <v>11.04</v>
      </c>
      <c r="C10542" t="s">
        <v>31470</v>
      </c>
      <c r="D10542" t="s">
        <v>582</v>
      </c>
      <c r="E10542" t="s">
        <v>31461</v>
      </c>
      <c r="F10542" t="s">
        <v>7672</v>
      </c>
      <c r="G10542" t="s">
        <v>31462</v>
      </c>
      <c r="H10542" t="s">
        <v>31463</v>
      </c>
      <c r="I10542" t="s">
        <v>31471</v>
      </c>
      <c r="J10542" t="s">
        <v>7987</v>
      </c>
    </row>
    <row r="10543" spans="1:10" x14ac:dyDescent="0.25">
      <c r="A10543" t="s">
        <v>31472</v>
      </c>
      <c r="B10543">
        <v>11.04</v>
      </c>
      <c r="C10543" t="s">
        <v>31473</v>
      </c>
      <c r="D10543" t="s">
        <v>113</v>
      </c>
      <c r="E10543" t="s">
        <v>31461</v>
      </c>
      <c r="F10543" t="s">
        <v>7672</v>
      </c>
      <c r="G10543" t="s">
        <v>31462</v>
      </c>
      <c r="H10543" t="s">
        <v>31463</v>
      </c>
      <c r="I10543" t="s">
        <v>31466</v>
      </c>
      <c r="J10543" t="s">
        <v>7987</v>
      </c>
    </row>
    <row r="10544" spans="1:10" x14ac:dyDescent="0.25">
      <c r="A10544" t="s">
        <v>31474</v>
      </c>
      <c r="B10544">
        <v>11.04</v>
      </c>
      <c r="C10544" t="s">
        <v>31475</v>
      </c>
      <c r="D10544" t="s">
        <v>908</v>
      </c>
      <c r="E10544" t="s">
        <v>31461</v>
      </c>
      <c r="F10544" t="s">
        <v>7672</v>
      </c>
      <c r="G10544" t="s">
        <v>31462</v>
      </c>
      <c r="H10544" t="s">
        <v>31463</v>
      </c>
      <c r="I10544" t="s">
        <v>31476</v>
      </c>
      <c r="J10544" t="s">
        <v>7987</v>
      </c>
    </row>
    <row r="10545" spans="1:10" x14ac:dyDescent="0.25">
      <c r="A10545" t="s">
        <v>31477</v>
      </c>
      <c r="B10545">
        <v>11.04</v>
      </c>
      <c r="C10545" t="s">
        <v>31478</v>
      </c>
      <c r="D10545" t="s">
        <v>1536</v>
      </c>
      <c r="E10545" t="s">
        <v>31461</v>
      </c>
      <c r="F10545" t="s">
        <v>7672</v>
      </c>
      <c r="G10545" t="s">
        <v>31462</v>
      </c>
      <c r="H10545" t="s">
        <v>31463</v>
      </c>
      <c r="I10545" t="s">
        <v>31466</v>
      </c>
      <c r="J10545" t="s">
        <v>7984</v>
      </c>
    </row>
    <row r="10546" spans="1:10" x14ac:dyDescent="0.25">
      <c r="A10546" t="s">
        <v>31479</v>
      </c>
      <c r="B10546">
        <v>11.04</v>
      </c>
      <c r="C10546" t="s">
        <v>31480</v>
      </c>
      <c r="D10546" t="s">
        <v>250</v>
      </c>
      <c r="E10546" t="s">
        <v>31461</v>
      </c>
      <c r="F10546" t="s">
        <v>7672</v>
      </c>
      <c r="G10546" t="s">
        <v>31462</v>
      </c>
      <c r="H10546" t="s">
        <v>31463</v>
      </c>
      <c r="I10546" t="s">
        <v>31476</v>
      </c>
      <c r="J10546" t="s">
        <v>7984</v>
      </c>
    </row>
    <row r="10547" spans="1:10" x14ac:dyDescent="0.25">
      <c r="A10547" t="s">
        <v>31481</v>
      </c>
      <c r="B10547">
        <v>11.04</v>
      </c>
      <c r="C10547" t="s">
        <v>31482</v>
      </c>
      <c r="D10547" t="s">
        <v>2879</v>
      </c>
      <c r="E10547" t="s">
        <v>31461</v>
      </c>
      <c r="F10547" t="s">
        <v>7672</v>
      </c>
      <c r="G10547" t="s">
        <v>31462</v>
      </c>
      <c r="H10547" t="s">
        <v>31463</v>
      </c>
      <c r="I10547" t="s">
        <v>31466</v>
      </c>
      <c r="J10547" t="s">
        <v>8001</v>
      </c>
    </row>
    <row r="10548" spans="1:10" x14ac:dyDescent="0.25">
      <c r="A10548" t="s">
        <v>31483</v>
      </c>
      <c r="B10548">
        <v>11.04</v>
      </c>
      <c r="C10548" t="s">
        <v>31484</v>
      </c>
      <c r="D10548" t="s">
        <v>588</v>
      </c>
      <c r="E10548" t="s">
        <v>31461</v>
      </c>
      <c r="F10548" t="s">
        <v>7672</v>
      </c>
      <c r="G10548" t="s">
        <v>31462</v>
      </c>
      <c r="H10548" t="s">
        <v>31463</v>
      </c>
      <c r="I10548" t="s">
        <v>31471</v>
      </c>
      <c r="J10548" t="s">
        <v>8001</v>
      </c>
    </row>
    <row r="10549" spans="1:10" x14ac:dyDescent="0.25">
      <c r="A10549" t="s">
        <v>31485</v>
      </c>
      <c r="B10549">
        <v>11.04</v>
      </c>
      <c r="C10549" t="s">
        <v>31486</v>
      </c>
      <c r="D10549" t="s">
        <v>913</v>
      </c>
      <c r="E10549" t="s">
        <v>31461</v>
      </c>
      <c r="F10549" t="s">
        <v>7672</v>
      </c>
      <c r="G10549" t="s">
        <v>31462</v>
      </c>
      <c r="H10549" t="s">
        <v>31463</v>
      </c>
      <c r="I10549" t="s">
        <v>31476</v>
      </c>
      <c r="J10549" t="s">
        <v>8001</v>
      </c>
    </row>
    <row r="10550" spans="1:10" x14ac:dyDescent="0.25">
      <c r="A10550" t="s">
        <v>31487</v>
      </c>
      <c r="B10550">
        <v>7.2</v>
      </c>
      <c r="C10550" t="s">
        <v>31488</v>
      </c>
      <c r="D10550" t="s">
        <v>626</v>
      </c>
      <c r="E10550" t="s">
        <v>31489</v>
      </c>
      <c r="F10550" t="s">
        <v>7672</v>
      </c>
      <c r="G10550" t="s">
        <v>31490</v>
      </c>
      <c r="H10550" t="s">
        <v>30154</v>
      </c>
      <c r="I10550" t="s">
        <v>31491</v>
      </c>
      <c r="J10550" t="s">
        <v>7981</v>
      </c>
    </row>
    <row r="10551" spans="1:10" x14ac:dyDescent="0.25">
      <c r="A10551" t="s">
        <v>31492</v>
      </c>
      <c r="B10551">
        <v>9.7840000000000007</v>
      </c>
      <c r="C10551" t="s">
        <v>31493</v>
      </c>
      <c r="D10551" t="s">
        <v>4327</v>
      </c>
      <c r="E10551" t="s">
        <v>31494</v>
      </c>
      <c r="F10551" t="s">
        <v>7672</v>
      </c>
      <c r="G10551" t="s">
        <v>31495</v>
      </c>
      <c r="H10551" t="s">
        <v>13897</v>
      </c>
      <c r="I10551" t="s">
        <v>24993</v>
      </c>
      <c r="J10551" t="s">
        <v>9423</v>
      </c>
    </row>
    <row r="10552" spans="1:10" x14ac:dyDescent="0.25">
      <c r="A10552" t="s">
        <v>31496</v>
      </c>
      <c r="B10552">
        <v>9.7840000000000007</v>
      </c>
      <c r="C10552" t="s">
        <v>31497</v>
      </c>
      <c r="D10552" t="s">
        <v>5119</v>
      </c>
      <c r="E10552" t="s">
        <v>31494</v>
      </c>
      <c r="F10552" t="s">
        <v>7672</v>
      </c>
      <c r="G10552" t="s">
        <v>31495</v>
      </c>
      <c r="H10552" t="s">
        <v>13897</v>
      </c>
      <c r="I10552" t="s">
        <v>24993</v>
      </c>
      <c r="J10552" t="s">
        <v>10862</v>
      </c>
    </row>
    <row r="10553" spans="1:10" x14ac:dyDescent="0.25">
      <c r="A10553" t="s">
        <v>31498</v>
      </c>
      <c r="B10553">
        <v>9.7840000000000007</v>
      </c>
      <c r="C10553" t="s">
        <v>31499</v>
      </c>
      <c r="D10553" t="s">
        <v>9325</v>
      </c>
      <c r="E10553" t="s">
        <v>31494</v>
      </c>
      <c r="F10553" t="s">
        <v>7672</v>
      </c>
      <c r="G10553" t="s">
        <v>31495</v>
      </c>
      <c r="H10553" t="s">
        <v>13897</v>
      </c>
      <c r="I10553" t="s">
        <v>24993</v>
      </c>
      <c r="J10553" t="s">
        <v>9426</v>
      </c>
    </row>
    <row r="10554" spans="1:10" x14ac:dyDescent="0.25">
      <c r="A10554" t="s">
        <v>31500</v>
      </c>
      <c r="B10554">
        <v>9.7840000000000007</v>
      </c>
      <c r="C10554" t="s">
        <v>31501</v>
      </c>
      <c r="D10554" t="s">
        <v>9671</v>
      </c>
      <c r="E10554" t="s">
        <v>31494</v>
      </c>
      <c r="F10554" t="s">
        <v>7672</v>
      </c>
      <c r="G10554" t="s">
        <v>31495</v>
      </c>
      <c r="H10554" t="s">
        <v>13897</v>
      </c>
      <c r="I10554" t="s">
        <v>24993</v>
      </c>
      <c r="J10554" t="s">
        <v>13084</v>
      </c>
    </row>
    <row r="10555" spans="1:10" x14ac:dyDescent="0.25">
      <c r="A10555" t="s">
        <v>31502</v>
      </c>
      <c r="B10555">
        <v>9.7840000000000007</v>
      </c>
      <c r="C10555" t="s">
        <v>31503</v>
      </c>
      <c r="D10555" t="s">
        <v>9312</v>
      </c>
      <c r="E10555" t="s">
        <v>31494</v>
      </c>
      <c r="F10555" t="s">
        <v>7672</v>
      </c>
      <c r="G10555" t="s">
        <v>31495</v>
      </c>
      <c r="H10555" t="s">
        <v>13897</v>
      </c>
      <c r="I10555" t="s">
        <v>24993</v>
      </c>
      <c r="J10555" t="s">
        <v>11767</v>
      </c>
    </row>
    <row r="10556" spans="1:10" x14ac:dyDescent="0.25">
      <c r="A10556" t="s">
        <v>31504</v>
      </c>
      <c r="B10556">
        <v>9.7840000000000007</v>
      </c>
      <c r="C10556" t="s">
        <v>31505</v>
      </c>
      <c r="D10556" t="s">
        <v>3962</v>
      </c>
      <c r="E10556" t="s">
        <v>31494</v>
      </c>
      <c r="F10556" t="s">
        <v>7672</v>
      </c>
      <c r="G10556" t="s">
        <v>31495</v>
      </c>
      <c r="H10556" t="s">
        <v>13897</v>
      </c>
      <c r="I10556" t="s">
        <v>24993</v>
      </c>
      <c r="J10556" t="s">
        <v>11582</v>
      </c>
    </row>
    <row r="10557" spans="1:10" x14ac:dyDescent="0.25">
      <c r="A10557" t="s">
        <v>31506</v>
      </c>
      <c r="B10557">
        <v>9.7840000000000007</v>
      </c>
      <c r="C10557" t="s">
        <v>31507</v>
      </c>
      <c r="D10557" t="s">
        <v>7934</v>
      </c>
      <c r="E10557" t="s">
        <v>31494</v>
      </c>
      <c r="F10557" t="s">
        <v>7672</v>
      </c>
      <c r="G10557" t="s">
        <v>31495</v>
      </c>
      <c r="H10557" t="s">
        <v>13897</v>
      </c>
      <c r="I10557" t="s">
        <v>24993</v>
      </c>
      <c r="J10557" t="s">
        <v>11585</v>
      </c>
    </row>
    <row r="10558" spans="1:10" x14ac:dyDescent="0.25">
      <c r="A10558" t="s">
        <v>949</v>
      </c>
      <c r="B10558">
        <v>8.9920000000000009</v>
      </c>
      <c r="C10558" t="s">
        <v>951</v>
      </c>
      <c r="D10558" t="s">
        <v>255</v>
      </c>
      <c r="E10558" t="s">
        <v>952</v>
      </c>
      <c r="F10558" t="s">
        <v>7672</v>
      </c>
      <c r="G10558" t="s">
        <v>31508</v>
      </c>
      <c r="H10558" t="s">
        <v>28963</v>
      </c>
      <c r="I10558" t="s">
        <v>954</v>
      </c>
      <c r="J10558" t="s">
        <v>11498</v>
      </c>
    </row>
    <row r="10559" spans="1:10" x14ac:dyDescent="0.25">
      <c r="A10559" t="s">
        <v>31509</v>
      </c>
      <c r="B10559">
        <v>8.9920000000000009</v>
      </c>
      <c r="C10559" t="s">
        <v>31510</v>
      </c>
      <c r="D10559" t="s">
        <v>131</v>
      </c>
      <c r="E10559" t="s">
        <v>952</v>
      </c>
      <c r="F10559" t="s">
        <v>7672</v>
      </c>
      <c r="G10559" t="s">
        <v>31508</v>
      </c>
      <c r="H10559" t="s">
        <v>28963</v>
      </c>
      <c r="I10559" t="s">
        <v>965</v>
      </c>
      <c r="J10559" t="s">
        <v>11498</v>
      </c>
    </row>
    <row r="10560" spans="1:10" x14ac:dyDescent="0.25">
      <c r="A10560" t="s">
        <v>955</v>
      </c>
      <c r="B10560">
        <v>8.9920000000000009</v>
      </c>
      <c r="C10560" t="s">
        <v>957</v>
      </c>
      <c r="D10560" t="s">
        <v>959</v>
      </c>
      <c r="E10560" t="s">
        <v>952</v>
      </c>
      <c r="F10560" t="s">
        <v>7672</v>
      </c>
      <c r="G10560" t="s">
        <v>31508</v>
      </c>
      <c r="H10560" t="s">
        <v>28963</v>
      </c>
      <c r="I10560" t="s">
        <v>954</v>
      </c>
      <c r="J10560" t="s">
        <v>11499</v>
      </c>
    </row>
    <row r="10561" spans="1:10" x14ac:dyDescent="0.25">
      <c r="A10561" t="s">
        <v>960</v>
      </c>
      <c r="B10561">
        <v>8.9920000000000009</v>
      </c>
      <c r="C10561" t="s">
        <v>962</v>
      </c>
      <c r="D10561" t="s">
        <v>964</v>
      </c>
      <c r="E10561" t="s">
        <v>952</v>
      </c>
      <c r="F10561" t="s">
        <v>7672</v>
      </c>
      <c r="G10561" t="s">
        <v>31508</v>
      </c>
      <c r="H10561" t="s">
        <v>28963</v>
      </c>
      <c r="I10561" t="s">
        <v>965</v>
      </c>
      <c r="J10561" t="s">
        <v>11499</v>
      </c>
    </row>
    <row r="10562" spans="1:10" x14ac:dyDescent="0.25">
      <c r="A10562" t="s">
        <v>966</v>
      </c>
      <c r="B10562">
        <v>8.9920000000000009</v>
      </c>
      <c r="C10562" t="s">
        <v>968</v>
      </c>
      <c r="D10562" t="s">
        <v>88</v>
      </c>
      <c r="E10562" t="s">
        <v>952</v>
      </c>
      <c r="F10562" t="s">
        <v>7672</v>
      </c>
      <c r="G10562" t="s">
        <v>31508</v>
      </c>
      <c r="H10562" t="s">
        <v>28963</v>
      </c>
      <c r="I10562" t="s">
        <v>954</v>
      </c>
      <c r="J10562" t="s">
        <v>11500</v>
      </c>
    </row>
    <row r="10563" spans="1:10" x14ac:dyDescent="0.25">
      <c r="A10563" t="s">
        <v>31511</v>
      </c>
      <c r="B10563">
        <v>8.9920000000000009</v>
      </c>
      <c r="C10563" t="s">
        <v>31512</v>
      </c>
      <c r="D10563" t="s">
        <v>100</v>
      </c>
      <c r="E10563" t="s">
        <v>952</v>
      </c>
      <c r="F10563" t="s">
        <v>7672</v>
      </c>
      <c r="G10563" t="s">
        <v>31508</v>
      </c>
      <c r="H10563" t="s">
        <v>28963</v>
      </c>
      <c r="I10563" t="s">
        <v>965</v>
      </c>
      <c r="J10563" t="s">
        <v>11500</v>
      </c>
    </row>
    <row r="10564" spans="1:10" x14ac:dyDescent="0.25">
      <c r="A10564" t="s">
        <v>31513</v>
      </c>
      <c r="B10564">
        <v>3.3519999999999999</v>
      </c>
      <c r="C10564" t="s">
        <v>31514</v>
      </c>
      <c r="D10564" t="s">
        <v>3815</v>
      </c>
      <c r="E10564" t="s">
        <v>31515</v>
      </c>
      <c r="F10564" t="s">
        <v>7672</v>
      </c>
      <c r="G10564" t="s">
        <v>27737</v>
      </c>
      <c r="H10564" t="s">
        <v>10298</v>
      </c>
      <c r="I10564" t="s">
        <v>31516</v>
      </c>
      <c r="J10564" t="s">
        <v>12182</v>
      </c>
    </row>
    <row r="10565" spans="1:10" x14ac:dyDescent="0.25">
      <c r="A10565" t="s">
        <v>31517</v>
      </c>
      <c r="B10565">
        <v>3.3519999999999999</v>
      </c>
      <c r="C10565" t="s">
        <v>31518</v>
      </c>
      <c r="D10565" t="s">
        <v>11143</v>
      </c>
      <c r="E10565" t="s">
        <v>31515</v>
      </c>
      <c r="F10565" t="s">
        <v>7672</v>
      </c>
      <c r="G10565" t="s">
        <v>27737</v>
      </c>
      <c r="H10565" t="s">
        <v>10298</v>
      </c>
      <c r="I10565" t="s">
        <v>31516</v>
      </c>
      <c r="J10565" t="s">
        <v>10150</v>
      </c>
    </row>
    <row r="10566" spans="1:10" x14ac:dyDescent="0.25">
      <c r="A10566" t="s">
        <v>31519</v>
      </c>
      <c r="B10566">
        <v>3.96</v>
      </c>
      <c r="C10566" t="s">
        <v>31520</v>
      </c>
      <c r="D10566" t="s">
        <v>1567</v>
      </c>
      <c r="E10566" t="s">
        <v>31521</v>
      </c>
      <c r="F10566" t="s">
        <v>7672</v>
      </c>
      <c r="G10566" t="s">
        <v>31522</v>
      </c>
      <c r="H10566" t="s">
        <v>11381</v>
      </c>
      <c r="I10566" t="s">
        <v>31523</v>
      </c>
      <c r="J10566" t="s">
        <v>7981</v>
      </c>
    </row>
    <row r="10567" spans="1:10" x14ac:dyDescent="0.25">
      <c r="A10567" t="s">
        <v>31524</v>
      </c>
      <c r="B10567">
        <v>11.992000000000001</v>
      </c>
      <c r="C10567" t="s">
        <v>31525</v>
      </c>
      <c r="D10567" t="s">
        <v>164</v>
      </c>
      <c r="E10567" t="s">
        <v>31526</v>
      </c>
      <c r="F10567" t="s">
        <v>7672</v>
      </c>
      <c r="G10567" t="s">
        <v>31527</v>
      </c>
      <c r="H10567" t="s">
        <v>9127</v>
      </c>
      <c r="I10567" t="s">
        <v>20870</v>
      </c>
      <c r="J10567" t="s">
        <v>9107</v>
      </c>
    </row>
    <row r="10568" spans="1:10" x14ac:dyDescent="0.25">
      <c r="A10568" t="s">
        <v>31528</v>
      </c>
      <c r="B10568">
        <v>11.992000000000001</v>
      </c>
      <c r="C10568" t="s">
        <v>31529</v>
      </c>
      <c r="D10568" t="s">
        <v>277</v>
      </c>
      <c r="E10568" t="s">
        <v>31526</v>
      </c>
      <c r="F10568" t="s">
        <v>7672</v>
      </c>
      <c r="G10568" t="s">
        <v>31527</v>
      </c>
      <c r="H10568" t="s">
        <v>9127</v>
      </c>
      <c r="I10568" t="s">
        <v>20864</v>
      </c>
      <c r="J10568" t="s">
        <v>9107</v>
      </c>
    </row>
    <row r="10569" spans="1:10" x14ac:dyDescent="0.25">
      <c r="A10569" t="s">
        <v>31530</v>
      </c>
      <c r="B10569">
        <v>11.992000000000001</v>
      </c>
      <c r="C10569" t="s">
        <v>31531</v>
      </c>
      <c r="D10569" t="s">
        <v>60</v>
      </c>
      <c r="E10569" t="s">
        <v>31526</v>
      </c>
      <c r="F10569" t="s">
        <v>7672</v>
      </c>
      <c r="G10569" t="s">
        <v>31527</v>
      </c>
      <c r="H10569" t="s">
        <v>9127</v>
      </c>
      <c r="I10569" t="s">
        <v>20864</v>
      </c>
      <c r="J10569" t="s">
        <v>9110</v>
      </c>
    </row>
    <row r="10570" spans="1:10" x14ac:dyDescent="0.25">
      <c r="A10570" t="s">
        <v>31532</v>
      </c>
      <c r="B10570">
        <v>11.992000000000001</v>
      </c>
      <c r="C10570" t="s">
        <v>31533</v>
      </c>
      <c r="D10570" t="s">
        <v>199</v>
      </c>
      <c r="E10570" t="s">
        <v>31526</v>
      </c>
      <c r="F10570" t="s">
        <v>7672</v>
      </c>
      <c r="G10570" t="s">
        <v>31527</v>
      </c>
      <c r="H10570" t="s">
        <v>9127</v>
      </c>
      <c r="I10570" t="s">
        <v>20864</v>
      </c>
      <c r="J10570" t="s">
        <v>11368</v>
      </c>
    </row>
    <row r="10571" spans="1:10" x14ac:dyDescent="0.25">
      <c r="A10571" t="s">
        <v>31534</v>
      </c>
      <c r="B10571">
        <v>11.992000000000001</v>
      </c>
      <c r="C10571" t="s">
        <v>31535</v>
      </c>
      <c r="D10571" t="s">
        <v>742</v>
      </c>
      <c r="E10571" t="s">
        <v>31526</v>
      </c>
      <c r="F10571" t="s">
        <v>7672</v>
      </c>
      <c r="G10571" t="s">
        <v>31527</v>
      </c>
      <c r="H10571" t="s">
        <v>9127</v>
      </c>
      <c r="I10571" t="s">
        <v>20870</v>
      </c>
      <c r="J10571" t="s">
        <v>11368</v>
      </c>
    </row>
    <row r="10572" spans="1:10" x14ac:dyDescent="0.25">
      <c r="A10572" t="s">
        <v>31536</v>
      </c>
      <c r="B10572">
        <v>11.992000000000001</v>
      </c>
      <c r="C10572" t="s">
        <v>31537</v>
      </c>
      <c r="D10572" t="s">
        <v>330</v>
      </c>
      <c r="E10572" t="s">
        <v>31526</v>
      </c>
      <c r="F10572" t="s">
        <v>7672</v>
      </c>
      <c r="G10572" t="s">
        <v>31527</v>
      </c>
      <c r="H10572" t="s">
        <v>9127</v>
      </c>
      <c r="I10572" t="s">
        <v>20864</v>
      </c>
      <c r="J10572" t="s">
        <v>11373</v>
      </c>
    </row>
    <row r="10573" spans="1:10" x14ac:dyDescent="0.25">
      <c r="A10573" t="s">
        <v>31538</v>
      </c>
      <c r="B10573">
        <v>11.992000000000001</v>
      </c>
      <c r="C10573" t="s">
        <v>31539</v>
      </c>
      <c r="D10573" t="s">
        <v>352</v>
      </c>
      <c r="E10573" t="s">
        <v>31526</v>
      </c>
      <c r="F10573" t="s">
        <v>7672</v>
      </c>
      <c r="G10573" t="s">
        <v>31527</v>
      </c>
      <c r="H10573" t="s">
        <v>9127</v>
      </c>
      <c r="I10573" t="s">
        <v>20870</v>
      </c>
      <c r="J10573" t="s">
        <v>11373</v>
      </c>
    </row>
    <row r="10574" spans="1:10" x14ac:dyDescent="0.25">
      <c r="A10574" t="s">
        <v>31540</v>
      </c>
      <c r="B10574">
        <v>11.992000000000001</v>
      </c>
      <c r="C10574" t="s">
        <v>31541</v>
      </c>
      <c r="D10574" t="s">
        <v>576</v>
      </c>
      <c r="E10574" t="s">
        <v>31526</v>
      </c>
      <c r="F10574" t="s">
        <v>7672</v>
      </c>
      <c r="G10574" t="s">
        <v>31527</v>
      </c>
      <c r="H10574" t="s">
        <v>9127</v>
      </c>
      <c r="I10574" t="s">
        <v>20864</v>
      </c>
      <c r="J10574" t="s">
        <v>11376</v>
      </c>
    </row>
    <row r="10575" spans="1:10" x14ac:dyDescent="0.25">
      <c r="A10575" t="s">
        <v>31542</v>
      </c>
      <c r="B10575">
        <v>11.992000000000001</v>
      </c>
      <c r="C10575" t="s">
        <v>31543</v>
      </c>
      <c r="D10575" t="s">
        <v>255</v>
      </c>
      <c r="E10575" t="s">
        <v>31526</v>
      </c>
      <c r="F10575" t="s">
        <v>7672</v>
      </c>
      <c r="G10575" t="s">
        <v>31527</v>
      </c>
      <c r="H10575" t="s">
        <v>9127</v>
      </c>
      <c r="I10575" t="s">
        <v>20870</v>
      </c>
      <c r="J10575" t="s">
        <v>11376</v>
      </c>
    </row>
    <row r="10576" spans="1:10" x14ac:dyDescent="0.25">
      <c r="A10576" t="s">
        <v>31544</v>
      </c>
      <c r="B10576">
        <v>11.992000000000001</v>
      </c>
      <c r="C10576" t="s">
        <v>31545</v>
      </c>
      <c r="D10576" t="s">
        <v>436</v>
      </c>
      <c r="E10576" t="s">
        <v>31526</v>
      </c>
      <c r="F10576" t="s">
        <v>7672</v>
      </c>
      <c r="G10576" t="s">
        <v>31527</v>
      </c>
      <c r="H10576" t="s">
        <v>9127</v>
      </c>
      <c r="I10576" t="s">
        <v>20864</v>
      </c>
      <c r="J10576" t="s">
        <v>9114</v>
      </c>
    </row>
    <row r="10577" spans="1:10" x14ac:dyDescent="0.25">
      <c r="A10577" t="s">
        <v>31546</v>
      </c>
      <c r="B10577">
        <v>11.992000000000001</v>
      </c>
      <c r="C10577" t="s">
        <v>31547</v>
      </c>
      <c r="D10577" t="s">
        <v>290</v>
      </c>
      <c r="E10577" t="s">
        <v>31526</v>
      </c>
      <c r="F10577" t="s">
        <v>7672</v>
      </c>
      <c r="G10577" t="s">
        <v>31527</v>
      </c>
      <c r="H10577" t="s">
        <v>9127</v>
      </c>
      <c r="I10577" t="s">
        <v>20870</v>
      </c>
      <c r="J10577" t="s">
        <v>9114</v>
      </c>
    </row>
    <row r="10578" spans="1:10" x14ac:dyDescent="0.25">
      <c r="A10578" t="s">
        <v>970</v>
      </c>
      <c r="B10578">
        <v>49.496000000000002</v>
      </c>
      <c r="C10578" t="s">
        <v>972</v>
      </c>
      <c r="D10578" t="s">
        <v>975</v>
      </c>
      <c r="E10578" t="s">
        <v>973</v>
      </c>
      <c r="F10578" t="s">
        <v>7672</v>
      </c>
      <c r="G10578" t="s">
        <v>31548</v>
      </c>
      <c r="H10578" t="s">
        <v>21219</v>
      </c>
      <c r="I10578" t="s">
        <v>700</v>
      </c>
      <c r="J10578" t="s">
        <v>7981</v>
      </c>
    </row>
    <row r="10579" spans="1:10" x14ac:dyDescent="0.25">
      <c r="A10579" t="s">
        <v>977</v>
      </c>
      <c r="B10579">
        <v>49.496000000000002</v>
      </c>
      <c r="C10579" t="s">
        <v>979</v>
      </c>
      <c r="D10579" t="s">
        <v>981</v>
      </c>
      <c r="E10579" t="s">
        <v>973</v>
      </c>
      <c r="F10579" t="s">
        <v>7672</v>
      </c>
      <c r="G10579" t="s">
        <v>31548</v>
      </c>
      <c r="H10579" t="s">
        <v>21219</v>
      </c>
      <c r="I10579" t="s">
        <v>76</v>
      </c>
      <c r="J10579" t="s">
        <v>7981</v>
      </c>
    </row>
    <row r="10580" spans="1:10" x14ac:dyDescent="0.25">
      <c r="A10580" t="s">
        <v>982</v>
      </c>
      <c r="B10580">
        <v>49.496000000000002</v>
      </c>
      <c r="C10580" t="s">
        <v>984</v>
      </c>
      <c r="D10580" t="s">
        <v>986</v>
      </c>
      <c r="E10580" t="s">
        <v>973</v>
      </c>
      <c r="F10580" t="s">
        <v>7672</v>
      </c>
      <c r="G10580" t="s">
        <v>31548</v>
      </c>
      <c r="H10580" t="s">
        <v>21219</v>
      </c>
      <c r="I10580" t="s">
        <v>76</v>
      </c>
      <c r="J10580" t="s">
        <v>7984</v>
      </c>
    </row>
    <row r="10581" spans="1:10" x14ac:dyDescent="0.25">
      <c r="A10581" t="s">
        <v>987</v>
      </c>
      <c r="B10581">
        <v>49.496000000000002</v>
      </c>
      <c r="C10581" t="s">
        <v>989</v>
      </c>
      <c r="D10581" t="s">
        <v>991</v>
      </c>
      <c r="E10581" t="s">
        <v>973</v>
      </c>
      <c r="F10581" t="s">
        <v>7672</v>
      </c>
      <c r="G10581" t="s">
        <v>31548</v>
      </c>
      <c r="H10581" t="s">
        <v>21219</v>
      </c>
      <c r="I10581" t="s">
        <v>700</v>
      </c>
      <c r="J10581" t="s">
        <v>7984</v>
      </c>
    </row>
    <row r="10582" spans="1:10" x14ac:dyDescent="0.25">
      <c r="A10582" t="s">
        <v>992</v>
      </c>
      <c r="B10582">
        <v>49.496000000000002</v>
      </c>
      <c r="C10582" t="s">
        <v>994</v>
      </c>
      <c r="D10582" t="s">
        <v>996</v>
      </c>
      <c r="E10582" t="s">
        <v>973</v>
      </c>
      <c r="F10582" t="s">
        <v>7672</v>
      </c>
      <c r="G10582" t="s">
        <v>31548</v>
      </c>
      <c r="H10582" t="s">
        <v>21219</v>
      </c>
      <c r="I10582" t="s">
        <v>76</v>
      </c>
      <c r="J10582" t="s">
        <v>7987</v>
      </c>
    </row>
    <row r="10583" spans="1:10" x14ac:dyDescent="0.25">
      <c r="A10583" t="s">
        <v>997</v>
      </c>
      <c r="B10583">
        <v>49.496000000000002</v>
      </c>
      <c r="C10583" t="s">
        <v>999</v>
      </c>
      <c r="D10583" t="s">
        <v>286</v>
      </c>
      <c r="E10583" t="s">
        <v>973</v>
      </c>
      <c r="F10583" t="s">
        <v>7672</v>
      </c>
      <c r="G10583" t="s">
        <v>31548</v>
      </c>
      <c r="H10583" t="s">
        <v>21219</v>
      </c>
      <c r="I10583" t="s">
        <v>700</v>
      </c>
      <c r="J10583" t="s">
        <v>7987</v>
      </c>
    </row>
    <row r="10584" spans="1:10" x14ac:dyDescent="0.25">
      <c r="A10584" t="s">
        <v>1001</v>
      </c>
      <c r="B10584">
        <v>49.496000000000002</v>
      </c>
      <c r="C10584" t="s">
        <v>1003</v>
      </c>
      <c r="D10584" t="s">
        <v>234</v>
      </c>
      <c r="E10584" t="s">
        <v>973</v>
      </c>
      <c r="F10584" t="s">
        <v>7672</v>
      </c>
      <c r="G10584" t="s">
        <v>31548</v>
      </c>
      <c r="H10584" t="s">
        <v>21219</v>
      </c>
      <c r="I10584" t="s">
        <v>76</v>
      </c>
      <c r="J10584" t="s">
        <v>8001</v>
      </c>
    </row>
    <row r="10585" spans="1:10" x14ac:dyDescent="0.25">
      <c r="A10585" t="s">
        <v>1005</v>
      </c>
      <c r="B10585">
        <v>49.496000000000002</v>
      </c>
      <c r="C10585" t="s">
        <v>1007</v>
      </c>
      <c r="D10585" t="s">
        <v>255</v>
      </c>
      <c r="E10585" t="s">
        <v>973</v>
      </c>
      <c r="F10585" t="s">
        <v>7672</v>
      </c>
      <c r="G10585" t="s">
        <v>31548</v>
      </c>
      <c r="H10585" t="s">
        <v>21219</v>
      </c>
      <c r="I10585" t="s">
        <v>700</v>
      </c>
      <c r="J10585" t="s">
        <v>8001</v>
      </c>
    </row>
    <row r="10586" spans="1:10" x14ac:dyDescent="0.25">
      <c r="A10586" t="s">
        <v>31549</v>
      </c>
      <c r="B10586">
        <v>9.6000000000000014</v>
      </c>
      <c r="C10586" t="s">
        <v>31550</v>
      </c>
      <c r="D10586" t="s">
        <v>959</v>
      </c>
      <c r="E10586" t="s">
        <v>31551</v>
      </c>
      <c r="F10586" t="s">
        <v>7672</v>
      </c>
      <c r="G10586" t="s">
        <v>31552</v>
      </c>
      <c r="H10586" t="s">
        <v>31553</v>
      </c>
      <c r="I10586" t="s">
        <v>31554</v>
      </c>
      <c r="J10586" t="s">
        <v>8980</v>
      </c>
    </row>
    <row r="10587" spans="1:10" x14ac:dyDescent="0.25">
      <c r="A10587" t="s">
        <v>31555</v>
      </c>
      <c r="B10587">
        <v>9.6000000000000014</v>
      </c>
      <c r="C10587" t="s">
        <v>31556</v>
      </c>
      <c r="D10587" t="s">
        <v>277</v>
      </c>
      <c r="E10587" t="s">
        <v>31551</v>
      </c>
      <c r="F10587" t="s">
        <v>7672</v>
      </c>
      <c r="G10587" t="s">
        <v>31552</v>
      </c>
      <c r="H10587" t="s">
        <v>31553</v>
      </c>
      <c r="I10587" t="s">
        <v>31554</v>
      </c>
      <c r="J10587" t="s">
        <v>53</v>
      </c>
    </row>
    <row r="10588" spans="1:10" x14ac:dyDescent="0.25">
      <c r="A10588" t="s">
        <v>31557</v>
      </c>
      <c r="B10588">
        <v>9.6000000000000014</v>
      </c>
      <c r="C10588" t="s">
        <v>31558</v>
      </c>
      <c r="D10588" t="s">
        <v>88</v>
      </c>
      <c r="E10588" t="s">
        <v>31551</v>
      </c>
      <c r="F10588" t="s">
        <v>7672</v>
      </c>
      <c r="G10588" t="s">
        <v>31552</v>
      </c>
      <c r="H10588" t="s">
        <v>31553</v>
      </c>
      <c r="I10588" t="s">
        <v>31559</v>
      </c>
      <c r="J10588" t="s">
        <v>53</v>
      </c>
    </row>
    <row r="10589" spans="1:10" x14ac:dyDescent="0.25">
      <c r="A10589" t="s">
        <v>31560</v>
      </c>
      <c r="B10589">
        <v>9.6000000000000014</v>
      </c>
      <c r="C10589" t="s">
        <v>31561</v>
      </c>
      <c r="D10589" t="s">
        <v>106</v>
      </c>
      <c r="E10589" t="s">
        <v>31551</v>
      </c>
      <c r="F10589" t="s">
        <v>7672</v>
      </c>
      <c r="G10589" t="s">
        <v>31552</v>
      </c>
      <c r="H10589" t="s">
        <v>31553</v>
      </c>
      <c r="I10589" t="s">
        <v>31554</v>
      </c>
      <c r="J10589" t="s">
        <v>342</v>
      </c>
    </row>
    <row r="10590" spans="1:10" x14ac:dyDescent="0.25">
      <c r="A10590" t="s">
        <v>31562</v>
      </c>
      <c r="B10590">
        <v>3.52</v>
      </c>
      <c r="C10590" t="s">
        <v>31563</v>
      </c>
      <c r="D10590" t="s">
        <v>875</v>
      </c>
      <c r="E10590" t="s">
        <v>31564</v>
      </c>
      <c r="F10590" t="s">
        <v>7672</v>
      </c>
      <c r="G10590" t="s">
        <v>31565</v>
      </c>
      <c r="H10590" t="s">
        <v>11598</v>
      </c>
      <c r="I10590" t="s">
        <v>31566</v>
      </c>
      <c r="J10590" t="s">
        <v>9694</v>
      </c>
    </row>
    <row r="10591" spans="1:10" x14ac:dyDescent="0.25">
      <c r="A10591" t="s">
        <v>31567</v>
      </c>
      <c r="B10591">
        <v>7.4960000000000004</v>
      </c>
      <c r="C10591" t="s">
        <v>31568</v>
      </c>
      <c r="D10591" t="s">
        <v>3470</v>
      </c>
      <c r="E10591" t="s">
        <v>31569</v>
      </c>
      <c r="F10591" t="s">
        <v>7672</v>
      </c>
      <c r="G10591" t="s">
        <v>31570</v>
      </c>
      <c r="H10591" t="s">
        <v>31571</v>
      </c>
      <c r="I10591" t="s">
        <v>497</v>
      </c>
      <c r="J10591" t="s">
        <v>9694</v>
      </c>
    </row>
    <row r="10592" spans="1:10" x14ac:dyDescent="0.25">
      <c r="A10592" t="s">
        <v>31572</v>
      </c>
      <c r="B10592">
        <v>8.3920000000000012</v>
      </c>
      <c r="C10592" t="s">
        <v>31573</v>
      </c>
      <c r="D10592" t="s">
        <v>46</v>
      </c>
      <c r="E10592" t="s">
        <v>31574</v>
      </c>
      <c r="F10592" t="s">
        <v>7672</v>
      </c>
      <c r="G10592" t="s">
        <v>31302</v>
      </c>
      <c r="H10592" t="s">
        <v>7674</v>
      </c>
      <c r="I10592" t="s">
        <v>8577</v>
      </c>
      <c r="J10592" t="s">
        <v>16039</v>
      </c>
    </row>
    <row r="10593" spans="1:10" x14ac:dyDescent="0.25">
      <c r="A10593" t="s">
        <v>31575</v>
      </c>
      <c r="B10593">
        <v>8.3920000000000012</v>
      </c>
      <c r="C10593" t="s">
        <v>31576</v>
      </c>
      <c r="D10593" t="s">
        <v>2317</v>
      </c>
      <c r="E10593" t="s">
        <v>31574</v>
      </c>
      <c r="F10593" t="s">
        <v>7672</v>
      </c>
      <c r="G10593" t="s">
        <v>31302</v>
      </c>
      <c r="H10593" t="s">
        <v>7674</v>
      </c>
      <c r="I10593" t="s">
        <v>8577</v>
      </c>
      <c r="J10593" t="s">
        <v>16064</v>
      </c>
    </row>
    <row r="10594" spans="1:10" x14ac:dyDescent="0.25">
      <c r="A10594" t="s">
        <v>31577</v>
      </c>
      <c r="B10594">
        <v>8.3920000000000012</v>
      </c>
      <c r="C10594" t="s">
        <v>31578</v>
      </c>
      <c r="D10594" t="s">
        <v>4187</v>
      </c>
      <c r="E10594" t="s">
        <v>31574</v>
      </c>
      <c r="F10594" t="s">
        <v>7672</v>
      </c>
      <c r="G10594" t="s">
        <v>31302</v>
      </c>
      <c r="H10594" t="s">
        <v>7674</v>
      </c>
      <c r="I10594" t="s">
        <v>8577</v>
      </c>
      <c r="J10594" t="s">
        <v>16089</v>
      </c>
    </row>
    <row r="10595" spans="1:10" x14ac:dyDescent="0.25">
      <c r="A10595" t="s">
        <v>31579</v>
      </c>
      <c r="B10595">
        <v>8.3920000000000012</v>
      </c>
      <c r="C10595" t="s">
        <v>31580</v>
      </c>
      <c r="D10595" t="s">
        <v>3653</v>
      </c>
      <c r="E10595" t="s">
        <v>31574</v>
      </c>
      <c r="F10595" t="s">
        <v>7672</v>
      </c>
      <c r="G10595" t="s">
        <v>31302</v>
      </c>
      <c r="H10595" t="s">
        <v>7674</v>
      </c>
      <c r="I10595" t="s">
        <v>8577</v>
      </c>
      <c r="J10595" t="s">
        <v>16104</v>
      </c>
    </row>
    <row r="10596" spans="1:10" x14ac:dyDescent="0.25">
      <c r="A10596" t="s">
        <v>31581</v>
      </c>
      <c r="B10596">
        <v>8.3920000000000012</v>
      </c>
      <c r="C10596" t="s">
        <v>31582</v>
      </c>
      <c r="D10596" t="s">
        <v>933</v>
      </c>
      <c r="E10596" t="s">
        <v>31574</v>
      </c>
      <c r="F10596" t="s">
        <v>7672</v>
      </c>
      <c r="G10596" t="s">
        <v>31302</v>
      </c>
      <c r="H10596" t="s">
        <v>7674</v>
      </c>
      <c r="I10596" t="s">
        <v>8577</v>
      </c>
      <c r="J10596" t="s">
        <v>16125</v>
      </c>
    </row>
    <row r="10597" spans="1:10" x14ac:dyDescent="0.25">
      <c r="A10597" t="s">
        <v>31583</v>
      </c>
      <c r="B10597">
        <v>8.3920000000000012</v>
      </c>
      <c r="C10597" t="s">
        <v>31584</v>
      </c>
      <c r="D10597" t="s">
        <v>654</v>
      </c>
      <c r="E10597" t="s">
        <v>31574</v>
      </c>
      <c r="F10597" t="s">
        <v>7672</v>
      </c>
      <c r="G10597" t="s">
        <v>31302</v>
      </c>
      <c r="H10597" t="s">
        <v>7674</v>
      </c>
      <c r="I10597" t="s">
        <v>8577</v>
      </c>
      <c r="J10597" t="s">
        <v>16143</v>
      </c>
    </row>
    <row r="10598" spans="1:10" x14ac:dyDescent="0.25">
      <c r="A10598" t="s">
        <v>31585</v>
      </c>
      <c r="B10598">
        <v>8.3920000000000012</v>
      </c>
      <c r="C10598" t="s">
        <v>31586</v>
      </c>
      <c r="D10598" t="s">
        <v>330</v>
      </c>
      <c r="E10598" t="s">
        <v>31587</v>
      </c>
      <c r="F10598" t="s">
        <v>7672</v>
      </c>
      <c r="G10598" t="s">
        <v>31588</v>
      </c>
      <c r="H10598" t="s">
        <v>7674</v>
      </c>
      <c r="I10598" t="s">
        <v>8577</v>
      </c>
      <c r="J10598" t="s">
        <v>8013</v>
      </c>
    </row>
    <row r="10599" spans="1:10" x14ac:dyDescent="0.25">
      <c r="A10599" t="s">
        <v>31589</v>
      </c>
      <c r="B10599">
        <v>15.6</v>
      </c>
      <c r="C10599" t="s">
        <v>31590</v>
      </c>
      <c r="D10599" t="s">
        <v>436</v>
      </c>
      <c r="E10599" t="s">
        <v>31591</v>
      </c>
      <c r="F10599" t="s">
        <v>7672</v>
      </c>
      <c r="G10599" t="s">
        <v>31592</v>
      </c>
      <c r="H10599" t="s">
        <v>12232</v>
      </c>
      <c r="I10599" t="s">
        <v>10802</v>
      </c>
      <c r="J10599" t="s">
        <v>8001</v>
      </c>
    </row>
    <row r="10600" spans="1:10" x14ac:dyDescent="0.25">
      <c r="A10600" t="s">
        <v>31593</v>
      </c>
      <c r="B10600">
        <v>15.6</v>
      </c>
      <c r="C10600" t="s">
        <v>31594</v>
      </c>
      <c r="D10600" t="s">
        <v>301</v>
      </c>
      <c r="E10600" t="s">
        <v>31591</v>
      </c>
      <c r="F10600" t="s">
        <v>7672</v>
      </c>
      <c r="G10600" t="s">
        <v>31592</v>
      </c>
      <c r="H10600" t="s">
        <v>12232</v>
      </c>
      <c r="I10600" t="s">
        <v>10802</v>
      </c>
      <c r="J10600" t="s">
        <v>8013</v>
      </c>
    </row>
    <row r="10601" spans="1:10" x14ac:dyDescent="0.25">
      <c r="A10601" t="s">
        <v>31595</v>
      </c>
      <c r="B10601">
        <v>9.8000000000000007</v>
      </c>
      <c r="C10601" t="s">
        <v>31596</v>
      </c>
      <c r="D10601" t="s">
        <v>436</v>
      </c>
      <c r="E10601" t="s">
        <v>31597</v>
      </c>
      <c r="F10601" t="s">
        <v>7672</v>
      </c>
      <c r="G10601" t="s">
        <v>31598</v>
      </c>
      <c r="H10601" t="s">
        <v>16745</v>
      </c>
      <c r="I10601" t="s">
        <v>31599</v>
      </c>
      <c r="J10601" t="s">
        <v>7942</v>
      </c>
    </row>
    <row r="10602" spans="1:10" x14ac:dyDescent="0.25">
      <c r="A10602" t="s">
        <v>31600</v>
      </c>
      <c r="B10602">
        <v>9.8000000000000007</v>
      </c>
      <c r="C10602" t="s">
        <v>31601</v>
      </c>
      <c r="D10602" t="s">
        <v>53</v>
      </c>
      <c r="E10602" t="s">
        <v>31597</v>
      </c>
      <c r="F10602" t="s">
        <v>7672</v>
      </c>
      <c r="G10602" t="s">
        <v>31598</v>
      </c>
      <c r="H10602" t="s">
        <v>16745</v>
      </c>
      <c r="I10602" t="s">
        <v>935</v>
      </c>
      <c r="J10602" t="s">
        <v>7942</v>
      </c>
    </row>
    <row r="10603" spans="1:10" x14ac:dyDescent="0.25">
      <c r="A10603" t="s">
        <v>31602</v>
      </c>
      <c r="B10603">
        <v>9.8000000000000007</v>
      </c>
      <c r="C10603" t="s">
        <v>31603</v>
      </c>
      <c r="D10603" t="s">
        <v>330</v>
      </c>
      <c r="E10603" t="s">
        <v>31597</v>
      </c>
      <c r="F10603" t="s">
        <v>7672</v>
      </c>
      <c r="G10603" t="s">
        <v>31598</v>
      </c>
      <c r="H10603" t="s">
        <v>16745</v>
      </c>
      <c r="I10603" t="s">
        <v>76</v>
      </c>
      <c r="J10603" t="s">
        <v>7942</v>
      </c>
    </row>
    <row r="10604" spans="1:10" x14ac:dyDescent="0.25">
      <c r="A10604" t="s">
        <v>31604</v>
      </c>
      <c r="B10604">
        <v>9.8000000000000007</v>
      </c>
      <c r="C10604" t="s">
        <v>31605</v>
      </c>
      <c r="D10604" t="s">
        <v>436</v>
      </c>
      <c r="E10604" t="s">
        <v>31597</v>
      </c>
      <c r="F10604" t="s">
        <v>7672</v>
      </c>
      <c r="G10604" t="s">
        <v>31598</v>
      </c>
      <c r="H10604" t="s">
        <v>16745</v>
      </c>
      <c r="I10604" t="s">
        <v>31599</v>
      </c>
      <c r="J10604" t="s">
        <v>7981</v>
      </c>
    </row>
    <row r="10605" spans="1:10" x14ac:dyDescent="0.25">
      <c r="A10605" t="s">
        <v>31606</v>
      </c>
      <c r="B10605">
        <v>9.8000000000000007</v>
      </c>
      <c r="C10605" t="s">
        <v>31607</v>
      </c>
      <c r="D10605" t="s">
        <v>88</v>
      </c>
      <c r="E10605" t="s">
        <v>31597</v>
      </c>
      <c r="F10605" t="s">
        <v>7672</v>
      </c>
      <c r="G10605" t="s">
        <v>31598</v>
      </c>
      <c r="H10605" t="s">
        <v>16745</v>
      </c>
      <c r="I10605" t="s">
        <v>31599</v>
      </c>
      <c r="J10605" t="s">
        <v>7984</v>
      </c>
    </row>
    <row r="10606" spans="1:10" x14ac:dyDescent="0.25">
      <c r="A10606" t="s">
        <v>31608</v>
      </c>
      <c r="B10606">
        <v>9.8000000000000007</v>
      </c>
      <c r="C10606" t="s">
        <v>31609</v>
      </c>
      <c r="D10606" t="s">
        <v>385</v>
      </c>
      <c r="E10606" t="s">
        <v>31597</v>
      </c>
      <c r="F10606" t="s">
        <v>7672</v>
      </c>
      <c r="G10606" t="s">
        <v>31598</v>
      </c>
      <c r="H10606" t="s">
        <v>16745</v>
      </c>
      <c r="I10606" t="s">
        <v>76</v>
      </c>
      <c r="J10606" t="s">
        <v>7984</v>
      </c>
    </row>
    <row r="10607" spans="1:10" x14ac:dyDescent="0.25">
      <c r="A10607" t="s">
        <v>31610</v>
      </c>
      <c r="B10607">
        <v>12.24</v>
      </c>
      <c r="C10607" t="s">
        <v>31611</v>
      </c>
      <c r="D10607" t="s">
        <v>835</v>
      </c>
      <c r="E10607" t="s">
        <v>31612</v>
      </c>
      <c r="F10607" t="s">
        <v>7672</v>
      </c>
      <c r="G10607" t="s">
        <v>31613</v>
      </c>
      <c r="H10607" t="s">
        <v>11381</v>
      </c>
      <c r="I10607" t="s">
        <v>6036</v>
      </c>
      <c r="J10607" t="s">
        <v>10908</v>
      </c>
    </row>
    <row r="10608" spans="1:10" x14ac:dyDescent="0.25">
      <c r="A10608" t="s">
        <v>31614</v>
      </c>
      <c r="B10608">
        <v>12.24</v>
      </c>
      <c r="C10608" t="s">
        <v>31615</v>
      </c>
      <c r="D10608" t="s">
        <v>240</v>
      </c>
      <c r="E10608" t="s">
        <v>31612</v>
      </c>
      <c r="F10608" t="s">
        <v>7672</v>
      </c>
      <c r="G10608" t="s">
        <v>31613</v>
      </c>
      <c r="H10608" t="s">
        <v>11381</v>
      </c>
      <c r="I10608" t="s">
        <v>31616</v>
      </c>
      <c r="J10608" t="s">
        <v>10908</v>
      </c>
    </row>
    <row r="10609" spans="1:10" x14ac:dyDescent="0.25">
      <c r="A10609" t="s">
        <v>31617</v>
      </c>
      <c r="B10609">
        <v>12.24</v>
      </c>
      <c r="C10609" t="s">
        <v>31618</v>
      </c>
      <c r="D10609" t="s">
        <v>164</v>
      </c>
      <c r="E10609" t="s">
        <v>31612</v>
      </c>
      <c r="F10609" t="s">
        <v>7672</v>
      </c>
      <c r="G10609" t="s">
        <v>31613</v>
      </c>
      <c r="H10609" t="s">
        <v>11381</v>
      </c>
      <c r="I10609" t="s">
        <v>31619</v>
      </c>
      <c r="J10609" t="s">
        <v>10908</v>
      </c>
    </row>
    <row r="10610" spans="1:10" x14ac:dyDescent="0.25">
      <c r="A10610" t="s">
        <v>31620</v>
      </c>
      <c r="B10610">
        <v>12.24</v>
      </c>
      <c r="C10610" t="s">
        <v>31621</v>
      </c>
      <c r="D10610" t="s">
        <v>131</v>
      </c>
      <c r="E10610" t="s">
        <v>31612</v>
      </c>
      <c r="F10610" t="s">
        <v>7672</v>
      </c>
      <c r="G10610" t="s">
        <v>31613</v>
      </c>
      <c r="H10610" t="s">
        <v>11381</v>
      </c>
      <c r="I10610" t="s">
        <v>31622</v>
      </c>
      <c r="J10610" t="s">
        <v>10908</v>
      </c>
    </row>
    <row r="10611" spans="1:10" x14ac:dyDescent="0.25">
      <c r="A10611" t="s">
        <v>31623</v>
      </c>
      <c r="B10611">
        <v>12.24</v>
      </c>
      <c r="C10611" t="s">
        <v>31624</v>
      </c>
      <c r="D10611" t="s">
        <v>981</v>
      </c>
      <c r="E10611" t="s">
        <v>31612</v>
      </c>
      <c r="F10611" t="s">
        <v>7672</v>
      </c>
      <c r="G10611" t="s">
        <v>31613</v>
      </c>
      <c r="H10611" t="s">
        <v>11381</v>
      </c>
      <c r="I10611" t="s">
        <v>31616</v>
      </c>
      <c r="J10611" t="s">
        <v>8885</v>
      </c>
    </row>
    <row r="10612" spans="1:10" x14ac:dyDescent="0.25">
      <c r="A10612" t="s">
        <v>31625</v>
      </c>
      <c r="B10612">
        <v>12.24</v>
      </c>
      <c r="C10612" t="s">
        <v>31626</v>
      </c>
      <c r="D10612" t="s">
        <v>269</v>
      </c>
      <c r="E10612" t="s">
        <v>31612</v>
      </c>
      <c r="F10612" t="s">
        <v>7672</v>
      </c>
      <c r="G10612" t="s">
        <v>31613</v>
      </c>
      <c r="H10612" t="s">
        <v>11381</v>
      </c>
      <c r="I10612" t="s">
        <v>17045</v>
      </c>
      <c r="J10612" t="s">
        <v>8885</v>
      </c>
    </row>
    <row r="10613" spans="1:10" x14ac:dyDescent="0.25">
      <c r="A10613" t="s">
        <v>31627</v>
      </c>
      <c r="B10613">
        <v>12.24</v>
      </c>
      <c r="C10613" t="s">
        <v>31628</v>
      </c>
      <c r="D10613" t="s">
        <v>1621</v>
      </c>
      <c r="E10613" t="s">
        <v>31612</v>
      </c>
      <c r="F10613" t="s">
        <v>7672</v>
      </c>
      <c r="G10613" t="s">
        <v>31613</v>
      </c>
      <c r="H10613" t="s">
        <v>11381</v>
      </c>
      <c r="I10613" t="s">
        <v>6036</v>
      </c>
      <c r="J10613" t="s">
        <v>8885</v>
      </c>
    </row>
    <row r="10614" spans="1:10" x14ac:dyDescent="0.25">
      <c r="A10614" t="s">
        <v>31629</v>
      </c>
      <c r="B10614">
        <v>12.24</v>
      </c>
      <c r="C10614" t="s">
        <v>31630</v>
      </c>
      <c r="D10614" t="s">
        <v>613</v>
      </c>
      <c r="E10614" t="s">
        <v>31612</v>
      </c>
      <c r="F10614" t="s">
        <v>7672</v>
      </c>
      <c r="G10614" t="s">
        <v>31613</v>
      </c>
      <c r="H10614" t="s">
        <v>11381</v>
      </c>
      <c r="I10614" t="s">
        <v>31619</v>
      </c>
      <c r="J10614" t="s">
        <v>8885</v>
      </c>
    </row>
    <row r="10615" spans="1:10" x14ac:dyDescent="0.25">
      <c r="A10615" t="s">
        <v>31631</v>
      </c>
      <c r="B10615">
        <v>12.24</v>
      </c>
      <c r="C10615" t="s">
        <v>31632</v>
      </c>
      <c r="D10615" t="s">
        <v>164</v>
      </c>
      <c r="E10615" t="s">
        <v>31612</v>
      </c>
      <c r="F10615" t="s">
        <v>7672</v>
      </c>
      <c r="G10615" t="s">
        <v>31613</v>
      </c>
      <c r="H10615" t="s">
        <v>11381</v>
      </c>
      <c r="I10615" t="s">
        <v>6036</v>
      </c>
      <c r="J10615" t="s">
        <v>10926</v>
      </c>
    </row>
    <row r="10616" spans="1:10" x14ac:dyDescent="0.25">
      <c r="A10616" t="s">
        <v>31633</v>
      </c>
      <c r="B10616">
        <v>12.24</v>
      </c>
      <c r="C10616" t="s">
        <v>31634</v>
      </c>
      <c r="D10616" t="s">
        <v>1097</v>
      </c>
      <c r="E10616" t="s">
        <v>31612</v>
      </c>
      <c r="F10616" t="s">
        <v>7672</v>
      </c>
      <c r="G10616" t="s">
        <v>31613</v>
      </c>
      <c r="H10616" t="s">
        <v>11381</v>
      </c>
      <c r="I10616" t="s">
        <v>31616</v>
      </c>
      <c r="J10616" t="s">
        <v>10926</v>
      </c>
    </row>
    <row r="10617" spans="1:10" x14ac:dyDescent="0.25">
      <c r="A10617" t="s">
        <v>31635</v>
      </c>
      <c r="B10617">
        <v>12.24</v>
      </c>
      <c r="C10617" t="s">
        <v>31636</v>
      </c>
      <c r="D10617" t="s">
        <v>118</v>
      </c>
      <c r="E10617" t="s">
        <v>31612</v>
      </c>
      <c r="F10617" t="s">
        <v>7672</v>
      </c>
      <c r="G10617" t="s">
        <v>31613</v>
      </c>
      <c r="H10617" t="s">
        <v>11381</v>
      </c>
      <c r="I10617" t="s">
        <v>31619</v>
      </c>
      <c r="J10617" t="s">
        <v>10926</v>
      </c>
    </row>
    <row r="10618" spans="1:10" x14ac:dyDescent="0.25">
      <c r="A10618" t="s">
        <v>31637</v>
      </c>
      <c r="B10618">
        <v>12.24</v>
      </c>
      <c r="C10618" t="s">
        <v>31638</v>
      </c>
      <c r="D10618" t="s">
        <v>835</v>
      </c>
      <c r="E10618" t="s">
        <v>31612</v>
      </c>
      <c r="F10618" t="s">
        <v>7672</v>
      </c>
      <c r="G10618" t="s">
        <v>31613</v>
      </c>
      <c r="H10618" t="s">
        <v>11381</v>
      </c>
      <c r="I10618" t="s">
        <v>6036</v>
      </c>
      <c r="J10618" t="s">
        <v>10918</v>
      </c>
    </row>
    <row r="10619" spans="1:10" x14ac:dyDescent="0.25">
      <c r="A10619" t="s">
        <v>31639</v>
      </c>
      <c r="B10619">
        <v>12.24</v>
      </c>
      <c r="C10619" t="s">
        <v>31640</v>
      </c>
      <c r="D10619" t="s">
        <v>671</v>
      </c>
      <c r="E10619" t="s">
        <v>31612</v>
      </c>
      <c r="F10619" t="s">
        <v>7672</v>
      </c>
      <c r="G10619" t="s">
        <v>31613</v>
      </c>
      <c r="H10619" t="s">
        <v>11381</v>
      </c>
      <c r="I10619" t="s">
        <v>31616</v>
      </c>
      <c r="J10619" t="s">
        <v>10918</v>
      </c>
    </row>
    <row r="10620" spans="1:10" x14ac:dyDescent="0.25">
      <c r="A10620" t="s">
        <v>31641</v>
      </c>
      <c r="B10620">
        <v>12.24</v>
      </c>
      <c r="C10620" t="s">
        <v>31642</v>
      </c>
      <c r="D10620" t="s">
        <v>269</v>
      </c>
      <c r="E10620" t="s">
        <v>31612</v>
      </c>
      <c r="F10620" t="s">
        <v>7672</v>
      </c>
      <c r="G10620" t="s">
        <v>31613</v>
      </c>
      <c r="H10620" t="s">
        <v>11381</v>
      </c>
      <c r="I10620" t="s">
        <v>17045</v>
      </c>
      <c r="J10620" t="s">
        <v>10918</v>
      </c>
    </row>
    <row r="10621" spans="1:10" x14ac:dyDescent="0.25">
      <c r="A10621" t="s">
        <v>31643</v>
      </c>
      <c r="B10621">
        <v>12.24</v>
      </c>
      <c r="C10621" t="s">
        <v>31644</v>
      </c>
      <c r="D10621" t="s">
        <v>113</v>
      </c>
      <c r="E10621" t="s">
        <v>31612</v>
      </c>
      <c r="F10621" t="s">
        <v>7672</v>
      </c>
      <c r="G10621" t="s">
        <v>31613</v>
      </c>
      <c r="H10621" t="s">
        <v>11381</v>
      </c>
      <c r="I10621" t="s">
        <v>31619</v>
      </c>
      <c r="J10621" t="s">
        <v>10918</v>
      </c>
    </row>
    <row r="10622" spans="1:10" x14ac:dyDescent="0.25">
      <c r="A10622" t="s">
        <v>31645</v>
      </c>
      <c r="B10622">
        <v>12.24</v>
      </c>
      <c r="C10622" t="s">
        <v>31646</v>
      </c>
      <c r="D10622" t="s">
        <v>286</v>
      </c>
      <c r="E10622" t="s">
        <v>31612</v>
      </c>
      <c r="F10622" t="s">
        <v>7672</v>
      </c>
      <c r="G10622" t="s">
        <v>31613</v>
      </c>
      <c r="H10622" t="s">
        <v>11381</v>
      </c>
      <c r="I10622" t="s">
        <v>31622</v>
      </c>
      <c r="J10622" t="s">
        <v>10918</v>
      </c>
    </row>
    <row r="10623" spans="1:10" x14ac:dyDescent="0.25">
      <c r="A10623" t="s">
        <v>31647</v>
      </c>
      <c r="B10623">
        <v>12.24</v>
      </c>
      <c r="C10623" t="s">
        <v>31648</v>
      </c>
      <c r="D10623" t="s">
        <v>269</v>
      </c>
      <c r="E10623" t="s">
        <v>31612</v>
      </c>
      <c r="F10623" t="s">
        <v>7672</v>
      </c>
      <c r="G10623" t="s">
        <v>31613</v>
      </c>
      <c r="H10623" t="s">
        <v>11381</v>
      </c>
      <c r="I10623" t="s">
        <v>31622</v>
      </c>
      <c r="J10623" t="s">
        <v>9061</v>
      </c>
    </row>
    <row r="10624" spans="1:10" x14ac:dyDescent="0.25">
      <c r="A10624" t="s">
        <v>31649</v>
      </c>
      <c r="B10624">
        <v>12.24</v>
      </c>
      <c r="C10624" t="s">
        <v>31650</v>
      </c>
      <c r="D10624" t="s">
        <v>95</v>
      </c>
      <c r="E10624" t="s">
        <v>31612</v>
      </c>
      <c r="F10624" t="s">
        <v>7672</v>
      </c>
      <c r="G10624" t="s">
        <v>31613</v>
      </c>
      <c r="H10624" t="s">
        <v>11381</v>
      </c>
      <c r="I10624" t="s">
        <v>6036</v>
      </c>
      <c r="J10624" t="s">
        <v>9061</v>
      </c>
    </row>
    <row r="10625" spans="1:10" x14ac:dyDescent="0.25">
      <c r="A10625" t="s">
        <v>31651</v>
      </c>
      <c r="B10625">
        <v>12.24</v>
      </c>
      <c r="C10625" t="s">
        <v>31652</v>
      </c>
      <c r="D10625" t="s">
        <v>964</v>
      </c>
      <c r="E10625" t="s">
        <v>31612</v>
      </c>
      <c r="F10625" t="s">
        <v>7672</v>
      </c>
      <c r="G10625" t="s">
        <v>31613</v>
      </c>
      <c r="H10625" t="s">
        <v>11381</v>
      </c>
      <c r="I10625" t="s">
        <v>17045</v>
      </c>
      <c r="J10625" t="s">
        <v>9061</v>
      </c>
    </row>
    <row r="10626" spans="1:10" x14ac:dyDescent="0.25">
      <c r="A10626" t="s">
        <v>31653</v>
      </c>
      <c r="B10626">
        <v>1.9119999999999999</v>
      </c>
      <c r="C10626" t="s">
        <v>31654</v>
      </c>
      <c r="D10626" t="s">
        <v>13859</v>
      </c>
      <c r="E10626" t="s">
        <v>31655</v>
      </c>
      <c r="F10626" t="s">
        <v>7672</v>
      </c>
      <c r="G10626" t="s">
        <v>31656</v>
      </c>
      <c r="H10626" t="s">
        <v>29408</v>
      </c>
      <c r="I10626" t="s">
        <v>29409</v>
      </c>
      <c r="J10626" t="s">
        <v>9694</v>
      </c>
    </row>
    <row r="10627" spans="1:10" x14ac:dyDescent="0.25">
      <c r="A10627" t="s">
        <v>31657</v>
      </c>
      <c r="B10627">
        <v>5.4</v>
      </c>
      <c r="C10627" t="s">
        <v>31658</v>
      </c>
      <c r="D10627" t="s">
        <v>124</v>
      </c>
      <c r="E10627" t="s">
        <v>31659</v>
      </c>
      <c r="F10627" t="s">
        <v>7672</v>
      </c>
      <c r="G10627" t="s">
        <v>31660</v>
      </c>
      <c r="H10627" t="s">
        <v>10298</v>
      </c>
      <c r="I10627" t="s">
        <v>31661</v>
      </c>
      <c r="J10627" t="s">
        <v>30511</v>
      </c>
    </row>
    <row r="10628" spans="1:10" x14ac:dyDescent="0.25">
      <c r="A10628" t="s">
        <v>31662</v>
      </c>
      <c r="B10628">
        <v>5.4</v>
      </c>
      <c r="C10628" t="s">
        <v>31663</v>
      </c>
      <c r="D10628" t="s">
        <v>8715</v>
      </c>
      <c r="E10628" t="s">
        <v>31659</v>
      </c>
      <c r="F10628" t="s">
        <v>7672</v>
      </c>
      <c r="G10628" t="s">
        <v>31660</v>
      </c>
      <c r="H10628" t="s">
        <v>10298</v>
      </c>
      <c r="I10628" t="s">
        <v>31664</v>
      </c>
      <c r="J10628" t="s">
        <v>30516</v>
      </c>
    </row>
    <row r="10629" spans="1:10" x14ac:dyDescent="0.25">
      <c r="A10629" t="s">
        <v>31665</v>
      </c>
      <c r="B10629">
        <v>4</v>
      </c>
      <c r="C10629" t="s">
        <v>31666</v>
      </c>
      <c r="D10629" t="s">
        <v>2879</v>
      </c>
      <c r="E10629" t="s">
        <v>31667</v>
      </c>
      <c r="F10629" t="s">
        <v>7672</v>
      </c>
      <c r="G10629" t="s">
        <v>31668</v>
      </c>
      <c r="H10629" t="s">
        <v>11496</v>
      </c>
      <c r="I10629" t="s">
        <v>31669</v>
      </c>
      <c r="J10629" t="s">
        <v>9426</v>
      </c>
    </row>
    <row r="10630" spans="1:10" x14ac:dyDescent="0.25">
      <c r="A10630" t="s">
        <v>31670</v>
      </c>
      <c r="B10630">
        <v>4</v>
      </c>
      <c r="C10630" t="s">
        <v>31671</v>
      </c>
      <c r="D10630" t="s">
        <v>250</v>
      </c>
      <c r="E10630" t="s">
        <v>31667</v>
      </c>
      <c r="F10630" t="s">
        <v>7672</v>
      </c>
      <c r="G10630" t="s">
        <v>31668</v>
      </c>
      <c r="H10630" t="s">
        <v>11496</v>
      </c>
      <c r="I10630" t="s">
        <v>31669</v>
      </c>
      <c r="J10630" t="s">
        <v>10862</v>
      </c>
    </row>
    <row r="10631" spans="1:10" x14ac:dyDescent="0.25">
      <c r="A10631" t="s">
        <v>31672</v>
      </c>
      <c r="B10631">
        <v>4</v>
      </c>
      <c r="C10631" t="s">
        <v>31673</v>
      </c>
      <c r="D10631" t="s">
        <v>1236</v>
      </c>
      <c r="E10631" t="s">
        <v>31667</v>
      </c>
      <c r="F10631" t="s">
        <v>7672</v>
      </c>
      <c r="G10631" t="s">
        <v>31668</v>
      </c>
      <c r="H10631" t="s">
        <v>11496</v>
      </c>
      <c r="I10631" t="s">
        <v>31669</v>
      </c>
      <c r="J10631" t="s">
        <v>13084</v>
      </c>
    </row>
    <row r="10632" spans="1:10" x14ac:dyDescent="0.25">
      <c r="A10632" t="s">
        <v>31674</v>
      </c>
      <c r="B10632">
        <v>4</v>
      </c>
      <c r="C10632" t="s">
        <v>31675</v>
      </c>
      <c r="D10632" t="s">
        <v>633</v>
      </c>
      <c r="E10632" t="s">
        <v>31667</v>
      </c>
      <c r="F10632" t="s">
        <v>7672</v>
      </c>
      <c r="G10632" t="s">
        <v>31668</v>
      </c>
      <c r="H10632" t="s">
        <v>11496</v>
      </c>
      <c r="I10632" t="s">
        <v>31669</v>
      </c>
      <c r="J10632" t="s">
        <v>11767</v>
      </c>
    </row>
    <row r="10633" spans="1:10" x14ac:dyDescent="0.25">
      <c r="A10633" t="s">
        <v>31676</v>
      </c>
      <c r="B10633">
        <v>4</v>
      </c>
      <c r="C10633" t="s">
        <v>31677</v>
      </c>
      <c r="D10633" t="s">
        <v>1236</v>
      </c>
      <c r="E10633" t="s">
        <v>31667</v>
      </c>
      <c r="F10633" t="s">
        <v>7672</v>
      </c>
      <c r="G10633" t="s">
        <v>31668</v>
      </c>
      <c r="H10633" t="s">
        <v>11496</v>
      </c>
      <c r="I10633" t="s">
        <v>31669</v>
      </c>
      <c r="J10633" t="s">
        <v>11582</v>
      </c>
    </row>
    <row r="10634" spans="1:10" x14ac:dyDescent="0.25">
      <c r="A10634" t="s">
        <v>31678</v>
      </c>
      <c r="B10634">
        <v>6.4</v>
      </c>
      <c r="C10634" t="s">
        <v>31679</v>
      </c>
      <c r="D10634" t="s">
        <v>2078</v>
      </c>
      <c r="E10634" t="s">
        <v>31680</v>
      </c>
      <c r="F10634" t="s">
        <v>7672</v>
      </c>
      <c r="G10634" t="s">
        <v>31681</v>
      </c>
      <c r="H10634" t="s">
        <v>8673</v>
      </c>
      <c r="I10634" t="s">
        <v>31682</v>
      </c>
      <c r="J10634" t="s">
        <v>31683</v>
      </c>
    </row>
    <row r="10635" spans="1:10" x14ac:dyDescent="0.25">
      <c r="A10635" t="s">
        <v>31684</v>
      </c>
      <c r="B10635">
        <v>6.4</v>
      </c>
      <c r="C10635" t="s">
        <v>31685</v>
      </c>
      <c r="D10635" t="s">
        <v>2620</v>
      </c>
      <c r="E10635" t="s">
        <v>31680</v>
      </c>
      <c r="F10635" t="s">
        <v>7672</v>
      </c>
      <c r="G10635" t="s">
        <v>31681</v>
      </c>
      <c r="H10635" t="s">
        <v>8673</v>
      </c>
      <c r="I10635" t="s">
        <v>31682</v>
      </c>
      <c r="J10635" t="s">
        <v>31686</v>
      </c>
    </row>
    <row r="10636" spans="1:10" x14ac:dyDescent="0.25">
      <c r="A10636" t="s">
        <v>31687</v>
      </c>
      <c r="B10636">
        <v>6.4</v>
      </c>
      <c r="C10636" t="s">
        <v>31688</v>
      </c>
      <c r="D10636" t="s">
        <v>2381</v>
      </c>
      <c r="E10636" t="s">
        <v>31680</v>
      </c>
      <c r="F10636" t="s">
        <v>7672</v>
      </c>
      <c r="G10636" t="s">
        <v>31681</v>
      </c>
      <c r="H10636" t="s">
        <v>8673</v>
      </c>
      <c r="I10636" t="s">
        <v>31682</v>
      </c>
      <c r="J10636" t="s">
        <v>31689</v>
      </c>
    </row>
    <row r="10637" spans="1:10" x14ac:dyDescent="0.25">
      <c r="A10637" t="s">
        <v>31690</v>
      </c>
      <c r="B10637">
        <v>12.096</v>
      </c>
      <c r="C10637" t="s">
        <v>31691</v>
      </c>
      <c r="D10637" t="s">
        <v>131</v>
      </c>
      <c r="E10637" t="s">
        <v>31692</v>
      </c>
      <c r="F10637" t="s">
        <v>7672</v>
      </c>
      <c r="G10637" t="s">
        <v>31693</v>
      </c>
      <c r="H10637" t="s">
        <v>16463</v>
      </c>
      <c r="I10637" t="s">
        <v>31694</v>
      </c>
      <c r="J10637" t="s">
        <v>7675</v>
      </c>
    </row>
    <row r="10638" spans="1:10" x14ac:dyDescent="0.25">
      <c r="A10638" t="s">
        <v>31695</v>
      </c>
      <c r="B10638">
        <v>12.096</v>
      </c>
      <c r="C10638" t="s">
        <v>31696</v>
      </c>
      <c r="D10638" t="s">
        <v>269</v>
      </c>
      <c r="E10638" t="s">
        <v>31692</v>
      </c>
      <c r="F10638" t="s">
        <v>7672</v>
      </c>
      <c r="G10638" t="s">
        <v>31693</v>
      </c>
      <c r="H10638" t="s">
        <v>16463</v>
      </c>
      <c r="I10638" t="s">
        <v>31694</v>
      </c>
      <c r="J10638" t="s">
        <v>7686</v>
      </c>
    </row>
    <row r="10639" spans="1:10" x14ac:dyDescent="0.25">
      <c r="A10639" t="s">
        <v>31697</v>
      </c>
      <c r="B10639">
        <v>7.68</v>
      </c>
      <c r="C10639" t="s">
        <v>31698</v>
      </c>
      <c r="D10639" t="s">
        <v>100</v>
      </c>
      <c r="E10639" t="s">
        <v>31699</v>
      </c>
      <c r="F10639" t="s">
        <v>7672</v>
      </c>
      <c r="G10639" t="s">
        <v>31700</v>
      </c>
      <c r="H10639" t="s">
        <v>10298</v>
      </c>
      <c r="I10639" t="s">
        <v>28418</v>
      </c>
      <c r="J10639" t="s">
        <v>15070</v>
      </c>
    </row>
    <row r="10640" spans="1:10" x14ac:dyDescent="0.25">
      <c r="A10640" t="s">
        <v>31701</v>
      </c>
      <c r="B10640">
        <v>7.68</v>
      </c>
      <c r="C10640" t="s">
        <v>31702</v>
      </c>
      <c r="D10640" t="s">
        <v>164</v>
      </c>
      <c r="E10640" t="s">
        <v>31699</v>
      </c>
      <c r="F10640" t="s">
        <v>7672</v>
      </c>
      <c r="G10640" t="s">
        <v>31700</v>
      </c>
      <c r="H10640" t="s">
        <v>10298</v>
      </c>
      <c r="I10640" t="s">
        <v>31703</v>
      </c>
      <c r="J10640" t="s">
        <v>15073</v>
      </c>
    </row>
    <row r="10641" spans="1:10" x14ac:dyDescent="0.25">
      <c r="A10641" t="s">
        <v>31704</v>
      </c>
      <c r="B10641">
        <v>7.68</v>
      </c>
      <c r="C10641" t="s">
        <v>31705</v>
      </c>
      <c r="D10641" t="s">
        <v>849</v>
      </c>
      <c r="E10641" t="s">
        <v>31699</v>
      </c>
      <c r="F10641" t="s">
        <v>7672</v>
      </c>
      <c r="G10641" t="s">
        <v>31700</v>
      </c>
      <c r="H10641" t="s">
        <v>10298</v>
      </c>
      <c r="I10641" t="s">
        <v>31703</v>
      </c>
      <c r="J10641" t="s">
        <v>15076</v>
      </c>
    </row>
    <row r="10642" spans="1:10" x14ac:dyDescent="0.25">
      <c r="A10642" t="s">
        <v>31706</v>
      </c>
      <c r="B10642">
        <v>7.68</v>
      </c>
      <c r="C10642" t="s">
        <v>31707</v>
      </c>
      <c r="D10642" t="s">
        <v>100</v>
      </c>
      <c r="E10642" t="s">
        <v>31699</v>
      </c>
      <c r="F10642" t="s">
        <v>7672</v>
      </c>
      <c r="G10642" t="s">
        <v>31700</v>
      </c>
      <c r="H10642" t="s">
        <v>10298</v>
      </c>
      <c r="I10642" t="s">
        <v>11878</v>
      </c>
      <c r="J10642" t="s">
        <v>15076</v>
      </c>
    </row>
    <row r="10643" spans="1:10" x14ac:dyDescent="0.25">
      <c r="A10643" t="s">
        <v>31708</v>
      </c>
      <c r="B10643">
        <v>7.68</v>
      </c>
      <c r="C10643" t="s">
        <v>31709</v>
      </c>
      <c r="D10643" t="s">
        <v>199</v>
      </c>
      <c r="E10643" t="s">
        <v>31699</v>
      </c>
      <c r="F10643" t="s">
        <v>7672</v>
      </c>
      <c r="G10643" t="s">
        <v>31700</v>
      </c>
      <c r="H10643" t="s">
        <v>10298</v>
      </c>
      <c r="I10643" t="s">
        <v>28418</v>
      </c>
      <c r="J10643" t="s">
        <v>15076</v>
      </c>
    </row>
    <row r="10644" spans="1:10" x14ac:dyDescent="0.25">
      <c r="A10644" t="s">
        <v>31710</v>
      </c>
      <c r="B10644">
        <v>7.68</v>
      </c>
      <c r="C10644" t="s">
        <v>31711</v>
      </c>
      <c r="D10644" t="s">
        <v>269</v>
      </c>
      <c r="E10644" t="s">
        <v>31699</v>
      </c>
      <c r="F10644" t="s">
        <v>7672</v>
      </c>
      <c r="G10644" t="s">
        <v>31700</v>
      </c>
      <c r="H10644" t="s">
        <v>10298</v>
      </c>
      <c r="I10644" t="s">
        <v>31703</v>
      </c>
      <c r="J10644" t="s">
        <v>15079</v>
      </c>
    </row>
    <row r="10645" spans="1:10" x14ac:dyDescent="0.25">
      <c r="A10645" t="s">
        <v>31712</v>
      </c>
      <c r="B10645">
        <v>7.68</v>
      </c>
      <c r="C10645" t="s">
        <v>31713</v>
      </c>
      <c r="D10645" t="s">
        <v>131</v>
      </c>
      <c r="E10645" t="s">
        <v>31699</v>
      </c>
      <c r="F10645" t="s">
        <v>7672</v>
      </c>
      <c r="G10645" t="s">
        <v>31700</v>
      </c>
      <c r="H10645" t="s">
        <v>10298</v>
      </c>
      <c r="I10645" t="s">
        <v>11878</v>
      </c>
      <c r="J10645" t="s">
        <v>15079</v>
      </c>
    </row>
    <row r="10646" spans="1:10" x14ac:dyDescent="0.25">
      <c r="A10646" t="s">
        <v>31714</v>
      </c>
      <c r="B10646">
        <v>7.68</v>
      </c>
      <c r="C10646" t="s">
        <v>31715</v>
      </c>
      <c r="D10646" t="s">
        <v>330</v>
      </c>
      <c r="E10646" t="s">
        <v>31699</v>
      </c>
      <c r="F10646" t="s">
        <v>7672</v>
      </c>
      <c r="G10646" t="s">
        <v>31700</v>
      </c>
      <c r="H10646" t="s">
        <v>10298</v>
      </c>
      <c r="I10646" t="s">
        <v>6036</v>
      </c>
      <c r="J10646" t="s">
        <v>15079</v>
      </c>
    </row>
    <row r="10647" spans="1:10" x14ac:dyDescent="0.25">
      <c r="A10647" t="s">
        <v>31716</v>
      </c>
      <c r="B10647">
        <v>7.68</v>
      </c>
      <c r="C10647" t="s">
        <v>31717</v>
      </c>
      <c r="D10647" t="s">
        <v>576</v>
      </c>
      <c r="E10647" t="s">
        <v>31699</v>
      </c>
      <c r="F10647" t="s">
        <v>7672</v>
      </c>
      <c r="G10647" t="s">
        <v>31700</v>
      </c>
      <c r="H10647" t="s">
        <v>10298</v>
      </c>
      <c r="I10647" t="s">
        <v>28418</v>
      </c>
      <c r="J10647" t="s">
        <v>15079</v>
      </c>
    </row>
    <row r="10648" spans="1:10" x14ac:dyDescent="0.25">
      <c r="A10648" t="s">
        <v>31718</v>
      </c>
      <c r="B10648">
        <v>25.992000000000001</v>
      </c>
      <c r="C10648" t="s">
        <v>31719</v>
      </c>
      <c r="D10648" t="s">
        <v>131</v>
      </c>
      <c r="E10648" t="s">
        <v>31720</v>
      </c>
      <c r="F10648" t="s">
        <v>7672</v>
      </c>
      <c r="G10648" t="s">
        <v>31721</v>
      </c>
      <c r="H10648" t="s">
        <v>8301</v>
      </c>
      <c r="I10648" t="s">
        <v>31722</v>
      </c>
      <c r="J10648" t="s">
        <v>7969</v>
      </c>
    </row>
    <row r="10649" spans="1:10" x14ac:dyDescent="0.25">
      <c r="A10649" t="s">
        <v>31723</v>
      </c>
      <c r="B10649">
        <v>14</v>
      </c>
      <c r="C10649" t="s">
        <v>31724</v>
      </c>
      <c r="D10649" t="s">
        <v>60</v>
      </c>
      <c r="E10649" t="s">
        <v>31725</v>
      </c>
      <c r="F10649" t="s">
        <v>7672</v>
      </c>
      <c r="G10649" t="s">
        <v>31726</v>
      </c>
      <c r="H10649" t="s">
        <v>11598</v>
      </c>
      <c r="I10649" t="s">
        <v>31727</v>
      </c>
      <c r="J10649" t="s">
        <v>8001</v>
      </c>
    </row>
    <row r="10650" spans="1:10" x14ac:dyDescent="0.25">
      <c r="A10650" t="s">
        <v>31728</v>
      </c>
      <c r="B10650">
        <v>14</v>
      </c>
      <c r="C10650" t="s">
        <v>31729</v>
      </c>
      <c r="D10650" t="s">
        <v>240</v>
      </c>
      <c r="E10650" t="s">
        <v>31725</v>
      </c>
      <c r="F10650" t="s">
        <v>7672</v>
      </c>
      <c r="G10650" t="s">
        <v>31726</v>
      </c>
      <c r="H10650" t="s">
        <v>11598</v>
      </c>
      <c r="I10650" t="s">
        <v>31727</v>
      </c>
      <c r="J10650" t="s">
        <v>8013</v>
      </c>
    </row>
    <row r="10651" spans="1:10" x14ac:dyDescent="0.25">
      <c r="A10651" t="s">
        <v>1009</v>
      </c>
      <c r="B10651">
        <v>6</v>
      </c>
      <c r="C10651" t="s">
        <v>1011</v>
      </c>
      <c r="D10651" t="s">
        <v>1014</v>
      </c>
      <c r="E10651" t="s">
        <v>1012</v>
      </c>
      <c r="F10651" t="s">
        <v>7672</v>
      </c>
      <c r="G10651" t="s">
        <v>31730</v>
      </c>
      <c r="H10651" t="s">
        <v>11496</v>
      </c>
      <c r="I10651" t="s">
        <v>31731</v>
      </c>
      <c r="J10651" t="s">
        <v>100</v>
      </c>
    </row>
    <row r="10652" spans="1:10" x14ac:dyDescent="0.25">
      <c r="A10652" t="s">
        <v>1016</v>
      </c>
      <c r="B10652">
        <v>6</v>
      </c>
      <c r="C10652" t="s">
        <v>1018</v>
      </c>
      <c r="D10652" t="s">
        <v>1020</v>
      </c>
      <c r="E10652" t="s">
        <v>1012</v>
      </c>
      <c r="F10652" t="s">
        <v>7672</v>
      </c>
      <c r="G10652" t="s">
        <v>31730</v>
      </c>
      <c r="H10652" t="s">
        <v>11496</v>
      </c>
      <c r="I10652" t="s">
        <v>31731</v>
      </c>
      <c r="J10652" t="s">
        <v>106</v>
      </c>
    </row>
    <row r="10653" spans="1:10" x14ac:dyDescent="0.25">
      <c r="A10653" t="s">
        <v>31732</v>
      </c>
      <c r="B10653">
        <v>8</v>
      </c>
      <c r="C10653" t="s">
        <v>31733</v>
      </c>
      <c r="D10653" t="s">
        <v>164</v>
      </c>
      <c r="E10653" t="s">
        <v>31734</v>
      </c>
      <c r="F10653" t="s">
        <v>7672</v>
      </c>
      <c r="G10653" t="s">
        <v>31735</v>
      </c>
      <c r="H10653" t="s">
        <v>7674</v>
      </c>
      <c r="I10653" t="s">
        <v>31736</v>
      </c>
      <c r="J10653" t="s">
        <v>9023</v>
      </c>
    </row>
    <row r="10654" spans="1:10" x14ac:dyDescent="0.25">
      <c r="A10654" t="s">
        <v>31737</v>
      </c>
      <c r="B10654">
        <v>8</v>
      </c>
      <c r="C10654" t="s">
        <v>31738</v>
      </c>
      <c r="D10654" t="s">
        <v>1573</v>
      </c>
      <c r="E10654" t="s">
        <v>31734</v>
      </c>
      <c r="F10654" t="s">
        <v>7672</v>
      </c>
      <c r="G10654" t="s">
        <v>31735</v>
      </c>
      <c r="H10654" t="s">
        <v>7674</v>
      </c>
      <c r="I10654" t="s">
        <v>31739</v>
      </c>
      <c r="J10654" t="s">
        <v>9023</v>
      </c>
    </row>
    <row r="10655" spans="1:10" x14ac:dyDescent="0.25">
      <c r="A10655" t="s">
        <v>31740</v>
      </c>
      <c r="B10655">
        <v>8</v>
      </c>
      <c r="C10655" t="s">
        <v>31741</v>
      </c>
      <c r="D10655" t="s">
        <v>2022</v>
      </c>
      <c r="E10655" t="s">
        <v>31734</v>
      </c>
      <c r="F10655" t="s">
        <v>7672</v>
      </c>
      <c r="G10655" t="s">
        <v>31735</v>
      </c>
      <c r="H10655" t="s">
        <v>7674</v>
      </c>
      <c r="I10655" t="s">
        <v>31742</v>
      </c>
      <c r="J10655" t="s">
        <v>9023</v>
      </c>
    </row>
    <row r="10656" spans="1:10" x14ac:dyDescent="0.25">
      <c r="A10656" t="s">
        <v>31743</v>
      </c>
      <c r="B10656">
        <v>8</v>
      </c>
      <c r="C10656" t="s">
        <v>31744</v>
      </c>
      <c r="D10656" t="s">
        <v>330</v>
      </c>
      <c r="E10656" t="s">
        <v>31734</v>
      </c>
      <c r="F10656" t="s">
        <v>7672</v>
      </c>
      <c r="G10656" t="s">
        <v>31735</v>
      </c>
      <c r="H10656" t="s">
        <v>7674</v>
      </c>
      <c r="I10656" t="s">
        <v>31739</v>
      </c>
      <c r="J10656" t="s">
        <v>10908</v>
      </c>
    </row>
    <row r="10657" spans="1:10" x14ac:dyDescent="0.25">
      <c r="A10657" t="s">
        <v>31745</v>
      </c>
      <c r="B10657">
        <v>4.8000000000000007</v>
      </c>
      <c r="C10657" t="s">
        <v>31746</v>
      </c>
      <c r="D10657" t="s">
        <v>296</v>
      </c>
      <c r="E10657" t="s">
        <v>1024</v>
      </c>
      <c r="F10657" t="s">
        <v>7672</v>
      </c>
      <c r="G10657" t="s">
        <v>31747</v>
      </c>
      <c r="H10657" t="s">
        <v>31748</v>
      </c>
      <c r="I10657" t="s">
        <v>11789</v>
      </c>
      <c r="J10657" t="s">
        <v>7984</v>
      </c>
    </row>
    <row r="10658" spans="1:10" x14ac:dyDescent="0.25">
      <c r="A10658" t="s">
        <v>31749</v>
      </c>
      <c r="B10658">
        <v>4.8000000000000007</v>
      </c>
      <c r="C10658" t="s">
        <v>31750</v>
      </c>
      <c r="D10658" t="s">
        <v>849</v>
      </c>
      <c r="E10658" t="s">
        <v>1024</v>
      </c>
      <c r="F10658" t="s">
        <v>7672</v>
      </c>
      <c r="G10658" t="s">
        <v>31747</v>
      </c>
      <c r="H10658" t="s">
        <v>31748</v>
      </c>
      <c r="I10658" t="s">
        <v>31751</v>
      </c>
      <c r="J10658" t="s">
        <v>7984</v>
      </c>
    </row>
    <row r="10659" spans="1:10" x14ac:dyDescent="0.25">
      <c r="A10659" t="s">
        <v>31752</v>
      </c>
      <c r="B10659">
        <v>4.8000000000000007</v>
      </c>
      <c r="C10659" t="s">
        <v>31753</v>
      </c>
      <c r="D10659" t="s">
        <v>3378</v>
      </c>
      <c r="E10659" t="s">
        <v>1024</v>
      </c>
      <c r="F10659" t="s">
        <v>7672</v>
      </c>
      <c r="G10659" t="s">
        <v>31747</v>
      </c>
      <c r="H10659" t="s">
        <v>31748</v>
      </c>
      <c r="I10659" t="s">
        <v>31751</v>
      </c>
      <c r="J10659" t="s">
        <v>7987</v>
      </c>
    </row>
    <row r="10660" spans="1:10" x14ac:dyDescent="0.25">
      <c r="A10660" t="s">
        <v>31754</v>
      </c>
      <c r="B10660">
        <v>4.8000000000000007</v>
      </c>
      <c r="C10660" t="s">
        <v>31755</v>
      </c>
      <c r="D10660" t="s">
        <v>865</v>
      </c>
      <c r="E10660" t="s">
        <v>1024</v>
      </c>
      <c r="F10660" t="s">
        <v>7672</v>
      </c>
      <c r="G10660" t="s">
        <v>31747</v>
      </c>
      <c r="H10660" t="s">
        <v>31748</v>
      </c>
      <c r="I10660" t="s">
        <v>11789</v>
      </c>
      <c r="J10660" t="s">
        <v>7987</v>
      </c>
    </row>
    <row r="10661" spans="1:10" x14ac:dyDescent="0.25">
      <c r="A10661" t="s">
        <v>31756</v>
      </c>
      <c r="B10661">
        <v>4.8000000000000007</v>
      </c>
      <c r="C10661" t="s">
        <v>31757</v>
      </c>
      <c r="D10661" t="s">
        <v>776</v>
      </c>
      <c r="E10661" t="s">
        <v>1024</v>
      </c>
      <c r="F10661" t="s">
        <v>7672</v>
      </c>
      <c r="G10661" t="s">
        <v>31747</v>
      </c>
      <c r="H10661" t="s">
        <v>31748</v>
      </c>
      <c r="I10661" t="s">
        <v>31751</v>
      </c>
      <c r="J10661" t="s">
        <v>8001</v>
      </c>
    </row>
    <row r="10662" spans="1:10" x14ac:dyDescent="0.25">
      <c r="A10662" t="s">
        <v>1021</v>
      </c>
      <c r="B10662">
        <v>4.8000000000000007</v>
      </c>
      <c r="C10662" t="s">
        <v>1023</v>
      </c>
      <c r="D10662" t="s">
        <v>959</v>
      </c>
      <c r="E10662" t="s">
        <v>1024</v>
      </c>
      <c r="F10662" t="s">
        <v>7672</v>
      </c>
      <c r="G10662" t="s">
        <v>31747</v>
      </c>
      <c r="H10662" t="s">
        <v>31748</v>
      </c>
      <c r="I10662" t="s">
        <v>31758</v>
      </c>
      <c r="J10662" t="s">
        <v>8001</v>
      </c>
    </row>
    <row r="10663" spans="1:10" x14ac:dyDescent="0.25">
      <c r="A10663" t="s">
        <v>31759</v>
      </c>
      <c r="B10663">
        <v>4.8000000000000007</v>
      </c>
      <c r="C10663" t="s">
        <v>31760</v>
      </c>
      <c r="D10663" t="s">
        <v>1134</v>
      </c>
      <c r="E10663" t="s">
        <v>1024</v>
      </c>
      <c r="F10663" t="s">
        <v>7672</v>
      </c>
      <c r="G10663" t="s">
        <v>31747</v>
      </c>
      <c r="H10663" t="s">
        <v>31748</v>
      </c>
      <c r="I10663" t="s">
        <v>11789</v>
      </c>
      <c r="J10663" t="s">
        <v>8001</v>
      </c>
    </row>
    <row r="10664" spans="1:10" x14ac:dyDescent="0.25">
      <c r="A10664" t="s">
        <v>1026</v>
      </c>
      <c r="B10664">
        <v>22.4</v>
      </c>
      <c r="C10664" t="s">
        <v>1028</v>
      </c>
      <c r="D10664" t="s">
        <v>269</v>
      </c>
      <c r="E10664" t="s">
        <v>1029</v>
      </c>
      <c r="F10664" t="s">
        <v>7672</v>
      </c>
      <c r="G10664" t="s">
        <v>31761</v>
      </c>
      <c r="H10664" t="s">
        <v>9232</v>
      </c>
      <c r="I10664" t="s">
        <v>21724</v>
      </c>
      <c r="J10664" t="s">
        <v>7719</v>
      </c>
    </row>
    <row r="10665" spans="1:10" x14ac:dyDescent="0.25">
      <c r="A10665" t="s">
        <v>31762</v>
      </c>
      <c r="B10665">
        <v>84</v>
      </c>
      <c r="C10665" t="s">
        <v>31763</v>
      </c>
      <c r="D10665" t="s">
        <v>781</v>
      </c>
      <c r="E10665" t="s">
        <v>31764</v>
      </c>
      <c r="F10665" t="s">
        <v>7672</v>
      </c>
      <c r="G10665" t="s">
        <v>31765</v>
      </c>
      <c r="H10665" t="s">
        <v>22190</v>
      </c>
      <c r="I10665" t="s">
        <v>22191</v>
      </c>
      <c r="J10665" t="s">
        <v>9694</v>
      </c>
    </row>
    <row r="10666" spans="1:10" x14ac:dyDescent="0.25">
      <c r="A10666" t="s">
        <v>31766</v>
      </c>
      <c r="B10666">
        <v>5</v>
      </c>
      <c r="C10666" t="s">
        <v>31767</v>
      </c>
      <c r="D10666" t="s">
        <v>613</v>
      </c>
      <c r="E10666" t="s">
        <v>31768</v>
      </c>
      <c r="F10666" t="s">
        <v>7672</v>
      </c>
      <c r="G10666" t="s">
        <v>31769</v>
      </c>
      <c r="H10666" t="s">
        <v>8027</v>
      </c>
      <c r="I10666" t="s">
        <v>31770</v>
      </c>
      <c r="J10666" t="s">
        <v>9400</v>
      </c>
    </row>
    <row r="10667" spans="1:10" x14ac:dyDescent="0.25">
      <c r="A10667" t="s">
        <v>31771</v>
      </c>
      <c r="B10667">
        <v>5.4</v>
      </c>
      <c r="C10667" t="s">
        <v>31772</v>
      </c>
      <c r="D10667" t="s">
        <v>277</v>
      </c>
      <c r="E10667" t="s">
        <v>31773</v>
      </c>
      <c r="F10667" t="s">
        <v>7672</v>
      </c>
      <c r="G10667" t="s">
        <v>31774</v>
      </c>
      <c r="H10667" t="s">
        <v>31775</v>
      </c>
      <c r="I10667" t="s">
        <v>31776</v>
      </c>
      <c r="J10667" t="s">
        <v>30516</v>
      </c>
    </row>
    <row r="10668" spans="1:10" x14ac:dyDescent="0.25">
      <c r="A10668" t="s">
        <v>31777</v>
      </c>
      <c r="B10668">
        <v>5.4</v>
      </c>
      <c r="C10668" t="s">
        <v>31778</v>
      </c>
      <c r="D10668" t="s">
        <v>301</v>
      </c>
      <c r="E10668" t="s">
        <v>31779</v>
      </c>
      <c r="F10668" t="s">
        <v>7672</v>
      </c>
      <c r="G10668" t="s">
        <v>31780</v>
      </c>
      <c r="H10668" t="s">
        <v>31775</v>
      </c>
      <c r="I10668" t="s">
        <v>31781</v>
      </c>
      <c r="J10668" t="s">
        <v>30511</v>
      </c>
    </row>
    <row r="10669" spans="1:10" x14ac:dyDescent="0.25">
      <c r="A10669" t="s">
        <v>31782</v>
      </c>
      <c r="B10669">
        <v>5.4</v>
      </c>
      <c r="C10669" t="s">
        <v>31783</v>
      </c>
      <c r="D10669" t="s">
        <v>250</v>
      </c>
      <c r="E10669" t="s">
        <v>31779</v>
      </c>
      <c r="F10669" t="s">
        <v>7672</v>
      </c>
      <c r="G10669" t="s">
        <v>31780</v>
      </c>
      <c r="H10669" t="s">
        <v>31775</v>
      </c>
      <c r="I10669" t="s">
        <v>31781</v>
      </c>
      <c r="J10669" t="s">
        <v>30516</v>
      </c>
    </row>
    <row r="10670" spans="1:10" x14ac:dyDescent="0.25">
      <c r="A10670" t="s">
        <v>31784</v>
      </c>
      <c r="B10670">
        <v>17.600000000000001</v>
      </c>
      <c r="C10670" t="s">
        <v>31785</v>
      </c>
      <c r="D10670" t="s">
        <v>4924</v>
      </c>
      <c r="E10670" t="s">
        <v>31786</v>
      </c>
      <c r="F10670" t="s">
        <v>7672</v>
      </c>
      <c r="G10670" t="s">
        <v>31787</v>
      </c>
      <c r="H10670" t="s">
        <v>12232</v>
      </c>
      <c r="I10670" t="s">
        <v>31788</v>
      </c>
      <c r="J10670" t="s">
        <v>9753</v>
      </c>
    </row>
    <row r="10671" spans="1:10" x14ac:dyDescent="0.25">
      <c r="A10671" t="s">
        <v>1032</v>
      </c>
      <c r="B10671">
        <v>11.52</v>
      </c>
      <c r="C10671" t="s">
        <v>1034</v>
      </c>
      <c r="D10671" t="s">
        <v>106</v>
      </c>
      <c r="E10671" t="s">
        <v>1035</v>
      </c>
      <c r="F10671" t="s">
        <v>7672</v>
      </c>
      <c r="G10671" t="s">
        <v>31789</v>
      </c>
      <c r="H10671" t="s">
        <v>8979</v>
      </c>
      <c r="I10671" t="s">
        <v>1038</v>
      </c>
      <c r="J10671" t="s">
        <v>8980</v>
      </c>
    </row>
    <row r="10672" spans="1:10" x14ac:dyDescent="0.25">
      <c r="A10672" t="s">
        <v>31790</v>
      </c>
      <c r="B10672">
        <v>9.7920000000000016</v>
      </c>
      <c r="C10672" t="s">
        <v>31791</v>
      </c>
      <c r="D10672" t="s">
        <v>311</v>
      </c>
      <c r="E10672" t="s">
        <v>31792</v>
      </c>
      <c r="F10672" t="s">
        <v>7672</v>
      </c>
      <c r="G10672" t="s">
        <v>31793</v>
      </c>
      <c r="H10672" t="s">
        <v>10298</v>
      </c>
      <c r="I10672" t="s">
        <v>23390</v>
      </c>
      <c r="J10672" t="s">
        <v>8427</v>
      </c>
    </row>
    <row r="10673" spans="1:10" x14ac:dyDescent="0.25">
      <c r="A10673" t="s">
        <v>31794</v>
      </c>
      <c r="B10673">
        <v>9.7920000000000016</v>
      </c>
      <c r="C10673" t="s">
        <v>31795</v>
      </c>
      <c r="D10673" t="s">
        <v>1143</v>
      </c>
      <c r="E10673" t="s">
        <v>31792</v>
      </c>
      <c r="F10673" t="s">
        <v>7672</v>
      </c>
      <c r="G10673" t="s">
        <v>31793</v>
      </c>
      <c r="H10673" t="s">
        <v>10298</v>
      </c>
      <c r="I10673" t="s">
        <v>23393</v>
      </c>
      <c r="J10673" t="s">
        <v>8427</v>
      </c>
    </row>
    <row r="10674" spans="1:10" x14ac:dyDescent="0.25">
      <c r="A10674" t="s">
        <v>31796</v>
      </c>
      <c r="B10674">
        <v>9.7920000000000016</v>
      </c>
      <c r="C10674" t="s">
        <v>31797</v>
      </c>
      <c r="D10674" t="s">
        <v>1621</v>
      </c>
      <c r="E10674" t="s">
        <v>31792</v>
      </c>
      <c r="F10674" t="s">
        <v>7672</v>
      </c>
      <c r="G10674" t="s">
        <v>31793</v>
      </c>
      <c r="H10674" t="s">
        <v>10298</v>
      </c>
      <c r="I10674" t="s">
        <v>23390</v>
      </c>
      <c r="J10674" t="s">
        <v>8439</v>
      </c>
    </row>
    <row r="10675" spans="1:10" x14ac:dyDescent="0.25">
      <c r="A10675" t="s">
        <v>31798</v>
      </c>
      <c r="B10675">
        <v>9.7920000000000016</v>
      </c>
      <c r="C10675" t="s">
        <v>31799</v>
      </c>
      <c r="D10675" t="s">
        <v>250</v>
      </c>
      <c r="E10675" t="s">
        <v>31792</v>
      </c>
      <c r="F10675" t="s">
        <v>7672</v>
      </c>
      <c r="G10675" t="s">
        <v>31793</v>
      </c>
      <c r="H10675" t="s">
        <v>10298</v>
      </c>
      <c r="I10675" t="s">
        <v>23393</v>
      </c>
      <c r="J10675" t="s">
        <v>8439</v>
      </c>
    </row>
    <row r="10676" spans="1:10" x14ac:dyDescent="0.25">
      <c r="A10676" t="s">
        <v>31800</v>
      </c>
      <c r="B10676">
        <v>9.7920000000000016</v>
      </c>
      <c r="C10676" t="s">
        <v>31801</v>
      </c>
      <c r="D10676" t="s">
        <v>290</v>
      </c>
      <c r="E10676" t="s">
        <v>31792</v>
      </c>
      <c r="F10676" t="s">
        <v>7672</v>
      </c>
      <c r="G10676" t="s">
        <v>31793</v>
      </c>
      <c r="H10676" t="s">
        <v>10298</v>
      </c>
      <c r="I10676" t="s">
        <v>23390</v>
      </c>
      <c r="J10676" t="s">
        <v>8451</v>
      </c>
    </row>
    <row r="10677" spans="1:10" x14ac:dyDescent="0.25">
      <c r="A10677" t="s">
        <v>31802</v>
      </c>
      <c r="B10677">
        <v>9.7920000000000016</v>
      </c>
      <c r="C10677" t="s">
        <v>31803</v>
      </c>
      <c r="D10677" t="s">
        <v>352</v>
      </c>
      <c r="E10677" t="s">
        <v>31792</v>
      </c>
      <c r="F10677" t="s">
        <v>7672</v>
      </c>
      <c r="G10677" t="s">
        <v>31793</v>
      </c>
      <c r="H10677" t="s">
        <v>10298</v>
      </c>
      <c r="I10677" t="s">
        <v>23393</v>
      </c>
      <c r="J10677" t="s">
        <v>8451</v>
      </c>
    </row>
    <row r="10678" spans="1:10" x14ac:dyDescent="0.25">
      <c r="A10678" t="s">
        <v>31804</v>
      </c>
      <c r="B10678">
        <v>6.4</v>
      </c>
      <c r="C10678" t="s">
        <v>31805</v>
      </c>
      <c r="D10678" t="s">
        <v>245</v>
      </c>
      <c r="E10678" t="s">
        <v>31806</v>
      </c>
      <c r="F10678" t="s">
        <v>7672</v>
      </c>
      <c r="G10678" t="s">
        <v>31807</v>
      </c>
      <c r="H10678" t="s">
        <v>8027</v>
      </c>
      <c r="I10678" t="s">
        <v>11206</v>
      </c>
      <c r="J10678" t="s">
        <v>7713</v>
      </c>
    </row>
    <row r="10679" spans="1:10" x14ac:dyDescent="0.25">
      <c r="A10679" t="s">
        <v>31808</v>
      </c>
      <c r="B10679">
        <v>15.84</v>
      </c>
      <c r="C10679" t="s">
        <v>31809</v>
      </c>
      <c r="D10679" t="s">
        <v>385</v>
      </c>
      <c r="E10679" t="s">
        <v>31810</v>
      </c>
      <c r="F10679" t="s">
        <v>7672</v>
      </c>
      <c r="G10679" t="s">
        <v>31811</v>
      </c>
      <c r="H10679" t="s">
        <v>11381</v>
      </c>
      <c r="I10679" t="s">
        <v>76</v>
      </c>
      <c r="J10679" t="s">
        <v>7675</v>
      </c>
    </row>
    <row r="10680" spans="1:10" x14ac:dyDescent="0.25">
      <c r="A10680" t="s">
        <v>31812</v>
      </c>
      <c r="B10680">
        <v>15.84</v>
      </c>
      <c r="C10680" t="s">
        <v>31813</v>
      </c>
      <c r="D10680" t="s">
        <v>113</v>
      </c>
      <c r="E10680" t="s">
        <v>31810</v>
      </c>
      <c r="F10680" t="s">
        <v>7672</v>
      </c>
      <c r="G10680" t="s">
        <v>31811</v>
      </c>
      <c r="H10680" t="s">
        <v>11381</v>
      </c>
      <c r="I10680" t="s">
        <v>7399</v>
      </c>
      <c r="J10680" t="s">
        <v>7675</v>
      </c>
    </row>
    <row r="10681" spans="1:10" x14ac:dyDescent="0.25">
      <c r="A10681" t="s">
        <v>31814</v>
      </c>
      <c r="B10681">
        <v>15.84</v>
      </c>
      <c r="C10681" t="s">
        <v>31815</v>
      </c>
      <c r="D10681" t="s">
        <v>164</v>
      </c>
      <c r="E10681" t="s">
        <v>31810</v>
      </c>
      <c r="F10681" t="s">
        <v>7672</v>
      </c>
      <c r="G10681" t="s">
        <v>31811</v>
      </c>
      <c r="H10681" t="s">
        <v>11381</v>
      </c>
      <c r="I10681" t="s">
        <v>76</v>
      </c>
      <c r="J10681" t="s">
        <v>7686</v>
      </c>
    </row>
    <row r="10682" spans="1:10" x14ac:dyDescent="0.25">
      <c r="A10682" t="s">
        <v>31816</v>
      </c>
      <c r="B10682">
        <v>15.84</v>
      </c>
      <c r="C10682" t="s">
        <v>31817</v>
      </c>
      <c r="D10682" t="s">
        <v>88</v>
      </c>
      <c r="E10682" t="s">
        <v>31810</v>
      </c>
      <c r="F10682" t="s">
        <v>7672</v>
      </c>
      <c r="G10682" t="s">
        <v>31811</v>
      </c>
      <c r="H10682" t="s">
        <v>11381</v>
      </c>
      <c r="I10682" t="s">
        <v>7399</v>
      </c>
      <c r="J10682" t="s">
        <v>7686</v>
      </c>
    </row>
    <row r="10683" spans="1:10" x14ac:dyDescent="0.25">
      <c r="A10683" t="s">
        <v>31818</v>
      </c>
      <c r="B10683">
        <v>15.84</v>
      </c>
      <c r="C10683" t="s">
        <v>31819</v>
      </c>
      <c r="D10683" t="s">
        <v>996</v>
      </c>
      <c r="E10683" t="s">
        <v>31810</v>
      </c>
      <c r="F10683" t="s">
        <v>7672</v>
      </c>
      <c r="G10683" t="s">
        <v>31811</v>
      </c>
      <c r="H10683" t="s">
        <v>11381</v>
      </c>
      <c r="I10683" t="s">
        <v>76</v>
      </c>
      <c r="J10683" t="s">
        <v>7703</v>
      </c>
    </row>
    <row r="10684" spans="1:10" x14ac:dyDescent="0.25">
      <c r="A10684" t="s">
        <v>31820</v>
      </c>
      <c r="B10684">
        <v>15.84</v>
      </c>
      <c r="C10684" t="s">
        <v>31821</v>
      </c>
      <c r="D10684" t="s">
        <v>2056</v>
      </c>
      <c r="E10684" t="s">
        <v>31810</v>
      </c>
      <c r="F10684" t="s">
        <v>7672</v>
      </c>
      <c r="G10684" t="s">
        <v>31811</v>
      </c>
      <c r="H10684" t="s">
        <v>11381</v>
      </c>
      <c r="I10684" t="s">
        <v>7399</v>
      </c>
      <c r="J10684" t="s">
        <v>7703</v>
      </c>
    </row>
    <row r="10685" spans="1:10" x14ac:dyDescent="0.25">
      <c r="A10685" t="s">
        <v>31822</v>
      </c>
      <c r="B10685">
        <v>4.68</v>
      </c>
      <c r="C10685" t="s">
        <v>31823</v>
      </c>
      <c r="D10685" t="s">
        <v>13859</v>
      </c>
      <c r="E10685" t="s">
        <v>31824</v>
      </c>
      <c r="F10685" t="s">
        <v>7672</v>
      </c>
      <c r="G10685" t="s">
        <v>31825</v>
      </c>
      <c r="H10685" t="s">
        <v>11381</v>
      </c>
      <c r="I10685" t="s">
        <v>29311</v>
      </c>
      <c r="J10685" t="s">
        <v>31826</v>
      </c>
    </row>
    <row r="10686" spans="1:10" x14ac:dyDescent="0.25">
      <c r="A10686" t="s">
        <v>31827</v>
      </c>
      <c r="B10686">
        <v>7.8319999999999999</v>
      </c>
      <c r="C10686" t="s">
        <v>31828</v>
      </c>
      <c r="D10686" t="s">
        <v>88</v>
      </c>
      <c r="E10686" t="s">
        <v>31829</v>
      </c>
      <c r="F10686" t="s">
        <v>7672</v>
      </c>
      <c r="G10686" t="s">
        <v>31830</v>
      </c>
      <c r="H10686" t="s">
        <v>10298</v>
      </c>
      <c r="I10686" t="s">
        <v>18854</v>
      </c>
      <c r="J10686" t="s">
        <v>8427</v>
      </c>
    </row>
    <row r="10687" spans="1:10" x14ac:dyDescent="0.25">
      <c r="A10687" t="s">
        <v>31831</v>
      </c>
      <c r="B10687">
        <v>7.8319999999999999</v>
      </c>
      <c r="C10687" t="s">
        <v>31832</v>
      </c>
      <c r="D10687" t="s">
        <v>1143</v>
      </c>
      <c r="E10687" t="s">
        <v>31829</v>
      </c>
      <c r="F10687" t="s">
        <v>7672</v>
      </c>
      <c r="G10687" t="s">
        <v>31830</v>
      </c>
      <c r="H10687" t="s">
        <v>10298</v>
      </c>
      <c r="I10687" t="s">
        <v>18854</v>
      </c>
      <c r="J10687" t="s">
        <v>8439</v>
      </c>
    </row>
    <row r="10688" spans="1:10" x14ac:dyDescent="0.25">
      <c r="A10688" t="s">
        <v>31833</v>
      </c>
      <c r="B10688">
        <v>7.8319999999999999</v>
      </c>
      <c r="C10688" t="s">
        <v>31834</v>
      </c>
      <c r="D10688" t="s">
        <v>742</v>
      </c>
      <c r="E10688" t="s">
        <v>31829</v>
      </c>
      <c r="F10688" t="s">
        <v>7672</v>
      </c>
      <c r="G10688" t="s">
        <v>31830</v>
      </c>
      <c r="H10688" t="s">
        <v>10298</v>
      </c>
      <c r="I10688" t="s">
        <v>76</v>
      </c>
      <c r="J10688" t="s">
        <v>8439</v>
      </c>
    </row>
    <row r="10689" spans="1:10" x14ac:dyDescent="0.25">
      <c r="A10689" t="s">
        <v>31835</v>
      </c>
      <c r="B10689">
        <v>7.8319999999999999</v>
      </c>
      <c r="C10689" t="s">
        <v>31836</v>
      </c>
      <c r="D10689" t="s">
        <v>2697</v>
      </c>
      <c r="E10689" t="s">
        <v>31829</v>
      </c>
      <c r="F10689" t="s">
        <v>7672</v>
      </c>
      <c r="G10689" t="s">
        <v>31830</v>
      </c>
      <c r="H10689" t="s">
        <v>10298</v>
      </c>
      <c r="I10689" t="s">
        <v>18854</v>
      </c>
      <c r="J10689" t="s">
        <v>8451</v>
      </c>
    </row>
    <row r="10690" spans="1:10" x14ac:dyDescent="0.25">
      <c r="A10690" t="s">
        <v>31837</v>
      </c>
      <c r="B10690">
        <v>7.8319999999999999</v>
      </c>
      <c r="C10690" t="s">
        <v>31838</v>
      </c>
      <c r="D10690" t="s">
        <v>385</v>
      </c>
      <c r="E10690" t="s">
        <v>31829</v>
      </c>
      <c r="F10690" t="s">
        <v>7672</v>
      </c>
      <c r="G10690" t="s">
        <v>31830</v>
      </c>
      <c r="H10690" t="s">
        <v>10298</v>
      </c>
      <c r="I10690" t="s">
        <v>76</v>
      </c>
      <c r="J10690" t="s">
        <v>8451</v>
      </c>
    </row>
    <row r="10691" spans="1:10" x14ac:dyDescent="0.25">
      <c r="A10691" t="s">
        <v>31839</v>
      </c>
      <c r="B10691">
        <v>8</v>
      </c>
      <c r="C10691" t="s">
        <v>31840</v>
      </c>
      <c r="D10691" t="s">
        <v>131</v>
      </c>
      <c r="E10691" t="s">
        <v>31841</v>
      </c>
      <c r="F10691" t="s">
        <v>7672</v>
      </c>
      <c r="G10691" t="s">
        <v>31842</v>
      </c>
      <c r="H10691" t="s">
        <v>8301</v>
      </c>
      <c r="I10691" t="s">
        <v>18652</v>
      </c>
      <c r="J10691" t="s">
        <v>9998</v>
      </c>
    </row>
    <row r="10692" spans="1:10" x14ac:dyDescent="0.25">
      <c r="A10692" t="s">
        <v>31843</v>
      </c>
      <c r="B10692">
        <v>8</v>
      </c>
      <c r="C10692" t="s">
        <v>31844</v>
      </c>
      <c r="D10692" t="s">
        <v>742</v>
      </c>
      <c r="E10692" t="s">
        <v>31841</v>
      </c>
      <c r="F10692" t="s">
        <v>7672</v>
      </c>
      <c r="G10692" t="s">
        <v>31842</v>
      </c>
      <c r="H10692" t="s">
        <v>8301</v>
      </c>
      <c r="I10692" t="s">
        <v>31845</v>
      </c>
      <c r="J10692" t="s">
        <v>9998</v>
      </c>
    </row>
    <row r="10693" spans="1:10" x14ac:dyDescent="0.25">
      <c r="A10693" t="s">
        <v>31846</v>
      </c>
      <c r="B10693">
        <v>8</v>
      </c>
      <c r="C10693" t="s">
        <v>31847</v>
      </c>
      <c r="D10693" t="s">
        <v>282</v>
      </c>
      <c r="E10693" t="s">
        <v>31841</v>
      </c>
      <c r="F10693" t="s">
        <v>7672</v>
      </c>
      <c r="G10693" t="s">
        <v>31842</v>
      </c>
      <c r="H10693" t="s">
        <v>8301</v>
      </c>
      <c r="I10693" t="s">
        <v>8158</v>
      </c>
      <c r="J10693" t="s">
        <v>9998</v>
      </c>
    </row>
    <row r="10694" spans="1:10" x14ac:dyDescent="0.25">
      <c r="A10694" t="s">
        <v>31848</v>
      </c>
      <c r="B10694">
        <v>5.2</v>
      </c>
      <c r="C10694" t="s">
        <v>31849</v>
      </c>
      <c r="D10694" t="s">
        <v>301</v>
      </c>
      <c r="E10694" t="s">
        <v>31850</v>
      </c>
      <c r="F10694" t="s">
        <v>7672</v>
      </c>
      <c r="G10694" t="s">
        <v>31851</v>
      </c>
      <c r="H10694" t="s">
        <v>11496</v>
      </c>
      <c r="I10694" t="s">
        <v>6036</v>
      </c>
      <c r="J10694" t="s">
        <v>9426</v>
      </c>
    </row>
    <row r="10695" spans="1:10" x14ac:dyDescent="0.25">
      <c r="A10695" t="s">
        <v>31852</v>
      </c>
      <c r="B10695">
        <v>5.2</v>
      </c>
      <c r="C10695" t="s">
        <v>31853</v>
      </c>
      <c r="D10695" t="s">
        <v>118</v>
      </c>
      <c r="E10695" t="s">
        <v>31850</v>
      </c>
      <c r="F10695" t="s">
        <v>7672</v>
      </c>
      <c r="G10695" t="s">
        <v>31851</v>
      </c>
      <c r="H10695" t="s">
        <v>11496</v>
      </c>
      <c r="I10695" t="s">
        <v>6036</v>
      </c>
      <c r="J10695" t="s">
        <v>10862</v>
      </c>
    </row>
    <row r="10696" spans="1:10" x14ac:dyDescent="0.25">
      <c r="A10696" t="s">
        <v>31854</v>
      </c>
      <c r="B10696">
        <v>5.2</v>
      </c>
      <c r="C10696" t="s">
        <v>31855</v>
      </c>
      <c r="D10696" t="s">
        <v>516</v>
      </c>
      <c r="E10696" t="s">
        <v>31850</v>
      </c>
      <c r="F10696" t="s">
        <v>7672</v>
      </c>
      <c r="G10696" t="s">
        <v>31851</v>
      </c>
      <c r="H10696" t="s">
        <v>11496</v>
      </c>
      <c r="I10696" t="s">
        <v>6036</v>
      </c>
      <c r="J10696" t="s">
        <v>13084</v>
      </c>
    </row>
    <row r="10697" spans="1:10" x14ac:dyDescent="0.25">
      <c r="A10697" t="s">
        <v>31856</v>
      </c>
      <c r="B10697">
        <v>5.2</v>
      </c>
      <c r="C10697" t="s">
        <v>31857</v>
      </c>
      <c r="D10697" t="s">
        <v>516</v>
      </c>
      <c r="E10697" t="s">
        <v>31850</v>
      </c>
      <c r="F10697" t="s">
        <v>7672</v>
      </c>
      <c r="G10697" t="s">
        <v>31851</v>
      </c>
      <c r="H10697" t="s">
        <v>11496</v>
      </c>
      <c r="I10697" t="s">
        <v>6036</v>
      </c>
      <c r="J10697" t="s">
        <v>11767</v>
      </c>
    </row>
    <row r="10698" spans="1:10" x14ac:dyDescent="0.25">
      <c r="A10698" t="s">
        <v>31858</v>
      </c>
      <c r="B10698">
        <v>5.2</v>
      </c>
      <c r="C10698" t="s">
        <v>31859</v>
      </c>
      <c r="D10698" t="s">
        <v>1811</v>
      </c>
      <c r="E10698" t="s">
        <v>31850</v>
      </c>
      <c r="F10698" t="s">
        <v>7672</v>
      </c>
      <c r="G10698" t="s">
        <v>31851</v>
      </c>
      <c r="H10698" t="s">
        <v>11496</v>
      </c>
      <c r="I10698" t="s">
        <v>6036</v>
      </c>
      <c r="J10698" t="s">
        <v>11582</v>
      </c>
    </row>
    <row r="10699" spans="1:10" x14ac:dyDescent="0.25">
      <c r="A10699" t="s">
        <v>31860</v>
      </c>
      <c r="B10699">
        <v>5.2</v>
      </c>
      <c r="C10699" t="s">
        <v>31861</v>
      </c>
      <c r="D10699" t="s">
        <v>352</v>
      </c>
      <c r="E10699" t="s">
        <v>31850</v>
      </c>
      <c r="F10699" t="s">
        <v>7672</v>
      </c>
      <c r="G10699" t="s">
        <v>31851</v>
      </c>
      <c r="H10699" t="s">
        <v>11496</v>
      </c>
      <c r="I10699" t="s">
        <v>6036</v>
      </c>
      <c r="J10699" t="s">
        <v>11585</v>
      </c>
    </row>
    <row r="10700" spans="1:10" x14ac:dyDescent="0.25">
      <c r="A10700" t="s">
        <v>31862</v>
      </c>
      <c r="B10700">
        <v>9.5920000000000005</v>
      </c>
      <c r="C10700" t="s">
        <v>31863</v>
      </c>
      <c r="D10700" t="s">
        <v>9254</v>
      </c>
      <c r="E10700" t="s">
        <v>31864</v>
      </c>
      <c r="F10700" t="s">
        <v>7672</v>
      </c>
      <c r="G10700" t="s">
        <v>31865</v>
      </c>
      <c r="H10700" t="s">
        <v>7674</v>
      </c>
      <c r="I10700" t="s">
        <v>31866</v>
      </c>
      <c r="J10700" t="s">
        <v>7981</v>
      </c>
    </row>
    <row r="10701" spans="1:10" x14ac:dyDescent="0.25">
      <c r="A10701" t="s">
        <v>31867</v>
      </c>
      <c r="B10701">
        <v>9.5920000000000005</v>
      </c>
      <c r="C10701" t="s">
        <v>31868</v>
      </c>
      <c r="D10701" t="s">
        <v>9124</v>
      </c>
      <c r="E10701" t="s">
        <v>31864</v>
      </c>
      <c r="F10701" t="s">
        <v>7672</v>
      </c>
      <c r="G10701" t="s">
        <v>31865</v>
      </c>
      <c r="H10701" t="s">
        <v>7674</v>
      </c>
      <c r="I10701" t="s">
        <v>1490</v>
      </c>
      <c r="J10701" t="s">
        <v>7981</v>
      </c>
    </row>
    <row r="10702" spans="1:10" x14ac:dyDescent="0.25">
      <c r="A10702" t="s">
        <v>31869</v>
      </c>
      <c r="B10702">
        <v>9.5920000000000005</v>
      </c>
      <c r="C10702" t="s">
        <v>31870</v>
      </c>
      <c r="D10702" t="s">
        <v>516</v>
      </c>
      <c r="E10702" t="s">
        <v>31864</v>
      </c>
      <c r="F10702" t="s">
        <v>7672</v>
      </c>
      <c r="G10702" t="s">
        <v>31865</v>
      </c>
      <c r="H10702" t="s">
        <v>7674</v>
      </c>
      <c r="I10702" t="s">
        <v>1490</v>
      </c>
      <c r="J10702" t="s">
        <v>7984</v>
      </c>
    </row>
    <row r="10703" spans="1:10" x14ac:dyDescent="0.25">
      <c r="A10703" t="s">
        <v>31871</v>
      </c>
      <c r="B10703">
        <v>9.5920000000000005</v>
      </c>
      <c r="C10703" t="s">
        <v>31872</v>
      </c>
      <c r="D10703" t="s">
        <v>986</v>
      </c>
      <c r="E10703" t="s">
        <v>31864</v>
      </c>
      <c r="F10703" t="s">
        <v>7672</v>
      </c>
      <c r="G10703" t="s">
        <v>31865</v>
      </c>
      <c r="H10703" t="s">
        <v>7674</v>
      </c>
      <c r="I10703" t="s">
        <v>31866</v>
      </c>
      <c r="J10703" t="s">
        <v>7984</v>
      </c>
    </row>
    <row r="10704" spans="1:10" x14ac:dyDescent="0.25">
      <c r="A10704" t="s">
        <v>31873</v>
      </c>
      <c r="B10704">
        <v>12.48</v>
      </c>
      <c r="C10704" t="s">
        <v>31874</v>
      </c>
      <c r="D10704" t="s">
        <v>588</v>
      </c>
      <c r="E10704" t="s">
        <v>31875</v>
      </c>
      <c r="F10704" t="s">
        <v>7672</v>
      </c>
      <c r="G10704" t="s">
        <v>31876</v>
      </c>
      <c r="H10704" t="s">
        <v>8027</v>
      </c>
      <c r="I10704" t="s">
        <v>76</v>
      </c>
      <c r="J10704" t="s">
        <v>9107</v>
      </c>
    </row>
    <row r="10705" spans="1:10" x14ac:dyDescent="0.25">
      <c r="A10705" t="s">
        <v>31877</v>
      </c>
      <c r="B10705">
        <v>6.48</v>
      </c>
      <c r="C10705" t="s">
        <v>31878</v>
      </c>
      <c r="D10705" t="s">
        <v>8073</v>
      </c>
      <c r="E10705" t="s">
        <v>31879</v>
      </c>
      <c r="F10705" t="s">
        <v>7672</v>
      </c>
      <c r="G10705" t="s">
        <v>31880</v>
      </c>
      <c r="H10705" t="s">
        <v>7674</v>
      </c>
      <c r="I10705" t="s">
        <v>10802</v>
      </c>
      <c r="J10705" t="s">
        <v>8013</v>
      </c>
    </row>
    <row r="10706" spans="1:10" x14ac:dyDescent="0.25">
      <c r="A10706" t="s">
        <v>1039</v>
      </c>
      <c r="B10706">
        <v>12</v>
      </c>
      <c r="C10706" t="s">
        <v>1041</v>
      </c>
      <c r="D10706" t="s">
        <v>436</v>
      </c>
      <c r="E10706" t="s">
        <v>1042</v>
      </c>
      <c r="F10706" t="s">
        <v>7672</v>
      </c>
      <c r="G10706" t="s">
        <v>31881</v>
      </c>
      <c r="H10706" t="s">
        <v>23005</v>
      </c>
      <c r="I10706" t="s">
        <v>76</v>
      </c>
      <c r="J10706" t="s">
        <v>131</v>
      </c>
    </row>
    <row r="10707" spans="1:10" x14ac:dyDescent="0.25">
      <c r="A10707" t="s">
        <v>1045</v>
      </c>
      <c r="B10707">
        <v>12</v>
      </c>
      <c r="C10707" t="s">
        <v>1047</v>
      </c>
      <c r="D10707" t="s">
        <v>613</v>
      </c>
      <c r="E10707" t="s">
        <v>1042</v>
      </c>
      <c r="F10707" t="s">
        <v>7672</v>
      </c>
      <c r="G10707" t="s">
        <v>31881</v>
      </c>
      <c r="H10707" t="s">
        <v>23005</v>
      </c>
      <c r="I10707" t="s">
        <v>935</v>
      </c>
      <c r="J10707" t="s">
        <v>131</v>
      </c>
    </row>
    <row r="10708" spans="1:10" x14ac:dyDescent="0.25">
      <c r="A10708" t="s">
        <v>1049</v>
      </c>
      <c r="B10708">
        <v>12</v>
      </c>
      <c r="C10708" t="s">
        <v>1051</v>
      </c>
      <c r="D10708" t="s">
        <v>290</v>
      </c>
      <c r="E10708" t="s">
        <v>1042</v>
      </c>
      <c r="F10708" t="s">
        <v>7672</v>
      </c>
      <c r="G10708" t="s">
        <v>31881</v>
      </c>
      <c r="H10708" t="s">
        <v>23005</v>
      </c>
      <c r="I10708" t="s">
        <v>76</v>
      </c>
      <c r="J10708" t="s">
        <v>269</v>
      </c>
    </row>
    <row r="10709" spans="1:10" x14ac:dyDescent="0.25">
      <c r="A10709" t="s">
        <v>1053</v>
      </c>
      <c r="B10709">
        <v>12</v>
      </c>
      <c r="C10709" t="s">
        <v>1055</v>
      </c>
      <c r="D10709" t="s">
        <v>311</v>
      </c>
      <c r="E10709" t="s">
        <v>1042</v>
      </c>
      <c r="F10709" t="s">
        <v>7672</v>
      </c>
      <c r="G10709" t="s">
        <v>31881</v>
      </c>
      <c r="H10709" t="s">
        <v>23005</v>
      </c>
      <c r="I10709" t="s">
        <v>935</v>
      </c>
      <c r="J10709" t="s">
        <v>269</v>
      </c>
    </row>
    <row r="10710" spans="1:10" x14ac:dyDescent="0.25">
      <c r="A10710" t="s">
        <v>31882</v>
      </c>
      <c r="B10710">
        <v>9</v>
      </c>
      <c r="C10710" t="s">
        <v>31883</v>
      </c>
      <c r="D10710" t="s">
        <v>53</v>
      </c>
      <c r="E10710" t="s">
        <v>31884</v>
      </c>
      <c r="F10710" t="s">
        <v>7672</v>
      </c>
      <c r="G10710" t="s">
        <v>31885</v>
      </c>
      <c r="H10710" t="s">
        <v>11794</v>
      </c>
      <c r="I10710" t="s">
        <v>1243</v>
      </c>
      <c r="J10710" t="s">
        <v>7981</v>
      </c>
    </row>
    <row r="10711" spans="1:10" x14ac:dyDescent="0.25">
      <c r="A10711" t="s">
        <v>31886</v>
      </c>
      <c r="B10711">
        <v>18</v>
      </c>
      <c r="C10711" t="s">
        <v>31887</v>
      </c>
      <c r="D10711" t="s">
        <v>875</v>
      </c>
      <c r="E10711" t="s">
        <v>31888</v>
      </c>
      <c r="F10711" t="s">
        <v>7672</v>
      </c>
      <c r="G10711" t="s">
        <v>31889</v>
      </c>
      <c r="H10711" t="s">
        <v>11496</v>
      </c>
      <c r="I10711" t="s">
        <v>5986</v>
      </c>
      <c r="J10711" t="s">
        <v>11767</v>
      </c>
    </row>
    <row r="10712" spans="1:10" x14ac:dyDescent="0.25">
      <c r="A10712" t="s">
        <v>31890</v>
      </c>
      <c r="B10712">
        <v>54</v>
      </c>
      <c r="C10712" t="s">
        <v>31891</v>
      </c>
      <c r="D10712" t="s">
        <v>2652</v>
      </c>
      <c r="E10712" t="s">
        <v>31892</v>
      </c>
      <c r="F10712" t="s">
        <v>7672</v>
      </c>
      <c r="G10712" t="s">
        <v>31893</v>
      </c>
      <c r="H10712" t="s">
        <v>9693</v>
      </c>
      <c r="I10712" t="s">
        <v>18323</v>
      </c>
      <c r="J10712" t="s">
        <v>9694</v>
      </c>
    </row>
    <row r="10713" spans="1:10" x14ac:dyDescent="0.25">
      <c r="A10713" t="s">
        <v>31894</v>
      </c>
      <c r="B10713">
        <v>10.8</v>
      </c>
      <c r="C10713" t="s">
        <v>31895</v>
      </c>
      <c r="D10713" t="s">
        <v>613</v>
      </c>
      <c r="E10713" t="s">
        <v>31896</v>
      </c>
      <c r="F10713" t="s">
        <v>7672</v>
      </c>
      <c r="G10713" t="s">
        <v>31897</v>
      </c>
      <c r="H10713" t="s">
        <v>13951</v>
      </c>
      <c r="I10713" t="s">
        <v>31898</v>
      </c>
      <c r="J10713" t="s">
        <v>7719</v>
      </c>
    </row>
    <row r="10714" spans="1:10" x14ac:dyDescent="0.25">
      <c r="A10714" t="s">
        <v>31899</v>
      </c>
      <c r="B10714">
        <v>7.0400000000000009</v>
      </c>
      <c r="C10714" t="s">
        <v>31900</v>
      </c>
      <c r="D10714" t="s">
        <v>2253</v>
      </c>
      <c r="E10714" t="s">
        <v>31901</v>
      </c>
      <c r="F10714" t="s">
        <v>7672</v>
      </c>
      <c r="G10714" t="s">
        <v>31902</v>
      </c>
      <c r="H10714" t="s">
        <v>31903</v>
      </c>
      <c r="I10714" t="s">
        <v>31904</v>
      </c>
      <c r="J10714" t="s">
        <v>7942</v>
      </c>
    </row>
    <row r="10715" spans="1:10" x14ac:dyDescent="0.25">
      <c r="A10715" t="s">
        <v>31905</v>
      </c>
      <c r="B10715">
        <v>2.88</v>
      </c>
      <c r="C10715" t="s">
        <v>31906</v>
      </c>
      <c r="D10715" t="s">
        <v>60</v>
      </c>
      <c r="E10715" t="s">
        <v>31907</v>
      </c>
      <c r="F10715" t="s">
        <v>7672</v>
      </c>
      <c r="G10715" t="s">
        <v>31908</v>
      </c>
      <c r="H10715" t="s">
        <v>8301</v>
      </c>
      <c r="I10715" t="s">
        <v>31909</v>
      </c>
      <c r="J10715" t="s">
        <v>9694</v>
      </c>
    </row>
    <row r="10716" spans="1:10" x14ac:dyDescent="0.25">
      <c r="A10716" t="s">
        <v>31910</v>
      </c>
      <c r="B10716">
        <v>5.2</v>
      </c>
      <c r="C10716" t="s">
        <v>31911</v>
      </c>
      <c r="D10716" t="s">
        <v>301</v>
      </c>
      <c r="E10716" t="s">
        <v>31912</v>
      </c>
      <c r="F10716" t="s">
        <v>7672</v>
      </c>
      <c r="G10716" t="s">
        <v>31913</v>
      </c>
      <c r="H10716" t="s">
        <v>11496</v>
      </c>
      <c r="I10716" t="s">
        <v>410</v>
      </c>
      <c r="J10716" t="s">
        <v>9423</v>
      </c>
    </row>
    <row r="10717" spans="1:10" x14ac:dyDescent="0.25">
      <c r="A10717" t="s">
        <v>31914</v>
      </c>
      <c r="B10717">
        <v>3.6</v>
      </c>
      <c r="C10717" t="s">
        <v>31915</v>
      </c>
      <c r="D10717" t="s">
        <v>2099</v>
      </c>
      <c r="E10717" t="s">
        <v>31916</v>
      </c>
      <c r="F10717" t="s">
        <v>7672</v>
      </c>
      <c r="G10717" t="s">
        <v>31917</v>
      </c>
      <c r="H10717" t="s">
        <v>7674</v>
      </c>
      <c r="I10717" t="s">
        <v>12320</v>
      </c>
      <c r="J10717" t="s">
        <v>15981</v>
      </c>
    </row>
    <row r="10718" spans="1:10" x14ac:dyDescent="0.25">
      <c r="A10718" t="s">
        <v>31918</v>
      </c>
      <c r="B10718">
        <v>3.6</v>
      </c>
      <c r="C10718" t="s">
        <v>31919</v>
      </c>
      <c r="D10718" t="s">
        <v>301</v>
      </c>
      <c r="E10718" t="s">
        <v>31916</v>
      </c>
      <c r="F10718" t="s">
        <v>7672</v>
      </c>
      <c r="G10718" t="s">
        <v>31917</v>
      </c>
      <c r="H10718" t="s">
        <v>7674</v>
      </c>
      <c r="I10718" t="s">
        <v>31920</v>
      </c>
      <c r="J10718" t="s">
        <v>15981</v>
      </c>
    </row>
    <row r="10719" spans="1:10" x14ac:dyDescent="0.25">
      <c r="A10719" t="s">
        <v>31921</v>
      </c>
      <c r="B10719">
        <v>8</v>
      </c>
      <c r="C10719" t="s">
        <v>31922</v>
      </c>
      <c r="D10719" t="s">
        <v>53</v>
      </c>
      <c r="E10719" t="s">
        <v>31923</v>
      </c>
      <c r="F10719" t="s">
        <v>7672</v>
      </c>
      <c r="G10719" t="s">
        <v>31924</v>
      </c>
      <c r="H10719" t="s">
        <v>8301</v>
      </c>
      <c r="I10719" t="s">
        <v>8158</v>
      </c>
      <c r="J10719" t="s">
        <v>7942</v>
      </c>
    </row>
    <row r="10720" spans="1:10" x14ac:dyDescent="0.25">
      <c r="A10720" t="s">
        <v>31925</v>
      </c>
      <c r="B10720">
        <v>8</v>
      </c>
      <c r="C10720" t="s">
        <v>31926</v>
      </c>
      <c r="D10720" t="s">
        <v>290</v>
      </c>
      <c r="E10720" t="s">
        <v>31923</v>
      </c>
      <c r="F10720" t="s">
        <v>7672</v>
      </c>
      <c r="G10720" t="s">
        <v>31924</v>
      </c>
      <c r="H10720" t="s">
        <v>8301</v>
      </c>
      <c r="I10720" t="s">
        <v>8158</v>
      </c>
      <c r="J10720" t="s">
        <v>7981</v>
      </c>
    </row>
    <row r="10721" spans="1:10" x14ac:dyDescent="0.25">
      <c r="A10721" t="s">
        <v>31927</v>
      </c>
      <c r="B10721">
        <v>6.4</v>
      </c>
      <c r="C10721" t="s">
        <v>31928</v>
      </c>
      <c r="D10721" t="s">
        <v>2371</v>
      </c>
      <c r="E10721" t="s">
        <v>31929</v>
      </c>
      <c r="F10721" t="s">
        <v>7672</v>
      </c>
      <c r="G10721" t="s">
        <v>31930</v>
      </c>
      <c r="H10721" t="s">
        <v>8301</v>
      </c>
      <c r="I10721" t="s">
        <v>31931</v>
      </c>
      <c r="J10721" t="s">
        <v>7981</v>
      </c>
    </row>
    <row r="10722" spans="1:10" x14ac:dyDescent="0.25">
      <c r="A10722" t="s">
        <v>31932</v>
      </c>
      <c r="B10722">
        <v>6.4</v>
      </c>
      <c r="C10722" t="s">
        <v>31933</v>
      </c>
      <c r="D10722" t="s">
        <v>352</v>
      </c>
      <c r="E10722" t="s">
        <v>31929</v>
      </c>
      <c r="F10722" t="s">
        <v>7672</v>
      </c>
      <c r="G10722" t="s">
        <v>31930</v>
      </c>
      <c r="H10722" t="s">
        <v>8301</v>
      </c>
      <c r="I10722" t="s">
        <v>31934</v>
      </c>
      <c r="J10722" t="s">
        <v>7981</v>
      </c>
    </row>
    <row r="10723" spans="1:10" x14ac:dyDescent="0.25">
      <c r="A10723" t="s">
        <v>31935</v>
      </c>
      <c r="B10723">
        <v>6.4</v>
      </c>
      <c r="C10723" t="s">
        <v>31936</v>
      </c>
      <c r="D10723" t="s">
        <v>12639</v>
      </c>
      <c r="E10723" t="s">
        <v>31929</v>
      </c>
      <c r="F10723" t="s">
        <v>7672</v>
      </c>
      <c r="G10723" t="s">
        <v>31930</v>
      </c>
      <c r="H10723" t="s">
        <v>8301</v>
      </c>
      <c r="I10723" t="s">
        <v>31931</v>
      </c>
      <c r="J10723" t="s">
        <v>7984</v>
      </c>
    </row>
    <row r="10724" spans="1:10" x14ac:dyDescent="0.25">
      <c r="A10724" t="s">
        <v>31937</v>
      </c>
      <c r="B10724">
        <v>6.4</v>
      </c>
      <c r="C10724" t="s">
        <v>31938</v>
      </c>
      <c r="D10724" t="s">
        <v>118</v>
      </c>
      <c r="E10724" t="s">
        <v>31929</v>
      </c>
      <c r="F10724" t="s">
        <v>7672</v>
      </c>
      <c r="G10724" t="s">
        <v>31930</v>
      </c>
      <c r="H10724" t="s">
        <v>8301</v>
      </c>
      <c r="I10724" t="s">
        <v>31934</v>
      </c>
      <c r="J10724" t="s">
        <v>7984</v>
      </c>
    </row>
    <row r="10725" spans="1:10" x14ac:dyDescent="0.25">
      <c r="A10725" t="s">
        <v>31939</v>
      </c>
      <c r="B10725">
        <v>6.4</v>
      </c>
      <c r="C10725" t="s">
        <v>31940</v>
      </c>
      <c r="D10725" t="s">
        <v>582</v>
      </c>
      <c r="E10725" t="s">
        <v>31929</v>
      </c>
      <c r="F10725" t="s">
        <v>7672</v>
      </c>
      <c r="G10725" t="s">
        <v>31930</v>
      </c>
      <c r="H10725" t="s">
        <v>8301</v>
      </c>
      <c r="I10725" t="s">
        <v>31934</v>
      </c>
      <c r="J10725" t="s">
        <v>7987</v>
      </c>
    </row>
    <row r="10726" spans="1:10" x14ac:dyDescent="0.25">
      <c r="A10726" t="s">
        <v>31941</v>
      </c>
      <c r="B10726">
        <v>6.4</v>
      </c>
      <c r="C10726" t="s">
        <v>31942</v>
      </c>
      <c r="D10726" t="s">
        <v>3258</v>
      </c>
      <c r="E10726" t="s">
        <v>31929</v>
      </c>
      <c r="F10726" t="s">
        <v>7672</v>
      </c>
      <c r="G10726" t="s">
        <v>31930</v>
      </c>
      <c r="H10726" t="s">
        <v>8301</v>
      </c>
      <c r="I10726" t="s">
        <v>31931</v>
      </c>
      <c r="J10726" t="s">
        <v>7987</v>
      </c>
    </row>
    <row r="10727" spans="1:10" x14ac:dyDescent="0.25">
      <c r="A10727" t="s">
        <v>31943</v>
      </c>
      <c r="B10727">
        <v>6.4</v>
      </c>
      <c r="C10727" t="s">
        <v>31944</v>
      </c>
      <c r="D10727" t="s">
        <v>164</v>
      </c>
      <c r="E10727" t="s">
        <v>31929</v>
      </c>
      <c r="F10727" t="s">
        <v>7672</v>
      </c>
      <c r="G10727" t="s">
        <v>31930</v>
      </c>
      <c r="H10727" t="s">
        <v>8301</v>
      </c>
      <c r="I10727" t="s">
        <v>31934</v>
      </c>
      <c r="J10727" t="s">
        <v>8001</v>
      </c>
    </row>
    <row r="10728" spans="1:10" x14ac:dyDescent="0.25">
      <c r="A10728" t="s">
        <v>31945</v>
      </c>
      <c r="B10728">
        <v>6.4</v>
      </c>
      <c r="C10728" t="s">
        <v>31946</v>
      </c>
      <c r="D10728" t="s">
        <v>330</v>
      </c>
      <c r="E10728" t="s">
        <v>31929</v>
      </c>
      <c r="F10728" t="s">
        <v>7672</v>
      </c>
      <c r="G10728" t="s">
        <v>31930</v>
      </c>
      <c r="H10728" t="s">
        <v>8301</v>
      </c>
      <c r="I10728" t="s">
        <v>31931</v>
      </c>
      <c r="J10728" t="s">
        <v>8001</v>
      </c>
    </row>
    <row r="10729" spans="1:10" x14ac:dyDescent="0.25">
      <c r="A10729" t="s">
        <v>31947</v>
      </c>
      <c r="B10729">
        <v>6.4</v>
      </c>
      <c r="C10729" t="s">
        <v>31948</v>
      </c>
      <c r="D10729" t="s">
        <v>964</v>
      </c>
      <c r="E10729" t="s">
        <v>31929</v>
      </c>
      <c r="F10729" t="s">
        <v>7672</v>
      </c>
      <c r="G10729" t="s">
        <v>31930</v>
      </c>
      <c r="H10729" t="s">
        <v>8301</v>
      </c>
      <c r="I10729" t="s">
        <v>31931</v>
      </c>
      <c r="J10729" t="s">
        <v>8013</v>
      </c>
    </row>
    <row r="10730" spans="1:10" x14ac:dyDescent="0.25">
      <c r="A10730" t="s">
        <v>31949</v>
      </c>
      <c r="B10730">
        <v>6.4</v>
      </c>
      <c r="C10730" t="s">
        <v>31950</v>
      </c>
      <c r="D10730" t="s">
        <v>835</v>
      </c>
      <c r="E10730" t="s">
        <v>31929</v>
      </c>
      <c r="F10730" t="s">
        <v>7672</v>
      </c>
      <c r="G10730" t="s">
        <v>31930</v>
      </c>
      <c r="H10730" t="s">
        <v>8301</v>
      </c>
      <c r="I10730" t="s">
        <v>31934</v>
      </c>
      <c r="J10730" t="s">
        <v>8013</v>
      </c>
    </row>
    <row r="10731" spans="1:10" x14ac:dyDescent="0.25">
      <c r="A10731" t="s">
        <v>31951</v>
      </c>
      <c r="B10731">
        <v>80</v>
      </c>
      <c r="C10731" t="s">
        <v>31952</v>
      </c>
      <c r="D10731" t="s">
        <v>385</v>
      </c>
      <c r="E10731" t="s">
        <v>31953</v>
      </c>
      <c r="F10731" t="s">
        <v>7672</v>
      </c>
      <c r="G10731" t="s">
        <v>31954</v>
      </c>
      <c r="H10731" t="s">
        <v>25861</v>
      </c>
      <c r="I10731" t="s">
        <v>17521</v>
      </c>
      <c r="J10731" t="s">
        <v>9694</v>
      </c>
    </row>
    <row r="10732" spans="1:10" x14ac:dyDescent="0.25">
      <c r="A10732" t="s">
        <v>31955</v>
      </c>
      <c r="B10732">
        <v>6.7200000000000006</v>
      </c>
      <c r="C10732" t="s">
        <v>31956</v>
      </c>
      <c r="D10732" t="s">
        <v>849</v>
      </c>
      <c r="E10732" t="s">
        <v>31957</v>
      </c>
      <c r="F10732" t="s">
        <v>7672</v>
      </c>
      <c r="G10732" t="s">
        <v>31958</v>
      </c>
      <c r="H10732" t="s">
        <v>16993</v>
      </c>
      <c r="I10732" t="s">
        <v>31959</v>
      </c>
      <c r="J10732" t="s">
        <v>9423</v>
      </c>
    </row>
    <row r="10733" spans="1:10" x14ac:dyDescent="0.25">
      <c r="A10733" t="s">
        <v>31960</v>
      </c>
      <c r="B10733">
        <v>5.6000000000000014</v>
      </c>
      <c r="C10733" t="s">
        <v>31961</v>
      </c>
      <c r="D10733" t="s">
        <v>849</v>
      </c>
      <c r="E10733" t="s">
        <v>31957</v>
      </c>
      <c r="F10733" t="s">
        <v>7672</v>
      </c>
      <c r="G10733" t="s">
        <v>31958</v>
      </c>
      <c r="H10733" t="s">
        <v>16993</v>
      </c>
      <c r="I10733" t="s">
        <v>29362</v>
      </c>
      <c r="J10733" t="s">
        <v>9423</v>
      </c>
    </row>
    <row r="10734" spans="1:10" x14ac:dyDescent="0.25">
      <c r="A10734" t="s">
        <v>31962</v>
      </c>
      <c r="B10734">
        <v>5.6000000000000014</v>
      </c>
      <c r="C10734" t="s">
        <v>31963</v>
      </c>
      <c r="D10734" t="s">
        <v>301</v>
      </c>
      <c r="E10734" t="s">
        <v>31957</v>
      </c>
      <c r="F10734" t="s">
        <v>7672</v>
      </c>
      <c r="G10734" t="s">
        <v>31958</v>
      </c>
      <c r="H10734" t="s">
        <v>16993</v>
      </c>
      <c r="I10734" t="s">
        <v>29362</v>
      </c>
      <c r="J10734" t="s">
        <v>9426</v>
      </c>
    </row>
    <row r="10735" spans="1:10" x14ac:dyDescent="0.25">
      <c r="A10735" t="s">
        <v>31964</v>
      </c>
      <c r="B10735">
        <v>5.6000000000000014</v>
      </c>
      <c r="C10735" t="s">
        <v>31965</v>
      </c>
      <c r="D10735" t="s">
        <v>1143</v>
      </c>
      <c r="E10735" t="s">
        <v>31957</v>
      </c>
      <c r="F10735" t="s">
        <v>7672</v>
      </c>
      <c r="G10735" t="s">
        <v>31958</v>
      </c>
      <c r="H10735" t="s">
        <v>16993</v>
      </c>
      <c r="I10735" t="s">
        <v>29362</v>
      </c>
      <c r="J10735" t="s">
        <v>13084</v>
      </c>
    </row>
    <row r="10736" spans="1:10" x14ac:dyDescent="0.25">
      <c r="A10736" t="s">
        <v>31966</v>
      </c>
      <c r="B10736">
        <v>2.3919999999999999</v>
      </c>
      <c r="C10736" t="s">
        <v>31967</v>
      </c>
      <c r="D10736" t="s">
        <v>8759</v>
      </c>
      <c r="E10736" t="s">
        <v>31968</v>
      </c>
      <c r="F10736" t="s">
        <v>7672</v>
      </c>
      <c r="G10736" t="s">
        <v>31969</v>
      </c>
      <c r="H10736" t="s">
        <v>31970</v>
      </c>
      <c r="I10736" t="s">
        <v>497</v>
      </c>
      <c r="J10736" t="s">
        <v>9694</v>
      </c>
    </row>
    <row r="10737" spans="1:10" x14ac:dyDescent="0.25">
      <c r="A10737" t="s">
        <v>31971</v>
      </c>
      <c r="B10737">
        <v>4.4800000000000004</v>
      </c>
      <c r="C10737" t="s">
        <v>31972</v>
      </c>
      <c r="D10737" t="s">
        <v>100</v>
      </c>
      <c r="E10737" t="s">
        <v>31973</v>
      </c>
      <c r="F10737" t="s">
        <v>7672</v>
      </c>
      <c r="G10737" t="s">
        <v>31974</v>
      </c>
      <c r="H10737" t="s">
        <v>8515</v>
      </c>
      <c r="I10737" t="s">
        <v>15261</v>
      </c>
      <c r="J10737" t="s">
        <v>8531</v>
      </c>
    </row>
    <row r="10738" spans="1:10" x14ac:dyDescent="0.25">
      <c r="A10738" t="s">
        <v>31975</v>
      </c>
      <c r="B10738">
        <v>4.4800000000000004</v>
      </c>
      <c r="C10738" t="s">
        <v>31976</v>
      </c>
      <c r="D10738" t="s">
        <v>60</v>
      </c>
      <c r="E10738" t="s">
        <v>31973</v>
      </c>
      <c r="F10738" t="s">
        <v>7672</v>
      </c>
      <c r="G10738" t="s">
        <v>31974</v>
      </c>
      <c r="H10738" t="s">
        <v>8515</v>
      </c>
      <c r="I10738" t="s">
        <v>15261</v>
      </c>
      <c r="J10738" t="s">
        <v>255</v>
      </c>
    </row>
    <row r="10739" spans="1:10" x14ac:dyDescent="0.25">
      <c r="A10739" t="s">
        <v>31977</v>
      </c>
      <c r="B10739">
        <v>4.4800000000000004</v>
      </c>
      <c r="C10739" t="s">
        <v>31978</v>
      </c>
      <c r="D10739" t="s">
        <v>576</v>
      </c>
      <c r="E10739" t="s">
        <v>31973</v>
      </c>
      <c r="F10739" t="s">
        <v>7672</v>
      </c>
      <c r="G10739" t="s">
        <v>31974</v>
      </c>
      <c r="H10739" t="s">
        <v>8515</v>
      </c>
      <c r="I10739" t="s">
        <v>9245</v>
      </c>
      <c r="J10739" t="s">
        <v>277</v>
      </c>
    </row>
    <row r="10740" spans="1:10" x14ac:dyDescent="0.25">
      <c r="A10740" t="s">
        <v>31979</v>
      </c>
      <c r="B10740">
        <v>4.4800000000000004</v>
      </c>
      <c r="C10740" t="s">
        <v>31980</v>
      </c>
      <c r="D10740" t="s">
        <v>131</v>
      </c>
      <c r="E10740" t="s">
        <v>31973</v>
      </c>
      <c r="F10740" t="s">
        <v>7672</v>
      </c>
      <c r="G10740" t="s">
        <v>31974</v>
      </c>
      <c r="H10740" t="s">
        <v>8515</v>
      </c>
      <c r="I10740" t="s">
        <v>15261</v>
      </c>
      <c r="J10740" t="s">
        <v>277</v>
      </c>
    </row>
    <row r="10741" spans="1:10" x14ac:dyDescent="0.25">
      <c r="A10741" t="s">
        <v>31981</v>
      </c>
      <c r="B10741">
        <v>1.5920000000000001</v>
      </c>
      <c r="C10741" t="s">
        <v>31982</v>
      </c>
      <c r="D10741" t="s">
        <v>4127</v>
      </c>
      <c r="E10741" t="s">
        <v>31983</v>
      </c>
      <c r="F10741" t="s">
        <v>7672</v>
      </c>
      <c r="G10741" t="s">
        <v>31984</v>
      </c>
      <c r="H10741" t="s">
        <v>31985</v>
      </c>
      <c r="I10741" t="s">
        <v>497</v>
      </c>
      <c r="J10741" t="s">
        <v>22923</v>
      </c>
    </row>
    <row r="10742" spans="1:10" x14ac:dyDescent="0.25">
      <c r="A10742" t="s">
        <v>31986</v>
      </c>
      <c r="B10742">
        <v>1.5920000000000001</v>
      </c>
      <c r="C10742" t="s">
        <v>31987</v>
      </c>
      <c r="D10742" t="s">
        <v>1874</v>
      </c>
      <c r="E10742" t="s">
        <v>31983</v>
      </c>
      <c r="F10742" t="s">
        <v>7672</v>
      </c>
      <c r="G10742" t="s">
        <v>31984</v>
      </c>
      <c r="H10742" t="s">
        <v>31985</v>
      </c>
      <c r="I10742" t="s">
        <v>497</v>
      </c>
      <c r="J10742" t="s">
        <v>25720</v>
      </c>
    </row>
    <row r="10743" spans="1:10" x14ac:dyDescent="0.25">
      <c r="A10743" t="s">
        <v>1057</v>
      </c>
      <c r="B10743">
        <v>13.2</v>
      </c>
      <c r="C10743" t="s">
        <v>1059</v>
      </c>
      <c r="D10743" t="s">
        <v>277</v>
      </c>
      <c r="E10743" t="s">
        <v>1060</v>
      </c>
      <c r="F10743" t="s">
        <v>7672</v>
      </c>
      <c r="G10743" t="s">
        <v>30569</v>
      </c>
      <c r="H10743" t="s">
        <v>9232</v>
      </c>
      <c r="I10743" t="s">
        <v>25926</v>
      </c>
      <c r="J10743" t="s">
        <v>11497</v>
      </c>
    </row>
    <row r="10744" spans="1:10" x14ac:dyDescent="0.25">
      <c r="A10744" t="s">
        <v>1063</v>
      </c>
      <c r="B10744">
        <v>13.2</v>
      </c>
      <c r="C10744" t="s">
        <v>1065</v>
      </c>
      <c r="D10744" t="s">
        <v>330</v>
      </c>
      <c r="E10744" t="s">
        <v>1060</v>
      </c>
      <c r="F10744" t="s">
        <v>7672</v>
      </c>
      <c r="G10744" t="s">
        <v>30569</v>
      </c>
      <c r="H10744" t="s">
        <v>9232</v>
      </c>
      <c r="I10744" t="s">
        <v>31988</v>
      </c>
      <c r="J10744" t="s">
        <v>11497</v>
      </c>
    </row>
    <row r="10745" spans="1:10" x14ac:dyDescent="0.25">
      <c r="A10745" t="s">
        <v>1068</v>
      </c>
      <c r="B10745">
        <v>13.2</v>
      </c>
      <c r="C10745" t="s">
        <v>1070</v>
      </c>
      <c r="D10745" t="s">
        <v>131</v>
      </c>
      <c r="E10745" t="s">
        <v>1060</v>
      </c>
      <c r="F10745" t="s">
        <v>7672</v>
      </c>
      <c r="G10745" t="s">
        <v>30569</v>
      </c>
      <c r="H10745" t="s">
        <v>9232</v>
      </c>
      <c r="I10745" t="s">
        <v>25926</v>
      </c>
      <c r="J10745" t="s">
        <v>11498</v>
      </c>
    </row>
    <row r="10746" spans="1:10" x14ac:dyDescent="0.25">
      <c r="A10746" t="s">
        <v>1072</v>
      </c>
      <c r="B10746">
        <v>13.2</v>
      </c>
      <c r="C10746" t="s">
        <v>1074</v>
      </c>
      <c r="D10746" t="s">
        <v>282</v>
      </c>
      <c r="E10746" t="s">
        <v>1060</v>
      </c>
      <c r="F10746" t="s">
        <v>7672</v>
      </c>
      <c r="G10746" t="s">
        <v>30569</v>
      </c>
      <c r="H10746" t="s">
        <v>9232</v>
      </c>
      <c r="I10746" t="s">
        <v>31988</v>
      </c>
      <c r="J10746" t="s">
        <v>11498</v>
      </c>
    </row>
    <row r="10747" spans="1:10" x14ac:dyDescent="0.25">
      <c r="A10747" t="s">
        <v>1076</v>
      </c>
      <c r="B10747">
        <v>13.2</v>
      </c>
      <c r="C10747" t="s">
        <v>1078</v>
      </c>
      <c r="D10747" t="s">
        <v>60</v>
      </c>
      <c r="E10747" t="s">
        <v>1060</v>
      </c>
      <c r="F10747" t="s">
        <v>7672</v>
      </c>
      <c r="G10747" t="s">
        <v>30569</v>
      </c>
      <c r="H10747" t="s">
        <v>9232</v>
      </c>
      <c r="I10747" t="s">
        <v>31988</v>
      </c>
      <c r="J10747" t="s">
        <v>11499</v>
      </c>
    </row>
    <row r="10748" spans="1:10" x14ac:dyDescent="0.25">
      <c r="A10748" t="s">
        <v>31989</v>
      </c>
      <c r="B10748">
        <v>9.5920000000000005</v>
      </c>
      <c r="C10748" t="s">
        <v>31990</v>
      </c>
      <c r="D10748" t="s">
        <v>60</v>
      </c>
      <c r="E10748" t="s">
        <v>31991</v>
      </c>
      <c r="F10748" t="s">
        <v>7672</v>
      </c>
      <c r="G10748" t="s">
        <v>31992</v>
      </c>
      <c r="H10748" t="s">
        <v>7674</v>
      </c>
      <c r="I10748" t="s">
        <v>9586</v>
      </c>
      <c r="J10748" t="s">
        <v>27027</v>
      </c>
    </row>
    <row r="10749" spans="1:10" x14ac:dyDescent="0.25">
      <c r="A10749" t="s">
        <v>31993</v>
      </c>
      <c r="B10749">
        <v>4.32</v>
      </c>
      <c r="C10749" t="s">
        <v>31994</v>
      </c>
      <c r="D10749" t="s">
        <v>4270</v>
      </c>
      <c r="E10749" t="s">
        <v>31995</v>
      </c>
      <c r="F10749" t="s">
        <v>7672</v>
      </c>
      <c r="G10749" t="s">
        <v>31996</v>
      </c>
      <c r="H10749" t="s">
        <v>16993</v>
      </c>
      <c r="I10749" t="s">
        <v>31997</v>
      </c>
      <c r="J10749" t="s">
        <v>11585</v>
      </c>
    </row>
    <row r="10750" spans="1:10" x14ac:dyDescent="0.25">
      <c r="A10750" t="s">
        <v>31998</v>
      </c>
      <c r="B10750">
        <v>4.32</v>
      </c>
      <c r="C10750" t="s">
        <v>31999</v>
      </c>
      <c r="D10750" t="s">
        <v>240</v>
      </c>
      <c r="E10750" t="s">
        <v>32000</v>
      </c>
      <c r="F10750" t="s">
        <v>7672</v>
      </c>
      <c r="G10750" t="s">
        <v>32001</v>
      </c>
      <c r="H10750" t="s">
        <v>16993</v>
      </c>
      <c r="I10750" t="s">
        <v>32002</v>
      </c>
      <c r="J10750" t="s">
        <v>131</v>
      </c>
    </row>
    <row r="10751" spans="1:10" x14ac:dyDescent="0.25">
      <c r="A10751" t="s">
        <v>32003</v>
      </c>
      <c r="B10751">
        <v>4.32</v>
      </c>
      <c r="C10751" t="s">
        <v>32004</v>
      </c>
      <c r="D10751" t="s">
        <v>2620</v>
      </c>
      <c r="E10751" t="s">
        <v>32000</v>
      </c>
      <c r="F10751" t="s">
        <v>7672</v>
      </c>
      <c r="G10751" t="s">
        <v>32001</v>
      </c>
      <c r="H10751" t="s">
        <v>16993</v>
      </c>
      <c r="I10751" t="s">
        <v>32002</v>
      </c>
      <c r="J10751" t="s">
        <v>269</v>
      </c>
    </row>
    <row r="10752" spans="1:10" x14ac:dyDescent="0.25">
      <c r="A10752" t="s">
        <v>32005</v>
      </c>
      <c r="B10752">
        <v>4.32</v>
      </c>
      <c r="C10752" t="s">
        <v>32006</v>
      </c>
      <c r="D10752" t="s">
        <v>865</v>
      </c>
      <c r="E10752" t="s">
        <v>32000</v>
      </c>
      <c r="F10752" t="s">
        <v>7672</v>
      </c>
      <c r="G10752" t="s">
        <v>32001</v>
      </c>
      <c r="H10752" t="s">
        <v>16993</v>
      </c>
      <c r="I10752" t="s">
        <v>32002</v>
      </c>
      <c r="J10752" t="s">
        <v>255</v>
      </c>
    </row>
    <row r="10753" spans="1:10" x14ac:dyDescent="0.25">
      <c r="A10753" t="s">
        <v>32007</v>
      </c>
      <c r="B10753">
        <v>4.32</v>
      </c>
      <c r="C10753" t="s">
        <v>32008</v>
      </c>
      <c r="D10753" t="s">
        <v>3110</v>
      </c>
      <c r="E10753" t="s">
        <v>32000</v>
      </c>
      <c r="F10753" t="s">
        <v>7672</v>
      </c>
      <c r="G10753" t="s">
        <v>32001</v>
      </c>
      <c r="H10753" t="s">
        <v>16993</v>
      </c>
      <c r="I10753" t="s">
        <v>32002</v>
      </c>
      <c r="J10753" t="s">
        <v>277</v>
      </c>
    </row>
    <row r="10754" spans="1:10" x14ac:dyDescent="0.25">
      <c r="A10754" t="s">
        <v>1080</v>
      </c>
      <c r="B10754">
        <v>13.2</v>
      </c>
      <c r="C10754" t="s">
        <v>1082</v>
      </c>
      <c r="D10754" t="s">
        <v>282</v>
      </c>
      <c r="E10754" t="s">
        <v>1083</v>
      </c>
      <c r="F10754" t="s">
        <v>7672</v>
      </c>
      <c r="G10754" t="s">
        <v>32009</v>
      </c>
      <c r="H10754" t="s">
        <v>12519</v>
      </c>
      <c r="I10754" t="s">
        <v>278</v>
      </c>
      <c r="J10754" t="s">
        <v>7981</v>
      </c>
    </row>
    <row r="10755" spans="1:10" x14ac:dyDescent="0.25">
      <c r="A10755" t="s">
        <v>1086</v>
      </c>
      <c r="B10755">
        <v>19.687999999999999</v>
      </c>
      <c r="C10755" t="s">
        <v>1088</v>
      </c>
      <c r="D10755" t="s">
        <v>436</v>
      </c>
      <c r="E10755" t="s">
        <v>1089</v>
      </c>
      <c r="F10755" t="s">
        <v>7672</v>
      </c>
      <c r="G10755" t="s">
        <v>32010</v>
      </c>
      <c r="H10755" t="s">
        <v>12423</v>
      </c>
      <c r="I10755" t="s">
        <v>1092</v>
      </c>
      <c r="J10755" t="s">
        <v>10283</v>
      </c>
    </row>
    <row r="10756" spans="1:10" x14ac:dyDescent="0.25">
      <c r="A10756" t="s">
        <v>1093</v>
      </c>
      <c r="B10756">
        <v>19.687999999999999</v>
      </c>
      <c r="C10756" t="s">
        <v>1095</v>
      </c>
      <c r="D10756" t="s">
        <v>1097</v>
      </c>
      <c r="E10756" t="s">
        <v>1089</v>
      </c>
      <c r="F10756" t="s">
        <v>7672</v>
      </c>
      <c r="G10756" t="s">
        <v>32010</v>
      </c>
      <c r="H10756" t="s">
        <v>12423</v>
      </c>
      <c r="I10756" t="s">
        <v>1092</v>
      </c>
      <c r="J10756" t="s">
        <v>16679</v>
      </c>
    </row>
    <row r="10757" spans="1:10" x14ac:dyDescent="0.25">
      <c r="A10757" t="s">
        <v>32011</v>
      </c>
      <c r="B10757">
        <v>2.88</v>
      </c>
      <c r="C10757" t="s">
        <v>32012</v>
      </c>
      <c r="D10757" t="s">
        <v>849</v>
      </c>
      <c r="E10757" t="s">
        <v>32013</v>
      </c>
      <c r="F10757" t="s">
        <v>7672</v>
      </c>
      <c r="G10757" t="s">
        <v>32014</v>
      </c>
      <c r="H10757" t="s">
        <v>7674</v>
      </c>
      <c r="I10757" t="s">
        <v>26279</v>
      </c>
      <c r="J10757" t="s">
        <v>9694</v>
      </c>
    </row>
    <row r="10758" spans="1:10" x14ac:dyDescent="0.25">
      <c r="A10758" t="s">
        <v>1098</v>
      </c>
      <c r="B10758">
        <v>6.3920000000000003</v>
      </c>
      <c r="C10758" t="s">
        <v>1100</v>
      </c>
      <c r="D10758" t="s">
        <v>875</v>
      </c>
      <c r="E10758" t="s">
        <v>1101</v>
      </c>
      <c r="F10758" t="s">
        <v>7672</v>
      </c>
      <c r="G10758" t="s">
        <v>32015</v>
      </c>
      <c r="H10758" t="s">
        <v>22419</v>
      </c>
      <c r="I10758" t="s">
        <v>22420</v>
      </c>
      <c r="J10758" t="s">
        <v>9694</v>
      </c>
    </row>
    <row r="10759" spans="1:10" x14ac:dyDescent="0.25">
      <c r="A10759" t="s">
        <v>32016</v>
      </c>
      <c r="B10759">
        <v>10.8</v>
      </c>
      <c r="C10759" t="s">
        <v>32017</v>
      </c>
      <c r="D10759" t="s">
        <v>2138</v>
      </c>
      <c r="E10759" t="s">
        <v>32018</v>
      </c>
      <c r="F10759" t="s">
        <v>7672</v>
      </c>
      <c r="G10759" t="s">
        <v>32019</v>
      </c>
      <c r="H10759" t="s">
        <v>13951</v>
      </c>
      <c r="I10759" t="s">
        <v>32020</v>
      </c>
      <c r="J10759" t="s">
        <v>7675</v>
      </c>
    </row>
    <row r="10760" spans="1:10" x14ac:dyDescent="0.25">
      <c r="A10760" t="s">
        <v>32021</v>
      </c>
      <c r="B10760">
        <v>10.8</v>
      </c>
      <c r="C10760" t="s">
        <v>32022</v>
      </c>
      <c r="D10760" t="s">
        <v>2850</v>
      </c>
      <c r="E10760" t="s">
        <v>32018</v>
      </c>
      <c r="F10760" t="s">
        <v>7672</v>
      </c>
      <c r="G10760" t="s">
        <v>32019</v>
      </c>
      <c r="H10760" t="s">
        <v>13951</v>
      </c>
      <c r="I10760" t="s">
        <v>32020</v>
      </c>
      <c r="J10760" t="s">
        <v>7686</v>
      </c>
    </row>
    <row r="10761" spans="1:10" x14ac:dyDescent="0.25">
      <c r="A10761" t="s">
        <v>32023</v>
      </c>
      <c r="B10761">
        <v>10.8</v>
      </c>
      <c r="C10761" t="s">
        <v>32024</v>
      </c>
      <c r="D10761" t="s">
        <v>8730</v>
      </c>
      <c r="E10761" t="s">
        <v>32018</v>
      </c>
      <c r="F10761" t="s">
        <v>7672</v>
      </c>
      <c r="G10761" t="s">
        <v>32019</v>
      </c>
      <c r="H10761" t="s">
        <v>13951</v>
      </c>
      <c r="I10761" t="s">
        <v>32020</v>
      </c>
      <c r="J10761" t="s">
        <v>7703</v>
      </c>
    </row>
    <row r="10762" spans="1:10" x14ac:dyDescent="0.25">
      <c r="A10762" t="s">
        <v>32025</v>
      </c>
      <c r="B10762">
        <v>10.8</v>
      </c>
      <c r="C10762" t="s">
        <v>32026</v>
      </c>
      <c r="D10762" t="s">
        <v>12338</v>
      </c>
      <c r="E10762" t="s">
        <v>32018</v>
      </c>
      <c r="F10762" t="s">
        <v>7672</v>
      </c>
      <c r="G10762" t="s">
        <v>32019</v>
      </c>
      <c r="H10762" t="s">
        <v>13951</v>
      </c>
      <c r="I10762" t="s">
        <v>32020</v>
      </c>
      <c r="J10762" t="s">
        <v>7713</v>
      </c>
    </row>
    <row r="10763" spans="1:10" x14ac:dyDescent="0.25">
      <c r="A10763" t="s">
        <v>32027</v>
      </c>
      <c r="B10763">
        <v>10.8</v>
      </c>
      <c r="C10763" t="s">
        <v>32028</v>
      </c>
      <c r="D10763" t="s">
        <v>2078</v>
      </c>
      <c r="E10763" t="s">
        <v>32018</v>
      </c>
      <c r="F10763" t="s">
        <v>7672</v>
      </c>
      <c r="G10763" t="s">
        <v>32019</v>
      </c>
      <c r="H10763" t="s">
        <v>13951</v>
      </c>
      <c r="I10763" t="s">
        <v>32020</v>
      </c>
      <c r="J10763" t="s">
        <v>7719</v>
      </c>
    </row>
    <row r="10764" spans="1:10" x14ac:dyDescent="0.25">
      <c r="A10764" t="s">
        <v>32029</v>
      </c>
      <c r="B10764">
        <v>17.992000000000001</v>
      </c>
      <c r="C10764" t="s">
        <v>32030</v>
      </c>
      <c r="D10764" t="s">
        <v>613</v>
      </c>
      <c r="E10764" t="s">
        <v>1106</v>
      </c>
      <c r="F10764" t="s">
        <v>7672</v>
      </c>
      <c r="G10764" t="s">
        <v>32031</v>
      </c>
      <c r="H10764" t="s">
        <v>12137</v>
      </c>
      <c r="I10764" t="s">
        <v>76</v>
      </c>
      <c r="J10764" t="s">
        <v>11337</v>
      </c>
    </row>
    <row r="10765" spans="1:10" x14ac:dyDescent="0.25">
      <c r="A10765" t="s">
        <v>32032</v>
      </c>
      <c r="B10765">
        <v>17.992000000000001</v>
      </c>
      <c r="C10765" t="s">
        <v>32033</v>
      </c>
      <c r="D10765" t="s">
        <v>3184</v>
      </c>
      <c r="E10765" t="s">
        <v>1106</v>
      </c>
      <c r="F10765" t="s">
        <v>7672</v>
      </c>
      <c r="G10765" t="s">
        <v>32031</v>
      </c>
      <c r="H10765" t="s">
        <v>12137</v>
      </c>
      <c r="I10765" t="s">
        <v>76</v>
      </c>
      <c r="J10765" t="s">
        <v>11339</v>
      </c>
    </row>
    <row r="10766" spans="1:10" x14ac:dyDescent="0.25">
      <c r="A10766" t="s">
        <v>1103</v>
      </c>
      <c r="B10766">
        <v>17.992000000000001</v>
      </c>
      <c r="C10766" t="s">
        <v>1105</v>
      </c>
      <c r="D10766" t="s">
        <v>282</v>
      </c>
      <c r="E10766" t="s">
        <v>1106</v>
      </c>
      <c r="F10766" t="s">
        <v>7672</v>
      </c>
      <c r="G10766" t="s">
        <v>32031</v>
      </c>
      <c r="H10766" t="s">
        <v>12137</v>
      </c>
      <c r="I10766" t="s">
        <v>76</v>
      </c>
      <c r="J10766" t="s">
        <v>17765</v>
      </c>
    </row>
    <row r="10767" spans="1:10" x14ac:dyDescent="0.25">
      <c r="A10767" t="s">
        <v>32034</v>
      </c>
      <c r="B10767">
        <v>5.2</v>
      </c>
      <c r="C10767" t="s">
        <v>32035</v>
      </c>
      <c r="D10767" t="s">
        <v>7934</v>
      </c>
      <c r="E10767" t="s">
        <v>32036</v>
      </c>
      <c r="F10767" t="s">
        <v>7672</v>
      </c>
      <c r="G10767" t="s">
        <v>32037</v>
      </c>
      <c r="H10767" t="s">
        <v>8515</v>
      </c>
      <c r="I10767" t="s">
        <v>410</v>
      </c>
      <c r="J10767" t="s">
        <v>100</v>
      </c>
    </row>
    <row r="10768" spans="1:10" x14ac:dyDescent="0.25">
      <c r="A10768" t="s">
        <v>32038</v>
      </c>
      <c r="B10768">
        <v>12</v>
      </c>
      <c r="C10768" t="s">
        <v>32039</v>
      </c>
      <c r="D10768" t="s">
        <v>131</v>
      </c>
      <c r="E10768" t="s">
        <v>32040</v>
      </c>
      <c r="F10768" t="s">
        <v>7672</v>
      </c>
      <c r="G10768" t="s">
        <v>32041</v>
      </c>
      <c r="H10768" t="s">
        <v>24085</v>
      </c>
      <c r="I10768" t="s">
        <v>76</v>
      </c>
      <c r="J10768" t="s">
        <v>7984</v>
      </c>
    </row>
    <row r="10769" spans="1:10" x14ac:dyDescent="0.25">
      <c r="A10769" t="s">
        <v>32042</v>
      </c>
      <c r="B10769">
        <v>12</v>
      </c>
      <c r="C10769" t="s">
        <v>32043</v>
      </c>
      <c r="D10769" t="s">
        <v>164</v>
      </c>
      <c r="E10769" t="s">
        <v>32040</v>
      </c>
      <c r="F10769" t="s">
        <v>7672</v>
      </c>
      <c r="G10769" t="s">
        <v>32041</v>
      </c>
      <c r="H10769" t="s">
        <v>24085</v>
      </c>
      <c r="I10769" t="s">
        <v>76</v>
      </c>
      <c r="J10769" t="s">
        <v>15482</v>
      </c>
    </row>
    <row r="10770" spans="1:10" x14ac:dyDescent="0.25">
      <c r="A10770" t="s">
        <v>32044</v>
      </c>
      <c r="B10770">
        <v>12</v>
      </c>
      <c r="C10770" t="s">
        <v>32045</v>
      </c>
      <c r="D10770" t="s">
        <v>742</v>
      </c>
      <c r="E10770" t="s">
        <v>32040</v>
      </c>
      <c r="F10770" t="s">
        <v>7672</v>
      </c>
      <c r="G10770" t="s">
        <v>32041</v>
      </c>
      <c r="H10770" t="s">
        <v>24085</v>
      </c>
      <c r="I10770" t="s">
        <v>935</v>
      </c>
      <c r="J10770" t="s">
        <v>15482</v>
      </c>
    </row>
    <row r="10771" spans="1:10" x14ac:dyDescent="0.25">
      <c r="A10771" t="s">
        <v>32046</v>
      </c>
      <c r="B10771">
        <v>5.2</v>
      </c>
      <c r="C10771" t="s">
        <v>32047</v>
      </c>
      <c r="D10771" t="s">
        <v>588</v>
      </c>
      <c r="E10771" t="s">
        <v>32048</v>
      </c>
      <c r="F10771" t="s">
        <v>7672</v>
      </c>
      <c r="G10771" t="s">
        <v>32049</v>
      </c>
      <c r="H10771" t="s">
        <v>13951</v>
      </c>
      <c r="I10771" t="s">
        <v>497</v>
      </c>
      <c r="J10771" t="s">
        <v>8780</v>
      </c>
    </row>
    <row r="10772" spans="1:10" x14ac:dyDescent="0.25">
      <c r="A10772" t="s">
        <v>32050</v>
      </c>
      <c r="B10772">
        <v>156</v>
      </c>
      <c r="C10772" t="s">
        <v>32051</v>
      </c>
      <c r="D10772" t="s">
        <v>781</v>
      </c>
      <c r="E10772" t="s">
        <v>32052</v>
      </c>
      <c r="F10772" t="s">
        <v>7672</v>
      </c>
      <c r="G10772" t="s">
        <v>32053</v>
      </c>
      <c r="H10772" t="s">
        <v>9693</v>
      </c>
      <c r="I10772" t="s">
        <v>17521</v>
      </c>
      <c r="J10772" t="s">
        <v>9694</v>
      </c>
    </row>
    <row r="10773" spans="1:10" x14ac:dyDescent="0.25">
      <c r="A10773" t="s">
        <v>1108</v>
      </c>
      <c r="B10773">
        <v>4.7920000000000007</v>
      </c>
      <c r="C10773" t="s">
        <v>1110</v>
      </c>
      <c r="D10773" t="s">
        <v>1113</v>
      </c>
      <c r="E10773" t="s">
        <v>1111</v>
      </c>
      <c r="F10773" t="s">
        <v>7672</v>
      </c>
      <c r="G10773" t="s">
        <v>32054</v>
      </c>
      <c r="H10773" t="s">
        <v>28972</v>
      </c>
      <c r="I10773" t="s">
        <v>76</v>
      </c>
      <c r="J10773" t="s">
        <v>9694</v>
      </c>
    </row>
    <row r="10774" spans="1:10" x14ac:dyDescent="0.25">
      <c r="A10774" t="s">
        <v>32055</v>
      </c>
      <c r="B10774">
        <v>10</v>
      </c>
      <c r="C10774" t="s">
        <v>32056</v>
      </c>
      <c r="D10774" t="s">
        <v>4327</v>
      </c>
      <c r="E10774" t="s">
        <v>32057</v>
      </c>
      <c r="F10774" t="s">
        <v>7672</v>
      </c>
      <c r="G10774" t="s">
        <v>32058</v>
      </c>
      <c r="H10774" t="s">
        <v>16792</v>
      </c>
      <c r="I10774" t="s">
        <v>3035</v>
      </c>
      <c r="J10774" t="s">
        <v>7942</v>
      </c>
    </row>
    <row r="10775" spans="1:10" x14ac:dyDescent="0.25">
      <c r="A10775" t="s">
        <v>32059</v>
      </c>
      <c r="B10775">
        <v>10</v>
      </c>
      <c r="C10775" t="s">
        <v>32060</v>
      </c>
      <c r="D10775" t="s">
        <v>926</v>
      </c>
      <c r="E10775" t="s">
        <v>32057</v>
      </c>
      <c r="F10775" t="s">
        <v>7672</v>
      </c>
      <c r="G10775" t="s">
        <v>32058</v>
      </c>
      <c r="H10775" t="s">
        <v>16792</v>
      </c>
      <c r="I10775" t="s">
        <v>14584</v>
      </c>
      <c r="J10775" t="s">
        <v>7942</v>
      </c>
    </row>
    <row r="10776" spans="1:10" x14ac:dyDescent="0.25">
      <c r="A10776" t="s">
        <v>32061</v>
      </c>
      <c r="B10776">
        <v>10</v>
      </c>
      <c r="C10776" t="s">
        <v>32062</v>
      </c>
      <c r="D10776" t="s">
        <v>321</v>
      </c>
      <c r="E10776" t="s">
        <v>32057</v>
      </c>
      <c r="F10776" t="s">
        <v>7672</v>
      </c>
      <c r="G10776" t="s">
        <v>32058</v>
      </c>
      <c r="H10776" t="s">
        <v>16792</v>
      </c>
      <c r="I10776" t="s">
        <v>1675</v>
      </c>
      <c r="J10776" t="s">
        <v>7942</v>
      </c>
    </row>
    <row r="10777" spans="1:10" x14ac:dyDescent="0.25">
      <c r="A10777" t="s">
        <v>32063</v>
      </c>
      <c r="B10777">
        <v>10</v>
      </c>
      <c r="C10777" t="s">
        <v>32064</v>
      </c>
      <c r="D10777" t="s">
        <v>366</v>
      </c>
      <c r="E10777" t="s">
        <v>32057</v>
      </c>
      <c r="F10777" t="s">
        <v>7672</v>
      </c>
      <c r="G10777" t="s">
        <v>32058</v>
      </c>
      <c r="H10777" t="s">
        <v>16792</v>
      </c>
      <c r="I10777" t="s">
        <v>32065</v>
      </c>
      <c r="J10777" t="s">
        <v>7942</v>
      </c>
    </row>
    <row r="10778" spans="1:10" x14ac:dyDescent="0.25">
      <c r="A10778" t="s">
        <v>32066</v>
      </c>
      <c r="B10778">
        <v>10</v>
      </c>
      <c r="C10778" t="s">
        <v>32067</v>
      </c>
      <c r="D10778" t="s">
        <v>2036</v>
      </c>
      <c r="E10778" t="s">
        <v>32057</v>
      </c>
      <c r="F10778" t="s">
        <v>7672</v>
      </c>
      <c r="G10778" t="s">
        <v>32058</v>
      </c>
      <c r="H10778" t="s">
        <v>16792</v>
      </c>
      <c r="I10778" t="s">
        <v>3035</v>
      </c>
      <c r="J10778" t="s">
        <v>7981</v>
      </c>
    </row>
    <row r="10779" spans="1:10" x14ac:dyDescent="0.25">
      <c r="A10779" t="s">
        <v>32068</v>
      </c>
      <c r="B10779">
        <v>8.36</v>
      </c>
      <c r="C10779" t="s">
        <v>32069</v>
      </c>
      <c r="D10779" t="s">
        <v>633</v>
      </c>
      <c r="E10779" t="s">
        <v>32070</v>
      </c>
      <c r="F10779" t="s">
        <v>7672</v>
      </c>
      <c r="G10779" t="s">
        <v>32071</v>
      </c>
      <c r="H10779" t="s">
        <v>22064</v>
      </c>
      <c r="I10779" t="s">
        <v>497</v>
      </c>
      <c r="J10779" t="s">
        <v>100</v>
      </c>
    </row>
    <row r="10780" spans="1:10" x14ac:dyDescent="0.25">
      <c r="A10780" t="s">
        <v>32072</v>
      </c>
      <c r="B10780">
        <v>8.36</v>
      </c>
      <c r="C10780" t="s">
        <v>32073</v>
      </c>
      <c r="D10780" t="s">
        <v>234</v>
      </c>
      <c r="E10780" t="s">
        <v>32070</v>
      </c>
      <c r="F10780" t="s">
        <v>7672</v>
      </c>
      <c r="G10780" t="s">
        <v>32071</v>
      </c>
      <c r="H10780" t="s">
        <v>22064</v>
      </c>
      <c r="I10780" t="s">
        <v>497</v>
      </c>
      <c r="J10780" t="s">
        <v>88</v>
      </c>
    </row>
    <row r="10781" spans="1:10" x14ac:dyDescent="0.25">
      <c r="A10781" t="s">
        <v>32074</v>
      </c>
      <c r="B10781">
        <v>3.3519999999999999</v>
      </c>
      <c r="C10781" t="s">
        <v>32075</v>
      </c>
      <c r="D10781" t="s">
        <v>95</v>
      </c>
      <c r="E10781" t="s">
        <v>32076</v>
      </c>
      <c r="F10781" t="s">
        <v>7672</v>
      </c>
      <c r="G10781" t="s">
        <v>32077</v>
      </c>
      <c r="H10781" t="s">
        <v>10298</v>
      </c>
      <c r="I10781" t="s">
        <v>32078</v>
      </c>
      <c r="J10781" t="s">
        <v>11696</v>
      </c>
    </row>
    <row r="10782" spans="1:10" x14ac:dyDescent="0.25">
      <c r="A10782" t="s">
        <v>32079</v>
      </c>
      <c r="B10782">
        <v>3.3519999999999999</v>
      </c>
      <c r="C10782" t="s">
        <v>32080</v>
      </c>
      <c r="D10782" t="s">
        <v>516</v>
      </c>
      <c r="E10782" t="s">
        <v>32076</v>
      </c>
      <c r="F10782" t="s">
        <v>7672</v>
      </c>
      <c r="G10782" t="s">
        <v>32077</v>
      </c>
      <c r="H10782" t="s">
        <v>10298</v>
      </c>
      <c r="I10782" t="s">
        <v>32078</v>
      </c>
      <c r="J10782" t="s">
        <v>11702</v>
      </c>
    </row>
    <row r="10783" spans="1:10" x14ac:dyDescent="0.25">
      <c r="A10783" t="s">
        <v>32081</v>
      </c>
      <c r="B10783">
        <v>2.88</v>
      </c>
      <c r="C10783" t="s">
        <v>32082</v>
      </c>
      <c r="D10783" t="s">
        <v>352</v>
      </c>
      <c r="E10783" t="s">
        <v>32083</v>
      </c>
      <c r="F10783" t="s">
        <v>7672</v>
      </c>
      <c r="G10783" t="s">
        <v>32084</v>
      </c>
      <c r="H10783" t="s">
        <v>8301</v>
      </c>
      <c r="I10783" t="s">
        <v>26279</v>
      </c>
      <c r="J10783" t="s">
        <v>9694</v>
      </c>
    </row>
    <row r="10784" spans="1:10" x14ac:dyDescent="0.25">
      <c r="A10784" t="s">
        <v>1115</v>
      </c>
      <c r="B10784">
        <v>18</v>
      </c>
      <c r="C10784" t="s">
        <v>1117</v>
      </c>
      <c r="D10784" t="s">
        <v>698</v>
      </c>
      <c r="E10784" t="s">
        <v>1118</v>
      </c>
      <c r="F10784" t="s">
        <v>7672</v>
      </c>
      <c r="G10784" t="s">
        <v>32085</v>
      </c>
      <c r="H10784" t="s">
        <v>8078</v>
      </c>
      <c r="I10784" t="s">
        <v>7952</v>
      </c>
      <c r="J10784" t="s">
        <v>7675</v>
      </c>
    </row>
    <row r="10785" spans="1:10" x14ac:dyDescent="0.25">
      <c r="A10785" t="s">
        <v>32086</v>
      </c>
      <c r="B10785">
        <v>6.8000000000000007</v>
      </c>
      <c r="C10785" t="s">
        <v>32087</v>
      </c>
      <c r="D10785" t="s">
        <v>118</v>
      </c>
      <c r="E10785" t="s">
        <v>32088</v>
      </c>
      <c r="F10785" t="s">
        <v>7672</v>
      </c>
      <c r="G10785" t="s">
        <v>32089</v>
      </c>
      <c r="H10785" t="s">
        <v>11496</v>
      </c>
      <c r="I10785" t="s">
        <v>410</v>
      </c>
      <c r="J10785" t="s">
        <v>9423</v>
      </c>
    </row>
    <row r="10786" spans="1:10" x14ac:dyDescent="0.25">
      <c r="A10786" t="s">
        <v>32090</v>
      </c>
      <c r="B10786">
        <v>6.8000000000000007</v>
      </c>
      <c r="C10786" t="s">
        <v>32091</v>
      </c>
      <c r="D10786" t="s">
        <v>296</v>
      </c>
      <c r="E10786" t="s">
        <v>32088</v>
      </c>
      <c r="F10786" t="s">
        <v>7672</v>
      </c>
      <c r="G10786" t="s">
        <v>32089</v>
      </c>
      <c r="H10786" t="s">
        <v>11496</v>
      </c>
      <c r="I10786" t="s">
        <v>410</v>
      </c>
      <c r="J10786" t="s">
        <v>10862</v>
      </c>
    </row>
    <row r="10787" spans="1:10" x14ac:dyDescent="0.25">
      <c r="A10787" t="s">
        <v>32092</v>
      </c>
      <c r="B10787">
        <v>6.8000000000000007</v>
      </c>
      <c r="C10787" t="s">
        <v>32093</v>
      </c>
      <c r="D10787" t="s">
        <v>1254</v>
      </c>
      <c r="E10787" t="s">
        <v>32088</v>
      </c>
      <c r="F10787" t="s">
        <v>7672</v>
      </c>
      <c r="G10787" t="s">
        <v>32089</v>
      </c>
      <c r="H10787" t="s">
        <v>11496</v>
      </c>
      <c r="I10787" t="s">
        <v>410</v>
      </c>
      <c r="J10787" t="s">
        <v>9426</v>
      </c>
    </row>
    <row r="10788" spans="1:10" x14ac:dyDescent="0.25">
      <c r="A10788" t="s">
        <v>32094</v>
      </c>
      <c r="B10788">
        <v>6.8000000000000007</v>
      </c>
      <c r="C10788" t="s">
        <v>32095</v>
      </c>
      <c r="D10788" t="s">
        <v>582</v>
      </c>
      <c r="E10788" t="s">
        <v>32088</v>
      </c>
      <c r="F10788" t="s">
        <v>7672</v>
      </c>
      <c r="G10788" t="s">
        <v>32089</v>
      </c>
      <c r="H10788" t="s">
        <v>11496</v>
      </c>
      <c r="I10788" t="s">
        <v>410</v>
      </c>
      <c r="J10788" t="s">
        <v>13084</v>
      </c>
    </row>
    <row r="10789" spans="1:10" x14ac:dyDescent="0.25">
      <c r="A10789" t="s">
        <v>32096</v>
      </c>
      <c r="B10789">
        <v>6.8000000000000007</v>
      </c>
      <c r="C10789" t="s">
        <v>32097</v>
      </c>
      <c r="D10789" t="s">
        <v>2697</v>
      </c>
      <c r="E10789" t="s">
        <v>32088</v>
      </c>
      <c r="F10789" t="s">
        <v>7672</v>
      </c>
      <c r="G10789" t="s">
        <v>32089</v>
      </c>
      <c r="H10789" t="s">
        <v>11496</v>
      </c>
      <c r="I10789" t="s">
        <v>410</v>
      </c>
      <c r="J10789" t="s">
        <v>11767</v>
      </c>
    </row>
    <row r="10790" spans="1:10" x14ac:dyDescent="0.25">
      <c r="A10790" t="s">
        <v>1121</v>
      </c>
      <c r="B10790">
        <v>5.9920000000000009</v>
      </c>
      <c r="C10790" t="s">
        <v>1123</v>
      </c>
      <c r="D10790" t="s">
        <v>330</v>
      </c>
      <c r="E10790" t="s">
        <v>1124</v>
      </c>
      <c r="F10790" t="s">
        <v>7672</v>
      </c>
      <c r="G10790" t="s">
        <v>32098</v>
      </c>
      <c r="H10790" t="s">
        <v>28972</v>
      </c>
      <c r="I10790" t="s">
        <v>28973</v>
      </c>
      <c r="J10790" t="s">
        <v>7981</v>
      </c>
    </row>
    <row r="10791" spans="1:10" x14ac:dyDescent="0.25">
      <c r="A10791" t="s">
        <v>1126</v>
      </c>
      <c r="B10791">
        <v>5.9920000000000009</v>
      </c>
      <c r="C10791" t="s">
        <v>1128</v>
      </c>
      <c r="D10791" t="s">
        <v>964</v>
      </c>
      <c r="E10791" t="s">
        <v>1124</v>
      </c>
      <c r="F10791" t="s">
        <v>7672</v>
      </c>
      <c r="G10791" t="s">
        <v>32098</v>
      </c>
      <c r="H10791" t="s">
        <v>28972</v>
      </c>
      <c r="I10791" t="s">
        <v>28973</v>
      </c>
      <c r="J10791" t="s">
        <v>7987</v>
      </c>
    </row>
    <row r="10792" spans="1:10" x14ac:dyDescent="0.25">
      <c r="A10792" t="s">
        <v>1130</v>
      </c>
      <c r="B10792">
        <v>5.9920000000000009</v>
      </c>
      <c r="C10792" t="s">
        <v>1132</v>
      </c>
      <c r="D10792" t="s">
        <v>1134</v>
      </c>
      <c r="E10792" t="s">
        <v>1124</v>
      </c>
      <c r="F10792" t="s">
        <v>7672</v>
      </c>
      <c r="G10792" t="s">
        <v>32098</v>
      </c>
      <c r="H10792" t="s">
        <v>28972</v>
      </c>
      <c r="I10792" t="s">
        <v>28974</v>
      </c>
      <c r="J10792" t="s">
        <v>7987</v>
      </c>
    </row>
    <row r="10793" spans="1:10" x14ac:dyDescent="0.25">
      <c r="A10793" t="s">
        <v>1135</v>
      </c>
      <c r="B10793">
        <v>5.9920000000000009</v>
      </c>
      <c r="C10793" t="s">
        <v>1137</v>
      </c>
      <c r="D10793" t="s">
        <v>301</v>
      </c>
      <c r="E10793" t="s">
        <v>1124</v>
      </c>
      <c r="F10793" t="s">
        <v>7672</v>
      </c>
      <c r="G10793" t="s">
        <v>32098</v>
      </c>
      <c r="H10793" t="s">
        <v>28972</v>
      </c>
      <c r="I10793" t="s">
        <v>28974</v>
      </c>
      <c r="J10793" t="s">
        <v>8001</v>
      </c>
    </row>
    <row r="10794" spans="1:10" x14ac:dyDescent="0.25">
      <c r="A10794" t="s">
        <v>1139</v>
      </c>
      <c r="B10794">
        <v>5.9920000000000009</v>
      </c>
      <c r="C10794" t="s">
        <v>1141</v>
      </c>
      <c r="D10794" t="s">
        <v>1143</v>
      </c>
      <c r="E10794" t="s">
        <v>1124</v>
      </c>
      <c r="F10794" t="s">
        <v>7672</v>
      </c>
      <c r="G10794" t="s">
        <v>32098</v>
      </c>
      <c r="H10794" t="s">
        <v>28972</v>
      </c>
      <c r="I10794" t="s">
        <v>28973</v>
      </c>
      <c r="J10794" t="s">
        <v>8001</v>
      </c>
    </row>
    <row r="10795" spans="1:10" x14ac:dyDescent="0.25">
      <c r="A10795" t="s">
        <v>1144</v>
      </c>
      <c r="B10795">
        <v>16</v>
      </c>
      <c r="C10795" t="s">
        <v>1146</v>
      </c>
      <c r="D10795" t="s">
        <v>255</v>
      </c>
      <c r="E10795" t="s">
        <v>1147</v>
      </c>
      <c r="F10795" t="s">
        <v>7672</v>
      </c>
      <c r="G10795" t="s">
        <v>32099</v>
      </c>
      <c r="H10795" t="s">
        <v>23005</v>
      </c>
      <c r="I10795" t="s">
        <v>935</v>
      </c>
      <c r="J10795" t="s">
        <v>131</v>
      </c>
    </row>
    <row r="10796" spans="1:10" x14ac:dyDescent="0.25">
      <c r="A10796" t="s">
        <v>32100</v>
      </c>
      <c r="B10796">
        <v>4</v>
      </c>
      <c r="C10796" t="s">
        <v>32101</v>
      </c>
      <c r="D10796" t="s">
        <v>582</v>
      </c>
      <c r="E10796" t="s">
        <v>32102</v>
      </c>
      <c r="F10796" t="s">
        <v>7672</v>
      </c>
      <c r="G10796" t="s">
        <v>32103</v>
      </c>
      <c r="H10796" t="s">
        <v>11496</v>
      </c>
      <c r="I10796" t="s">
        <v>32104</v>
      </c>
      <c r="J10796" t="s">
        <v>9426</v>
      </c>
    </row>
    <row r="10797" spans="1:10" x14ac:dyDescent="0.25">
      <c r="A10797" t="s">
        <v>32105</v>
      </c>
      <c r="B10797">
        <v>4</v>
      </c>
      <c r="C10797" t="s">
        <v>32106</v>
      </c>
      <c r="D10797" t="s">
        <v>396</v>
      </c>
      <c r="E10797" t="s">
        <v>32102</v>
      </c>
      <c r="F10797" t="s">
        <v>7672</v>
      </c>
      <c r="G10797" t="s">
        <v>32103</v>
      </c>
      <c r="H10797" t="s">
        <v>11496</v>
      </c>
      <c r="I10797" t="s">
        <v>32104</v>
      </c>
      <c r="J10797" t="s">
        <v>10862</v>
      </c>
    </row>
    <row r="10798" spans="1:10" x14ac:dyDescent="0.25">
      <c r="A10798" t="s">
        <v>32107</v>
      </c>
      <c r="B10798">
        <v>4</v>
      </c>
      <c r="C10798" t="s">
        <v>32108</v>
      </c>
      <c r="D10798" t="s">
        <v>450</v>
      </c>
      <c r="E10798" t="s">
        <v>32102</v>
      </c>
      <c r="F10798" t="s">
        <v>7672</v>
      </c>
      <c r="G10798" t="s">
        <v>32103</v>
      </c>
      <c r="H10798" t="s">
        <v>11496</v>
      </c>
      <c r="I10798" t="s">
        <v>32104</v>
      </c>
      <c r="J10798" t="s">
        <v>13084</v>
      </c>
    </row>
    <row r="10799" spans="1:10" x14ac:dyDescent="0.25">
      <c r="A10799" t="s">
        <v>32109</v>
      </c>
      <c r="B10799">
        <v>4</v>
      </c>
      <c r="C10799" t="s">
        <v>32110</v>
      </c>
      <c r="D10799" t="s">
        <v>626</v>
      </c>
      <c r="E10799" t="s">
        <v>32102</v>
      </c>
      <c r="F10799" t="s">
        <v>7672</v>
      </c>
      <c r="G10799" t="s">
        <v>32103</v>
      </c>
      <c r="H10799" t="s">
        <v>11496</v>
      </c>
      <c r="I10799" t="s">
        <v>32104</v>
      </c>
      <c r="J10799" t="s">
        <v>11767</v>
      </c>
    </row>
    <row r="10800" spans="1:10" x14ac:dyDescent="0.25">
      <c r="A10800" t="s">
        <v>32111</v>
      </c>
      <c r="B10800">
        <v>8</v>
      </c>
      <c r="C10800" t="s">
        <v>32112</v>
      </c>
      <c r="D10800" t="s">
        <v>3572</v>
      </c>
      <c r="E10800" t="s">
        <v>32113</v>
      </c>
      <c r="F10800" t="s">
        <v>7672</v>
      </c>
      <c r="G10800" t="s">
        <v>32114</v>
      </c>
      <c r="H10800" t="s">
        <v>13951</v>
      </c>
      <c r="I10800" t="s">
        <v>32115</v>
      </c>
      <c r="J10800" t="s">
        <v>7675</v>
      </c>
    </row>
    <row r="10801" spans="1:10" x14ac:dyDescent="0.25">
      <c r="A10801" t="s">
        <v>1151</v>
      </c>
      <c r="B10801">
        <v>13.2</v>
      </c>
      <c r="C10801" t="s">
        <v>1153</v>
      </c>
      <c r="D10801" t="s">
        <v>342</v>
      </c>
      <c r="E10801" t="s">
        <v>1154</v>
      </c>
      <c r="F10801" t="s">
        <v>7672</v>
      </c>
      <c r="G10801" t="s">
        <v>32116</v>
      </c>
      <c r="H10801" t="s">
        <v>32117</v>
      </c>
      <c r="I10801" t="s">
        <v>1156</v>
      </c>
      <c r="J10801" t="s">
        <v>32118</v>
      </c>
    </row>
    <row r="10802" spans="1:10" x14ac:dyDescent="0.25">
      <c r="A10802" t="s">
        <v>1157</v>
      </c>
      <c r="B10802">
        <v>13.2</v>
      </c>
      <c r="C10802" t="s">
        <v>1159</v>
      </c>
      <c r="D10802" t="s">
        <v>342</v>
      </c>
      <c r="E10802" t="s">
        <v>1154</v>
      </c>
      <c r="F10802" t="s">
        <v>7672</v>
      </c>
      <c r="G10802" t="s">
        <v>32116</v>
      </c>
      <c r="H10802" t="s">
        <v>32117</v>
      </c>
      <c r="I10802" t="s">
        <v>1156</v>
      </c>
      <c r="J10802" t="s">
        <v>32119</v>
      </c>
    </row>
    <row r="10803" spans="1:10" x14ac:dyDescent="0.25">
      <c r="A10803" t="s">
        <v>1161</v>
      </c>
      <c r="B10803">
        <v>13.2</v>
      </c>
      <c r="C10803" t="s">
        <v>1163</v>
      </c>
      <c r="D10803" t="s">
        <v>53</v>
      </c>
      <c r="E10803" t="s">
        <v>1154</v>
      </c>
      <c r="F10803" t="s">
        <v>7672</v>
      </c>
      <c r="G10803" t="s">
        <v>32116</v>
      </c>
      <c r="H10803" t="s">
        <v>32117</v>
      </c>
      <c r="I10803" t="s">
        <v>1156</v>
      </c>
      <c r="J10803" t="s">
        <v>32120</v>
      </c>
    </row>
    <row r="10804" spans="1:10" x14ac:dyDescent="0.25">
      <c r="A10804" t="s">
        <v>32121</v>
      </c>
      <c r="B10804">
        <v>9.1760000000000002</v>
      </c>
      <c r="C10804" t="s">
        <v>32122</v>
      </c>
      <c r="D10804" t="s">
        <v>1621</v>
      </c>
      <c r="E10804" t="s">
        <v>32123</v>
      </c>
      <c r="F10804" t="s">
        <v>7672</v>
      </c>
      <c r="G10804" t="s">
        <v>32124</v>
      </c>
      <c r="H10804" t="s">
        <v>16745</v>
      </c>
      <c r="I10804" t="s">
        <v>76</v>
      </c>
      <c r="J10804" t="s">
        <v>7942</v>
      </c>
    </row>
    <row r="10805" spans="1:10" x14ac:dyDescent="0.25">
      <c r="A10805" t="s">
        <v>32125</v>
      </c>
      <c r="B10805">
        <v>9.1760000000000002</v>
      </c>
      <c r="C10805" t="s">
        <v>32126</v>
      </c>
      <c r="D10805" t="s">
        <v>53</v>
      </c>
      <c r="E10805" t="s">
        <v>32123</v>
      </c>
      <c r="F10805" t="s">
        <v>7672</v>
      </c>
      <c r="G10805" t="s">
        <v>32124</v>
      </c>
      <c r="H10805" t="s">
        <v>16745</v>
      </c>
      <c r="I10805" t="s">
        <v>76</v>
      </c>
      <c r="J10805" t="s">
        <v>8013</v>
      </c>
    </row>
    <row r="10806" spans="1:10" x14ac:dyDescent="0.25">
      <c r="A10806" t="s">
        <v>32127</v>
      </c>
      <c r="B10806">
        <v>10.44</v>
      </c>
      <c r="C10806" t="s">
        <v>32128</v>
      </c>
      <c r="D10806" t="s">
        <v>2572</v>
      </c>
      <c r="E10806" t="s">
        <v>32129</v>
      </c>
      <c r="F10806" t="s">
        <v>7672</v>
      </c>
      <c r="G10806" t="s">
        <v>32130</v>
      </c>
      <c r="H10806" t="s">
        <v>11381</v>
      </c>
      <c r="I10806" t="s">
        <v>29311</v>
      </c>
      <c r="J10806" t="s">
        <v>9023</v>
      </c>
    </row>
    <row r="10807" spans="1:10" x14ac:dyDescent="0.25">
      <c r="A10807" t="s">
        <v>32131</v>
      </c>
      <c r="B10807">
        <v>10.44</v>
      </c>
      <c r="C10807" t="s">
        <v>32132</v>
      </c>
      <c r="D10807" t="s">
        <v>2056</v>
      </c>
      <c r="E10807" t="s">
        <v>32129</v>
      </c>
      <c r="F10807" t="s">
        <v>7672</v>
      </c>
      <c r="G10807" t="s">
        <v>32130</v>
      </c>
      <c r="H10807" t="s">
        <v>11381</v>
      </c>
      <c r="I10807" t="s">
        <v>29311</v>
      </c>
      <c r="J10807" t="s">
        <v>8883</v>
      </c>
    </row>
    <row r="10808" spans="1:10" x14ac:dyDescent="0.25">
      <c r="A10808" t="s">
        <v>32133</v>
      </c>
      <c r="B10808">
        <v>10.44</v>
      </c>
      <c r="C10808" t="s">
        <v>32134</v>
      </c>
      <c r="D10808" t="s">
        <v>11146</v>
      </c>
      <c r="E10808" t="s">
        <v>32129</v>
      </c>
      <c r="F10808" t="s">
        <v>7672</v>
      </c>
      <c r="G10808" t="s">
        <v>32130</v>
      </c>
      <c r="H10808" t="s">
        <v>11381</v>
      </c>
      <c r="I10808" t="s">
        <v>29311</v>
      </c>
      <c r="J10808" t="s">
        <v>10926</v>
      </c>
    </row>
    <row r="10809" spans="1:10" x14ac:dyDescent="0.25">
      <c r="A10809" t="s">
        <v>32135</v>
      </c>
      <c r="B10809">
        <v>10.44</v>
      </c>
      <c r="C10809" t="s">
        <v>32136</v>
      </c>
      <c r="D10809" t="s">
        <v>5145</v>
      </c>
      <c r="E10809" t="s">
        <v>32129</v>
      </c>
      <c r="F10809" t="s">
        <v>7672</v>
      </c>
      <c r="G10809" t="s">
        <v>32130</v>
      </c>
      <c r="H10809" t="s">
        <v>11381</v>
      </c>
      <c r="I10809" t="s">
        <v>29311</v>
      </c>
      <c r="J10809" t="s">
        <v>10918</v>
      </c>
    </row>
    <row r="10810" spans="1:10" x14ac:dyDescent="0.25">
      <c r="A10810" t="s">
        <v>32137</v>
      </c>
      <c r="B10810">
        <v>10.44</v>
      </c>
      <c r="C10810" t="s">
        <v>32138</v>
      </c>
      <c r="D10810" t="s">
        <v>60</v>
      </c>
      <c r="E10810" t="s">
        <v>32129</v>
      </c>
      <c r="F10810" t="s">
        <v>7672</v>
      </c>
      <c r="G10810" t="s">
        <v>32130</v>
      </c>
      <c r="H10810" t="s">
        <v>11381</v>
      </c>
      <c r="I10810" t="s">
        <v>29311</v>
      </c>
      <c r="J10810" t="s">
        <v>9061</v>
      </c>
    </row>
    <row r="10811" spans="1:10" x14ac:dyDescent="0.25">
      <c r="A10811" t="s">
        <v>32139</v>
      </c>
      <c r="B10811">
        <v>4.32</v>
      </c>
      <c r="C10811" t="s">
        <v>32140</v>
      </c>
      <c r="D10811" t="s">
        <v>849</v>
      </c>
      <c r="E10811" t="s">
        <v>32141</v>
      </c>
      <c r="F10811" t="s">
        <v>7672</v>
      </c>
      <c r="G10811" t="s">
        <v>32142</v>
      </c>
      <c r="H10811" t="s">
        <v>10298</v>
      </c>
      <c r="I10811" t="s">
        <v>11206</v>
      </c>
      <c r="J10811" t="s">
        <v>8001</v>
      </c>
    </row>
    <row r="10812" spans="1:10" x14ac:dyDescent="0.25">
      <c r="A10812" t="s">
        <v>32143</v>
      </c>
      <c r="B10812">
        <v>16.8</v>
      </c>
      <c r="C10812" t="s">
        <v>32144</v>
      </c>
      <c r="D10812" t="s">
        <v>95</v>
      </c>
      <c r="E10812" t="s">
        <v>32145</v>
      </c>
      <c r="F10812" t="s">
        <v>7672</v>
      </c>
      <c r="G10812" t="s">
        <v>32146</v>
      </c>
      <c r="H10812" t="s">
        <v>7974</v>
      </c>
      <c r="I10812" t="s">
        <v>19197</v>
      </c>
      <c r="J10812" t="s">
        <v>9107</v>
      </c>
    </row>
    <row r="10813" spans="1:10" x14ac:dyDescent="0.25">
      <c r="A10813" t="s">
        <v>32147</v>
      </c>
      <c r="B10813">
        <v>16.8</v>
      </c>
      <c r="C10813" t="s">
        <v>32148</v>
      </c>
      <c r="D10813" t="s">
        <v>88</v>
      </c>
      <c r="E10813" t="s">
        <v>32145</v>
      </c>
      <c r="F10813" t="s">
        <v>7672</v>
      </c>
      <c r="G10813" t="s">
        <v>32146</v>
      </c>
      <c r="H10813" t="s">
        <v>7974</v>
      </c>
      <c r="I10813" t="s">
        <v>19197</v>
      </c>
      <c r="J10813" t="s">
        <v>9110</v>
      </c>
    </row>
    <row r="10814" spans="1:10" x14ac:dyDescent="0.25">
      <c r="A10814" t="s">
        <v>32149</v>
      </c>
      <c r="B10814">
        <v>5.6000000000000014</v>
      </c>
      <c r="C10814" t="s">
        <v>32150</v>
      </c>
      <c r="D10814" t="s">
        <v>131</v>
      </c>
      <c r="E10814" t="s">
        <v>32151</v>
      </c>
      <c r="F10814" t="s">
        <v>7672</v>
      </c>
      <c r="G10814" t="s">
        <v>32152</v>
      </c>
      <c r="H10814" t="s">
        <v>8027</v>
      </c>
      <c r="I10814" t="s">
        <v>8158</v>
      </c>
      <c r="J10814" t="s">
        <v>17126</v>
      </c>
    </row>
    <row r="10815" spans="1:10" x14ac:dyDescent="0.25">
      <c r="A10815" t="s">
        <v>32153</v>
      </c>
      <c r="B10815">
        <v>3.6</v>
      </c>
      <c r="C10815" t="s">
        <v>32154</v>
      </c>
      <c r="D10815" t="s">
        <v>2879</v>
      </c>
      <c r="E10815" t="s">
        <v>32155</v>
      </c>
      <c r="F10815" t="s">
        <v>7672</v>
      </c>
      <c r="G10815" t="s">
        <v>32156</v>
      </c>
      <c r="H10815" t="s">
        <v>11496</v>
      </c>
      <c r="I10815" t="s">
        <v>32157</v>
      </c>
      <c r="J10815" t="s">
        <v>9426</v>
      </c>
    </row>
    <row r="10816" spans="1:10" x14ac:dyDescent="0.25">
      <c r="A10816" t="s">
        <v>32158</v>
      </c>
      <c r="B10816">
        <v>3.6</v>
      </c>
      <c r="C10816" t="s">
        <v>32159</v>
      </c>
      <c r="D10816" t="s">
        <v>301</v>
      </c>
      <c r="E10816" t="s">
        <v>32155</v>
      </c>
      <c r="F10816" t="s">
        <v>7672</v>
      </c>
      <c r="G10816" t="s">
        <v>32156</v>
      </c>
      <c r="H10816" t="s">
        <v>11496</v>
      </c>
      <c r="I10816" t="s">
        <v>32160</v>
      </c>
      <c r="J10816" t="s">
        <v>9426</v>
      </c>
    </row>
    <row r="10817" spans="1:10" x14ac:dyDescent="0.25">
      <c r="A10817" t="s">
        <v>32161</v>
      </c>
      <c r="B10817">
        <v>3.6</v>
      </c>
      <c r="C10817" t="s">
        <v>32162</v>
      </c>
      <c r="D10817" t="s">
        <v>698</v>
      </c>
      <c r="E10817" t="s">
        <v>32155</v>
      </c>
      <c r="F10817" t="s">
        <v>7672</v>
      </c>
      <c r="G10817" t="s">
        <v>32156</v>
      </c>
      <c r="H10817" t="s">
        <v>11496</v>
      </c>
      <c r="I10817" t="s">
        <v>32157</v>
      </c>
      <c r="J10817" t="s">
        <v>10862</v>
      </c>
    </row>
    <row r="10818" spans="1:10" x14ac:dyDescent="0.25">
      <c r="A10818" t="s">
        <v>32163</v>
      </c>
      <c r="B10818">
        <v>3.6</v>
      </c>
      <c r="C10818" t="s">
        <v>32164</v>
      </c>
      <c r="D10818" t="s">
        <v>2879</v>
      </c>
      <c r="E10818" t="s">
        <v>32155</v>
      </c>
      <c r="F10818" t="s">
        <v>7672</v>
      </c>
      <c r="G10818" t="s">
        <v>32156</v>
      </c>
      <c r="H10818" t="s">
        <v>11496</v>
      </c>
      <c r="I10818" t="s">
        <v>32160</v>
      </c>
      <c r="J10818" t="s">
        <v>10862</v>
      </c>
    </row>
    <row r="10819" spans="1:10" x14ac:dyDescent="0.25">
      <c r="A10819" t="s">
        <v>32165</v>
      </c>
      <c r="B10819">
        <v>3.6</v>
      </c>
      <c r="C10819" t="s">
        <v>32166</v>
      </c>
      <c r="D10819" t="s">
        <v>671</v>
      </c>
      <c r="E10819" t="s">
        <v>32155</v>
      </c>
      <c r="F10819" t="s">
        <v>7672</v>
      </c>
      <c r="G10819" t="s">
        <v>32156</v>
      </c>
      <c r="H10819" t="s">
        <v>11496</v>
      </c>
      <c r="I10819" t="s">
        <v>32157</v>
      </c>
      <c r="J10819" t="s">
        <v>13084</v>
      </c>
    </row>
    <row r="10820" spans="1:10" x14ac:dyDescent="0.25">
      <c r="A10820" t="s">
        <v>32167</v>
      </c>
      <c r="B10820">
        <v>3.6</v>
      </c>
      <c r="C10820" t="s">
        <v>32168</v>
      </c>
      <c r="D10820" t="s">
        <v>88</v>
      </c>
      <c r="E10820" t="s">
        <v>32155</v>
      </c>
      <c r="F10820" t="s">
        <v>7672</v>
      </c>
      <c r="G10820" t="s">
        <v>32156</v>
      </c>
      <c r="H10820" t="s">
        <v>11496</v>
      </c>
      <c r="I10820" t="s">
        <v>32160</v>
      </c>
      <c r="J10820" t="s">
        <v>13084</v>
      </c>
    </row>
    <row r="10821" spans="1:10" x14ac:dyDescent="0.25">
      <c r="A10821" t="s">
        <v>32169</v>
      </c>
      <c r="B10821">
        <v>3.6</v>
      </c>
      <c r="C10821" t="s">
        <v>32170</v>
      </c>
      <c r="D10821" t="s">
        <v>113</v>
      </c>
      <c r="E10821" t="s">
        <v>32155</v>
      </c>
      <c r="F10821" t="s">
        <v>7672</v>
      </c>
      <c r="G10821" t="s">
        <v>32156</v>
      </c>
      <c r="H10821" t="s">
        <v>11496</v>
      </c>
      <c r="I10821" t="s">
        <v>32157</v>
      </c>
      <c r="J10821" t="s">
        <v>11767</v>
      </c>
    </row>
    <row r="10822" spans="1:10" x14ac:dyDescent="0.25">
      <c r="A10822" t="s">
        <v>32171</v>
      </c>
      <c r="B10822">
        <v>3.6</v>
      </c>
      <c r="C10822" t="s">
        <v>32172</v>
      </c>
      <c r="D10822" t="s">
        <v>964</v>
      </c>
      <c r="E10822" t="s">
        <v>32155</v>
      </c>
      <c r="F10822" t="s">
        <v>7672</v>
      </c>
      <c r="G10822" t="s">
        <v>32156</v>
      </c>
      <c r="H10822" t="s">
        <v>11496</v>
      </c>
      <c r="I10822" t="s">
        <v>32160</v>
      </c>
      <c r="J10822" t="s">
        <v>11767</v>
      </c>
    </row>
    <row r="10823" spans="1:10" x14ac:dyDescent="0.25">
      <c r="A10823" t="s">
        <v>32173</v>
      </c>
      <c r="B10823">
        <v>20.16</v>
      </c>
      <c r="C10823" t="s">
        <v>32174</v>
      </c>
      <c r="D10823" t="s">
        <v>282</v>
      </c>
      <c r="E10823" t="s">
        <v>32175</v>
      </c>
      <c r="F10823" t="s">
        <v>7672</v>
      </c>
      <c r="G10823" t="s">
        <v>32176</v>
      </c>
      <c r="H10823" t="s">
        <v>8087</v>
      </c>
      <c r="I10823" t="s">
        <v>28836</v>
      </c>
      <c r="J10823" t="s">
        <v>7942</v>
      </c>
    </row>
    <row r="10824" spans="1:10" x14ac:dyDescent="0.25">
      <c r="A10824" t="s">
        <v>32177</v>
      </c>
      <c r="B10824">
        <v>20.16</v>
      </c>
      <c r="C10824" t="s">
        <v>32178</v>
      </c>
      <c r="D10824" t="s">
        <v>2253</v>
      </c>
      <c r="E10824" t="s">
        <v>32175</v>
      </c>
      <c r="F10824" t="s">
        <v>7672</v>
      </c>
      <c r="G10824" t="s">
        <v>32176</v>
      </c>
      <c r="H10824" t="s">
        <v>8087</v>
      </c>
      <c r="I10824" t="s">
        <v>28836</v>
      </c>
      <c r="J10824" t="s">
        <v>7981</v>
      </c>
    </row>
    <row r="10825" spans="1:10" x14ac:dyDescent="0.25">
      <c r="A10825" t="s">
        <v>32179</v>
      </c>
      <c r="B10825">
        <v>20.16</v>
      </c>
      <c r="C10825" t="s">
        <v>32180</v>
      </c>
      <c r="D10825" t="s">
        <v>582</v>
      </c>
      <c r="E10825" t="s">
        <v>32175</v>
      </c>
      <c r="F10825" t="s">
        <v>7672</v>
      </c>
      <c r="G10825" t="s">
        <v>32176</v>
      </c>
      <c r="H10825" t="s">
        <v>8087</v>
      </c>
      <c r="I10825" t="s">
        <v>28836</v>
      </c>
      <c r="J10825" t="s">
        <v>7984</v>
      </c>
    </row>
    <row r="10826" spans="1:10" x14ac:dyDescent="0.25">
      <c r="A10826" t="s">
        <v>32181</v>
      </c>
      <c r="B10826">
        <v>20.16</v>
      </c>
      <c r="C10826" t="s">
        <v>32182</v>
      </c>
      <c r="D10826" t="s">
        <v>3577</v>
      </c>
      <c r="E10826" t="s">
        <v>32175</v>
      </c>
      <c r="F10826" t="s">
        <v>7672</v>
      </c>
      <c r="G10826" t="s">
        <v>32176</v>
      </c>
      <c r="H10826" t="s">
        <v>8087</v>
      </c>
      <c r="I10826" t="s">
        <v>28836</v>
      </c>
      <c r="J10826" t="s">
        <v>7987</v>
      </c>
    </row>
    <row r="10827" spans="1:10" x14ac:dyDescent="0.25">
      <c r="A10827" t="s">
        <v>32183</v>
      </c>
      <c r="B10827">
        <v>20.16</v>
      </c>
      <c r="C10827" t="s">
        <v>32184</v>
      </c>
      <c r="D10827" t="s">
        <v>582</v>
      </c>
      <c r="E10827" t="s">
        <v>32175</v>
      </c>
      <c r="F10827" t="s">
        <v>7672</v>
      </c>
      <c r="G10827" t="s">
        <v>32176</v>
      </c>
      <c r="H10827" t="s">
        <v>8087</v>
      </c>
      <c r="I10827" t="s">
        <v>28836</v>
      </c>
      <c r="J10827" t="s">
        <v>8001</v>
      </c>
    </row>
    <row r="10828" spans="1:10" x14ac:dyDescent="0.25">
      <c r="A10828" t="s">
        <v>1165</v>
      </c>
      <c r="B10828">
        <v>10.4</v>
      </c>
      <c r="C10828" t="s">
        <v>1167</v>
      </c>
      <c r="D10828" t="s">
        <v>60</v>
      </c>
      <c r="E10828" t="s">
        <v>1168</v>
      </c>
      <c r="F10828" t="s">
        <v>7672</v>
      </c>
      <c r="G10828" t="s">
        <v>32185</v>
      </c>
      <c r="H10828" t="s">
        <v>32117</v>
      </c>
      <c r="I10828" t="s">
        <v>1170</v>
      </c>
      <c r="J10828" t="s">
        <v>32186</v>
      </c>
    </row>
    <row r="10829" spans="1:10" x14ac:dyDescent="0.25">
      <c r="A10829" t="s">
        <v>1171</v>
      </c>
      <c r="B10829">
        <v>10.4</v>
      </c>
      <c r="C10829" t="s">
        <v>1173</v>
      </c>
      <c r="D10829" t="s">
        <v>342</v>
      </c>
      <c r="E10829" t="s">
        <v>1168</v>
      </c>
      <c r="F10829" t="s">
        <v>7672</v>
      </c>
      <c r="G10829" t="s">
        <v>32185</v>
      </c>
      <c r="H10829" t="s">
        <v>32117</v>
      </c>
      <c r="I10829" t="s">
        <v>1170</v>
      </c>
      <c r="J10829" t="s">
        <v>32187</v>
      </c>
    </row>
    <row r="10830" spans="1:10" x14ac:dyDescent="0.25">
      <c r="A10830" t="s">
        <v>1175</v>
      </c>
      <c r="B10830">
        <v>10.4</v>
      </c>
      <c r="C10830" t="s">
        <v>1177</v>
      </c>
      <c r="D10830" t="s">
        <v>100</v>
      </c>
      <c r="E10830" t="s">
        <v>1168</v>
      </c>
      <c r="F10830" t="s">
        <v>7672</v>
      </c>
      <c r="G10830" t="s">
        <v>32185</v>
      </c>
      <c r="H10830" t="s">
        <v>32117</v>
      </c>
      <c r="I10830" t="s">
        <v>1170</v>
      </c>
      <c r="J10830" t="s">
        <v>32188</v>
      </c>
    </row>
    <row r="10831" spans="1:10" x14ac:dyDescent="0.25">
      <c r="A10831" t="s">
        <v>1179</v>
      </c>
      <c r="B10831">
        <v>10.4</v>
      </c>
      <c r="C10831" t="s">
        <v>1181</v>
      </c>
      <c r="D10831" t="s">
        <v>342</v>
      </c>
      <c r="E10831" t="s">
        <v>1168</v>
      </c>
      <c r="F10831" t="s">
        <v>7672</v>
      </c>
      <c r="G10831" t="s">
        <v>32185</v>
      </c>
      <c r="H10831" t="s">
        <v>32117</v>
      </c>
      <c r="I10831" t="s">
        <v>1170</v>
      </c>
      <c r="J10831" t="s">
        <v>32189</v>
      </c>
    </row>
    <row r="10832" spans="1:10" x14ac:dyDescent="0.25">
      <c r="A10832" t="s">
        <v>1183</v>
      </c>
      <c r="B10832">
        <v>10.4</v>
      </c>
      <c r="C10832" t="s">
        <v>1185</v>
      </c>
      <c r="D10832" t="s">
        <v>342</v>
      </c>
      <c r="E10832" t="s">
        <v>1168</v>
      </c>
      <c r="F10832" t="s">
        <v>7672</v>
      </c>
      <c r="G10832" t="s">
        <v>32185</v>
      </c>
      <c r="H10832" t="s">
        <v>32117</v>
      </c>
      <c r="I10832" t="s">
        <v>1170</v>
      </c>
      <c r="J10832" t="s">
        <v>32118</v>
      </c>
    </row>
    <row r="10833" spans="1:10" x14ac:dyDescent="0.25">
      <c r="A10833" t="s">
        <v>1187</v>
      </c>
      <c r="B10833">
        <v>10.4</v>
      </c>
      <c r="C10833" t="s">
        <v>1189</v>
      </c>
      <c r="D10833" t="s">
        <v>60</v>
      </c>
      <c r="E10833" t="s">
        <v>1168</v>
      </c>
      <c r="F10833" t="s">
        <v>7672</v>
      </c>
      <c r="G10833" t="s">
        <v>32185</v>
      </c>
      <c r="H10833" t="s">
        <v>32117</v>
      </c>
      <c r="I10833" t="s">
        <v>1170</v>
      </c>
      <c r="J10833" t="s">
        <v>32190</v>
      </c>
    </row>
    <row r="10834" spans="1:10" x14ac:dyDescent="0.25">
      <c r="A10834" t="s">
        <v>1192</v>
      </c>
      <c r="B10834">
        <v>10.4</v>
      </c>
      <c r="C10834" t="s">
        <v>1194</v>
      </c>
      <c r="D10834" t="s">
        <v>53</v>
      </c>
      <c r="E10834" t="s">
        <v>1168</v>
      </c>
      <c r="F10834" t="s">
        <v>7672</v>
      </c>
      <c r="G10834" t="s">
        <v>32185</v>
      </c>
      <c r="H10834" t="s">
        <v>32117</v>
      </c>
      <c r="I10834" t="s">
        <v>1170</v>
      </c>
      <c r="J10834" t="s">
        <v>32120</v>
      </c>
    </row>
    <row r="10835" spans="1:10" x14ac:dyDescent="0.25">
      <c r="A10835" t="s">
        <v>1196</v>
      </c>
      <c r="B10835">
        <v>10.4</v>
      </c>
      <c r="C10835" t="s">
        <v>1198</v>
      </c>
      <c r="D10835" t="s">
        <v>53</v>
      </c>
      <c r="E10835" t="s">
        <v>1168</v>
      </c>
      <c r="F10835" t="s">
        <v>7672</v>
      </c>
      <c r="G10835" t="s">
        <v>32185</v>
      </c>
      <c r="H10835" t="s">
        <v>32117</v>
      </c>
      <c r="I10835" t="s">
        <v>1170</v>
      </c>
      <c r="J10835" t="s">
        <v>32191</v>
      </c>
    </row>
    <row r="10836" spans="1:10" x14ac:dyDescent="0.25">
      <c r="A10836" t="s">
        <v>32192</v>
      </c>
      <c r="B10836">
        <v>8.36</v>
      </c>
      <c r="C10836" t="s">
        <v>32193</v>
      </c>
      <c r="D10836" t="s">
        <v>321</v>
      </c>
      <c r="E10836" t="s">
        <v>32194</v>
      </c>
      <c r="F10836" t="s">
        <v>7672</v>
      </c>
      <c r="G10836" t="s">
        <v>32195</v>
      </c>
      <c r="H10836" t="s">
        <v>13951</v>
      </c>
      <c r="I10836" t="s">
        <v>497</v>
      </c>
      <c r="J10836" t="s">
        <v>100</v>
      </c>
    </row>
    <row r="10837" spans="1:10" x14ac:dyDescent="0.25">
      <c r="A10837" t="s">
        <v>32196</v>
      </c>
      <c r="B10837">
        <v>4.4800000000000004</v>
      </c>
      <c r="C10837" t="s">
        <v>32197</v>
      </c>
      <c r="D10837" t="s">
        <v>255</v>
      </c>
      <c r="E10837" t="s">
        <v>32198</v>
      </c>
      <c r="F10837" t="s">
        <v>7672</v>
      </c>
      <c r="G10837" t="s">
        <v>32199</v>
      </c>
      <c r="H10837" t="s">
        <v>8301</v>
      </c>
      <c r="I10837" t="s">
        <v>32200</v>
      </c>
      <c r="J10837" t="s">
        <v>9694</v>
      </c>
    </row>
    <row r="10838" spans="1:10" x14ac:dyDescent="0.25">
      <c r="A10838" t="s">
        <v>32201</v>
      </c>
      <c r="B10838">
        <v>10</v>
      </c>
      <c r="C10838" t="s">
        <v>32202</v>
      </c>
      <c r="D10838" t="s">
        <v>199</v>
      </c>
      <c r="E10838" t="s">
        <v>32203</v>
      </c>
      <c r="F10838" t="s">
        <v>7672</v>
      </c>
      <c r="G10838" t="s">
        <v>32204</v>
      </c>
      <c r="H10838" t="s">
        <v>26410</v>
      </c>
      <c r="I10838" t="s">
        <v>32205</v>
      </c>
      <c r="J10838" t="s">
        <v>8451</v>
      </c>
    </row>
    <row r="10839" spans="1:10" x14ac:dyDescent="0.25">
      <c r="A10839" t="s">
        <v>32206</v>
      </c>
      <c r="B10839">
        <v>12</v>
      </c>
      <c r="C10839" t="s">
        <v>32207</v>
      </c>
      <c r="D10839" t="s">
        <v>450</v>
      </c>
      <c r="E10839" t="s">
        <v>32208</v>
      </c>
      <c r="F10839" t="s">
        <v>7672</v>
      </c>
      <c r="G10839" t="s">
        <v>32209</v>
      </c>
      <c r="H10839" t="s">
        <v>10321</v>
      </c>
      <c r="I10839" t="s">
        <v>19407</v>
      </c>
      <c r="J10839" t="s">
        <v>8427</v>
      </c>
    </row>
    <row r="10840" spans="1:10" x14ac:dyDescent="0.25">
      <c r="A10840" t="s">
        <v>32210</v>
      </c>
      <c r="B10840">
        <v>11.52</v>
      </c>
      <c r="C10840" t="s">
        <v>32211</v>
      </c>
      <c r="D10840" t="s">
        <v>282</v>
      </c>
      <c r="E10840" t="s">
        <v>32212</v>
      </c>
      <c r="F10840" t="s">
        <v>7672</v>
      </c>
      <c r="G10840" t="s">
        <v>32213</v>
      </c>
      <c r="H10840" t="s">
        <v>10298</v>
      </c>
      <c r="I10840" t="s">
        <v>23828</v>
      </c>
      <c r="J10840" t="s">
        <v>8427</v>
      </c>
    </row>
    <row r="10841" spans="1:10" x14ac:dyDescent="0.25">
      <c r="A10841" t="s">
        <v>32214</v>
      </c>
      <c r="B10841">
        <v>11.52</v>
      </c>
      <c r="C10841" t="s">
        <v>32215</v>
      </c>
      <c r="D10841" t="s">
        <v>277</v>
      </c>
      <c r="E10841" t="s">
        <v>32212</v>
      </c>
      <c r="F10841" t="s">
        <v>7672</v>
      </c>
      <c r="G10841" t="s">
        <v>32213</v>
      </c>
      <c r="H10841" t="s">
        <v>10298</v>
      </c>
      <c r="I10841" t="s">
        <v>23828</v>
      </c>
      <c r="J10841" t="s">
        <v>8439</v>
      </c>
    </row>
    <row r="10842" spans="1:10" x14ac:dyDescent="0.25">
      <c r="A10842" t="s">
        <v>32216</v>
      </c>
      <c r="B10842">
        <v>11.52</v>
      </c>
      <c r="C10842" t="s">
        <v>32217</v>
      </c>
      <c r="D10842" t="s">
        <v>164</v>
      </c>
      <c r="E10842" t="s">
        <v>32212</v>
      </c>
      <c r="F10842" t="s">
        <v>7672</v>
      </c>
      <c r="G10842" t="s">
        <v>32213</v>
      </c>
      <c r="H10842" t="s">
        <v>10298</v>
      </c>
      <c r="I10842" t="s">
        <v>27233</v>
      </c>
      <c r="J10842" t="s">
        <v>8451</v>
      </c>
    </row>
    <row r="10843" spans="1:10" x14ac:dyDescent="0.25">
      <c r="A10843" t="s">
        <v>32218</v>
      </c>
      <c r="B10843">
        <v>11.52</v>
      </c>
      <c r="C10843" t="s">
        <v>32219</v>
      </c>
      <c r="D10843" t="s">
        <v>282</v>
      </c>
      <c r="E10843" t="s">
        <v>32212</v>
      </c>
      <c r="F10843" t="s">
        <v>7672</v>
      </c>
      <c r="G10843" t="s">
        <v>32213</v>
      </c>
      <c r="H10843" t="s">
        <v>10298</v>
      </c>
      <c r="I10843" t="s">
        <v>23828</v>
      </c>
      <c r="J10843" t="s">
        <v>8451</v>
      </c>
    </row>
    <row r="10844" spans="1:10" x14ac:dyDescent="0.25">
      <c r="A10844" t="s">
        <v>32220</v>
      </c>
      <c r="B10844">
        <v>11.52</v>
      </c>
      <c r="C10844" t="s">
        <v>32221</v>
      </c>
      <c r="D10844" t="s">
        <v>100</v>
      </c>
      <c r="E10844" t="s">
        <v>32212</v>
      </c>
      <c r="F10844" t="s">
        <v>7672</v>
      </c>
      <c r="G10844" t="s">
        <v>32213</v>
      </c>
      <c r="H10844" t="s">
        <v>10298</v>
      </c>
      <c r="I10844" t="s">
        <v>32222</v>
      </c>
      <c r="J10844" t="s">
        <v>8451</v>
      </c>
    </row>
    <row r="10845" spans="1:10" x14ac:dyDescent="0.25">
      <c r="A10845" t="s">
        <v>32223</v>
      </c>
      <c r="B10845">
        <v>6.08</v>
      </c>
      <c r="C10845" t="s">
        <v>32224</v>
      </c>
      <c r="D10845" t="s">
        <v>991</v>
      </c>
      <c r="E10845" t="s">
        <v>32225</v>
      </c>
      <c r="F10845" t="s">
        <v>7672</v>
      </c>
      <c r="G10845" t="s">
        <v>32226</v>
      </c>
      <c r="H10845" t="s">
        <v>26649</v>
      </c>
      <c r="I10845" t="s">
        <v>32227</v>
      </c>
      <c r="J10845" t="s">
        <v>8427</v>
      </c>
    </row>
    <row r="10846" spans="1:10" x14ac:dyDescent="0.25">
      <c r="A10846" t="s">
        <v>32228</v>
      </c>
      <c r="B10846">
        <v>6.08</v>
      </c>
      <c r="C10846" t="s">
        <v>32229</v>
      </c>
      <c r="D10846" t="s">
        <v>2262</v>
      </c>
      <c r="E10846" t="s">
        <v>32225</v>
      </c>
      <c r="F10846" t="s">
        <v>7672</v>
      </c>
      <c r="G10846" t="s">
        <v>32226</v>
      </c>
      <c r="H10846" t="s">
        <v>26649</v>
      </c>
      <c r="I10846" t="s">
        <v>32227</v>
      </c>
      <c r="J10846" t="s">
        <v>8439</v>
      </c>
    </row>
    <row r="10847" spans="1:10" x14ac:dyDescent="0.25">
      <c r="A10847" t="s">
        <v>32230</v>
      </c>
      <c r="B10847">
        <v>6.08</v>
      </c>
      <c r="C10847" t="s">
        <v>32231</v>
      </c>
      <c r="D10847" t="s">
        <v>598</v>
      </c>
      <c r="E10847" t="s">
        <v>32225</v>
      </c>
      <c r="F10847" t="s">
        <v>7672</v>
      </c>
      <c r="G10847" t="s">
        <v>32226</v>
      </c>
      <c r="H10847" t="s">
        <v>26649</v>
      </c>
      <c r="I10847" t="s">
        <v>32227</v>
      </c>
      <c r="J10847" t="s">
        <v>8451</v>
      </c>
    </row>
    <row r="10848" spans="1:10" x14ac:dyDescent="0.25">
      <c r="A10848" t="s">
        <v>32232</v>
      </c>
      <c r="B10848">
        <v>6.08</v>
      </c>
      <c r="C10848" t="s">
        <v>32233</v>
      </c>
      <c r="D10848" t="s">
        <v>277</v>
      </c>
      <c r="E10848" t="s">
        <v>32225</v>
      </c>
      <c r="F10848" t="s">
        <v>7672</v>
      </c>
      <c r="G10848" t="s">
        <v>32226</v>
      </c>
      <c r="H10848" t="s">
        <v>26649</v>
      </c>
      <c r="I10848" t="s">
        <v>1490</v>
      </c>
      <c r="J10848" t="s">
        <v>8451</v>
      </c>
    </row>
    <row r="10849" spans="1:10" x14ac:dyDescent="0.25">
      <c r="A10849" t="s">
        <v>1200</v>
      </c>
      <c r="B10849">
        <v>19.8</v>
      </c>
      <c r="C10849" t="s">
        <v>1202</v>
      </c>
      <c r="D10849" t="s">
        <v>53</v>
      </c>
      <c r="E10849" t="s">
        <v>1203</v>
      </c>
      <c r="F10849" t="s">
        <v>7672</v>
      </c>
      <c r="G10849" t="s">
        <v>32234</v>
      </c>
      <c r="H10849" t="s">
        <v>9232</v>
      </c>
      <c r="I10849" t="s">
        <v>1206</v>
      </c>
      <c r="J10849" t="s">
        <v>7675</v>
      </c>
    </row>
    <row r="10850" spans="1:10" x14ac:dyDescent="0.25">
      <c r="A10850" t="s">
        <v>1207</v>
      </c>
      <c r="B10850">
        <v>19.8</v>
      </c>
      <c r="C10850" t="s">
        <v>1209</v>
      </c>
      <c r="D10850" t="s">
        <v>53</v>
      </c>
      <c r="E10850" t="s">
        <v>1203</v>
      </c>
      <c r="F10850" t="s">
        <v>7672</v>
      </c>
      <c r="G10850" t="s">
        <v>32234</v>
      </c>
      <c r="H10850" t="s">
        <v>9232</v>
      </c>
      <c r="I10850" t="s">
        <v>1211</v>
      </c>
      <c r="J10850" t="s">
        <v>7675</v>
      </c>
    </row>
    <row r="10851" spans="1:10" x14ac:dyDescent="0.25">
      <c r="A10851" t="s">
        <v>1212</v>
      </c>
      <c r="B10851">
        <v>19.8</v>
      </c>
      <c r="C10851" t="s">
        <v>1214</v>
      </c>
      <c r="D10851" t="s">
        <v>269</v>
      </c>
      <c r="E10851" t="s">
        <v>1203</v>
      </c>
      <c r="F10851" t="s">
        <v>7672</v>
      </c>
      <c r="G10851" t="s">
        <v>32234</v>
      </c>
      <c r="H10851" t="s">
        <v>9232</v>
      </c>
      <c r="I10851" t="s">
        <v>1216</v>
      </c>
      <c r="J10851" t="s">
        <v>7675</v>
      </c>
    </row>
    <row r="10852" spans="1:10" x14ac:dyDescent="0.25">
      <c r="A10852" t="s">
        <v>32235</v>
      </c>
      <c r="B10852">
        <v>11.88</v>
      </c>
      <c r="C10852" t="s">
        <v>32236</v>
      </c>
      <c r="D10852" t="s">
        <v>705</v>
      </c>
      <c r="E10852" t="s">
        <v>32237</v>
      </c>
      <c r="F10852" t="s">
        <v>7672</v>
      </c>
      <c r="G10852" t="s">
        <v>32238</v>
      </c>
      <c r="H10852" t="s">
        <v>11381</v>
      </c>
      <c r="I10852" t="s">
        <v>30018</v>
      </c>
      <c r="J10852" t="s">
        <v>7675</v>
      </c>
    </row>
    <row r="10853" spans="1:10" x14ac:dyDescent="0.25">
      <c r="A10853" t="s">
        <v>32239</v>
      </c>
      <c r="B10853">
        <v>11.88</v>
      </c>
      <c r="C10853" t="s">
        <v>32240</v>
      </c>
      <c r="D10853" t="s">
        <v>234</v>
      </c>
      <c r="E10853" t="s">
        <v>32237</v>
      </c>
      <c r="F10853" t="s">
        <v>7672</v>
      </c>
      <c r="G10853" t="s">
        <v>32238</v>
      </c>
      <c r="H10853" t="s">
        <v>11381</v>
      </c>
      <c r="I10853" t="s">
        <v>76</v>
      </c>
      <c r="J10853" t="s">
        <v>7675</v>
      </c>
    </row>
    <row r="10854" spans="1:10" x14ac:dyDescent="0.25">
      <c r="A10854" t="s">
        <v>32241</v>
      </c>
      <c r="B10854">
        <v>11.88</v>
      </c>
      <c r="C10854" t="s">
        <v>32242</v>
      </c>
      <c r="D10854" t="s">
        <v>981</v>
      </c>
      <c r="E10854" t="s">
        <v>32237</v>
      </c>
      <c r="F10854" t="s">
        <v>7672</v>
      </c>
      <c r="G10854" t="s">
        <v>32238</v>
      </c>
      <c r="H10854" t="s">
        <v>11381</v>
      </c>
      <c r="I10854" t="s">
        <v>30013</v>
      </c>
      <c r="J10854" t="s">
        <v>7675</v>
      </c>
    </row>
    <row r="10855" spans="1:10" x14ac:dyDescent="0.25">
      <c r="A10855" t="s">
        <v>32243</v>
      </c>
      <c r="B10855">
        <v>11.88</v>
      </c>
      <c r="C10855" t="s">
        <v>32244</v>
      </c>
      <c r="D10855" t="s">
        <v>8193</v>
      </c>
      <c r="E10855" t="s">
        <v>32237</v>
      </c>
      <c r="F10855" t="s">
        <v>7672</v>
      </c>
      <c r="G10855" t="s">
        <v>32238</v>
      </c>
      <c r="H10855" t="s">
        <v>11381</v>
      </c>
      <c r="I10855" t="s">
        <v>30018</v>
      </c>
      <c r="J10855" t="s">
        <v>7686</v>
      </c>
    </row>
    <row r="10856" spans="1:10" x14ac:dyDescent="0.25">
      <c r="A10856" t="s">
        <v>32245</v>
      </c>
      <c r="B10856">
        <v>11.88</v>
      </c>
      <c r="C10856" t="s">
        <v>32246</v>
      </c>
      <c r="D10856" t="s">
        <v>2322</v>
      </c>
      <c r="E10856" t="s">
        <v>32237</v>
      </c>
      <c r="F10856" t="s">
        <v>7672</v>
      </c>
      <c r="G10856" t="s">
        <v>32238</v>
      </c>
      <c r="H10856" t="s">
        <v>11381</v>
      </c>
      <c r="I10856" t="s">
        <v>76</v>
      </c>
      <c r="J10856" t="s">
        <v>7686</v>
      </c>
    </row>
    <row r="10857" spans="1:10" x14ac:dyDescent="0.25">
      <c r="A10857" t="s">
        <v>32247</v>
      </c>
      <c r="B10857">
        <v>11.88</v>
      </c>
      <c r="C10857" t="s">
        <v>32248</v>
      </c>
      <c r="D10857" t="s">
        <v>1710</v>
      </c>
      <c r="E10857" t="s">
        <v>32237</v>
      </c>
      <c r="F10857" t="s">
        <v>7672</v>
      </c>
      <c r="G10857" t="s">
        <v>32238</v>
      </c>
      <c r="H10857" t="s">
        <v>11381</v>
      </c>
      <c r="I10857" t="s">
        <v>30013</v>
      </c>
      <c r="J10857" t="s">
        <v>7686</v>
      </c>
    </row>
    <row r="10858" spans="1:10" x14ac:dyDescent="0.25">
      <c r="A10858" t="s">
        <v>32249</v>
      </c>
      <c r="B10858">
        <v>11.88</v>
      </c>
      <c r="C10858" t="s">
        <v>32250</v>
      </c>
      <c r="D10858" t="s">
        <v>1893</v>
      </c>
      <c r="E10858" t="s">
        <v>32237</v>
      </c>
      <c r="F10858" t="s">
        <v>7672</v>
      </c>
      <c r="G10858" t="s">
        <v>32238</v>
      </c>
      <c r="H10858" t="s">
        <v>11381</v>
      </c>
      <c r="I10858" t="s">
        <v>30018</v>
      </c>
      <c r="J10858" t="s">
        <v>7703</v>
      </c>
    </row>
    <row r="10859" spans="1:10" x14ac:dyDescent="0.25">
      <c r="A10859" t="s">
        <v>32251</v>
      </c>
      <c r="B10859">
        <v>11.88</v>
      </c>
      <c r="C10859" t="s">
        <v>32252</v>
      </c>
      <c r="D10859" t="s">
        <v>6480</v>
      </c>
      <c r="E10859" t="s">
        <v>32237</v>
      </c>
      <c r="F10859" t="s">
        <v>7672</v>
      </c>
      <c r="G10859" t="s">
        <v>32238</v>
      </c>
      <c r="H10859" t="s">
        <v>11381</v>
      </c>
      <c r="I10859" t="s">
        <v>76</v>
      </c>
      <c r="J10859" t="s">
        <v>7703</v>
      </c>
    </row>
    <row r="10860" spans="1:10" x14ac:dyDescent="0.25">
      <c r="A10860" t="s">
        <v>32253</v>
      </c>
      <c r="B10860">
        <v>11.88</v>
      </c>
      <c r="C10860" t="s">
        <v>32254</v>
      </c>
      <c r="D10860" t="s">
        <v>3872</v>
      </c>
      <c r="E10860" t="s">
        <v>32237</v>
      </c>
      <c r="F10860" t="s">
        <v>7672</v>
      </c>
      <c r="G10860" t="s">
        <v>32238</v>
      </c>
      <c r="H10860" t="s">
        <v>11381</v>
      </c>
      <c r="I10860" t="s">
        <v>30013</v>
      </c>
      <c r="J10860" t="s">
        <v>7703</v>
      </c>
    </row>
    <row r="10861" spans="1:10" x14ac:dyDescent="0.25">
      <c r="A10861" t="s">
        <v>32255</v>
      </c>
      <c r="B10861">
        <v>11.88</v>
      </c>
      <c r="C10861" t="s">
        <v>32256</v>
      </c>
      <c r="D10861" t="s">
        <v>2078</v>
      </c>
      <c r="E10861" t="s">
        <v>32237</v>
      </c>
      <c r="F10861" t="s">
        <v>7672</v>
      </c>
      <c r="G10861" t="s">
        <v>32238</v>
      </c>
      <c r="H10861" t="s">
        <v>11381</v>
      </c>
      <c r="I10861" t="s">
        <v>30018</v>
      </c>
      <c r="J10861" t="s">
        <v>7713</v>
      </c>
    </row>
    <row r="10862" spans="1:10" x14ac:dyDescent="0.25">
      <c r="A10862" t="s">
        <v>32257</v>
      </c>
      <c r="B10862">
        <v>11.88</v>
      </c>
      <c r="C10862" t="s">
        <v>32258</v>
      </c>
      <c r="D10862" t="s">
        <v>144</v>
      </c>
      <c r="E10862" t="s">
        <v>32237</v>
      </c>
      <c r="F10862" t="s">
        <v>7672</v>
      </c>
      <c r="G10862" t="s">
        <v>32238</v>
      </c>
      <c r="H10862" t="s">
        <v>11381</v>
      </c>
      <c r="I10862" t="s">
        <v>30013</v>
      </c>
      <c r="J10862" t="s">
        <v>7713</v>
      </c>
    </row>
    <row r="10863" spans="1:10" x14ac:dyDescent="0.25">
      <c r="A10863" t="s">
        <v>32259</v>
      </c>
      <c r="B10863">
        <v>11.88</v>
      </c>
      <c r="C10863" t="s">
        <v>32260</v>
      </c>
      <c r="D10863" t="s">
        <v>1852</v>
      </c>
      <c r="E10863" t="s">
        <v>32237</v>
      </c>
      <c r="F10863" t="s">
        <v>7672</v>
      </c>
      <c r="G10863" t="s">
        <v>32238</v>
      </c>
      <c r="H10863" t="s">
        <v>11381</v>
      </c>
      <c r="I10863" t="s">
        <v>76</v>
      </c>
      <c r="J10863" t="s">
        <v>7713</v>
      </c>
    </row>
    <row r="10864" spans="1:10" x14ac:dyDescent="0.25">
      <c r="A10864" t="s">
        <v>32261</v>
      </c>
      <c r="B10864">
        <v>11.88</v>
      </c>
      <c r="C10864" t="s">
        <v>32262</v>
      </c>
      <c r="D10864" t="s">
        <v>4270</v>
      </c>
      <c r="E10864" t="s">
        <v>32237</v>
      </c>
      <c r="F10864" t="s">
        <v>7672</v>
      </c>
      <c r="G10864" t="s">
        <v>32238</v>
      </c>
      <c r="H10864" t="s">
        <v>11381</v>
      </c>
      <c r="I10864" t="s">
        <v>30013</v>
      </c>
      <c r="J10864" t="s">
        <v>7719</v>
      </c>
    </row>
    <row r="10865" spans="1:10" x14ac:dyDescent="0.25">
      <c r="A10865" t="s">
        <v>32263</v>
      </c>
      <c r="B10865">
        <v>11.88</v>
      </c>
      <c r="C10865" t="s">
        <v>32264</v>
      </c>
      <c r="D10865" t="s">
        <v>582</v>
      </c>
      <c r="E10865" t="s">
        <v>32237</v>
      </c>
      <c r="F10865" t="s">
        <v>7672</v>
      </c>
      <c r="G10865" t="s">
        <v>32238</v>
      </c>
      <c r="H10865" t="s">
        <v>11381</v>
      </c>
      <c r="I10865" t="s">
        <v>30018</v>
      </c>
      <c r="J10865" t="s">
        <v>7719</v>
      </c>
    </row>
    <row r="10866" spans="1:10" x14ac:dyDescent="0.25">
      <c r="A10866" t="s">
        <v>32265</v>
      </c>
      <c r="B10866">
        <v>11.88</v>
      </c>
      <c r="C10866" t="s">
        <v>32266</v>
      </c>
      <c r="D10866" t="s">
        <v>613</v>
      </c>
      <c r="E10866" t="s">
        <v>32237</v>
      </c>
      <c r="F10866" t="s">
        <v>7672</v>
      </c>
      <c r="G10866" t="s">
        <v>32238</v>
      </c>
      <c r="H10866" t="s">
        <v>11381</v>
      </c>
      <c r="I10866" t="s">
        <v>76</v>
      </c>
      <c r="J10866" t="s">
        <v>7719</v>
      </c>
    </row>
    <row r="10867" spans="1:10" x14ac:dyDescent="0.25">
      <c r="A10867" t="s">
        <v>32267</v>
      </c>
      <c r="B10867">
        <v>8.9920000000000009</v>
      </c>
      <c r="C10867" t="s">
        <v>32268</v>
      </c>
      <c r="D10867" t="s">
        <v>229</v>
      </c>
      <c r="E10867" t="s">
        <v>32269</v>
      </c>
      <c r="F10867" t="s">
        <v>7672</v>
      </c>
      <c r="G10867" t="s">
        <v>32270</v>
      </c>
      <c r="H10867" t="s">
        <v>7674</v>
      </c>
      <c r="I10867" t="s">
        <v>805</v>
      </c>
      <c r="J10867" t="s">
        <v>16125</v>
      </c>
    </row>
    <row r="10868" spans="1:10" x14ac:dyDescent="0.25">
      <c r="A10868" t="s">
        <v>32271</v>
      </c>
      <c r="B10868">
        <v>8.9920000000000009</v>
      </c>
      <c r="C10868" t="s">
        <v>32272</v>
      </c>
      <c r="D10868" t="s">
        <v>113</v>
      </c>
      <c r="E10868" t="s">
        <v>32269</v>
      </c>
      <c r="F10868" t="s">
        <v>7672</v>
      </c>
      <c r="G10868" t="s">
        <v>32270</v>
      </c>
      <c r="H10868" t="s">
        <v>7674</v>
      </c>
      <c r="I10868" t="s">
        <v>32273</v>
      </c>
      <c r="J10868" t="s">
        <v>16125</v>
      </c>
    </row>
    <row r="10869" spans="1:10" x14ac:dyDescent="0.25">
      <c r="A10869" t="s">
        <v>32274</v>
      </c>
      <c r="B10869">
        <v>8.9920000000000009</v>
      </c>
      <c r="C10869" t="s">
        <v>32275</v>
      </c>
      <c r="D10869" t="s">
        <v>705</v>
      </c>
      <c r="E10869" t="s">
        <v>32269</v>
      </c>
      <c r="F10869" t="s">
        <v>7672</v>
      </c>
      <c r="G10869" t="s">
        <v>32270</v>
      </c>
      <c r="H10869" t="s">
        <v>7674</v>
      </c>
      <c r="I10869" t="s">
        <v>805</v>
      </c>
      <c r="J10869" t="s">
        <v>16143</v>
      </c>
    </row>
    <row r="10870" spans="1:10" x14ac:dyDescent="0.25">
      <c r="A10870" t="s">
        <v>32276</v>
      </c>
      <c r="B10870">
        <v>8.9920000000000009</v>
      </c>
      <c r="C10870" t="s">
        <v>32277</v>
      </c>
      <c r="D10870" t="s">
        <v>835</v>
      </c>
      <c r="E10870" t="s">
        <v>32269</v>
      </c>
      <c r="F10870" t="s">
        <v>7672</v>
      </c>
      <c r="G10870" t="s">
        <v>32270</v>
      </c>
      <c r="H10870" t="s">
        <v>7674</v>
      </c>
      <c r="I10870" t="s">
        <v>8577</v>
      </c>
      <c r="J10870" t="s">
        <v>16143</v>
      </c>
    </row>
    <row r="10871" spans="1:10" x14ac:dyDescent="0.25">
      <c r="A10871" t="s">
        <v>32278</v>
      </c>
      <c r="B10871">
        <v>8.9920000000000009</v>
      </c>
      <c r="C10871" t="s">
        <v>32279</v>
      </c>
      <c r="D10871" t="s">
        <v>2099</v>
      </c>
      <c r="E10871" t="s">
        <v>32269</v>
      </c>
      <c r="F10871" t="s">
        <v>7672</v>
      </c>
      <c r="G10871" t="s">
        <v>32270</v>
      </c>
      <c r="H10871" t="s">
        <v>7674</v>
      </c>
      <c r="I10871" t="s">
        <v>32273</v>
      </c>
      <c r="J10871" t="s">
        <v>16143</v>
      </c>
    </row>
    <row r="10872" spans="1:10" x14ac:dyDescent="0.25">
      <c r="A10872" t="s">
        <v>32280</v>
      </c>
      <c r="B10872">
        <v>3.1120000000000001</v>
      </c>
      <c r="C10872" t="s">
        <v>32281</v>
      </c>
      <c r="D10872" t="s">
        <v>582</v>
      </c>
      <c r="E10872" t="s">
        <v>32282</v>
      </c>
      <c r="F10872" t="s">
        <v>7672</v>
      </c>
      <c r="G10872" t="s">
        <v>32283</v>
      </c>
      <c r="H10872" t="s">
        <v>29408</v>
      </c>
      <c r="I10872" t="s">
        <v>410</v>
      </c>
      <c r="J10872" t="s">
        <v>9694</v>
      </c>
    </row>
    <row r="10873" spans="1:10" x14ac:dyDescent="0.25">
      <c r="A10873" t="s">
        <v>32284</v>
      </c>
      <c r="B10873">
        <v>3.3759999999999999</v>
      </c>
      <c r="C10873" t="s">
        <v>32285</v>
      </c>
      <c r="D10873" t="s">
        <v>752</v>
      </c>
      <c r="E10873" t="s">
        <v>32286</v>
      </c>
      <c r="F10873" t="s">
        <v>7672</v>
      </c>
      <c r="G10873" t="s">
        <v>32287</v>
      </c>
      <c r="H10873" t="s">
        <v>25513</v>
      </c>
      <c r="I10873" t="s">
        <v>497</v>
      </c>
      <c r="J10873" t="s">
        <v>9694</v>
      </c>
    </row>
    <row r="10874" spans="1:10" x14ac:dyDescent="0.25">
      <c r="A10874" t="s">
        <v>32288</v>
      </c>
      <c r="B10874">
        <v>6.9920000000000009</v>
      </c>
      <c r="C10874" t="s">
        <v>32289</v>
      </c>
      <c r="D10874" t="s">
        <v>2697</v>
      </c>
      <c r="E10874" t="s">
        <v>32290</v>
      </c>
      <c r="F10874" t="s">
        <v>7672</v>
      </c>
      <c r="G10874" t="s">
        <v>32291</v>
      </c>
      <c r="H10874" t="s">
        <v>7974</v>
      </c>
      <c r="I10874" t="s">
        <v>32292</v>
      </c>
      <c r="J10874" t="s">
        <v>15894</v>
      </c>
    </row>
    <row r="10875" spans="1:10" x14ac:dyDescent="0.25">
      <c r="A10875" t="s">
        <v>32293</v>
      </c>
      <c r="B10875">
        <v>6.9920000000000009</v>
      </c>
      <c r="C10875" t="s">
        <v>32294</v>
      </c>
      <c r="D10875" t="s">
        <v>926</v>
      </c>
      <c r="E10875" t="s">
        <v>32290</v>
      </c>
      <c r="F10875" t="s">
        <v>7672</v>
      </c>
      <c r="G10875" t="s">
        <v>32291</v>
      </c>
      <c r="H10875" t="s">
        <v>7974</v>
      </c>
      <c r="I10875" t="s">
        <v>32292</v>
      </c>
      <c r="J10875" t="s">
        <v>7942</v>
      </c>
    </row>
    <row r="10876" spans="1:10" x14ac:dyDescent="0.25">
      <c r="A10876" t="s">
        <v>32295</v>
      </c>
      <c r="B10876">
        <v>5.9920000000000009</v>
      </c>
      <c r="C10876" t="s">
        <v>32296</v>
      </c>
      <c r="D10876" t="s">
        <v>671</v>
      </c>
      <c r="E10876" t="s">
        <v>32297</v>
      </c>
      <c r="F10876" t="s">
        <v>7672</v>
      </c>
      <c r="G10876" t="s">
        <v>32298</v>
      </c>
      <c r="H10876" t="s">
        <v>18241</v>
      </c>
      <c r="I10876" t="s">
        <v>145</v>
      </c>
      <c r="J10876" t="s">
        <v>53</v>
      </c>
    </row>
    <row r="10877" spans="1:10" x14ac:dyDescent="0.25">
      <c r="A10877" t="s">
        <v>32299</v>
      </c>
      <c r="B10877">
        <v>5.9920000000000009</v>
      </c>
      <c r="C10877" t="s">
        <v>32300</v>
      </c>
      <c r="D10877" t="s">
        <v>941</v>
      </c>
      <c r="E10877" t="s">
        <v>32297</v>
      </c>
      <c r="F10877" t="s">
        <v>7672</v>
      </c>
      <c r="G10877" t="s">
        <v>32298</v>
      </c>
      <c r="H10877" t="s">
        <v>18241</v>
      </c>
      <c r="I10877" t="s">
        <v>145</v>
      </c>
      <c r="J10877" t="s">
        <v>60</v>
      </c>
    </row>
    <row r="10878" spans="1:10" x14ac:dyDescent="0.25">
      <c r="A10878" t="s">
        <v>32301</v>
      </c>
      <c r="B10878">
        <v>5.9920000000000009</v>
      </c>
      <c r="C10878" t="s">
        <v>32302</v>
      </c>
      <c r="D10878" t="s">
        <v>2138</v>
      </c>
      <c r="E10878" t="s">
        <v>32297</v>
      </c>
      <c r="F10878" t="s">
        <v>7672</v>
      </c>
      <c r="G10878" t="s">
        <v>32298</v>
      </c>
      <c r="H10878" t="s">
        <v>18241</v>
      </c>
      <c r="I10878" t="s">
        <v>145</v>
      </c>
      <c r="J10878" t="s">
        <v>342</v>
      </c>
    </row>
    <row r="10879" spans="1:10" x14ac:dyDescent="0.25">
      <c r="A10879" t="s">
        <v>32303</v>
      </c>
      <c r="B10879">
        <v>5.9920000000000009</v>
      </c>
      <c r="C10879" t="s">
        <v>32304</v>
      </c>
      <c r="D10879" t="s">
        <v>2855</v>
      </c>
      <c r="E10879" t="s">
        <v>32297</v>
      </c>
      <c r="F10879" t="s">
        <v>7672</v>
      </c>
      <c r="G10879" t="s">
        <v>32298</v>
      </c>
      <c r="H10879" t="s">
        <v>18241</v>
      </c>
      <c r="I10879" t="s">
        <v>145</v>
      </c>
      <c r="J10879" t="s">
        <v>100</v>
      </c>
    </row>
    <row r="10880" spans="1:10" x14ac:dyDescent="0.25">
      <c r="A10880" t="s">
        <v>32305</v>
      </c>
      <c r="B10880">
        <v>5.9920000000000009</v>
      </c>
      <c r="C10880" t="s">
        <v>32306</v>
      </c>
      <c r="D10880" t="s">
        <v>1949</v>
      </c>
      <c r="E10880" t="s">
        <v>32297</v>
      </c>
      <c r="F10880" t="s">
        <v>7672</v>
      </c>
      <c r="G10880" t="s">
        <v>32298</v>
      </c>
      <c r="H10880" t="s">
        <v>18241</v>
      </c>
      <c r="I10880" t="s">
        <v>145</v>
      </c>
      <c r="J10880" t="s">
        <v>106</v>
      </c>
    </row>
    <row r="10881" spans="1:10" x14ac:dyDescent="0.25">
      <c r="A10881" t="s">
        <v>1217</v>
      </c>
      <c r="B10881">
        <v>15.4</v>
      </c>
      <c r="C10881" t="s">
        <v>1219</v>
      </c>
      <c r="D10881" t="s">
        <v>164</v>
      </c>
      <c r="E10881" t="s">
        <v>1220</v>
      </c>
      <c r="F10881" t="s">
        <v>7672</v>
      </c>
      <c r="G10881" t="s">
        <v>32307</v>
      </c>
      <c r="H10881" t="s">
        <v>7954</v>
      </c>
      <c r="I10881" t="s">
        <v>387</v>
      </c>
      <c r="J10881" t="s">
        <v>7942</v>
      </c>
    </row>
    <row r="10882" spans="1:10" x14ac:dyDescent="0.25">
      <c r="A10882" t="s">
        <v>32308</v>
      </c>
      <c r="B10882">
        <v>5.6000000000000014</v>
      </c>
      <c r="C10882" t="s">
        <v>32309</v>
      </c>
      <c r="D10882" t="s">
        <v>282</v>
      </c>
      <c r="E10882" t="s">
        <v>32310</v>
      </c>
      <c r="F10882" t="s">
        <v>7672</v>
      </c>
      <c r="G10882" t="s">
        <v>32311</v>
      </c>
      <c r="H10882" t="s">
        <v>10970</v>
      </c>
      <c r="I10882" t="s">
        <v>5302</v>
      </c>
      <c r="J10882" t="s">
        <v>7981</v>
      </c>
    </row>
    <row r="10883" spans="1:10" x14ac:dyDescent="0.25">
      <c r="A10883" t="s">
        <v>32312</v>
      </c>
      <c r="B10883">
        <v>36</v>
      </c>
      <c r="C10883" t="s">
        <v>32313</v>
      </c>
      <c r="D10883" t="s">
        <v>2022</v>
      </c>
      <c r="E10883" t="s">
        <v>32314</v>
      </c>
      <c r="F10883" t="s">
        <v>7672</v>
      </c>
      <c r="G10883" t="s">
        <v>32315</v>
      </c>
      <c r="H10883" t="s">
        <v>32316</v>
      </c>
      <c r="I10883" t="s">
        <v>30468</v>
      </c>
      <c r="J10883" t="s">
        <v>9694</v>
      </c>
    </row>
    <row r="10884" spans="1:10" x14ac:dyDescent="0.25">
      <c r="A10884" t="s">
        <v>32317</v>
      </c>
      <c r="B10884">
        <v>48</v>
      </c>
      <c r="C10884" t="s">
        <v>32318</v>
      </c>
      <c r="D10884" t="s">
        <v>6257</v>
      </c>
      <c r="E10884" t="s">
        <v>32319</v>
      </c>
      <c r="F10884" t="s">
        <v>7672</v>
      </c>
      <c r="G10884" t="s">
        <v>32320</v>
      </c>
      <c r="H10884" t="s">
        <v>9693</v>
      </c>
      <c r="I10884" t="s">
        <v>17521</v>
      </c>
      <c r="J10884" t="s">
        <v>9694</v>
      </c>
    </row>
    <row r="10885" spans="1:10" x14ac:dyDescent="0.25">
      <c r="A10885" t="s">
        <v>32321</v>
      </c>
      <c r="B10885">
        <v>96</v>
      </c>
      <c r="C10885" t="s">
        <v>32322</v>
      </c>
      <c r="D10885" t="s">
        <v>24982</v>
      </c>
      <c r="E10885" t="s">
        <v>32323</v>
      </c>
      <c r="F10885" t="s">
        <v>7672</v>
      </c>
      <c r="G10885" t="s">
        <v>32324</v>
      </c>
      <c r="H10885" t="s">
        <v>9693</v>
      </c>
      <c r="I10885" t="s">
        <v>26279</v>
      </c>
      <c r="J10885" t="s">
        <v>9694</v>
      </c>
    </row>
    <row r="10886" spans="1:10" x14ac:dyDescent="0.25">
      <c r="A10886" t="s">
        <v>32325</v>
      </c>
      <c r="B10886">
        <v>4.8000000000000007</v>
      </c>
      <c r="C10886" t="s">
        <v>32326</v>
      </c>
      <c r="D10886" t="s">
        <v>964</v>
      </c>
      <c r="E10886" t="s">
        <v>32327</v>
      </c>
      <c r="F10886" t="s">
        <v>7672</v>
      </c>
      <c r="G10886" t="s">
        <v>32328</v>
      </c>
      <c r="H10886" t="s">
        <v>29304</v>
      </c>
      <c r="I10886" t="s">
        <v>10349</v>
      </c>
      <c r="J10886" t="s">
        <v>11767</v>
      </c>
    </row>
    <row r="10887" spans="1:10" x14ac:dyDescent="0.25">
      <c r="A10887" t="s">
        <v>32329</v>
      </c>
      <c r="B10887">
        <v>4.8000000000000007</v>
      </c>
      <c r="C10887" t="s">
        <v>32330</v>
      </c>
      <c r="D10887" t="s">
        <v>742</v>
      </c>
      <c r="E10887" t="s">
        <v>32327</v>
      </c>
      <c r="F10887" t="s">
        <v>7672</v>
      </c>
      <c r="G10887" t="s">
        <v>32328</v>
      </c>
      <c r="H10887" t="s">
        <v>29304</v>
      </c>
      <c r="I10887" t="s">
        <v>10349</v>
      </c>
      <c r="J10887" t="s">
        <v>11582</v>
      </c>
    </row>
    <row r="10888" spans="1:10" x14ac:dyDescent="0.25">
      <c r="A10888" t="s">
        <v>32331</v>
      </c>
      <c r="B10888">
        <v>4.8000000000000007</v>
      </c>
      <c r="C10888" t="s">
        <v>32332</v>
      </c>
      <c r="D10888" t="s">
        <v>576</v>
      </c>
      <c r="E10888" t="s">
        <v>32327</v>
      </c>
      <c r="F10888" t="s">
        <v>7672</v>
      </c>
      <c r="G10888" t="s">
        <v>32328</v>
      </c>
      <c r="H10888" t="s">
        <v>29304</v>
      </c>
      <c r="I10888" t="s">
        <v>10349</v>
      </c>
      <c r="J10888" t="s">
        <v>11585</v>
      </c>
    </row>
    <row r="10889" spans="1:10" x14ac:dyDescent="0.25">
      <c r="A10889" t="s">
        <v>32333</v>
      </c>
      <c r="B10889">
        <v>9</v>
      </c>
      <c r="C10889" t="s">
        <v>32334</v>
      </c>
      <c r="D10889" t="s">
        <v>290</v>
      </c>
      <c r="E10889" t="s">
        <v>32335</v>
      </c>
      <c r="F10889" t="s">
        <v>7672</v>
      </c>
      <c r="G10889" t="s">
        <v>32336</v>
      </c>
      <c r="H10889" t="s">
        <v>11381</v>
      </c>
      <c r="I10889" t="s">
        <v>30018</v>
      </c>
      <c r="J10889" t="s">
        <v>7675</v>
      </c>
    </row>
    <row r="10890" spans="1:10" x14ac:dyDescent="0.25">
      <c r="A10890" t="s">
        <v>32337</v>
      </c>
      <c r="B10890">
        <v>9</v>
      </c>
      <c r="C10890" t="s">
        <v>32338</v>
      </c>
      <c r="D10890" t="s">
        <v>124</v>
      </c>
      <c r="E10890" t="s">
        <v>32335</v>
      </c>
      <c r="F10890" t="s">
        <v>7672</v>
      </c>
      <c r="G10890" t="s">
        <v>32336</v>
      </c>
      <c r="H10890" t="s">
        <v>11381</v>
      </c>
      <c r="I10890" t="s">
        <v>32339</v>
      </c>
      <c r="J10890" t="s">
        <v>7675</v>
      </c>
    </row>
    <row r="10891" spans="1:10" x14ac:dyDescent="0.25">
      <c r="A10891" t="s">
        <v>32340</v>
      </c>
      <c r="B10891">
        <v>9</v>
      </c>
      <c r="C10891" t="s">
        <v>32341</v>
      </c>
      <c r="D10891" t="s">
        <v>1644</v>
      </c>
      <c r="E10891" t="s">
        <v>32335</v>
      </c>
      <c r="F10891" t="s">
        <v>7672</v>
      </c>
      <c r="G10891" t="s">
        <v>32336</v>
      </c>
      <c r="H10891" t="s">
        <v>11381</v>
      </c>
      <c r="I10891" t="s">
        <v>32339</v>
      </c>
      <c r="J10891" t="s">
        <v>7686</v>
      </c>
    </row>
    <row r="10892" spans="1:10" x14ac:dyDescent="0.25">
      <c r="A10892" t="s">
        <v>32342</v>
      </c>
      <c r="B10892">
        <v>9</v>
      </c>
      <c r="C10892" t="s">
        <v>32343</v>
      </c>
      <c r="D10892" t="s">
        <v>10432</v>
      </c>
      <c r="E10892" t="s">
        <v>32335</v>
      </c>
      <c r="F10892" t="s">
        <v>7672</v>
      </c>
      <c r="G10892" t="s">
        <v>32336</v>
      </c>
      <c r="H10892" t="s">
        <v>11381</v>
      </c>
      <c r="I10892" t="s">
        <v>32339</v>
      </c>
      <c r="J10892" t="s">
        <v>7703</v>
      </c>
    </row>
    <row r="10893" spans="1:10" x14ac:dyDescent="0.25">
      <c r="A10893" t="s">
        <v>32344</v>
      </c>
      <c r="B10893">
        <v>48</v>
      </c>
      <c r="C10893" t="s">
        <v>32345</v>
      </c>
      <c r="D10893" t="s">
        <v>301</v>
      </c>
      <c r="E10893" t="s">
        <v>32346</v>
      </c>
      <c r="F10893" t="s">
        <v>7672</v>
      </c>
      <c r="G10893" t="s">
        <v>32347</v>
      </c>
      <c r="H10893" t="s">
        <v>9693</v>
      </c>
      <c r="I10893" t="s">
        <v>31566</v>
      </c>
      <c r="J10893" t="s">
        <v>9694</v>
      </c>
    </row>
    <row r="10894" spans="1:10" x14ac:dyDescent="0.25">
      <c r="A10894" t="s">
        <v>1223</v>
      </c>
      <c r="B10894">
        <v>12</v>
      </c>
      <c r="C10894" t="s">
        <v>1225</v>
      </c>
      <c r="D10894" t="s">
        <v>516</v>
      </c>
      <c r="E10894" t="s">
        <v>1226</v>
      </c>
      <c r="F10894" t="s">
        <v>7672</v>
      </c>
      <c r="G10894" t="s">
        <v>32348</v>
      </c>
      <c r="H10894" t="s">
        <v>24085</v>
      </c>
      <c r="I10894" t="s">
        <v>18427</v>
      </c>
      <c r="J10894" t="s">
        <v>23412</v>
      </c>
    </row>
    <row r="10895" spans="1:10" x14ac:dyDescent="0.25">
      <c r="A10895" t="s">
        <v>1228</v>
      </c>
      <c r="B10895">
        <v>12</v>
      </c>
      <c r="C10895" t="s">
        <v>1230</v>
      </c>
      <c r="D10895" t="s">
        <v>588</v>
      </c>
      <c r="E10895" t="s">
        <v>1226</v>
      </c>
      <c r="F10895" t="s">
        <v>7672</v>
      </c>
      <c r="G10895" t="s">
        <v>32348</v>
      </c>
      <c r="H10895" t="s">
        <v>24085</v>
      </c>
      <c r="I10895" t="s">
        <v>18427</v>
      </c>
      <c r="J10895" t="s">
        <v>16982</v>
      </c>
    </row>
    <row r="10896" spans="1:10" x14ac:dyDescent="0.25">
      <c r="A10896" t="s">
        <v>1232</v>
      </c>
      <c r="B10896">
        <v>12</v>
      </c>
      <c r="C10896" t="s">
        <v>1234</v>
      </c>
      <c r="D10896" t="s">
        <v>1236</v>
      </c>
      <c r="E10896" t="s">
        <v>1226</v>
      </c>
      <c r="F10896" t="s">
        <v>7672</v>
      </c>
      <c r="G10896" t="s">
        <v>32348</v>
      </c>
      <c r="H10896" t="s">
        <v>24085</v>
      </c>
      <c r="I10896" t="s">
        <v>18427</v>
      </c>
      <c r="J10896" t="s">
        <v>24088</v>
      </c>
    </row>
    <row r="10897" spans="1:10" x14ac:dyDescent="0.25">
      <c r="A10897" t="s">
        <v>32349</v>
      </c>
      <c r="B10897">
        <v>72</v>
      </c>
      <c r="C10897" t="s">
        <v>32350</v>
      </c>
      <c r="D10897" t="s">
        <v>664</v>
      </c>
      <c r="E10897" t="s">
        <v>32351</v>
      </c>
      <c r="F10897" t="s">
        <v>7672</v>
      </c>
      <c r="G10897" t="s">
        <v>32352</v>
      </c>
      <c r="H10897" t="s">
        <v>19910</v>
      </c>
      <c r="I10897" t="s">
        <v>18323</v>
      </c>
      <c r="J10897" t="s">
        <v>9694</v>
      </c>
    </row>
    <row r="10898" spans="1:10" x14ac:dyDescent="0.25">
      <c r="A10898" t="s">
        <v>32353</v>
      </c>
      <c r="B10898">
        <v>5.9920000000000009</v>
      </c>
      <c r="C10898" t="s">
        <v>32354</v>
      </c>
      <c r="D10898" t="s">
        <v>6257</v>
      </c>
      <c r="E10898" t="s">
        <v>32355</v>
      </c>
      <c r="F10898" t="s">
        <v>7672</v>
      </c>
      <c r="G10898" t="s">
        <v>32356</v>
      </c>
      <c r="H10898" t="s">
        <v>18241</v>
      </c>
      <c r="I10898" t="s">
        <v>145</v>
      </c>
      <c r="J10898" t="s">
        <v>100</v>
      </c>
    </row>
    <row r="10899" spans="1:10" x14ac:dyDescent="0.25">
      <c r="A10899" t="s">
        <v>32357</v>
      </c>
      <c r="B10899">
        <v>5.9920000000000009</v>
      </c>
      <c r="C10899" t="s">
        <v>32358</v>
      </c>
      <c r="D10899" t="s">
        <v>359</v>
      </c>
      <c r="E10899" t="s">
        <v>32355</v>
      </c>
      <c r="F10899" t="s">
        <v>7672</v>
      </c>
      <c r="G10899" t="s">
        <v>32356</v>
      </c>
      <c r="H10899" t="s">
        <v>18241</v>
      </c>
      <c r="I10899" t="s">
        <v>145</v>
      </c>
      <c r="J10899" t="s">
        <v>106</v>
      </c>
    </row>
    <row r="10900" spans="1:10" x14ac:dyDescent="0.25">
      <c r="A10900" t="s">
        <v>32359</v>
      </c>
      <c r="B10900">
        <v>15.96</v>
      </c>
      <c r="C10900" t="s">
        <v>32360</v>
      </c>
      <c r="D10900" t="s">
        <v>576</v>
      </c>
      <c r="E10900" t="s">
        <v>32361</v>
      </c>
      <c r="F10900" t="s">
        <v>7672</v>
      </c>
      <c r="G10900" t="s">
        <v>32362</v>
      </c>
      <c r="H10900" t="s">
        <v>8087</v>
      </c>
      <c r="I10900" t="s">
        <v>22958</v>
      </c>
      <c r="J10900" t="s">
        <v>7942</v>
      </c>
    </row>
    <row r="10901" spans="1:10" x14ac:dyDescent="0.25">
      <c r="A10901" t="s">
        <v>32363</v>
      </c>
      <c r="B10901">
        <v>7</v>
      </c>
      <c r="C10901" t="s">
        <v>32364</v>
      </c>
      <c r="D10901" t="s">
        <v>229</v>
      </c>
      <c r="E10901" t="s">
        <v>32365</v>
      </c>
      <c r="F10901" t="s">
        <v>7672</v>
      </c>
      <c r="G10901" t="s">
        <v>19157</v>
      </c>
      <c r="H10901" t="s">
        <v>14647</v>
      </c>
      <c r="I10901" t="s">
        <v>32366</v>
      </c>
      <c r="J10901" t="s">
        <v>7984</v>
      </c>
    </row>
    <row r="10902" spans="1:10" x14ac:dyDescent="0.25">
      <c r="A10902" t="s">
        <v>32367</v>
      </c>
      <c r="B10902">
        <v>7</v>
      </c>
      <c r="C10902" t="s">
        <v>32368</v>
      </c>
      <c r="D10902" t="s">
        <v>164</v>
      </c>
      <c r="E10902" t="s">
        <v>32365</v>
      </c>
      <c r="F10902" t="s">
        <v>7672</v>
      </c>
      <c r="G10902" t="s">
        <v>19157</v>
      </c>
      <c r="H10902" t="s">
        <v>14647</v>
      </c>
      <c r="I10902" t="s">
        <v>32366</v>
      </c>
      <c r="J10902" t="s">
        <v>7987</v>
      </c>
    </row>
    <row r="10903" spans="1:10" x14ac:dyDescent="0.25">
      <c r="A10903" t="s">
        <v>32369</v>
      </c>
      <c r="B10903">
        <v>5.120000000000001</v>
      </c>
      <c r="C10903" t="s">
        <v>32370</v>
      </c>
      <c r="D10903" t="s">
        <v>113</v>
      </c>
      <c r="E10903" t="s">
        <v>32371</v>
      </c>
      <c r="F10903" t="s">
        <v>7672</v>
      </c>
      <c r="G10903" t="s">
        <v>32372</v>
      </c>
      <c r="H10903" t="s">
        <v>10298</v>
      </c>
      <c r="I10903" t="s">
        <v>278</v>
      </c>
      <c r="J10903" t="s">
        <v>7981</v>
      </c>
    </row>
    <row r="10904" spans="1:10" x14ac:dyDescent="0.25">
      <c r="A10904" t="s">
        <v>32373</v>
      </c>
      <c r="B10904">
        <v>5.120000000000001</v>
      </c>
      <c r="C10904" t="s">
        <v>32374</v>
      </c>
      <c r="D10904" t="s">
        <v>269</v>
      </c>
      <c r="E10904" t="s">
        <v>32371</v>
      </c>
      <c r="F10904" t="s">
        <v>7672</v>
      </c>
      <c r="G10904" t="s">
        <v>32372</v>
      </c>
      <c r="H10904" t="s">
        <v>10298</v>
      </c>
      <c r="I10904" t="s">
        <v>278</v>
      </c>
      <c r="J10904" t="s">
        <v>7984</v>
      </c>
    </row>
    <row r="10905" spans="1:10" x14ac:dyDescent="0.25">
      <c r="A10905" t="s">
        <v>32375</v>
      </c>
      <c r="B10905">
        <v>8.3920000000000012</v>
      </c>
      <c r="C10905" t="s">
        <v>32376</v>
      </c>
      <c r="D10905" t="s">
        <v>269</v>
      </c>
      <c r="E10905" t="s">
        <v>32377</v>
      </c>
      <c r="F10905" t="s">
        <v>7672</v>
      </c>
      <c r="G10905" t="s">
        <v>32378</v>
      </c>
      <c r="H10905" t="s">
        <v>8087</v>
      </c>
      <c r="I10905" t="s">
        <v>32379</v>
      </c>
      <c r="J10905" t="s">
        <v>7675</v>
      </c>
    </row>
    <row r="10906" spans="1:10" x14ac:dyDescent="0.25">
      <c r="A10906" t="s">
        <v>32380</v>
      </c>
      <c r="B10906">
        <v>8.3920000000000012</v>
      </c>
      <c r="C10906" t="s">
        <v>32381</v>
      </c>
      <c r="D10906" t="s">
        <v>342</v>
      </c>
      <c r="E10906" t="s">
        <v>32377</v>
      </c>
      <c r="F10906" t="s">
        <v>7672</v>
      </c>
      <c r="G10906" t="s">
        <v>32378</v>
      </c>
      <c r="H10906" t="s">
        <v>8087</v>
      </c>
      <c r="I10906" t="s">
        <v>4045</v>
      </c>
      <c r="J10906" t="s">
        <v>7675</v>
      </c>
    </row>
    <row r="10907" spans="1:10" x14ac:dyDescent="0.25">
      <c r="A10907" t="s">
        <v>32382</v>
      </c>
      <c r="B10907">
        <v>8.3920000000000012</v>
      </c>
      <c r="C10907" t="s">
        <v>32383</v>
      </c>
      <c r="D10907" t="s">
        <v>164</v>
      </c>
      <c r="E10907" t="s">
        <v>32377</v>
      </c>
      <c r="F10907" t="s">
        <v>7672</v>
      </c>
      <c r="G10907" t="s">
        <v>32378</v>
      </c>
      <c r="H10907" t="s">
        <v>8087</v>
      </c>
      <c r="I10907" t="s">
        <v>11720</v>
      </c>
      <c r="J10907" t="s">
        <v>7675</v>
      </c>
    </row>
    <row r="10908" spans="1:10" x14ac:dyDescent="0.25">
      <c r="A10908" t="s">
        <v>1237</v>
      </c>
      <c r="B10908">
        <v>10.56</v>
      </c>
      <c r="C10908" t="s">
        <v>1239</v>
      </c>
      <c r="D10908" t="s">
        <v>903</v>
      </c>
      <c r="E10908" t="s">
        <v>1240</v>
      </c>
      <c r="F10908" t="s">
        <v>7672</v>
      </c>
      <c r="G10908" t="s">
        <v>32384</v>
      </c>
      <c r="H10908" t="s">
        <v>13951</v>
      </c>
      <c r="I10908" t="s">
        <v>497</v>
      </c>
      <c r="J10908" t="s">
        <v>100</v>
      </c>
    </row>
    <row r="10909" spans="1:10" x14ac:dyDescent="0.25">
      <c r="A10909" t="s">
        <v>32385</v>
      </c>
      <c r="B10909">
        <v>9.2319999999999993</v>
      </c>
      <c r="C10909" t="s">
        <v>32386</v>
      </c>
      <c r="D10909" t="s">
        <v>53</v>
      </c>
      <c r="E10909" t="s">
        <v>32387</v>
      </c>
      <c r="F10909" t="s">
        <v>7672</v>
      </c>
      <c r="G10909" t="s">
        <v>32388</v>
      </c>
      <c r="H10909" t="s">
        <v>8673</v>
      </c>
      <c r="I10909" t="s">
        <v>11073</v>
      </c>
      <c r="J10909" t="s">
        <v>31689</v>
      </c>
    </row>
    <row r="10910" spans="1:10" x14ac:dyDescent="0.25">
      <c r="A10910" t="s">
        <v>32389</v>
      </c>
      <c r="B10910">
        <v>7.9120000000000008</v>
      </c>
      <c r="C10910" t="s">
        <v>32390</v>
      </c>
      <c r="D10910" t="s">
        <v>849</v>
      </c>
      <c r="E10910" t="s">
        <v>32387</v>
      </c>
      <c r="F10910" t="s">
        <v>7672</v>
      </c>
      <c r="G10910" t="s">
        <v>32388</v>
      </c>
      <c r="H10910" t="s">
        <v>8673</v>
      </c>
      <c r="I10910" t="s">
        <v>11209</v>
      </c>
      <c r="J10910" t="s">
        <v>32391</v>
      </c>
    </row>
    <row r="10911" spans="1:10" x14ac:dyDescent="0.25">
      <c r="A10911" t="s">
        <v>32392</v>
      </c>
      <c r="B10911">
        <v>7.9120000000000008</v>
      </c>
      <c r="C10911" t="s">
        <v>32393</v>
      </c>
      <c r="D10911" t="s">
        <v>255</v>
      </c>
      <c r="E10911" t="s">
        <v>32387</v>
      </c>
      <c r="F10911" t="s">
        <v>7672</v>
      </c>
      <c r="G10911" t="s">
        <v>32388</v>
      </c>
      <c r="H10911" t="s">
        <v>8673</v>
      </c>
      <c r="I10911" t="s">
        <v>11076</v>
      </c>
      <c r="J10911" t="s">
        <v>32391</v>
      </c>
    </row>
    <row r="10912" spans="1:10" x14ac:dyDescent="0.25">
      <c r="A10912" t="s">
        <v>32394</v>
      </c>
      <c r="B10912">
        <v>7.9120000000000008</v>
      </c>
      <c r="C10912" t="s">
        <v>32395</v>
      </c>
      <c r="D10912" t="s">
        <v>255</v>
      </c>
      <c r="E10912" t="s">
        <v>32387</v>
      </c>
      <c r="F10912" t="s">
        <v>7672</v>
      </c>
      <c r="G10912" t="s">
        <v>32388</v>
      </c>
      <c r="H10912" t="s">
        <v>8673</v>
      </c>
      <c r="I10912" t="s">
        <v>10587</v>
      </c>
      <c r="J10912" t="s">
        <v>32391</v>
      </c>
    </row>
    <row r="10913" spans="1:10" x14ac:dyDescent="0.25">
      <c r="A10913" t="s">
        <v>32396</v>
      </c>
      <c r="B10913">
        <v>7.9120000000000008</v>
      </c>
      <c r="C10913" t="s">
        <v>32397</v>
      </c>
      <c r="D10913" t="s">
        <v>131</v>
      </c>
      <c r="E10913" t="s">
        <v>32387</v>
      </c>
      <c r="F10913" t="s">
        <v>7672</v>
      </c>
      <c r="G10913" t="s">
        <v>32388</v>
      </c>
      <c r="H10913" t="s">
        <v>8673</v>
      </c>
      <c r="I10913" t="s">
        <v>11085</v>
      </c>
      <c r="J10913" t="s">
        <v>32391</v>
      </c>
    </row>
    <row r="10914" spans="1:10" x14ac:dyDescent="0.25">
      <c r="A10914" t="s">
        <v>32398</v>
      </c>
      <c r="B10914">
        <v>7.9120000000000008</v>
      </c>
      <c r="C10914" t="s">
        <v>32399</v>
      </c>
      <c r="D10914" t="s">
        <v>301</v>
      </c>
      <c r="E10914" t="s">
        <v>32387</v>
      </c>
      <c r="F10914" t="s">
        <v>7672</v>
      </c>
      <c r="G10914" t="s">
        <v>32388</v>
      </c>
      <c r="H10914" t="s">
        <v>8673</v>
      </c>
      <c r="I10914" t="s">
        <v>11073</v>
      </c>
      <c r="J10914" t="s">
        <v>32400</v>
      </c>
    </row>
    <row r="10915" spans="1:10" x14ac:dyDescent="0.25">
      <c r="A10915" t="s">
        <v>32401</v>
      </c>
      <c r="B10915">
        <v>7.9120000000000008</v>
      </c>
      <c r="C10915" t="s">
        <v>32402</v>
      </c>
      <c r="D10915" t="s">
        <v>742</v>
      </c>
      <c r="E10915" t="s">
        <v>32387</v>
      </c>
      <c r="F10915" t="s">
        <v>7672</v>
      </c>
      <c r="G10915" t="s">
        <v>32388</v>
      </c>
      <c r="H10915" t="s">
        <v>8673</v>
      </c>
      <c r="I10915" t="s">
        <v>11082</v>
      </c>
      <c r="J10915" t="s">
        <v>32400</v>
      </c>
    </row>
    <row r="10916" spans="1:10" x14ac:dyDescent="0.25">
      <c r="A10916" t="s">
        <v>32403</v>
      </c>
      <c r="B10916">
        <v>7.9120000000000008</v>
      </c>
      <c r="C10916" t="s">
        <v>32404</v>
      </c>
      <c r="D10916" t="s">
        <v>164</v>
      </c>
      <c r="E10916" t="s">
        <v>32387</v>
      </c>
      <c r="F10916" t="s">
        <v>7672</v>
      </c>
      <c r="G10916" t="s">
        <v>32388</v>
      </c>
      <c r="H10916" t="s">
        <v>8673</v>
      </c>
      <c r="I10916" t="s">
        <v>11088</v>
      </c>
      <c r="J10916" t="s">
        <v>32400</v>
      </c>
    </row>
    <row r="10917" spans="1:10" x14ac:dyDescent="0.25">
      <c r="A10917" t="s">
        <v>32405</v>
      </c>
      <c r="B10917">
        <v>7.9120000000000008</v>
      </c>
      <c r="C10917" t="s">
        <v>32406</v>
      </c>
      <c r="D10917" t="s">
        <v>229</v>
      </c>
      <c r="E10917" t="s">
        <v>32387</v>
      </c>
      <c r="F10917" t="s">
        <v>7672</v>
      </c>
      <c r="G10917" t="s">
        <v>32388</v>
      </c>
      <c r="H10917" t="s">
        <v>8673</v>
      </c>
      <c r="I10917" t="s">
        <v>11209</v>
      </c>
      <c r="J10917" t="s">
        <v>32400</v>
      </c>
    </row>
    <row r="10918" spans="1:10" x14ac:dyDescent="0.25">
      <c r="A10918" t="s">
        <v>32407</v>
      </c>
      <c r="B10918">
        <v>7.9120000000000008</v>
      </c>
      <c r="C10918" t="s">
        <v>32408</v>
      </c>
      <c r="D10918" t="s">
        <v>588</v>
      </c>
      <c r="E10918" t="s">
        <v>32387</v>
      </c>
      <c r="F10918" t="s">
        <v>7672</v>
      </c>
      <c r="G10918" t="s">
        <v>32388</v>
      </c>
      <c r="H10918" t="s">
        <v>8673</v>
      </c>
      <c r="I10918" t="s">
        <v>11076</v>
      </c>
      <c r="J10918" t="s">
        <v>32400</v>
      </c>
    </row>
    <row r="10919" spans="1:10" x14ac:dyDescent="0.25">
      <c r="A10919" t="s">
        <v>32409</v>
      </c>
      <c r="B10919">
        <v>7.9120000000000008</v>
      </c>
      <c r="C10919" t="s">
        <v>32410</v>
      </c>
      <c r="D10919" t="s">
        <v>2879</v>
      </c>
      <c r="E10919" t="s">
        <v>32387</v>
      </c>
      <c r="F10919" t="s">
        <v>7672</v>
      </c>
      <c r="G10919" t="s">
        <v>32388</v>
      </c>
      <c r="H10919" t="s">
        <v>8673</v>
      </c>
      <c r="I10919" t="s">
        <v>10587</v>
      </c>
      <c r="J10919" t="s">
        <v>32400</v>
      </c>
    </row>
    <row r="10920" spans="1:10" x14ac:dyDescent="0.25">
      <c r="A10920" t="s">
        <v>32411</v>
      </c>
      <c r="B10920">
        <v>7.9120000000000008</v>
      </c>
      <c r="C10920" t="s">
        <v>32412</v>
      </c>
      <c r="D10920" t="s">
        <v>352</v>
      </c>
      <c r="E10920" t="s">
        <v>32387</v>
      </c>
      <c r="F10920" t="s">
        <v>7672</v>
      </c>
      <c r="G10920" t="s">
        <v>32388</v>
      </c>
      <c r="H10920" t="s">
        <v>8673</v>
      </c>
      <c r="I10920" t="s">
        <v>11091</v>
      </c>
      <c r="J10920" t="s">
        <v>32400</v>
      </c>
    </row>
    <row r="10921" spans="1:10" x14ac:dyDescent="0.25">
      <c r="A10921" t="s">
        <v>32413</v>
      </c>
      <c r="B10921">
        <v>7.9120000000000008</v>
      </c>
      <c r="C10921" t="s">
        <v>32414</v>
      </c>
      <c r="D10921" t="s">
        <v>290</v>
      </c>
      <c r="E10921" t="s">
        <v>32387</v>
      </c>
      <c r="F10921" t="s">
        <v>7672</v>
      </c>
      <c r="G10921" t="s">
        <v>32388</v>
      </c>
      <c r="H10921" t="s">
        <v>8673</v>
      </c>
      <c r="I10921" t="s">
        <v>11094</v>
      </c>
      <c r="J10921" t="s">
        <v>32400</v>
      </c>
    </row>
    <row r="10922" spans="1:10" x14ac:dyDescent="0.25">
      <c r="A10922" t="s">
        <v>32415</v>
      </c>
      <c r="B10922">
        <v>7.9120000000000008</v>
      </c>
      <c r="C10922" t="s">
        <v>32416</v>
      </c>
      <c r="D10922" t="s">
        <v>95</v>
      </c>
      <c r="E10922" t="s">
        <v>32387</v>
      </c>
      <c r="F10922" t="s">
        <v>7672</v>
      </c>
      <c r="G10922" t="s">
        <v>32388</v>
      </c>
      <c r="H10922" t="s">
        <v>8673</v>
      </c>
      <c r="I10922" t="s">
        <v>32417</v>
      </c>
      <c r="J10922" t="s">
        <v>32400</v>
      </c>
    </row>
    <row r="10923" spans="1:10" x14ac:dyDescent="0.25">
      <c r="A10923" t="s">
        <v>32418</v>
      </c>
      <c r="B10923">
        <v>7.9120000000000008</v>
      </c>
      <c r="C10923" t="s">
        <v>32419</v>
      </c>
      <c r="D10923" t="s">
        <v>290</v>
      </c>
      <c r="E10923" t="s">
        <v>32387</v>
      </c>
      <c r="F10923" t="s">
        <v>7672</v>
      </c>
      <c r="G10923" t="s">
        <v>32388</v>
      </c>
      <c r="H10923" t="s">
        <v>8673</v>
      </c>
      <c r="I10923" t="s">
        <v>32420</v>
      </c>
      <c r="J10923" t="s">
        <v>32400</v>
      </c>
    </row>
    <row r="10924" spans="1:10" x14ac:dyDescent="0.25">
      <c r="A10924" t="s">
        <v>32421</v>
      </c>
      <c r="B10924">
        <v>7.9120000000000008</v>
      </c>
      <c r="C10924" t="s">
        <v>32422</v>
      </c>
      <c r="D10924" t="s">
        <v>742</v>
      </c>
      <c r="E10924" t="s">
        <v>32387</v>
      </c>
      <c r="F10924" t="s">
        <v>7672</v>
      </c>
      <c r="G10924" t="s">
        <v>32388</v>
      </c>
      <c r="H10924" t="s">
        <v>8673</v>
      </c>
      <c r="I10924" t="s">
        <v>11067</v>
      </c>
      <c r="J10924" t="s">
        <v>32400</v>
      </c>
    </row>
    <row r="10925" spans="1:10" x14ac:dyDescent="0.25">
      <c r="A10925" t="s">
        <v>32423</v>
      </c>
      <c r="B10925">
        <v>7.9120000000000008</v>
      </c>
      <c r="C10925" t="s">
        <v>32424</v>
      </c>
      <c r="D10925" t="s">
        <v>366</v>
      </c>
      <c r="E10925" t="s">
        <v>32387</v>
      </c>
      <c r="F10925" t="s">
        <v>7672</v>
      </c>
      <c r="G10925" t="s">
        <v>32388</v>
      </c>
      <c r="H10925" t="s">
        <v>8673</v>
      </c>
      <c r="I10925" t="s">
        <v>11070</v>
      </c>
      <c r="J10925" t="s">
        <v>32400</v>
      </c>
    </row>
    <row r="10926" spans="1:10" x14ac:dyDescent="0.25">
      <c r="A10926" t="s">
        <v>32425</v>
      </c>
      <c r="B10926">
        <v>7.9120000000000008</v>
      </c>
      <c r="C10926" t="s">
        <v>32426</v>
      </c>
      <c r="D10926" t="s">
        <v>286</v>
      </c>
      <c r="E10926" t="s">
        <v>32387</v>
      </c>
      <c r="F10926" t="s">
        <v>7672</v>
      </c>
      <c r="G10926" t="s">
        <v>32388</v>
      </c>
      <c r="H10926" t="s">
        <v>8673</v>
      </c>
      <c r="I10926" t="s">
        <v>8911</v>
      </c>
      <c r="J10926" t="s">
        <v>32400</v>
      </c>
    </row>
    <row r="10927" spans="1:10" x14ac:dyDescent="0.25">
      <c r="A10927" t="s">
        <v>32427</v>
      </c>
      <c r="B10927">
        <v>7.9120000000000008</v>
      </c>
      <c r="C10927" t="s">
        <v>32428</v>
      </c>
      <c r="D10927" t="s">
        <v>250</v>
      </c>
      <c r="E10927" t="s">
        <v>32387</v>
      </c>
      <c r="F10927" t="s">
        <v>7672</v>
      </c>
      <c r="G10927" t="s">
        <v>32388</v>
      </c>
      <c r="H10927" t="s">
        <v>8673</v>
      </c>
      <c r="I10927" t="s">
        <v>11085</v>
      </c>
      <c r="J10927" t="s">
        <v>32400</v>
      </c>
    </row>
    <row r="10928" spans="1:10" x14ac:dyDescent="0.25">
      <c r="A10928" t="s">
        <v>32429</v>
      </c>
      <c r="B10928">
        <v>2.88</v>
      </c>
      <c r="C10928" t="s">
        <v>32430</v>
      </c>
      <c r="D10928" t="s">
        <v>598</v>
      </c>
      <c r="E10928" t="s">
        <v>32431</v>
      </c>
      <c r="F10928" t="s">
        <v>7672</v>
      </c>
      <c r="G10928" t="s">
        <v>32432</v>
      </c>
      <c r="H10928" t="s">
        <v>7674</v>
      </c>
      <c r="I10928" t="s">
        <v>31909</v>
      </c>
      <c r="J10928" t="s">
        <v>9694</v>
      </c>
    </row>
    <row r="10929" spans="1:10" x14ac:dyDescent="0.25">
      <c r="A10929" t="s">
        <v>32433</v>
      </c>
      <c r="B10929">
        <v>6</v>
      </c>
      <c r="C10929" t="s">
        <v>32434</v>
      </c>
      <c r="D10929" t="s">
        <v>671</v>
      </c>
      <c r="E10929" t="s">
        <v>32435</v>
      </c>
      <c r="F10929" t="s">
        <v>7672</v>
      </c>
      <c r="G10929" t="s">
        <v>32436</v>
      </c>
      <c r="H10929" t="s">
        <v>16993</v>
      </c>
      <c r="I10929" t="s">
        <v>30843</v>
      </c>
      <c r="J10929" t="s">
        <v>255</v>
      </c>
    </row>
    <row r="10930" spans="1:10" x14ac:dyDescent="0.25">
      <c r="A10930" t="s">
        <v>32437</v>
      </c>
      <c r="B10930">
        <v>6</v>
      </c>
      <c r="C10930" t="s">
        <v>32438</v>
      </c>
      <c r="D10930" t="s">
        <v>742</v>
      </c>
      <c r="E10930" t="s">
        <v>32435</v>
      </c>
      <c r="F10930" t="s">
        <v>7672</v>
      </c>
      <c r="G10930" t="s">
        <v>32436</v>
      </c>
      <c r="H10930" t="s">
        <v>16993</v>
      </c>
      <c r="I10930" t="s">
        <v>30843</v>
      </c>
      <c r="J10930" t="s">
        <v>277</v>
      </c>
    </row>
    <row r="10931" spans="1:10" x14ac:dyDescent="0.25">
      <c r="A10931" t="s">
        <v>1244</v>
      </c>
      <c r="B10931">
        <v>4.4000000000000004</v>
      </c>
      <c r="C10931" t="s">
        <v>1246</v>
      </c>
      <c r="D10931" t="s">
        <v>516</v>
      </c>
      <c r="E10931" t="s">
        <v>1247</v>
      </c>
      <c r="F10931" t="s">
        <v>7672</v>
      </c>
      <c r="G10931" t="s">
        <v>32439</v>
      </c>
      <c r="H10931" t="s">
        <v>11496</v>
      </c>
      <c r="I10931" t="s">
        <v>32440</v>
      </c>
      <c r="J10931" t="s">
        <v>9423</v>
      </c>
    </row>
    <row r="10932" spans="1:10" x14ac:dyDescent="0.25">
      <c r="A10932" t="s">
        <v>1250</v>
      </c>
      <c r="B10932">
        <v>4.4000000000000004</v>
      </c>
      <c r="C10932" t="s">
        <v>1252</v>
      </c>
      <c r="D10932" t="s">
        <v>1254</v>
      </c>
      <c r="E10932" t="s">
        <v>1247</v>
      </c>
      <c r="F10932" t="s">
        <v>7672</v>
      </c>
      <c r="G10932" t="s">
        <v>32439</v>
      </c>
      <c r="H10932" t="s">
        <v>11496</v>
      </c>
      <c r="I10932" t="s">
        <v>32440</v>
      </c>
      <c r="J10932" t="s">
        <v>9426</v>
      </c>
    </row>
    <row r="10933" spans="1:10" x14ac:dyDescent="0.25">
      <c r="A10933" t="s">
        <v>32441</v>
      </c>
      <c r="B10933">
        <v>8.8000000000000007</v>
      </c>
      <c r="C10933" t="s">
        <v>32442</v>
      </c>
      <c r="D10933" t="s">
        <v>352</v>
      </c>
      <c r="E10933" t="s">
        <v>32443</v>
      </c>
      <c r="F10933" t="s">
        <v>7672</v>
      </c>
      <c r="G10933" t="s">
        <v>32444</v>
      </c>
      <c r="H10933" t="s">
        <v>11496</v>
      </c>
      <c r="I10933" t="s">
        <v>32445</v>
      </c>
      <c r="J10933" t="s">
        <v>106</v>
      </c>
    </row>
    <row r="10934" spans="1:10" x14ac:dyDescent="0.25">
      <c r="A10934" t="s">
        <v>32446</v>
      </c>
      <c r="B10934">
        <v>8.8000000000000007</v>
      </c>
      <c r="C10934" t="s">
        <v>32447</v>
      </c>
      <c r="D10934" t="s">
        <v>1097</v>
      </c>
      <c r="E10934" t="s">
        <v>32443</v>
      </c>
      <c r="F10934" t="s">
        <v>7672</v>
      </c>
      <c r="G10934" t="s">
        <v>32444</v>
      </c>
      <c r="H10934" t="s">
        <v>11496</v>
      </c>
      <c r="I10934" t="s">
        <v>32445</v>
      </c>
      <c r="J10934" t="s">
        <v>131</v>
      </c>
    </row>
    <row r="10935" spans="1:10" x14ac:dyDescent="0.25">
      <c r="A10935" t="s">
        <v>32448</v>
      </c>
      <c r="B10935">
        <v>8.8000000000000007</v>
      </c>
      <c r="C10935" t="s">
        <v>32449</v>
      </c>
      <c r="D10935" t="s">
        <v>975</v>
      </c>
      <c r="E10935" t="s">
        <v>32443</v>
      </c>
      <c r="F10935" t="s">
        <v>7672</v>
      </c>
      <c r="G10935" t="s">
        <v>32444</v>
      </c>
      <c r="H10935" t="s">
        <v>11496</v>
      </c>
      <c r="I10935" t="s">
        <v>32445</v>
      </c>
      <c r="J10935" t="s">
        <v>8789</v>
      </c>
    </row>
    <row r="10936" spans="1:10" x14ac:dyDescent="0.25">
      <c r="A10936" t="s">
        <v>32450</v>
      </c>
      <c r="B10936">
        <v>4</v>
      </c>
      <c r="C10936" t="s">
        <v>32451</v>
      </c>
      <c r="D10936" t="s">
        <v>269</v>
      </c>
      <c r="E10936" t="s">
        <v>32452</v>
      </c>
      <c r="F10936" t="s">
        <v>7672</v>
      </c>
      <c r="G10936" t="s">
        <v>32453</v>
      </c>
      <c r="H10936" t="s">
        <v>8515</v>
      </c>
      <c r="I10936" t="s">
        <v>32454</v>
      </c>
      <c r="J10936" t="s">
        <v>255</v>
      </c>
    </row>
    <row r="10937" spans="1:10" x14ac:dyDescent="0.25">
      <c r="A10937" t="s">
        <v>32455</v>
      </c>
      <c r="B10937">
        <v>4</v>
      </c>
      <c r="C10937" t="s">
        <v>32456</v>
      </c>
      <c r="D10937" t="s">
        <v>330</v>
      </c>
      <c r="E10937" t="s">
        <v>32452</v>
      </c>
      <c r="F10937" t="s">
        <v>7672</v>
      </c>
      <c r="G10937" t="s">
        <v>32453</v>
      </c>
      <c r="H10937" t="s">
        <v>8515</v>
      </c>
      <c r="I10937" t="s">
        <v>32454</v>
      </c>
      <c r="J10937" t="s">
        <v>277</v>
      </c>
    </row>
    <row r="10938" spans="1:10" x14ac:dyDescent="0.25">
      <c r="A10938" t="s">
        <v>1255</v>
      </c>
      <c r="B10938">
        <v>8.9920000000000009</v>
      </c>
      <c r="C10938" t="s">
        <v>1257</v>
      </c>
      <c r="D10938" t="s">
        <v>100</v>
      </c>
      <c r="E10938" t="s">
        <v>1258</v>
      </c>
      <c r="F10938" t="s">
        <v>7672</v>
      </c>
      <c r="G10938" t="s">
        <v>32457</v>
      </c>
      <c r="H10938" t="s">
        <v>28963</v>
      </c>
      <c r="I10938" t="s">
        <v>1260</v>
      </c>
      <c r="J10938" t="s">
        <v>11498</v>
      </c>
    </row>
    <row r="10939" spans="1:10" x14ac:dyDescent="0.25">
      <c r="A10939" t="s">
        <v>32458</v>
      </c>
      <c r="B10939">
        <v>8.9920000000000009</v>
      </c>
      <c r="C10939" t="s">
        <v>32459</v>
      </c>
      <c r="D10939" t="s">
        <v>255</v>
      </c>
      <c r="E10939" t="s">
        <v>1258</v>
      </c>
      <c r="F10939" t="s">
        <v>7672</v>
      </c>
      <c r="G10939" t="s">
        <v>32457</v>
      </c>
      <c r="H10939" t="s">
        <v>28963</v>
      </c>
      <c r="I10939" t="s">
        <v>32460</v>
      </c>
      <c r="J10939" t="s">
        <v>11498</v>
      </c>
    </row>
    <row r="10940" spans="1:10" x14ac:dyDescent="0.25">
      <c r="A10940" t="s">
        <v>1261</v>
      </c>
      <c r="B10940">
        <v>8.9920000000000009</v>
      </c>
      <c r="C10940" t="s">
        <v>1263</v>
      </c>
      <c r="D10940" t="s">
        <v>301</v>
      </c>
      <c r="E10940" t="s">
        <v>1258</v>
      </c>
      <c r="F10940" t="s">
        <v>7672</v>
      </c>
      <c r="G10940" t="s">
        <v>32457</v>
      </c>
      <c r="H10940" t="s">
        <v>28963</v>
      </c>
      <c r="I10940" t="s">
        <v>1260</v>
      </c>
      <c r="J10940" t="s">
        <v>11499</v>
      </c>
    </row>
    <row r="10941" spans="1:10" x14ac:dyDescent="0.25">
      <c r="A10941" t="s">
        <v>32461</v>
      </c>
      <c r="B10941">
        <v>8.9920000000000009</v>
      </c>
      <c r="C10941" t="s">
        <v>32462</v>
      </c>
      <c r="D10941" t="s">
        <v>849</v>
      </c>
      <c r="E10941" t="s">
        <v>1258</v>
      </c>
      <c r="F10941" t="s">
        <v>7672</v>
      </c>
      <c r="G10941" t="s">
        <v>32457</v>
      </c>
      <c r="H10941" t="s">
        <v>28963</v>
      </c>
      <c r="I10941" t="s">
        <v>32460</v>
      </c>
      <c r="J10941" t="s">
        <v>11499</v>
      </c>
    </row>
    <row r="10942" spans="1:10" x14ac:dyDescent="0.25">
      <c r="A10942" t="s">
        <v>1265</v>
      </c>
      <c r="B10942">
        <v>8.9920000000000009</v>
      </c>
      <c r="C10942" t="s">
        <v>1267</v>
      </c>
      <c r="D10942" t="s">
        <v>53</v>
      </c>
      <c r="E10942" t="s">
        <v>1258</v>
      </c>
      <c r="F10942" t="s">
        <v>7672</v>
      </c>
      <c r="G10942" t="s">
        <v>32457</v>
      </c>
      <c r="H10942" t="s">
        <v>28963</v>
      </c>
      <c r="I10942" t="s">
        <v>1260</v>
      </c>
      <c r="J10942" t="s">
        <v>11500</v>
      </c>
    </row>
    <row r="10943" spans="1:10" x14ac:dyDescent="0.25">
      <c r="A10943" t="s">
        <v>32463</v>
      </c>
      <c r="B10943">
        <v>8.9920000000000009</v>
      </c>
      <c r="C10943" t="s">
        <v>32464</v>
      </c>
      <c r="D10943" t="s">
        <v>385</v>
      </c>
      <c r="E10943" t="s">
        <v>1258</v>
      </c>
      <c r="F10943" t="s">
        <v>7672</v>
      </c>
      <c r="G10943" t="s">
        <v>32457</v>
      </c>
      <c r="H10943" t="s">
        <v>28963</v>
      </c>
      <c r="I10943" t="s">
        <v>32460</v>
      </c>
      <c r="J10943" t="s">
        <v>11500</v>
      </c>
    </row>
    <row r="10944" spans="1:10" x14ac:dyDescent="0.25">
      <c r="A10944" t="s">
        <v>32465</v>
      </c>
      <c r="B10944">
        <v>8.9920000000000009</v>
      </c>
      <c r="C10944" t="s">
        <v>32466</v>
      </c>
      <c r="D10944" t="s">
        <v>576</v>
      </c>
      <c r="E10944" t="s">
        <v>1258</v>
      </c>
      <c r="F10944" t="s">
        <v>7672</v>
      </c>
      <c r="G10944" t="s">
        <v>32457</v>
      </c>
      <c r="H10944" t="s">
        <v>28963</v>
      </c>
      <c r="I10944" t="s">
        <v>32460</v>
      </c>
      <c r="J10944" t="s">
        <v>11501</v>
      </c>
    </row>
    <row r="10945" spans="1:10" x14ac:dyDescent="0.25">
      <c r="A10945" t="s">
        <v>32467</v>
      </c>
      <c r="B10945">
        <v>6.5920000000000014</v>
      </c>
      <c r="C10945" t="s">
        <v>32468</v>
      </c>
      <c r="D10945" t="s">
        <v>2253</v>
      </c>
      <c r="E10945" t="s">
        <v>32469</v>
      </c>
      <c r="F10945" t="s">
        <v>7672</v>
      </c>
      <c r="G10945" t="s">
        <v>32470</v>
      </c>
      <c r="H10945" t="s">
        <v>29594</v>
      </c>
      <c r="I10945" t="s">
        <v>32471</v>
      </c>
      <c r="J10945" t="s">
        <v>9400</v>
      </c>
    </row>
    <row r="10946" spans="1:10" x14ac:dyDescent="0.25">
      <c r="A10946" t="s">
        <v>32472</v>
      </c>
      <c r="B10946">
        <v>6.5920000000000014</v>
      </c>
      <c r="C10946" t="s">
        <v>32473</v>
      </c>
      <c r="D10946" t="s">
        <v>385</v>
      </c>
      <c r="E10946" t="s">
        <v>32469</v>
      </c>
      <c r="F10946" t="s">
        <v>7672</v>
      </c>
      <c r="G10946" t="s">
        <v>32470</v>
      </c>
      <c r="H10946" t="s">
        <v>29594</v>
      </c>
      <c r="I10946" t="s">
        <v>1249</v>
      </c>
      <c r="J10946" t="s">
        <v>9400</v>
      </c>
    </row>
    <row r="10947" spans="1:10" x14ac:dyDescent="0.25">
      <c r="A10947" t="s">
        <v>32474</v>
      </c>
      <c r="B10947">
        <v>3.84</v>
      </c>
      <c r="C10947" t="s">
        <v>32475</v>
      </c>
      <c r="D10947" t="s">
        <v>53</v>
      </c>
      <c r="E10947" t="s">
        <v>32476</v>
      </c>
      <c r="F10947" t="s">
        <v>7672</v>
      </c>
      <c r="G10947" t="s">
        <v>32477</v>
      </c>
      <c r="H10947" t="s">
        <v>10298</v>
      </c>
      <c r="I10947" t="s">
        <v>32478</v>
      </c>
      <c r="J10947" t="s">
        <v>7984</v>
      </c>
    </row>
    <row r="10948" spans="1:10" x14ac:dyDescent="0.25">
      <c r="A10948" t="s">
        <v>32479</v>
      </c>
      <c r="B10948">
        <v>3.84</v>
      </c>
      <c r="C10948" t="s">
        <v>32480</v>
      </c>
      <c r="D10948" t="s">
        <v>849</v>
      </c>
      <c r="E10948" t="s">
        <v>32476</v>
      </c>
      <c r="F10948" t="s">
        <v>7672</v>
      </c>
      <c r="G10948" t="s">
        <v>32477</v>
      </c>
      <c r="H10948" t="s">
        <v>10298</v>
      </c>
      <c r="I10948" t="s">
        <v>32481</v>
      </c>
      <c r="J10948" t="s">
        <v>7984</v>
      </c>
    </row>
    <row r="10949" spans="1:10" x14ac:dyDescent="0.25">
      <c r="A10949" t="s">
        <v>32482</v>
      </c>
      <c r="B10949">
        <v>3.84</v>
      </c>
      <c r="C10949" t="s">
        <v>32483</v>
      </c>
      <c r="D10949" t="s">
        <v>301</v>
      </c>
      <c r="E10949" t="s">
        <v>32476</v>
      </c>
      <c r="F10949" t="s">
        <v>7672</v>
      </c>
      <c r="G10949" t="s">
        <v>32477</v>
      </c>
      <c r="H10949" t="s">
        <v>10298</v>
      </c>
      <c r="I10949" t="s">
        <v>32484</v>
      </c>
      <c r="J10949" t="s">
        <v>7987</v>
      </c>
    </row>
    <row r="10950" spans="1:10" x14ac:dyDescent="0.25">
      <c r="A10950" t="s">
        <v>32485</v>
      </c>
      <c r="B10950">
        <v>3.84</v>
      </c>
      <c r="C10950" t="s">
        <v>32486</v>
      </c>
      <c r="D10950" t="s">
        <v>311</v>
      </c>
      <c r="E10950" t="s">
        <v>32476</v>
      </c>
      <c r="F10950" t="s">
        <v>7672</v>
      </c>
      <c r="G10950" t="s">
        <v>32477</v>
      </c>
      <c r="H10950" t="s">
        <v>10298</v>
      </c>
      <c r="I10950" t="s">
        <v>32487</v>
      </c>
      <c r="J10950" t="s">
        <v>7987</v>
      </c>
    </row>
    <row r="10951" spans="1:10" x14ac:dyDescent="0.25">
      <c r="A10951" t="s">
        <v>32488</v>
      </c>
      <c r="B10951">
        <v>3.84</v>
      </c>
      <c r="C10951" t="s">
        <v>32489</v>
      </c>
      <c r="D10951" t="s">
        <v>240</v>
      </c>
      <c r="E10951" t="s">
        <v>32476</v>
      </c>
      <c r="F10951" t="s">
        <v>7672</v>
      </c>
      <c r="G10951" t="s">
        <v>32477</v>
      </c>
      <c r="H10951" t="s">
        <v>10298</v>
      </c>
      <c r="I10951" t="s">
        <v>32490</v>
      </c>
      <c r="J10951" t="s">
        <v>7987</v>
      </c>
    </row>
    <row r="10952" spans="1:10" x14ac:dyDescent="0.25">
      <c r="A10952" t="s">
        <v>32491</v>
      </c>
      <c r="B10952">
        <v>3.84</v>
      </c>
      <c r="C10952" t="s">
        <v>32492</v>
      </c>
      <c r="D10952" t="s">
        <v>321</v>
      </c>
      <c r="E10952" t="s">
        <v>32476</v>
      </c>
      <c r="F10952" t="s">
        <v>7672</v>
      </c>
      <c r="G10952" t="s">
        <v>32477</v>
      </c>
      <c r="H10952" t="s">
        <v>10298</v>
      </c>
      <c r="I10952" t="s">
        <v>32478</v>
      </c>
      <c r="J10952" t="s">
        <v>7987</v>
      </c>
    </row>
    <row r="10953" spans="1:10" x14ac:dyDescent="0.25">
      <c r="A10953" t="s">
        <v>32493</v>
      </c>
      <c r="B10953">
        <v>3.84</v>
      </c>
      <c r="C10953" t="s">
        <v>32494</v>
      </c>
      <c r="D10953" t="s">
        <v>100</v>
      </c>
      <c r="E10953" t="s">
        <v>32476</v>
      </c>
      <c r="F10953" t="s">
        <v>7672</v>
      </c>
      <c r="G10953" t="s">
        <v>32477</v>
      </c>
      <c r="H10953" t="s">
        <v>10298</v>
      </c>
      <c r="I10953" t="s">
        <v>32495</v>
      </c>
      <c r="J10953" t="s">
        <v>7987</v>
      </c>
    </row>
    <row r="10954" spans="1:10" x14ac:dyDescent="0.25">
      <c r="A10954" t="s">
        <v>32496</v>
      </c>
      <c r="B10954">
        <v>3.84</v>
      </c>
      <c r="C10954" t="s">
        <v>32497</v>
      </c>
      <c r="D10954" t="s">
        <v>671</v>
      </c>
      <c r="E10954" t="s">
        <v>32476</v>
      </c>
      <c r="F10954" t="s">
        <v>7672</v>
      </c>
      <c r="G10954" t="s">
        <v>32477</v>
      </c>
      <c r="H10954" t="s">
        <v>10298</v>
      </c>
      <c r="I10954" t="s">
        <v>32481</v>
      </c>
      <c r="J10954" t="s">
        <v>7987</v>
      </c>
    </row>
    <row r="10955" spans="1:10" x14ac:dyDescent="0.25">
      <c r="A10955" t="s">
        <v>32498</v>
      </c>
      <c r="B10955">
        <v>3.84</v>
      </c>
      <c r="C10955" t="s">
        <v>32499</v>
      </c>
      <c r="D10955" t="s">
        <v>311</v>
      </c>
      <c r="E10955" t="s">
        <v>32476</v>
      </c>
      <c r="F10955" t="s">
        <v>7672</v>
      </c>
      <c r="G10955" t="s">
        <v>32477</v>
      </c>
      <c r="H10955" t="s">
        <v>10298</v>
      </c>
      <c r="I10955" t="s">
        <v>32500</v>
      </c>
      <c r="J10955" t="s">
        <v>7987</v>
      </c>
    </row>
    <row r="10956" spans="1:10" x14ac:dyDescent="0.25">
      <c r="A10956" t="s">
        <v>32501</v>
      </c>
      <c r="B10956">
        <v>3.84</v>
      </c>
      <c r="C10956" t="s">
        <v>32502</v>
      </c>
      <c r="D10956" t="s">
        <v>576</v>
      </c>
      <c r="E10956" t="s">
        <v>32476</v>
      </c>
      <c r="F10956" t="s">
        <v>7672</v>
      </c>
      <c r="G10956" t="s">
        <v>32477</v>
      </c>
      <c r="H10956" t="s">
        <v>10298</v>
      </c>
      <c r="I10956" t="s">
        <v>32484</v>
      </c>
      <c r="J10956" t="s">
        <v>8001</v>
      </c>
    </row>
    <row r="10957" spans="1:10" x14ac:dyDescent="0.25">
      <c r="A10957" t="s">
        <v>32503</v>
      </c>
      <c r="B10957">
        <v>3.84</v>
      </c>
      <c r="C10957" t="s">
        <v>32504</v>
      </c>
      <c r="D10957" t="s">
        <v>301</v>
      </c>
      <c r="E10957" t="s">
        <v>32476</v>
      </c>
      <c r="F10957" t="s">
        <v>7672</v>
      </c>
      <c r="G10957" t="s">
        <v>32477</v>
      </c>
      <c r="H10957" t="s">
        <v>10298</v>
      </c>
      <c r="I10957" t="s">
        <v>32487</v>
      </c>
      <c r="J10957" t="s">
        <v>8001</v>
      </c>
    </row>
    <row r="10958" spans="1:10" x14ac:dyDescent="0.25">
      <c r="A10958" t="s">
        <v>32505</v>
      </c>
      <c r="B10958">
        <v>3.84</v>
      </c>
      <c r="C10958" t="s">
        <v>32506</v>
      </c>
      <c r="D10958" t="s">
        <v>100</v>
      </c>
      <c r="E10958" t="s">
        <v>32476</v>
      </c>
      <c r="F10958" t="s">
        <v>7672</v>
      </c>
      <c r="G10958" t="s">
        <v>32477</v>
      </c>
      <c r="H10958" t="s">
        <v>10298</v>
      </c>
      <c r="I10958" t="s">
        <v>32490</v>
      </c>
      <c r="J10958" t="s">
        <v>8001</v>
      </c>
    </row>
    <row r="10959" spans="1:10" x14ac:dyDescent="0.25">
      <c r="A10959" t="s">
        <v>32507</v>
      </c>
      <c r="B10959">
        <v>3.84</v>
      </c>
      <c r="C10959" t="s">
        <v>32508</v>
      </c>
      <c r="D10959" t="s">
        <v>245</v>
      </c>
      <c r="E10959" t="s">
        <v>32476</v>
      </c>
      <c r="F10959" t="s">
        <v>7672</v>
      </c>
      <c r="G10959" t="s">
        <v>32477</v>
      </c>
      <c r="H10959" t="s">
        <v>10298</v>
      </c>
      <c r="I10959" t="s">
        <v>32478</v>
      </c>
      <c r="J10959" t="s">
        <v>8001</v>
      </c>
    </row>
    <row r="10960" spans="1:10" x14ac:dyDescent="0.25">
      <c r="A10960" t="s">
        <v>32509</v>
      </c>
      <c r="B10960">
        <v>3.84</v>
      </c>
      <c r="C10960" t="s">
        <v>32510</v>
      </c>
      <c r="D10960" t="s">
        <v>282</v>
      </c>
      <c r="E10960" t="s">
        <v>32476</v>
      </c>
      <c r="F10960" t="s">
        <v>7672</v>
      </c>
      <c r="G10960" t="s">
        <v>32477</v>
      </c>
      <c r="H10960" t="s">
        <v>10298</v>
      </c>
      <c r="I10960" t="s">
        <v>32495</v>
      </c>
      <c r="J10960" t="s">
        <v>8001</v>
      </c>
    </row>
    <row r="10961" spans="1:10" x14ac:dyDescent="0.25">
      <c r="A10961" t="s">
        <v>32511</v>
      </c>
      <c r="B10961">
        <v>3.84</v>
      </c>
      <c r="C10961" t="s">
        <v>32512</v>
      </c>
      <c r="D10961" t="s">
        <v>959</v>
      </c>
      <c r="E10961" t="s">
        <v>32476</v>
      </c>
      <c r="F10961" t="s">
        <v>7672</v>
      </c>
      <c r="G10961" t="s">
        <v>32477</v>
      </c>
      <c r="H10961" t="s">
        <v>10298</v>
      </c>
      <c r="I10961" t="s">
        <v>32481</v>
      </c>
      <c r="J10961" t="s">
        <v>8001</v>
      </c>
    </row>
    <row r="10962" spans="1:10" x14ac:dyDescent="0.25">
      <c r="A10962" t="s">
        <v>32513</v>
      </c>
      <c r="B10962">
        <v>3.84</v>
      </c>
      <c r="C10962" t="s">
        <v>32514</v>
      </c>
      <c r="D10962" t="s">
        <v>250</v>
      </c>
      <c r="E10962" t="s">
        <v>32476</v>
      </c>
      <c r="F10962" t="s">
        <v>7672</v>
      </c>
      <c r="G10962" t="s">
        <v>32477</v>
      </c>
      <c r="H10962" t="s">
        <v>10298</v>
      </c>
      <c r="I10962" t="s">
        <v>32500</v>
      </c>
      <c r="J10962" t="s">
        <v>8001</v>
      </c>
    </row>
    <row r="10963" spans="1:10" x14ac:dyDescent="0.25">
      <c r="A10963" t="s">
        <v>32515</v>
      </c>
      <c r="B10963">
        <v>3.84</v>
      </c>
      <c r="C10963" t="s">
        <v>32516</v>
      </c>
      <c r="D10963" t="s">
        <v>436</v>
      </c>
      <c r="E10963" t="s">
        <v>32476</v>
      </c>
      <c r="F10963" t="s">
        <v>7672</v>
      </c>
      <c r="G10963" t="s">
        <v>32477</v>
      </c>
      <c r="H10963" t="s">
        <v>10298</v>
      </c>
      <c r="I10963" t="s">
        <v>32484</v>
      </c>
      <c r="J10963" t="s">
        <v>8013</v>
      </c>
    </row>
    <row r="10964" spans="1:10" x14ac:dyDescent="0.25">
      <c r="A10964" t="s">
        <v>32517</v>
      </c>
      <c r="B10964">
        <v>3.84</v>
      </c>
      <c r="C10964" t="s">
        <v>32518</v>
      </c>
      <c r="D10964" t="s">
        <v>95</v>
      </c>
      <c r="E10964" t="s">
        <v>32476</v>
      </c>
      <c r="F10964" t="s">
        <v>7672</v>
      </c>
      <c r="G10964" t="s">
        <v>32477</v>
      </c>
      <c r="H10964" t="s">
        <v>10298</v>
      </c>
      <c r="I10964" t="s">
        <v>32487</v>
      </c>
      <c r="J10964" t="s">
        <v>8013</v>
      </c>
    </row>
    <row r="10965" spans="1:10" x14ac:dyDescent="0.25">
      <c r="A10965" t="s">
        <v>32519</v>
      </c>
      <c r="B10965">
        <v>3.84</v>
      </c>
      <c r="C10965" t="s">
        <v>32520</v>
      </c>
      <c r="D10965" t="s">
        <v>2697</v>
      </c>
      <c r="E10965" t="s">
        <v>32476</v>
      </c>
      <c r="F10965" t="s">
        <v>7672</v>
      </c>
      <c r="G10965" t="s">
        <v>32477</v>
      </c>
      <c r="H10965" t="s">
        <v>10298</v>
      </c>
      <c r="I10965" t="s">
        <v>32478</v>
      </c>
      <c r="J10965" t="s">
        <v>8013</v>
      </c>
    </row>
    <row r="10966" spans="1:10" x14ac:dyDescent="0.25">
      <c r="A10966" t="s">
        <v>32521</v>
      </c>
      <c r="B10966">
        <v>3.84</v>
      </c>
      <c r="C10966" t="s">
        <v>32522</v>
      </c>
      <c r="D10966" t="s">
        <v>576</v>
      </c>
      <c r="E10966" t="s">
        <v>32476</v>
      </c>
      <c r="F10966" t="s">
        <v>7672</v>
      </c>
      <c r="G10966" t="s">
        <v>32477</v>
      </c>
      <c r="H10966" t="s">
        <v>10298</v>
      </c>
      <c r="I10966" t="s">
        <v>32481</v>
      </c>
      <c r="J10966" t="s">
        <v>8013</v>
      </c>
    </row>
    <row r="10967" spans="1:10" x14ac:dyDescent="0.25">
      <c r="A10967" t="s">
        <v>32523</v>
      </c>
      <c r="B10967">
        <v>3.84</v>
      </c>
      <c r="C10967" t="s">
        <v>32524</v>
      </c>
      <c r="D10967" t="s">
        <v>742</v>
      </c>
      <c r="E10967" t="s">
        <v>32476</v>
      </c>
      <c r="F10967" t="s">
        <v>7672</v>
      </c>
      <c r="G10967" t="s">
        <v>32477</v>
      </c>
      <c r="H10967" t="s">
        <v>10298</v>
      </c>
      <c r="I10967" t="s">
        <v>32500</v>
      </c>
      <c r="J10967" t="s">
        <v>8013</v>
      </c>
    </row>
    <row r="10968" spans="1:10" x14ac:dyDescent="0.25">
      <c r="A10968" t="s">
        <v>32525</v>
      </c>
      <c r="B10968">
        <v>3.84</v>
      </c>
      <c r="C10968" t="s">
        <v>32526</v>
      </c>
      <c r="D10968" t="s">
        <v>282</v>
      </c>
      <c r="E10968" t="s">
        <v>32476</v>
      </c>
      <c r="F10968" t="s">
        <v>7672</v>
      </c>
      <c r="G10968" t="s">
        <v>32477</v>
      </c>
      <c r="H10968" t="s">
        <v>10298</v>
      </c>
      <c r="I10968" t="s">
        <v>32495</v>
      </c>
      <c r="J10968" t="s">
        <v>8013</v>
      </c>
    </row>
    <row r="10969" spans="1:10" x14ac:dyDescent="0.25">
      <c r="A10969" t="s">
        <v>32527</v>
      </c>
      <c r="B10969">
        <v>16.239999999999998</v>
      </c>
      <c r="C10969" t="s">
        <v>32528</v>
      </c>
      <c r="D10969" t="s">
        <v>576</v>
      </c>
      <c r="E10969" t="s">
        <v>32529</v>
      </c>
      <c r="F10969" t="s">
        <v>7672</v>
      </c>
      <c r="G10969" t="s">
        <v>32530</v>
      </c>
      <c r="H10969" t="s">
        <v>8087</v>
      </c>
      <c r="I10969" t="s">
        <v>28512</v>
      </c>
      <c r="J10969" t="s">
        <v>7942</v>
      </c>
    </row>
    <row r="10970" spans="1:10" x14ac:dyDescent="0.25">
      <c r="A10970" t="s">
        <v>1269</v>
      </c>
      <c r="B10970">
        <v>12</v>
      </c>
      <c r="C10970" t="s">
        <v>1271</v>
      </c>
      <c r="D10970" t="s">
        <v>255</v>
      </c>
      <c r="E10970" t="s">
        <v>1272</v>
      </c>
      <c r="F10970" t="s">
        <v>7672</v>
      </c>
      <c r="G10970" t="s">
        <v>32531</v>
      </c>
      <c r="H10970" t="s">
        <v>10321</v>
      </c>
      <c r="I10970" t="s">
        <v>32532</v>
      </c>
      <c r="J10970" t="s">
        <v>7981</v>
      </c>
    </row>
    <row r="10971" spans="1:10" x14ac:dyDescent="0.25">
      <c r="A10971" t="s">
        <v>32533</v>
      </c>
      <c r="B10971">
        <v>4.7520000000000007</v>
      </c>
      <c r="C10971" t="s">
        <v>32534</v>
      </c>
      <c r="D10971" t="s">
        <v>60</v>
      </c>
      <c r="E10971" t="s">
        <v>32535</v>
      </c>
      <c r="F10971" t="s">
        <v>7672</v>
      </c>
      <c r="G10971" t="s">
        <v>32536</v>
      </c>
      <c r="H10971" t="s">
        <v>8515</v>
      </c>
      <c r="I10971" t="s">
        <v>13431</v>
      </c>
      <c r="J10971" t="s">
        <v>100</v>
      </c>
    </row>
    <row r="10972" spans="1:10" x14ac:dyDescent="0.25">
      <c r="A10972" t="s">
        <v>32537</v>
      </c>
      <c r="B10972">
        <v>4.7520000000000007</v>
      </c>
      <c r="C10972" t="s">
        <v>32538</v>
      </c>
      <c r="D10972" t="s">
        <v>88</v>
      </c>
      <c r="E10972" t="s">
        <v>32535</v>
      </c>
      <c r="F10972" t="s">
        <v>7672</v>
      </c>
      <c r="G10972" t="s">
        <v>32536</v>
      </c>
      <c r="H10972" t="s">
        <v>8515</v>
      </c>
      <c r="I10972" t="s">
        <v>32539</v>
      </c>
      <c r="J10972" t="s">
        <v>100</v>
      </c>
    </row>
    <row r="10973" spans="1:10" x14ac:dyDescent="0.25">
      <c r="A10973" t="s">
        <v>32540</v>
      </c>
      <c r="B10973">
        <v>4.7520000000000007</v>
      </c>
      <c r="C10973" t="s">
        <v>32541</v>
      </c>
      <c r="D10973" t="s">
        <v>342</v>
      </c>
      <c r="E10973" t="s">
        <v>32535</v>
      </c>
      <c r="F10973" t="s">
        <v>7672</v>
      </c>
      <c r="G10973" t="s">
        <v>32536</v>
      </c>
      <c r="H10973" t="s">
        <v>8515</v>
      </c>
      <c r="I10973" t="s">
        <v>15261</v>
      </c>
      <c r="J10973" t="s">
        <v>100</v>
      </c>
    </row>
    <row r="10974" spans="1:10" x14ac:dyDescent="0.25">
      <c r="A10974" t="s">
        <v>32542</v>
      </c>
      <c r="B10974">
        <v>4.7520000000000007</v>
      </c>
      <c r="C10974" t="s">
        <v>32543</v>
      </c>
      <c r="D10974" t="s">
        <v>131</v>
      </c>
      <c r="E10974" t="s">
        <v>32535</v>
      </c>
      <c r="F10974" t="s">
        <v>7672</v>
      </c>
      <c r="G10974" t="s">
        <v>32536</v>
      </c>
      <c r="H10974" t="s">
        <v>8515</v>
      </c>
      <c r="I10974" t="s">
        <v>13431</v>
      </c>
      <c r="J10974" t="s">
        <v>106</v>
      </c>
    </row>
    <row r="10975" spans="1:10" x14ac:dyDescent="0.25">
      <c r="A10975" t="s">
        <v>32544</v>
      </c>
      <c r="B10975">
        <v>4.7520000000000007</v>
      </c>
      <c r="C10975" t="s">
        <v>32545</v>
      </c>
      <c r="D10975" t="s">
        <v>576</v>
      </c>
      <c r="E10975" t="s">
        <v>32535</v>
      </c>
      <c r="F10975" t="s">
        <v>7672</v>
      </c>
      <c r="G10975" t="s">
        <v>32536</v>
      </c>
      <c r="H10975" t="s">
        <v>8515</v>
      </c>
      <c r="I10975" t="s">
        <v>32539</v>
      </c>
      <c r="J10975" t="s">
        <v>106</v>
      </c>
    </row>
    <row r="10976" spans="1:10" x14ac:dyDescent="0.25">
      <c r="A10976" t="s">
        <v>32546</v>
      </c>
      <c r="B10976">
        <v>4.7520000000000007</v>
      </c>
      <c r="C10976" t="s">
        <v>32547</v>
      </c>
      <c r="D10976" t="s">
        <v>277</v>
      </c>
      <c r="E10976" t="s">
        <v>32535</v>
      </c>
      <c r="F10976" t="s">
        <v>7672</v>
      </c>
      <c r="G10976" t="s">
        <v>32536</v>
      </c>
      <c r="H10976" t="s">
        <v>8515</v>
      </c>
      <c r="I10976" t="s">
        <v>15261</v>
      </c>
      <c r="J10976" t="s">
        <v>106</v>
      </c>
    </row>
    <row r="10977" spans="1:10" x14ac:dyDescent="0.25">
      <c r="A10977" t="s">
        <v>32548</v>
      </c>
      <c r="B10977">
        <v>4.7520000000000007</v>
      </c>
      <c r="C10977" t="s">
        <v>32549</v>
      </c>
      <c r="D10977" t="s">
        <v>2879</v>
      </c>
      <c r="E10977" t="s">
        <v>32535</v>
      </c>
      <c r="F10977" t="s">
        <v>7672</v>
      </c>
      <c r="G10977" t="s">
        <v>32536</v>
      </c>
      <c r="H10977" t="s">
        <v>8515</v>
      </c>
      <c r="I10977" t="s">
        <v>13431</v>
      </c>
      <c r="J10977" t="s">
        <v>88</v>
      </c>
    </row>
    <row r="10978" spans="1:10" x14ac:dyDescent="0.25">
      <c r="A10978" t="s">
        <v>32550</v>
      </c>
      <c r="B10978">
        <v>4.7520000000000007</v>
      </c>
      <c r="C10978" t="s">
        <v>32551</v>
      </c>
      <c r="D10978" t="s">
        <v>229</v>
      </c>
      <c r="E10978" t="s">
        <v>32535</v>
      </c>
      <c r="F10978" t="s">
        <v>7672</v>
      </c>
      <c r="G10978" t="s">
        <v>32536</v>
      </c>
      <c r="H10978" t="s">
        <v>8515</v>
      </c>
      <c r="I10978" t="s">
        <v>32539</v>
      </c>
      <c r="J10978" t="s">
        <v>88</v>
      </c>
    </row>
    <row r="10979" spans="1:10" x14ac:dyDescent="0.25">
      <c r="A10979" t="s">
        <v>32552</v>
      </c>
      <c r="B10979">
        <v>4.7520000000000007</v>
      </c>
      <c r="C10979" t="s">
        <v>32553</v>
      </c>
      <c r="D10979" t="s">
        <v>229</v>
      </c>
      <c r="E10979" t="s">
        <v>32535</v>
      </c>
      <c r="F10979" t="s">
        <v>7672</v>
      </c>
      <c r="G10979" t="s">
        <v>32536</v>
      </c>
      <c r="H10979" t="s">
        <v>8515</v>
      </c>
      <c r="I10979" t="s">
        <v>15261</v>
      </c>
      <c r="J10979" t="s">
        <v>88</v>
      </c>
    </row>
    <row r="10980" spans="1:10" x14ac:dyDescent="0.25">
      <c r="A10980" t="s">
        <v>32554</v>
      </c>
      <c r="B10980">
        <v>4.7520000000000007</v>
      </c>
      <c r="C10980" t="s">
        <v>32555</v>
      </c>
      <c r="D10980" t="s">
        <v>199</v>
      </c>
      <c r="E10980" t="s">
        <v>32535</v>
      </c>
      <c r="F10980" t="s">
        <v>7672</v>
      </c>
      <c r="G10980" t="s">
        <v>32536</v>
      </c>
      <c r="H10980" t="s">
        <v>8515</v>
      </c>
      <c r="I10980" t="s">
        <v>13431</v>
      </c>
      <c r="J10980" t="s">
        <v>8531</v>
      </c>
    </row>
    <row r="10981" spans="1:10" x14ac:dyDescent="0.25">
      <c r="A10981" t="s">
        <v>32556</v>
      </c>
      <c r="B10981">
        <v>4.7520000000000007</v>
      </c>
      <c r="C10981" t="s">
        <v>32557</v>
      </c>
      <c r="D10981" t="s">
        <v>199</v>
      </c>
      <c r="E10981" t="s">
        <v>32535</v>
      </c>
      <c r="F10981" t="s">
        <v>7672</v>
      </c>
      <c r="G10981" t="s">
        <v>32536</v>
      </c>
      <c r="H10981" t="s">
        <v>8515</v>
      </c>
      <c r="I10981" t="s">
        <v>32539</v>
      </c>
      <c r="J10981" t="s">
        <v>8531</v>
      </c>
    </row>
    <row r="10982" spans="1:10" x14ac:dyDescent="0.25">
      <c r="A10982" t="s">
        <v>32558</v>
      </c>
      <c r="B10982">
        <v>4.7520000000000007</v>
      </c>
      <c r="C10982" t="s">
        <v>32559</v>
      </c>
      <c r="D10982" t="s">
        <v>352</v>
      </c>
      <c r="E10982" t="s">
        <v>32535</v>
      </c>
      <c r="F10982" t="s">
        <v>7672</v>
      </c>
      <c r="G10982" t="s">
        <v>32536</v>
      </c>
      <c r="H10982" t="s">
        <v>8515</v>
      </c>
      <c r="I10982" t="s">
        <v>15261</v>
      </c>
      <c r="J10982" t="s">
        <v>8531</v>
      </c>
    </row>
    <row r="10983" spans="1:10" x14ac:dyDescent="0.25">
      <c r="A10983" t="s">
        <v>32560</v>
      </c>
      <c r="B10983">
        <v>4.7520000000000007</v>
      </c>
      <c r="C10983" t="s">
        <v>32561</v>
      </c>
      <c r="D10983" t="s">
        <v>234</v>
      </c>
      <c r="E10983" t="s">
        <v>32535</v>
      </c>
      <c r="F10983" t="s">
        <v>7672</v>
      </c>
      <c r="G10983" t="s">
        <v>32536</v>
      </c>
      <c r="H10983" t="s">
        <v>8515</v>
      </c>
      <c r="I10983" t="s">
        <v>13431</v>
      </c>
      <c r="J10983" t="s">
        <v>131</v>
      </c>
    </row>
    <row r="10984" spans="1:10" x14ac:dyDescent="0.25">
      <c r="A10984" t="s">
        <v>32562</v>
      </c>
      <c r="B10984">
        <v>4.7520000000000007</v>
      </c>
      <c r="C10984" t="s">
        <v>32563</v>
      </c>
      <c r="D10984" t="s">
        <v>124</v>
      </c>
      <c r="E10984" t="s">
        <v>32535</v>
      </c>
      <c r="F10984" t="s">
        <v>7672</v>
      </c>
      <c r="G10984" t="s">
        <v>32536</v>
      </c>
      <c r="H10984" t="s">
        <v>8515</v>
      </c>
      <c r="I10984" t="s">
        <v>32539</v>
      </c>
      <c r="J10984" t="s">
        <v>131</v>
      </c>
    </row>
    <row r="10985" spans="1:10" x14ac:dyDescent="0.25">
      <c r="A10985" t="s">
        <v>32564</v>
      </c>
      <c r="B10985">
        <v>4.7520000000000007</v>
      </c>
      <c r="C10985" t="s">
        <v>32565</v>
      </c>
      <c r="D10985" t="s">
        <v>124</v>
      </c>
      <c r="E10985" t="s">
        <v>32535</v>
      </c>
      <c r="F10985" t="s">
        <v>7672</v>
      </c>
      <c r="G10985" t="s">
        <v>32536</v>
      </c>
      <c r="H10985" t="s">
        <v>8515</v>
      </c>
      <c r="I10985" t="s">
        <v>15261</v>
      </c>
      <c r="J10985" t="s">
        <v>131</v>
      </c>
    </row>
    <row r="10986" spans="1:10" x14ac:dyDescent="0.25">
      <c r="A10986" t="s">
        <v>32566</v>
      </c>
      <c r="B10986">
        <v>4.7520000000000007</v>
      </c>
      <c r="C10986" t="s">
        <v>32567</v>
      </c>
      <c r="D10986" t="s">
        <v>359</v>
      </c>
      <c r="E10986" t="s">
        <v>32535</v>
      </c>
      <c r="F10986" t="s">
        <v>7672</v>
      </c>
      <c r="G10986" t="s">
        <v>32536</v>
      </c>
      <c r="H10986" t="s">
        <v>8515</v>
      </c>
      <c r="I10986" t="s">
        <v>13431</v>
      </c>
      <c r="J10986" t="s">
        <v>269</v>
      </c>
    </row>
    <row r="10987" spans="1:10" x14ac:dyDescent="0.25">
      <c r="A10987" t="s">
        <v>32568</v>
      </c>
      <c r="B10987">
        <v>4.7520000000000007</v>
      </c>
      <c r="C10987" t="s">
        <v>32569</v>
      </c>
      <c r="D10987" t="s">
        <v>359</v>
      </c>
      <c r="E10987" t="s">
        <v>32535</v>
      </c>
      <c r="F10987" t="s">
        <v>7672</v>
      </c>
      <c r="G10987" t="s">
        <v>32536</v>
      </c>
      <c r="H10987" t="s">
        <v>8515</v>
      </c>
      <c r="I10987" t="s">
        <v>32539</v>
      </c>
      <c r="J10987" t="s">
        <v>269</v>
      </c>
    </row>
    <row r="10988" spans="1:10" x14ac:dyDescent="0.25">
      <c r="A10988" t="s">
        <v>32570</v>
      </c>
      <c r="B10988">
        <v>4.7520000000000007</v>
      </c>
      <c r="C10988" t="s">
        <v>32571</v>
      </c>
      <c r="D10988" t="s">
        <v>359</v>
      </c>
      <c r="E10988" t="s">
        <v>32535</v>
      </c>
      <c r="F10988" t="s">
        <v>7672</v>
      </c>
      <c r="G10988" t="s">
        <v>32536</v>
      </c>
      <c r="H10988" t="s">
        <v>8515</v>
      </c>
      <c r="I10988" t="s">
        <v>15261</v>
      </c>
      <c r="J10988" t="s">
        <v>269</v>
      </c>
    </row>
    <row r="10989" spans="1:10" x14ac:dyDescent="0.25">
      <c r="A10989" t="s">
        <v>32572</v>
      </c>
      <c r="B10989">
        <v>4.7520000000000007</v>
      </c>
      <c r="C10989" t="s">
        <v>32573</v>
      </c>
      <c r="D10989" t="s">
        <v>1822</v>
      </c>
      <c r="E10989" t="s">
        <v>32535</v>
      </c>
      <c r="F10989" t="s">
        <v>7672</v>
      </c>
      <c r="G10989" t="s">
        <v>32536</v>
      </c>
      <c r="H10989" t="s">
        <v>8515</v>
      </c>
      <c r="I10989" t="s">
        <v>13431</v>
      </c>
      <c r="J10989" t="s">
        <v>255</v>
      </c>
    </row>
    <row r="10990" spans="1:10" x14ac:dyDescent="0.25">
      <c r="A10990" t="s">
        <v>32574</v>
      </c>
      <c r="B10990">
        <v>4.7520000000000007</v>
      </c>
      <c r="C10990" t="s">
        <v>32575</v>
      </c>
      <c r="D10990" t="s">
        <v>124</v>
      </c>
      <c r="E10990" t="s">
        <v>32535</v>
      </c>
      <c r="F10990" t="s">
        <v>7672</v>
      </c>
      <c r="G10990" t="s">
        <v>32536</v>
      </c>
      <c r="H10990" t="s">
        <v>8515</v>
      </c>
      <c r="I10990" t="s">
        <v>32539</v>
      </c>
      <c r="J10990" t="s">
        <v>255</v>
      </c>
    </row>
    <row r="10991" spans="1:10" x14ac:dyDescent="0.25">
      <c r="A10991" t="s">
        <v>32576</v>
      </c>
      <c r="B10991">
        <v>4.7520000000000007</v>
      </c>
      <c r="C10991" t="s">
        <v>32577</v>
      </c>
      <c r="D10991" t="s">
        <v>2022</v>
      </c>
      <c r="E10991" t="s">
        <v>32535</v>
      </c>
      <c r="F10991" t="s">
        <v>7672</v>
      </c>
      <c r="G10991" t="s">
        <v>32536</v>
      </c>
      <c r="H10991" t="s">
        <v>8515</v>
      </c>
      <c r="I10991" t="s">
        <v>15261</v>
      </c>
      <c r="J10991" t="s">
        <v>255</v>
      </c>
    </row>
    <row r="10992" spans="1:10" x14ac:dyDescent="0.25">
      <c r="A10992" t="s">
        <v>32578</v>
      </c>
      <c r="B10992">
        <v>4.7520000000000007</v>
      </c>
      <c r="C10992" t="s">
        <v>32579</v>
      </c>
      <c r="D10992" t="s">
        <v>118</v>
      </c>
      <c r="E10992" t="s">
        <v>32535</v>
      </c>
      <c r="F10992" t="s">
        <v>7672</v>
      </c>
      <c r="G10992" t="s">
        <v>32536</v>
      </c>
      <c r="H10992" t="s">
        <v>8515</v>
      </c>
      <c r="I10992" t="s">
        <v>13431</v>
      </c>
      <c r="J10992" t="s">
        <v>277</v>
      </c>
    </row>
    <row r="10993" spans="1:10" x14ac:dyDescent="0.25">
      <c r="A10993" t="s">
        <v>32580</v>
      </c>
      <c r="B10993">
        <v>4.7520000000000007</v>
      </c>
      <c r="C10993" t="s">
        <v>32581</v>
      </c>
      <c r="D10993" t="s">
        <v>229</v>
      </c>
      <c r="E10993" t="s">
        <v>32535</v>
      </c>
      <c r="F10993" t="s">
        <v>7672</v>
      </c>
      <c r="G10993" t="s">
        <v>32536</v>
      </c>
      <c r="H10993" t="s">
        <v>8515</v>
      </c>
      <c r="I10993" t="s">
        <v>32539</v>
      </c>
      <c r="J10993" t="s">
        <v>277</v>
      </c>
    </row>
    <row r="10994" spans="1:10" x14ac:dyDescent="0.25">
      <c r="A10994" t="s">
        <v>32582</v>
      </c>
      <c r="B10994">
        <v>4.7520000000000007</v>
      </c>
      <c r="C10994" t="s">
        <v>32583</v>
      </c>
      <c r="D10994" t="s">
        <v>588</v>
      </c>
      <c r="E10994" t="s">
        <v>32535</v>
      </c>
      <c r="F10994" t="s">
        <v>7672</v>
      </c>
      <c r="G10994" t="s">
        <v>32536</v>
      </c>
      <c r="H10994" t="s">
        <v>8515</v>
      </c>
      <c r="I10994" t="s">
        <v>15261</v>
      </c>
      <c r="J10994" t="s">
        <v>277</v>
      </c>
    </row>
    <row r="10995" spans="1:10" x14ac:dyDescent="0.25">
      <c r="A10995" t="s">
        <v>32584</v>
      </c>
      <c r="B10995">
        <v>13.087999999999999</v>
      </c>
      <c r="C10995" t="s">
        <v>32585</v>
      </c>
      <c r="D10995" t="s">
        <v>342</v>
      </c>
      <c r="E10995" t="s">
        <v>32586</v>
      </c>
      <c r="F10995" t="s">
        <v>7672</v>
      </c>
      <c r="G10995" t="s">
        <v>32587</v>
      </c>
      <c r="H10995" t="s">
        <v>10970</v>
      </c>
      <c r="I10995" t="s">
        <v>32588</v>
      </c>
      <c r="J10995" t="s">
        <v>7675</v>
      </c>
    </row>
    <row r="10996" spans="1:10" x14ac:dyDescent="0.25">
      <c r="A10996" t="s">
        <v>32589</v>
      </c>
      <c r="B10996">
        <v>13.087999999999999</v>
      </c>
      <c r="C10996" t="s">
        <v>32590</v>
      </c>
      <c r="D10996" t="s">
        <v>106</v>
      </c>
      <c r="E10996" t="s">
        <v>32586</v>
      </c>
      <c r="F10996" t="s">
        <v>7672</v>
      </c>
      <c r="G10996" t="s">
        <v>32587</v>
      </c>
      <c r="H10996" t="s">
        <v>10970</v>
      </c>
      <c r="I10996" t="s">
        <v>32588</v>
      </c>
      <c r="J10996" t="s">
        <v>7703</v>
      </c>
    </row>
    <row r="10997" spans="1:10" x14ac:dyDescent="0.25">
      <c r="A10997" t="s">
        <v>32591</v>
      </c>
      <c r="B10997">
        <v>13.087999999999999</v>
      </c>
      <c r="C10997" t="s">
        <v>32592</v>
      </c>
      <c r="D10997" t="s">
        <v>255</v>
      </c>
      <c r="E10997" t="s">
        <v>32586</v>
      </c>
      <c r="F10997" t="s">
        <v>7672</v>
      </c>
      <c r="G10997" t="s">
        <v>32587</v>
      </c>
      <c r="H10997" t="s">
        <v>10970</v>
      </c>
      <c r="I10997" t="s">
        <v>32588</v>
      </c>
      <c r="J10997" t="s">
        <v>7713</v>
      </c>
    </row>
    <row r="10998" spans="1:10" x14ac:dyDescent="0.25">
      <c r="A10998" t="s">
        <v>32593</v>
      </c>
      <c r="B10998">
        <v>3.52</v>
      </c>
      <c r="C10998" t="s">
        <v>32594</v>
      </c>
      <c r="D10998" t="s">
        <v>613</v>
      </c>
      <c r="E10998" t="s">
        <v>32595</v>
      </c>
      <c r="F10998" t="s">
        <v>7672</v>
      </c>
      <c r="G10998" t="s">
        <v>32596</v>
      </c>
      <c r="H10998" t="s">
        <v>8301</v>
      </c>
      <c r="I10998" t="s">
        <v>32200</v>
      </c>
      <c r="J10998" t="s">
        <v>9694</v>
      </c>
    </row>
    <row r="10999" spans="1:10" x14ac:dyDescent="0.25">
      <c r="A10999" t="s">
        <v>32597</v>
      </c>
      <c r="B10999">
        <v>1.6719999999999999</v>
      </c>
      <c r="C10999" t="s">
        <v>32598</v>
      </c>
      <c r="D10999" t="s">
        <v>342</v>
      </c>
      <c r="E10999" t="s">
        <v>32599</v>
      </c>
      <c r="F10999" t="s">
        <v>7672</v>
      </c>
      <c r="G10999" t="s">
        <v>32600</v>
      </c>
      <c r="H10999" t="s">
        <v>8515</v>
      </c>
      <c r="I10999" t="s">
        <v>5202</v>
      </c>
      <c r="J10999" t="s">
        <v>11767</v>
      </c>
    </row>
    <row r="11000" spans="1:10" x14ac:dyDescent="0.25">
      <c r="A11000" t="s">
        <v>32601</v>
      </c>
      <c r="B11000">
        <v>3.6320000000000001</v>
      </c>
      <c r="C11000" t="s">
        <v>32602</v>
      </c>
      <c r="D11000" t="s">
        <v>875</v>
      </c>
      <c r="E11000" t="s">
        <v>32603</v>
      </c>
      <c r="F11000" t="s">
        <v>7672</v>
      </c>
      <c r="G11000" t="s">
        <v>32604</v>
      </c>
      <c r="H11000" t="s">
        <v>8515</v>
      </c>
      <c r="I11000" t="s">
        <v>3030</v>
      </c>
      <c r="J11000" t="s">
        <v>100</v>
      </c>
    </row>
    <row r="11001" spans="1:10" x14ac:dyDescent="0.25">
      <c r="A11001" t="s">
        <v>32605</v>
      </c>
      <c r="B11001">
        <v>10.44</v>
      </c>
      <c r="C11001" t="s">
        <v>32606</v>
      </c>
      <c r="D11001" t="s">
        <v>32607</v>
      </c>
      <c r="E11001" t="s">
        <v>32608</v>
      </c>
      <c r="F11001" t="s">
        <v>7672</v>
      </c>
      <c r="G11001" t="s">
        <v>32609</v>
      </c>
      <c r="H11001" t="s">
        <v>11381</v>
      </c>
      <c r="I11001" t="s">
        <v>25725</v>
      </c>
      <c r="J11001" t="s">
        <v>9023</v>
      </c>
    </row>
    <row r="11002" spans="1:10" x14ac:dyDescent="0.25">
      <c r="A11002" t="s">
        <v>32610</v>
      </c>
      <c r="B11002">
        <v>10.44</v>
      </c>
      <c r="C11002" t="s">
        <v>32611</v>
      </c>
      <c r="D11002" t="s">
        <v>32612</v>
      </c>
      <c r="E11002" t="s">
        <v>32608</v>
      </c>
      <c r="F11002" t="s">
        <v>7672</v>
      </c>
      <c r="G11002" t="s">
        <v>32609</v>
      </c>
      <c r="H11002" t="s">
        <v>11381</v>
      </c>
      <c r="I11002" t="s">
        <v>25725</v>
      </c>
      <c r="J11002" t="s">
        <v>8883</v>
      </c>
    </row>
    <row r="11003" spans="1:10" x14ac:dyDescent="0.25">
      <c r="A11003" t="s">
        <v>32613</v>
      </c>
      <c r="B11003">
        <v>10.44</v>
      </c>
      <c r="C11003" t="s">
        <v>32614</v>
      </c>
      <c r="D11003" t="s">
        <v>17462</v>
      </c>
      <c r="E11003" t="s">
        <v>32608</v>
      </c>
      <c r="F11003" t="s">
        <v>7672</v>
      </c>
      <c r="G11003" t="s">
        <v>32609</v>
      </c>
      <c r="H11003" t="s">
        <v>11381</v>
      </c>
      <c r="I11003" t="s">
        <v>25725</v>
      </c>
      <c r="J11003" t="s">
        <v>10908</v>
      </c>
    </row>
    <row r="11004" spans="1:10" x14ac:dyDescent="0.25">
      <c r="A11004" t="s">
        <v>32615</v>
      </c>
      <c r="B11004">
        <v>10.44</v>
      </c>
      <c r="C11004" t="s">
        <v>32616</v>
      </c>
      <c r="D11004" t="s">
        <v>1741</v>
      </c>
      <c r="E11004" t="s">
        <v>32608</v>
      </c>
      <c r="F11004" t="s">
        <v>7672</v>
      </c>
      <c r="G11004" t="s">
        <v>32609</v>
      </c>
      <c r="H11004" t="s">
        <v>11381</v>
      </c>
      <c r="I11004" t="s">
        <v>25725</v>
      </c>
      <c r="J11004" t="s">
        <v>8885</v>
      </c>
    </row>
    <row r="11005" spans="1:10" x14ac:dyDescent="0.25">
      <c r="A11005" t="s">
        <v>32617</v>
      </c>
      <c r="B11005">
        <v>10.44</v>
      </c>
      <c r="C11005" t="s">
        <v>32618</v>
      </c>
      <c r="D11005" t="s">
        <v>32619</v>
      </c>
      <c r="E11005" t="s">
        <v>32608</v>
      </c>
      <c r="F11005" t="s">
        <v>7672</v>
      </c>
      <c r="G11005" t="s">
        <v>32609</v>
      </c>
      <c r="H11005" t="s">
        <v>11381</v>
      </c>
      <c r="I11005" t="s">
        <v>25725</v>
      </c>
      <c r="J11005" t="s">
        <v>10926</v>
      </c>
    </row>
    <row r="11006" spans="1:10" x14ac:dyDescent="0.25">
      <c r="A11006" t="s">
        <v>32620</v>
      </c>
      <c r="B11006">
        <v>10.44</v>
      </c>
      <c r="C11006" t="s">
        <v>32621</v>
      </c>
      <c r="D11006" t="s">
        <v>10295</v>
      </c>
      <c r="E11006" t="s">
        <v>32608</v>
      </c>
      <c r="F11006" t="s">
        <v>7672</v>
      </c>
      <c r="G11006" t="s">
        <v>32609</v>
      </c>
      <c r="H11006" t="s">
        <v>11381</v>
      </c>
      <c r="I11006" t="s">
        <v>25725</v>
      </c>
      <c r="J11006" t="s">
        <v>10918</v>
      </c>
    </row>
    <row r="11007" spans="1:10" x14ac:dyDescent="0.25">
      <c r="A11007" t="s">
        <v>32622</v>
      </c>
      <c r="B11007">
        <v>10.44</v>
      </c>
      <c r="C11007" t="s">
        <v>32623</v>
      </c>
      <c r="D11007" t="s">
        <v>113</v>
      </c>
      <c r="E11007" t="s">
        <v>32608</v>
      </c>
      <c r="F11007" t="s">
        <v>7672</v>
      </c>
      <c r="G11007" t="s">
        <v>32609</v>
      </c>
      <c r="H11007" t="s">
        <v>11381</v>
      </c>
      <c r="I11007" t="s">
        <v>25725</v>
      </c>
      <c r="J11007" t="s">
        <v>9061</v>
      </c>
    </row>
    <row r="11008" spans="1:10" x14ac:dyDescent="0.25">
      <c r="A11008" t="s">
        <v>32624</v>
      </c>
      <c r="B11008">
        <v>5.2</v>
      </c>
      <c r="C11008" t="s">
        <v>32625</v>
      </c>
      <c r="D11008" t="s">
        <v>964</v>
      </c>
      <c r="E11008" t="s">
        <v>32626</v>
      </c>
      <c r="F11008" t="s">
        <v>7672</v>
      </c>
      <c r="G11008" t="s">
        <v>32627</v>
      </c>
      <c r="H11008" t="s">
        <v>8515</v>
      </c>
      <c r="I11008" t="s">
        <v>32628</v>
      </c>
      <c r="J11008" t="s">
        <v>277</v>
      </c>
    </row>
    <row r="11009" spans="1:10" x14ac:dyDescent="0.25">
      <c r="A11009" t="s">
        <v>32629</v>
      </c>
      <c r="B11009">
        <v>5.4</v>
      </c>
      <c r="C11009" t="s">
        <v>32630</v>
      </c>
      <c r="D11009" t="s">
        <v>366</v>
      </c>
      <c r="E11009" t="s">
        <v>32631</v>
      </c>
      <c r="F11009" t="s">
        <v>7672</v>
      </c>
      <c r="G11009" t="s">
        <v>32632</v>
      </c>
      <c r="H11009" t="s">
        <v>9127</v>
      </c>
      <c r="I11009" t="s">
        <v>76</v>
      </c>
      <c r="J11009" t="s">
        <v>7942</v>
      </c>
    </row>
    <row r="11010" spans="1:10" x14ac:dyDescent="0.25">
      <c r="A11010" t="s">
        <v>32633</v>
      </c>
      <c r="B11010">
        <v>9</v>
      </c>
      <c r="C11010" t="s">
        <v>32634</v>
      </c>
      <c r="D11010" t="s">
        <v>385</v>
      </c>
      <c r="E11010" t="s">
        <v>32635</v>
      </c>
      <c r="F11010" t="s">
        <v>7672</v>
      </c>
      <c r="G11010" t="s">
        <v>32636</v>
      </c>
      <c r="H11010" t="s">
        <v>8027</v>
      </c>
      <c r="I11010" t="s">
        <v>8252</v>
      </c>
      <c r="J11010" t="s">
        <v>7987</v>
      </c>
    </row>
    <row r="11011" spans="1:10" x14ac:dyDescent="0.25">
      <c r="A11011" t="s">
        <v>32637</v>
      </c>
      <c r="B11011">
        <v>9</v>
      </c>
      <c r="C11011" t="s">
        <v>32638</v>
      </c>
      <c r="D11011" t="s">
        <v>301</v>
      </c>
      <c r="E11011" t="s">
        <v>32635</v>
      </c>
      <c r="F11011" t="s">
        <v>7672</v>
      </c>
      <c r="G11011" t="s">
        <v>32636</v>
      </c>
      <c r="H11011" t="s">
        <v>8027</v>
      </c>
      <c r="I11011" t="s">
        <v>8252</v>
      </c>
      <c r="J11011" t="s">
        <v>8001</v>
      </c>
    </row>
    <row r="11012" spans="1:10" x14ac:dyDescent="0.25">
      <c r="A11012" t="s">
        <v>32639</v>
      </c>
      <c r="B11012">
        <v>9</v>
      </c>
      <c r="C11012" t="s">
        <v>32640</v>
      </c>
      <c r="D11012" t="s">
        <v>240</v>
      </c>
      <c r="E11012" t="s">
        <v>32635</v>
      </c>
      <c r="F11012" t="s">
        <v>7672</v>
      </c>
      <c r="G11012" t="s">
        <v>32636</v>
      </c>
      <c r="H11012" t="s">
        <v>8027</v>
      </c>
      <c r="I11012" t="s">
        <v>21003</v>
      </c>
      <c r="J11012" t="s">
        <v>8001</v>
      </c>
    </row>
    <row r="11013" spans="1:10" x14ac:dyDescent="0.25">
      <c r="A11013" t="s">
        <v>32641</v>
      </c>
      <c r="B11013">
        <v>9</v>
      </c>
      <c r="C11013" t="s">
        <v>32642</v>
      </c>
      <c r="D11013" t="s">
        <v>959</v>
      </c>
      <c r="E11013" t="s">
        <v>32635</v>
      </c>
      <c r="F11013" t="s">
        <v>7672</v>
      </c>
      <c r="G11013" t="s">
        <v>32636</v>
      </c>
      <c r="H11013" t="s">
        <v>8027</v>
      </c>
      <c r="I11013" t="s">
        <v>21003</v>
      </c>
      <c r="J11013" t="s">
        <v>8013</v>
      </c>
    </row>
    <row r="11014" spans="1:10" x14ac:dyDescent="0.25">
      <c r="A11014" t="s">
        <v>32643</v>
      </c>
      <c r="B11014">
        <v>9</v>
      </c>
      <c r="C11014" t="s">
        <v>32644</v>
      </c>
      <c r="D11014" t="s">
        <v>277</v>
      </c>
      <c r="E11014" t="s">
        <v>32635</v>
      </c>
      <c r="F11014" t="s">
        <v>7672</v>
      </c>
      <c r="G11014" t="s">
        <v>32636</v>
      </c>
      <c r="H11014" t="s">
        <v>8027</v>
      </c>
      <c r="I11014" t="s">
        <v>8252</v>
      </c>
      <c r="J11014" t="s">
        <v>8013</v>
      </c>
    </row>
    <row r="11015" spans="1:10" x14ac:dyDescent="0.25">
      <c r="A11015" t="s">
        <v>32645</v>
      </c>
      <c r="B11015">
        <v>9</v>
      </c>
      <c r="C11015" t="s">
        <v>32646</v>
      </c>
      <c r="D11015" t="s">
        <v>3577</v>
      </c>
      <c r="E11015" t="s">
        <v>32647</v>
      </c>
      <c r="F11015" t="s">
        <v>7672</v>
      </c>
      <c r="G11015" t="s">
        <v>32648</v>
      </c>
      <c r="H11015" t="s">
        <v>13951</v>
      </c>
      <c r="I11015" t="s">
        <v>32649</v>
      </c>
      <c r="J11015" t="s">
        <v>7675</v>
      </c>
    </row>
    <row r="11016" spans="1:10" x14ac:dyDescent="0.25">
      <c r="A11016" t="s">
        <v>32650</v>
      </c>
      <c r="B11016">
        <v>1.752</v>
      </c>
      <c r="C11016" t="s">
        <v>32651</v>
      </c>
      <c r="D11016" t="s">
        <v>32652</v>
      </c>
      <c r="E11016" t="s">
        <v>32653</v>
      </c>
      <c r="F11016" t="s">
        <v>7672</v>
      </c>
      <c r="G11016" t="s">
        <v>32654</v>
      </c>
      <c r="H11016" t="s">
        <v>22153</v>
      </c>
      <c r="I11016" t="s">
        <v>497</v>
      </c>
      <c r="J11016" t="s">
        <v>9694</v>
      </c>
    </row>
    <row r="11017" spans="1:10" x14ac:dyDescent="0.25">
      <c r="A11017" t="s">
        <v>32655</v>
      </c>
      <c r="B11017">
        <v>9.6000000000000014</v>
      </c>
      <c r="C11017" t="s">
        <v>32656</v>
      </c>
      <c r="D11017" t="s">
        <v>106</v>
      </c>
      <c r="E11017" t="s">
        <v>32657</v>
      </c>
      <c r="F11017" t="s">
        <v>7672</v>
      </c>
      <c r="G11017" t="s">
        <v>32658</v>
      </c>
      <c r="H11017" t="s">
        <v>26410</v>
      </c>
      <c r="I11017" t="s">
        <v>935</v>
      </c>
      <c r="J11017" t="s">
        <v>8001</v>
      </c>
    </row>
    <row r="11018" spans="1:10" x14ac:dyDescent="0.25">
      <c r="A11018" t="s">
        <v>32659</v>
      </c>
      <c r="B11018">
        <v>9.6000000000000014</v>
      </c>
      <c r="C11018" t="s">
        <v>32660</v>
      </c>
      <c r="D11018" t="s">
        <v>576</v>
      </c>
      <c r="E11018" t="s">
        <v>32657</v>
      </c>
      <c r="F11018" t="s">
        <v>7672</v>
      </c>
      <c r="G11018" t="s">
        <v>32658</v>
      </c>
      <c r="H11018" t="s">
        <v>26410</v>
      </c>
      <c r="I11018" t="s">
        <v>935</v>
      </c>
      <c r="J11018" t="s">
        <v>8013</v>
      </c>
    </row>
    <row r="11019" spans="1:10" x14ac:dyDescent="0.25">
      <c r="A11019" t="s">
        <v>1274</v>
      </c>
      <c r="B11019">
        <v>6.4</v>
      </c>
      <c r="C11019" t="s">
        <v>1276</v>
      </c>
      <c r="D11019" t="s">
        <v>113</v>
      </c>
      <c r="E11019" t="s">
        <v>1277</v>
      </c>
      <c r="F11019" t="s">
        <v>7672</v>
      </c>
      <c r="G11019" t="s">
        <v>32661</v>
      </c>
      <c r="H11019" t="s">
        <v>11496</v>
      </c>
      <c r="I11019" t="s">
        <v>32662</v>
      </c>
      <c r="J11019" t="s">
        <v>100</v>
      </c>
    </row>
    <row r="11020" spans="1:10" x14ac:dyDescent="0.25">
      <c r="A11020" t="s">
        <v>32663</v>
      </c>
      <c r="B11020">
        <v>6.4</v>
      </c>
      <c r="C11020" t="s">
        <v>32664</v>
      </c>
      <c r="D11020" t="s">
        <v>95</v>
      </c>
      <c r="E11020" t="s">
        <v>32665</v>
      </c>
      <c r="F11020" t="s">
        <v>7672</v>
      </c>
      <c r="G11020" t="s">
        <v>32666</v>
      </c>
      <c r="H11020" t="s">
        <v>10970</v>
      </c>
      <c r="I11020" t="s">
        <v>32667</v>
      </c>
      <c r="J11020" t="s">
        <v>7984</v>
      </c>
    </row>
    <row r="11021" spans="1:10" x14ac:dyDescent="0.25">
      <c r="A11021" t="s">
        <v>32668</v>
      </c>
      <c r="B11021">
        <v>3.6320000000000001</v>
      </c>
      <c r="C11021" t="s">
        <v>32669</v>
      </c>
      <c r="D11021" t="s">
        <v>359</v>
      </c>
      <c r="E11021" t="s">
        <v>32670</v>
      </c>
      <c r="F11021" t="s">
        <v>7672</v>
      </c>
      <c r="G11021" t="s">
        <v>32671</v>
      </c>
      <c r="H11021" t="s">
        <v>8515</v>
      </c>
      <c r="I11021" t="s">
        <v>32672</v>
      </c>
      <c r="J11021" t="s">
        <v>255</v>
      </c>
    </row>
    <row r="11022" spans="1:10" x14ac:dyDescent="0.25">
      <c r="A11022" t="s">
        <v>32673</v>
      </c>
      <c r="B11022">
        <v>3.6320000000000001</v>
      </c>
      <c r="C11022" t="s">
        <v>32674</v>
      </c>
      <c r="D11022" t="s">
        <v>1949</v>
      </c>
      <c r="E11022" t="s">
        <v>32670</v>
      </c>
      <c r="F11022" t="s">
        <v>7672</v>
      </c>
      <c r="G11022" t="s">
        <v>32671</v>
      </c>
      <c r="H11022" t="s">
        <v>8515</v>
      </c>
      <c r="I11022" t="s">
        <v>32672</v>
      </c>
      <c r="J11022" t="s">
        <v>277</v>
      </c>
    </row>
    <row r="11023" spans="1:10" x14ac:dyDescent="0.25">
      <c r="A11023" t="s">
        <v>32675</v>
      </c>
      <c r="B11023">
        <v>4.5599999999999996</v>
      </c>
      <c r="C11023" t="s">
        <v>32676</v>
      </c>
      <c r="D11023" t="s">
        <v>2022</v>
      </c>
      <c r="E11023" t="s">
        <v>32677</v>
      </c>
      <c r="F11023" t="s">
        <v>7672</v>
      </c>
      <c r="G11023" t="s">
        <v>32678</v>
      </c>
      <c r="H11023" t="s">
        <v>26649</v>
      </c>
      <c r="I11023" t="s">
        <v>32679</v>
      </c>
      <c r="J11023" t="s">
        <v>8427</v>
      </c>
    </row>
    <row r="11024" spans="1:10" x14ac:dyDescent="0.25">
      <c r="A11024" t="s">
        <v>32680</v>
      </c>
      <c r="B11024">
        <v>4.5599999999999996</v>
      </c>
      <c r="C11024" t="s">
        <v>32681</v>
      </c>
      <c r="D11024" t="s">
        <v>2036</v>
      </c>
      <c r="E11024" t="s">
        <v>32677</v>
      </c>
      <c r="F11024" t="s">
        <v>7672</v>
      </c>
      <c r="G11024" t="s">
        <v>32678</v>
      </c>
      <c r="H11024" t="s">
        <v>26649</v>
      </c>
      <c r="I11024" t="s">
        <v>32679</v>
      </c>
      <c r="J11024" t="s">
        <v>8439</v>
      </c>
    </row>
    <row r="11025" spans="1:10" x14ac:dyDescent="0.25">
      <c r="A11025" t="s">
        <v>32682</v>
      </c>
      <c r="B11025">
        <v>3.04</v>
      </c>
      <c r="C11025" t="s">
        <v>32683</v>
      </c>
      <c r="D11025" t="s">
        <v>1097</v>
      </c>
      <c r="E11025" t="s">
        <v>32677</v>
      </c>
      <c r="F11025" t="s">
        <v>7672</v>
      </c>
      <c r="G11025" t="s">
        <v>32678</v>
      </c>
      <c r="H11025" t="s">
        <v>26649</v>
      </c>
      <c r="I11025" t="s">
        <v>32679</v>
      </c>
      <c r="J11025" t="s">
        <v>8451</v>
      </c>
    </row>
    <row r="11026" spans="1:10" x14ac:dyDescent="0.25">
      <c r="A11026" t="s">
        <v>32684</v>
      </c>
      <c r="B11026">
        <v>6.8400000000000007</v>
      </c>
      <c r="C11026" t="s">
        <v>32685</v>
      </c>
      <c r="D11026" t="s">
        <v>296</v>
      </c>
      <c r="E11026" t="s">
        <v>32686</v>
      </c>
      <c r="F11026" t="s">
        <v>7672</v>
      </c>
      <c r="G11026" t="s">
        <v>32687</v>
      </c>
      <c r="H11026" t="s">
        <v>32688</v>
      </c>
      <c r="I11026" t="s">
        <v>76</v>
      </c>
      <c r="J11026" t="s">
        <v>9694</v>
      </c>
    </row>
    <row r="11027" spans="1:10" x14ac:dyDescent="0.25">
      <c r="A11027" t="s">
        <v>32689</v>
      </c>
      <c r="B11027">
        <v>7.2</v>
      </c>
      <c r="C11027" t="s">
        <v>32690</v>
      </c>
      <c r="D11027" t="s">
        <v>359</v>
      </c>
      <c r="E11027" t="s">
        <v>32691</v>
      </c>
      <c r="F11027" t="s">
        <v>7672</v>
      </c>
      <c r="G11027" t="s">
        <v>32692</v>
      </c>
      <c r="H11027" t="s">
        <v>10298</v>
      </c>
      <c r="I11027" t="s">
        <v>32693</v>
      </c>
      <c r="J11027" t="s">
        <v>8980</v>
      </c>
    </row>
    <row r="11028" spans="1:10" x14ac:dyDescent="0.25">
      <c r="A11028" t="s">
        <v>32694</v>
      </c>
      <c r="B11028">
        <v>7.2</v>
      </c>
      <c r="C11028" t="s">
        <v>32695</v>
      </c>
      <c r="D11028" t="s">
        <v>964</v>
      </c>
      <c r="E11028" t="s">
        <v>32691</v>
      </c>
      <c r="F11028" t="s">
        <v>7672</v>
      </c>
      <c r="G11028" t="s">
        <v>32692</v>
      </c>
      <c r="H11028" t="s">
        <v>10298</v>
      </c>
      <c r="I11028" t="s">
        <v>32693</v>
      </c>
      <c r="J11028" t="s">
        <v>53</v>
      </c>
    </row>
    <row r="11029" spans="1:10" x14ac:dyDescent="0.25">
      <c r="A11029" t="s">
        <v>32696</v>
      </c>
      <c r="B11029">
        <v>7.2</v>
      </c>
      <c r="C11029" t="s">
        <v>32697</v>
      </c>
      <c r="D11029" t="s">
        <v>118</v>
      </c>
      <c r="E11029" t="s">
        <v>32691</v>
      </c>
      <c r="F11029" t="s">
        <v>7672</v>
      </c>
      <c r="G11029" t="s">
        <v>32692</v>
      </c>
      <c r="H11029" t="s">
        <v>10298</v>
      </c>
      <c r="I11029" t="s">
        <v>32693</v>
      </c>
      <c r="J11029" t="s">
        <v>342</v>
      </c>
    </row>
    <row r="11030" spans="1:10" x14ac:dyDescent="0.25">
      <c r="A11030" t="s">
        <v>32698</v>
      </c>
      <c r="B11030">
        <v>7.2</v>
      </c>
      <c r="C11030" t="s">
        <v>32699</v>
      </c>
      <c r="D11030" t="s">
        <v>352</v>
      </c>
      <c r="E11030" t="s">
        <v>32691</v>
      </c>
      <c r="F11030" t="s">
        <v>7672</v>
      </c>
      <c r="G11030" t="s">
        <v>32692</v>
      </c>
      <c r="H11030" t="s">
        <v>10298</v>
      </c>
      <c r="I11030" t="s">
        <v>32693</v>
      </c>
      <c r="J11030" t="s">
        <v>352</v>
      </c>
    </row>
    <row r="11031" spans="1:10" x14ac:dyDescent="0.25">
      <c r="A11031" t="s">
        <v>32700</v>
      </c>
      <c r="B11031">
        <v>11.52</v>
      </c>
      <c r="C11031" t="s">
        <v>32701</v>
      </c>
      <c r="D11031" t="s">
        <v>106</v>
      </c>
      <c r="E11031" t="s">
        <v>32702</v>
      </c>
      <c r="F11031" t="s">
        <v>7672</v>
      </c>
      <c r="G11031" t="s">
        <v>32703</v>
      </c>
      <c r="H11031" t="s">
        <v>10298</v>
      </c>
      <c r="I11031" t="s">
        <v>32704</v>
      </c>
      <c r="J11031" t="s">
        <v>8427</v>
      </c>
    </row>
    <row r="11032" spans="1:10" x14ac:dyDescent="0.25">
      <c r="A11032" t="s">
        <v>32705</v>
      </c>
      <c r="B11032">
        <v>11.52</v>
      </c>
      <c r="C11032" t="s">
        <v>32706</v>
      </c>
      <c r="D11032" t="s">
        <v>742</v>
      </c>
      <c r="E11032" t="s">
        <v>32702</v>
      </c>
      <c r="F11032" t="s">
        <v>7672</v>
      </c>
      <c r="G11032" t="s">
        <v>32703</v>
      </c>
      <c r="H11032" t="s">
        <v>10298</v>
      </c>
      <c r="I11032" t="s">
        <v>32704</v>
      </c>
      <c r="J11032" t="s">
        <v>8439</v>
      </c>
    </row>
    <row r="11033" spans="1:10" x14ac:dyDescent="0.25">
      <c r="A11033" t="s">
        <v>32707</v>
      </c>
      <c r="B11033">
        <v>11.52</v>
      </c>
      <c r="C11033" t="s">
        <v>32708</v>
      </c>
      <c r="D11033" t="s">
        <v>330</v>
      </c>
      <c r="E11033" t="s">
        <v>32702</v>
      </c>
      <c r="F11033" t="s">
        <v>7672</v>
      </c>
      <c r="G11033" t="s">
        <v>32703</v>
      </c>
      <c r="H11033" t="s">
        <v>10298</v>
      </c>
      <c r="I11033" t="s">
        <v>32704</v>
      </c>
      <c r="J11033" t="s">
        <v>8451</v>
      </c>
    </row>
    <row r="11034" spans="1:10" x14ac:dyDescent="0.25">
      <c r="A11034" t="s">
        <v>32709</v>
      </c>
      <c r="B11034">
        <v>8.8160000000000007</v>
      </c>
      <c r="C11034" t="s">
        <v>32710</v>
      </c>
      <c r="D11034" t="s">
        <v>588</v>
      </c>
      <c r="E11034" t="s">
        <v>32711</v>
      </c>
      <c r="F11034" t="s">
        <v>7672</v>
      </c>
      <c r="G11034" t="s">
        <v>32712</v>
      </c>
      <c r="H11034" t="s">
        <v>16745</v>
      </c>
      <c r="I11034" t="s">
        <v>410</v>
      </c>
      <c r="J11034" t="s">
        <v>8427</v>
      </c>
    </row>
    <row r="11035" spans="1:10" x14ac:dyDescent="0.25">
      <c r="A11035" t="s">
        <v>32713</v>
      </c>
      <c r="B11035">
        <v>8.8160000000000007</v>
      </c>
      <c r="C11035" t="s">
        <v>32714</v>
      </c>
      <c r="D11035" t="s">
        <v>229</v>
      </c>
      <c r="E11035" t="s">
        <v>32711</v>
      </c>
      <c r="F11035" t="s">
        <v>7672</v>
      </c>
      <c r="G11035" t="s">
        <v>32712</v>
      </c>
      <c r="H11035" t="s">
        <v>16745</v>
      </c>
      <c r="I11035" t="s">
        <v>76</v>
      </c>
      <c r="J11035" t="s">
        <v>8427</v>
      </c>
    </row>
    <row r="11036" spans="1:10" x14ac:dyDescent="0.25">
      <c r="A11036" t="s">
        <v>32715</v>
      </c>
      <c r="B11036">
        <v>8.8160000000000007</v>
      </c>
      <c r="C11036" t="s">
        <v>32716</v>
      </c>
      <c r="D11036" t="s">
        <v>1097</v>
      </c>
      <c r="E11036" t="s">
        <v>32711</v>
      </c>
      <c r="F11036" t="s">
        <v>7672</v>
      </c>
      <c r="G11036" t="s">
        <v>32712</v>
      </c>
      <c r="H11036" t="s">
        <v>16745</v>
      </c>
      <c r="I11036" t="s">
        <v>76</v>
      </c>
      <c r="J11036" t="s">
        <v>8439</v>
      </c>
    </row>
    <row r="11037" spans="1:10" x14ac:dyDescent="0.25">
      <c r="A11037" t="s">
        <v>32717</v>
      </c>
      <c r="B11037">
        <v>8.8160000000000007</v>
      </c>
      <c r="C11037" t="s">
        <v>32718</v>
      </c>
      <c r="D11037" t="s">
        <v>582</v>
      </c>
      <c r="E11037" t="s">
        <v>32711</v>
      </c>
      <c r="F11037" t="s">
        <v>7672</v>
      </c>
      <c r="G11037" t="s">
        <v>32712</v>
      </c>
      <c r="H11037" t="s">
        <v>16745</v>
      </c>
      <c r="I11037" t="s">
        <v>410</v>
      </c>
      <c r="J11037" t="s">
        <v>8439</v>
      </c>
    </row>
    <row r="11038" spans="1:10" x14ac:dyDescent="0.25">
      <c r="A11038" t="s">
        <v>32719</v>
      </c>
      <c r="B11038">
        <v>8.8160000000000007</v>
      </c>
      <c r="C11038" t="s">
        <v>32720</v>
      </c>
      <c r="D11038" t="s">
        <v>742</v>
      </c>
      <c r="E11038" t="s">
        <v>32711</v>
      </c>
      <c r="F11038" t="s">
        <v>7672</v>
      </c>
      <c r="G11038" t="s">
        <v>32712</v>
      </c>
      <c r="H11038" t="s">
        <v>16745</v>
      </c>
      <c r="I11038" t="s">
        <v>76</v>
      </c>
      <c r="J11038" t="s">
        <v>8451</v>
      </c>
    </row>
    <row r="11039" spans="1:10" x14ac:dyDescent="0.25">
      <c r="A11039" t="s">
        <v>32721</v>
      </c>
      <c r="B11039">
        <v>8.8160000000000007</v>
      </c>
      <c r="C11039" t="s">
        <v>32722</v>
      </c>
      <c r="D11039" t="s">
        <v>286</v>
      </c>
      <c r="E11039" t="s">
        <v>32711</v>
      </c>
      <c r="F11039" t="s">
        <v>7672</v>
      </c>
      <c r="G11039" t="s">
        <v>32712</v>
      </c>
      <c r="H11039" t="s">
        <v>16745</v>
      </c>
      <c r="I11039" t="s">
        <v>410</v>
      </c>
      <c r="J11039" t="s">
        <v>8451</v>
      </c>
    </row>
    <row r="11040" spans="1:10" x14ac:dyDescent="0.25">
      <c r="A11040" t="s">
        <v>1280</v>
      </c>
      <c r="B11040">
        <v>12</v>
      </c>
      <c r="C11040" t="s">
        <v>1282</v>
      </c>
      <c r="D11040" t="s">
        <v>742</v>
      </c>
      <c r="E11040" t="s">
        <v>1283</v>
      </c>
      <c r="F11040" t="s">
        <v>7672</v>
      </c>
      <c r="G11040" t="s">
        <v>32723</v>
      </c>
      <c r="H11040" t="s">
        <v>9232</v>
      </c>
      <c r="I11040" t="s">
        <v>30570</v>
      </c>
      <c r="J11040" t="s">
        <v>11497</v>
      </c>
    </row>
    <row r="11041" spans="1:10" x14ac:dyDescent="0.25">
      <c r="A11041" t="s">
        <v>32724</v>
      </c>
      <c r="B11041">
        <v>4.4000000000000004</v>
      </c>
      <c r="C11041" t="s">
        <v>32725</v>
      </c>
      <c r="D11041" t="s">
        <v>290</v>
      </c>
      <c r="E11041" t="s">
        <v>32726</v>
      </c>
      <c r="F11041" t="s">
        <v>7672</v>
      </c>
      <c r="G11041" t="s">
        <v>32727</v>
      </c>
      <c r="H11041" t="s">
        <v>11496</v>
      </c>
      <c r="I11041" t="s">
        <v>32728</v>
      </c>
      <c r="J11041" t="s">
        <v>9426</v>
      </c>
    </row>
    <row r="11042" spans="1:10" x14ac:dyDescent="0.25">
      <c r="A11042" t="s">
        <v>32729</v>
      </c>
      <c r="B11042">
        <v>4.8000000000000007</v>
      </c>
      <c r="C11042" t="s">
        <v>32730</v>
      </c>
      <c r="D11042" t="s">
        <v>436</v>
      </c>
      <c r="E11042" t="s">
        <v>32731</v>
      </c>
      <c r="F11042" t="s">
        <v>7672</v>
      </c>
      <c r="G11042" t="s">
        <v>32732</v>
      </c>
      <c r="H11042" t="s">
        <v>11496</v>
      </c>
      <c r="I11042" t="s">
        <v>32733</v>
      </c>
      <c r="J11042" t="s">
        <v>9423</v>
      </c>
    </row>
    <row r="11043" spans="1:10" x14ac:dyDescent="0.25">
      <c r="A11043" t="s">
        <v>32734</v>
      </c>
      <c r="B11043">
        <v>4.8000000000000007</v>
      </c>
      <c r="C11043" t="s">
        <v>32735</v>
      </c>
      <c r="D11043" t="s">
        <v>100</v>
      </c>
      <c r="E11043" t="s">
        <v>32731</v>
      </c>
      <c r="F11043" t="s">
        <v>7672</v>
      </c>
      <c r="G11043" t="s">
        <v>32732</v>
      </c>
      <c r="H11043" t="s">
        <v>11496</v>
      </c>
      <c r="I11043" t="s">
        <v>32733</v>
      </c>
      <c r="J11043" t="s">
        <v>9426</v>
      </c>
    </row>
    <row r="11044" spans="1:10" x14ac:dyDescent="0.25">
      <c r="A11044" t="s">
        <v>32736</v>
      </c>
      <c r="B11044">
        <v>66</v>
      </c>
      <c r="C11044" t="s">
        <v>32737</v>
      </c>
      <c r="D11044" t="s">
        <v>1512</v>
      </c>
      <c r="E11044" t="s">
        <v>32738</v>
      </c>
      <c r="F11044" t="s">
        <v>7672</v>
      </c>
      <c r="G11044" t="s">
        <v>32739</v>
      </c>
      <c r="H11044" t="s">
        <v>9693</v>
      </c>
      <c r="I11044" t="s">
        <v>17521</v>
      </c>
      <c r="J11044" t="s">
        <v>9694</v>
      </c>
    </row>
    <row r="11045" spans="1:10" x14ac:dyDescent="0.25">
      <c r="A11045" t="s">
        <v>32740</v>
      </c>
      <c r="B11045">
        <v>66</v>
      </c>
      <c r="C11045" t="s">
        <v>32741</v>
      </c>
      <c r="D11045" t="s">
        <v>2322</v>
      </c>
      <c r="E11045" t="s">
        <v>32742</v>
      </c>
      <c r="F11045" t="s">
        <v>7672</v>
      </c>
      <c r="G11045" t="s">
        <v>32743</v>
      </c>
      <c r="H11045" t="s">
        <v>9693</v>
      </c>
      <c r="I11045" t="s">
        <v>17521</v>
      </c>
      <c r="J11045" t="s">
        <v>9694</v>
      </c>
    </row>
    <row r="11046" spans="1:10" x14ac:dyDescent="0.25">
      <c r="A11046" t="s">
        <v>32744</v>
      </c>
      <c r="B11046">
        <v>2.8</v>
      </c>
      <c r="C11046" t="s">
        <v>32745</v>
      </c>
      <c r="D11046" t="s">
        <v>88</v>
      </c>
      <c r="E11046" t="s">
        <v>32746</v>
      </c>
      <c r="F11046" t="s">
        <v>7672</v>
      </c>
      <c r="G11046" t="s">
        <v>32747</v>
      </c>
      <c r="H11046" t="s">
        <v>8515</v>
      </c>
      <c r="I11046" t="s">
        <v>9612</v>
      </c>
      <c r="J11046" t="s">
        <v>11767</v>
      </c>
    </row>
    <row r="11047" spans="1:10" x14ac:dyDescent="0.25">
      <c r="A11047" t="s">
        <v>32748</v>
      </c>
      <c r="B11047">
        <v>5.5920000000000014</v>
      </c>
      <c r="C11047" t="s">
        <v>32749</v>
      </c>
      <c r="D11047" t="s">
        <v>32750</v>
      </c>
      <c r="E11047" t="s">
        <v>32751</v>
      </c>
      <c r="F11047" t="s">
        <v>7672</v>
      </c>
      <c r="G11047" t="s">
        <v>32752</v>
      </c>
      <c r="H11047" t="s">
        <v>26482</v>
      </c>
      <c r="I11047" t="s">
        <v>32753</v>
      </c>
      <c r="J11047" t="s">
        <v>9694</v>
      </c>
    </row>
    <row r="11048" spans="1:10" x14ac:dyDescent="0.25">
      <c r="A11048" t="s">
        <v>32754</v>
      </c>
      <c r="B11048">
        <v>1.5920000000000001</v>
      </c>
      <c r="C11048" t="s">
        <v>32755</v>
      </c>
      <c r="D11048" t="s">
        <v>2578</v>
      </c>
      <c r="E11048" t="s">
        <v>32756</v>
      </c>
      <c r="F11048" t="s">
        <v>7672</v>
      </c>
      <c r="G11048" t="s">
        <v>32757</v>
      </c>
      <c r="H11048" t="s">
        <v>31985</v>
      </c>
      <c r="I11048" t="s">
        <v>497</v>
      </c>
      <c r="J11048" t="s">
        <v>22923</v>
      </c>
    </row>
    <row r="11049" spans="1:10" x14ac:dyDescent="0.25">
      <c r="A11049" t="s">
        <v>32758</v>
      </c>
      <c r="B11049">
        <v>1.5920000000000001</v>
      </c>
      <c r="C11049" t="s">
        <v>32759</v>
      </c>
      <c r="D11049" t="s">
        <v>16180</v>
      </c>
      <c r="E11049" t="s">
        <v>32756</v>
      </c>
      <c r="F11049" t="s">
        <v>7672</v>
      </c>
      <c r="G11049" t="s">
        <v>32757</v>
      </c>
      <c r="H11049" t="s">
        <v>31985</v>
      </c>
      <c r="I11049" t="s">
        <v>497</v>
      </c>
      <c r="J11049" t="s">
        <v>25720</v>
      </c>
    </row>
    <row r="11050" spans="1:10" x14ac:dyDescent="0.25">
      <c r="A11050" t="s">
        <v>1287</v>
      </c>
      <c r="B11050">
        <v>39.991999999999997</v>
      </c>
      <c r="C11050" t="s">
        <v>1289</v>
      </c>
      <c r="D11050" t="s">
        <v>342</v>
      </c>
      <c r="E11050" t="s">
        <v>1290</v>
      </c>
      <c r="F11050" t="s">
        <v>7672</v>
      </c>
      <c r="G11050" t="s">
        <v>32760</v>
      </c>
      <c r="H11050" t="s">
        <v>10970</v>
      </c>
      <c r="I11050" t="s">
        <v>32761</v>
      </c>
      <c r="J11050" t="s">
        <v>17926</v>
      </c>
    </row>
    <row r="11051" spans="1:10" x14ac:dyDescent="0.25">
      <c r="A11051" t="s">
        <v>1294</v>
      </c>
      <c r="B11051">
        <v>39.991999999999997</v>
      </c>
      <c r="C11051" t="s">
        <v>1296</v>
      </c>
      <c r="D11051" t="s">
        <v>100</v>
      </c>
      <c r="E11051" t="s">
        <v>1290</v>
      </c>
      <c r="F11051" t="s">
        <v>7672</v>
      </c>
      <c r="G11051" t="s">
        <v>32760</v>
      </c>
      <c r="H11051" t="s">
        <v>10970</v>
      </c>
      <c r="I11051" t="s">
        <v>32761</v>
      </c>
      <c r="J11051" t="s">
        <v>32762</v>
      </c>
    </row>
    <row r="11052" spans="1:10" x14ac:dyDescent="0.25">
      <c r="A11052" t="s">
        <v>1298</v>
      </c>
      <c r="B11052">
        <v>39.991999999999997</v>
      </c>
      <c r="C11052" t="s">
        <v>1300</v>
      </c>
      <c r="D11052" t="s">
        <v>88</v>
      </c>
      <c r="E11052" t="s">
        <v>1290</v>
      </c>
      <c r="F11052" t="s">
        <v>7672</v>
      </c>
      <c r="G11052" t="s">
        <v>32760</v>
      </c>
      <c r="H11052" t="s">
        <v>10970</v>
      </c>
      <c r="I11052" t="s">
        <v>32761</v>
      </c>
      <c r="J11052" t="s">
        <v>32763</v>
      </c>
    </row>
    <row r="11053" spans="1:10" x14ac:dyDescent="0.25">
      <c r="A11053" t="s">
        <v>1302</v>
      </c>
      <c r="B11053">
        <v>39.991999999999997</v>
      </c>
      <c r="C11053" t="s">
        <v>1304</v>
      </c>
      <c r="D11053" t="s">
        <v>100</v>
      </c>
      <c r="E11053" t="s">
        <v>1290</v>
      </c>
      <c r="F11053" t="s">
        <v>7672</v>
      </c>
      <c r="G11053" t="s">
        <v>32760</v>
      </c>
      <c r="H11053" t="s">
        <v>10970</v>
      </c>
      <c r="I11053" t="s">
        <v>32761</v>
      </c>
      <c r="J11053" t="s">
        <v>17928</v>
      </c>
    </row>
    <row r="11054" spans="1:10" x14ac:dyDescent="0.25">
      <c r="A11054" t="s">
        <v>1306</v>
      </c>
      <c r="B11054">
        <v>39.991999999999997</v>
      </c>
      <c r="C11054" t="s">
        <v>1308</v>
      </c>
      <c r="D11054" t="s">
        <v>88</v>
      </c>
      <c r="E11054" t="s">
        <v>1290</v>
      </c>
      <c r="F11054" t="s">
        <v>7672</v>
      </c>
      <c r="G11054" t="s">
        <v>32760</v>
      </c>
      <c r="H11054" t="s">
        <v>10970</v>
      </c>
      <c r="I11054" t="s">
        <v>32761</v>
      </c>
      <c r="J11054" t="s">
        <v>17929</v>
      </c>
    </row>
    <row r="11055" spans="1:10" x14ac:dyDescent="0.25">
      <c r="A11055" t="s">
        <v>1310</v>
      </c>
      <c r="B11055">
        <v>39.991999999999997</v>
      </c>
      <c r="C11055" t="s">
        <v>1312</v>
      </c>
      <c r="D11055" t="s">
        <v>100</v>
      </c>
      <c r="E11055" t="s">
        <v>1290</v>
      </c>
      <c r="F11055" t="s">
        <v>7672</v>
      </c>
      <c r="G11055" t="s">
        <v>32760</v>
      </c>
      <c r="H11055" t="s">
        <v>10970</v>
      </c>
      <c r="I11055" t="s">
        <v>32761</v>
      </c>
      <c r="J11055" t="s">
        <v>10195</v>
      </c>
    </row>
    <row r="11056" spans="1:10" x14ac:dyDescent="0.25">
      <c r="A11056" t="s">
        <v>1314</v>
      </c>
      <c r="B11056">
        <v>39.991999999999997</v>
      </c>
      <c r="C11056" t="s">
        <v>1316</v>
      </c>
      <c r="D11056" t="s">
        <v>106</v>
      </c>
      <c r="E11056" t="s">
        <v>1290</v>
      </c>
      <c r="F11056" t="s">
        <v>7672</v>
      </c>
      <c r="G11056" t="s">
        <v>32760</v>
      </c>
      <c r="H11056" t="s">
        <v>10970</v>
      </c>
      <c r="I11056" t="s">
        <v>32761</v>
      </c>
      <c r="J11056" t="s">
        <v>10206</v>
      </c>
    </row>
    <row r="11057" spans="1:10" x14ac:dyDescent="0.25">
      <c r="A11057" t="s">
        <v>1318</v>
      </c>
      <c r="B11057">
        <v>18.064</v>
      </c>
      <c r="C11057" t="s">
        <v>1320</v>
      </c>
      <c r="D11057" t="s">
        <v>60</v>
      </c>
      <c r="E11057" t="s">
        <v>1290</v>
      </c>
      <c r="F11057" t="s">
        <v>7672</v>
      </c>
      <c r="G11057" t="s">
        <v>32760</v>
      </c>
      <c r="H11057" t="s">
        <v>10970</v>
      </c>
      <c r="I11057" t="s">
        <v>1323</v>
      </c>
      <c r="J11057" t="s">
        <v>12688</v>
      </c>
    </row>
    <row r="11058" spans="1:10" x14ac:dyDescent="0.25">
      <c r="A11058" t="s">
        <v>32764</v>
      </c>
      <c r="B11058">
        <v>12.992000000000001</v>
      </c>
      <c r="C11058" t="s">
        <v>32765</v>
      </c>
      <c r="D11058" t="s">
        <v>282</v>
      </c>
      <c r="E11058" t="s">
        <v>32766</v>
      </c>
      <c r="F11058" t="s">
        <v>7672</v>
      </c>
      <c r="G11058" t="s">
        <v>32767</v>
      </c>
      <c r="H11058" t="s">
        <v>17992</v>
      </c>
      <c r="I11058" t="s">
        <v>18815</v>
      </c>
      <c r="J11058" t="s">
        <v>7942</v>
      </c>
    </row>
    <row r="11059" spans="1:10" x14ac:dyDescent="0.25">
      <c r="A11059" t="s">
        <v>1324</v>
      </c>
      <c r="B11059">
        <v>21.6</v>
      </c>
      <c r="C11059" t="s">
        <v>1326</v>
      </c>
      <c r="D11059" t="s">
        <v>60</v>
      </c>
      <c r="E11059" t="s">
        <v>1327</v>
      </c>
      <c r="F11059" t="s">
        <v>7672</v>
      </c>
      <c r="G11059" t="s">
        <v>32768</v>
      </c>
      <c r="H11059" t="s">
        <v>9232</v>
      </c>
      <c r="I11059" t="s">
        <v>32769</v>
      </c>
      <c r="J11059" t="s">
        <v>7981</v>
      </c>
    </row>
    <row r="11060" spans="1:10" x14ac:dyDescent="0.25">
      <c r="A11060" t="s">
        <v>1331</v>
      </c>
      <c r="B11060">
        <v>21.6</v>
      </c>
      <c r="C11060" t="s">
        <v>1333</v>
      </c>
      <c r="D11060" t="s">
        <v>60</v>
      </c>
      <c r="E11060" t="s">
        <v>1327</v>
      </c>
      <c r="F11060" t="s">
        <v>7672</v>
      </c>
      <c r="G11060" t="s">
        <v>32768</v>
      </c>
      <c r="H11060" t="s">
        <v>9232</v>
      </c>
      <c r="I11060" t="s">
        <v>1335</v>
      </c>
      <c r="J11060" t="s">
        <v>7981</v>
      </c>
    </row>
    <row r="11061" spans="1:10" x14ac:dyDescent="0.25">
      <c r="A11061" t="s">
        <v>1336</v>
      </c>
      <c r="B11061">
        <v>21.6</v>
      </c>
      <c r="C11061" t="s">
        <v>1338</v>
      </c>
      <c r="D11061" t="s">
        <v>100</v>
      </c>
      <c r="E11061" t="s">
        <v>1327</v>
      </c>
      <c r="F11061" t="s">
        <v>7672</v>
      </c>
      <c r="G11061" t="s">
        <v>32768</v>
      </c>
      <c r="H11061" t="s">
        <v>9232</v>
      </c>
      <c r="I11061" t="s">
        <v>32769</v>
      </c>
      <c r="J11061" t="s">
        <v>7984</v>
      </c>
    </row>
    <row r="11062" spans="1:10" x14ac:dyDescent="0.25">
      <c r="A11062" t="s">
        <v>32770</v>
      </c>
      <c r="B11062">
        <v>12.96</v>
      </c>
      <c r="C11062" t="s">
        <v>32771</v>
      </c>
      <c r="D11062" t="s">
        <v>964</v>
      </c>
      <c r="E11062" t="s">
        <v>32772</v>
      </c>
      <c r="F11062" t="s">
        <v>7672</v>
      </c>
      <c r="G11062" t="s">
        <v>32773</v>
      </c>
      <c r="H11062" t="s">
        <v>13951</v>
      </c>
      <c r="I11062" t="s">
        <v>32774</v>
      </c>
      <c r="J11062" t="s">
        <v>7942</v>
      </c>
    </row>
    <row r="11063" spans="1:10" x14ac:dyDescent="0.25">
      <c r="A11063" t="s">
        <v>32775</v>
      </c>
      <c r="B11063">
        <v>12.96</v>
      </c>
      <c r="C11063" t="s">
        <v>32776</v>
      </c>
      <c r="D11063" t="s">
        <v>1822</v>
      </c>
      <c r="E11063" t="s">
        <v>32772</v>
      </c>
      <c r="F11063" t="s">
        <v>7672</v>
      </c>
      <c r="G11063" t="s">
        <v>32773</v>
      </c>
      <c r="H11063" t="s">
        <v>13951</v>
      </c>
      <c r="I11063" t="s">
        <v>32774</v>
      </c>
      <c r="J11063" t="s">
        <v>7981</v>
      </c>
    </row>
    <row r="11064" spans="1:10" x14ac:dyDescent="0.25">
      <c r="A11064" t="s">
        <v>32777</v>
      </c>
      <c r="B11064">
        <v>5.4</v>
      </c>
      <c r="C11064" t="s">
        <v>32778</v>
      </c>
      <c r="D11064" t="s">
        <v>7775</v>
      </c>
      <c r="E11064" t="s">
        <v>32779</v>
      </c>
      <c r="F11064" t="s">
        <v>7672</v>
      </c>
      <c r="G11064" t="s">
        <v>32780</v>
      </c>
      <c r="H11064" t="s">
        <v>10298</v>
      </c>
      <c r="I11064" t="s">
        <v>145</v>
      </c>
      <c r="J11064" t="s">
        <v>30516</v>
      </c>
    </row>
    <row r="11065" spans="1:10" x14ac:dyDescent="0.25">
      <c r="A11065" t="s">
        <v>32781</v>
      </c>
      <c r="B11065">
        <v>7.6000000000000014</v>
      </c>
      <c r="C11065" t="s">
        <v>32782</v>
      </c>
      <c r="D11065" t="s">
        <v>255</v>
      </c>
      <c r="E11065" t="s">
        <v>32783</v>
      </c>
      <c r="F11065" t="s">
        <v>7672</v>
      </c>
      <c r="G11065" t="s">
        <v>32784</v>
      </c>
      <c r="H11065" t="s">
        <v>10298</v>
      </c>
      <c r="I11065" t="s">
        <v>15352</v>
      </c>
      <c r="J11065" t="s">
        <v>8427</v>
      </c>
    </row>
    <row r="11066" spans="1:10" x14ac:dyDescent="0.25">
      <c r="A11066" t="s">
        <v>32785</v>
      </c>
      <c r="B11066">
        <v>7.6000000000000014</v>
      </c>
      <c r="C11066" t="s">
        <v>32786</v>
      </c>
      <c r="D11066" t="s">
        <v>671</v>
      </c>
      <c r="E11066" t="s">
        <v>32783</v>
      </c>
      <c r="F11066" t="s">
        <v>7672</v>
      </c>
      <c r="G11066" t="s">
        <v>32784</v>
      </c>
      <c r="H11066" t="s">
        <v>10298</v>
      </c>
      <c r="I11066" t="s">
        <v>9116</v>
      </c>
      <c r="J11066" t="s">
        <v>8427</v>
      </c>
    </row>
    <row r="11067" spans="1:10" x14ac:dyDescent="0.25">
      <c r="A11067" t="s">
        <v>32787</v>
      </c>
      <c r="B11067">
        <v>7.6000000000000014</v>
      </c>
      <c r="C11067" t="s">
        <v>32788</v>
      </c>
      <c r="D11067" t="s">
        <v>1143</v>
      </c>
      <c r="E11067" t="s">
        <v>32783</v>
      </c>
      <c r="F11067" t="s">
        <v>7672</v>
      </c>
      <c r="G11067" t="s">
        <v>32784</v>
      </c>
      <c r="H11067" t="s">
        <v>10298</v>
      </c>
      <c r="I11067" t="s">
        <v>15352</v>
      </c>
      <c r="J11067" t="s">
        <v>8439</v>
      </c>
    </row>
    <row r="11068" spans="1:10" x14ac:dyDescent="0.25">
      <c r="A11068" t="s">
        <v>32789</v>
      </c>
      <c r="B11068">
        <v>7.6000000000000014</v>
      </c>
      <c r="C11068" t="s">
        <v>32790</v>
      </c>
      <c r="D11068" t="s">
        <v>199</v>
      </c>
      <c r="E11068" t="s">
        <v>32783</v>
      </c>
      <c r="F11068" t="s">
        <v>7672</v>
      </c>
      <c r="G11068" t="s">
        <v>32784</v>
      </c>
      <c r="H11068" t="s">
        <v>10298</v>
      </c>
      <c r="I11068" t="s">
        <v>15352</v>
      </c>
      <c r="J11068" t="s">
        <v>8451</v>
      </c>
    </row>
    <row r="11069" spans="1:10" x14ac:dyDescent="0.25">
      <c r="A11069" t="s">
        <v>32791</v>
      </c>
      <c r="B11069">
        <v>7.6000000000000014</v>
      </c>
      <c r="C11069" t="s">
        <v>32792</v>
      </c>
      <c r="D11069" t="s">
        <v>2072</v>
      </c>
      <c r="E11069" t="s">
        <v>32783</v>
      </c>
      <c r="F11069" t="s">
        <v>7672</v>
      </c>
      <c r="G11069" t="s">
        <v>32784</v>
      </c>
      <c r="H11069" t="s">
        <v>10298</v>
      </c>
      <c r="I11069" t="s">
        <v>9116</v>
      </c>
      <c r="J11069" t="s">
        <v>8439</v>
      </c>
    </row>
    <row r="11070" spans="1:10" x14ac:dyDescent="0.25">
      <c r="A11070" t="s">
        <v>32793</v>
      </c>
      <c r="B11070">
        <v>7.6000000000000014</v>
      </c>
      <c r="C11070" t="s">
        <v>32794</v>
      </c>
      <c r="D11070" t="s">
        <v>671</v>
      </c>
      <c r="E11070" t="s">
        <v>32783</v>
      </c>
      <c r="F11070" t="s">
        <v>7672</v>
      </c>
      <c r="G11070" t="s">
        <v>32784</v>
      </c>
      <c r="H11070" t="s">
        <v>10298</v>
      </c>
      <c r="I11070" t="s">
        <v>9116</v>
      </c>
      <c r="J11070" t="s">
        <v>8451</v>
      </c>
    </row>
    <row r="11071" spans="1:10" x14ac:dyDescent="0.25">
      <c r="A11071" t="s">
        <v>1340</v>
      </c>
      <c r="B11071">
        <v>7.6000000000000014</v>
      </c>
      <c r="C11071" t="s">
        <v>1342</v>
      </c>
      <c r="D11071" t="s">
        <v>290</v>
      </c>
      <c r="E11071" t="s">
        <v>1343</v>
      </c>
      <c r="F11071" t="s">
        <v>7672</v>
      </c>
      <c r="G11071" t="s">
        <v>32795</v>
      </c>
      <c r="H11071" t="s">
        <v>11381</v>
      </c>
      <c r="I11071" t="s">
        <v>76</v>
      </c>
      <c r="J11071" t="s">
        <v>9694</v>
      </c>
    </row>
    <row r="11072" spans="1:10" x14ac:dyDescent="0.25">
      <c r="A11072" t="s">
        <v>32796</v>
      </c>
      <c r="B11072">
        <v>3</v>
      </c>
      <c r="C11072" t="s">
        <v>32797</v>
      </c>
      <c r="D11072" t="s">
        <v>2620</v>
      </c>
      <c r="E11072" t="s">
        <v>32798</v>
      </c>
      <c r="F11072" t="s">
        <v>7672</v>
      </c>
      <c r="G11072" t="s">
        <v>32799</v>
      </c>
      <c r="H11072" t="s">
        <v>26624</v>
      </c>
      <c r="I11072" t="s">
        <v>32800</v>
      </c>
      <c r="J11072" t="s">
        <v>8427</v>
      </c>
    </row>
    <row r="11073" spans="1:10" x14ac:dyDescent="0.25">
      <c r="A11073" t="s">
        <v>32801</v>
      </c>
      <c r="B11073">
        <v>3</v>
      </c>
      <c r="C11073" t="s">
        <v>32802</v>
      </c>
      <c r="D11073" t="s">
        <v>2787</v>
      </c>
      <c r="E11073" t="s">
        <v>32798</v>
      </c>
      <c r="F11073" t="s">
        <v>7672</v>
      </c>
      <c r="G11073" t="s">
        <v>32799</v>
      </c>
      <c r="H11073" t="s">
        <v>26624</v>
      </c>
      <c r="I11073" t="s">
        <v>32800</v>
      </c>
      <c r="J11073" t="s">
        <v>8439</v>
      </c>
    </row>
    <row r="11074" spans="1:10" x14ac:dyDescent="0.25">
      <c r="A11074" t="s">
        <v>1346</v>
      </c>
      <c r="B11074">
        <v>12.88</v>
      </c>
      <c r="C11074" t="s">
        <v>1348</v>
      </c>
      <c r="D11074" t="s">
        <v>60</v>
      </c>
      <c r="E11074" t="s">
        <v>1349</v>
      </c>
      <c r="F11074" t="s">
        <v>7672</v>
      </c>
      <c r="G11074" t="s">
        <v>32803</v>
      </c>
      <c r="H11074" t="s">
        <v>11335</v>
      </c>
      <c r="I11074" t="s">
        <v>1352</v>
      </c>
      <c r="J11074" t="s">
        <v>7942</v>
      </c>
    </row>
    <row r="11075" spans="1:10" x14ac:dyDescent="0.25">
      <c r="A11075" t="s">
        <v>1353</v>
      </c>
      <c r="B11075">
        <v>12.88</v>
      </c>
      <c r="C11075" t="s">
        <v>1355</v>
      </c>
      <c r="D11075" t="s">
        <v>53</v>
      </c>
      <c r="E11075" t="s">
        <v>1349</v>
      </c>
      <c r="F11075" t="s">
        <v>7672</v>
      </c>
      <c r="G11075" t="s">
        <v>32803</v>
      </c>
      <c r="H11075" t="s">
        <v>11335</v>
      </c>
      <c r="I11075" t="s">
        <v>1357</v>
      </c>
      <c r="J11075" t="s">
        <v>30303</v>
      </c>
    </row>
    <row r="11076" spans="1:10" x14ac:dyDescent="0.25">
      <c r="A11076" t="s">
        <v>32804</v>
      </c>
      <c r="B11076">
        <v>11.2</v>
      </c>
      <c r="C11076" t="s">
        <v>32805</v>
      </c>
      <c r="D11076" t="s">
        <v>1822</v>
      </c>
      <c r="E11076" t="s">
        <v>32806</v>
      </c>
      <c r="F11076" t="s">
        <v>7672</v>
      </c>
      <c r="G11076" t="s">
        <v>32807</v>
      </c>
      <c r="H11076" t="s">
        <v>11381</v>
      </c>
      <c r="I11076" t="s">
        <v>25725</v>
      </c>
      <c r="J11076" t="s">
        <v>8427</v>
      </c>
    </row>
    <row r="11077" spans="1:10" x14ac:dyDescent="0.25">
      <c r="A11077" t="s">
        <v>32808</v>
      </c>
      <c r="B11077">
        <v>25.736000000000001</v>
      </c>
      <c r="C11077" t="s">
        <v>32809</v>
      </c>
      <c r="D11077" t="s">
        <v>53</v>
      </c>
      <c r="E11077" t="s">
        <v>32810</v>
      </c>
      <c r="F11077" t="s">
        <v>7672</v>
      </c>
      <c r="G11077" t="s">
        <v>32811</v>
      </c>
      <c r="H11077" t="s">
        <v>32812</v>
      </c>
      <c r="I11077" t="s">
        <v>14460</v>
      </c>
      <c r="J11077" t="s">
        <v>7981</v>
      </c>
    </row>
    <row r="11078" spans="1:10" x14ac:dyDescent="0.25">
      <c r="A11078" t="s">
        <v>32813</v>
      </c>
      <c r="B11078">
        <v>25.736000000000001</v>
      </c>
      <c r="C11078" t="s">
        <v>32814</v>
      </c>
      <c r="D11078" t="s">
        <v>342</v>
      </c>
      <c r="E11078" t="s">
        <v>32810</v>
      </c>
      <c r="F11078" t="s">
        <v>7672</v>
      </c>
      <c r="G11078" t="s">
        <v>32811</v>
      </c>
      <c r="H11078" t="s">
        <v>32812</v>
      </c>
      <c r="I11078" t="s">
        <v>14460</v>
      </c>
      <c r="J11078" t="s">
        <v>7984</v>
      </c>
    </row>
    <row r="11079" spans="1:10" x14ac:dyDescent="0.25">
      <c r="A11079" t="s">
        <v>32815</v>
      </c>
      <c r="B11079">
        <v>14.295999999999999</v>
      </c>
      <c r="C11079" t="s">
        <v>32816</v>
      </c>
      <c r="D11079" t="s">
        <v>2697</v>
      </c>
      <c r="E11079" t="s">
        <v>32817</v>
      </c>
      <c r="F11079" t="s">
        <v>7672</v>
      </c>
      <c r="G11079" t="s">
        <v>32818</v>
      </c>
      <c r="H11079" t="s">
        <v>16463</v>
      </c>
      <c r="I11079" t="s">
        <v>32819</v>
      </c>
      <c r="J11079" t="s">
        <v>9023</v>
      </c>
    </row>
    <row r="11080" spans="1:10" x14ac:dyDescent="0.25">
      <c r="A11080" t="s">
        <v>32820</v>
      </c>
      <c r="B11080">
        <v>14.295999999999999</v>
      </c>
      <c r="C11080" t="s">
        <v>32821</v>
      </c>
      <c r="D11080" t="s">
        <v>269</v>
      </c>
      <c r="E11080" t="s">
        <v>32817</v>
      </c>
      <c r="F11080" t="s">
        <v>7672</v>
      </c>
      <c r="G11080" t="s">
        <v>32818</v>
      </c>
      <c r="H11080" t="s">
        <v>16463</v>
      </c>
      <c r="I11080" t="s">
        <v>19706</v>
      </c>
      <c r="J11080" t="s">
        <v>9023</v>
      </c>
    </row>
    <row r="11081" spans="1:10" x14ac:dyDescent="0.25">
      <c r="A11081" t="s">
        <v>32822</v>
      </c>
      <c r="B11081">
        <v>14.295999999999999</v>
      </c>
      <c r="C11081" t="s">
        <v>32823</v>
      </c>
      <c r="D11081" t="s">
        <v>1097</v>
      </c>
      <c r="E11081" t="s">
        <v>32817</v>
      </c>
      <c r="F11081" t="s">
        <v>7672</v>
      </c>
      <c r="G11081" t="s">
        <v>32818</v>
      </c>
      <c r="H11081" t="s">
        <v>16463</v>
      </c>
      <c r="I11081" t="s">
        <v>486</v>
      </c>
      <c r="J11081" t="s">
        <v>9023</v>
      </c>
    </row>
    <row r="11082" spans="1:10" x14ac:dyDescent="0.25">
      <c r="A11082" t="s">
        <v>32824</v>
      </c>
      <c r="B11082">
        <v>14.295999999999999</v>
      </c>
      <c r="C11082" t="s">
        <v>32825</v>
      </c>
      <c r="D11082" t="s">
        <v>959</v>
      </c>
      <c r="E11082" t="s">
        <v>32817</v>
      </c>
      <c r="F11082" t="s">
        <v>7672</v>
      </c>
      <c r="G11082" t="s">
        <v>32818</v>
      </c>
      <c r="H11082" t="s">
        <v>16463</v>
      </c>
      <c r="I11082" t="s">
        <v>19694</v>
      </c>
      <c r="J11082" t="s">
        <v>9023</v>
      </c>
    </row>
    <row r="11083" spans="1:10" x14ac:dyDescent="0.25">
      <c r="A11083" t="s">
        <v>32826</v>
      </c>
      <c r="B11083">
        <v>14.295999999999999</v>
      </c>
      <c r="C11083" t="s">
        <v>32827</v>
      </c>
      <c r="D11083" t="s">
        <v>301</v>
      </c>
      <c r="E11083" t="s">
        <v>32817</v>
      </c>
      <c r="F11083" t="s">
        <v>7672</v>
      </c>
      <c r="G11083" t="s">
        <v>32818</v>
      </c>
      <c r="H11083" t="s">
        <v>16463</v>
      </c>
      <c r="I11083" t="s">
        <v>19700</v>
      </c>
      <c r="J11083" t="s">
        <v>9023</v>
      </c>
    </row>
    <row r="11084" spans="1:10" x14ac:dyDescent="0.25">
      <c r="A11084" t="s">
        <v>1358</v>
      </c>
      <c r="B11084">
        <v>15.992000000000001</v>
      </c>
      <c r="C11084" t="s">
        <v>1360</v>
      </c>
      <c r="D11084" t="s">
        <v>100</v>
      </c>
      <c r="E11084" t="s">
        <v>1361</v>
      </c>
      <c r="F11084" t="s">
        <v>7672</v>
      </c>
      <c r="G11084" t="s">
        <v>32828</v>
      </c>
      <c r="H11084" t="s">
        <v>18003</v>
      </c>
      <c r="I11084" t="s">
        <v>1364</v>
      </c>
      <c r="J11084" t="s">
        <v>7966</v>
      </c>
    </row>
    <row r="11085" spans="1:10" x14ac:dyDescent="0.25">
      <c r="A11085" t="s">
        <v>32829</v>
      </c>
      <c r="B11085">
        <v>3.592000000000001</v>
      </c>
      <c r="C11085" t="s">
        <v>32830</v>
      </c>
      <c r="D11085" t="s">
        <v>106</v>
      </c>
      <c r="E11085" t="s">
        <v>32831</v>
      </c>
      <c r="F11085" t="s">
        <v>7672</v>
      </c>
      <c r="G11085" t="s">
        <v>14361</v>
      </c>
      <c r="H11085" t="s">
        <v>9127</v>
      </c>
      <c r="I11085" t="s">
        <v>32832</v>
      </c>
      <c r="J11085" t="s">
        <v>282</v>
      </c>
    </row>
    <row r="11086" spans="1:10" x14ac:dyDescent="0.25">
      <c r="A11086" t="s">
        <v>32833</v>
      </c>
      <c r="B11086">
        <v>3.6320000000000001</v>
      </c>
      <c r="C11086" t="s">
        <v>32834</v>
      </c>
      <c r="D11086" t="s">
        <v>781</v>
      </c>
      <c r="E11086" t="s">
        <v>32835</v>
      </c>
      <c r="F11086" t="s">
        <v>7672</v>
      </c>
      <c r="G11086" t="s">
        <v>32836</v>
      </c>
      <c r="H11086" t="s">
        <v>8515</v>
      </c>
      <c r="I11086" t="s">
        <v>32837</v>
      </c>
      <c r="J11086" t="s">
        <v>100</v>
      </c>
    </row>
    <row r="11087" spans="1:10" x14ac:dyDescent="0.25">
      <c r="A11087" t="s">
        <v>32838</v>
      </c>
      <c r="B11087">
        <v>3.6320000000000001</v>
      </c>
      <c r="C11087" t="s">
        <v>32839</v>
      </c>
      <c r="D11087" t="s">
        <v>5145</v>
      </c>
      <c r="E11087" t="s">
        <v>32835</v>
      </c>
      <c r="F11087" t="s">
        <v>7672</v>
      </c>
      <c r="G11087" t="s">
        <v>32836</v>
      </c>
      <c r="H11087" t="s">
        <v>8515</v>
      </c>
      <c r="I11087" t="s">
        <v>32837</v>
      </c>
      <c r="J11087" t="s">
        <v>106</v>
      </c>
    </row>
    <row r="11088" spans="1:10" x14ac:dyDescent="0.25">
      <c r="A11088" t="s">
        <v>32840</v>
      </c>
      <c r="B11088">
        <v>3.6320000000000001</v>
      </c>
      <c r="C11088" t="s">
        <v>32841</v>
      </c>
      <c r="D11088" t="s">
        <v>5592</v>
      </c>
      <c r="E11088" t="s">
        <v>32835</v>
      </c>
      <c r="F11088" t="s">
        <v>7672</v>
      </c>
      <c r="G11088" t="s">
        <v>32836</v>
      </c>
      <c r="H11088" t="s">
        <v>8515</v>
      </c>
      <c r="I11088" t="s">
        <v>32837</v>
      </c>
      <c r="J11088" t="s">
        <v>88</v>
      </c>
    </row>
    <row r="11089" spans="1:10" x14ac:dyDescent="0.25">
      <c r="A11089" t="s">
        <v>32842</v>
      </c>
      <c r="B11089">
        <v>3.6320000000000001</v>
      </c>
      <c r="C11089" t="s">
        <v>32843</v>
      </c>
      <c r="D11089" t="s">
        <v>2099</v>
      </c>
      <c r="E11089" t="s">
        <v>32835</v>
      </c>
      <c r="F11089" t="s">
        <v>7672</v>
      </c>
      <c r="G11089" t="s">
        <v>32836</v>
      </c>
      <c r="H11089" t="s">
        <v>8515</v>
      </c>
      <c r="I11089" t="s">
        <v>32837</v>
      </c>
      <c r="J11089" t="s">
        <v>8531</v>
      </c>
    </row>
    <row r="11090" spans="1:10" x14ac:dyDescent="0.25">
      <c r="A11090" t="s">
        <v>32844</v>
      </c>
      <c r="B11090">
        <v>3.6320000000000001</v>
      </c>
      <c r="C11090" t="s">
        <v>32845</v>
      </c>
      <c r="D11090" t="s">
        <v>6257</v>
      </c>
      <c r="E11090" t="s">
        <v>32835</v>
      </c>
      <c r="F11090" t="s">
        <v>7672</v>
      </c>
      <c r="G11090" t="s">
        <v>32836</v>
      </c>
      <c r="H11090" t="s">
        <v>8515</v>
      </c>
      <c r="I11090" t="s">
        <v>32837</v>
      </c>
      <c r="J11090" t="s">
        <v>131</v>
      </c>
    </row>
    <row r="11091" spans="1:10" x14ac:dyDescent="0.25">
      <c r="A11091" t="s">
        <v>32846</v>
      </c>
      <c r="B11091">
        <v>3.6320000000000001</v>
      </c>
      <c r="C11091" t="s">
        <v>32847</v>
      </c>
      <c r="D11091" t="s">
        <v>2910</v>
      </c>
      <c r="E11091" t="s">
        <v>32835</v>
      </c>
      <c r="F11091" t="s">
        <v>7672</v>
      </c>
      <c r="G11091" t="s">
        <v>32836</v>
      </c>
      <c r="H11091" t="s">
        <v>8515</v>
      </c>
      <c r="I11091" t="s">
        <v>32837</v>
      </c>
      <c r="J11091" t="s">
        <v>269</v>
      </c>
    </row>
    <row r="11092" spans="1:10" x14ac:dyDescent="0.25">
      <c r="A11092" t="s">
        <v>32848</v>
      </c>
      <c r="B11092">
        <v>3.6320000000000001</v>
      </c>
      <c r="C11092" t="s">
        <v>32849</v>
      </c>
      <c r="D11092" t="s">
        <v>359</v>
      </c>
      <c r="E11092" t="s">
        <v>32835</v>
      </c>
      <c r="F11092" t="s">
        <v>7672</v>
      </c>
      <c r="G11092" t="s">
        <v>32836</v>
      </c>
      <c r="H11092" t="s">
        <v>8515</v>
      </c>
      <c r="I11092" t="s">
        <v>32837</v>
      </c>
      <c r="J11092" t="s">
        <v>255</v>
      </c>
    </row>
    <row r="11093" spans="1:10" x14ac:dyDescent="0.25">
      <c r="A11093" t="s">
        <v>32850</v>
      </c>
      <c r="B11093">
        <v>3.6320000000000001</v>
      </c>
      <c r="C11093" t="s">
        <v>32851</v>
      </c>
      <c r="D11093" t="s">
        <v>286</v>
      </c>
      <c r="E11093" t="s">
        <v>32835</v>
      </c>
      <c r="F11093" t="s">
        <v>7672</v>
      </c>
      <c r="G11093" t="s">
        <v>32836</v>
      </c>
      <c r="H11093" t="s">
        <v>8515</v>
      </c>
      <c r="I11093" t="s">
        <v>32837</v>
      </c>
      <c r="J11093" t="s">
        <v>277</v>
      </c>
    </row>
    <row r="11094" spans="1:10" x14ac:dyDescent="0.25">
      <c r="A11094" t="s">
        <v>32852</v>
      </c>
      <c r="B11094">
        <v>3.6320000000000001</v>
      </c>
      <c r="C11094" t="s">
        <v>32853</v>
      </c>
      <c r="D11094" t="s">
        <v>88</v>
      </c>
      <c r="E11094" t="s">
        <v>32854</v>
      </c>
      <c r="F11094" t="s">
        <v>7672</v>
      </c>
      <c r="G11094" t="s">
        <v>32855</v>
      </c>
      <c r="H11094" t="s">
        <v>14324</v>
      </c>
      <c r="I11094" t="s">
        <v>32856</v>
      </c>
      <c r="J11094" t="s">
        <v>277</v>
      </c>
    </row>
    <row r="11095" spans="1:10" x14ac:dyDescent="0.25">
      <c r="A11095" t="s">
        <v>32857</v>
      </c>
      <c r="B11095">
        <v>12.096</v>
      </c>
      <c r="C11095" t="s">
        <v>32858</v>
      </c>
      <c r="D11095" t="s">
        <v>3258</v>
      </c>
      <c r="E11095" t="s">
        <v>32859</v>
      </c>
      <c r="F11095" t="s">
        <v>7672</v>
      </c>
      <c r="G11095" t="s">
        <v>32860</v>
      </c>
      <c r="H11095" t="s">
        <v>11622</v>
      </c>
      <c r="I11095" t="s">
        <v>5202</v>
      </c>
      <c r="J11095" t="s">
        <v>7675</v>
      </c>
    </row>
    <row r="11096" spans="1:10" x14ac:dyDescent="0.25">
      <c r="A11096" t="s">
        <v>32861</v>
      </c>
      <c r="B11096">
        <v>12.096</v>
      </c>
      <c r="C11096" t="s">
        <v>32862</v>
      </c>
      <c r="D11096" t="s">
        <v>3258</v>
      </c>
      <c r="E11096" t="s">
        <v>32859</v>
      </c>
      <c r="F11096" t="s">
        <v>7672</v>
      </c>
      <c r="G11096" t="s">
        <v>32860</v>
      </c>
      <c r="H11096" t="s">
        <v>11622</v>
      </c>
      <c r="I11096" t="s">
        <v>76</v>
      </c>
      <c r="J11096" t="s">
        <v>7675</v>
      </c>
    </row>
    <row r="11097" spans="1:10" x14ac:dyDescent="0.25">
      <c r="A11097" t="s">
        <v>32863</v>
      </c>
      <c r="B11097">
        <v>12.096</v>
      </c>
      <c r="C11097" t="s">
        <v>32864</v>
      </c>
      <c r="D11097" t="s">
        <v>2697</v>
      </c>
      <c r="E11097" t="s">
        <v>32859</v>
      </c>
      <c r="F11097" t="s">
        <v>7672</v>
      </c>
      <c r="G11097" t="s">
        <v>32860</v>
      </c>
      <c r="H11097" t="s">
        <v>11622</v>
      </c>
      <c r="I11097" t="s">
        <v>5202</v>
      </c>
      <c r="J11097" t="s">
        <v>7686</v>
      </c>
    </row>
    <row r="11098" spans="1:10" x14ac:dyDescent="0.25">
      <c r="A11098" t="s">
        <v>32865</v>
      </c>
      <c r="B11098">
        <v>12.096</v>
      </c>
      <c r="C11098" t="s">
        <v>32866</v>
      </c>
      <c r="D11098" t="s">
        <v>1134</v>
      </c>
      <c r="E11098" t="s">
        <v>32859</v>
      </c>
      <c r="F11098" t="s">
        <v>7672</v>
      </c>
      <c r="G11098" t="s">
        <v>32860</v>
      </c>
      <c r="H11098" t="s">
        <v>11622</v>
      </c>
      <c r="I11098" t="s">
        <v>76</v>
      </c>
      <c r="J11098" t="s">
        <v>7686</v>
      </c>
    </row>
    <row r="11099" spans="1:10" x14ac:dyDescent="0.25">
      <c r="A11099" t="s">
        <v>32867</v>
      </c>
      <c r="B11099">
        <v>5.4</v>
      </c>
      <c r="C11099" t="s">
        <v>32868</v>
      </c>
      <c r="D11099" t="s">
        <v>342</v>
      </c>
      <c r="E11099" t="s">
        <v>32869</v>
      </c>
      <c r="F11099" t="s">
        <v>7672</v>
      </c>
      <c r="G11099" t="s">
        <v>32870</v>
      </c>
      <c r="H11099" t="s">
        <v>10970</v>
      </c>
      <c r="I11099" t="s">
        <v>76</v>
      </c>
      <c r="J11099" t="s">
        <v>9694</v>
      </c>
    </row>
    <row r="11100" spans="1:10" x14ac:dyDescent="0.25">
      <c r="A11100" t="s">
        <v>32871</v>
      </c>
      <c r="B11100">
        <v>4.16</v>
      </c>
      <c r="C11100" t="s">
        <v>32872</v>
      </c>
      <c r="D11100" t="s">
        <v>436</v>
      </c>
      <c r="E11100" t="s">
        <v>32873</v>
      </c>
      <c r="F11100" t="s">
        <v>7672</v>
      </c>
      <c r="G11100" t="s">
        <v>32874</v>
      </c>
      <c r="H11100" t="s">
        <v>10298</v>
      </c>
      <c r="I11100" t="s">
        <v>32478</v>
      </c>
      <c r="J11100" t="s">
        <v>8427</v>
      </c>
    </row>
    <row r="11101" spans="1:10" x14ac:dyDescent="0.25">
      <c r="A11101" t="s">
        <v>32875</v>
      </c>
      <c r="B11101">
        <v>4.16</v>
      </c>
      <c r="C11101" t="s">
        <v>32876</v>
      </c>
      <c r="D11101" t="s">
        <v>269</v>
      </c>
      <c r="E11101" t="s">
        <v>32873</v>
      </c>
      <c r="F11101" t="s">
        <v>7672</v>
      </c>
      <c r="G11101" t="s">
        <v>32874</v>
      </c>
      <c r="H11101" t="s">
        <v>10298</v>
      </c>
      <c r="I11101" t="s">
        <v>32490</v>
      </c>
      <c r="J11101" t="s">
        <v>8427</v>
      </c>
    </row>
    <row r="11102" spans="1:10" x14ac:dyDescent="0.25">
      <c r="A11102" t="s">
        <v>32877</v>
      </c>
      <c r="B11102">
        <v>4.16</v>
      </c>
      <c r="C11102" t="s">
        <v>32878</v>
      </c>
      <c r="D11102" t="s">
        <v>245</v>
      </c>
      <c r="E11102" t="s">
        <v>32873</v>
      </c>
      <c r="F11102" t="s">
        <v>7672</v>
      </c>
      <c r="G11102" t="s">
        <v>32874</v>
      </c>
      <c r="H11102" t="s">
        <v>10298</v>
      </c>
      <c r="I11102" t="s">
        <v>32487</v>
      </c>
      <c r="J11102" t="s">
        <v>8427</v>
      </c>
    </row>
    <row r="11103" spans="1:10" x14ac:dyDescent="0.25">
      <c r="A11103" t="s">
        <v>32879</v>
      </c>
      <c r="B11103">
        <v>4.16</v>
      </c>
      <c r="C11103" t="s">
        <v>32880</v>
      </c>
      <c r="D11103" t="s">
        <v>2620</v>
      </c>
      <c r="E11103" t="s">
        <v>32873</v>
      </c>
      <c r="F11103" t="s">
        <v>7672</v>
      </c>
      <c r="G11103" t="s">
        <v>32874</v>
      </c>
      <c r="H11103" t="s">
        <v>10298</v>
      </c>
      <c r="I11103" t="s">
        <v>32500</v>
      </c>
      <c r="J11103" t="s">
        <v>8427</v>
      </c>
    </row>
    <row r="11104" spans="1:10" x14ac:dyDescent="0.25">
      <c r="A11104" t="s">
        <v>32881</v>
      </c>
      <c r="B11104">
        <v>4.16</v>
      </c>
      <c r="C11104" t="s">
        <v>32882</v>
      </c>
      <c r="D11104" t="s">
        <v>2253</v>
      </c>
      <c r="E11104" t="s">
        <v>32873</v>
      </c>
      <c r="F11104" t="s">
        <v>7672</v>
      </c>
      <c r="G11104" t="s">
        <v>32874</v>
      </c>
      <c r="H11104" t="s">
        <v>10298</v>
      </c>
      <c r="I11104" t="s">
        <v>32484</v>
      </c>
      <c r="J11104" t="s">
        <v>8427</v>
      </c>
    </row>
    <row r="11105" spans="1:10" x14ac:dyDescent="0.25">
      <c r="A11105" t="s">
        <v>32883</v>
      </c>
      <c r="B11105">
        <v>4.16</v>
      </c>
      <c r="C11105" t="s">
        <v>32884</v>
      </c>
      <c r="D11105" t="s">
        <v>582</v>
      </c>
      <c r="E11105" t="s">
        <v>32873</v>
      </c>
      <c r="F11105" t="s">
        <v>7672</v>
      </c>
      <c r="G11105" t="s">
        <v>32874</v>
      </c>
      <c r="H11105" t="s">
        <v>10298</v>
      </c>
      <c r="I11105" t="s">
        <v>32478</v>
      </c>
      <c r="J11105" t="s">
        <v>8439</v>
      </c>
    </row>
    <row r="11106" spans="1:10" x14ac:dyDescent="0.25">
      <c r="A11106" t="s">
        <v>32885</v>
      </c>
      <c r="B11106">
        <v>4.16</v>
      </c>
      <c r="C11106" t="s">
        <v>32886</v>
      </c>
      <c r="D11106" t="s">
        <v>396</v>
      </c>
      <c r="E11106" t="s">
        <v>32873</v>
      </c>
      <c r="F11106" t="s">
        <v>7672</v>
      </c>
      <c r="G11106" t="s">
        <v>32874</v>
      </c>
      <c r="H11106" t="s">
        <v>10298</v>
      </c>
      <c r="I11106" t="s">
        <v>32487</v>
      </c>
      <c r="J11106" t="s">
        <v>8439</v>
      </c>
    </row>
    <row r="11107" spans="1:10" x14ac:dyDescent="0.25">
      <c r="A11107" t="s">
        <v>32887</v>
      </c>
      <c r="B11107">
        <v>4.16</v>
      </c>
      <c r="C11107" t="s">
        <v>32888</v>
      </c>
      <c r="D11107" t="s">
        <v>2787</v>
      </c>
      <c r="E11107" t="s">
        <v>32873</v>
      </c>
      <c r="F11107" t="s">
        <v>7672</v>
      </c>
      <c r="G11107" t="s">
        <v>32874</v>
      </c>
      <c r="H11107" t="s">
        <v>10298</v>
      </c>
      <c r="I11107" t="s">
        <v>32500</v>
      </c>
      <c r="J11107" t="s">
        <v>8439</v>
      </c>
    </row>
    <row r="11108" spans="1:10" x14ac:dyDescent="0.25">
      <c r="A11108" t="s">
        <v>32889</v>
      </c>
      <c r="B11108">
        <v>4.16</v>
      </c>
      <c r="C11108" t="s">
        <v>32890</v>
      </c>
      <c r="D11108" t="s">
        <v>975</v>
      </c>
      <c r="E11108" t="s">
        <v>32873</v>
      </c>
      <c r="F11108" t="s">
        <v>7672</v>
      </c>
      <c r="G11108" t="s">
        <v>32874</v>
      </c>
      <c r="H11108" t="s">
        <v>10298</v>
      </c>
      <c r="I11108" t="s">
        <v>32484</v>
      </c>
      <c r="J11108" t="s">
        <v>8439</v>
      </c>
    </row>
    <row r="11109" spans="1:10" x14ac:dyDescent="0.25">
      <c r="A11109" t="s">
        <v>32891</v>
      </c>
      <c r="B11109">
        <v>4.16</v>
      </c>
      <c r="C11109" t="s">
        <v>32892</v>
      </c>
      <c r="D11109" t="s">
        <v>2910</v>
      </c>
      <c r="E11109" t="s">
        <v>32873</v>
      </c>
      <c r="F11109" t="s">
        <v>7672</v>
      </c>
      <c r="G11109" t="s">
        <v>32874</v>
      </c>
      <c r="H11109" t="s">
        <v>10298</v>
      </c>
      <c r="I11109" t="s">
        <v>32490</v>
      </c>
      <c r="J11109" t="s">
        <v>8439</v>
      </c>
    </row>
    <row r="11110" spans="1:10" x14ac:dyDescent="0.25">
      <c r="A11110" t="s">
        <v>32893</v>
      </c>
      <c r="B11110">
        <v>4.16</v>
      </c>
      <c r="C11110" t="s">
        <v>32894</v>
      </c>
      <c r="D11110" t="s">
        <v>352</v>
      </c>
      <c r="E11110" t="s">
        <v>32873</v>
      </c>
      <c r="F11110" t="s">
        <v>7672</v>
      </c>
      <c r="G11110" t="s">
        <v>32874</v>
      </c>
      <c r="H11110" t="s">
        <v>10298</v>
      </c>
      <c r="I11110" t="s">
        <v>32478</v>
      </c>
      <c r="J11110" t="s">
        <v>8451</v>
      </c>
    </row>
    <row r="11111" spans="1:10" x14ac:dyDescent="0.25">
      <c r="A11111" t="s">
        <v>32895</v>
      </c>
      <c r="B11111">
        <v>4.16</v>
      </c>
      <c r="C11111" t="s">
        <v>32896</v>
      </c>
      <c r="D11111" t="s">
        <v>1236</v>
      </c>
      <c r="E11111" t="s">
        <v>32873</v>
      </c>
      <c r="F11111" t="s">
        <v>7672</v>
      </c>
      <c r="G11111" t="s">
        <v>32874</v>
      </c>
      <c r="H11111" t="s">
        <v>10298</v>
      </c>
      <c r="I11111" t="s">
        <v>32487</v>
      </c>
      <c r="J11111" t="s">
        <v>8451</v>
      </c>
    </row>
    <row r="11112" spans="1:10" x14ac:dyDescent="0.25">
      <c r="A11112" t="s">
        <v>32897</v>
      </c>
      <c r="B11112">
        <v>4.16</v>
      </c>
      <c r="C11112" t="s">
        <v>32898</v>
      </c>
      <c r="D11112" t="s">
        <v>250</v>
      </c>
      <c r="E11112" t="s">
        <v>32873</v>
      </c>
      <c r="F11112" t="s">
        <v>7672</v>
      </c>
      <c r="G11112" t="s">
        <v>32874</v>
      </c>
      <c r="H11112" t="s">
        <v>10298</v>
      </c>
      <c r="I11112" t="s">
        <v>32500</v>
      </c>
      <c r="J11112" t="s">
        <v>8451</v>
      </c>
    </row>
    <row r="11113" spans="1:10" x14ac:dyDescent="0.25">
      <c r="A11113" t="s">
        <v>32899</v>
      </c>
      <c r="B11113">
        <v>4.16</v>
      </c>
      <c r="C11113" t="s">
        <v>32900</v>
      </c>
      <c r="D11113" t="s">
        <v>2253</v>
      </c>
      <c r="E11113" t="s">
        <v>32873</v>
      </c>
      <c r="F11113" t="s">
        <v>7672</v>
      </c>
      <c r="G11113" t="s">
        <v>32874</v>
      </c>
      <c r="H11113" t="s">
        <v>10298</v>
      </c>
      <c r="I11113" t="s">
        <v>32484</v>
      </c>
      <c r="J11113" t="s">
        <v>8451</v>
      </c>
    </row>
    <row r="11114" spans="1:10" x14ac:dyDescent="0.25">
      <c r="A11114" t="s">
        <v>32901</v>
      </c>
      <c r="B11114">
        <v>4.16</v>
      </c>
      <c r="C11114" t="s">
        <v>32902</v>
      </c>
      <c r="D11114" t="s">
        <v>379</v>
      </c>
      <c r="E11114" t="s">
        <v>32873</v>
      </c>
      <c r="F11114" t="s">
        <v>7672</v>
      </c>
      <c r="G11114" t="s">
        <v>32874</v>
      </c>
      <c r="H11114" t="s">
        <v>10298</v>
      </c>
      <c r="I11114" t="s">
        <v>32490</v>
      </c>
      <c r="J11114" t="s">
        <v>8451</v>
      </c>
    </row>
    <row r="11115" spans="1:10" x14ac:dyDescent="0.25">
      <c r="A11115" t="s">
        <v>32903</v>
      </c>
      <c r="B11115">
        <v>1.92</v>
      </c>
      <c r="C11115" t="s">
        <v>32904</v>
      </c>
      <c r="D11115" t="s">
        <v>60</v>
      </c>
      <c r="E11115" t="s">
        <v>32905</v>
      </c>
      <c r="F11115" t="s">
        <v>7672</v>
      </c>
      <c r="G11115" t="s">
        <v>32906</v>
      </c>
      <c r="H11115" t="s">
        <v>11496</v>
      </c>
      <c r="I11115" t="s">
        <v>410</v>
      </c>
      <c r="J11115" t="s">
        <v>9694</v>
      </c>
    </row>
    <row r="11116" spans="1:10" x14ac:dyDescent="0.25">
      <c r="A11116" t="s">
        <v>32907</v>
      </c>
      <c r="B11116">
        <v>14</v>
      </c>
      <c r="C11116" t="s">
        <v>32908</v>
      </c>
      <c r="D11116" t="s">
        <v>53</v>
      </c>
      <c r="E11116" t="s">
        <v>32909</v>
      </c>
      <c r="F11116" t="s">
        <v>7672</v>
      </c>
      <c r="G11116" t="s">
        <v>32910</v>
      </c>
      <c r="H11116" t="s">
        <v>15474</v>
      </c>
      <c r="I11116" t="s">
        <v>18399</v>
      </c>
      <c r="J11116" t="s">
        <v>21328</v>
      </c>
    </row>
    <row r="11117" spans="1:10" x14ac:dyDescent="0.25">
      <c r="A11117" t="s">
        <v>32911</v>
      </c>
      <c r="B11117">
        <v>14</v>
      </c>
      <c r="C11117" t="s">
        <v>32912</v>
      </c>
      <c r="D11117" t="s">
        <v>366</v>
      </c>
      <c r="E11117" t="s">
        <v>32909</v>
      </c>
      <c r="F11117" t="s">
        <v>7672</v>
      </c>
      <c r="G11117" t="s">
        <v>32910</v>
      </c>
      <c r="H11117" t="s">
        <v>15474</v>
      </c>
      <c r="I11117" t="s">
        <v>18399</v>
      </c>
      <c r="J11117" t="s">
        <v>15488</v>
      </c>
    </row>
    <row r="11118" spans="1:10" x14ac:dyDescent="0.25">
      <c r="A11118" t="s">
        <v>32913</v>
      </c>
      <c r="B11118">
        <v>84</v>
      </c>
      <c r="C11118" t="s">
        <v>32914</v>
      </c>
      <c r="D11118" t="s">
        <v>67</v>
      </c>
      <c r="E11118" t="s">
        <v>32915</v>
      </c>
      <c r="F11118" t="s">
        <v>7672</v>
      </c>
      <c r="G11118" t="s">
        <v>32916</v>
      </c>
      <c r="H11118" t="s">
        <v>9693</v>
      </c>
      <c r="I11118" t="s">
        <v>17521</v>
      </c>
      <c r="J11118" t="s">
        <v>9694</v>
      </c>
    </row>
    <row r="11119" spans="1:10" x14ac:dyDescent="0.25">
      <c r="A11119" t="s">
        <v>32917</v>
      </c>
      <c r="B11119">
        <v>42</v>
      </c>
      <c r="C11119" t="s">
        <v>32918</v>
      </c>
      <c r="D11119" t="s">
        <v>941</v>
      </c>
      <c r="E11119" t="s">
        <v>32919</v>
      </c>
      <c r="F11119" t="s">
        <v>7672</v>
      </c>
      <c r="G11119" t="s">
        <v>32920</v>
      </c>
      <c r="H11119" t="s">
        <v>9693</v>
      </c>
      <c r="I11119" t="s">
        <v>17521</v>
      </c>
      <c r="J11119" t="s">
        <v>9694</v>
      </c>
    </row>
    <row r="11120" spans="1:10" x14ac:dyDescent="0.25">
      <c r="A11120" t="s">
        <v>32921</v>
      </c>
      <c r="B11120">
        <v>84</v>
      </c>
      <c r="C11120" t="s">
        <v>32922</v>
      </c>
      <c r="D11120" t="s">
        <v>4804</v>
      </c>
      <c r="E11120" t="s">
        <v>32923</v>
      </c>
      <c r="F11120" t="s">
        <v>7672</v>
      </c>
      <c r="G11120" t="s">
        <v>32924</v>
      </c>
      <c r="H11120" t="s">
        <v>9693</v>
      </c>
      <c r="I11120" t="s">
        <v>17521</v>
      </c>
      <c r="J11120" t="s">
        <v>9694</v>
      </c>
    </row>
    <row r="11121" spans="1:10" x14ac:dyDescent="0.25">
      <c r="A11121" t="s">
        <v>32925</v>
      </c>
      <c r="B11121">
        <v>36</v>
      </c>
      <c r="C11121" t="s">
        <v>32926</v>
      </c>
      <c r="D11121" t="s">
        <v>9566</v>
      </c>
      <c r="E11121" t="s">
        <v>32927</v>
      </c>
      <c r="F11121" t="s">
        <v>7672</v>
      </c>
      <c r="G11121" t="s">
        <v>32928</v>
      </c>
      <c r="H11121" t="s">
        <v>9693</v>
      </c>
      <c r="I11121" t="s">
        <v>17521</v>
      </c>
      <c r="J11121" t="s">
        <v>9694</v>
      </c>
    </row>
    <row r="11122" spans="1:10" x14ac:dyDescent="0.25">
      <c r="A11122" t="s">
        <v>32929</v>
      </c>
      <c r="B11122">
        <v>36</v>
      </c>
      <c r="C11122" t="s">
        <v>32930</v>
      </c>
      <c r="D11122" t="s">
        <v>95</v>
      </c>
      <c r="E11122" t="s">
        <v>32931</v>
      </c>
      <c r="F11122" t="s">
        <v>7672</v>
      </c>
      <c r="G11122" t="s">
        <v>32932</v>
      </c>
      <c r="H11122" t="s">
        <v>9693</v>
      </c>
      <c r="I11122" t="s">
        <v>26279</v>
      </c>
      <c r="J11122" t="s">
        <v>9694</v>
      </c>
    </row>
    <row r="11123" spans="1:10" x14ac:dyDescent="0.25">
      <c r="A11123" t="s">
        <v>32933</v>
      </c>
      <c r="B11123">
        <v>5.9920000000000009</v>
      </c>
      <c r="C11123" t="s">
        <v>32934</v>
      </c>
      <c r="D11123" t="s">
        <v>835</v>
      </c>
      <c r="E11123" t="s">
        <v>32935</v>
      </c>
      <c r="F11123" t="s">
        <v>7672</v>
      </c>
      <c r="G11123" t="s">
        <v>32936</v>
      </c>
      <c r="H11123" t="s">
        <v>32937</v>
      </c>
      <c r="I11123" t="s">
        <v>935</v>
      </c>
      <c r="J11123" t="s">
        <v>8001</v>
      </c>
    </row>
    <row r="11124" spans="1:10" x14ac:dyDescent="0.25">
      <c r="A11124" t="s">
        <v>32938</v>
      </c>
      <c r="B11124">
        <v>10.92</v>
      </c>
      <c r="C11124" t="s">
        <v>32939</v>
      </c>
      <c r="D11124" t="s">
        <v>88</v>
      </c>
      <c r="E11124" t="s">
        <v>32940</v>
      </c>
      <c r="F11124" t="s">
        <v>7672</v>
      </c>
      <c r="G11124" t="s">
        <v>32941</v>
      </c>
      <c r="H11124" t="s">
        <v>11335</v>
      </c>
      <c r="I11124" t="s">
        <v>32942</v>
      </c>
      <c r="J11124" t="s">
        <v>7942</v>
      </c>
    </row>
    <row r="11125" spans="1:10" x14ac:dyDescent="0.25">
      <c r="A11125" t="s">
        <v>32943</v>
      </c>
      <c r="B11125">
        <v>10.92</v>
      </c>
      <c r="C11125" t="s">
        <v>32944</v>
      </c>
      <c r="D11125" t="s">
        <v>53</v>
      </c>
      <c r="E11125" t="s">
        <v>32940</v>
      </c>
      <c r="F11125" t="s">
        <v>7672</v>
      </c>
      <c r="G11125" t="s">
        <v>32941</v>
      </c>
      <c r="H11125" t="s">
        <v>11335</v>
      </c>
      <c r="I11125" t="s">
        <v>32942</v>
      </c>
      <c r="J11125" t="s">
        <v>7981</v>
      </c>
    </row>
    <row r="11126" spans="1:10" x14ac:dyDescent="0.25">
      <c r="A11126" t="s">
        <v>32945</v>
      </c>
      <c r="B11126">
        <v>10.92</v>
      </c>
      <c r="C11126" t="s">
        <v>32946</v>
      </c>
      <c r="D11126" t="s">
        <v>269</v>
      </c>
      <c r="E11126" t="s">
        <v>32940</v>
      </c>
      <c r="F11126" t="s">
        <v>7672</v>
      </c>
      <c r="G11126" t="s">
        <v>32941</v>
      </c>
      <c r="H11126" t="s">
        <v>11335</v>
      </c>
      <c r="I11126" t="s">
        <v>32942</v>
      </c>
      <c r="J11126" t="s">
        <v>7984</v>
      </c>
    </row>
    <row r="11127" spans="1:10" x14ac:dyDescent="0.25">
      <c r="A11127" t="s">
        <v>32947</v>
      </c>
      <c r="B11127">
        <v>10.92</v>
      </c>
      <c r="C11127" t="s">
        <v>32948</v>
      </c>
      <c r="D11127" t="s">
        <v>53</v>
      </c>
      <c r="E11127" t="s">
        <v>32940</v>
      </c>
      <c r="F11127" t="s">
        <v>7672</v>
      </c>
      <c r="G11127" t="s">
        <v>32941</v>
      </c>
      <c r="H11127" t="s">
        <v>11335</v>
      </c>
      <c r="I11127" t="s">
        <v>32942</v>
      </c>
      <c r="J11127" t="s">
        <v>7987</v>
      </c>
    </row>
    <row r="11128" spans="1:10" x14ac:dyDescent="0.25">
      <c r="A11128" t="s">
        <v>32949</v>
      </c>
      <c r="B11128">
        <v>10.92</v>
      </c>
      <c r="C11128" t="s">
        <v>32950</v>
      </c>
      <c r="D11128" t="s">
        <v>88</v>
      </c>
      <c r="E11128" t="s">
        <v>32940</v>
      </c>
      <c r="F11128" t="s">
        <v>7672</v>
      </c>
      <c r="G11128" t="s">
        <v>32941</v>
      </c>
      <c r="H11128" t="s">
        <v>11335</v>
      </c>
      <c r="I11128" t="s">
        <v>32942</v>
      </c>
      <c r="J11128" t="s">
        <v>8013</v>
      </c>
    </row>
    <row r="11129" spans="1:10" x14ac:dyDescent="0.25">
      <c r="A11129" t="s">
        <v>32951</v>
      </c>
      <c r="B11129">
        <v>10.92</v>
      </c>
      <c r="C11129" t="s">
        <v>32952</v>
      </c>
      <c r="D11129" t="s">
        <v>60</v>
      </c>
      <c r="E11129" t="s">
        <v>32940</v>
      </c>
      <c r="F11129" t="s">
        <v>7672</v>
      </c>
      <c r="G11129" t="s">
        <v>32941</v>
      </c>
      <c r="H11129" t="s">
        <v>11335</v>
      </c>
      <c r="I11129" t="s">
        <v>32942</v>
      </c>
      <c r="J11129" t="s">
        <v>30303</v>
      </c>
    </row>
    <row r="11130" spans="1:10" x14ac:dyDescent="0.25">
      <c r="A11130" t="s">
        <v>32953</v>
      </c>
      <c r="B11130">
        <v>8.64</v>
      </c>
      <c r="C11130" t="s">
        <v>32954</v>
      </c>
      <c r="D11130" t="s">
        <v>2620</v>
      </c>
      <c r="E11130" t="s">
        <v>32955</v>
      </c>
      <c r="F11130" t="s">
        <v>7672</v>
      </c>
      <c r="G11130" t="s">
        <v>32956</v>
      </c>
      <c r="H11130" t="s">
        <v>24169</v>
      </c>
      <c r="I11130" t="s">
        <v>32957</v>
      </c>
      <c r="J11130" t="s">
        <v>9023</v>
      </c>
    </row>
    <row r="11131" spans="1:10" x14ac:dyDescent="0.25">
      <c r="A11131" t="s">
        <v>32958</v>
      </c>
      <c r="B11131">
        <v>8.64</v>
      </c>
      <c r="C11131" t="s">
        <v>32959</v>
      </c>
      <c r="D11131" t="s">
        <v>959</v>
      </c>
      <c r="E11131" t="s">
        <v>32955</v>
      </c>
      <c r="F11131" t="s">
        <v>7672</v>
      </c>
      <c r="G11131" t="s">
        <v>32956</v>
      </c>
      <c r="H11131" t="s">
        <v>24169</v>
      </c>
      <c r="I11131" t="s">
        <v>32957</v>
      </c>
      <c r="J11131" t="s">
        <v>8883</v>
      </c>
    </row>
    <row r="11132" spans="1:10" x14ac:dyDescent="0.25">
      <c r="A11132" t="s">
        <v>32960</v>
      </c>
      <c r="B11132">
        <v>8.64</v>
      </c>
      <c r="C11132" t="s">
        <v>32961</v>
      </c>
      <c r="D11132" t="s">
        <v>366</v>
      </c>
      <c r="E11132" t="s">
        <v>32955</v>
      </c>
      <c r="F11132" t="s">
        <v>7672</v>
      </c>
      <c r="G11132" t="s">
        <v>32956</v>
      </c>
      <c r="H11132" t="s">
        <v>24169</v>
      </c>
      <c r="I11132" t="s">
        <v>32957</v>
      </c>
      <c r="J11132" t="s">
        <v>10908</v>
      </c>
    </row>
    <row r="11133" spans="1:10" x14ac:dyDescent="0.25">
      <c r="A11133" t="s">
        <v>32962</v>
      </c>
      <c r="B11133">
        <v>8.64</v>
      </c>
      <c r="C11133" t="s">
        <v>32963</v>
      </c>
      <c r="D11133" t="s">
        <v>240</v>
      </c>
      <c r="E11133" t="s">
        <v>32955</v>
      </c>
      <c r="F11133" t="s">
        <v>7672</v>
      </c>
      <c r="G11133" t="s">
        <v>32956</v>
      </c>
      <c r="H11133" t="s">
        <v>24169</v>
      </c>
      <c r="I11133" t="s">
        <v>32957</v>
      </c>
      <c r="J11133" t="s">
        <v>10926</v>
      </c>
    </row>
    <row r="11134" spans="1:10" x14ac:dyDescent="0.25">
      <c r="A11134" t="s">
        <v>32964</v>
      </c>
      <c r="B11134">
        <v>5.2</v>
      </c>
      <c r="C11134" t="s">
        <v>32965</v>
      </c>
      <c r="D11134" t="s">
        <v>113</v>
      </c>
      <c r="E11134" t="s">
        <v>32966</v>
      </c>
      <c r="F11134" t="s">
        <v>7672</v>
      </c>
      <c r="G11134" t="s">
        <v>32967</v>
      </c>
      <c r="H11134" t="s">
        <v>26624</v>
      </c>
      <c r="I11134" t="s">
        <v>31048</v>
      </c>
      <c r="J11134" t="s">
        <v>7942</v>
      </c>
    </row>
    <row r="11135" spans="1:10" x14ac:dyDescent="0.25">
      <c r="A11135" t="s">
        <v>32968</v>
      </c>
      <c r="B11135">
        <v>5.2</v>
      </c>
      <c r="C11135" t="s">
        <v>32969</v>
      </c>
      <c r="D11135" t="s">
        <v>311</v>
      </c>
      <c r="E11135" t="s">
        <v>32966</v>
      </c>
      <c r="F11135" t="s">
        <v>7672</v>
      </c>
      <c r="G11135" t="s">
        <v>32967</v>
      </c>
      <c r="H11135" t="s">
        <v>26624</v>
      </c>
      <c r="I11135" t="s">
        <v>31048</v>
      </c>
      <c r="J11135" t="s">
        <v>7981</v>
      </c>
    </row>
    <row r="11136" spans="1:10" x14ac:dyDescent="0.25">
      <c r="A11136" t="s">
        <v>32970</v>
      </c>
      <c r="B11136">
        <v>5.2</v>
      </c>
      <c r="C11136" t="s">
        <v>32971</v>
      </c>
      <c r="D11136" t="s">
        <v>245</v>
      </c>
      <c r="E11136" t="s">
        <v>32966</v>
      </c>
      <c r="F11136" t="s">
        <v>7672</v>
      </c>
      <c r="G11136" t="s">
        <v>32967</v>
      </c>
      <c r="H11136" t="s">
        <v>26624</v>
      </c>
      <c r="I11136" t="s">
        <v>31048</v>
      </c>
      <c r="J11136" t="s">
        <v>7984</v>
      </c>
    </row>
    <row r="11137" spans="1:10" x14ac:dyDescent="0.25">
      <c r="A11137" t="s">
        <v>32972</v>
      </c>
      <c r="B11137">
        <v>5.2</v>
      </c>
      <c r="C11137" t="s">
        <v>32973</v>
      </c>
      <c r="D11137" t="s">
        <v>4270</v>
      </c>
      <c r="E11137" t="s">
        <v>32966</v>
      </c>
      <c r="F11137" t="s">
        <v>7672</v>
      </c>
      <c r="G11137" t="s">
        <v>32967</v>
      </c>
      <c r="H11137" t="s">
        <v>26624</v>
      </c>
      <c r="I11137" t="s">
        <v>31048</v>
      </c>
      <c r="J11137" t="s">
        <v>7987</v>
      </c>
    </row>
    <row r="11138" spans="1:10" x14ac:dyDescent="0.25">
      <c r="A11138" t="s">
        <v>32974</v>
      </c>
      <c r="B11138">
        <v>5.2</v>
      </c>
      <c r="C11138" t="s">
        <v>32975</v>
      </c>
      <c r="D11138" t="s">
        <v>359</v>
      </c>
      <c r="E11138" t="s">
        <v>32966</v>
      </c>
      <c r="F11138" t="s">
        <v>7672</v>
      </c>
      <c r="G11138" t="s">
        <v>32967</v>
      </c>
      <c r="H11138" t="s">
        <v>26624</v>
      </c>
      <c r="I11138" t="s">
        <v>31048</v>
      </c>
      <c r="J11138" t="s">
        <v>8001</v>
      </c>
    </row>
    <row r="11139" spans="1:10" x14ac:dyDescent="0.25">
      <c r="A11139" t="s">
        <v>32976</v>
      </c>
      <c r="B11139">
        <v>5.2</v>
      </c>
      <c r="C11139" t="s">
        <v>32977</v>
      </c>
      <c r="D11139" t="s">
        <v>352</v>
      </c>
      <c r="E11139" t="s">
        <v>32966</v>
      </c>
      <c r="F11139" t="s">
        <v>7672</v>
      </c>
      <c r="G11139" t="s">
        <v>32967</v>
      </c>
      <c r="H11139" t="s">
        <v>26624</v>
      </c>
      <c r="I11139" t="s">
        <v>31048</v>
      </c>
      <c r="J11139" t="s">
        <v>8013</v>
      </c>
    </row>
    <row r="11140" spans="1:10" x14ac:dyDescent="0.25">
      <c r="A11140" t="s">
        <v>32978</v>
      </c>
      <c r="B11140">
        <v>9.6000000000000014</v>
      </c>
      <c r="C11140" t="s">
        <v>32979</v>
      </c>
      <c r="D11140" t="s">
        <v>311</v>
      </c>
      <c r="E11140" t="s">
        <v>1368</v>
      </c>
      <c r="F11140" t="s">
        <v>7672</v>
      </c>
      <c r="G11140" t="s">
        <v>32980</v>
      </c>
      <c r="H11140" t="s">
        <v>10970</v>
      </c>
      <c r="I11140" t="s">
        <v>410</v>
      </c>
      <c r="J11140" t="s">
        <v>7981</v>
      </c>
    </row>
    <row r="11141" spans="1:10" x14ac:dyDescent="0.25">
      <c r="A11141" t="s">
        <v>1365</v>
      </c>
      <c r="B11141">
        <v>9.6000000000000014</v>
      </c>
      <c r="C11141" t="s">
        <v>1367</v>
      </c>
      <c r="D11141" t="s">
        <v>277</v>
      </c>
      <c r="E11141" t="s">
        <v>1368</v>
      </c>
      <c r="F11141" t="s">
        <v>7672</v>
      </c>
      <c r="G11141" t="s">
        <v>32980</v>
      </c>
      <c r="H11141" t="s">
        <v>10970</v>
      </c>
      <c r="I11141" t="s">
        <v>4821</v>
      </c>
      <c r="J11141" t="s">
        <v>7981</v>
      </c>
    </row>
    <row r="11142" spans="1:10" x14ac:dyDescent="0.25">
      <c r="A11142" t="s">
        <v>32981</v>
      </c>
      <c r="B11142">
        <v>9.6000000000000014</v>
      </c>
      <c r="C11142" t="s">
        <v>32982</v>
      </c>
      <c r="D11142" t="s">
        <v>2022</v>
      </c>
      <c r="E11142" t="s">
        <v>1368</v>
      </c>
      <c r="F11142" t="s">
        <v>7672</v>
      </c>
      <c r="G11142" t="s">
        <v>32980</v>
      </c>
      <c r="H11142" t="s">
        <v>10970</v>
      </c>
      <c r="I11142" t="s">
        <v>410</v>
      </c>
      <c r="J11142" t="s">
        <v>7984</v>
      </c>
    </row>
    <row r="11143" spans="1:10" x14ac:dyDescent="0.25">
      <c r="A11143" t="s">
        <v>32983</v>
      </c>
      <c r="B11143">
        <v>9.6000000000000014</v>
      </c>
      <c r="C11143" t="s">
        <v>32984</v>
      </c>
      <c r="D11143" t="s">
        <v>849</v>
      </c>
      <c r="E11143" t="s">
        <v>1368</v>
      </c>
      <c r="F11143" t="s">
        <v>7672</v>
      </c>
      <c r="G11143" t="s">
        <v>32980</v>
      </c>
      <c r="H11143" t="s">
        <v>10970</v>
      </c>
      <c r="I11143" t="s">
        <v>410</v>
      </c>
      <c r="J11143" t="s">
        <v>7987</v>
      </c>
    </row>
    <row r="11144" spans="1:10" x14ac:dyDescent="0.25">
      <c r="A11144" t="s">
        <v>32985</v>
      </c>
      <c r="B11144">
        <v>8.8000000000000007</v>
      </c>
      <c r="C11144" t="s">
        <v>32986</v>
      </c>
      <c r="D11144" t="s">
        <v>53</v>
      </c>
      <c r="E11144" t="s">
        <v>32987</v>
      </c>
      <c r="F11144" t="s">
        <v>7672</v>
      </c>
      <c r="G11144" t="s">
        <v>32988</v>
      </c>
      <c r="H11144" t="s">
        <v>8301</v>
      </c>
      <c r="I11144" t="s">
        <v>8158</v>
      </c>
      <c r="J11144" t="s">
        <v>9237</v>
      </c>
    </row>
    <row r="11145" spans="1:10" x14ac:dyDescent="0.25">
      <c r="A11145" t="s">
        <v>32989</v>
      </c>
      <c r="B11145">
        <v>3.6</v>
      </c>
      <c r="C11145" t="s">
        <v>32990</v>
      </c>
      <c r="D11145" t="s">
        <v>2879</v>
      </c>
      <c r="E11145" t="s">
        <v>32991</v>
      </c>
      <c r="F11145" t="s">
        <v>7672</v>
      </c>
      <c r="G11145" t="s">
        <v>32992</v>
      </c>
      <c r="H11145" t="s">
        <v>16993</v>
      </c>
      <c r="I11145" t="s">
        <v>32993</v>
      </c>
      <c r="J11145" t="s">
        <v>9423</v>
      </c>
    </row>
    <row r="11146" spans="1:10" x14ac:dyDescent="0.25">
      <c r="A11146" t="s">
        <v>32994</v>
      </c>
      <c r="B11146">
        <v>3.6</v>
      </c>
      <c r="C11146" t="s">
        <v>32995</v>
      </c>
      <c r="D11146" t="s">
        <v>88</v>
      </c>
      <c r="E11146" t="s">
        <v>32991</v>
      </c>
      <c r="F11146" t="s">
        <v>7672</v>
      </c>
      <c r="G11146" t="s">
        <v>32992</v>
      </c>
      <c r="H11146" t="s">
        <v>16993</v>
      </c>
      <c r="I11146" t="s">
        <v>32996</v>
      </c>
      <c r="J11146" t="s">
        <v>9423</v>
      </c>
    </row>
    <row r="11147" spans="1:10" x14ac:dyDescent="0.25">
      <c r="A11147" t="s">
        <v>32997</v>
      </c>
      <c r="B11147">
        <v>3.6</v>
      </c>
      <c r="C11147" t="s">
        <v>32998</v>
      </c>
      <c r="D11147" t="s">
        <v>613</v>
      </c>
      <c r="E11147" t="s">
        <v>32991</v>
      </c>
      <c r="F11147" t="s">
        <v>7672</v>
      </c>
      <c r="G11147" t="s">
        <v>32992</v>
      </c>
      <c r="H11147" t="s">
        <v>16993</v>
      </c>
      <c r="I11147" t="s">
        <v>32999</v>
      </c>
      <c r="J11147" t="s">
        <v>9423</v>
      </c>
    </row>
    <row r="11148" spans="1:10" x14ac:dyDescent="0.25">
      <c r="A11148" t="s">
        <v>33000</v>
      </c>
      <c r="B11148">
        <v>3.6</v>
      </c>
      <c r="C11148" t="s">
        <v>33001</v>
      </c>
      <c r="D11148" t="s">
        <v>849</v>
      </c>
      <c r="E11148" t="s">
        <v>32991</v>
      </c>
      <c r="F11148" t="s">
        <v>7672</v>
      </c>
      <c r="G11148" t="s">
        <v>32992</v>
      </c>
      <c r="H11148" t="s">
        <v>16993</v>
      </c>
      <c r="I11148" t="s">
        <v>32999</v>
      </c>
      <c r="J11148" t="s">
        <v>9426</v>
      </c>
    </row>
    <row r="11149" spans="1:10" x14ac:dyDescent="0.25">
      <c r="A11149" t="s">
        <v>33002</v>
      </c>
      <c r="B11149">
        <v>3.6</v>
      </c>
      <c r="C11149" t="s">
        <v>33003</v>
      </c>
      <c r="D11149" t="s">
        <v>875</v>
      </c>
      <c r="E11149" t="s">
        <v>32991</v>
      </c>
      <c r="F11149" t="s">
        <v>7672</v>
      </c>
      <c r="G11149" t="s">
        <v>32992</v>
      </c>
      <c r="H11149" t="s">
        <v>16993</v>
      </c>
      <c r="I11149" t="s">
        <v>32993</v>
      </c>
      <c r="J11149" t="s">
        <v>9426</v>
      </c>
    </row>
    <row r="11150" spans="1:10" x14ac:dyDescent="0.25">
      <c r="A11150" t="s">
        <v>33004</v>
      </c>
      <c r="B11150">
        <v>3.6</v>
      </c>
      <c r="C11150" t="s">
        <v>33005</v>
      </c>
      <c r="D11150" t="s">
        <v>164</v>
      </c>
      <c r="E11150" t="s">
        <v>32991</v>
      </c>
      <c r="F11150" t="s">
        <v>7672</v>
      </c>
      <c r="G11150" t="s">
        <v>32992</v>
      </c>
      <c r="H11150" t="s">
        <v>16993</v>
      </c>
      <c r="I11150" t="s">
        <v>32993</v>
      </c>
      <c r="J11150" t="s">
        <v>10862</v>
      </c>
    </row>
    <row r="11151" spans="1:10" x14ac:dyDescent="0.25">
      <c r="A11151" t="s">
        <v>33006</v>
      </c>
      <c r="B11151">
        <v>3.6</v>
      </c>
      <c r="C11151" t="s">
        <v>33007</v>
      </c>
      <c r="D11151" t="s">
        <v>53</v>
      </c>
      <c r="E11151" t="s">
        <v>32991</v>
      </c>
      <c r="F11151" t="s">
        <v>7672</v>
      </c>
      <c r="G11151" t="s">
        <v>32992</v>
      </c>
      <c r="H11151" t="s">
        <v>16993</v>
      </c>
      <c r="I11151" t="s">
        <v>32993</v>
      </c>
      <c r="J11151" t="s">
        <v>13084</v>
      </c>
    </row>
    <row r="11152" spans="1:10" x14ac:dyDescent="0.25">
      <c r="A11152" t="s">
        <v>1372</v>
      </c>
      <c r="B11152">
        <v>9.3920000000000012</v>
      </c>
      <c r="C11152" t="s">
        <v>1374</v>
      </c>
      <c r="D11152" t="s">
        <v>269</v>
      </c>
      <c r="E11152" t="s">
        <v>1375</v>
      </c>
      <c r="F11152" t="s">
        <v>7672</v>
      </c>
      <c r="G11152" t="s">
        <v>33008</v>
      </c>
      <c r="H11152" t="s">
        <v>28963</v>
      </c>
      <c r="I11152" t="s">
        <v>76</v>
      </c>
      <c r="J11152" t="s">
        <v>11499</v>
      </c>
    </row>
    <row r="11153" spans="1:10" x14ac:dyDescent="0.25">
      <c r="A11153" t="s">
        <v>1377</v>
      </c>
      <c r="B11153">
        <v>9.3920000000000012</v>
      </c>
      <c r="C11153" t="s">
        <v>1379</v>
      </c>
      <c r="D11153" t="s">
        <v>60</v>
      </c>
      <c r="E11153" t="s">
        <v>1375</v>
      </c>
      <c r="F11153" t="s">
        <v>7672</v>
      </c>
      <c r="G11153" t="s">
        <v>33008</v>
      </c>
      <c r="H11153" t="s">
        <v>28963</v>
      </c>
      <c r="I11153" t="s">
        <v>76</v>
      </c>
      <c r="J11153" t="s">
        <v>11500</v>
      </c>
    </row>
    <row r="11154" spans="1:10" x14ac:dyDescent="0.25">
      <c r="A11154" t="s">
        <v>33009</v>
      </c>
      <c r="B11154">
        <v>11.6</v>
      </c>
      <c r="C11154" t="s">
        <v>33010</v>
      </c>
      <c r="D11154" t="s">
        <v>53</v>
      </c>
      <c r="E11154" t="s">
        <v>33011</v>
      </c>
      <c r="F11154" t="s">
        <v>7672</v>
      </c>
      <c r="G11154" t="s">
        <v>33012</v>
      </c>
      <c r="H11154" t="s">
        <v>23005</v>
      </c>
      <c r="I11154" t="s">
        <v>3799</v>
      </c>
      <c r="J11154" t="s">
        <v>8013</v>
      </c>
    </row>
    <row r="11155" spans="1:10" x14ac:dyDescent="0.25">
      <c r="A11155" t="s">
        <v>33013</v>
      </c>
      <c r="B11155">
        <v>11.6</v>
      </c>
      <c r="C11155" t="s">
        <v>33014</v>
      </c>
      <c r="D11155" t="s">
        <v>60</v>
      </c>
      <c r="E11155" t="s">
        <v>33011</v>
      </c>
      <c r="F11155" t="s">
        <v>7672</v>
      </c>
      <c r="G11155" t="s">
        <v>33012</v>
      </c>
      <c r="H11155" t="s">
        <v>23005</v>
      </c>
      <c r="I11155" t="s">
        <v>17293</v>
      </c>
      <c r="J11155" t="s">
        <v>8013</v>
      </c>
    </row>
    <row r="11156" spans="1:10" x14ac:dyDescent="0.25">
      <c r="A11156" t="s">
        <v>33015</v>
      </c>
      <c r="B11156">
        <v>9.7200000000000006</v>
      </c>
      <c r="C11156" t="s">
        <v>33016</v>
      </c>
      <c r="D11156" t="s">
        <v>330</v>
      </c>
      <c r="E11156" t="s">
        <v>33017</v>
      </c>
      <c r="F11156" t="s">
        <v>7672</v>
      </c>
      <c r="G11156" t="s">
        <v>33018</v>
      </c>
      <c r="H11156" t="s">
        <v>11381</v>
      </c>
      <c r="I11156" t="s">
        <v>76</v>
      </c>
      <c r="J11156" t="s">
        <v>7719</v>
      </c>
    </row>
    <row r="11157" spans="1:10" x14ac:dyDescent="0.25">
      <c r="A11157" t="s">
        <v>33019</v>
      </c>
      <c r="B11157">
        <v>9.7200000000000006</v>
      </c>
      <c r="C11157" t="s">
        <v>33020</v>
      </c>
      <c r="D11157" t="s">
        <v>342</v>
      </c>
      <c r="E11157" t="s">
        <v>33017</v>
      </c>
      <c r="F11157" t="s">
        <v>7672</v>
      </c>
      <c r="G11157" t="s">
        <v>33018</v>
      </c>
      <c r="H11157" t="s">
        <v>11381</v>
      </c>
      <c r="I11157" t="s">
        <v>33021</v>
      </c>
      <c r="J11157" t="s">
        <v>7719</v>
      </c>
    </row>
    <row r="11158" spans="1:10" x14ac:dyDescent="0.25">
      <c r="A11158" t="s">
        <v>33022</v>
      </c>
      <c r="B11158">
        <v>2.7919999999999998</v>
      </c>
      <c r="C11158" t="s">
        <v>33023</v>
      </c>
      <c r="D11158" t="s">
        <v>835</v>
      </c>
      <c r="E11158" t="s">
        <v>33024</v>
      </c>
      <c r="F11158" t="s">
        <v>7672</v>
      </c>
      <c r="G11158" t="s">
        <v>33025</v>
      </c>
      <c r="H11158" t="s">
        <v>8515</v>
      </c>
      <c r="I11158" t="s">
        <v>33026</v>
      </c>
      <c r="J11158" t="s">
        <v>11767</v>
      </c>
    </row>
    <row r="11159" spans="1:10" x14ac:dyDescent="0.25">
      <c r="A11159" t="s">
        <v>33027</v>
      </c>
      <c r="B11159">
        <v>2.7919999999999998</v>
      </c>
      <c r="C11159" t="s">
        <v>33028</v>
      </c>
      <c r="D11159" t="s">
        <v>118</v>
      </c>
      <c r="E11159" t="s">
        <v>33024</v>
      </c>
      <c r="F11159" t="s">
        <v>7672</v>
      </c>
      <c r="G11159" t="s">
        <v>33025</v>
      </c>
      <c r="H11159" t="s">
        <v>8515</v>
      </c>
      <c r="I11159" t="s">
        <v>33026</v>
      </c>
      <c r="J11159" t="s">
        <v>11582</v>
      </c>
    </row>
    <row r="11160" spans="1:10" x14ac:dyDescent="0.25">
      <c r="A11160" t="s">
        <v>33029</v>
      </c>
      <c r="B11160">
        <v>2.7919999999999998</v>
      </c>
      <c r="C11160" t="s">
        <v>33030</v>
      </c>
      <c r="D11160" t="s">
        <v>598</v>
      </c>
      <c r="E11160" t="s">
        <v>33024</v>
      </c>
      <c r="F11160" t="s">
        <v>7672</v>
      </c>
      <c r="G11160" t="s">
        <v>33025</v>
      </c>
      <c r="H11160" t="s">
        <v>8515</v>
      </c>
      <c r="I11160" t="s">
        <v>33026</v>
      </c>
      <c r="J11160" t="s">
        <v>10369</v>
      </c>
    </row>
    <row r="11161" spans="1:10" x14ac:dyDescent="0.25">
      <c r="A11161" t="s">
        <v>33031</v>
      </c>
      <c r="B11161">
        <v>2.7919999999999998</v>
      </c>
      <c r="C11161" t="s">
        <v>33032</v>
      </c>
      <c r="D11161" t="s">
        <v>3253</v>
      </c>
      <c r="E11161" t="s">
        <v>33024</v>
      </c>
      <c r="F11161" t="s">
        <v>7672</v>
      </c>
      <c r="G11161" t="s">
        <v>33025</v>
      </c>
      <c r="H11161" t="s">
        <v>8515</v>
      </c>
      <c r="I11161" t="s">
        <v>33026</v>
      </c>
      <c r="J11161" t="s">
        <v>11590</v>
      </c>
    </row>
    <row r="11162" spans="1:10" x14ac:dyDescent="0.25">
      <c r="A11162" t="s">
        <v>33033</v>
      </c>
      <c r="B11162">
        <v>2.7919999999999998</v>
      </c>
      <c r="C11162" t="s">
        <v>33034</v>
      </c>
      <c r="D11162" t="s">
        <v>654</v>
      </c>
      <c r="E11162" t="s">
        <v>33024</v>
      </c>
      <c r="F11162" t="s">
        <v>7672</v>
      </c>
      <c r="G11162" t="s">
        <v>33025</v>
      </c>
      <c r="H11162" t="s">
        <v>8515</v>
      </c>
      <c r="I11162" t="s">
        <v>33026</v>
      </c>
      <c r="J11162" t="s">
        <v>11593</v>
      </c>
    </row>
    <row r="11163" spans="1:10" x14ac:dyDescent="0.25">
      <c r="A11163" t="s">
        <v>33035</v>
      </c>
      <c r="B11163">
        <v>2.7919999999999998</v>
      </c>
      <c r="C11163" t="s">
        <v>33036</v>
      </c>
      <c r="D11163" t="s">
        <v>2787</v>
      </c>
      <c r="E11163" t="s">
        <v>33024</v>
      </c>
      <c r="F11163" t="s">
        <v>7672</v>
      </c>
      <c r="G11163" t="s">
        <v>33025</v>
      </c>
      <c r="H11163" t="s">
        <v>8515</v>
      </c>
      <c r="I11163" t="s">
        <v>33026</v>
      </c>
      <c r="J11163" t="s">
        <v>11783</v>
      </c>
    </row>
    <row r="11164" spans="1:10" x14ac:dyDescent="0.25">
      <c r="A11164" t="s">
        <v>33037</v>
      </c>
      <c r="B11164">
        <v>120</v>
      </c>
      <c r="C11164" t="s">
        <v>33038</v>
      </c>
      <c r="D11164" t="s">
        <v>3577</v>
      </c>
      <c r="E11164" t="s">
        <v>33039</v>
      </c>
      <c r="F11164" t="s">
        <v>7672</v>
      </c>
      <c r="G11164" t="s">
        <v>33040</v>
      </c>
      <c r="H11164" t="s">
        <v>9693</v>
      </c>
      <c r="I11164" t="s">
        <v>22191</v>
      </c>
      <c r="J11164" t="s">
        <v>9694</v>
      </c>
    </row>
    <row r="11165" spans="1:10" x14ac:dyDescent="0.25">
      <c r="A11165" t="s">
        <v>33041</v>
      </c>
      <c r="B11165">
        <v>48</v>
      </c>
      <c r="C11165" t="s">
        <v>33042</v>
      </c>
      <c r="D11165" t="s">
        <v>277</v>
      </c>
      <c r="E11165" t="s">
        <v>33043</v>
      </c>
      <c r="F11165" t="s">
        <v>7672</v>
      </c>
      <c r="G11165" t="s">
        <v>33044</v>
      </c>
      <c r="H11165" t="s">
        <v>9693</v>
      </c>
      <c r="I11165" t="s">
        <v>17521</v>
      </c>
      <c r="J11165" t="s">
        <v>88</v>
      </c>
    </row>
    <row r="11166" spans="1:10" x14ac:dyDescent="0.25">
      <c r="A11166" t="s">
        <v>33045</v>
      </c>
      <c r="B11166">
        <v>120</v>
      </c>
      <c r="C11166" t="s">
        <v>33046</v>
      </c>
      <c r="D11166" t="s">
        <v>255</v>
      </c>
      <c r="E11166" t="s">
        <v>33047</v>
      </c>
      <c r="F11166" t="s">
        <v>7672</v>
      </c>
      <c r="G11166" t="s">
        <v>33048</v>
      </c>
      <c r="H11166" t="s">
        <v>9693</v>
      </c>
      <c r="I11166" t="s">
        <v>30468</v>
      </c>
      <c r="J11166" t="s">
        <v>106</v>
      </c>
    </row>
    <row r="11167" spans="1:10" x14ac:dyDescent="0.25">
      <c r="A11167" t="s">
        <v>33049</v>
      </c>
      <c r="B11167">
        <v>120</v>
      </c>
      <c r="C11167" t="s">
        <v>33050</v>
      </c>
      <c r="D11167" t="s">
        <v>106</v>
      </c>
      <c r="E11167" t="s">
        <v>33047</v>
      </c>
      <c r="F11167" t="s">
        <v>7672</v>
      </c>
      <c r="G11167" t="s">
        <v>33048</v>
      </c>
      <c r="H11167" t="s">
        <v>9693</v>
      </c>
      <c r="I11167" t="s">
        <v>17521</v>
      </c>
      <c r="J11167" t="s">
        <v>88</v>
      </c>
    </row>
    <row r="11168" spans="1:10" x14ac:dyDescent="0.25">
      <c r="A11168" t="s">
        <v>33051</v>
      </c>
      <c r="B11168">
        <v>8</v>
      </c>
      <c r="C11168" t="s">
        <v>33052</v>
      </c>
      <c r="D11168" t="s">
        <v>1143</v>
      </c>
      <c r="E11168" t="s">
        <v>33053</v>
      </c>
      <c r="F11168" t="s">
        <v>7672</v>
      </c>
      <c r="G11168" t="s">
        <v>33054</v>
      </c>
      <c r="H11168" t="s">
        <v>7674</v>
      </c>
      <c r="I11168" t="s">
        <v>5202</v>
      </c>
      <c r="J11168" t="s">
        <v>9023</v>
      </c>
    </row>
    <row r="11169" spans="1:10" x14ac:dyDescent="0.25">
      <c r="A11169" t="s">
        <v>33055</v>
      </c>
      <c r="B11169">
        <v>8</v>
      </c>
      <c r="C11169" t="s">
        <v>33056</v>
      </c>
      <c r="D11169" t="s">
        <v>277</v>
      </c>
      <c r="E11169" t="s">
        <v>33053</v>
      </c>
      <c r="F11169" t="s">
        <v>7672</v>
      </c>
      <c r="G11169" t="s">
        <v>33054</v>
      </c>
      <c r="H11169" t="s">
        <v>7674</v>
      </c>
      <c r="I11169" t="s">
        <v>76</v>
      </c>
      <c r="J11169" t="s">
        <v>9023</v>
      </c>
    </row>
    <row r="11170" spans="1:10" x14ac:dyDescent="0.25">
      <c r="A11170" t="s">
        <v>33057</v>
      </c>
      <c r="B11170">
        <v>48</v>
      </c>
      <c r="C11170" t="s">
        <v>33058</v>
      </c>
      <c r="D11170" t="s">
        <v>286</v>
      </c>
      <c r="E11170" t="s">
        <v>33059</v>
      </c>
      <c r="F11170" t="s">
        <v>7672</v>
      </c>
      <c r="G11170" t="s">
        <v>33060</v>
      </c>
      <c r="H11170" t="s">
        <v>9693</v>
      </c>
      <c r="I11170" t="s">
        <v>26279</v>
      </c>
      <c r="J11170" t="s">
        <v>9694</v>
      </c>
    </row>
    <row r="11171" spans="1:10" x14ac:dyDescent="0.25">
      <c r="A11171" t="s">
        <v>1381</v>
      </c>
      <c r="B11171">
        <v>120</v>
      </c>
      <c r="C11171" t="s">
        <v>1383</v>
      </c>
      <c r="D11171" t="s">
        <v>1386</v>
      </c>
      <c r="E11171" t="s">
        <v>1384</v>
      </c>
      <c r="F11171" t="s">
        <v>7672</v>
      </c>
      <c r="G11171" t="s">
        <v>33061</v>
      </c>
      <c r="H11171" t="s">
        <v>9693</v>
      </c>
      <c r="I11171" t="s">
        <v>18323</v>
      </c>
      <c r="J11171" t="s">
        <v>9694</v>
      </c>
    </row>
    <row r="11172" spans="1:10" x14ac:dyDescent="0.25">
      <c r="A11172" t="s">
        <v>1388</v>
      </c>
      <c r="B11172">
        <v>11.992000000000001</v>
      </c>
      <c r="C11172" t="s">
        <v>1390</v>
      </c>
      <c r="D11172" t="s">
        <v>106</v>
      </c>
      <c r="E11172" t="s">
        <v>1391</v>
      </c>
      <c r="F11172" t="s">
        <v>7672</v>
      </c>
      <c r="G11172" t="s">
        <v>33062</v>
      </c>
      <c r="H11172" t="s">
        <v>18003</v>
      </c>
      <c r="I11172" t="s">
        <v>1394</v>
      </c>
      <c r="J11172" t="s">
        <v>106</v>
      </c>
    </row>
    <row r="11173" spans="1:10" x14ac:dyDescent="0.25">
      <c r="A11173" t="s">
        <v>1395</v>
      </c>
      <c r="B11173">
        <v>11.992000000000001</v>
      </c>
      <c r="C11173" t="s">
        <v>1397</v>
      </c>
      <c r="D11173" t="s">
        <v>269</v>
      </c>
      <c r="E11173" t="s">
        <v>1391</v>
      </c>
      <c r="F11173" t="s">
        <v>7672</v>
      </c>
      <c r="G11173" t="s">
        <v>33062</v>
      </c>
      <c r="H11173" t="s">
        <v>18003</v>
      </c>
      <c r="I11173" t="s">
        <v>1399</v>
      </c>
      <c r="J11173" t="s">
        <v>106</v>
      </c>
    </row>
    <row r="11174" spans="1:10" x14ac:dyDescent="0.25">
      <c r="A11174" t="s">
        <v>33063</v>
      </c>
      <c r="B11174">
        <v>3.52</v>
      </c>
      <c r="C11174" t="s">
        <v>33064</v>
      </c>
      <c r="D11174" t="s">
        <v>2036</v>
      </c>
      <c r="E11174" t="s">
        <v>33065</v>
      </c>
      <c r="F11174" t="s">
        <v>7672</v>
      </c>
      <c r="G11174" t="s">
        <v>33066</v>
      </c>
      <c r="H11174" t="s">
        <v>11598</v>
      </c>
      <c r="I11174" t="s">
        <v>76</v>
      </c>
      <c r="J11174" t="s">
        <v>9694</v>
      </c>
    </row>
    <row r="11175" spans="1:10" x14ac:dyDescent="0.25">
      <c r="A11175" t="s">
        <v>33067</v>
      </c>
      <c r="B11175">
        <v>5.4</v>
      </c>
      <c r="C11175" t="s">
        <v>33068</v>
      </c>
      <c r="D11175" t="s">
        <v>277</v>
      </c>
      <c r="E11175" t="s">
        <v>33069</v>
      </c>
      <c r="F11175" t="s">
        <v>7672</v>
      </c>
      <c r="G11175" t="s">
        <v>33070</v>
      </c>
      <c r="H11175" t="s">
        <v>13951</v>
      </c>
      <c r="I11175" t="s">
        <v>9733</v>
      </c>
      <c r="J11175" t="s">
        <v>7981</v>
      </c>
    </row>
    <row r="11176" spans="1:10" x14ac:dyDescent="0.25">
      <c r="A11176" t="s">
        <v>33071</v>
      </c>
      <c r="B11176">
        <v>4.32</v>
      </c>
      <c r="C11176" t="s">
        <v>33072</v>
      </c>
      <c r="D11176" t="s">
        <v>8421</v>
      </c>
      <c r="E11176" t="s">
        <v>33073</v>
      </c>
      <c r="F11176" t="s">
        <v>7672</v>
      </c>
      <c r="G11176" t="s">
        <v>33074</v>
      </c>
      <c r="H11176" t="s">
        <v>24169</v>
      </c>
      <c r="I11176" t="s">
        <v>278</v>
      </c>
      <c r="J11176" t="s">
        <v>28304</v>
      </c>
    </row>
    <row r="11177" spans="1:10" x14ac:dyDescent="0.25">
      <c r="A11177" t="s">
        <v>33075</v>
      </c>
      <c r="B11177">
        <v>4.32</v>
      </c>
      <c r="C11177" t="s">
        <v>33076</v>
      </c>
      <c r="D11177" t="s">
        <v>2238</v>
      </c>
      <c r="E11177" t="s">
        <v>33073</v>
      </c>
      <c r="F11177" t="s">
        <v>7672</v>
      </c>
      <c r="G11177" t="s">
        <v>33074</v>
      </c>
      <c r="H11177" t="s">
        <v>24169</v>
      </c>
      <c r="I11177" t="s">
        <v>278</v>
      </c>
      <c r="J11177" t="s">
        <v>8780</v>
      </c>
    </row>
    <row r="11178" spans="1:10" x14ac:dyDescent="0.25">
      <c r="A11178" t="s">
        <v>33077</v>
      </c>
      <c r="B11178">
        <v>4.32</v>
      </c>
      <c r="C11178" t="s">
        <v>33078</v>
      </c>
      <c r="D11178" t="s">
        <v>3110</v>
      </c>
      <c r="E11178" t="s">
        <v>33073</v>
      </c>
      <c r="F11178" t="s">
        <v>7672</v>
      </c>
      <c r="G11178" t="s">
        <v>33074</v>
      </c>
      <c r="H11178" t="s">
        <v>24169</v>
      </c>
      <c r="I11178" t="s">
        <v>278</v>
      </c>
      <c r="J11178" t="s">
        <v>28294</v>
      </c>
    </row>
    <row r="11179" spans="1:10" x14ac:dyDescent="0.25">
      <c r="A11179" t="s">
        <v>33079</v>
      </c>
      <c r="B11179">
        <v>4.32</v>
      </c>
      <c r="C11179" t="s">
        <v>33080</v>
      </c>
      <c r="D11179" t="s">
        <v>2238</v>
      </c>
      <c r="E11179" t="s">
        <v>33073</v>
      </c>
      <c r="F11179" t="s">
        <v>7672</v>
      </c>
      <c r="G11179" t="s">
        <v>33074</v>
      </c>
      <c r="H11179" t="s">
        <v>24169</v>
      </c>
      <c r="I11179" t="s">
        <v>278</v>
      </c>
      <c r="J11179" t="s">
        <v>28299</v>
      </c>
    </row>
    <row r="11180" spans="1:10" x14ac:dyDescent="0.25">
      <c r="A11180" t="s">
        <v>1400</v>
      </c>
      <c r="B11180">
        <v>18.2</v>
      </c>
      <c r="C11180" t="s">
        <v>1402</v>
      </c>
      <c r="D11180" t="s">
        <v>282</v>
      </c>
      <c r="E11180" t="s">
        <v>1403</v>
      </c>
      <c r="F11180" t="s">
        <v>7672</v>
      </c>
      <c r="G11180" t="s">
        <v>33081</v>
      </c>
      <c r="H11180" t="s">
        <v>7954</v>
      </c>
      <c r="I11180" t="s">
        <v>19126</v>
      </c>
      <c r="J11180" t="s">
        <v>7942</v>
      </c>
    </row>
    <row r="11181" spans="1:10" x14ac:dyDescent="0.25">
      <c r="A11181" t="s">
        <v>33082</v>
      </c>
      <c r="B11181">
        <v>9.0960000000000001</v>
      </c>
      <c r="C11181" t="s">
        <v>33083</v>
      </c>
      <c r="D11181" t="s">
        <v>53</v>
      </c>
      <c r="E11181" t="s">
        <v>33084</v>
      </c>
      <c r="F11181" t="s">
        <v>7672</v>
      </c>
      <c r="G11181" t="s">
        <v>33085</v>
      </c>
      <c r="H11181" t="s">
        <v>7947</v>
      </c>
      <c r="I11181" t="s">
        <v>15561</v>
      </c>
      <c r="J11181" t="s">
        <v>21328</v>
      </c>
    </row>
    <row r="11182" spans="1:10" x14ac:dyDescent="0.25">
      <c r="A11182" t="s">
        <v>33086</v>
      </c>
      <c r="B11182">
        <v>2.992</v>
      </c>
      <c r="C11182" t="s">
        <v>33087</v>
      </c>
      <c r="D11182" t="s">
        <v>576</v>
      </c>
      <c r="E11182" t="s">
        <v>33088</v>
      </c>
      <c r="F11182" t="s">
        <v>7672</v>
      </c>
      <c r="G11182" t="s">
        <v>33089</v>
      </c>
      <c r="H11182" t="s">
        <v>29304</v>
      </c>
      <c r="I11182" t="s">
        <v>33090</v>
      </c>
      <c r="J11182" t="s">
        <v>11710</v>
      </c>
    </row>
    <row r="11183" spans="1:10" x14ac:dyDescent="0.25">
      <c r="A11183" t="s">
        <v>33091</v>
      </c>
      <c r="B11183">
        <v>2.992</v>
      </c>
      <c r="C11183" t="s">
        <v>33092</v>
      </c>
      <c r="D11183" t="s">
        <v>240</v>
      </c>
      <c r="E11183" t="s">
        <v>33088</v>
      </c>
      <c r="F11183" t="s">
        <v>7672</v>
      </c>
      <c r="G11183" t="s">
        <v>33089</v>
      </c>
      <c r="H11183" t="s">
        <v>29304</v>
      </c>
      <c r="I11183" t="s">
        <v>33090</v>
      </c>
      <c r="J11183" t="s">
        <v>12182</v>
      </c>
    </row>
    <row r="11184" spans="1:10" x14ac:dyDescent="0.25">
      <c r="A11184" t="s">
        <v>33093</v>
      </c>
      <c r="B11184">
        <v>2.992</v>
      </c>
      <c r="C11184" t="s">
        <v>33094</v>
      </c>
      <c r="D11184" t="s">
        <v>742</v>
      </c>
      <c r="E11184" t="s">
        <v>33088</v>
      </c>
      <c r="F11184" t="s">
        <v>7672</v>
      </c>
      <c r="G11184" t="s">
        <v>33089</v>
      </c>
      <c r="H11184" t="s">
        <v>29304</v>
      </c>
      <c r="I11184" t="s">
        <v>33090</v>
      </c>
      <c r="J11184" t="s">
        <v>10150</v>
      </c>
    </row>
    <row r="11185" spans="1:10" x14ac:dyDescent="0.25">
      <c r="A11185" t="s">
        <v>1407</v>
      </c>
      <c r="B11185">
        <v>19.687999999999999</v>
      </c>
      <c r="C11185" t="s">
        <v>1409</v>
      </c>
      <c r="D11185" t="s">
        <v>282</v>
      </c>
      <c r="E11185" t="s">
        <v>1410</v>
      </c>
      <c r="F11185" t="s">
        <v>7672</v>
      </c>
      <c r="G11185" t="s">
        <v>33095</v>
      </c>
      <c r="H11185" t="s">
        <v>12423</v>
      </c>
      <c r="I11185" t="s">
        <v>33096</v>
      </c>
      <c r="J11185" t="s">
        <v>311</v>
      </c>
    </row>
    <row r="11186" spans="1:10" x14ac:dyDescent="0.25">
      <c r="A11186" t="s">
        <v>33097</v>
      </c>
      <c r="B11186">
        <v>5.2</v>
      </c>
      <c r="C11186" t="s">
        <v>33098</v>
      </c>
      <c r="D11186" t="s">
        <v>53</v>
      </c>
      <c r="E11186" t="s">
        <v>33099</v>
      </c>
      <c r="F11186" t="s">
        <v>7672</v>
      </c>
      <c r="G11186" t="s">
        <v>33100</v>
      </c>
      <c r="H11186" t="s">
        <v>8515</v>
      </c>
      <c r="I11186" t="s">
        <v>33101</v>
      </c>
      <c r="J11186" t="s">
        <v>11767</v>
      </c>
    </row>
    <row r="11187" spans="1:10" x14ac:dyDescent="0.25">
      <c r="A11187" t="s">
        <v>33102</v>
      </c>
      <c r="B11187">
        <v>5.2</v>
      </c>
      <c r="C11187" t="s">
        <v>33103</v>
      </c>
      <c r="D11187" t="s">
        <v>396</v>
      </c>
      <c r="E11187" t="s">
        <v>33099</v>
      </c>
      <c r="F11187" t="s">
        <v>7672</v>
      </c>
      <c r="G11187" t="s">
        <v>33100</v>
      </c>
      <c r="H11187" t="s">
        <v>8515</v>
      </c>
      <c r="I11187" t="s">
        <v>33101</v>
      </c>
      <c r="J11187" t="s">
        <v>11582</v>
      </c>
    </row>
    <row r="11188" spans="1:10" x14ac:dyDescent="0.25">
      <c r="A11188" t="s">
        <v>33104</v>
      </c>
      <c r="B11188">
        <v>5.2</v>
      </c>
      <c r="C11188" t="s">
        <v>33105</v>
      </c>
      <c r="D11188" t="s">
        <v>3086</v>
      </c>
      <c r="E11188" t="s">
        <v>33099</v>
      </c>
      <c r="F11188" t="s">
        <v>7672</v>
      </c>
      <c r="G11188" t="s">
        <v>33100</v>
      </c>
      <c r="H11188" t="s">
        <v>8515</v>
      </c>
      <c r="I11188" t="s">
        <v>33101</v>
      </c>
      <c r="J11188" t="s">
        <v>10369</v>
      </c>
    </row>
    <row r="11189" spans="1:10" x14ac:dyDescent="0.25">
      <c r="A11189" t="s">
        <v>33106</v>
      </c>
      <c r="B11189">
        <v>5.120000000000001</v>
      </c>
      <c r="C11189" t="s">
        <v>33107</v>
      </c>
      <c r="D11189" t="s">
        <v>941</v>
      </c>
      <c r="E11189" t="s">
        <v>33108</v>
      </c>
      <c r="F11189" t="s">
        <v>7672</v>
      </c>
      <c r="G11189" t="s">
        <v>33109</v>
      </c>
      <c r="H11189" t="s">
        <v>11496</v>
      </c>
      <c r="I11189" t="s">
        <v>145</v>
      </c>
      <c r="J11189" t="s">
        <v>9423</v>
      </c>
    </row>
    <row r="11190" spans="1:10" x14ac:dyDescent="0.25">
      <c r="A11190" t="s">
        <v>33110</v>
      </c>
      <c r="B11190">
        <v>5.120000000000001</v>
      </c>
      <c r="C11190" t="s">
        <v>33111</v>
      </c>
      <c r="D11190" t="s">
        <v>3827</v>
      </c>
      <c r="E11190" t="s">
        <v>33108</v>
      </c>
      <c r="F11190" t="s">
        <v>7672</v>
      </c>
      <c r="G11190" t="s">
        <v>33109</v>
      </c>
      <c r="H11190" t="s">
        <v>11496</v>
      </c>
      <c r="I11190" t="s">
        <v>145</v>
      </c>
      <c r="J11190" t="s">
        <v>9426</v>
      </c>
    </row>
    <row r="11191" spans="1:10" x14ac:dyDescent="0.25">
      <c r="A11191" t="s">
        <v>33112</v>
      </c>
      <c r="B11191">
        <v>11.2</v>
      </c>
      <c r="C11191" t="s">
        <v>33113</v>
      </c>
      <c r="D11191" t="s">
        <v>330</v>
      </c>
      <c r="E11191" t="s">
        <v>33114</v>
      </c>
      <c r="F11191" t="s">
        <v>7672</v>
      </c>
      <c r="G11191" t="s">
        <v>33115</v>
      </c>
      <c r="H11191" t="s">
        <v>28142</v>
      </c>
      <c r="I11191" t="s">
        <v>76</v>
      </c>
      <c r="J11191" t="s">
        <v>7981</v>
      </c>
    </row>
    <row r="11192" spans="1:10" x14ac:dyDescent="0.25">
      <c r="A11192" t="s">
        <v>33116</v>
      </c>
      <c r="B11192">
        <v>11.2</v>
      </c>
      <c r="C11192" t="s">
        <v>33117</v>
      </c>
      <c r="D11192" t="s">
        <v>342</v>
      </c>
      <c r="E11192" t="s">
        <v>33114</v>
      </c>
      <c r="F11192" t="s">
        <v>7672</v>
      </c>
      <c r="G11192" t="s">
        <v>33115</v>
      </c>
      <c r="H11192" t="s">
        <v>28142</v>
      </c>
      <c r="I11192" t="s">
        <v>76</v>
      </c>
      <c r="J11192" t="s">
        <v>7984</v>
      </c>
    </row>
    <row r="11193" spans="1:10" x14ac:dyDescent="0.25">
      <c r="A11193" t="s">
        <v>33118</v>
      </c>
      <c r="B11193">
        <v>11.2</v>
      </c>
      <c r="C11193" t="s">
        <v>33119</v>
      </c>
      <c r="D11193" t="s">
        <v>100</v>
      </c>
      <c r="E11193" t="s">
        <v>33120</v>
      </c>
      <c r="F11193" t="s">
        <v>7672</v>
      </c>
      <c r="G11193" t="s">
        <v>33121</v>
      </c>
      <c r="H11193" t="s">
        <v>28142</v>
      </c>
      <c r="I11193" t="s">
        <v>5202</v>
      </c>
      <c r="J11193" t="s">
        <v>7984</v>
      </c>
    </row>
    <row r="11194" spans="1:10" x14ac:dyDescent="0.25">
      <c r="A11194" t="s">
        <v>33122</v>
      </c>
      <c r="B11194">
        <v>11.2</v>
      </c>
      <c r="C11194" t="s">
        <v>33123</v>
      </c>
      <c r="D11194" t="s">
        <v>277</v>
      </c>
      <c r="E11194" t="s">
        <v>33120</v>
      </c>
      <c r="F11194" t="s">
        <v>7672</v>
      </c>
      <c r="G11194" t="s">
        <v>33121</v>
      </c>
      <c r="H11194" t="s">
        <v>28142</v>
      </c>
      <c r="I11194" t="s">
        <v>76</v>
      </c>
      <c r="J11194" t="s">
        <v>7987</v>
      </c>
    </row>
    <row r="11195" spans="1:10" x14ac:dyDescent="0.25">
      <c r="A11195" t="s">
        <v>33124</v>
      </c>
      <c r="B11195">
        <v>11.2</v>
      </c>
      <c r="C11195" t="s">
        <v>33125</v>
      </c>
      <c r="D11195" t="s">
        <v>277</v>
      </c>
      <c r="E11195" t="s">
        <v>33120</v>
      </c>
      <c r="F11195" t="s">
        <v>7672</v>
      </c>
      <c r="G11195" t="s">
        <v>33121</v>
      </c>
      <c r="H11195" t="s">
        <v>28142</v>
      </c>
      <c r="I11195" t="s">
        <v>5202</v>
      </c>
      <c r="J11195" t="s">
        <v>7987</v>
      </c>
    </row>
    <row r="11196" spans="1:10" x14ac:dyDescent="0.25">
      <c r="A11196" t="s">
        <v>33126</v>
      </c>
      <c r="B11196">
        <v>4.7920000000000007</v>
      </c>
      <c r="C11196" t="s">
        <v>33127</v>
      </c>
      <c r="D11196" t="s">
        <v>2243</v>
      </c>
      <c r="E11196" t="s">
        <v>33128</v>
      </c>
      <c r="F11196" t="s">
        <v>7672</v>
      </c>
      <c r="G11196" t="s">
        <v>33129</v>
      </c>
      <c r="H11196" t="s">
        <v>32937</v>
      </c>
      <c r="I11196" t="s">
        <v>145</v>
      </c>
      <c r="J11196" t="s">
        <v>7981</v>
      </c>
    </row>
    <row r="11197" spans="1:10" x14ac:dyDescent="0.25">
      <c r="A11197" t="s">
        <v>33130</v>
      </c>
      <c r="B11197">
        <v>4.7920000000000007</v>
      </c>
      <c r="C11197" t="s">
        <v>33131</v>
      </c>
      <c r="D11197" t="s">
        <v>4799</v>
      </c>
      <c r="E11197" t="s">
        <v>33128</v>
      </c>
      <c r="F11197" t="s">
        <v>7672</v>
      </c>
      <c r="G11197" t="s">
        <v>33129</v>
      </c>
      <c r="H11197" t="s">
        <v>32937</v>
      </c>
      <c r="I11197" t="s">
        <v>145</v>
      </c>
      <c r="J11197" t="s">
        <v>7984</v>
      </c>
    </row>
    <row r="11198" spans="1:10" x14ac:dyDescent="0.25">
      <c r="A11198" t="s">
        <v>33132</v>
      </c>
      <c r="B11198">
        <v>4.7920000000000007</v>
      </c>
      <c r="C11198" t="s">
        <v>33133</v>
      </c>
      <c r="D11198" t="s">
        <v>2149</v>
      </c>
      <c r="E11198" t="s">
        <v>33128</v>
      </c>
      <c r="F11198" t="s">
        <v>7672</v>
      </c>
      <c r="G11198" t="s">
        <v>33129</v>
      </c>
      <c r="H11198" t="s">
        <v>32937</v>
      </c>
      <c r="I11198" t="s">
        <v>145</v>
      </c>
      <c r="J11198" t="s">
        <v>7987</v>
      </c>
    </row>
    <row r="11199" spans="1:10" x14ac:dyDescent="0.25">
      <c r="A11199" t="s">
        <v>33134</v>
      </c>
      <c r="B11199">
        <v>5.5920000000000014</v>
      </c>
      <c r="C11199" t="s">
        <v>33135</v>
      </c>
      <c r="D11199" t="s">
        <v>4579</v>
      </c>
      <c r="E11199" t="s">
        <v>33128</v>
      </c>
      <c r="F11199" t="s">
        <v>7672</v>
      </c>
      <c r="G11199" t="s">
        <v>33129</v>
      </c>
      <c r="H11199" t="s">
        <v>32937</v>
      </c>
      <c r="I11199" t="s">
        <v>145</v>
      </c>
      <c r="J11199" t="s">
        <v>8001</v>
      </c>
    </row>
    <row r="11200" spans="1:10" x14ac:dyDescent="0.25">
      <c r="A11200" t="s">
        <v>33136</v>
      </c>
      <c r="B11200">
        <v>9</v>
      </c>
      <c r="C11200" t="s">
        <v>33137</v>
      </c>
      <c r="D11200" t="s">
        <v>100</v>
      </c>
      <c r="E11200" t="s">
        <v>33138</v>
      </c>
      <c r="F11200" t="s">
        <v>7672</v>
      </c>
      <c r="G11200" t="s">
        <v>33139</v>
      </c>
      <c r="H11200" t="s">
        <v>16977</v>
      </c>
      <c r="I11200" t="s">
        <v>33140</v>
      </c>
      <c r="J11200" t="s">
        <v>19899</v>
      </c>
    </row>
    <row r="11201" spans="1:10" x14ac:dyDescent="0.25">
      <c r="A11201" t="s">
        <v>33141</v>
      </c>
      <c r="B11201">
        <v>9</v>
      </c>
      <c r="C11201" t="s">
        <v>33142</v>
      </c>
      <c r="D11201" t="s">
        <v>53</v>
      </c>
      <c r="E11201" t="s">
        <v>33138</v>
      </c>
      <c r="F11201" t="s">
        <v>7672</v>
      </c>
      <c r="G11201" t="s">
        <v>33139</v>
      </c>
      <c r="H11201" t="s">
        <v>16977</v>
      </c>
      <c r="I11201" t="s">
        <v>33140</v>
      </c>
      <c r="J11201" t="s">
        <v>19902</v>
      </c>
    </row>
    <row r="11202" spans="1:10" x14ac:dyDescent="0.25">
      <c r="A11202" t="s">
        <v>33143</v>
      </c>
      <c r="B11202">
        <v>4.7600000000000007</v>
      </c>
      <c r="C11202" t="s">
        <v>33144</v>
      </c>
      <c r="D11202" t="s">
        <v>118</v>
      </c>
      <c r="E11202" t="s">
        <v>33145</v>
      </c>
      <c r="F11202" t="s">
        <v>7672</v>
      </c>
      <c r="G11202" t="s">
        <v>33146</v>
      </c>
      <c r="H11202" t="s">
        <v>10298</v>
      </c>
      <c r="I11202" t="s">
        <v>33147</v>
      </c>
      <c r="J11202" t="s">
        <v>7942</v>
      </c>
    </row>
    <row r="11203" spans="1:10" x14ac:dyDescent="0.25">
      <c r="A11203" t="s">
        <v>33148</v>
      </c>
      <c r="B11203">
        <v>4.4000000000000004</v>
      </c>
      <c r="C11203" t="s">
        <v>33149</v>
      </c>
      <c r="D11203" t="s">
        <v>131</v>
      </c>
      <c r="E11203" t="s">
        <v>33150</v>
      </c>
      <c r="F11203" t="s">
        <v>7672</v>
      </c>
      <c r="G11203" t="s">
        <v>33151</v>
      </c>
      <c r="H11203" t="s">
        <v>11496</v>
      </c>
      <c r="I11203" t="s">
        <v>33152</v>
      </c>
      <c r="J11203" t="s">
        <v>100</v>
      </c>
    </row>
    <row r="11204" spans="1:10" x14ac:dyDescent="0.25">
      <c r="A11204" t="s">
        <v>33153</v>
      </c>
      <c r="B11204">
        <v>4.4000000000000004</v>
      </c>
      <c r="C11204" t="s">
        <v>33154</v>
      </c>
      <c r="D11204" t="s">
        <v>385</v>
      </c>
      <c r="E11204" t="s">
        <v>33150</v>
      </c>
      <c r="F11204" t="s">
        <v>7672</v>
      </c>
      <c r="G11204" t="s">
        <v>33151</v>
      </c>
      <c r="H11204" t="s">
        <v>11496</v>
      </c>
      <c r="I11204" t="s">
        <v>33152</v>
      </c>
      <c r="J11204" t="s">
        <v>106</v>
      </c>
    </row>
    <row r="11205" spans="1:10" x14ac:dyDescent="0.25">
      <c r="A11205" t="s">
        <v>33155</v>
      </c>
      <c r="B11205">
        <v>4.4000000000000004</v>
      </c>
      <c r="C11205" t="s">
        <v>33156</v>
      </c>
      <c r="D11205" t="s">
        <v>124</v>
      </c>
      <c r="E11205" t="s">
        <v>33150</v>
      </c>
      <c r="F11205" t="s">
        <v>7672</v>
      </c>
      <c r="G11205" t="s">
        <v>33151</v>
      </c>
      <c r="H11205" t="s">
        <v>11496</v>
      </c>
      <c r="I11205" t="s">
        <v>33152</v>
      </c>
      <c r="J11205" t="s">
        <v>131</v>
      </c>
    </row>
    <row r="11206" spans="1:10" x14ac:dyDescent="0.25">
      <c r="A11206" t="s">
        <v>33157</v>
      </c>
      <c r="B11206">
        <v>4.4000000000000004</v>
      </c>
      <c r="C11206" t="s">
        <v>33158</v>
      </c>
      <c r="D11206" t="s">
        <v>330</v>
      </c>
      <c r="E11206" t="s">
        <v>33150</v>
      </c>
      <c r="F11206" t="s">
        <v>7672</v>
      </c>
      <c r="G11206" t="s">
        <v>33151</v>
      </c>
      <c r="H11206" t="s">
        <v>11496</v>
      </c>
      <c r="I11206" t="s">
        <v>33152</v>
      </c>
      <c r="J11206" t="s">
        <v>269</v>
      </c>
    </row>
    <row r="11207" spans="1:10" x14ac:dyDescent="0.25">
      <c r="A11207" t="s">
        <v>33159</v>
      </c>
      <c r="B11207">
        <v>4.4000000000000004</v>
      </c>
      <c r="C11207" t="s">
        <v>33160</v>
      </c>
      <c r="D11207" t="s">
        <v>1852</v>
      </c>
      <c r="E11207" t="s">
        <v>33150</v>
      </c>
      <c r="F11207" t="s">
        <v>7672</v>
      </c>
      <c r="G11207" t="s">
        <v>33151</v>
      </c>
      <c r="H11207" t="s">
        <v>11496</v>
      </c>
      <c r="I11207" t="s">
        <v>33152</v>
      </c>
      <c r="J11207" t="s">
        <v>8789</v>
      </c>
    </row>
    <row r="11208" spans="1:10" x14ac:dyDescent="0.25">
      <c r="A11208" t="s">
        <v>33161</v>
      </c>
      <c r="B11208">
        <v>2.3919999999999999</v>
      </c>
      <c r="C11208" t="s">
        <v>33162</v>
      </c>
      <c r="D11208" t="s">
        <v>2238</v>
      </c>
      <c r="E11208" t="s">
        <v>33163</v>
      </c>
      <c r="F11208" t="s">
        <v>7672</v>
      </c>
      <c r="G11208" t="s">
        <v>33164</v>
      </c>
      <c r="H11208" t="s">
        <v>31970</v>
      </c>
      <c r="I11208" t="s">
        <v>497</v>
      </c>
      <c r="J11208" t="s">
        <v>9694</v>
      </c>
    </row>
    <row r="11209" spans="1:10" x14ac:dyDescent="0.25">
      <c r="A11209" t="s">
        <v>33165</v>
      </c>
      <c r="B11209">
        <v>10.08</v>
      </c>
      <c r="C11209" t="s">
        <v>33166</v>
      </c>
      <c r="D11209" t="s">
        <v>199</v>
      </c>
      <c r="E11209" t="s">
        <v>33167</v>
      </c>
      <c r="F11209" t="s">
        <v>7672</v>
      </c>
      <c r="G11209" t="s">
        <v>33168</v>
      </c>
      <c r="H11209" t="s">
        <v>18570</v>
      </c>
      <c r="I11209" t="s">
        <v>18577</v>
      </c>
      <c r="J11209" t="s">
        <v>7981</v>
      </c>
    </row>
    <row r="11210" spans="1:10" x14ac:dyDescent="0.25">
      <c r="A11210" t="s">
        <v>33169</v>
      </c>
      <c r="B11210">
        <v>10.08</v>
      </c>
      <c r="C11210" t="s">
        <v>33170</v>
      </c>
      <c r="D11210" t="s">
        <v>385</v>
      </c>
      <c r="E11210" t="s">
        <v>33167</v>
      </c>
      <c r="F11210" t="s">
        <v>7672</v>
      </c>
      <c r="G11210" t="s">
        <v>33168</v>
      </c>
      <c r="H11210" t="s">
        <v>18570</v>
      </c>
      <c r="I11210" t="s">
        <v>33171</v>
      </c>
      <c r="J11210" t="s">
        <v>7981</v>
      </c>
    </row>
    <row r="11211" spans="1:10" x14ac:dyDescent="0.25">
      <c r="A11211" t="s">
        <v>33172</v>
      </c>
      <c r="B11211">
        <v>10.08</v>
      </c>
      <c r="C11211" t="s">
        <v>33173</v>
      </c>
      <c r="D11211" t="s">
        <v>385</v>
      </c>
      <c r="E11211" t="s">
        <v>33167</v>
      </c>
      <c r="F11211" t="s">
        <v>7672</v>
      </c>
      <c r="G11211" t="s">
        <v>33168</v>
      </c>
      <c r="H11211" t="s">
        <v>18570</v>
      </c>
      <c r="I11211" t="s">
        <v>551</v>
      </c>
      <c r="J11211" t="s">
        <v>7981</v>
      </c>
    </row>
    <row r="11212" spans="1:10" x14ac:dyDescent="0.25">
      <c r="A11212" t="s">
        <v>33174</v>
      </c>
      <c r="B11212">
        <v>15.4</v>
      </c>
      <c r="C11212" t="s">
        <v>33175</v>
      </c>
      <c r="D11212" t="s">
        <v>255</v>
      </c>
      <c r="E11212" t="s">
        <v>33176</v>
      </c>
      <c r="F11212" t="s">
        <v>7672</v>
      </c>
      <c r="G11212" t="s">
        <v>33177</v>
      </c>
      <c r="H11212" t="s">
        <v>16463</v>
      </c>
      <c r="I11212" t="s">
        <v>33178</v>
      </c>
      <c r="J11212" t="s">
        <v>7675</v>
      </c>
    </row>
    <row r="11213" spans="1:10" x14ac:dyDescent="0.25">
      <c r="A11213" t="s">
        <v>33179</v>
      </c>
      <c r="B11213">
        <v>15.4</v>
      </c>
      <c r="C11213" t="s">
        <v>33180</v>
      </c>
      <c r="D11213" t="s">
        <v>352</v>
      </c>
      <c r="E11213" t="s">
        <v>33176</v>
      </c>
      <c r="F11213" t="s">
        <v>7672</v>
      </c>
      <c r="G11213" t="s">
        <v>33177</v>
      </c>
      <c r="H11213" t="s">
        <v>16463</v>
      </c>
      <c r="I11213" t="s">
        <v>33181</v>
      </c>
      <c r="J11213" t="s">
        <v>7686</v>
      </c>
    </row>
    <row r="11214" spans="1:10" x14ac:dyDescent="0.25">
      <c r="A11214" t="s">
        <v>33182</v>
      </c>
      <c r="B11214">
        <v>15.4</v>
      </c>
      <c r="C11214" t="s">
        <v>33183</v>
      </c>
      <c r="D11214" t="s">
        <v>88</v>
      </c>
      <c r="E11214" t="s">
        <v>33176</v>
      </c>
      <c r="F11214" t="s">
        <v>7672</v>
      </c>
      <c r="G11214" t="s">
        <v>33177</v>
      </c>
      <c r="H11214" t="s">
        <v>16463</v>
      </c>
      <c r="I11214" t="s">
        <v>33178</v>
      </c>
      <c r="J11214" t="s">
        <v>7703</v>
      </c>
    </row>
    <row r="11215" spans="1:10" x14ac:dyDescent="0.25">
      <c r="A11215" t="s">
        <v>1414</v>
      </c>
      <c r="B11215">
        <v>15.4</v>
      </c>
      <c r="C11215" t="s">
        <v>1416</v>
      </c>
      <c r="D11215" t="s">
        <v>330</v>
      </c>
      <c r="E11215" t="s">
        <v>1417</v>
      </c>
      <c r="F11215" t="s">
        <v>7672</v>
      </c>
      <c r="G11215" t="s">
        <v>33184</v>
      </c>
      <c r="H11215" t="s">
        <v>16164</v>
      </c>
      <c r="I11215" t="s">
        <v>1420</v>
      </c>
      <c r="J11215" t="s">
        <v>7984</v>
      </c>
    </row>
    <row r="11216" spans="1:10" x14ac:dyDescent="0.25">
      <c r="A11216" t="s">
        <v>1421</v>
      </c>
      <c r="B11216">
        <v>6.24</v>
      </c>
      <c r="C11216" t="s">
        <v>1423</v>
      </c>
      <c r="D11216" t="s">
        <v>53</v>
      </c>
      <c r="E11216" t="s">
        <v>1424</v>
      </c>
      <c r="F11216" t="s">
        <v>7672</v>
      </c>
      <c r="G11216" t="s">
        <v>33185</v>
      </c>
      <c r="H11216" t="s">
        <v>11496</v>
      </c>
      <c r="I11216" t="s">
        <v>410</v>
      </c>
      <c r="J11216" t="s">
        <v>9423</v>
      </c>
    </row>
    <row r="11217" spans="1:10" x14ac:dyDescent="0.25">
      <c r="A11217" t="s">
        <v>1426</v>
      </c>
      <c r="B11217">
        <v>6.24</v>
      </c>
      <c r="C11217" t="s">
        <v>1428</v>
      </c>
      <c r="D11217" t="s">
        <v>255</v>
      </c>
      <c r="E11217" t="s">
        <v>1424</v>
      </c>
      <c r="F11217" t="s">
        <v>7672</v>
      </c>
      <c r="G11217" t="s">
        <v>33185</v>
      </c>
      <c r="H11217" t="s">
        <v>11496</v>
      </c>
      <c r="I11217" t="s">
        <v>410</v>
      </c>
      <c r="J11217" t="s">
        <v>9426</v>
      </c>
    </row>
    <row r="11218" spans="1:10" x14ac:dyDescent="0.25">
      <c r="A11218" t="s">
        <v>1430</v>
      </c>
      <c r="B11218">
        <v>6.24</v>
      </c>
      <c r="C11218" t="s">
        <v>1432</v>
      </c>
      <c r="D11218" t="s">
        <v>290</v>
      </c>
      <c r="E11218" t="s">
        <v>1424</v>
      </c>
      <c r="F11218" t="s">
        <v>7672</v>
      </c>
      <c r="G11218" t="s">
        <v>33185</v>
      </c>
      <c r="H11218" t="s">
        <v>11496</v>
      </c>
      <c r="I11218" t="s">
        <v>410</v>
      </c>
      <c r="J11218" t="s">
        <v>13084</v>
      </c>
    </row>
    <row r="11219" spans="1:10" x14ac:dyDescent="0.25">
      <c r="A11219" t="s">
        <v>33186</v>
      </c>
      <c r="B11219">
        <v>7.2</v>
      </c>
      <c r="C11219" t="s">
        <v>33187</v>
      </c>
      <c r="D11219" t="s">
        <v>843</v>
      </c>
      <c r="E11219" t="s">
        <v>33188</v>
      </c>
      <c r="F11219" t="s">
        <v>7672</v>
      </c>
      <c r="G11219" t="s">
        <v>33189</v>
      </c>
      <c r="H11219" t="s">
        <v>11496</v>
      </c>
      <c r="I11219" t="s">
        <v>4821</v>
      </c>
      <c r="J11219" t="s">
        <v>9423</v>
      </c>
    </row>
    <row r="11220" spans="1:10" x14ac:dyDescent="0.25">
      <c r="A11220" t="s">
        <v>33190</v>
      </c>
      <c r="B11220">
        <v>5.6000000000000014</v>
      </c>
      <c r="C11220" t="s">
        <v>33191</v>
      </c>
      <c r="D11220" t="s">
        <v>1811</v>
      </c>
      <c r="E11220" t="s">
        <v>33192</v>
      </c>
      <c r="F11220" t="s">
        <v>7672</v>
      </c>
      <c r="G11220" t="s">
        <v>33193</v>
      </c>
      <c r="H11220" t="s">
        <v>8515</v>
      </c>
      <c r="I11220" t="s">
        <v>33194</v>
      </c>
      <c r="J11220" t="s">
        <v>100</v>
      </c>
    </row>
    <row r="11221" spans="1:10" x14ac:dyDescent="0.25">
      <c r="A11221" t="s">
        <v>33195</v>
      </c>
      <c r="B11221">
        <v>3.6320000000000001</v>
      </c>
      <c r="C11221" t="s">
        <v>33196</v>
      </c>
      <c r="D11221" t="s">
        <v>1134</v>
      </c>
      <c r="E11221" t="s">
        <v>33197</v>
      </c>
      <c r="F11221" t="s">
        <v>7672</v>
      </c>
      <c r="G11221" t="s">
        <v>33198</v>
      </c>
      <c r="H11221" t="s">
        <v>8515</v>
      </c>
      <c r="I11221" t="s">
        <v>31426</v>
      </c>
      <c r="J11221" t="s">
        <v>100</v>
      </c>
    </row>
    <row r="11222" spans="1:10" x14ac:dyDescent="0.25">
      <c r="A11222" t="s">
        <v>33199</v>
      </c>
      <c r="B11222">
        <v>3.6320000000000001</v>
      </c>
      <c r="C11222" t="s">
        <v>33200</v>
      </c>
      <c r="D11222" t="s">
        <v>6257</v>
      </c>
      <c r="E11222" t="s">
        <v>33197</v>
      </c>
      <c r="F11222" t="s">
        <v>7672</v>
      </c>
      <c r="G11222" t="s">
        <v>33198</v>
      </c>
      <c r="H11222" t="s">
        <v>8515</v>
      </c>
      <c r="I11222" t="s">
        <v>31426</v>
      </c>
      <c r="J11222" t="s">
        <v>106</v>
      </c>
    </row>
    <row r="11223" spans="1:10" x14ac:dyDescent="0.25">
      <c r="A11223" t="s">
        <v>33201</v>
      </c>
      <c r="B11223">
        <v>3.6320000000000001</v>
      </c>
      <c r="C11223" t="s">
        <v>33202</v>
      </c>
      <c r="D11223" t="s">
        <v>234</v>
      </c>
      <c r="E11223" t="s">
        <v>33197</v>
      </c>
      <c r="F11223" t="s">
        <v>7672</v>
      </c>
      <c r="G11223" t="s">
        <v>33198</v>
      </c>
      <c r="H11223" t="s">
        <v>8515</v>
      </c>
      <c r="I11223" t="s">
        <v>31426</v>
      </c>
      <c r="J11223" t="s">
        <v>88</v>
      </c>
    </row>
    <row r="11224" spans="1:10" x14ac:dyDescent="0.25">
      <c r="A11224" t="s">
        <v>33203</v>
      </c>
      <c r="B11224">
        <v>3.6320000000000001</v>
      </c>
      <c r="C11224" t="s">
        <v>33204</v>
      </c>
      <c r="D11224" t="s">
        <v>255</v>
      </c>
      <c r="E11224" t="s">
        <v>33197</v>
      </c>
      <c r="F11224" t="s">
        <v>7672</v>
      </c>
      <c r="G11224" t="s">
        <v>33198</v>
      </c>
      <c r="H11224" t="s">
        <v>8515</v>
      </c>
      <c r="I11224" t="s">
        <v>31426</v>
      </c>
      <c r="J11224" t="s">
        <v>8531</v>
      </c>
    </row>
    <row r="11225" spans="1:10" x14ac:dyDescent="0.25">
      <c r="A11225" t="s">
        <v>33205</v>
      </c>
      <c r="B11225">
        <v>2.6</v>
      </c>
      <c r="C11225" t="s">
        <v>33206</v>
      </c>
      <c r="D11225" t="s">
        <v>991</v>
      </c>
      <c r="E11225" t="s">
        <v>33207</v>
      </c>
      <c r="F11225" t="s">
        <v>7672</v>
      </c>
      <c r="G11225" t="s">
        <v>33208</v>
      </c>
      <c r="H11225" t="s">
        <v>26624</v>
      </c>
      <c r="I11225" t="s">
        <v>33209</v>
      </c>
      <c r="J11225" t="s">
        <v>7942</v>
      </c>
    </row>
    <row r="11226" spans="1:10" x14ac:dyDescent="0.25">
      <c r="A11226" t="s">
        <v>33210</v>
      </c>
      <c r="B11226">
        <v>2.6</v>
      </c>
      <c r="C11226" t="s">
        <v>33211</v>
      </c>
      <c r="D11226" t="s">
        <v>3253</v>
      </c>
      <c r="E11226" t="s">
        <v>33207</v>
      </c>
      <c r="F11226" t="s">
        <v>7672</v>
      </c>
      <c r="G11226" t="s">
        <v>33208</v>
      </c>
      <c r="H11226" t="s">
        <v>26624</v>
      </c>
      <c r="I11226" t="s">
        <v>33209</v>
      </c>
      <c r="J11226" t="s">
        <v>7981</v>
      </c>
    </row>
    <row r="11227" spans="1:10" x14ac:dyDescent="0.25">
      <c r="A11227" t="s">
        <v>33212</v>
      </c>
      <c r="B11227">
        <v>2.6</v>
      </c>
      <c r="C11227" t="s">
        <v>33213</v>
      </c>
      <c r="D11227" t="s">
        <v>9399</v>
      </c>
      <c r="E11227" t="s">
        <v>33207</v>
      </c>
      <c r="F11227" t="s">
        <v>7672</v>
      </c>
      <c r="G11227" t="s">
        <v>33208</v>
      </c>
      <c r="H11227" t="s">
        <v>26624</v>
      </c>
      <c r="I11227" t="s">
        <v>33209</v>
      </c>
      <c r="J11227" t="s">
        <v>7984</v>
      </c>
    </row>
    <row r="11228" spans="1:10" x14ac:dyDescent="0.25">
      <c r="A11228" t="s">
        <v>33214</v>
      </c>
      <c r="B11228">
        <v>2.6</v>
      </c>
      <c r="C11228" t="s">
        <v>33215</v>
      </c>
      <c r="D11228" t="s">
        <v>991</v>
      </c>
      <c r="E11228" t="s">
        <v>33207</v>
      </c>
      <c r="F11228" t="s">
        <v>7672</v>
      </c>
      <c r="G11228" t="s">
        <v>33208</v>
      </c>
      <c r="H11228" t="s">
        <v>26624</v>
      </c>
      <c r="I11228" t="s">
        <v>33209</v>
      </c>
      <c r="J11228" t="s">
        <v>7987</v>
      </c>
    </row>
    <row r="11229" spans="1:10" x14ac:dyDescent="0.25">
      <c r="A11229" t="s">
        <v>33216</v>
      </c>
      <c r="B11229">
        <v>2.6</v>
      </c>
      <c r="C11229" t="s">
        <v>33217</v>
      </c>
      <c r="D11229" t="s">
        <v>245</v>
      </c>
      <c r="E11229" t="s">
        <v>33207</v>
      </c>
      <c r="F11229" t="s">
        <v>7672</v>
      </c>
      <c r="G11229" t="s">
        <v>33208</v>
      </c>
      <c r="H11229" t="s">
        <v>26624</v>
      </c>
      <c r="I11229" t="s">
        <v>33209</v>
      </c>
      <c r="J11229" t="s">
        <v>8001</v>
      </c>
    </row>
    <row r="11230" spans="1:10" x14ac:dyDescent="0.25">
      <c r="A11230" t="s">
        <v>33218</v>
      </c>
      <c r="B11230">
        <v>2.6</v>
      </c>
      <c r="C11230" t="s">
        <v>33219</v>
      </c>
      <c r="D11230" t="s">
        <v>576</v>
      </c>
      <c r="E11230" t="s">
        <v>33207</v>
      </c>
      <c r="F11230" t="s">
        <v>7672</v>
      </c>
      <c r="G11230" t="s">
        <v>33208</v>
      </c>
      <c r="H11230" t="s">
        <v>26624</v>
      </c>
      <c r="I11230" t="s">
        <v>33209</v>
      </c>
      <c r="J11230" t="s">
        <v>8013</v>
      </c>
    </row>
    <row r="11231" spans="1:10" x14ac:dyDescent="0.25">
      <c r="A11231" t="s">
        <v>33220</v>
      </c>
      <c r="B11231">
        <v>5.4</v>
      </c>
      <c r="C11231" t="s">
        <v>33221</v>
      </c>
      <c r="D11231" t="s">
        <v>1842</v>
      </c>
      <c r="E11231" t="s">
        <v>33222</v>
      </c>
      <c r="F11231" t="s">
        <v>7672</v>
      </c>
      <c r="G11231" t="s">
        <v>33223</v>
      </c>
      <c r="H11231" t="s">
        <v>10298</v>
      </c>
      <c r="I11231" t="s">
        <v>33224</v>
      </c>
      <c r="J11231" t="s">
        <v>30511</v>
      </c>
    </row>
    <row r="11232" spans="1:10" x14ac:dyDescent="0.25">
      <c r="A11232" t="s">
        <v>33225</v>
      </c>
      <c r="B11232">
        <v>5.4</v>
      </c>
      <c r="C11232" t="s">
        <v>33226</v>
      </c>
      <c r="D11232" t="s">
        <v>3954</v>
      </c>
      <c r="E11232" t="s">
        <v>33222</v>
      </c>
      <c r="F11232" t="s">
        <v>7672</v>
      </c>
      <c r="G11232" t="s">
        <v>33223</v>
      </c>
      <c r="H11232" t="s">
        <v>10298</v>
      </c>
      <c r="I11232" t="s">
        <v>33227</v>
      </c>
      <c r="J11232" t="s">
        <v>30511</v>
      </c>
    </row>
    <row r="11233" spans="1:10" x14ac:dyDescent="0.25">
      <c r="A11233" t="s">
        <v>33228</v>
      </c>
      <c r="B11233">
        <v>5.4</v>
      </c>
      <c r="C11233" t="s">
        <v>33229</v>
      </c>
      <c r="D11233" t="s">
        <v>11409</v>
      </c>
      <c r="E11233" t="s">
        <v>33222</v>
      </c>
      <c r="F11233" t="s">
        <v>7672</v>
      </c>
      <c r="G11233" t="s">
        <v>33223</v>
      </c>
      <c r="H11233" t="s">
        <v>10298</v>
      </c>
      <c r="I11233" t="s">
        <v>33227</v>
      </c>
      <c r="J11233" t="s">
        <v>30516</v>
      </c>
    </row>
    <row r="11234" spans="1:10" x14ac:dyDescent="0.25">
      <c r="A11234" t="s">
        <v>33230</v>
      </c>
      <c r="B11234">
        <v>5.4</v>
      </c>
      <c r="C11234" t="s">
        <v>33231</v>
      </c>
      <c r="D11234" t="s">
        <v>12952</v>
      </c>
      <c r="E11234" t="s">
        <v>33222</v>
      </c>
      <c r="F11234" t="s">
        <v>7672</v>
      </c>
      <c r="G11234" t="s">
        <v>33223</v>
      </c>
      <c r="H11234" t="s">
        <v>10298</v>
      </c>
      <c r="I11234" t="s">
        <v>33224</v>
      </c>
      <c r="J11234" t="s">
        <v>30516</v>
      </c>
    </row>
    <row r="11235" spans="1:10" x14ac:dyDescent="0.25">
      <c r="A11235" t="s">
        <v>33232</v>
      </c>
      <c r="B11235">
        <v>2.4</v>
      </c>
      <c r="C11235" t="s">
        <v>33233</v>
      </c>
      <c r="D11235" t="s">
        <v>1097</v>
      </c>
      <c r="E11235" t="s">
        <v>33234</v>
      </c>
      <c r="F11235" t="s">
        <v>7672</v>
      </c>
      <c r="G11235" t="s">
        <v>33235</v>
      </c>
      <c r="H11235" t="s">
        <v>8515</v>
      </c>
      <c r="I11235" t="s">
        <v>935</v>
      </c>
      <c r="J11235" t="s">
        <v>11767</v>
      </c>
    </row>
    <row r="11236" spans="1:10" x14ac:dyDescent="0.25">
      <c r="A11236" t="s">
        <v>33236</v>
      </c>
      <c r="B11236">
        <v>2.4</v>
      </c>
      <c r="C11236" t="s">
        <v>33237</v>
      </c>
      <c r="D11236" t="s">
        <v>436</v>
      </c>
      <c r="E11236" t="s">
        <v>33234</v>
      </c>
      <c r="F11236" t="s">
        <v>7672</v>
      </c>
      <c r="G11236" t="s">
        <v>33235</v>
      </c>
      <c r="H11236" t="s">
        <v>8515</v>
      </c>
      <c r="I11236" t="s">
        <v>935</v>
      </c>
      <c r="J11236" t="s">
        <v>11582</v>
      </c>
    </row>
    <row r="11237" spans="1:10" x14ac:dyDescent="0.25">
      <c r="A11237" t="s">
        <v>33238</v>
      </c>
      <c r="B11237">
        <v>2.4</v>
      </c>
      <c r="C11237" t="s">
        <v>33239</v>
      </c>
      <c r="D11237" t="s">
        <v>352</v>
      </c>
      <c r="E11237" t="s">
        <v>33234</v>
      </c>
      <c r="F11237" t="s">
        <v>7672</v>
      </c>
      <c r="G11237" t="s">
        <v>33235</v>
      </c>
      <c r="H11237" t="s">
        <v>8515</v>
      </c>
      <c r="I11237" t="s">
        <v>935</v>
      </c>
      <c r="J11237" t="s">
        <v>11585</v>
      </c>
    </row>
    <row r="11238" spans="1:10" x14ac:dyDescent="0.25">
      <c r="A11238" t="s">
        <v>33240</v>
      </c>
      <c r="B11238">
        <v>9</v>
      </c>
      <c r="C11238" t="s">
        <v>33241</v>
      </c>
      <c r="D11238" t="s">
        <v>95</v>
      </c>
      <c r="E11238" t="s">
        <v>33242</v>
      </c>
      <c r="F11238" t="s">
        <v>7672</v>
      </c>
      <c r="G11238" t="s">
        <v>33243</v>
      </c>
      <c r="H11238" t="s">
        <v>11381</v>
      </c>
      <c r="I11238" t="s">
        <v>9586</v>
      </c>
      <c r="J11238" t="s">
        <v>7675</v>
      </c>
    </row>
    <row r="11239" spans="1:10" x14ac:dyDescent="0.25">
      <c r="A11239" t="s">
        <v>33244</v>
      </c>
      <c r="B11239">
        <v>9</v>
      </c>
      <c r="C11239" t="s">
        <v>33245</v>
      </c>
      <c r="D11239" t="s">
        <v>352</v>
      </c>
      <c r="E11239" t="s">
        <v>33242</v>
      </c>
      <c r="F11239" t="s">
        <v>7672</v>
      </c>
      <c r="G11239" t="s">
        <v>33243</v>
      </c>
      <c r="H11239" t="s">
        <v>11381</v>
      </c>
      <c r="I11239" t="s">
        <v>9586</v>
      </c>
      <c r="J11239" t="s">
        <v>7686</v>
      </c>
    </row>
    <row r="11240" spans="1:10" x14ac:dyDescent="0.25">
      <c r="A11240" t="s">
        <v>33246</v>
      </c>
      <c r="B11240">
        <v>3.3519999999999999</v>
      </c>
      <c r="C11240" t="s">
        <v>33247</v>
      </c>
      <c r="D11240" t="s">
        <v>396</v>
      </c>
      <c r="E11240" t="s">
        <v>33248</v>
      </c>
      <c r="F11240" t="s">
        <v>7672</v>
      </c>
      <c r="G11240" t="s">
        <v>33249</v>
      </c>
      <c r="H11240" t="s">
        <v>10298</v>
      </c>
      <c r="I11240" t="s">
        <v>11699</v>
      </c>
      <c r="J11240" t="s">
        <v>12182</v>
      </c>
    </row>
    <row r="11241" spans="1:10" x14ac:dyDescent="0.25">
      <c r="A11241" t="s">
        <v>33250</v>
      </c>
      <c r="B11241">
        <v>3.3519999999999999</v>
      </c>
      <c r="C11241" t="s">
        <v>33251</v>
      </c>
      <c r="D11241" t="s">
        <v>1536</v>
      </c>
      <c r="E11241" t="s">
        <v>33248</v>
      </c>
      <c r="F11241" t="s">
        <v>7672</v>
      </c>
      <c r="G11241" t="s">
        <v>33249</v>
      </c>
      <c r="H11241" t="s">
        <v>10298</v>
      </c>
      <c r="I11241" t="s">
        <v>11699</v>
      </c>
      <c r="J11241" t="s">
        <v>10150</v>
      </c>
    </row>
    <row r="11242" spans="1:10" x14ac:dyDescent="0.25">
      <c r="A11242" t="s">
        <v>33252</v>
      </c>
      <c r="B11242">
        <v>11.8</v>
      </c>
      <c r="C11242" t="s">
        <v>33253</v>
      </c>
      <c r="D11242" t="s">
        <v>436</v>
      </c>
      <c r="E11242" t="s">
        <v>33254</v>
      </c>
      <c r="F11242" t="s">
        <v>7672</v>
      </c>
      <c r="G11242" t="s">
        <v>33255</v>
      </c>
      <c r="H11242" t="s">
        <v>16745</v>
      </c>
      <c r="I11242" t="s">
        <v>33256</v>
      </c>
      <c r="J11242" t="s">
        <v>8001</v>
      </c>
    </row>
    <row r="11243" spans="1:10" x14ac:dyDescent="0.25">
      <c r="A11243" t="s">
        <v>33257</v>
      </c>
      <c r="B11243">
        <v>11.8</v>
      </c>
      <c r="C11243" t="s">
        <v>33258</v>
      </c>
      <c r="D11243" t="s">
        <v>95</v>
      </c>
      <c r="E11243" t="s">
        <v>33254</v>
      </c>
      <c r="F11243" t="s">
        <v>7672</v>
      </c>
      <c r="G11243" t="s">
        <v>33255</v>
      </c>
      <c r="H11243" t="s">
        <v>16745</v>
      </c>
      <c r="I11243" t="s">
        <v>76</v>
      </c>
      <c r="J11243" t="s">
        <v>8013</v>
      </c>
    </row>
    <row r="11244" spans="1:10" x14ac:dyDescent="0.25">
      <c r="A11244" t="s">
        <v>33259</v>
      </c>
      <c r="B11244">
        <v>11.8</v>
      </c>
      <c r="C11244" t="s">
        <v>33260</v>
      </c>
      <c r="D11244" t="s">
        <v>964</v>
      </c>
      <c r="E11244" t="s">
        <v>33254</v>
      </c>
      <c r="F11244" t="s">
        <v>7672</v>
      </c>
      <c r="G11244" t="s">
        <v>33255</v>
      </c>
      <c r="H11244" t="s">
        <v>16745</v>
      </c>
      <c r="I11244" t="s">
        <v>33256</v>
      </c>
      <c r="J11244" t="s">
        <v>8013</v>
      </c>
    </row>
    <row r="11245" spans="1:10" x14ac:dyDescent="0.25">
      <c r="A11245" t="s">
        <v>33261</v>
      </c>
      <c r="B11245">
        <v>4</v>
      </c>
      <c r="C11245" t="s">
        <v>33262</v>
      </c>
      <c r="D11245" t="s">
        <v>95</v>
      </c>
      <c r="E11245" t="s">
        <v>33263</v>
      </c>
      <c r="F11245" t="s">
        <v>7672</v>
      </c>
      <c r="G11245" t="s">
        <v>33264</v>
      </c>
      <c r="H11245" t="s">
        <v>16993</v>
      </c>
      <c r="I11245" t="s">
        <v>33265</v>
      </c>
      <c r="J11245" t="s">
        <v>9423</v>
      </c>
    </row>
    <row r="11246" spans="1:10" x14ac:dyDescent="0.25">
      <c r="A11246" t="s">
        <v>33266</v>
      </c>
      <c r="B11246">
        <v>4</v>
      </c>
      <c r="C11246" t="s">
        <v>33267</v>
      </c>
      <c r="D11246" t="s">
        <v>164</v>
      </c>
      <c r="E11246" t="s">
        <v>33263</v>
      </c>
      <c r="F11246" t="s">
        <v>7672</v>
      </c>
      <c r="G11246" t="s">
        <v>33264</v>
      </c>
      <c r="H11246" t="s">
        <v>16993</v>
      </c>
      <c r="I11246" t="s">
        <v>32993</v>
      </c>
      <c r="J11246" t="s">
        <v>9423</v>
      </c>
    </row>
    <row r="11247" spans="1:10" x14ac:dyDescent="0.25">
      <c r="A11247" t="s">
        <v>33268</v>
      </c>
      <c r="B11247">
        <v>8</v>
      </c>
      <c r="C11247" t="s">
        <v>33269</v>
      </c>
      <c r="D11247" t="s">
        <v>95</v>
      </c>
      <c r="E11247" t="s">
        <v>33270</v>
      </c>
      <c r="F11247" t="s">
        <v>7672</v>
      </c>
      <c r="G11247" t="s">
        <v>33271</v>
      </c>
      <c r="H11247" t="s">
        <v>8301</v>
      </c>
      <c r="I11247" t="s">
        <v>8158</v>
      </c>
      <c r="J11247" t="s">
        <v>7942</v>
      </c>
    </row>
    <row r="11248" spans="1:10" x14ac:dyDescent="0.25">
      <c r="A11248" t="s">
        <v>33272</v>
      </c>
      <c r="B11248">
        <v>8</v>
      </c>
      <c r="C11248" t="s">
        <v>33273</v>
      </c>
      <c r="D11248" t="s">
        <v>4327</v>
      </c>
      <c r="E11248" t="s">
        <v>33270</v>
      </c>
      <c r="F11248" t="s">
        <v>7672</v>
      </c>
      <c r="G11248" t="s">
        <v>33271</v>
      </c>
      <c r="H11248" t="s">
        <v>8301</v>
      </c>
      <c r="I11248" t="s">
        <v>8158</v>
      </c>
      <c r="J11248" t="s">
        <v>7981</v>
      </c>
    </row>
    <row r="11249" spans="1:10" x14ac:dyDescent="0.25">
      <c r="A11249" t="s">
        <v>33274</v>
      </c>
      <c r="B11249">
        <v>7.2</v>
      </c>
      <c r="C11249" t="s">
        <v>33275</v>
      </c>
      <c r="D11249" t="s">
        <v>60</v>
      </c>
      <c r="E11249" t="s">
        <v>33276</v>
      </c>
      <c r="F11249" t="s">
        <v>7672</v>
      </c>
      <c r="G11249" t="s">
        <v>33277</v>
      </c>
      <c r="H11249" t="s">
        <v>7974</v>
      </c>
      <c r="I11249" t="s">
        <v>21945</v>
      </c>
      <c r="J11249" t="s">
        <v>9114</v>
      </c>
    </row>
    <row r="11250" spans="1:10" x14ac:dyDescent="0.25">
      <c r="A11250" t="s">
        <v>33278</v>
      </c>
      <c r="B11250">
        <v>7.2</v>
      </c>
      <c r="C11250" t="s">
        <v>33279</v>
      </c>
      <c r="D11250" t="s">
        <v>131</v>
      </c>
      <c r="E11250" t="s">
        <v>33276</v>
      </c>
      <c r="F11250" t="s">
        <v>7672</v>
      </c>
      <c r="G11250" t="s">
        <v>33277</v>
      </c>
      <c r="H11250" t="s">
        <v>7974</v>
      </c>
      <c r="I11250" t="s">
        <v>10433</v>
      </c>
      <c r="J11250" t="s">
        <v>9114</v>
      </c>
    </row>
    <row r="11251" spans="1:10" x14ac:dyDescent="0.25">
      <c r="A11251" t="s">
        <v>33280</v>
      </c>
      <c r="B11251">
        <v>8.64</v>
      </c>
      <c r="C11251" t="s">
        <v>33281</v>
      </c>
      <c r="D11251" t="s">
        <v>164</v>
      </c>
      <c r="E11251" t="s">
        <v>33276</v>
      </c>
      <c r="F11251" t="s">
        <v>7672</v>
      </c>
      <c r="G11251" t="s">
        <v>33277</v>
      </c>
      <c r="H11251" t="s">
        <v>7974</v>
      </c>
      <c r="I11251" t="s">
        <v>16841</v>
      </c>
      <c r="J11251" t="s">
        <v>9114</v>
      </c>
    </row>
    <row r="11252" spans="1:10" x14ac:dyDescent="0.25">
      <c r="A11252" t="s">
        <v>33282</v>
      </c>
      <c r="B11252">
        <v>4.8000000000000007</v>
      </c>
      <c r="C11252" t="s">
        <v>33283</v>
      </c>
      <c r="D11252" t="s">
        <v>286</v>
      </c>
      <c r="E11252" t="s">
        <v>33284</v>
      </c>
      <c r="F11252" t="s">
        <v>7672</v>
      </c>
      <c r="G11252" t="s">
        <v>33285</v>
      </c>
      <c r="H11252" t="s">
        <v>13951</v>
      </c>
      <c r="I11252" t="s">
        <v>33286</v>
      </c>
      <c r="J11252" t="s">
        <v>15482</v>
      </c>
    </row>
    <row r="11253" spans="1:10" x14ac:dyDescent="0.25">
      <c r="A11253" t="s">
        <v>33287</v>
      </c>
      <c r="B11253">
        <v>4.8000000000000007</v>
      </c>
      <c r="C11253" t="s">
        <v>33288</v>
      </c>
      <c r="D11253" t="s">
        <v>255</v>
      </c>
      <c r="E11253" t="s">
        <v>33284</v>
      </c>
      <c r="F11253" t="s">
        <v>7672</v>
      </c>
      <c r="G11253" t="s">
        <v>33285</v>
      </c>
      <c r="H11253" t="s">
        <v>13951</v>
      </c>
      <c r="I11253" t="s">
        <v>33286</v>
      </c>
      <c r="J11253" t="s">
        <v>15485</v>
      </c>
    </row>
    <row r="11254" spans="1:10" x14ac:dyDescent="0.25">
      <c r="A11254" t="s">
        <v>33289</v>
      </c>
      <c r="B11254">
        <v>4</v>
      </c>
      <c r="C11254" t="s">
        <v>33290</v>
      </c>
      <c r="D11254" t="s">
        <v>342</v>
      </c>
      <c r="E11254" t="s">
        <v>33284</v>
      </c>
      <c r="F11254" t="s">
        <v>7672</v>
      </c>
      <c r="G11254" t="s">
        <v>33285</v>
      </c>
      <c r="H11254" t="s">
        <v>13951</v>
      </c>
      <c r="I11254" t="s">
        <v>33286</v>
      </c>
      <c r="J11254" t="s">
        <v>11702</v>
      </c>
    </row>
    <row r="11255" spans="1:10" x14ac:dyDescent="0.25">
      <c r="A11255" t="s">
        <v>33291</v>
      </c>
      <c r="B11255">
        <v>4</v>
      </c>
      <c r="C11255" t="s">
        <v>33292</v>
      </c>
      <c r="D11255" t="s">
        <v>1822</v>
      </c>
      <c r="E11255" t="s">
        <v>33284</v>
      </c>
      <c r="F11255" t="s">
        <v>7672</v>
      </c>
      <c r="G11255" t="s">
        <v>33285</v>
      </c>
      <c r="H11255" t="s">
        <v>13951</v>
      </c>
      <c r="I11255" t="s">
        <v>33286</v>
      </c>
      <c r="J11255" t="s">
        <v>11710</v>
      </c>
    </row>
    <row r="11256" spans="1:10" x14ac:dyDescent="0.25">
      <c r="A11256" t="s">
        <v>33293</v>
      </c>
      <c r="B11256">
        <v>4</v>
      </c>
      <c r="C11256" t="s">
        <v>33294</v>
      </c>
      <c r="D11256" t="s">
        <v>396</v>
      </c>
      <c r="E11256" t="s">
        <v>33284</v>
      </c>
      <c r="F11256" t="s">
        <v>7672</v>
      </c>
      <c r="G11256" t="s">
        <v>33285</v>
      </c>
      <c r="H11256" t="s">
        <v>13951</v>
      </c>
      <c r="I11256" t="s">
        <v>33286</v>
      </c>
      <c r="J11256" t="s">
        <v>12182</v>
      </c>
    </row>
    <row r="11257" spans="1:10" x14ac:dyDescent="0.25">
      <c r="A11257" t="s">
        <v>33295</v>
      </c>
      <c r="B11257">
        <v>4</v>
      </c>
      <c r="C11257" t="s">
        <v>33296</v>
      </c>
      <c r="D11257" t="s">
        <v>60</v>
      </c>
      <c r="E11257" t="s">
        <v>33284</v>
      </c>
      <c r="F11257" t="s">
        <v>7672</v>
      </c>
      <c r="G11257" t="s">
        <v>33285</v>
      </c>
      <c r="H11257" t="s">
        <v>13951</v>
      </c>
      <c r="I11257" t="s">
        <v>33286</v>
      </c>
      <c r="J11257" t="s">
        <v>10150</v>
      </c>
    </row>
    <row r="11258" spans="1:10" x14ac:dyDescent="0.25">
      <c r="A11258" t="s">
        <v>33297</v>
      </c>
      <c r="B11258">
        <v>5.5920000000000014</v>
      </c>
      <c r="C11258" t="s">
        <v>33298</v>
      </c>
      <c r="D11258" t="s">
        <v>959</v>
      </c>
      <c r="E11258" t="s">
        <v>33299</v>
      </c>
      <c r="F11258" t="s">
        <v>7672</v>
      </c>
      <c r="G11258" t="s">
        <v>33300</v>
      </c>
      <c r="H11258" t="s">
        <v>32937</v>
      </c>
      <c r="I11258" t="s">
        <v>76</v>
      </c>
      <c r="J11258" t="s">
        <v>7981</v>
      </c>
    </row>
    <row r="11259" spans="1:10" x14ac:dyDescent="0.25">
      <c r="A11259" t="s">
        <v>33301</v>
      </c>
      <c r="B11259">
        <v>5.5920000000000014</v>
      </c>
      <c r="C11259" t="s">
        <v>33302</v>
      </c>
      <c r="D11259" t="s">
        <v>6257</v>
      </c>
      <c r="E11259" t="s">
        <v>33299</v>
      </c>
      <c r="F11259" t="s">
        <v>7672</v>
      </c>
      <c r="G11259" t="s">
        <v>33300</v>
      </c>
      <c r="H11259" t="s">
        <v>32937</v>
      </c>
      <c r="I11259" t="s">
        <v>76</v>
      </c>
      <c r="J11259" t="s">
        <v>7984</v>
      </c>
    </row>
    <row r="11260" spans="1:10" x14ac:dyDescent="0.25">
      <c r="A11260" t="s">
        <v>33303</v>
      </c>
      <c r="B11260">
        <v>5.5920000000000014</v>
      </c>
      <c r="C11260" t="s">
        <v>33304</v>
      </c>
      <c r="D11260" t="s">
        <v>776</v>
      </c>
      <c r="E11260" t="s">
        <v>33299</v>
      </c>
      <c r="F11260" t="s">
        <v>7672</v>
      </c>
      <c r="G11260" t="s">
        <v>33300</v>
      </c>
      <c r="H11260" t="s">
        <v>32937</v>
      </c>
      <c r="I11260" t="s">
        <v>76</v>
      </c>
      <c r="J11260" t="s">
        <v>7987</v>
      </c>
    </row>
    <row r="11261" spans="1:10" x14ac:dyDescent="0.25">
      <c r="A11261" t="s">
        <v>33305</v>
      </c>
      <c r="B11261">
        <v>4.7920000000000007</v>
      </c>
      <c r="C11261" t="s">
        <v>33306</v>
      </c>
      <c r="D11261" t="s">
        <v>3086</v>
      </c>
      <c r="E11261" t="s">
        <v>33299</v>
      </c>
      <c r="F11261" t="s">
        <v>7672</v>
      </c>
      <c r="G11261" t="s">
        <v>33300</v>
      </c>
      <c r="H11261" t="s">
        <v>32937</v>
      </c>
      <c r="I11261" t="s">
        <v>76</v>
      </c>
      <c r="J11261" t="s">
        <v>8001</v>
      </c>
    </row>
    <row r="11262" spans="1:10" x14ac:dyDescent="0.25">
      <c r="A11262" t="s">
        <v>33307</v>
      </c>
      <c r="B11262">
        <v>2.8</v>
      </c>
      <c r="C11262" t="s">
        <v>33308</v>
      </c>
      <c r="D11262" t="s">
        <v>9566</v>
      </c>
      <c r="E11262" t="s">
        <v>33309</v>
      </c>
      <c r="F11262" t="s">
        <v>7672</v>
      </c>
      <c r="G11262" t="s">
        <v>33310</v>
      </c>
      <c r="H11262" t="s">
        <v>11496</v>
      </c>
      <c r="I11262" t="s">
        <v>935</v>
      </c>
      <c r="J11262" t="s">
        <v>11582</v>
      </c>
    </row>
    <row r="11263" spans="1:10" x14ac:dyDescent="0.25">
      <c r="A11263" t="s">
        <v>33311</v>
      </c>
      <c r="B11263">
        <v>2.8</v>
      </c>
      <c r="C11263" t="s">
        <v>33312</v>
      </c>
      <c r="D11263" t="s">
        <v>2783</v>
      </c>
      <c r="E11263" t="s">
        <v>33313</v>
      </c>
      <c r="F11263" t="s">
        <v>7672</v>
      </c>
      <c r="G11263" t="s">
        <v>33314</v>
      </c>
      <c r="H11263" t="s">
        <v>8515</v>
      </c>
      <c r="I11263" t="s">
        <v>33315</v>
      </c>
      <c r="J11263" t="s">
        <v>106</v>
      </c>
    </row>
    <row r="11264" spans="1:10" x14ac:dyDescent="0.25">
      <c r="A11264" t="s">
        <v>33316</v>
      </c>
      <c r="B11264">
        <v>9.6000000000000014</v>
      </c>
      <c r="C11264" t="s">
        <v>33317</v>
      </c>
      <c r="D11264" t="s">
        <v>282</v>
      </c>
      <c r="E11264" t="s">
        <v>33318</v>
      </c>
      <c r="F11264" t="s">
        <v>7672</v>
      </c>
      <c r="G11264" t="s">
        <v>33319</v>
      </c>
      <c r="H11264" t="s">
        <v>7674</v>
      </c>
      <c r="I11264" t="s">
        <v>5986</v>
      </c>
      <c r="J11264" t="s">
        <v>582</v>
      </c>
    </row>
    <row r="11265" spans="1:10" x14ac:dyDescent="0.25">
      <c r="A11265" t="s">
        <v>33320</v>
      </c>
      <c r="B11265">
        <v>9.6000000000000014</v>
      </c>
      <c r="C11265" t="s">
        <v>33321</v>
      </c>
      <c r="D11265" t="s">
        <v>53</v>
      </c>
      <c r="E11265" t="s">
        <v>33318</v>
      </c>
      <c r="F11265" t="s">
        <v>7672</v>
      </c>
      <c r="G11265" t="s">
        <v>33319</v>
      </c>
      <c r="H11265" t="s">
        <v>7674</v>
      </c>
      <c r="I11265" t="s">
        <v>5986</v>
      </c>
      <c r="J11265" t="s">
        <v>1621</v>
      </c>
    </row>
    <row r="11266" spans="1:10" x14ac:dyDescent="0.25">
      <c r="A11266" t="s">
        <v>1434</v>
      </c>
      <c r="B11266">
        <v>11.6</v>
      </c>
      <c r="C11266" t="s">
        <v>1436</v>
      </c>
      <c r="D11266" t="s">
        <v>53</v>
      </c>
      <c r="E11266" t="s">
        <v>1437</v>
      </c>
      <c r="F11266" t="s">
        <v>7672</v>
      </c>
      <c r="G11266" t="s">
        <v>33322</v>
      </c>
      <c r="H11266" t="s">
        <v>32117</v>
      </c>
      <c r="I11266" t="s">
        <v>1440</v>
      </c>
      <c r="J11266" t="s">
        <v>33323</v>
      </c>
    </row>
    <row r="11267" spans="1:10" x14ac:dyDescent="0.25">
      <c r="A11267" t="s">
        <v>1441</v>
      </c>
      <c r="B11267">
        <v>11.6</v>
      </c>
      <c r="C11267" t="s">
        <v>1443</v>
      </c>
      <c r="D11267" t="s">
        <v>60</v>
      </c>
      <c r="E11267" t="s">
        <v>1437</v>
      </c>
      <c r="F11267" t="s">
        <v>7672</v>
      </c>
      <c r="G11267" t="s">
        <v>33322</v>
      </c>
      <c r="H11267" t="s">
        <v>32117</v>
      </c>
      <c r="I11267" t="s">
        <v>1440</v>
      </c>
      <c r="J11267" t="s">
        <v>33324</v>
      </c>
    </row>
    <row r="11268" spans="1:10" x14ac:dyDescent="0.25">
      <c r="A11268" t="s">
        <v>33325</v>
      </c>
      <c r="B11268">
        <v>7.6000000000000014</v>
      </c>
      <c r="C11268" t="s">
        <v>33326</v>
      </c>
      <c r="D11268" t="s">
        <v>164</v>
      </c>
      <c r="E11268" t="s">
        <v>33327</v>
      </c>
      <c r="F11268" t="s">
        <v>7672</v>
      </c>
      <c r="G11268" t="s">
        <v>33328</v>
      </c>
      <c r="H11268" t="s">
        <v>10298</v>
      </c>
      <c r="I11268" t="s">
        <v>17425</v>
      </c>
      <c r="J11268" t="s">
        <v>8980</v>
      </c>
    </row>
    <row r="11269" spans="1:10" x14ac:dyDescent="0.25">
      <c r="A11269" t="s">
        <v>33329</v>
      </c>
      <c r="B11269">
        <v>7.6000000000000014</v>
      </c>
      <c r="C11269" t="s">
        <v>33330</v>
      </c>
      <c r="D11269" t="s">
        <v>234</v>
      </c>
      <c r="E11269" t="s">
        <v>33327</v>
      </c>
      <c r="F11269" t="s">
        <v>7672</v>
      </c>
      <c r="G11269" t="s">
        <v>33328</v>
      </c>
      <c r="H11269" t="s">
        <v>10298</v>
      </c>
      <c r="I11269" t="s">
        <v>33331</v>
      </c>
      <c r="J11269" t="s">
        <v>8980</v>
      </c>
    </row>
    <row r="11270" spans="1:10" x14ac:dyDescent="0.25">
      <c r="A11270" t="s">
        <v>33332</v>
      </c>
      <c r="B11270">
        <v>7.6000000000000014</v>
      </c>
      <c r="C11270" t="s">
        <v>33333</v>
      </c>
      <c r="D11270" t="s">
        <v>926</v>
      </c>
      <c r="E11270" t="s">
        <v>33327</v>
      </c>
      <c r="F11270" t="s">
        <v>7672</v>
      </c>
      <c r="G11270" t="s">
        <v>33328</v>
      </c>
      <c r="H11270" t="s">
        <v>10298</v>
      </c>
      <c r="I11270" t="s">
        <v>33331</v>
      </c>
      <c r="J11270" t="s">
        <v>53</v>
      </c>
    </row>
    <row r="11271" spans="1:10" x14ac:dyDescent="0.25">
      <c r="A11271" t="s">
        <v>33334</v>
      </c>
      <c r="B11271">
        <v>7.6000000000000014</v>
      </c>
      <c r="C11271" t="s">
        <v>33335</v>
      </c>
      <c r="D11271" t="s">
        <v>875</v>
      </c>
      <c r="E11271" t="s">
        <v>33327</v>
      </c>
      <c r="F11271" t="s">
        <v>7672</v>
      </c>
      <c r="G11271" t="s">
        <v>33328</v>
      </c>
      <c r="H11271" t="s">
        <v>10298</v>
      </c>
      <c r="I11271" t="s">
        <v>17425</v>
      </c>
      <c r="J11271" t="s">
        <v>53</v>
      </c>
    </row>
    <row r="11272" spans="1:10" x14ac:dyDescent="0.25">
      <c r="A11272" t="s">
        <v>33336</v>
      </c>
      <c r="B11272">
        <v>7.6000000000000014</v>
      </c>
      <c r="C11272" t="s">
        <v>33337</v>
      </c>
      <c r="D11272" t="s">
        <v>908</v>
      </c>
      <c r="E11272" t="s">
        <v>33327</v>
      </c>
      <c r="F11272" t="s">
        <v>7672</v>
      </c>
      <c r="G11272" t="s">
        <v>33328</v>
      </c>
      <c r="H11272" t="s">
        <v>10298</v>
      </c>
      <c r="I11272" t="s">
        <v>33331</v>
      </c>
      <c r="J11272" t="s">
        <v>342</v>
      </c>
    </row>
    <row r="11273" spans="1:10" x14ac:dyDescent="0.25">
      <c r="A11273" t="s">
        <v>33338</v>
      </c>
      <c r="B11273">
        <v>7.6000000000000014</v>
      </c>
      <c r="C11273" t="s">
        <v>33339</v>
      </c>
      <c r="D11273" t="s">
        <v>229</v>
      </c>
      <c r="E11273" t="s">
        <v>33327</v>
      </c>
      <c r="F11273" t="s">
        <v>7672</v>
      </c>
      <c r="G11273" t="s">
        <v>33328</v>
      </c>
      <c r="H11273" t="s">
        <v>10298</v>
      </c>
      <c r="I11273" t="s">
        <v>17425</v>
      </c>
      <c r="J11273" t="s">
        <v>342</v>
      </c>
    </row>
    <row r="11274" spans="1:10" x14ac:dyDescent="0.25">
      <c r="A11274" t="s">
        <v>33340</v>
      </c>
      <c r="B11274">
        <v>7.6000000000000014</v>
      </c>
      <c r="C11274" t="s">
        <v>33341</v>
      </c>
      <c r="D11274" t="s">
        <v>3110</v>
      </c>
      <c r="E11274" t="s">
        <v>33327</v>
      </c>
      <c r="F11274" t="s">
        <v>7672</v>
      </c>
      <c r="G11274" t="s">
        <v>33328</v>
      </c>
      <c r="H11274" t="s">
        <v>10298</v>
      </c>
      <c r="I11274" t="s">
        <v>33331</v>
      </c>
      <c r="J11274" t="s">
        <v>106</v>
      </c>
    </row>
    <row r="11275" spans="1:10" x14ac:dyDescent="0.25">
      <c r="A11275" t="s">
        <v>33342</v>
      </c>
      <c r="B11275">
        <v>7.6000000000000014</v>
      </c>
      <c r="C11275" t="s">
        <v>33343</v>
      </c>
      <c r="D11275" t="s">
        <v>1621</v>
      </c>
      <c r="E11275" t="s">
        <v>33327</v>
      </c>
      <c r="F11275" t="s">
        <v>7672</v>
      </c>
      <c r="G11275" t="s">
        <v>33328</v>
      </c>
      <c r="H11275" t="s">
        <v>10298</v>
      </c>
      <c r="I11275" t="s">
        <v>17425</v>
      </c>
      <c r="J11275" t="s">
        <v>106</v>
      </c>
    </row>
    <row r="11276" spans="1:10" x14ac:dyDescent="0.25">
      <c r="A11276" t="s">
        <v>33344</v>
      </c>
      <c r="B11276">
        <v>7.6000000000000014</v>
      </c>
      <c r="C11276" t="s">
        <v>33345</v>
      </c>
      <c r="D11276" t="s">
        <v>2078</v>
      </c>
      <c r="E11276" t="s">
        <v>33327</v>
      </c>
      <c r="F11276" t="s">
        <v>7672</v>
      </c>
      <c r="G11276" t="s">
        <v>33328</v>
      </c>
      <c r="H11276" t="s">
        <v>10298</v>
      </c>
      <c r="I11276" t="s">
        <v>33331</v>
      </c>
      <c r="J11276" t="s">
        <v>131</v>
      </c>
    </row>
    <row r="11277" spans="1:10" x14ac:dyDescent="0.25">
      <c r="A11277" t="s">
        <v>33346</v>
      </c>
      <c r="B11277">
        <v>7.6000000000000014</v>
      </c>
      <c r="C11277" t="s">
        <v>33347</v>
      </c>
      <c r="D11277" t="s">
        <v>124</v>
      </c>
      <c r="E11277" t="s">
        <v>33327</v>
      </c>
      <c r="F11277" t="s">
        <v>7672</v>
      </c>
      <c r="G11277" t="s">
        <v>33328</v>
      </c>
      <c r="H11277" t="s">
        <v>10298</v>
      </c>
      <c r="I11277" t="s">
        <v>17425</v>
      </c>
      <c r="J11277" t="s">
        <v>131</v>
      </c>
    </row>
    <row r="11278" spans="1:10" x14ac:dyDescent="0.25">
      <c r="A11278" t="s">
        <v>33348</v>
      </c>
      <c r="B11278">
        <v>7.6000000000000014</v>
      </c>
      <c r="C11278" t="s">
        <v>33349</v>
      </c>
      <c r="D11278" t="s">
        <v>3110</v>
      </c>
      <c r="E11278" t="s">
        <v>33327</v>
      </c>
      <c r="F11278" t="s">
        <v>7672</v>
      </c>
      <c r="G11278" t="s">
        <v>33328</v>
      </c>
      <c r="H11278" t="s">
        <v>10298</v>
      </c>
      <c r="I11278" t="s">
        <v>33331</v>
      </c>
      <c r="J11278" t="s">
        <v>576</v>
      </c>
    </row>
    <row r="11279" spans="1:10" x14ac:dyDescent="0.25">
      <c r="A11279" t="s">
        <v>33350</v>
      </c>
      <c r="B11279">
        <v>7.6000000000000014</v>
      </c>
      <c r="C11279" t="s">
        <v>33351</v>
      </c>
      <c r="D11279" t="s">
        <v>245</v>
      </c>
      <c r="E11279" t="s">
        <v>33327</v>
      </c>
      <c r="F11279" t="s">
        <v>7672</v>
      </c>
      <c r="G11279" t="s">
        <v>33328</v>
      </c>
      <c r="H11279" t="s">
        <v>10298</v>
      </c>
      <c r="I11279" t="s">
        <v>17425</v>
      </c>
      <c r="J11279" t="s">
        <v>576</v>
      </c>
    </row>
    <row r="11280" spans="1:10" x14ac:dyDescent="0.25">
      <c r="A11280" t="s">
        <v>33352</v>
      </c>
      <c r="B11280">
        <v>7.6000000000000014</v>
      </c>
      <c r="C11280" t="s">
        <v>33353</v>
      </c>
      <c r="D11280" t="s">
        <v>1512</v>
      </c>
      <c r="E11280" t="s">
        <v>33327</v>
      </c>
      <c r="F11280" t="s">
        <v>7672</v>
      </c>
      <c r="G11280" t="s">
        <v>33328</v>
      </c>
      <c r="H11280" t="s">
        <v>10298</v>
      </c>
      <c r="I11280" t="s">
        <v>33331</v>
      </c>
      <c r="J11280" t="s">
        <v>282</v>
      </c>
    </row>
    <row r="11281" spans="1:10" x14ac:dyDescent="0.25">
      <c r="A11281" t="s">
        <v>33354</v>
      </c>
      <c r="B11281">
        <v>7.6000000000000014</v>
      </c>
      <c r="C11281" t="s">
        <v>33355</v>
      </c>
      <c r="D11281" t="s">
        <v>124</v>
      </c>
      <c r="E11281" t="s">
        <v>33327</v>
      </c>
      <c r="F11281" t="s">
        <v>7672</v>
      </c>
      <c r="G11281" t="s">
        <v>33328</v>
      </c>
      <c r="H11281" t="s">
        <v>10298</v>
      </c>
      <c r="I11281" t="s">
        <v>17425</v>
      </c>
      <c r="J11281" t="s">
        <v>282</v>
      </c>
    </row>
    <row r="11282" spans="1:10" x14ac:dyDescent="0.25">
      <c r="A11282" t="s">
        <v>33356</v>
      </c>
      <c r="B11282">
        <v>7.6000000000000014</v>
      </c>
      <c r="C11282" t="s">
        <v>33357</v>
      </c>
      <c r="D11282" t="s">
        <v>2036</v>
      </c>
      <c r="E11282" t="s">
        <v>33327</v>
      </c>
      <c r="F11282" t="s">
        <v>7672</v>
      </c>
      <c r="G11282" t="s">
        <v>33328</v>
      </c>
      <c r="H11282" t="s">
        <v>10298</v>
      </c>
      <c r="I11282" t="s">
        <v>33331</v>
      </c>
      <c r="J11282" t="s">
        <v>436</v>
      </c>
    </row>
    <row r="11283" spans="1:10" x14ac:dyDescent="0.25">
      <c r="A11283" t="s">
        <v>33358</v>
      </c>
      <c r="B11283">
        <v>7.6000000000000014</v>
      </c>
      <c r="C11283" t="s">
        <v>33359</v>
      </c>
      <c r="D11283" t="s">
        <v>582</v>
      </c>
      <c r="E11283" t="s">
        <v>33327</v>
      </c>
      <c r="F11283" t="s">
        <v>7672</v>
      </c>
      <c r="G11283" t="s">
        <v>33328</v>
      </c>
      <c r="H11283" t="s">
        <v>10298</v>
      </c>
      <c r="I11283" t="s">
        <v>17425</v>
      </c>
      <c r="J11283" t="s">
        <v>436</v>
      </c>
    </row>
    <row r="11284" spans="1:10" x14ac:dyDescent="0.25">
      <c r="A11284" t="s">
        <v>33360</v>
      </c>
      <c r="B11284">
        <v>7.6000000000000014</v>
      </c>
      <c r="C11284" t="s">
        <v>33361</v>
      </c>
      <c r="D11284" t="s">
        <v>613</v>
      </c>
      <c r="E11284" t="s">
        <v>33327</v>
      </c>
      <c r="F11284" t="s">
        <v>7672</v>
      </c>
      <c r="G11284" t="s">
        <v>33328</v>
      </c>
      <c r="H11284" t="s">
        <v>10298</v>
      </c>
      <c r="I11284" t="s">
        <v>17425</v>
      </c>
      <c r="J11284" t="s">
        <v>330</v>
      </c>
    </row>
    <row r="11285" spans="1:10" x14ac:dyDescent="0.25">
      <c r="A11285" t="s">
        <v>33362</v>
      </c>
      <c r="B11285">
        <v>7.6000000000000014</v>
      </c>
      <c r="C11285" t="s">
        <v>33363</v>
      </c>
      <c r="D11285" t="s">
        <v>1811</v>
      </c>
      <c r="E11285" t="s">
        <v>33327</v>
      </c>
      <c r="F11285" t="s">
        <v>7672</v>
      </c>
      <c r="G11285" t="s">
        <v>33328</v>
      </c>
      <c r="H11285" t="s">
        <v>10298</v>
      </c>
      <c r="I11285" t="s">
        <v>33331</v>
      </c>
      <c r="J11285" t="s">
        <v>330</v>
      </c>
    </row>
    <row r="11286" spans="1:10" x14ac:dyDescent="0.25">
      <c r="A11286" t="s">
        <v>33364</v>
      </c>
      <c r="B11286">
        <v>7.6000000000000014</v>
      </c>
      <c r="C11286" t="s">
        <v>33365</v>
      </c>
      <c r="D11286" t="s">
        <v>366</v>
      </c>
      <c r="E11286" t="s">
        <v>33327</v>
      </c>
      <c r="F11286" t="s">
        <v>7672</v>
      </c>
      <c r="G11286" t="s">
        <v>33328</v>
      </c>
      <c r="H11286" t="s">
        <v>10298</v>
      </c>
      <c r="I11286" t="s">
        <v>17425</v>
      </c>
      <c r="J11286" t="s">
        <v>352</v>
      </c>
    </row>
    <row r="11287" spans="1:10" x14ac:dyDescent="0.25">
      <c r="A11287" t="s">
        <v>33366</v>
      </c>
      <c r="B11287">
        <v>7.6000000000000014</v>
      </c>
      <c r="C11287" t="s">
        <v>33367</v>
      </c>
      <c r="D11287" t="s">
        <v>245</v>
      </c>
      <c r="E11287" t="s">
        <v>33327</v>
      </c>
      <c r="F11287" t="s">
        <v>7672</v>
      </c>
      <c r="G11287" t="s">
        <v>33328</v>
      </c>
      <c r="H11287" t="s">
        <v>10298</v>
      </c>
      <c r="I11287" t="s">
        <v>33331</v>
      </c>
      <c r="J11287" t="s">
        <v>352</v>
      </c>
    </row>
    <row r="11288" spans="1:10" x14ac:dyDescent="0.25">
      <c r="A11288" t="s">
        <v>33368</v>
      </c>
      <c r="B11288">
        <v>4.4960000000000004</v>
      </c>
      <c r="C11288" t="s">
        <v>33369</v>
      </c>
      <c r="D11288" t="s">
        <v>9503</v>
      </c>
      <c r="E11288" t="s">
        <v>33370</v>
      </c>
      <c r="F11288" t="s">
        <v>7672</v>
      </c>
      <c r="G11288" t="s">
        <v>33371</v>
      </c>
      <c r="H11288" t="s">
        <v>31775</v>
      </c>
      <c r="I11288" t="s">
        <v>145</v>
      </c>
      <c r="J11288" t="s">
        <v>9694</v>
      </c>
    </row>
    <row r="11289" spans="1:10" x14ac:dyDescent="0.25">
      <c r="A11289" t="s">
        <v>33372</v>
      </c>
      <c r="B11289">
        <v>11</v>
      </c>
      <c r="C11289" t="s">
        <v>33373</v>
      </c>
      <c r="D11289" t="s">
        <v>301</v>
      </c>
      <c r="E11289" t="s">
        <v>33374</v>
      </c>
      <c r="F11289" t="s">
        <v>7672</v>
      </c>
      <c r="G11289" t="s">
        <v>33375</v>
      </c>
      <c r="H11289" t="s">
        <v>18241</v>
      </c>
      <c r="I11289" t="s">
        <v>145</v>
      </c>
      <c r="J11289" t="s">
        <v>282</v>
      </c>
    </row>
    <row r="11290" spans="1:10" x14ac:dyDescent="0.25">
      <c r="A11290" t="s">
        <v>33376</v>
      </c>
      <c r="B11290">
        <v>11</v>
      </c>
      <c r="C11290" t="s">
        <v>33377</v>
      </c>
      <c r="D11290" t="s">
        <v>2787</v>
      </c>
      <c r="E11290" t="s">
        <v>33374</v>
      </c>
      <c r="F11290" t="s">
        <v>7672</v>
      </c>
      <c r="G11290" t="s">
        <v>33375</v>
      </c>
      <c r="H11290" t="s">
        <v>18241</v>
      </c>
      <c r="I11290" t="s">
        <v>145</v>
      </c>
      <c r="J11290" t="s">
        <v>277</v>
      </c>
    </row>
    <row r="11291" spans="1:10" x14ac:dyDescent="0.25">
      <c r="A11291" t="s">
        <v>33378</v>
      </c>
      <c r="B11291">
        <v>11</v>
      </c>
      <c r="C11291" t="s">
        <v>33379</v>
      </c>
      <c r="D11291" t="s">
        <v>234</v>
      </c>
      <c r="E11291" t="s">
        <v>33374</v>
      </c>
      <c r="F11291" t="s">
        <v>7672</v>
      </c>
      <c r="G11291" t="s">
        <v>33375</v>
      </c>
      <c r="H11291" t="s">
        <v>18241</v>
      </c>
      <c r="I11291" t="s">
        <v>145</v>
      </c>
      <c r="J11291" t="s">
        <v>436</v>
      </c>
    </row>
    <row r="11292" spans="1:10" x14ac:dyDescent="0.25">
      <c r="A11292" t="s">
        <v>33380</v>
      </c>
      <c r="B11292">
        <v>11</v>
      </c>
      <c r="C11292" t="s">
        <v>33381</v>
      </c>
      <c r="D11292" t="s">
        <v>311</v>
      </c>
      <c r="E11292" t="s">
        <v>33374</v>
      </c>
      <c r="F11292" t="s">
        <v>7672</v>
      </c>
      <c r="G11292" t="s">
        <v>33375</v>
      </c>
      <c r="H11292" t="s">
        <v>18241</v>
      </c>
      <c r="I11292" t="s">
        <v>145</v>
      </c>
      <c r="J11292" t="s">
        <v>53</v>
      </c>
    </row>
    <row r="11293" spans="1:10" x14ac:dyDescent="0.25">
      <c r="A11293" t="s">
        <v>33382</v>
      </c>
      <c r="B11293">
        <v>11</v>
      </c>
      <c r="C11293" t="s">
        <v>33383</v>
      </c>
      <c r="D11293" t="s">
        <v>436</v>
      </c>
      <c r="E11293" t="s">
        <v>33374</v>
      </c>
      <c r="F11293" t="s">
        <v>7672</v>
      </c>
      <c r="G11293" t="s">
        <v>33375</v>
      </c>
      <c r="H11293" t="s">
        <v>18241</v>
      </c>
      <c r="I11293" t="s">
        <v>145</v>
      </c>
      <c r="J11293" t="s">
        <v>60</v>
      </c>
    </row>
    <row r="11294" spans="1:10" x14ac:dyDescent="0.25">
      <c r="A11294" t="s">
        <v>33384</v>
      </c>
      <c r="B11294">
        <v>4</v>
      </c>
      <c r="C11294" t="s">
        <v>33385</v>
      </c>
      <c r="D11294" t="s">
        <v>975</v>
      </c>
      <c r="E11294" t="s">
        <v>33386</v>
      </c>
      <c r="F11294" t="s">
        <v>7672</v>
      </c>
      <c r="G11294" t="s">
        <v>33387</v>
      </c>
      <c r="H11294" t="s">
        <v>29304</v>
      </c>
      <c r="I11294" t="s">
        <v>33388</v>
      </c>
      <c r="J11294" t="s">
        <v>9694</v>
      </c>
    </row>
    <row r="11295" spans="1:10" x14ac:dyDescent="0.25">
      <c r="A11295" t="s">
        <v>1446</v>
      </c>
      <c r="B11295">
        <v>3.84</v>
      </c>
      <c r="C11295" t="s">
        <v>1448</v>
      </c>
      <c r="D11295" t="s">
        <v>1451</v>
      </c>
      <c r="E11295" t="s">
        <v>1449</v>
      </c>
      <c r="F11295" t="s">
        <v>7672</v>
      </c>
      <c r="G11295" t="s">
        <v>33389</v>
      </c>
      <c r="H11295" t="s">
        <v>11496</v>
      </c>
      <c r="I11295" t="s">
        <v>935</v>
      </c>
      <c r="J11295" t="s">
        <v>11585</v>
      </c>
    </row>
    <row r="11296" spans="1:10" x14ac:dyDescent="0.25">
      <c r="A11296" t="s">
        <v>33390</v>
      </c>
      <c r="B11296">
        <v>5.2</v>
      </c>
      <c r="C11296" t="s">
        <v>33391</v>
      </c>
      <c r="D11296" t="s">
        <v>964</v>
      </c>
      <c r="E11296" t="s">
        <v>33392</v>
      </c>
      <c r="F11296" t="s">
        <v>7672</v>
      </c>
      <c r="G11296" t="s">
        <v>33393</v>
      </c>
      <c r="H11296" t="s">
        <v>11496</v>
      </c>
      <c r="I11296" t="s">
        <v>935</v>
      </c>
      <c r="J11296" t="s">
        <v>9423</v>
      </c>
    </row>
    <row r="11297" spans="1:10" x14ac:dyDescent="0.25">
      <c r="A11297" t="s">
        <v>33394</v>
      </c>
      <c r="B11297">
        <v>3.64</v>
      </c>
      <c r="C11297" t="s">
        <v>33395</v>
      </c>
      <c r="D11297" t="s">
        <v>88</v>
      </c>
      <c r="E11297" t="s">
        <v>33396</v>
      </c>
      <c r="F11297" t="s">
        <v>7672</v>
      </c>
      <c r="G11297" t="s">
        <v>33397</v>
      </c>
      <c r="H11297" t="s">
        <v>10298</v>
      </c>
      <c r="I11297" t="s">
        <v>30200</v>
      </c>
      <c r="J11297" t="s">
        <v>8427</v>
      </c>
    </row>
    <row r="11298" spans="1:10" x14ac:dyDescent="0.25">
      <c r="A11298" t="s">
        <v>33398</v>
      </c>
      <c r="B11298">
        <v>3.64</v>
      </c>
      <c r="C11298" t="s">
        <v>33399</v>
      </c>
      <c r="D11298" t="s">
        <v>671</v>
      </c>
      <c r="E11298" t="s">
        <v>33396</v>
      </c>
      <c r="F11298" t="s">
        <v>7672</v>
      </c>
      <c r="G11298" t="s">
        <v>33397</v>
      </c>
      <c r="H11298" t="s">
        <v>10298</v>
      </c>
      <c r="I11298" t="s">
        <v>33400</v>
      </c>
      <c r="J11298" t="s">
        <v>8439</v>
      </c>
    </row>
    <row r="11299" spans="1:10" x14ac:dyDescent="0.25">
      <c r="A11299" t="s">
        <v>33401</v>
      </c>
      <c r="B11299">
        <v>3.64</v>
      </c>
      <c r="C11299" t="s">
        <v>33402</v>
      </c>
      <c r="D11299" t="s">
        <v>870</v>
      </c>
      <c r="E11299" t="s">
        <v>33396</v>
      </c>
      <c r="F11299" t="s">
        <v>7672</v>
      </c>
      <c r="G11299" t="s">
        <v>33397</v>
      </c>
      <c r="H11299" t="s">
        <v>10298</v>
      </c>
      <c r="I11299" t="s">
        <v>33403</v>
      </c>
      <c r="J11299" t="s">
        <v>8439</v>
      </c>
    </row>
    <row r="11300" spans="1:10" x14ac:dyDescent="0.25">
      <c r="A11300" t="s">
        <v>33404</v>
      </c>
      <c r="B11300">
        <v>3.64</v>
      </c>
      <c r="C11300" t="s">
        <v>33405</v>
      </c>
      <c r="D11300" t="s">
        <v>981</v>
      </c>
      <c r="E11300" t="s">
        <v>33396</v>
      </c>
      <c r="F11300" t="s">
        <v>7672</v>
      </c>
      <c r="G11300" t="s">
        <v>33397</v>
      </c>
      <c r="H11300" t="s">
        <v>10298</v>
      </c>
      <c r="I11300" t="s">
        <v>33406</v>
      </c>
      <c r="J11300" t="s">
        <v>8439</v>
      </c>
    </row>
    <row r="11301" spans="1:10" x14ac:dyDescent="0.25">
      <c r="A11301" t="s">
        <v>33407</v>
      </c>
      <c r="B11301">
        <v>3.64</v>
      </c>
      <c r="C11301" t="s">
        <v>33408</v>
      </c>
      <c r="D11301" t="s">
        <v>1536</v>
      </c>
      <c r="E11301" t="s">
        <v>33396</v>
      </c>
      <c r="F11301" t="s">
        <v>7672</v>
      </c>
      <c r="G11301" t="s">
        <v>33397</v>
      </c>
      <c r="H11301" t="s">
        <v>10298</v>
      </c>
      <c r="I11301" t="s">
        <v>30200</v>
      </c>
      <c r="J11301" t="s">
        <v>8439</v>
      </c>
    </row>
    <row r="11302" spans="1:10" x14ac:dyDescent="0.25">
      <c r="A11302" t="s">
        <v>33409</v>
      </c>
      <c r="B11302">
        <v>3.64</v>
      </c>
      <c r="C11302" t="s">
        <v>33410</v>
      </c>
      <c r="D11302" t="s">
        <v>245</v>
      </c>
      <c r="E11302" t="s">
        <v>33396</v>
      </c>
      <c r="F11302" t="s">
        <v>7672</v>
      </c>
      <c r="G11302" t="s">
        <v>33397</v>
      </c>
      <c r="H11302" t="s">
        <v>10298</v>
      </c>
      <c r="I11302" t="s">
        <v>33411</v>
      </c>
      <c r="J11302" t="s">
        <v>8439</v>
      </c>
    </row>
    <row r="11303" spans="1:10" x14ac:dyDescent="0.25">
      <c r="A11303" t="s">
        <v>33412</v>
      </c>
      <c r="B11303">
        <v>3.64</v>
      </c>
      <c r="C11303" t="s">
        <v>33413</v>
      </c>
      <c r="D11303" t="s">
        <v>698</v>
      </c>
      <c r="E11303" t="s">
        <v>33396</v>
      </c>
      <c r="F11303" t="s">
        <v>7672</v>
      </c>
      <c r="G11303" t="s">
        <v>33397</v>
      </c>
      <c r="H11303" t="s">
        <v>10298</v>
      </c>
      <c r="I11303" t="s">
        <v>33403</v>
      </c>
      <c r="J11303" t="s">
        <v>8451</v>
      </c>
    </row>
    <row r="11304" spans="1:10" x14ac:dyDescent="0.25">
      <c r="A11304" t="s">
        <v>33414</v>
      </c>
      <c r="B11304">
        <v>3.64</v>
      </c>
      <c r="C11304" t="s">
        <v>33415</v>
      </c>
      <c r="D11304" t="s">
        <v>366</v>
      </c>
      <c r="E11304" t="s">
        <v>33396</v>
      </c>
      <c r="F11304" t="s">
        <v>7672</v>
      </c>
      <c r="G11304" t="s">
        <v>33397</v>
      </c>
      <c r="H11304" t="s">
        <v>10298</v>
      </c>
      <c r="I11304" t="s">
        <v>33411</v>
      </c>
      <c r="J11304" t="s">
        <v>8451</v>
      </c>
    </row>
    <row r="11305" spans="1:10" x14ac:dyDescent="0.25">
      <c r="A11305" t="s">
        <v>33416</v>
      </c>
      <c r="B11305">
        <v>3.64</v>
      </c>
      <c r="C11305" t="s">
        <v>33417</v>
      </c>
      <c r="D11305" t="s">
        <v>4270</v>
      </c>
      <c r="E11305" t="s">
        <v>33396</v>
      </c>
      <c r="F11305" t="s">
        <v>7672</v>
      </c>
      <c r="G11305" t="s">
        <v>33397</v>
      </c>
      <c r="H11305" t="s">
        <v>10298</v>
      </c>
      <c r="I11305" t="s">
        <v>30200</v>
      </c>
      <c r="J11305" t="s">
        <v>8451</v>
      </c>
    </row>
    <row r="11306" spans="1:10" x14ac:dyDescent="0.25">
      <c r="A11306" t="s">
        <v>33418</v>
      </c>
      <c r="B11306">
        <v>3.64</v>
      </c>
      <c r="C11306" t="s">
        <v>33419</v>
      </c>
      <c r="D11306" t="s">
        <v>245</v>
      </c>
      <c r="E11306" t="s">
        <v>33396</v>
      </c>
      <c r="F11306" t="s">
        <v>7672</v>
      </c>
      <c r="G11306" t="s">
        <v>33397</v>
      </c>
      <c r="H11306" t="s">
        <v>10298</v>
      </c>
      <c r="I11306" t="s">
        <v>33406</v>
      </c>
      <c r="J11306" t="s">
        <v>8451</v>
      </c>
    </row>
    <row r="11307" spans="1:10" x14ac:dyDescent="0.25">
      <c r="A11307" t="s">
        <v>33420</v>
      </c>
      <c r="B11307">
        <v>5.2</v>
      </c>
      <c r="C11307" t="s">
        <v>33421</v>
      </c>
      <c r="D11307" t="s">
        <v>1621</v>
      </c>
      <c r="E11307" t="s">
        <v>33422</v>
      </c>
      <c r="F11307" t="s">
        <v>7672</v>
      </c>
      <c r="G11307" t="s">
        <v>33423</v>
      </c>
      <c r="H11307" t="s">
        <v>11496</v>
      </c>
      <c r="I11307" t="s">
        <v>2496</v>
      </c>
      <c r="J11307" t="s">
        <v>9423</v>
      </c>
    </row>
    <row r="11308" spans="1:10" x14ac:dyDescent="0.25">
      <c r="A11308" t="s">
        <v>33424</v>
      </c>
      <c r="B11308">
        <v>5.2</v>
      </c>
      <c r="C11308" t="s">
        <v>33425</v>
      </c>
      <c r="D11308" t="s">
        <v>3378</v>
      </c>
      <c r="E11308" t="s">
        <v>33422</v>
      </c>
      <c r="F11308" t="s">
        <v>7672</v>
      </c>
      <c r="G11308" t="s">
        <v>33423</v>
      </c>
      <c r="H11308" t="s">
        <v>11496</v>
      </c>
      <c r="I11308" t="s">
        <v>2496</v>
      </c>
      <c r="J11308" t="s">
        <v>9426</v>
      </c>
    </row>
    <row r="11309" spans="1:10" x14ac:dyDescent="0.25">
      <c r="A11309" t="s">
        <v>33426</v>
      </c>
      <c r="B11309">
        <v>5.2</v>
      </c>
      <c r="C11309" t="s">
        <v>33427</v>
      </c>
      <c r="D11309" t="s">
        <v>269</v>
      </c>
      <c r="E11309" t="s">
        <v>33422</v>
      </c>
      <c r="F11309" t="s">
        <v>7672</v>
      </c>
      <c r="G11309" t="s">
        <v>33423</v>
      </c>
      <c r="H11309" t="s">
        <v>11496</v>
      </c>
      <c r="I11309" t="s">
        <v>2496</v>
      </c>
      <c r="J11309" t="s">
        <v>10862</v>
      </c>
    </row>
    <row r="11310" spans="1:10" x14ac:dyDescent="0.25">
      <c r="A11310" t="s">
        <v>33428</v>
      </c>
      <c r="B11310">
        <v>5.2</v>
      </c>
      <c r="C11310" t="s">
        <v>33429</v>
      </c>
      <c r="D11310" t="s">
        <v>835</v>
      </c>
      <c r="E11310" t="s">
        <v>33422</v>
      </c>
      <c r="F11310" t="s">
        <v>7672</v>
      </c>
      <c r="G11310" t="s">
        <v>33423</v>
      </c>
      <c r="H11310" t="s">
        <v>11496</v>
      </c>
      <c r="I11310" t="s">
        <v>2496</v>
      </c>
      <c r="J11310" t="s">
        <v>13084</v>
      </c>
    </row>
    <row r="11311" spans="1:10" x14ac:dyDescent="0.25">
      <c r="A11311" t="s">
        <v>33430</v>
      </c>
      <c r="B11311">
        <v>12.096</v>
      </c>
      <c r="C11311" t="s">
        <v>33431</v>
      </c>
      <c r="D11311" t="s">
        <v>903</v>
      </c>
      <c r="E11311" t="s">
        <v>33432</v>
      </c>
      <c r="F11311" t="s">
        <v>7672</v>
      </c>
      <c r="G11311" t="s">
        <v>33433</v>
      </c>
      <c r="H11311" t="s">
        <v>11622</v>
      </c>
      <c r="I11311" t="s">
        <v>30013</v>
      </c>
      <c r="J11311" t="s">
        <v>7675</v>
      </c>
    </row>
    <row r="11312" spans="1:10" x14ac:dyDescent="0.25">
      <c r="A11312" t="s">
        <v>33434</v>
      </c>
      <c r="B11312">
        <v>12.096</v>
      </c>
      <c r="C11312" t="s">
        <v>33435</v>
      </c>
      <c r="D11312" t="s">
        <v>316</v>
      </c>
      <c r="E11312" t="s">
        <v>33432</v>
      </c>
      <c r="F11312" t="s">
        <v>7672</v>
      </c>
      <c r="G11312" t="s">
        <v>33433</v>
      </c>
      <c r="H11312" t="s">
        <v>11622</v>
      </c>
      <c r="I11312" t="s">
        <v>18483</v>
      </c>
      <c r="J11312" t="s">
        <v>7675</v>
      </c>
    </row>
    <row r="11313" spans="1:10" x14ac:dyDescent="0.25">
      <c r="A11313" t="s">
        <v>33436</v>
      </c>
      <c r="B11313">
        <v>12.096</v>
      </c>
      <c r="C11313" t="s">
        <v>33437</v>
      </c>
      <c r="D11313" t="s">
        <v>2072</v>
      </c>
      <c r="E11313" t="s">
        <v>33432</v>
      </c>
      <c r="F11313" t="s">
        <v>7672</v>
      </c>
      <c r="G11313" t="s">
        <v>33433</v>
      </c>
      <c r="H11313" t="s">
        <v>11622</v>
      </c>
      <c r="I11313" t="s">
        <v>21750</v>
      </c>
      <c r="J11313" t="s">
        <v>7675</v>
      </c>
    </row>
    <row r="11314" spans="1:10" x14ac:dyDescent="0.25">
      <c r="A11314" t="s">
        <v>33438</v>
      </c>
      <c r="B11314">
        <v>12.096</v>
      </c>
      <c r="C11314" t="s">
        <v>33439</v>
      </c>
      <c r="D11314" t="s">
        <v>2036</v>
      </c>
      <c r="E11314" t="s">
        <v>33432</v>
      </c>
      <c r="F11314" t="s">
        <v>7672</v>
      </c>
      <c r="G11314" t="s">
        <v>33433</v>
      </c>
      <c r="H11314" t="s">
        <v>11622</v>
      </c>
      <c r="I11314" t="s">
        <v>30013</v>
      </c>
      <c r="J11314" t="s">
        <v>7686</v>
      </c>
    </row>
    <row r="11315" spans="1:10" x14ac:dyDescent="0.25">
      <c r="A11315" t="s">
        <v>33440</v>
      </c>
      <c r="B11315">
        <v>12.096</v>
      </c>
      <c r="C11315" t="s">
        <v>33441</v>
      </c>
      <c r="D11315" t="s">
        <v>4924</v>
      </c>
      <c r="E11315" t="s">
        <v>33432</v>
      </c>
      <c r="F11315" t="s">
        <v>7672</v>
      </c>
      <c r="G11315" t="s">
        <v>33433</v>
      </c>
      <c r="H11315" t="s">
        <v>11622</v>
      </c>
      <c r="I11315" t="s">
        <v>18483</v>
      </c>
      <c r="J11315" t="s">
        <v>7686</v>
      </c>
    </row>
    <row r="11316" spans="1:10" x14ac:dyDescent="0.25">
      <c r="A11316" t="s">
        <v>33442</v>
      </c>
      <c r="B11316">
        <v>12.096</v>
      </c>
      <c r="C11316" t="s">
        <v>33443</v>
      </c>
      <c r="D11316" t="s">
        <v>2099</v>
      </c>
      <c r="E11316" t="s">
        <v>33432</v>
      </c>
      <c r="F11316" t="s">
        <v>7672</v>
      </c>
      <c r="G11316" t="s">
        <v>33433</v>
      </c>
      <c r="H11316" t="s">
        <v>11622</v>
      </c>
      <c r="I11316" t="s">
        <v>21750</v>
      </c>
      <c r="J11316" t="s">
        <v>7686</v>
      </c>
    </row>
    <row r="11317" spans="1:10" x14ac:dyDescent="0.25">
      <c r="A11317" t="s">
        <v>33444</v>
      </c>
      <c r="B11317">
        <v>12.096</v>
      </c>
      <c r="C11317" t="s">
        <v>33445</v>
      </c>
      <c r="D11317" t="s">
        <v>1573</v>
      </c>
      <c r="E11317" t="s">
        <v>33432</v>
      </c>
      <c r="F11317" t="s">
        <v>7672</v>
      </c>
      <c r="G11317" t="s">
        <v>33433</v>
      </c>
      <c r="H11317" t="s">
        <v>11622</v>
      </c>
      <c r="I11317" t="s">
        <v>18483</v>
      </c>
      <c r="J11317" t="s">
        <v>7703</v>
      </c>
    </row>
    <row r="11318" spans="1:10" x14ac:dyDescent="0.25">
      <c r="A11318" t="s">
        <v>33446</v>
      </c>
      <c r="B11318">
        <v>12.096</v>
      </c>
      <c r="C11318" t="s">
        <v>33447</v>
      </c>
      <c r="D11318" t="s">
        <v>659</v>
      </c>
      <c r="E11318" t="s">
        <v>33432</v>
      </c>
      <c r="F11318" t="s">
        <v>7672</v>
      </c>
      <c r="G11318" t="s">
        <v>33433</v>
      </c>
      <c r="H11318" t="s">
        <v>11622</v>
      </c>
      <c r="I11318" t="s">
        <v>21750</v>
      </c>
      <c r="J11318" t="s">
        <v>7703</v>
      </c>
    </row>
    <row r="11319" spans="1:10" x14ac:dyDescent="0.25">
      <c r="A11319" t="s">
        <v>33448</v>
      </c>
      <c r="B11319">
        <v>12.096</v>
      </c>
      <c r="C11319" t="s">
        <v>33449</v>
      </c>
      <c r="D11319" t="s">
        <v>1573</v>
      </c>
      <c r="E11319" t="s">
        <v>33432</v>
      </c>
      <c r="F11319" t="s">
        <v>7672</v>
      </c>
      <c r="G11319" t="s">
        <v>33433</v>
      </c>
      <c r="H11319" t="s">
        <v>11622</v>
      </c>
      <c r="I11319" t="s">
        <v>30013</v>
      </c>
      <c r="J11319" t="s">
        <v>7703</v>
      </c>
    </row>
    <row r="11320" spans="1:10" x14ac:dyDescent="0.25">
      <c r="A11320" t="s">
        <v>33450</v>
      </c>
      <c r="B11320">
        <v>12.096</v>
      </c>
      <c r="C11320" t="s">
        <v>33451</v>
      </c>
      <c r="D11320" t="s">
        <v>742</v>
      </c>
      <c r="E11320" t="s">
        <v>33432</v>
      </c>
      <c r="F11320" t="s">
        <v>7672</v>
      </c>
      <c r="G11320" t="s">
        <v>33433</v>
      </c>
      <c r="H11320" t="s">
        <v>11622</v>
      </c>
      <c r="I11320" t="s">
        <v>30013</v>
      </c>
      <c r="J11320" t="s">
        <v>7713</v>
      </c>
    </row>
    <row r="11321" spans="1:10" x14ac:dyDescent="0.25">
      <c r="A11321" t="s">
        <v>33452</v>
      </c>
      <c r="B11321">
        <v>12.096</v>
      </c>
      <c r="C11321" t="s">
        <v>33453</v>
      </c>
      <c r="D11321" t="s">
        <v>113</v>
      </c>
      <c r="E11321" t="s">
        <v>33432</v>
      </c>
      <c r="F11321" t="s">
        <v>7672</v>
      </c>
      <c r="G11321" t="s">
        <v>33433</v>
      </c>
      <c r="H11321" t="s">
        <v>11622</v>
      </c>
      <c r="I11321" t="s">
        <v>18483</v>
      </c>
      <c r="J11321" t="s">
        <v>7713</v>
      </c>
    </row>
    <row r="11322" spans="1:10" x14ac:dyDescent="0.25">
      <c r="A11322" t="s">
        <v>33454</v>
      </c>
      <c r="B11322">
        <v>12.096</v>
      </c>
      <c r="C11322" t="s">
        <v>33455</v>
      </c>
      <c r="D11322" t="s">
        <v>199</v>
      </c>
      <c r="E11322" t="s">
        <v>33432</v>
      </c>
      <c r="F11322" t="s">
        <v>7672</v>
      </c>
      <c r="G11322" t="s">
        <v>33433</v>
      </c>
      <c r="H11322" t="s">
        <v>11622</v>
      </c>
      <c r="I11322" t="s">
        <v>21750</v>
      </c>
      <c r="J11322" t="s">
        <v>7713</v>
      </c>
    </row>
    <row r="11323" spans="1:10" x14ac:dyDescent="0.25">
      <c r="A11323" t="s">
        <v>33456</v>
      </c>
      <c r="B11323">
        <v>12.096</v>
      </c>
      <c r="C11323" t="s">
        <v>33457</v>
      </c>
      <c r="D11323" t="s">
        <v>396</v>
      </c>
      <c r="E11323" t="s">
        <v>33432</v>
      </c>
      <c r="F11323" t="s">
        <v>7672</v>
      </c>
      <c r="G11323" t="s">
        <v>33433</v>
      </c>
      <c r="H11323" t="s">
        <v>11622</v>
      </c>
      <c r="I11323" t="s">
        <v>30013</v>
      </c>
      <c r="J11323" t="s">
        <v>7719</v>
      </c>
    </row>
    <row r="11324" spans="1:10" x14ac:dyDescent="0.25">
      <c r="A11324" t="s">
        <v>33458</v>
      </c>
      <c r="B11324">
        <v>12.096</v>
      </c>
      <c r="C11324" t="s">
        <v>33459</v>
      </c>
      <c r="D11324" t="s">
        <v>626</v>
      </c>
      <c r="E11324" t="s">
        <v>33432</v>
      </c>
      <c r="F11324" t="s">
        <v>7672</v>
      </c>
      <c r="G11324" t="s">
        <v>33433</v>
      </c>
      <c r="H11324" t="s">
        <v>11622</v>
      </c>
      <c r="I11324" t="s">
        <v>18483</v>
      </c>
      <c r="J11324" t="s">
        <v>7719</v>
      </c>
    </row>
    <row r="11325" spans="1:10" x14ac:dyDescent="0.25">
      <c r="A11325" t="s">
        <v>33460</v>
      </c>
      <c r="B11325">
        <v>12.096</v>
      </c>
      <c r="C11325" t="s">
        <v>33461</v>
      </c>
      <c r="D11325" t="s">
        <v>4270</v>
      </c>
      <c r="E11325" t="s">
        <v>33432</v>
      </c>
      <c r="F11325" t="s">
        <v>7672</v>
      </c>
      <c r="G11325" t="s">
        <v>33433</v>
      </c>
      <c r="H11325" t="s">
        <v>11622</v>
      </c>
      <c r="I11325" t="s">
        <v>21750</v>
      </c>
      <c r="J11325" t="s">
        <v>7719</v>
      </c>
    </row>
    <row r="11326" spans="1:10" x14ac:dyDescent="0.25">
      <c r="A11326" t="s">
        <v>1454</v>
      </c>
      <c r="B11326">
        <v>6.4</v>
      </c>
      <c r="C11326" t="s">
        <v>1456</v>
      </c>
      <c r="D11326" t="s">
        <v>1459</v>
      </c>
      <c r="E11326" t="s">
        <v>1457</v>
      </c>
      <c r="F11326" t="s">
        <v>7672</v>
      </c>
      <c r="G11326" t="s">
        <v>33462</v>
      </c>
      <c r="H11326" t="s">
        <v>33463</v>
      </c>
      <c r="I11326" t="s">
        <v>30553</v>
      </c>
      <c r="J11326" t="s">
        <v>9694</v>
      </c>
    </row>
    <row r="11327" spans="1:10" x14ac:dyDescent="0.25">
      <c r="A11327" t="s">
        <v>33464</v>
      </c>
      <c r="B11327">
        <v>6.9920000000000009</v>
      </c>
      <c r="C11327" t="s">
        <v>33465</v>
      </c>
      <c r="D11327" t="s">
        <v>330</v>
      </c>
      <c r="E11327" t="s">
        <v>33466</v>
      </c>
      <c r="F11327" t="s">
        <v>7672</v>
      </c>
      <c r="G11327" t="s">
        <v>33467</v>
      </c>
      <c r="H11327" t="s">
        <v>29304</v>
      </c>
      <c r="I11327" t="s">
        <v>278</v>
      </c>
      <c r="J11327" t="s">
        <v>7703</v>
      </c>
    </row>
    <row r="11328" spans="1:10" x14ac:dyDescent="0.25">
      <c r="A11328" t="s">
        <v>33468</v>
      </c>
      <c r="B11328">
        <v>4.16</v>
      </c>
      <c r="C11328" t="s">
        <v>33469</v>
      </c>
      <c r="D11328" t="s">
        <v>131</v>
      </c>
      <c r="E11328" t="s">
        <v>33470</v>
      </c>
      <c r="F11328" t="s">
        <v>7672</v>
      </c>
      <c r="G11328" t="s">
        <v>33471</v>
      </c>
      <c r="H11328" t="s">
        <v>11496</v>
      </c>
      <c r="I11328" t="s">
        <v>33472</v>
      </c>
      <c r="J11328" t="s">
        <v>9694</v>
      </c>
    </row>
    <row r="11329" spans="1:10" x14ac:dyDescent="0.25">
      <c r="A11329" t="s">
        <v>33473</v>
      </c>
      <c r="B11329">
        <v>9</v>
      </c>
      <c r="C11329" t="s">
        <v>33474</v>
      </c>
      <c r="D11329" t="s">
        <v>255</v>
      </c>
      <c r="E11329" t="s">
        <v>33475</v>
      </c>
      <c r="F11329" t="s">
        <v>7672</v>
      </c>
      <c r="G11329" t="s">
        <v>33476</v>
      </c>
      <c r="H11329" t="s">
        <v>11381</v>
      </c>
      <c r="I11329" t="s">
        <v>7399</v>
      </c>
      <c r="J11329" t="s">
        <v>7675</v>
      </c>
    </row>
    <row r="11330" spans="1:10" x14ac:dyDescent="0.25">
      <c r="A11330" t="s">
        <v>33477</v>
      </c>
      <c r="B11330">
        <v>9</v>
      </c>
      <c r="C11330" t="s">
        <v>33478</v>
      </c>
      <c r="D11330" t="s">
        <v>269</v>
      </c>
      <c r="E11330" t="s">
        <v>33475</v>
      </c>
      <c r="F11330" t="s">
        <v>7672</v>
      </c>
      <c r="G11330" t="s">
        <v>33476</v>
      </c>
      <c r="H11330" t="s">
        <v>11381</v>
      </c>
      <c r="I11330" t="s">
        <v>7399</v>
      </c>
      <c r="J11330" t="s">
        <v>7703</v>
      </c>
    </row>
    <row r="11331" spans="1:10" x14ac:dyDescent="0.25">
      <c r="A11331" t="s">
        <v>33479</v>
      </c>
      <c r="B11331">
        <v>72</v>
      </c>
      <c r="C11331" t="s">
        <v>33480</v>
      </c>
      <c r="D11331" t="s">
        <v>12639</v>
      </c>
      <c r="E11331" t="s">
        <v>33481</v>
      </c>
      <c r="F11331" t="s">
        <v>7672</v>
      </c>
      <c r="G11331" t="s">
        <v>33482</v>
      </c>
      <c r="H11331" t="s">
        <v>9693</v>
      </c>
      <c r="I11331" t="s">
        <v>18323</v>
      </c>
      <c r="J11331" t="s">
        <v>9694</v>
      </c>
    </row>
    <row r="11332" spans="1:10" x14ac:dyDescent="0.25">
      <c r="A11332" t="s">
        <v>1461</v>
      </c>
      <c r="C11332" t="s">
        <v>1463</v>
      </c>
      <c r="D11332" t="s">
        <v>1466</v>
      </c>
      <c r="E11332" t="s">
        <v>1464</v>
      </c>
      <c r="F11332" t="s">
        <v>7672</v>
      </c>
      <c r="G11332" t="s">
        <v>33483</v>
      </c>
      <c r="H11332" t="s">
        <v>30552</v>
      </c>
      <c r="I11332" t="s">
        <v>22420</v>
      </c>
      <c r="J11332" t="s">
        <v>9694</v>
      </c>
    </row>
    <row r="11333" spans="1:10" x14ac:dyDescent="0.25">
      <c r="A11333" t="s">
        <v>33484</v>
      </c>
      <c r="B11333">
        <v>9.7920000000000016</v>
      </c>
      <c r="C11333" t="s">
        <v>33485</v>
      </c>
      <c r="D11333" t="s">
        <v>131</v>
      </c>
      <c r="E11333" t="s">
        <v>33486</v>
      </c>
      <c r="F11333" t="s">
        <v>7672</v>
      </c>
      <c r="G11333" t="s">
        <v>33487</v>
      </c>
      <c r="H11333" t="s">
        <v>10298</v>
      </c>
      <c r="I11333" t="s">
        <v>8357</v>
      </c>
      <c r="J11333" t="s">
        <v>7942</v>
      </c>
    </row>
    <row r="11334" spans="1:10" x14ac:dyDescent="0.25">
      <c r="A11334" t="s">
        <v>33488</v>
      </c>
      <c r="B11334">
        <v>2.16</v>
      </c>
      <c r="C11334" t="s">
        <v>33489</v>
      </c>
      <c r="D11334" t="s">
        <v>255</v>
      </c>
      <c r="E11334" t="s">
        <v>33490</v>
      </c>
      <c r="F11334" t="s">
        <v>7672</v>
      </c>
      <c r="G11334" t="s">
        <v>24895</v>
      </c>
      <c r="H11334" t="s">
        <v>16993</v>
      </c>
      <c r="I11334" t="s">
        <v>33491</v>
      </c>
      <c r="J11334" t="s">
        <v>9423</v>
      </c>
    </row>
    <row r="11335" spans="1:10" x14ac:dyDescent="0.25">
      <c r="A11335" t="s">
        <v>33492</v>
      </c>
      <c r="B11335">
        <v>2.16</v>
      </c>
      <c r="C11335" t="s">
        <v>33493</v>
      </c>
      <c r="D11335" t="s">
        <v>269</v>
      </c>
      <c r="E11335" t="s">
        <v>33490</v>
      </c>
      <c r="F11335" t="s">
        <v>7672</v>
      </c>
      <c r="G11335" t="s">
        <v>24895</v>
      </c>
      <c r="H11335" t="s">
        <v>16993</v>
      </c>
      <c r="I11335" t="s">
        <v>33494</v>
      </c>
      <c r="J11335" t="s">
        <v>9423</v>
      </c>
    </row>
    <row r="11336" spans="1:10" x14ac:dyDescent="0.25">
      <c r="A11336" t="s">
        <v>33495</v>
      </c>
      <c r="B11336">
        <v>11.2</v>
      </c>
      <c r="C11336" t="s">
        <v>33496</v>
      </c>
      <c r="D11336" t="s">
        <v>342</v>
      </c>
      <c r="E11336" t="s">
        <v>33497</v>
      </c>
      <c r="F11336" t="s">
        <v>7672</v>
      </c>
      <c r="G11336" t="s">
        <v>33498</v>
      </c>
      <c r="H11336" t="s">
        <v>23005</v>
      </c>
      <c r="I11336" t="s">
        <v>76</v>
      </c>
      <c r="J11336" t="s">
        <v>8427</v>
      </c>
    </row>
    <row r="11337" spans="1:10" x14ac:dyDescent="0.25">
      <c r="A11337" t="s">
        <v>33499</v>
      </c>
      <c r="B11337">
        <v>11.2</v>
      </c>
      <c r="C11337" t="s">
        <v>33500</v>
      </c>
      <c r="D11337" t="s">
        <v>2697</v>
      </c>
      <c r="E11337" t="s">
        <v>33497</v>
      </c>
      <c r="F11337" t="s">
        <v>7672</v>
      </c>
      <c r="G11337" t="s">
        <v>33498</v>
      </c>
      <c r="H11337" t="s">
        <v>23005</v>
      </c>
      <c r="I11337" t="s">
        <v>1243</v>
      </c>
      <c r="J11337" t="s">
        <v>8427</v>
      </c>
    </row>
    <row r="11338" spans="1:10" x14ac:dyDescent="0.25">
      <c r="A11338" t="s">
        <v>33501</v>
      </c>
      <c r="B11338">
        <v>11.2</v>
      </c>
      <c r="C11338" t="s">
        <v>33502</v>
      </c>
      <c r="D11338" t="s">
        <v>106</v>
      </c>
      <c r="E11338" t="s">
        <v>33497</v>
      </c>
      <c r="F11338" t="s">
        <v>7672</v>
      </c>
      <c r="G11338" t="s">
        <v>33498</v>
      </c>
      <c r="H11338" t="s">
        <v>23005</v>
      </c>
      <c r="I11338" t="s">
        <v>76</v>
      </c>
      <c r="J11338" t="s">
        <v>8439</v>
      </c>
    </row>
    <row r="11339" spans="1:10" x14ac:dyDescent="0.25">
      <c r="A11339" t="s">
        <v>33503</v>
      </c>
      <c r="B11339">
        <v>11.2</v>
      </c>
      <c r="C11339" t="s">
        <v>33504</v>
      </c>
      <c r="D11339" t="s">
        <v>131</v>
      </c>
      <c r="E11339" t="s">
        <v>33497</v>
      </c>
      <c r="F11339" t="s">
        <v>7672</v>
      </c>
      <c r="G11339" t="s">
        <v>33498</v>
      </c>
      <c r="H11339" t="s">
        <v>23005</v>
      </c>
      <c r="I11339" t="s">
        <v>1243</v>
      </c>
      <c r="J11339" t="s">
        <v>8439</v>
      </c>
    </row>
    <row r="11340" spans="1:10" x14ac:dyDescent="0.25">
      <c r="A11340" t="s">
        <v>33505</v>
      </c>
      <c r="B11340">
        <v>11.2</v>
      </c>
      <c r="C11340" t="s">
        <v>33506</v>
      </c>
      <c r="D11340" t="s">
        <v>199</v>
      </c>
      <c r="E11340" t="s">
        <v>33497</v>
      </c>
      <c r="F11340" t="s">
        <v>7672</v>
      </c>
      <c r="G11340" t="s">
        <v>33498</v>
      </c>
      <c r="H11340" t="s">
        <v>23005</v>
      </c>
      <c r="I11340" t="s">
        <v>1243</v>
      </c>
      <c r="J11340" t="s">
        <v>8451</v>
      </c>
    </row>
    <row r="11341" spans="1:10" x14ac:dyDescent="0.25">
      <c r="A11341" t="s">
        <v>33507</v>
      </c>
      <c r="B11341">
        <v>11.2</v>
      </c>
      <c r="C11341" t="s">
        <v>33508</v>
      </c>
      <c r="D11341" t="s">
        <v>352</v>
      </c>
      <c r="E11341" t="s">
        <v>33497</v>
      </c>
      <c r="F11341" t="s">
        <v>7672</v>
      </c>
      <c r="G11341" t="s">
        <v>33498</v>
      </c>
      <c r="H11341" t="s">
        <v>23005</v>
      </c>
      <c r="I11341" t="s">
        <v>76</v>
      </c>
      <c r="J11341" t="s">
        <v>8451</v>
      </c>
    </row>
    <row r="11342" spans="1:10" x14ac:dyDescent="0.25">
      <c r="A11342" t="s">
        <v>33509</v>
      </c>
      <c r="B11342">
        <v>4.08</v>
      </c>
      <c r="C11342" t="s">
        <v>33510</v>
      </c>
      <c r="D11342" t="s">
        <v>255</v>
      </c>
      <c r="E11342" t="s">
        <v>33511</v>
      </c>
      <c r="F11342" t="s">
        <v>7672</v>
      </c>
      <c r="G11342" t="s">
        <v>33512</v>
      </c>
      <c r="H11342" t="s">
        <v>10298</v>
      </c>
      <c r="I11342" t="s">
        <v>31703</v>
      </c>
      <c r="J11342" t="s">
        <v>10150</v>
      </c>
    </row>
    <row r="11343" spans="1:10" x14ac:dyDescent="0.25">
      <c r="A11343" t="s">
        <v>33513</v>
      </c>
      <c r="B11343">
        <v>4.08</v>
      </c>
      <c r="C11343" t="s">
        <v>33514</v>
      </c>
      <c r="D11343" t="s">
        <v>959</v>
      </c>
      <c r="E11343" t="s">
        <v>33511</v>
      </c>
      <c r="F11343" t="s">
        <v>7672</v>
      </c>
      <c r="G11343" t="s">
        <v>33512</v>
      </c>
      <c r="H11343" t="s">
        <v>10298</v>
      </c>
      <c r="I11343" t="s">
        <v>6036</v>
      </c>
      <c r="J11343" t="s">
        <v>10150</v>
      </c>
    </row>
    <row r="11344" spans="1:10" x14ac:dyDescent="0.25">
      <c r="A11344" t="s">
        <v>33515</v>
      </c>
      <c r="B11344">
        <v>8.16</v>
      </c>
      <c r="C11344" t="s">
        <v>33516</v>
      </c>
      <c r="D11344" t="s">
        <v>106</v>
      </c>
      <c r="E11344" t="s">
        <v>33511</v>
      </c>
      <c r="F11344" t="s">
        <v>7672</v>
      </c>
      <c r="G11344" t="s">
        <v>33512</v>
      </c>
      <c r="H11344" t="s">
        <v>10298</v>
      </c>
      <c r="I11344" t="s">
        <v>6036</v>
      </c>
      <c r="J11344" t="s">
        <v>15238</v>
      </c>
    </row>
    <row r="11345" spans="1:10" x14ac:dyDescent="0.25">
      <c r="A11345" t="s">
        <v>33517</v>
      </c>
      <c r="B11345">
        <v>8.16</v>
      </c>
      <c r="C11345" t="s">
        <v>33518</v>
      </c>
      <c r="D11345" t="s">
        <v>60</v>
      </c>
      <c r="E11345" t="s">
        <v>33511</v>
      </c>
      <c r="F11345" t="s">
        <v>7672</v>
      </c>
      <c r="G11345" t="s">
        <v>33512</v>
      </c>
      <c r="H11345" t="s">
        <v>10298</v>
      </c>
      <c r="I11345" t="s">
        <v>31703</v>
      </c>
      <c r="J11345" t="s">
        <v>15238</v>
      </c>
    </row>
    <row r="11346" spans="1:10" x14ac:dyDescent="0.25">
      <c r="A11346" t="s">
        <v>33519</v>
      </c>
      <c r="B11346">
        <v>8.16</v>
      </c>
      <c r="C11346" t="s">
        <v>33520</v>
      </c>
      <c r="D11346" t="s">
        <v>330</v>
      </c>
      <c r="E11346" t="s">
        <v>33511</v>
      </c>
      <c r="F11346" t="s">
        <v>7672</v>
      </c>
      <c r="G11346" t="s">
        <v>33512</v>
      </c>
      <c r="H11346" t="s">
        <v>10298</v>
      </c>
      <c r="I11346" t="s">
        <v>31703</v>
      </c>
      <c r="J11346" t="s">
        <v>15070</v>
      </c>
    </row>
    <row r="11347" spans="1:10" x14ac:dyDescent="0.25">
      <c r="A11347" t="s">
        <v>33521</v>
      </c>
      <c r="B11347">
        <v>8.16</v>
      </c>
      <c r="C11347" t="s">
        <v>33522</v>
      </c>
      <c r="D11347" t="s">
        <v>255</v>
      </c>
      <c r="E11347" t="s">
        <v>33511</v>
      </c>
      <c r="F11347" t="s">
        <v>7672</v>
      </c>
      <c r="G11347" t="s">
        <v>33512</v>
      </c>
      <c r="H11347" t="s">
        <v>10298</v>
      </c>
      <c r="I11347" t="s">
        <v>6036</v>
      </c>
      <c r="J11347" t="s">
        <v>15070</v>
      </c>
    </row>
    <row r="11348" spans="1:10" x14ac:dyDescent="0.25">
      <c r="A11348" t="s">
        <v>33523</v>
      </c>
      <c r="B11348">
        <v>8.16</v>
      </c>
      <c r="C11348" t="s">
        <v>33524</v>
      </c>
      <c r="D11348" t="s">
        <v>330</v>
      </c>
      <c r="E11348" t="s">
        <v>33511</v>
      </c>
      <c r="F11348" t="s">
        <v>7672</v>
      </c>
      <c r="G11348" t="s">
        <v>33512</v>
      </c>
      <c r="H11348" t="s">
        <v>10298</v>
      </c>
      <c r="I11348" t="s">
        <v>31703</v>
      </c>
      <c r="J11348" t="s">
        <v>15073</v>
      </c>
    </row>
    <row r="11349" spans="1:10" x14ac:dyDescent="0.25">
      <c r="A11349" t="s">
        <v>33525</v>
      </c>
      <c r="B11349">
        <v>8.16</v>
      </c>
      <c r="C11349" t="s">
        <v>33526</v>
      </c>
      <c r="D11349" t="s">
        <v>164</v>
      </c>
      <c r="E11349" t="s">
        <v>33511</v>
      </c>
      <c r="F11349" t="s">
        <v>7672</v>
      </c>
      <c r="G11349" t="s">
        <v>33512</v>
      </c>
      <c r="H11349" t="s">
        <v>10298</v>
      </c>
      <c r="I11349" t="s">
        <v>6036</v>
      </c>
      <c r="J11349" t="s">
        <v>15073</v>
      </c>
    </row>
    <row r="11350" spans="1:10" x14ac:dyDescent="0.25">
      <c r="A11350" t="s">
        <v>33527</v>
      </c>
      <c r="B11350">
        <v>8.16</v>
      </c>
      <c r="C11350" t="s">
        <v>33528</v>
      </c>
      <c r="D11350" t="s">
        <v>301</v>
      </c>
      <c r="E11350" t="s">
        <v>33511</v>
      </c>
      <c r="F11350" t="s">
        <v>7672</v>
      </c>
      <c r="G11350" t="s">
        <v>33512</v>
      </c>
      <c r="H11350" t="s">
        <v>10298</v>
      </c>
      <c r="I11350" t="s">
        <v>31703</v>
      </c>
      <c r="J11350" t="s">
        <v>15076</v>
      </c>
    </row>
    <row r="11351" spans="1:10" x14ac:dyDescent="0.25">
      <c r="A11351" t="s">
        <v>33529</v>
      </c>
      <c r="B11351">
        <v>8.16</v>
      </c>
      <c r="C11351" t="s">
        <v>33530</v>
      </c>
      <c r="D11351" t="s">
        <v>301</v>
      </c>
      <c r="E11351" t="s">
        <v>33511</v>
      </c>
      <c r="F11351" t="s">
        <v>7672</v>
      </c>
      <c r="G11351" t="s">
        <v>33512</v>
      </c>
      <c r="H11351" t="s">
        <v>10298</v>
      </c>
      <c r="I11351" t="s">
        <v>6036</v>
      </c>
      <c r="J11351" t="s">
        <v>15076</v>
      </c>
    </row>
    <row r="11352" spans="1:10" x14ac:dyDescent="0.25">
      <c r="A11352" t="s">
        <v>33531</v>
      </c>
      <c r="B11352">
        <v>8.16</v>
      </c>
      <c r="C11352" t="s">
        <v>33532</v>
      </c>
      <c r="D11352" t="s">
        <v>352</v>
      </c>
      <c r="E11352" t="s">
        <v>33511</v>
      </c>
      <c r="F11352" t="s">
        <v>7672</v>
      </c>
      <c r="G11352" t="s">
        <v>33512</v>
      </c>
      <c r="H11352" t="s">
        <v>10298</v>
      </c>
      <c r="I11352" t="s">
        <v>31703</v>
      </c>
      <c r="J11352" t="s">
        <v>15079</v>
      </c>
    </row>
    <row r="11353" spans="1:10" x14ac:dyDescent="0.25">
      <c r="A11353" t="s">
        <v>33533</v>
      </c>
      <c r="B11353">
        <v>8.16</v>
      </c>
      <c r="C11353" t="s">
        <v>33534</v>
      </c>
      <c r="D11353" t="s">
        <v>290</v>
      </c>
      <c r="E11353" t="s">
        <v>33511</v>
      </c>
      <c r="F11353" t="s">
        <v>7672</v>
      </c>
      <c r="G11353" t="s">
        <v>33512</v>
      </c>
      <c r="H11353" t="s">
        <v>10298</v>
      </c>
      <c r="I11353" t="s">
        <v>6036</v>
      </c>
      <c r="J11353" t="s">
        <v>15079</v>
      </c>
    </row>
    <row r="11354" spans="1:10" x14ac:dyDescent="0.25">
      <c r="A11354" t="s">
        <v>33535</v>
      </c>
      <c r="B11354">
        <v>8.8000000000000007</v>
      </c>
      <c r="C11354" t="s">
        <v>33536</v>
      </c>
      <c r="D11354" t="s">
        <v>118</v>
      </c>
      <c r="E11354" t="s">
        <v>33537</v>
      </c>
      <c r="F11354" t="s">
        <v>7672</v>
      </c>
      <c r="G11354" t="s">
        <v>33538</v>
      </c>
      <c r="H11354" t="s">
        <v>11496</v>
      </c>
      <c r="I11354" t="s">
        <v>10802</v>
      </c>
      <c r="J11354" t="s">
        <v>100</v>
      </c>
    </row>
    <row r="11355" spans="1:10" x14ac:dyDescent="0.25">
      <c r="A11355" t="s">
        <v>33539</v>
      </c>
      <c r="B11355">
        <v>8.8000000000000007</v>
      </c>
      <c r="C11355" t="s">
        <v>33540</v>
      </c>
      <c r="D11355" t="s">
        <v>2697</v>
      </c>
      <c r="E11355" t="s">
        <v>33537</v>
      </c>
      <c r="F11355" t="s">
        <v>7672</v>
      </c>
      <c r="G11355" t="s">
        <v>33538</v>
      </c>
      <c r="H11355" t="s">
        <v>11496</v>
      </c>
      <c r="I11355" t="s">
        <v>10802</v>
      </c>
      <c r="J11355" t="s">
        <v>277</v>
      </c>
    </row>
    <row r="11356" spans="1:10" x14ac:dyDescent="0.25">
      <c r="A11356" t="s">
        <v>33541</v>
      </c>
      <c r="B11356">
        <v>8.8000000000000007</v>
      </c>
      <c r="C11356" t="s">
        <v>33542</v>
      </c>
      <c r="D11356" t="s">
        <v>436</v>
      </c>
      <c r="E11356" t="s">
        <v>33537</v>
      </c>
      <c r="F11356" t="s">
        <v>7672</v>
      </c>
      <c r="G11356" t="s">
        <v>33538</v>
      </c>
      <c r="H11356" t="s">
        <v>11496</v>
      </c>
      <c r="I11356" t="s">
        <v>10802</v>
      </c>
      <c r="J11356" t="s">
        <v>164</v>
      </c>
    </row>
    <row r="11357" spans="1:10" x14ac:dyDescent="0.25">
      <c r="A11357" t="s">
        <v>33543</v>
      </c>
      <c r="B11357">
        <v>9.1760000000000002</v>
      </c>
      <c r="C11357" t="s">
        <v>33544</v>
      </c>
      <c r="D11357" t="s">
        <v>240</v>
      </c>
      <c r="E11357" t="s">
        <v>33545</v>
      </c>
      <c r="F11357" t="s">
        <v>7672</v>
      </c>
      <c r="G11357" t="s">
        <v>33546</v>
      </c>
      <c r="H11357" t="s">
        <v>16745</v>
      </c>
      <c r="I11357" t="s">
        <v>8577</v>
      </c>
      <c r="J11357" t="s">
        <v>8439</v>
      </c>
    </row>
    <row r="11358" spans="1:10" x14ac:dyDescent="0.25">
      <c r="A11358" t="s">
        <v>33547</v>
      </c>
      <c r="B11358">
        <v>9.1760000000000002</v>
      </c>
      <c r="C11358" t="s">
        <v>33548</v>
      </c>
      <c r="D11358" t="s">
        <v>106</v>
      </c>
      <c r="E11358" t="s">
        <v>33545</v>
      </c>
      <c r="F11358" t="s">
        <v>7672</v>
      </c>
      <c r="G11358" t="s">
        <v>33546</v>
      </c>
      <c r="H11358" t="s">
        <v>16745</v>
      </c>
      <c r="I11358" t="s">
        <v>33256</v>
      </c>
      <c r="J11358" t="s">
        <v>8439</v>
      </c>
    </row>
    <row r="11359" spans="1:10" x14ac:dyDescent="0.25">
      <c r="A11359" t="s">
        <v>33549</v>
      </c>
      <c r="B11359">
        <v>9.1760000000000002</v>
      </c>
      <c r="C11359" t="s">
        <v>33550</v>
      </c>
      <c r="D11359" t="s">
        <v>366</v>
      </c>
      <c r="E11359" t="s">
        <v>33545</v>
      </c>
      <c r="F11359" t="s">
        <v>7672</v>
      </c>
      <c r="G11359" t="s">
        <v>33546</v>
      </c>
      <c r="H11359" t="s">
        <v>16745</v>
      </c>
      <c r="I11359" t="s">
        <v>32379</v>
      </c>
      <c r="J11359" t="s">
        <v>8451</v>
      </c>
    </row>
    <row r="11360" spans="1:10" x14ac:dyDescent="0.25">
      <c r="A11360" t="s">
        <v>33551</v>
      </c>
      <c r="B11360">
        <v>9.1760000000000002</v>
      </c>
      <c r="C11360" t="s">
        <v>33552</v>
      </c>
      <c r="D11360" t="s">
        <v>1822</v>
      </c>
      <c r="E11360" t="s">
        <v>33545</v>
      </c>
      <c r="F11360" t="s">
        <v>7672</v>
      </c>
      <c r="G11360" t="s">
        <v>33546</v>
      </c>
      <c r="H11360" t="s">
        <v>16745</v>
      </c>
      <c r="I11360" t="s">
        <v>8577</v>
      </c>
      <c r="J11360" t="s">
        <v>8451</v>
      </c>
    </row>
    <row r="11361" spans="1:10" x14ac:dyDescent="0.25">
      <c r="A11361" t="s">
        <v>33553</v>
      </c>
      <c r="B11361">
        <v>9.1760000000000002</v>
      </c>
      <c r="C11361" t="s">
        <v>33554</v>
      </c>
      <c r="D11361" t="s">
        <v>959</v>
      </c>
      <c r="E11361" t="s">
        <v>33545</v>
      </c>
      <c r="F11361" t="s">
        <v>7672</v>
      </c>
      <c r="G11361" t="s">
        <v>33546</v>
      </c>
      <c r="H11361" t="s">
        <v>16745</v>
      </c>
      <c r="I11361" t="s">
        <v>33256</v>
      </c>
      <c r="J11361" t="s">
        <v>8451</v>
      </c>
    </row>
    <row r="11362" spans="1:10" x14ac:dyDescent="0.25">
      <c r="A11362" t="s">
        <v>33555</v>
      </c>
      <c r="B11362">
        <v>9.5920000000000005</v>
      </c>
      <c r="C11362" t="s">
        <v>33556</v>
      </c>
      <c r="D11362" t="s">
        <v>67</v>
      </c>
      <c r="E11362" t="s">
        <v>33557</v>
      </c>
      <c r="F11362" t="s">
        <v>7672</v>
      </c>
      <c r="G11362" t="s">
        <v>31865</v>
      </c>
      <c r="H11362" t="s">
        <v>7674</v>
      </c>
      <c r="I11362" t="s">
        <v>9807</v>
      </c>
      <c r="J11362" t="s">
        <v>7981</v>
      </c>
    </row>
    <row r="11363" spans="1:10" x14ac:dyDescent="0.25">
      <c r="A11363" t="s">
        <v>33558</v>
      </c>
      <c r="B11363">
        <v>9.5920000000000005</v>
      </c>
      <c r="C11363" t="s">
        <v>33559</v>
      </c>
      <c r="D11363" t="s">
        <v>6194</v>
      </c>
      <c r="E11363" t="s">
        <v>33557</v>
      </c>
      <c r="F11363" t="s">
        <v>7672</v>
      </c>
      <c r="G11363" t="s">
        <v>31865</v>
      </c>
      <c r="H11363" t="s">
        <v>7674</v>
      </c>
      <c r="I11363" t="s">
        <v>9807</v>
      </c>
      <c r="J11363" t="s">
        <v>7984</v>
      </c>
    </row>
    <row r="11364" spans="1:10" x14ac:dyDescent="0.25">
      <c r="A11364" t="s">
        <v>33560</v>
      </c>
      <c r="B11364">
        <v>9.5920000000000005</v>
      </c>
      <c r="C11364" t="s">
        <v>33561</v>
      </c>
      <c r="D11364" t="s">
        <v>311</v>
      </c>
      <c r="E11364" t="s">
        <v>33557</v>
      </c>
      <c r="F11364" t="s">
        <v>7672</v>
      </c>
      <c r="G11364" t="s">
        <v>31865</v>
      </c>
      <c r="H11364" t="s">
        <v>7674</v>
      </c>
      <c r="I11364" t="s">
        <v>9807</v>
      </c>
      <c r="J11364" t="s">
        <v>7987</v>
      </c>
    </row>
    <row r="11365" spans="1:10" x14ac:dyDescent="0.25">
      <c r="A11365" t="s">
        <v>33562</v>
      </c>
      <c r="B11365">
        <v>14</v>
      </c>
      <c r="C11365" t="s">
        <v>33563</v>
      </c>
      <c r="D11365" t="s">
        <v>436</v>
      </c>
      <c r="E11365" t="s">
        <v>33564</v>
      </c>
      <c r="F11365" t="s">
        <v>7672</v>
      </c>
      <c r="G11365" t="s">
        <v>33565</v>
      </c>
      <c r="H11365" t="s">
        <v>15474</v>
      </c>
      <c r="I11365" t="s">
        <v>4821</v>
      </c>
      <c r="J11365" t="s">
        <v>277</v>
      </c>
    </row>
    <row r="11366" spans="1:10" x14ac:dyDescent="0.25">
      <c r="A11366" t="s">
        <v>33566</v>
      </c>
      <c r="B11366">
        <v>14</v>
      </c>
      <c r="C11366" t="s">
        <v>33567</v>
      </c>
      <c r="D11366" t="s">
        <v>282</v>
      </c>
      <c r="E11366" t="s">
        <v>33564</v>
      </c>
      <c r="F11366" t="s">
        <v>7672</v>
      </c>
      <c r="G11366" t="s">
        <v>33565</v>
      </c>
      <c r="H11366" t="s">
        <v>15474</v>
      </c>
      <c r="I11366" t="s">
        <v>4821</v>
      </c>
      <c r="J11366" t="s">
        <v>15079</v>
      </c>
    </row>
    <row r="11367" spans="1:10" x14ac:dyDescent="0.25">
      <c r="A11367" t="s">
        <v>33568</v>
      </c>
      <c r="B11367">
        <v>6</v>
      </c>
      <c r="C11367" t="s">
        <v>33569</v>
      </c>
      <c r="D11367" t="s">
        <v>100</v>
      </c>
      <c r="E11367" t="s">
        <v>33570</v>
      </c>
      <c r="F11367" t="s">
        <v>7672</v>
      </c>
      <c r="G11367" t="s">
        <v>33571</v>
      </c>
      <c r="H11367" t="s">
        <v>11496</v>
      </c>
      <c r="I11367" t="s">
        <v>33572</v>
      </c>
      <c r="J11367" t="s">
        <v>9426</v>
      </c>
    </row>
    <row r="11368" spans="1:10" x14ac:dyDescent="0.25">
      <c r="A11368" t="s">
        <v>33573</v>
      </c>
      <c r="B11368">
        <v>6</v>
      </c>
      <c r="C11368" t="s">
        <v>33574</v>
      </c>
      <c r="D11368" t="s">
        <v>269</v>
      </c>
      <c r="E11368" t="s">
        <v>33570</v>
      </c>
      <c r="F11368" t="s">
        <v>7672</v>
      </c>
      <c r="G11368" t="s">
        <v>33571</v>
      </c>
      <c r="H11368" t="s">
        <v>11496</v>
      </c>
      <c r="I11368" t="s">
        <v>33572</v>
      </c>
      <c r="J11368" t="s">
        <v>10862</v>
      </c>
    </row>
    <row r="11369" spans="1:10" x14ac:dyDescent="0.25">
      <c r="A11369" t="s">
        <v>1468</v>
      </c>
      <c r="B11369">
        <v>20.847999999999999</v>
      </c>
      <c r="C11369" t="s">
        <v>1470</v>
      </c>
      <c r="D11369" t="s">
        <v>53</v>
      </c>
      <c r="E11369" t="s">
        <v>1471</v>
      </c>
      <c r="F11369" t="s">
        <v>7672</v>
      </c>
      <c r="G11369" t="s">
        <v>33575</v>
      </c>
      <c r="H11369" t="s">
        <v>10970</v>
      </c>
      <c r="I11369" t="s">
        <v>33576</v>
      </c>
      <c r="J11369" t="s">
        <v>17923</v>
      </c>
    </row>
    <row r="11370" spans="1:10" x14ac:dyDescent="0.25">
      <c r="A11370" t="s">
        <v>1475</v>
      </c>
      <c r="B11370">
        <v>20.847999999999999</v>
      </c>
      <c r="C11370" t="s">
        <v>1477</v>
      </c>
      <c r="D11370" t="s">
        <v>342</v>
      </c>
      <c r="E11370" t="s">
        <v>1471</v>
      </c>
      <c r="F11370" t="s">
        <v>7672</v>
      </c>
      <c r="G11370" t="s">
        <v>33575</v>
      </c>
      <c r="H11370" t="s">
        <v>10970</v>
      </c>
      <c r="I11370" t="s">
        <v>33576</v>
      </c>
      <c r="J11370" t="s">
        <v>16679</v>
      </c>
    </row>
    <row r="11371" spans="1:10" x14ac:dyDescent="0.25">
      <c r="A11371" t="s">
        <v>1478</v>
      </c>
      <c r="B11371">
        <v>20.847999999999999</v>
      </c>
      <c r="C11371" t="s">
        <v>1480</v>
      </c>
      <c r="D11371" t="s">
        <v>100</v>
      </c>
      <c r="E11371" t="s">
        <v>1471</v>
      </c>
      <c r="F11371" t="s">
        <v>7672</v>
      </c>
      <c r="G11371" t="s">
        <v>33575</v>
      </c>
      <c r="H11371" t="s">
        <v>10970</v>
      </c>
      <c r="I11371" t="s">
        <v>33576</v>
      </c>
      <c r="J11371" t="s">
        <v>16683</v>
      </c>
    </row>
    <row r="11372" spans="1:10" x14ac:dyDescent="0.25">
      <c r="A11372" t="s">
        <v>33577</v>
      </c>
      <c r="B11372">
        <v>20.847999999999999</v>
      </c>
      <c r="C11372" t="s">
        <v>33578</v>
      </c>
      <c r="D11372" t="s">
        <v>342</v>
      </c>
      <c r="E11372" t="s">
        <v>1471</v>
      </c>
      <c r="F11372" t="s">
        <v>7672</v>
      </c>
      <c r="G11372" t="s">
        <v>33575</v>
      </c>
      <c r="H11372" t="s">
        <v>10970</v>
      </c>
      <c r="I11372" t="s">
        <v>33579</v>
      </c>
      <c r="J11372" t="s">
        <v>10292</v>
      </c>
    </row>
    <row r="11373" spans="1:10" x14ac:dyDescent="0.25">
      <c r="A11373" t="s">
        <v>1481</v>
      </c>
      <c r="B11373">
        <v>20.847999999999999</v>
      </c>
      <c r="C11373" t="s">
        <v>1483</v>
      </c>
      <c r="D11373" t="s">
        <v>106</v>
      </c>
      <c r="E11373" t="s">
        <v>1471</v>
      </c>
      <c r="F11373" t="s">
        <v>7672</v>
      </c>
      <c r="G11373" t="s">
        <v>33575</v>
      </c>
      <c r="H11373" t="s">
        <v>10970</v>
      </c>
      <c r="I11373" t="s">
        <v>33576</v>
      </c>
      <c r="J11373" t="s">
        <v>10292</v>
      </c>
    </row>
    <row r="11374" spans="1:10" x14ac:dyDescent="0.25">
      <c r="A11374" t="s">
        <v>1484</v>
      </c>
      <c r="B11374">
        <v>4.16</v>
      </c>
      <c r="C11374" t="s">
        <v>1486</v>
      </c>
      <c r="D11374" t="s">
        <v>106</v>
      </c>
      <c r="E11374" t="s">
        <v>1487</v>
      </c>
      <c r="F11374" t="s">
        <v>7672</v>
      </c>
      <c r="G11374" t="s">
        <v>33580</v>
      </c>
      <c r="H11374" t="s">
        <v>30204</v>
      </c>
      <c r="I11374" t="s">
        <v>497</v>
      </c>
      <c r="J11374" t="s">
        <v>9694</v>
      </c>
    </row>
    <row r="11375" spans="1:10" x14ac:dyDescent="0.25">
      <c r="A11375" t="s">
        <v>33581</v>
      </c>
      <c r="B11375">
        <v>15.96</v>
      </c>
      <c r="C11375" t="s">
        <v>33582</v>
      </c>
      <c r="D11375" t="s">
        <v>106</v>
      </c>
      <c r="E11375" t="s">
        <v>33583</v>
      </c>
      <c r="F11375" t="s">
        <v>7672</v>
      </c>
      <c r="G11375" t="s">
        <v>33584</v>
      </c>
      <c r="H11375" t="s">
        <v>8087</v>
      </c>
      <c r="I11375" t="s">
        <v>551</v>
      </c>
      <c r="J11375" t="s">
        <v>7942</v>
      </c>
    </row>
    <row r="11376" spans="1:10" x14ac:dyDescent="0.25">
      <c r="A11376" t="s">
        <v>33585</v>
      </c>
      <c r="B11376">
        <v>15.96</v>
      </c>
      <c r="C11376" t="s">
        <v>33586</v>
      </c>
      <c r="D11376" t="s">
        <v>255</v>
      </c>
      <c r="E11376" t="s">
        <v>33583</v>
      </c>
      <c r="F11376" t="s">
        <v>7672</v>
      </c>
      <c r="G11376" t="s">
        <v>33584</v>
      </c>
      <c r="H11376" t="s">
        <v>8087</v>
      </c>
      <c r="I11376" t="s">
        <v>551</v>
      </c>
      <c r="J11376" t="s">
        <v>7981</v>
      </c>
    </row>
    <row r="11377" spans="1:10" x14ac:dyDescent="0.25">
      <c r="A11377" t="s">
        <v>33587</v>
      </c>
      <c r="B11377">
        <v>15.96</v>
      </c>
      <c r="C11377" t="s">
        <v>33588</v>
      </c>
      <c r="D11377" t="s">
        <v>269</v>
      </c>
      <c r="E11377" t="s">
        <v>33583</v>
      </c>
      <c r="F11377" t="s">
        <v>7672</v>
      </c>
      <c r="G11377" t="s">
        <v>33584</v>
      </c>
      <c r="H11377" t="s">
        <v>8087</v>
      </c>
      <c r="I11377" t="s">
        <v>551</v>
      </c>
      <c r="J11377" t="s">
        <v>7984</v>
      </c>
    </row>
    <row r="11378" spans="1:10" x14ac:dyDescent="0.25">
      <c r="A11378" t="s">
        <v>33589</v>
      </c>
      <c r="B11378">
        <v>15.96</v>
      </c>
      <c r="C11378" t="s">
        <v>33590</v>
      </c>
      <c r="D11378" t="s">
        <v>88</v>
      </c>
      <c r="E11378" t="s">
        <v>33583</v>
      </c>
      <c r="F11378" t="s">
        <v>7672</v>
      </c>
      <c r="G11378" t="s">
        <v>33584</v>
      </c>
      <c r="H11378" t="s">
        <v>8087</v>
      </c>
      <c r="I11378" t="s">
        <v>551</v>
      </c>
      <c r="J11378" t="s">
        <v>7987</v>
      </c>
    </row>
    <row r="11379" spans="1:10" x14ac:dyDescent="0.25">
      <c r="A11379" t="s">
        <v>33591</v>
      </c>
      <c r="B11379">
        <v>1.92</v>
      </c>
      <c r="C11379" t="s">
        <v>33592</v>
      </c>
      <c r="D11379" t="s">
        <v>5966</v>
      </c>
      <c r="E11379" t="s">
        <v>33593</v>
      </c>
      <c r="F11379" t="s">
        <v>7672</v>
      </c>
      <c r="G11379" t="s">
        <v>33594</v>
      </c>
      <c r="H11379" t="s">
        <v>11496</v>
      </c>
      <c r="I11379" t="s">
        <v>10802</v>
      </c>
      <c r="J11379" t="s">
        <v>9694</v>
      </c>
    </row>
    <row r="11380" spans="1:10" x14ac:dyDescent="0.25">
      <c r="A11380" t="s">
        <v>33595</v>
      </c>
      <c r="B11380">
        <v>5.7600000000000007</v>
      </c>
      <c r="C11380" t="s">
        <v>33596</v>
      </c>
      <c r="D11380" t="s">
        <v>33597</v>
      </c>
      <c r="E11380" t="s">
        <v>33598</v>
      </c>
      <c r="F11380" t="s">
        <v>7672</v>
      </c>
      <c r="G11380" t="s">
        <v>33599</v>
      </c>
      <c r="H11380" t="s">
        <v>8779</v>
      </c>
      <c r="I11380" t="s">
        <v>33600</v>
      </c>
      <c r="J11380" t="s">
        <v>22929</v>
      </c>
    </row>
    <row r="11381" spans="1:10" x14ac:dyDescent="0.25">
      <c r="A11381" t="s">
        <v>33601</v>
      </c>
      <c r="B11381">
        <v>5.7600000000000007</v>
      </c>
      <c r="C11381" t="s">
        <v>33602</v>
      </c>
      <c r="D11381" t="s">
        <v>301</v>
      </c>
      <c r="E11381" t="s">
        <v>33598</v>
      </c>
      <c r="F11381" t="s">
        <v>7672</v>
      </c>
      <c r="G11381" t="s">
        <v>33599</v>
      </c>
      <c r="H11381" t="s">
        <v>8779</v>
      </c>
      <c r="I11381" t="s">
        <v>11382</v>
      </c>
      <c r="J11381" t="s">
        <v>22929</v>
      </c>
    </row>
    <row r="11382" spans="1:10" x14ac:dyDescent="0.25">
      <c r="A11382" t="s">
        <v>33603</v>
      </c>
      <c r="B11382">
        <v>5.6000000000000014</v>
      </c>
      <c r="C11382" t="s">
        <v>33604</v>
      </c>
      <c r="D11382" t="s">
        <v>131</v>
      </c>
      <c r="E11382" t="s">
        <v>33605</v>
      </c>
      <c r="F11382" t="s">
        <v>7672</v>
      </c>
      <c r="G11382" t="s">
        <v>33606</v>
      </c>
      <c r="H11382" t="s">
        <v>29304</v>
      </c>
      <c r="I11382" t="s">
        <v>10349</v>
      </c>
      <c r="J11382" t="s">
        <v>7984</v>
      </c>
    </row>
    <row r="11383" spans="1:10" x14ac:dyDescent="0.25">
      <c r="A11383" t="s">
        <v>33607</v>
      </c>
      <c r="B11383">
        <v>5.6000000000000014</v>
      </c>
      <c r="C11383" t="s">
        <v>33608</v>
      </c>
      <c r="D11383" t="s">
        <v>229</v>
      </c>
      <c r="E11383" t="s">
        <v>33605</v>
      </c>
      <c r="F11383" t="s">
        <v>7672</v>
      </c>
      <c r="G11383" t="s">
        <v>33606</v>
      </c>
      <c r="H11383" t="s">
        <v>29304</v>
      </c>
      <c r="I11383" t="s">
        <v>10349</v>
      </c>
      <c r="J11383" t="s">
        <v>7987</v>
      </c>
    </row>
    <row r="11384" spans="1:10" x14ac:dyDescent="0.25">
      <c r="A11384" t="s">
        <v>33609</v>
      </c>
      <c r="B11384">
        <v>5.6000000000000014</v>
      </c>
      <c r="C11384" t="s">
        <v>33610</v>
      </c>
      <c r="D11384" t="s">
        <v>366</v>
      </c>
      <c r="E11384" t="s">
        <v>33605</v>
      </c>
      <c r="F11384" t="s">
        <v>7672</v>
      </c>
      <c r="G11384" t="s">
        <v>33606</v>
      </c>
      <c r="H11384" t="s">
        <v>29304</v>
      </c>
      <c r="I11384" t="s">
        <v>10349</v>
      </c>
      <c r="J11384" t="s">
        <v>8001</v>
      </c>
    </row>
    <row r="11385" spans="1:10" x14ac:dyDescent="0.25">
      <c r="A11385" t="s">
        <v>1491</v>
      </c>
      <c r="B11385">
        <v>8.9920000000000009</v>
      </c>
      <c r="C11385" t="s">
        <v>1493</v>
      </c>
      <c r="D11385" t="s">
        <v>301</v>
      </c>
      <c r="E11385" t="s">
        <v>1494</v>
      </c>
      <c r="F11385" t="s">
        <v>7672</v>
      </c>
      <c r="G11385" t="s">
        <v>33611</v>
      </c>
      <c r="H11385" t="s">
        <v>28963</v>
      </c>
      <c r="I11385" t="s">
        <v>76</v>
      </c>
      <c r="J11385" t="s">
        <v>11499</v>
      </c>
    </row>
    <row r="11386" spans="1:10" x14ac:dyDescent="0.25">
      <c r="A11386" t="s">
        <v>1497</v>
      </c>
      <c r="B11386">
        <v>8.9920000000000009</v>
      </c>
      <c r="C11386" t="s">
        <v>1499</v>
      </c>
      <c r="D11386" t="s">
        <v>164</v>
      </c>
      <c r="E11386" t="s">
        <v>1494</v>
      </c>
      <c r="F11386" t="s">
        <v>7672</v>
      </c>
      <c r="G11386" t="s">
        <v>33611</v>
      </c>
      <c r="H11386" t="s">
        <v>28963</v>
      </c>
      <c r="I11386" t="s">
        <v>76</v>
      </c>
      <c r="J11386" t="s">
        <v>11500</v>
      </c>
    </row>
    <row r="11387" spans="1:10" x14ac:dyDescent="0.25">
      <c r="A11387" t="s">
        <v>33612</v>
      </c>
      <c r="B11387">
        <v>5.04</v>
      </c>
      <c r="C11387" t="s">
        <v>33613</v>
      </c>
      <c r="D11387" t="s">
        <v>53</v>
      </c>
      <c r="E11387" t="s">
        <v>33614</v>
      </c>
      <c r="F11387" t="s">
        <v>7672</v>
      </c>
      <c r="G11387" t="s">
        <v>33615</v>
      </c>
      <c r="H11387" t="s">
        <v>8515</v>
      </c>
      <c r="I11387" t="s">
        <v>5202</v>
      </c>
      <c r="J11387" t="s">
        <v>9423</v>
      </c>
    </row>
    <row r="11388" spans="1:10" x14ac:dyDescent="0.25">
      <c r="A11388" t="s">
        <v>33616</v>
      </c>
      <c r="B11388">
        <v>5.04</v>
      </c>
      <c r="C11388" t="s">
        <v>33617</v>
      </c>
      <c r="D11388" t="s">
        <v>576</v>
      </c>
      <c r="E11388" t="s">
        <v>33614</v>
      </c>
      <c r="F11388" t="s">
        <v>7672</v>
      </c>
      <c r="G11388" t="s">
        <v>33615</v>
      </c>
      <c r="H11388" t="s">
        <v>8515</v>
      </c>
      <c r="I11388" t="s">
        <v>5202</v>
      </c>
      <c r="J11388" t="s">
        <v>13084</v>
      </c>
    </row>
    <row r="11389" spans="1:10" x14ac:dyDescent="0.25">
      <c r="A11389" t="s">
        <v>33618</v>
      </c>
      <c r="B11389">
        <v>5.04</v>
      </c>
      <c r="C11389" t="s">
        <v>33619</v>
      </c>
      <c r="D11389" t="s">
        <v>671</v>
      </c>
      <c r="E11389" t="s">
        <v>33614</v>
      </c>
      <c r="F11389" t="s">
        <v>7672</v>
      </c>
      <c r="G11389" t="s">
        <v>33615</v>
      </c>
      <c r="H11389" t="s">
        <v>8515</v>
      </c>
      <c r="I11389" t="s">
        <v>5202</v>
      </c>
      <c r="J11389" t="s">
        <v>11767</v>
      </c>
    </row>
    <row r="11390" spans="1:10" x14ac:dyDescent="0.25">
      <c r="A11390" t="s">
        <v>33620</v>
      </c>
      <c r="B11390">
        <v>5.04</v>
      </c>
      <c r="C11390" t="s">
        <v>33621</v>
      </c>
      <c r="D11390" t="s">
        <v>250</v>
      </c>
      <c r="E11390" t="s">
        <v>33614</v>
      </c>
      <c r="F11390" t="s">
        <v>7672</v>
      </c>
      <c r="G11390" t="s">
        <v>33615</v>
      </c>
      <c r="H11390" t="s">
        <v>8515</v>
      </c>
      <c r="I11390" t="s">
        <v>5202</v>
      </c>
      <c r="J11390" t="s">
        <v>11582</v>
      </c>
    </row>
    <row r="11391" spans="1:10" x14ac:dyDescent="0.25">
      <c r="A11391" t="s">
        <v>33622</v>
      </c>
      <c r="B11391">
        <v>5.04</v>
      </c>
      <c r="C11391" t="s">
        <v>33623</v>
      </c>
      <c r="D11391" t="s">
        <v>1143</v>
      </c>
      <c r="E11391" t="s">
        <v>33614</v>
      </c>
      <c r="F11391" t="s">
        <v>7672</v>
      </c>
      <c r="G11391" t="s">
        <v>33615</v>
      </c>
      <c r="H11391" t="s">
        <v>8515</v>
      </c>
      <c r="I11391" t="s">
        <v>5202</v>
      </c>
      <c r="J11391" t="s">
        <v>11585</v>
      </c>
    </row>
    <row r="11392" spans="1:10" x14ac:dyDescent="0.25">
      <c r="A11392" t="s">
        <v>33624</v>
      </c>
      <c r="B11392">
        <v>4.8000000000000007</v>
      </c>
      <c r="C11392" t="s">
        <v>33625</v>
      </c>
      <c r="D11392" t="s">
        <v>1097</v>
      </c>
      <c r="E11392" t="s">
        <v>33626</v>
      </c>
      <c r="F11392" t="s">
        <v>7672</v>
      </c>
      <c r="G11392" t="s">
        <v>33627</v>
      </c>
      <c r="H11392" t="s">
        <v>16993</v>
      </c>
      <c r="I11392" t="s">
        <v>33628</v>
      </c>
      <c r="J11392" t="s">
        <v>9423</v>
      </c>
    </row>
    <row r="11393" spans="1:10" x14ac:dyDescent="0.25">
      <c r="A11393" t="s">
        <v>33629</v>
      </c>
      <c r="B11393">
        <v>4.8000000000000007</v>
      </c>
      <c r="C11393" t="s">
        <v>33630</v>
      </c>
      <c r="D11393" t="s">
        <v>849</v>
      </c>
      <c r="E11393" t="s">
        <v>33626</v>
      </c>
      <c r="F11393" t="s">
        <v>7672</v>
      </c>
      <c r="G11393" t="s">
        <v>33627</v>
      </c>
      <c r="H11393" t="s">
        <v>16993</v>
      </c>
      <c r="I11393" t="s">
        <v>33631</v>
      </c>
      <c r="J11393" t="s">
        <v>9423</v>
      </c>
    </row>
    <row r="11394" spans="1:10" x14ac:dyDescent="0.25">
      <c r="A11394" t="s">
        <v>33632</v>
      </c>
      <c r="B11394">
        <v>4.8000000000000007</v>
      </c>
      <c r="C11394" t="s">
        <v>33633</v>
      </c>
      <c r="D11394" t="s">
        <v>311</v>
      </c>
      <c r="E11394" t="s">
        <v>33626</v>
      </c>
      <c r="F11394" t="s">
        <v>7672</v>
      </c>
      <c r="G11394" t="s">
        <v>33627</v>
      </c>
      <c r="H11394" t="s">
        <v>16993</v>
      </c>
      <c r="I11394" t="s">
        <v>33634</v>
      </c>
      <c r="J11394" t="s">
        <v>9423</v>
      </c>
    </row>
    <row r="11395" spans="1:10" x14ac:dyDescent="0.25">
      <c r="A11395" t="s">
        <v>33635</v>
      </c>
      <c r="B11395">
        <v>4.8000000000000007</v>
      </c>
      <c r="C11395" t="s">
        <v>33636</v>
      </c>
      <c r="D11395" t="s">
        <v>255</v>
      </c>
      <c r="E11395" t="s">
        <v>33626</v>
      </c>
      <c r="F11395" t="s">
        <v>7672</v>
      </c>
      <c r="G11395" t="s">
        <v>33627</v>
      </c>
      <c r="H11395" t="s">
        <v>16993</v>
      </c>
      <c r="I11395" t="s">
        <v>33628</v>
      </c>
      <c r="J11395" t="s">
        <v>9426</v>
      </c>
    </row>
    <row r="11396" spans="1:10" x14ac:dyDescent="0.25">
      <c r="A11396" t="s">
        <v>33637</v>
      </c>
      <c r="B11396">
        <v>4.7520000000000007</v>
      </c>
      <c r="C11396" t="s">
        <v>33638</v>
      </c>
      <c r="D11396" t="s">
        <v>53</v>
      </c>
      <c r="E11396" t="s">
        <v>33639</v>
      </c>
      <c r="F11396" t="s">
        <v>7672</v>
      </c>
      <c r="G11396" t="s">
        <v>32536</v>
      </c>
      <c r="H11396" t="s">
        <v>8515</v>
      </c>
      <c r="I11396" t="s">
        <v>32539</v>
      </c>
      <c r="J11396" t="s">
        <v>10369</v>
      </c>
    </row>
    <row r="11397" spans="1:10" x14ac:dyDescent="0.25">
      <c r="A11397" t="s">
        <v>33640</v>
      </c>
      <c r="B11397">
        <v>4.7520000000000007</v>
      </c>
      <c r="C11397" t="s">
        <v>33641</v>
      </c>
      <c r="D11397" t="s">
        <v>342</v>
      </c>
      <c r="E11397" t="s">
        <v>33639</v>
      </c>
      <c r="F11397" t="s">
        <v>7672</v>
      </c>
      <c r="G11397" t="s">
        <v>32536</v>
      </c>
      <c r="H11397" t="s">
        <v>8515</v>
      </c>
      <c r="I11397" t="s">
        <v>13431</v>
      </c>
      <c r="J11397" t="s">
        <v>11593</v>
      </c>
    </row>
    <row r="11398" spans="1:10" x14ac:dyDescent="0.25">
      <c r="A11398" t="s">
        <v>33642</v>
      </c>
      <c r="B11398">
        <v>8.8000000000000007</v>
      </c>
      <c r="C11398" t="s">
        <v>33643</v>
      </c>
      <c r="D11398" t="s">
        <v>2697</v>
      </c>
      <c r="E11398" t="s">
        <v>33644</v>
      </c>
      <c r="F11398" t="s">
        <v>7672</v>
      </c>
      <c r="G11398" t="s">
        <v>33645</v>
      </c>
      <c r="H11398" t="s">
        <v>11381</v>
      </c>
      <c r="I11398" t="s">
        <v>278</v>
      </c>
      <c r="J11398" t="s">
        <v>7703</v>
      </c>
    </row>
    <row r="11399" spans="1:10" x14ac:dyDescent="0.25">
      <c r="A11399" t="s">
        <v>33646</v>
      </c>
      <c r="B11399">
        <v>8.8000000000000007</v>
      </c>
      <c r="C11399" t="s">
        <v>33647</v>
      </c>
      <c r="D11399" t="s">
        <v>359</v>
      </c>
      <c r="E11399" t="s">
        <v>33644</v>
      </c>
      <c r="F11399" t="s">
        <v>7672</v>
      </c>
      <c r="G11399" t="s">
        <v>33645</v>
      </c>
      <c r="H11399" t="s">
        <v>11381</v>
      </c>
      <c r="I11399" t="s">
        <v>278</v>
      </c>
      <c r="J11399" t="s">
        <v>7713</v>
      </c>
    </row>
    <row r="11400" spans="1:10" x14ac:dyDescent="0.25">
      <c r="A11400" t="s">
        <v>33648</v>
      </c>
      <c r="B11400">
        <v>8.8000000000000007</v>
      </c>
      <c r="C11400" t="s">
        <v>33649</v>
      </c>
      <c r="D11400" t="s">
        <v>282</v>
      </c>
      <c r="E11400" t="s">
        <v>33644</v>
      </c>
      <c r="F11400" t="s">
        <v>7672</v>
      </c>
      <c r="G11400" t="s">
        <v>33645</v>
      </c>
      <c r="H11400" t="s">
        <v>11381</v>
      </c>
      <c r="I11400" t="s">
        <v>278</v>
      </c>
      <c r="J11400" t="s">
        <v>7719</v>
      </c>
    </row>
    <row r="11401" spans="1:10" x14ac:dyDescent="0.25">
      <c r="A11401" t="s">
        <v>33650</v>
      </c>
      <c r="B11401">
        <v>10.616</v>
      </c>
      <c r="C11401" t="s">
        <v>33651</v>
      </c>
      <c r="D11401" t="s">
        <v>286</v>
      </c>
      <c r="E11401" t="s">
        <v>33652</v>
      </c>
      <c r="F11401" t="s">
        <v>7672</v>
      </c>
      <c r="G11401" t="s">
        <v>33653</v>
      </c>
      <c r="H11401" t="s">
        <v>16745</v>
      </c>
      <c r="I11401" t="s">
        <v>8577</v>
      </c>
      <c r="J11401" t="s">
        <v>8439</v>
      </c>
    </row>
    <row r="11402" spans="1:10" x14ac:dyDescent="0.25">
      <c r="A11402" t="s">
        <v>33654</v>
      </c>
      <c r="B11402">
        <v>10.616</v>
      </c>
      <c r="C11402" t="s">
        <v>33655</v>
      </c>
      <c r="D11402" t="s">
        <v>277</v>
      </c>
      <c r="E11402" t="s">
        <v>33652</v>
      </c>
      <c r="F11402" t="s">
        <v>7672</v>
      </c>
      <c r="G11402" t="s">
        <v>33653</v>
      </c>
      <c r="H11402" t="s">
        <v>16745</v>
      </c>
      <c r="I11402" t="s">
        <v>8577</v>
      </c>
      <c r="J11402" t="s">
        <v>8451</v>
      </c>
    </row>
    <row r="11403" spans="1:10" x14ac:dyDescent="0.25">
      <c r="A11403" t="s">
        <v>33656</v>
      </c>
      <c r="B11403">
        <v>11.2</v>
      </c>
      <c r="C11403" t="s">
        <v>33657</v>
      </c>
      <c r="D11403" t="s">
        <v>277</v>
      </c>
      <c r="E11403" t="s">
        <v>33658</v>
      </c>
      <c r="F11403" t="s">
        <v>7672</v>
      </c>
      <c r="G11403" t="s">
        <v>33659</v>
      </c>
      <c r="H11403" t="s">
        <v>11037</v>
      </c>
      <c r="I11403" t="s">
        <v>8747</v>
      </c>
      <c r="J11403" t="s">
        <v>7942</v>
      </c>
    </row>
    <row r="11404" spans="1:10" x14ac:dyDescent="0.25">
      <c r="A11404" t="s">
        <v>33660</v>
      </c>
      <c r="B11404">
        <v>2.8</v>
      </c>
      <c r="C11404" t="s">
        <v>33661</v>
      </c>
      <c r="D11404" t="s">
        <v>1644</v>
      </c>
      <c r="E11404" t="s">
        <v>33662</v>
      </c>
      <c r="F11404" t="s">
        <v>7672</v>
      </c>
      <c r="G11404" t="s">
        <v>33663</v>
      </c>
      <c r="H11404" t="s">
        <v>8515</v>
      </c>
      <c r="I11404" t="s">
        <v>13306</v>
      </c>
      <c r="J11404" t="s">
        <v>255</v>
      </c>
    </row>
    <row r="11405" spans="1:10" x14ac:dyDescent="0.25">
      <c r="A11405" t="s">
        <v>33664</v>
      </c>
      <c r="B11405">
        <v>2.8</v>
      </c>
      <c r="C11405" t="s">
        <v>33665</v>
      </c>
      <c r="D11405" t="s">
        <v>9124</v>
      </c>
      <c r="E11405" t="s">
        <v>33662</v>
      </c>
      <c r="F11405" t="s">
        <v>7672</v>
      </c>
      <c r="G11405" t="s">
        <v>33663</v>
      </c>
      <c r="H11405" t="s">
        <v>8515</v>
      </c>
      <c r="I11405" t="s">
        <v>13306</v>
      </c>
      <c r="J11405" t="s">
        <v>277</v>
      </c>
    </row>
    <row r="11406" spans="1:10" x14ac:dyDescent="0.25">
      <c r="A11406" t="s">
        <v>33666</v>
      </c>
      <c r="B11406">
        <v>9.6000000000000014</v>
      </c>
      <c r="C11406" t="s">
        <v>33667</v>
      </c>
      <c r="D11406" t="s">
        <v>277</v>
      </c>
      <c r="E11406" t="s">
        <v>33668</v>
      </c>
      <c r="F11406" t="s">
        <v>7672</v>
      </c>
      <c r="G11406" t="s">
        <v>33669</v>
      </c>
      <c r="H11406" t="s">
        <v>10298</v>
      </c>
      <c r="I11406" t="s">
        <v>10802</v>
      </c>
      <c r="J11406" t="s">
        <v>8980</v>
      </c>
    </row>
    <row r="11407" spans="1:10" x14ac:dyDescent="0.25">
      <c r="A11407" t="s">
        <v>33670</v>
      </c>
      <c r="B11407">
        <v>9.6000000000000014</v>
      </c>
      <c r="C11407" t="s">
        <v>33671</v>
      </c>
      <c r="D11407" t="s">
        <v>100</v>
      </c>
      <c r="E11407" t="s">
        <v>33668</v>
      </c>
      <c r="F11407" t="s">
        <v>7672</v>
      </c>
      <c r="G11407" t="s">
        <v>33669</v>
      </c>
      <c r="H11407" t="s">
        <v>10298</v>
      </c>
      <c r="I11407" t="s">
        <v>10802</v>
      </c>
      <c r="J11407" t="s">
        <v>330</v>
      </c>
    </row>
    <row r="11408" spans="1:10" x14ac:dyDescent="0.25">
      <c r="A11408" t="s">
        <v>33672</v>
      </c>
      <c r="B11408">
        <v>9.6000000000000014</v>
      </c>
      <c r="C11408" t="s">
        <v>33673</v>
      </c>
      <c r="D11408" t="s">
        <v>106</v>
      </c>
      <c r="E11408" t="s">
        <v>33668</v>
      </c>
      <c r="F11408" t="s">
        <v>7672</v>
      </c>
      <c r="G11408" t="s">
        <v>33669</v>
      </c>
      <c r="H11408" t="s">
        <v>10298</v>
      </c>
      <c r="I11408" t="s">
        <v>10802</v>
      </c>
      <c r="J11408" t="s">
        <v>352</v>
      </c>
    </row>
    <row r="11409" spans="1:10" x14ac:dyDescent="0.25">
      <c r="A11409" t="s">
        <v>33674</v>
      </c>
      <c r="B11409">
        <v>5.6000000000000014</v>
      </c>
      <c r="C11409" t="s">
        <v>33675</v>
      </c>
      <c r="D11409" t="s">
        <v>131</v>
      </c>
      <c r="E11409" t="s">
        <v>33676</v>
      </c>
      <c r="F11409" t="s">
        <v>7672</v>
      </c>
      <c r="G11409" t="s">
        <v>33677</v>
      </c>
      <c r="H11409" t="s">
        <v>8027</v>
      </c>
      <c r="I11409" t="s">
        <v>33678</v>
      </c>
      <c r="J11409" t="s">
        <v>17126</v>
      </c>
    </row>
    <row r="11410" spans="1:10" x14ac:dyDescent="0.25">
      <c r="A11410" t="s">
        <v>33679</v>
      </c>
      <c r="B11410">
        <v>5.6000000000000014</v>
      </c>
      <c r="C11410" t="s">
        <v>33680</v>
      </c>
      <c r="D11410" t="s">
        <v>282</v>
      </c>
      <c r="E11410" t="s">
        <v>33676</v>
      </c>
      <c r="F11410" t="s">
        <v>7672</v>
      </c>
      <c r="G11410" t="s">
        <v>33677</v>
      </c>
      <c r="H11410" t="s">
        <v>8027</v>
      </c>
      <c r="I11410" t="s">
        <v>8158</v>
      </c>
      <c r="J11410" t="s">
        <v>17126</v>
      </c>
    </row>
    <row r="11411" spans="1:10" x14ac:dyDescent="0.25">
      <c r="A11411" t="s">
        <v>33681</v>
      </c>
      <c r="B11411">
        <v>5.6000000000000014</v>
      </c>
      <c r="C11411" t="s">
        <v>33682</v>
      </c>
      <c r="D11411" t="s">
        <v>290</v>
      </c>
      <c r="E11411" t="s">
        <v>33676</v>
      </c>
      <c r="F11411" t="s">
        <v>7672</v>
      </c>
      <c r="G11411" t="s">
        <v>33677</v>
      </c>
      <c r="H11411" t="s">
        <v>8027</v>
      </c>
      <c r="I11411" t="s">
        <v>33678</v>
      </c>
      <c r="J11411" t="s">
        <v>15238</v>
      </c>
    </row>
    <row r="11412" spans="1:10" x14ac:dyDescent="0.25">
      <c r="A11412" t="s">
        <v>33683</v>
      </c>
      <c r="B11412">
        <v>5.6000000000000014</v>
      </c>
      <c r="C11412" t="s">
        <v>33684</v>
      </c>
      <c r="D11412" t="s">
        <v>286</v>
      </c>
      <c r="E11412" t="s">
        <v>33676</v>
      </c>
      <c r="F11412" t="s">
        <v>7672</v>
      </c>
      <c r="G11412" t="s">
        <v>33677</v>
      </c>
      <c r="H11412" t="s">
        <v>8027</v>
      </c>
      <c r="I11412" t="s">
        <v>8158</v>
      </c>
      <c r="J11412" t="s">
        <v>15238</v>
      </c>
    </row>
    <row r="11413" spans="1:10" x14ac:dyDescent="0.25">
      <c r="A11413" t="s">
        <v>33685</v>
      </c>
      <c r="B11413">
        <v>5.6000000000000014</v>
      </c>
      <c r="C11413" t="s">
        <v>33686</v>
      </c>
      <c r="D11413" t="s">
        <v>60</v>
      </c>
      <c r="E11413" t="s">
        <v>33676</v>
      </c>
      <c r="F11413" t="s">
        <v>7672</v>
      </c>
      <c r="G11413" t="s">
        <v>33677</v>
      </c>
      <c r="H11413" t="s">
        <v>8027</v>
      </c>
      <c r="I11413" t="s">
        <v>33678</v>
      </c>
      <c r="J11413" t="s">
        <v>15070</v>
      </c>
    </row>
    <row r="11414" spans="1:10" x14ac:dyDescent="0.25">
      <c r="A11414" t="s">
        <v>33687</v>
      </c>
      <c r="B11414">
        <v>5.6000000000000014</v>
      </c>
      <c r="C11414" t="s">
        <v>33688</v>
      </c>
      <c r="D11414" t="s">
        <v>88</v>
      </c>
      <c r="E11414" t="s">
        <v>33676</v>
      </c>
      <c r="F11414" t="s">
        <v>7672</v>
      </c>
      <c r="G11414" t="s">
        <v>33677</v>
      </c>
      <c r="H11414" t="s">
        <v>8027</v>
      </c>
      <c r="I11414" t="s">
        <v>8158</v>
      </c>
      <c r="J11414" t="s">
        <v>15073</v>
      </c>
    </row>
    <row r="11415" spans="1:10" x14ac:dyDescent="0.25">
      <c r="A11415" t="s">
        <v>33689</v>
      </c>
      <c r="B11415">
        <v>5.6000000000000014</v>
      </c>
      <c r="C11415" t="s">
        <v>33690</v>
      </c>
      <c r="D11415" t="s">
        <v>100</v>
      </c>
      <c r="E11415" t="s">
        <v>33676</v>
      </c>
      <c r="F11415" t="s">
        <v>7672</v>
      </c>
      <c r="G11415" t="s">
        <v>33677</v>
      </c>
      <c r="H11415" t="s">
        <v>8027</v>
      </c>
      <c r="I11415" t="s">
        <v>33678</v>
      </c>
      <c r="J11415" t="s">
        <v>15076</v>
      </c>
    </row>
    <row r="11416" spans="1:10" x14ac:dyDescent="0.25">
      <c r="A11416" t="s">
        <v>33691</v>
      </c>
      <c r="B11416">
        <v>5.6000000000000014</v>
      </c>
      <c r="C11416" t="s">
        <v>33692</v>
      </c>
      <c r="D11416" t="s">
        <v>742</v>
      </c>
      <c r="E11416" t="s">
        <v>33676</v>
      </c>
      <c r="F11416" t="s">
        <v>7672</v>
      </c>
      <c r="G11416" t="s">
        <v>33677</v>
      </c>
      <c r="H11416" t="s">
        <v>8027</v>
      </c>
      <c r="I11416" t="s">
        <v>8158</v>
      </c>
      <c r="J11416" t="s">
        <v>15079</v>
      </c>
    </row>
    <row r="11417" spans="1:10" x14ac:dyDescent="0.25">
      <c r="A11417" t="s">
        <v>33693</v>
      </c>
      <c r="B11417">
        <v>5.6000000000000014</v>
      </c>
      <c r="C11417" t="s">
        <v>33694</v>
      </c>
      <c r="D11417" t="s">
        <v>277</v>
      </c>
      <c r="E11417" t="s">
        <v>33676</v>
      </c>
      <c r="F11417" t="s">
        <v>7672</v>
      </c>
      <c r="G11417" t="s">
        <v>33677</v>
      </c>
      <c r="H11417" t="s">
        <v>8027</v>
      </c>
      <c r="I11417" t="s">
        <v>33678</v>
      </c>
      <c r="J11417" t="s">
        <v>15079</v>
      </c>
    </row>
    <row r="11418" spans="1:10" x14ac:dyDescent="0.25">
      <c r="A11418" t="s">
        <v>33695</v>
      </c>
      <c r="B11418">
        <v>20.16</v>
      </c>
      <c r="C11418" t="s">
        <v>33696</v>
      </c>
      <c r="D11418" t="s">
        <v>95</v>
      </c>
      <c r="E11418" t="s">
        <v>33697</v>
      </c>
      <c r="F11418" t="s">
        <v>7672</v>
      </c>
      <c r="G11418" t="s">
        <v>33698</v>
      </c>
      <c r="H11418" t="s">
        <v>8087</v>
      </c>
      <c r="I11418" t="s">
        <v>33699</v>
      </c>
      <c r="J11418" t="s">
        <v>7942</v>
      </c>
    </row>
    <row r="11419" spans="1:10" x14ac:dyDescent="0.25">
      <c r="A11419" t="s">
        <v>33700</v>
      </c>
      <c r="B11419">
        <v>20.16</v>
      </c>
      <c r="C11419" t="s">
        <v>33701</v>
      </c>
      <c r="D11419" t="s">
        <v>835</v>
      </c>
      <c r="E11419" t="s">
        <v>33697</v>
      </c>
      <c r="F11419" t="s">
        <v>7672</v>
      </c>
      <c r="G11419" t="s">
        <v>33698</v>
      </c>
      <c r="H11419" t="s">
        <v>8087</v>
      </c>
      <c r="I11419" t="s">
        <v>33699</v>
      </c>
      <c r="J11419" t="s">
        <v>7981</v>
      </c>
    </row>
    <row r="11420" spans="1:10" x14ac:dyDescent="0.25">
      <c r="A11420" t="s">
        <v>33702</v>
      </c>
      <c r="B11420">
        <v>20.16</v>
      </c>
      <c r="C11420" t="s">
        <v>33703</v>
      </c>
      <c r="D11420" t="s">
        <v>698</v>
      </c>
      <c r="E11420" t="s">
        <v>33697</v>
      </c>
      <c r="F11420" t="s">
        <v>7672</v>
      </c>
      <c r="G11420" t="s">
        <v>33698</v>
      </c>
      <c r="H11420" t="s">
        <v>8087</v>
      </c>
      <c r="I11420" t="s">
        <v>33699</v>
      </c>
      <c r="J11420" t="s">
        <v>7984</v>
      </c>
    </row>
    <row r="11421" spans="1:10" x14ac:dyDescent="0.25">
      <c r="A11421" t="s">
        <v>33704</v>
      </c>
      <c r="B11421">
        <v>20.16</v>
      </c>
      <c r="C11421" t="s">
        <v>33705</v>
      </c>
      <c r="D11421" t="s">
        <v>2620</v>
      </c>
      <c r="E11421" t="s">
        <v>33697</v>
      </c>
      <c r="F11421" t="s">
        <v>7672</v>
      </c>
      <c r="G11421" t="s">
        <v>33698</v>
      </c>
      <c r="H11421" t="s">
        <v>8087</v>
      </c>
      <c r="I11421" t="s">
        <v>33699</v>
      </c>
      <c r="J11421" t="s">
        <v>7987</v>
      </c>
    </row>
    <row r="11422" spans="1:10" x14ac:dyDescent="0.25">
      <c r="A11422" t="s">
        <v>33706</v>
      </c>
      <c r="B11422">
        <v>20.16</v>
      </c>
      <c r="C11422" t="s">
        <v>33707</v>
      </c>
      <c r="D11422" t="s">
        <v>964</v>
      </c>
      <c r="E11422" t="s">
        <v>33697</v>
      </c>
      <c r="F11422" t="s">
        <v>7672</v>
      </c>
      <c r="G11422" t="s">
        <v>33698</v>
      </c>
      <c r="H11422" t="s">
        <v>8087</v>
      </c>
      <c r="I11422" t="s">
        <v>33699</v>
      </c>
      <c r="J11422" t="s">
        <v>8001</v>
      </c>
    </row>
    <row r="11423" spans="1:10" x14ac:dyDescent="0.25">
      <c r="A11423" t="s">
        <v>33708</v>
      </c>
      <c r="B11423">
        <v>5.9119999999999999</v>
      </c>
      <c r="C11423" t="s">
        <v>33709</v>
      </c>
      <c r="D11423" t="s">
        <v>2787</v>
      </c>
      <c r="E11423" t="s">
        <v>33710</v>
      </c>
      <c r="F11423" t="s">
        <v>7672</v>
      </c>
      <c r="G11423" t="s">
        <v>33711</v>
      </c>
      <c r="H11423" t="s">
        <v>33712</v>
      </c>
      <c r="I11423" t="s">
        <v>22420</v>
      </c>
      <c r="J11423" t="s">
        <v>9694</v>
      </c>
    </row>
    <row r="11424" spans="1:10" x14ac:dyDescent="0.25">
      <c r="A11424" t="s">
        <v>33713</v>
      </c>
      <c r="B11424">
        <v>15.4</v>
      </c>
      <c r="C11424" t="s">
        <v>33714</v>
      </c>
      <c r="D11424" t="s">
        <v>359</v>
      </c>
      <c r="E11424" t="s">
        <v>33715</v>
      </c>
      <c r="F11424" t="s">
        <v>7672</v>
      </c>
      <c r="G11424" t="s">
        <v>33716</v>
      </c>
      <c r="H11424" t="s">
        <v>16463</v>
      </c>
      <c r="I11424" t="s">
        <v>33717</v>
      </c>
      <c r="J11424" t="s">
        <v>7675</v>
      </c>
    </row>
    <row r="11425" spans="1:10" x14ac:dyDescent="0.25">
      <c r="A11425" t="s">
        <v>33718</v>
      </c>
      <c r="B11425">
        <v>15.4</v>
      </c>
      <c r="C11425" t="s">
        <v>33719</v>
      </c>
      <c r="D11425" t="s">
        <v>269</v>
      </c>
      <c r="E11425" t="s">
        <v>33715</v>
      </c>
      <c r="F11425" t="s">
        <v>7672</v>
      </c>
      <c r="G11425" t="s">
        <v>33716</v>
      </c>
      <c r="H11425" t="s">
        <v>16463</v>
      </c>
      <c r="I11425" t="s">
        <v>33720</v>
      </c>
      <c r="J11425" t="s">
        <v>7675</v>
      </c>
    </row>
    <row r="11426" spans="1:10" x14ac:dyDescent="0.25">
      <c r="A11426" t="s">
        <v>33721</v>
      </c>
      <c r="B11426">
        <v>15.4</v>
      </c>
      <c r="C11426" t="s">
        <v>33722</v>
      </c>
      <c r="D11426" t="s">
        <v>664</v>
      </c>
      <c r="E11426" t="s">
        <v>33715</v>
      </c>
      <c r="F11426" t="s">
        <v>7672</v>
      </c>
      <c r="G11426" t="s">
        <v>33716</v>
      </c>
      <c r="H11426" t="s">
        <v>16463</v>
      </c>
      <c r="I11426" t="s">
        <v>33717</v>
      </c>
      <c r="J11426" t="s">
        <v>7686</v>
      </c>
    </row>
    <row r="11427" spans="1:10" x14ac:dyDescent="0.25">
      <c r="A11427" t="s">
        <v>33723</v>
      </c>
      <c r="B11427">
        <v>15.4</v>
      </c>
      <c r="C11427" t="s">
        <v>33724</v>
      </c>
      <c r="D11427" t="s">
        <v>286</v>
      </c>
      <c r="E11427" t="s">
        <v>33715</v>
      </c>
      <c r="F11427" t="s">
        <v>7672</v>
      </c>
      <c r="G11427" t="s">
        <v>33716</v>
      </c>
      <c r="H11427" t="s">
        <v>16463</v>
      </c>
      <c r="I11427" t="s">
        <v>33717</v>
      </c>
      <c r="J11427" t="s">
        <v>7713</v>
      </c>
    </row>
    <row r="11428" spans="1:10" x14ac:dyDescent="0.25">
      <c r="A11428" t="s">
        <v>33725</v>
      </c>
      <c r="B11428">
        <v>9.9920000000000009</v>
      </c>
      <c r="C11428" t="s">
        <v>33726</v>
      </c>
      <c r="D11428" t="s">
        <v>613</v>
      </c>
      <c r="E11428" t="s">
        <v>33727</v>
      </c>
      <c r="F11428" t="s">
        <v>7672</v>
      </c>
      <c r="G11428" t="s">
        <v>33728</v>
      </c>
      <c r="H11428" t="s">
        <v>12137</v>
      </c>
      <c r="I11428" t="s">
        <v>935</v>
      </c>
      <c r="J11428" t="s">
        <v>11498</v>
      </c>
    </row>
    <row r="11429" spans="1:10" x14ac:dyDescent="0.25">
      <c r="A11429" t="s">
        <v>33729</v>
      </c>
      <c r="B11429">
        <v>9.9920000000000009</v>
      </c>
      <c r="C11429" t="s">
        <v>33730</v>
      </c>
      <c r="D11429" t="s">
        <v>296</v>
      </c>
      <c r="E11429" t="s">
        <v>33727</v>
      </c>
      <c r="F11429" t="s">
        <v>7672</v>
      </c>
      <c r="G11429" t="s">
        <v>33728</v>
      </c>
      <c r="H11429" t="s">
        <v>12137</v>
      </c>
      <c r="I11429" t="s">
        <v>935</v>
      </c>
      <c r="J11429" t="s">
        <v>11499</v>
      </c>
    </row>
    <row r="11430" spans="1:10" x14ac:dyDescent="0.25">
      <c r="A11430" t="s">
        <v>33731</v>
      </c>
      <c r="B11430">
        <v>9.9920000000000009</v>
      </c>
      <c r="C11430" t="s">
        <v>33732</v>
      </c>
      <c r="D11430" t="s">
        <v>588</v>
      </c>
      <c r="E11430" t="s">
        <v>33727</v>
      </c>
      <c r="F11430" t="s">
        <v>7672</v>
      </c>
      <c r="G11430" t="s">
        <v>33728</v>
      </c>
      <c r="H11430" t="s">
        <v>12137</v>
      </c>
      <c r="I11430" t="s">
        <v>935</v>
      </c>
      <c r="J11430" t="s">
        <v>11500</v>
      </c>
    </row>
    <row r="11431" spans="1:10" x14ac:dyDescent="0.25">
      <c r="A11431" t="s">
        <v>33733</v>
      </c>
      <c r="B11431">
        <v>9.9920000000000009</v>
      </c>
      <c r="C11431" t="s">
        <v>33734</v>
      </c>
      <c r="D11431" t="s">
        <v>2253</v>
      </c>
      <c r="E11431" t="s">
        <v>33727</v>
      </c>
      <c r="F11431" t="s">
        <v>7672</v>
      </c>
      <c r="G11431" t="s">
        <v>33728</v>
      </c>
      <c r="H11431" t="s">
        <v>12137</v>
      </c>
      <c r="I11431" t="s">
        <v>935</v>
      </c>
      <c r="J11431" t="s">
        <v>11502</v>
      </c>
    </row>
    <row r="11432" spans="1:10" x14ac:dyDescent="0.25">
      <c r="A11432" t="s">
        <v>33735</v>
      </c>
      <c r="B11432">
        <v>5.4</v>
      </c>
      <c r="C11432" t="s">
        <v>33736</v>
      </c>
      <c r="D11432" t="s">
        <v>781</v>
      </c>
      <c r="E11432" t="s">
        <v>33737</v>
      </c>
      <c r="F11432" t="s">
        <v>7672</v>
      </c>
      <c r="G11432" t="s">
        <v>33738</v>
      </c>
      <c r="H11432" t="s">
        <v>10298</v>
      </c>
      <c r="I11432" t="s">
        <v>33739</v>
      </c>
      <c r="J11432" t="s">
        <v>10150</v>
      </c>
    </row>
    <row r="11433" spans="1:10" x14ac:dyDescent="0.25">
      <c r="A11433" t="s">
        <v>33740</v>
      </c>
      <c r="B11433">
        <v>5.4</v>
      </c>
      <c r="C11433" t="s">
        <v>33741</v>
      </c>
      <c r="D11433" t="s">
        <v>639</v>
      </c>
      <c r="E11433" t="s">
        <v>33737</v>
      </c>
      <c r="F11433" t="s">
        <v>7672</v>
      </c>
      <c r="G11433" t="s">
        <v>33738</v>
      </c>
      <c r="H11433" t="s">
        <v>10298</v>
      </c>
      <c r="I11433" t="s">
        <v>33742</v>
      </c>
      <c r="J11433" t="s">
        <v>10150</v>
      </c>
    </row>
    <row r="11434" spans="1:10" x14ac:dyDescent="0.25">
      <c r="A11434" t="s">
        <v>33743</v>
      </c>
      <c r="B11434">
        <v>5.4</v>
      </c>
      <c r="C11434" t="s">
        <v>33744</v>
      </c>
      <c r="D11434" t="s">
        <v>164</v>
      </c>
      <c r="E11434" t="s">
        <v>33737</v>
      </c>
      <c r="F11434" t="s">
        <v>7672</v>
      </c>
      <c r="G11434" t="s">
        <v>33738</v>
      </c>
      <c r="H11434" t="s">
        <v>10298</v>
      </c>
      <c r="I11434" t="s">
        <v>33739</v>
      </c>
      <c r="J11434" t="s">
        <v>15079</v>
      </c>
    </row>
    <row r="11435" spans="1:10" x14ac:dyDescent="0.25">
      <c r="A11435" t="s">
        <v>33745</v>
      </c>
      <c r="B11435">
        <v>3.6320000000000001</v>
      </c>
      <c r="C11435" t="s">
        <v>33746</v>
      </c>
      <c r="D11435" t="s">
        <v>436</v>
      </c>
      <c r="E11435" t="s">
        <v>33747</v>
      </c>
      <c r="F11435" t="s">
        <v>7672</v>
      </c>
      <c r="G11435" t="s">
        <v>33748</v>
      </c>
      <c r="H11435" t="s">
        <v>8515</v>
      </c>
      <c r="I11435" t="s">
        <v>33749</v>
      </c>
      <c r="J11435" t="s">
        <v>100</v>
      </c>
    </row>
    <row r="11436" spans="1:10" x14ac:dyDescent="0.25">
      <c r="A11436" t="s">
        <v>33750</v>
      </c>
      <c r="B11436">
        <v>3.6320000000000001</v>
      </c>
      <c r="C11436" t="s">
        <v>33751</v>
      </c>
      <c r="D11436" t="s">
        <v>1621</v>
      </c>
      <c r="E11436" t="s">
        <v>33747</v>
      </c>
      <c r="F11436" t="s">
        <v>7672</v>
      </c>
      <c r="G11436" t="s">
        <v>33748</v>
      </c>
      <c r="H11436" t="s">
        <v>8515</v>
      </c>
      <c r="I11436" t="s">
        <v>33749</v>
      </c>
      <c r="J11436" t="s">
        <v>106</v>
      </c>
    </row>
    <row r="11437" spans="1:10" x14ac:dyDescent="0.25">
      <c r="A11437" t="s">
        <v>33752</v>
      </c>
      <c r="B11437">
        <v>3.6320000000000001</v>
      </c>
      <c r="C11437" t="s">
        <v>33753</v>
      </c>
      <c r="D11437" t="s">
        <v>385</v>
      </c>
      <c r="E11437" t="s">
        <v>33747</v>
      </c>
      <c r="F11437" t="s">
        <v>7672</v>
      </c>
      <c r="G11437" t="s">
        <v>33748</v>
      </c>
      <c r="H11437" t="s">
        <v>8515</v>
      </c>
      <c r="I11437" t="s">
        <v>33749</v>
      </c>
      <c r="J11437" t="s">
        <v>88</v>
      </c>
    </row>
    <row r="11438" spans="1:10" x14ac:dyDescent="0.25">
      <c r="A11438" t="s">
        <v>33754</v>
      </c>
      <c r="B11438">
        <v>3.6320000000000001</v>
      </c>
      <c r="C11438" t="s">
        <v>33755</v>
      </c>
      <c r="D11438" t="s">
        <v>330</v>
      </c>
      <c r="E11438" t="s">
        <v>33747</v>
      </c>
      <c r="F11438" t="s">
        <v>7672</v>
      </c>
      <c r="G11438" t="s">
        <v>33748</v>
      </c>
      <c r="H11438" t="s">
        <v>8515</v>
      </c>
      <c r="I11438" t="s">
        <v>33749</v>
      </c>
      <c r="J11438" t="s">
        <v>8531</v>
      </c>
    </row>
    <row r="11439" spans="1:10" x14ac:dyDescent="0.25">
      <c r="A11439" t="s">
        <v>33756</v>
      </c>
      <c r="B11439">
        <v>3.6320000000000001</v>
      </c>
      <c r="C11439" t="s">
        <v>33757</v>
      </c>
      <c r="D11439" t="s">
        <v>385</v>
      </c>
      <c r="E11439" t="s">
        <v>33747</v>
      </c>
      <c r="F11439" t="s">
        <v>7672</v>
      </c>
      <c r="G11439" t="s">
        <v>33748</v>
      </c>
      <c r="H11439" t="s">
        <v>8515</v>
      </c>
      <c r="I11439" t="s">
        <v>33749</v>
      </c>
      <c r="J11439" t="s">
        <v>131</v>
      </c>
    </row>
    <row r="11440" spans="1:10" x14ac:dyDescent="0.25">
      <c r="A11440" t="s">
        <v>1501</v>
      </c>
      <c r="B11440">
        <v>18</v>
      </c>
      <c r="C11440" t="s">
        <v>1503</v>
      </c>
      <c r="D11440" t="s">
        <v>53</v>
      </c>
      <c r="E11440" t="s">
        <v>1504</v>
      </c>
      <c r="F11440" t="s">
        <v>7672</v>
      </c>
      <c r="G11440" t="s">
        <v>33758</v>
      </c>
      <c r="H11440" t="s">
        <v>9232</v>
      </c>
      <c r="I11440" t="s">
        <v>1335</v>
      </c>
      <c r="J11440" t="s">
        <v>8427</v>
      </c>
    </row>
    <row r="11441" spans="1:10" x14ac:dyDescent="0.25">
      <c r="A11441" t="s">
        <v>33759</v>
      </c>
      <c r="B11441">
        <v>4.4960000000000004</v>
      </c>
      <c r="C11441" t="s">
        <v>33760</v>
      </c>
      <c r="D11441" t="s">
        <v>1014</v>
      </c>
      <c r="E11441" t="s">
        <v>33761</v>
      </c>
      <c r="F11441" t="s">
        <v>7672</v>
      </c>
      <c r="G11441" t="s">
        <v>33762</v>
      </c>
      <c r="H11441" t="s">
        <v>31775</v>
      </c>
      <c r="I11441" t="s">
        <v>33763</v>
      </c>
      <c r="J11441" t="s">
        <v>9694</v>
      </c>
    </row>
    <row r="11442" spans="1:10" x14ac:dyDescent="0.25">
      <c r="A11442" t="s">
        <v>33764</v>
      </c>
      <c r="B11442">
        <v>5.04</v>
      </c>
      <c r="C11442" t="s">
        <v>33765</v>
      </c>
      <c r="D11442" t="s">
        <v>10070</v>
      </c>
      <c r="E11442" t="s">
        <v>33766</v>
      </c>
      <c r="F11442" t="s">
        <v>7672</v>
      </c>
      <c r="G11442" t="s">
        <v>33767</v>
      </c>
      <c r="H11442" t="s">
        <v>24169</v>
      </c>
      <c r="I11442" t="s">
        <v>30057</v>
      </c>
      <c r="J11442" t="s">
        <v>11696</v>
      </c>
    </row>
    <row r="11443" spans="1:10" x14ac:dyDescent="0.25">
      <c r="A11443" t="s">
        <v>33768</v>
      </c>
      <c r="B11443">
        <v>5.04</v>
      </c>
      <c r="C11443" t="s">
        <v>33769</v>
      </c>
      <c r="D11443" t="s">
        <v>4322</v>
      </c>
      <c r="E11443" t="s">
        <v>33766</v>
      </c>
      <c r="F11443" t="s">
        <v>7672</v>
      </c>
      <c r="G11443" t="s">
        <v>33767</v>
      </c>
      <c r="H11443" t="s">
        <v>24169</v>
      </c>
      <c r="I11443" t="s">
        <v>33770</v>
      </c>
      <c r="J11443" t="s">
        <v>11696</v>
      </c>
    </row>
    <row r="11444" spans="1:10" x14ac:dyDescent="0.25">
      <c r="A11444" t="s">
        <v>33771</v>
      </c>
      <c r="B11444">
        <v>5.04</v>
      </c>
      <c r="C11444" t="s">
        <v>33772</v>
      </c>
      <c r="D11444" t="s">
        <v>2855</v>
      </c>
      <c r="E11444" t="s">
        <v>33766</v>
      </c>
      <c r="F11444" t="s">
        <v>7672</v>
      </c>
      <c r="G11444" t="s">
        <v>33767</v>
      </c>
      <c r="H11444" t="s">
        <v>24169</v>
      </c>
      <c r="I11444" t="s">
        <v>33773</v>
      </c>
      <c r="J11444" t="s">
        <v>11696</v>
      </c>
    </row>
    <row r="11445" spans="1:10" x14ac:dyDescent="0.25">
      <c r="A11445" t="s">
        <v>33774</v>
      </c>
      <c r="B11445">
        <v>5.04</v>
      </c>
      <c r="C11445" t="s">
        <v>33775</v>
      </c>
      <c r="D11445" t="s">
        <v>2072</v>
      </c>
      <c r="E11445" t="s">
        <v>33766</v>
      </c>
      <c r="F11445" t="s">
        <v>7672</v>
      </c>
      <c r="G11445" t="s">
        <v>33767</v>
      </c>
      <c r="H11445" t="s">
        <v>24169</v>
      </c>
      <c r="I11445" t="s">
        <v>33773</v>
      </c>
      <c r="J11445" t="s">
        <v>11702</v>
      </c>
    </row>
    <row r="11446" spans="1:10" x14ac:dyDescent="0.25">
      <c r="A11446" t="s">
        <v>1507</v>
      </c>
      <c r="B11446">
        <v>3.84</v>
      </c>
      <c r="C11446" t="s">
        <v>1509</v>
      </c>
      <c r="D11446" t="s">
        <v>1512</v>
      </c>
      <c r="E11446" t="s">
        <v>1510</v>
      </c>
      <c r="F11446" t="s">
        <v>7672</v>
      </c>
      <c r="G11446" t="s">
        <v>33776</v>
      </c>
      <c r="H11446" t="s">
        <v>11496</v>
      </c>
      <c r="I11446" t="s">
        <v>33777</v>
      </c>
      <c r="J11446" t="s">
        <v>11585</v>
      </c>
    </row>
    <row r="11447" spans="1:10" x14ac:dyDescent="0.25">
      <c r="A11447" t="s">
        <v>1514</v>
      </c>
      <c r="B11447">
        <v>5.9920000000000009</v>
      </c>
      <c r="C11447" t="s">
        <v>1516</v>
      </c>
      <c r="D11447" t="s">
        <v>240</v>
      </c>
      <c r="E11447" t="s">
        <v>1517</v>
      </c>
      <c r="F11447" t="s">
        <v>7672</v>
      </c>
      <c r="G11447" t="s">
        <v>33778</v>
      </c>
      <c r="H11447" t="s">
        <v>28972</v>
      </c>
      <c r="I11447" t="s">
        <v>28974</v>
      </c>
      <c r="J11447" t="s">
        <v>7981</v>
      </c>
    </row>
    <row r="11448" spans="1:10" x14ac:dyDescent="0.25">
      <c r="A11448" t="s">
        <v>1519</v>
      </c>
      <c r="B11448">
        <v>6.9920000000000009</v>
      </c>
      <c r="C11448" t="s">
        <v>1521</v>
      </c>
      <c r="D11448" t="s">
        <v>316</v>
      </c>
      <c r="E11448" t="s">
        <v>1517</v>
      </c>
      <c r="F11448" t="s">
        <v>7672</v>
      </c>
      <c r="G11448" t="s">
        <v>33778</v>
      </c>
      <c r="H11448" t="s">
        <v>28972</v>
      </c>
      <c r="I11448" t="s">
        <v>28974</v>
      </c>
      <c r="J11448" t="s">
        <v>7984</v>
      </c>
    </row>
    <row r="11449" spans="1:10" x14ac:dyDescent="0.25">
      <c r="A11449" t="s">
        <v>1523</v>
      </c>
      <c r="B11449">
        <v>5.9920000000000009</v>
      </c>
      <c r="C11449" t="s">
        <v>1525</v>
      </c>
      <c r="D11449" t="s">
        <v>245</v>
      </c>
      <c r="E11449" t="s">
        <v>1517</v>
      </c>
      <c r="F11449" t="s">
        <v>7672</v>
      </c>
      <c r="G11449" t="s">
        <v>33778</v>
      </c>
      <c r="H11449" t="s">
        <v>28972</v>
      </c>
      <c r="I11449" t="s">
        <v>28974</v>
      </c>
      <c r="J11449" t="s">
        <v>7987</v>
      </c>
    </row>
    <row r="11450" spans="1:10" x14ac:dyDescent="0.25">
      <c r="A11450" t="s">
        <v>1527</v>
      </c>
      <c r="B11450">
        <v>5.9920000000000009</v>
      </c>
      <c r="C11450" t="s">
        <v>1529</v>
      </c>
      <c r="D11450" t="s">
        <v>229</v>
      </c>
      <c r="E11450" t="s">
        <v>1517</v>
      </c>
      <c r="F11450" t="s">
        <v>7672</v>
      </c>
      <c r="G11450" t="s">
        <v>33778</v>
      </c>
      <c r="H11450" t="s">
        <v>28972</v>
      </c>
      <c r="I11450" t="s">
        <v>28974</v>
      </c>
      <c r="J11450" t="s">
        <v>8001</v>
      </c>
    </row>
    <row r="11451" spans="1:10" x14ac:dyDescent="0.25">
      <c r="A11451" t="s">
        <v>33779</v>
      </c>
      <c r="B11451">
        <v>3.36</v>
      </c>
      <c r="C11451" t="s">
        <v>33780</v>
      </c>
      <c r="D11451" t="s">
        <v>250</v>
      </c>
      <c r="E11451" t="s">
        <v>33781</v>
      </c>
      <c r="F11451" t="s">
        <v>7672</v>
      </c>
      <c r="G11451" t="s">
        <v>33782</v>
      </c>
      <c r="H11451" t="s">
        <v>33783</v>
      </c>
      <c r="I11451" t="s">
        <v>278</v>
      </c>
      <c r="J11451" t="s">
        <v>7942</v>
      </c>
    </row>
    <row r="11452" spans="1:10" x14ac:dyDescent="0.25">
      <c r="A11452" t="s">
        <v>33784</v>
      </c>
      <c r="B11452">
        <v>3.36</v>
      </c>
      <c r="C11452" t="s">
        <v>33785</v>
      </c>
      <c r="D11452" t="s">
        <v>95</v>
      </c>
      <c r="E11452" t="s">
        <v>33781</v>
      </c>
      <c r="F11452" t="s">
        <v>7672</v>
      </c>
      <c r="G11452" t="s">
        <v>33782</v>
      </c>
      <c r="H11452" t="s">
        <v>33783</v>
      </c>
      <c r="I11452" t="s">
        <v>76</v>
      </c>
      <c r="J11452" t="s">
        <v>7942</v>
      </c>
    </row>
    <row r="11453" spans="1:10" x14ac:dyDescent="0.25">
      <c r="A11453" t="s">
        <v>33786</v>
      </c>
      <c r="B11453">
        <v>5.4</v>
      </c>
      <c r="C11453" t="s">
        <v>33787</v>
      </c>
      <c r="D11453" t="s">
        <v>33788</v>
      </c>
      <c r="E11453" t="s">
        <v>33789</v>
      </c>
      <c r="F11453" t="s">
        <v>7672</v>
      </c>
      <c r="G11453" t="s">
        <v>33790</v>
      </c>
      <c r="H11453" t="s">
        <v>7674</v>
      </c>
      <c r="I11453" t="s">
        <v>76</v>
      </c>
      <c r="J11453" t="s">
        <v>22923</v>
      </c>
    </row>
    <row r="11454" spans="1:10" x14ac:dyDescent="0.25">
      <c r="A11454" t="s">
        <v>33791</v>
      </c>
      <c r="B11454">
        <v>5.4</v>
      </c>
      <c r="C11454" t="s">
        <v>33792</v>
      </c>
      <c r="D11454" t="s">
        <v>1741</v>
      </c>
      <c r="E11454" t="s">
        <v>33789</v>
      </c>
      <c r="F11454" t="s">
        <v>7672</v>
      </c>
      <c r="G11454" t="s">
        <v>33790</v>
      </c>
      <c r="H11454" t="s">
        <v>7674</v>
      </c>
      <c r="I11454" t="s">
        <v>21142</v>
      </c>
      <c r="J11454" t="s">
        <v>22923</v>
      </c>
    </row>
    <row r="11455" spans="1:10" x14ac:dyDescent="0.25">
      <c r="A11455" t="s">
        <v>33793</v>
      </c>
      <c r="B11455">
        <v>7.1920000000000002</v>
      </c>
      <c r="C11455" t="s">
        <v>33794</v>
      </c>
      <c r="D11455" t="s">
        <v>255</v>
      </c>
      <c r="E11455" t="s">
        <v>33795</v>
      </c>
      <c r="F11455" t="s">
        <v>7672</v>
      </c>
      <c r="G11455" t="s">
        <v>33796</v>
      </c>
      <c r="H11455" t="s">
        <v>7674</v>
      </c>
      <c r="I11455" t="s">
        <v>33797</v>
      </c>
      <c r="J11455" t="s">
        <v>16039</v>
      </c>
    </row>
    <row r="11456" spans="1:10" x14ac:dyDescent="0.25">
      <c r="A11456" t="s">
        <v>33798</v>
      </c>
      <c r="B11456">
        <v>1.6719999999999999</v>
      </c>
      <c r="C11456" t="s">
        <v>33799</v>
      </c>
      <c r="D11456" t="s">
        <v>53</v>
      </c>
      <c r="E11456" t="s">
        <v>33800</v>
      </c>
      <c r="F11456" t="s">
        <v>7672</v>
      </c>
      <c r="G11456" t="s">
        <v>33801</v>
      </c>
      <c r="H11456" t="s">
        <v>8515</v>
      </c>
      <c r="I11456" t="s">
        <v>278</v>
      </c>
      <c r="J11456" t="s">
        <v>11767</v>
      </c>
    </row>
    <row r="11457" spans="1:10" x14ac:dyDescent="0.25">
      <c r="A11457" t="s">
        <v>33802</v>
      </c>
      <c r="B11457">
        <v>5.2</v>
      </c>
      <c r="C11457" t="s">
        <v>33803</v>
      </c>
      <c r="D11457" t="s">
        <v>277</v>
      </c>
      <c r="E11457" t="s">
        <v>33804</v>
      </c>
      <c r="F11457" t="s">
        <v>7672</v>
      </c>
      <c r="G11457" t="s">
        <v>33805</v>
      </c>
      <c r="H11457" t="s">
        <v>26624</v>
      </c>
      <c r="I11457" t="s">
        <v>33806</v>
      </c>
      <c r="J11457" t="s">
        <v>7942</v>
      </c>
    </row>
    <row r="11458" spans="1:10" x14ac:dyDescent="0.25">
      <c r="A11458" t="s">
        <v>33807</v>
      </c>
      <c r="B11458">
        <v>5.2</v>
      </c>
      <c r="C11458" t="s">
        <v>33808</v>
      </c>
      <c r="D11458" t="s">
        <v>964</v>
      </c>
      <c r="E11458" t="s">
        <v>33804</v>
      </c>
      <c r="F11458" t="s">
        <v>7672</v>
      </c>
      <c r="G11458" t="s">
        <v>33805</v>
      </c>
      <c r="H11458" t="s">
        <v>26624</v>
      </c>
      <c r="I11458" t="s">
        <v>33806</v>
      </c>
      <c r="J11458" t="s">
        <v>7984</v>
      </c>
    </row>
    <row r="11459" spans="1:10" x14ac:dyDescent="0.25">
      <c r="A11459" t="s">
        <v>33809</v>
      </c>
      <c r="B11459">
        <v>5.2</v>
      </c>
      <c r="C11459" t="s">
        <v>33810</v>
      </c>
      <c r="D11459" t="s">
        <v>330</v>
      </c>
      <c r="E11459" t="s">
        <v>33804</v>
      </c>
      <c r="F11459" t="s">
        <v>7672</v>
      </c>
      <c r="G11459" t="s">
        <v>33805</v>
      </c>
      <c r="H11459" t="s">
        <v>26624</v>
      </c>
      <c r="I11459" t="s">
        <v>33806</v>
      </c>
      <c r="J11459" t="s">
        <v>7987</v>
      </c>
    </row>
    <row r="11460" spans="1:10" x14ac:dyDescent="0.25">
      <c r="A11460" t="s">
        <v>33811</v>
      </c>
      <c r="B11460">
        <v>5.2</v>
      </c>
      <c r="C11460" t="s">
        <v>33812</v>
      </c>
      <c r="D11460" t="s">
        <v>576</v>
      </c>
      <c r="E11460" t="s">
        <v>33804</v>
      </c>
      <c r="F11460" t="s">
        <v>7672</v>
      </c>
      <c r="G11460" t="s">
        <v>33805</v>
      </c>
      <c r="H11460" t="s">
        <v>26624</v>
      </c>
      <c r="I11460" t="s">
        <v>33806</v>
      </c>
      <c r="J11460" t="s">
        <v>8001</v>
      </c>
    </row>
    <row r="11461" spans="1:10" x14ac:dyDescent="0.25">
      <c r="A11461" t="s">
        <v>33813</v>
      </c>
      <c r="B11461">
        <v>5.2</v>
      </c>
      <c r="C11461" t="s">
        <v>33814</v>
      </c>
      <c r="D11461" t="s">
        <v>255</v>
      </c>
      <c r="E11461" t="s">
        <v>33804</v>
      </c>
      <c r="F11461" t="s">
        <v>7672</v>
      </c>
      <c r="G11461" t="s">
        <v>33805</v>
      </c>
      <c r="H11461" t="s">
        <v>26624</v>
      </c>
      <c r="I11461" t="s">
        <v>33806</v>
      </c>
      <c r="J11461" t="s">
        <v>8013</v>
      </c>
    </row>
    <row r="11462" spans="1:10" x14ac:dyDescent="0.25">
      <c r="A11462" t="s">
        <v>33815</v>
      </c>
      <c r="B11462">
        <v>4.8000000000000007</v>
      </c>
      <c r="C11462" t="s">
        <v>33816</v>
      </c>
      <c r="D11462" t="s">
        <v>450</v>
      </c>
      <c r="E11462" t="s">
        <v>33817</v>
      </c>
      <c r="F11462" t="s">
        <v>7672</v>
      </c>
      <c r="G11462" t="s">
        <v>33818</v>
      </c>
      <c r="H11462" t="s">
        <v>7674</v>
      </c>
      <c r="I11462" t="s">
        <v>33819</v>
      </c>
      <c r="J11462" t="s">
        <v>7719</v>
      </c>
    </row>
    <row r="11463" spans="1:10" x14ac:dyDescent="0.25">
      <c r="A11463" t="s">
        <v>33820</v>
      </c>
      <c r="B11463">
        <v>4.8000000000000007</v>
      </c>
      <c r="C11463" t="s">
        <v>33821</v>
      </c>
      <c r="D11463" t="s">
        <v>255</v>
      </c>
      <c r="E11463" t="s">
        <v>33817</v>
      </c>
      <c r="F11463" t="s">
        <v>7672</v>
      </c>
      <c r="G11463" t="s">
        <v>33818</v>
      </c>
      <c r="H11463" t="s">
        <v>7674</v>
      </c>
      <c r="I11463" t="s">
        <v>33822</v>
      </c>
      <c r="J11463" t="s">
        <v>7719</v>
      </c>
    </row>
    <row r="11464" spans="1:10" x14ac:dyDescent="0.25">
      <c r="A11464" t="s">
        <v>33823</v>
      </c>
      <c r="B11464">
        <v>2.4</v>
      </c>
      <c r="C11464" t="s">
        <v>33824</v>
      </c>
      <c r="D11464" t="s">
        <v>2697</v>
      </c>
      <c r="E11464" t="s">
        <v>33825</v>
      </c>
      <c r="F11464" t="s">
        <v>7672</v>
      </c>
      <c r="G11464" t="s">
        <v>33826</v>
      </c>
      <c r="H11464" t="s">
        <v>33827</v>
      </c>
      <c r="I11464" t="s">
        <v>21554</v>
      </c>
      <c r="J11464" t="s">
        <v>11767</v>
      </c>
    </row>
    <row r="11465" spans="1:10" x14ac:dyDescent="0.25">
      <c r="A11465" t="s">
        <v>33828</v>
      </c>
      <c r="B11465">
        <v>2.4</v>
      </c>
      <c r="C11465" t="s">
        <v>33829</v>
      </c>
      <c r="D11465" t="s">
        <v>849</v>
      </c>
      <c r="E11465" t="s">
        <v>33825</v>
      </c>
      <c r="F11465" t="s">
        <v>7672</v>
      </c>
      <c r="G11465" t="s">
        <v>33826</v>
      </c>
      <c r="H11465" t="s">
        <v>33827</v>
      </c>
      <c r="I11465" t="s">
        <v>21554</v>
      </c>
      <c r="J11465" t="s">
        <v>11582</v>
      </c>
    </row>
    <row r="11466" spans="1:10" x14ac:dyDescent="0.25">
      <c r="A11466" t="s">
        <v>33830</v>
      </c>
      <c r="B11466">
        <v>12</v>
      </c>
      <c r="C11466" t="s">
        <v>33831</v>
      </c>
      <c r="D11466" t="s">
        <v>131</v>
      </c>
      <c r="E11466" t="s">
        <v>33832</v>
      </c>
      <c r="F11466" t="s">
        <v>7672</v>
      </c>
      <c r="G11466" t="s">
        <v>33833</v>
      </c>
      <c r="H11466" t="s">
        <v>23005</v>
      </c>
      <c r="I11466" t="s">
        <v>33834</v>
      </c>
      <c r="J11466" t="s">
        <v>8439</v>
      </c>
    </row>
    <row r="11467" spans="1:10" x14ac:dyDescent="0.25">
      <c r="A11467" t="s">
        <v>33835</v>
      </c>
      <c r="B11467">
        <v>12</v>
      </c>
      <c r="C11467" t="s">
        <v>33836</v>
      </c>
      <c r="D11467" t="s">
        <v>255</v>
      </c>
      <c r="E11467" t="s">
        <v>33832</v>
      </c>
      <c r="F11467" t="s">
        <v>7672</v>
      </c>
      <c r="G11467" t="s">
        <v>33833</v>
      </c>
      <c r="H11467" t="s">
        <v>23005</v>
      </c>
      <c r="I11467" t="s">
        <v>33834</v>
      </c>
      <c r="J11467" t="s">
        <v>8451</v>
      </c>
    </row>
    <row r="11468" spans="1:10" x14ac:dyDescent="0.25">
      <c r="A11468" t="s">
        <v>1531</v>
      </c>
      <c r="B11468">
        <v>48</v>
      </c>
      <c r="C11468" t="s">
        <v>1533</v>
      </c>
      <c r="D11468" t="s">
        <v>1536</v>
      </c>
      <c r="E11468" t="s">
        <v>1534</v>
      </c>
      <c r="F11468" t="s">
        <v>7672</v>
      </c>
      <c r="G11468" t="s">
        <v>33837</v>
      </c>
      <c r="H11468" t="s">
        <v>9693</v>
      </c>
      <c r="I11468" t="s">
        <v>17521</v>
      </c>
      <c r="J11468" t="s">
        <v>9694</v>
      </c>
    </row>
    <row r="11469" spans="1:10" x14ac:dyDescent="0.25">
      <c r="A11469" t="s">
        <v>33838</v>
      </c>
      <c r="B11469">
        <v>19.2</v>
      </c>
      <c r="C11469" t="s">
        <v>33839</v>
      </c>
      <c r="D11469" t="s">
        <v>255</v>
      </c>
      <c r="E11469" t="s">
        <v>33840</v>
      </c>
      <c r="F11469" t="s">
        <v>7672</v>
      </c>
      <c r="G11469" t="s">
        <v>33841</v>
      </c>
      <c r="H11469" t="s">
        <v>8087</v>
      </c>
      <c r="I11469" t="s">
        <v>551</v>
      </c>
      <c r="J11469" t="s">
        <v>7675</v>
      </c>
    </row>
    <row r="11470" spans="1:10" x14ac:dyDescent="0.25">
      <c r="A11470" t="s">
        <v>33842</v>
      </c>
      <c r="B11470">
        <v>19.2</v>
      </c>
      <c r="C11470" t="s">
        <v>33843</v>
      </c>
      <c r="D11470" t="s">
        <v>330</v>
      </c>
      <c r="E11470" t="s">
        <v>33840</v>
      </c>
      <c r="F11470" t="s">
        <v>7672</v>
      </c>
      <c r="G11470" t="s">
        <v>33841</v>
      </c>
      <c r="H11470" t="s">
        <v>8087</v>
      </c>
      <c r="I11470" t="s">
        <v>4045</v>
      </c>
      <c r="J11470" t="s">
        <v>7675</v>
      </c>
    </row>
    <row r="11471" spans="1:10" x14ac:dyDescent="0.25">
      <c r="A11471" t="s">
        <v>33844</v>
      </c>
      <c r="B11471">
        <v>19.2</v>
      </c>
      <c r="C11471" t="s">
        <v>33845</v>
      </c>
      <c r="D11471" t="s">
        <v>330</v>
      </c>
      <c r="E11471" t="s">
        <v>33840</v>
      </c>
      <c r="F11471" t="s">
        <v>7672</v>
      </c>
      <c r="G11471" t="s">
        <v>33841</v>
      </c>
      <c r="H11471" t="s">
        <v>8087</v>
      </c>
      <c r="I11471" t="s">
        <v>551</v>
      </c>
      <c r="J11471" t="s">
        <v>7686</v>
      </c>
    </row>
    <row r="11472" spans="1:10" x14ac:dyDescent="0.25">
      <c r="A11472" t="s">
        <v>33846</v>
      </c>
      <c r="B11472">
        <v>19.2</v>
      </c>
      <c r="C11472" t="s">
        <v>33847</v>
      </c>
      <c r="D11472" t="s">
        <v>164</v>
      </c>
      <c r="E11472" t="s">
        <v>33840</v>
      </c>
      <c r="F11472" t="s">
        <v>7672</v>
      </c>
      <c r="G11472" t="s">
        <v>33841</v>
      </c>
      <c r="H11472" t="s">
        <v>8087</v>
      </c>
      <c r="I11472" t="s">
        <v>4045</v>
      </c>
      <c r="J11472" t="s">
        <v>7686</v>
      </c>
    </row>
    <row r="11473" spans="1:10" x14ac:dyDescent="0.25">
      <c r="A11473" t="s">
        <v>33848</v>
      </c>
      <c r="B11473">
        <v>192</v>
      </c>
      <c r="C11473" t="s">
        <v>33849</v>
      </c>
      <c r="D11473" t="s">
        <v>959</v>
      </c>
      <c r="E11473" t="s">
        <v>33850</v>
      </c>
      <c r="F11473" t="s">
        <v>7672</v>
      </c>
      <c r="G11473" t="s">
        <v>33851</v>
      </c>
      <c r="H11473" t="s">
        <v>9694</v>
      </c>
      <c r="I11473" t="s">
        <v>4821</v>
      </c>
      <c r="J11473" t="s">
        <v>9694</v>
      </c>
    </row>
    <row r="11474" spans="1:10" x14ac:dyDescent="0.25">
      <c r="A11474" t="s">
        <v>33852</v>
      </c>
      <c r="B11474">
        <v>96</v>
      </c>
      <c r="C11474" t="s">
        <v>33853</v>
      </c>
      <c r="D11474" t="s">
        <v>151</v>
      </c>
      <c r="E11474" t="s">
        <v>33854</v>
      </c>
      <c r="F11474" t="s">
        <v>7672</v>
      </c>
      <c r="G11474" t="s">
        <v>33855</v>
      </c>
      <c r="H11474" t="s">
        <v>9693</v>
      </c>
      <c r="I11474" t="s">
        <v>33856</v>
      </c>
      <c r="J11474" t="s">
        <v>9694</v>
      </c>
    </row>
    <row r="11475" spans="1:10" x14ac:dyDescent="0.25">
      <c r="A11475" t="s">
        <v>33857</v>
      </c>
      <c r="B11475">
        <v>48</v>
      </c>
      <c r="C11475" t="s">
        <v>33858</v>
      </c>
      <c r="D11475" t="s">
        <v>352</v>
      </c>
      <c r="E11475" t="s">
        <v>33859</v>
      </c>
      <c r="F11475" t="s">
        <v>7672</v>
      </c>
      <c r="G11475" t="s">
        <v>33860</v>
      </c>
      <c r="H11475" t="s">
        <v>9693</v>
      </c>
      <c r="I11475" t="s">
        <v>17521</v>
      </c>
      <c r="J11475" t="s">
        <v>9694</v>
      </c>
    </row>
    <row r="11476" spans="1:10" x14ac:dyDescent="0.25">
      <c r="A11476" t="s">
        <v>33861</v>
      </c>
      <c r="B11476">
        <v>48</v>
      </c>
      <c r="C11476" t="s">
        <v>33862</v>
      </c>
      <c r="D11476" t="s">
        <v>959</v>
      </c>
      <c r="E11476" t="s">
        <v>33863</v>
      </c>
      <c r="F11476" t="s">
        <v>7672</v>
      </c>
      <c r="G11476" t="s">
        <v>33864</v>
      </c>
      <c r="H11476" t="s">
        <v>22190</v>
      </c>
      <c r="I11476" t="s">
        <v>22191</v>
      </c>
      <c r="J11476" t="s">
        <v>9694</v>
      </c>
    </row>
    <row r="11477" spans="1:10" x14ac:dyDescent="0.25">
      <c r="A11477" t="s">
        <v>33865</v>
      </c>
      <c r="B11477">
        <v>192</v>
      </c>
      <c r="C11477" t="s">
        <v>33866</v>
      </c>
      <c r="D11477" t="s">
        <v>516</v>
      </c>
      <c r="E11477" t="s">
        <v>33867</v>
      </c>
      <c r="F11477" t="s">
        <v>7672</v>
      </c>
      <c r="G11477" t="s">
        <v>33868</v>
      </c>
      <c r="H11477" t="s">
        <v>9693</v>
      </c>
      <c r="I11477" t="s">
        <v>33869</v>
      </c>
      <c r="J11477" t="s">
        <v>9694</v>
      </c>
    </row>
    <row r="11478" spans="1:10" x14ac:dyDescent="0.25">
      <c r="A11478" t="s">
        <v>33870</v>
      </c>
      <c r="B11478">
        <v>6.16</v>
      </c>
      <c r="C11478" t="s">
        <v>33871</v>
      </c>
      <c r="D11478" t="s">
        <v>277</v>
      </c>
      <c r="E11478" t="s">
        <v>33872</v>
      </c>
      <c r="F11478" t="s">
        <v>7672</v>
      </c>
      <c r="G11478" t="s">
        <v>33873</v>
      </c>
      <c r="H11478" t="s">
        <v>8515</v>
      </c>
      <c r="I11478" t="s">
        <v>145</v>
      </c>
      <c r="J11478" t="s">
        <v>100</v>
      </c>
    </row>
    <row r="11479" spans="1:10" x14ac:dyDescent="0.25">
      <c r="A11479" t="s">
        <v>33874</v>
      </c>
      <c r="B11479">
        <v>6.16</v>
      </c>
      <c r="C11479" t="s">
        <v>33875</v>
      </c>
      <c r="D11479" t="s">
        <v>60</v>
      </c>
      <c r="E11479" t="s">
        <v>33872</v>
      </c>
      <c r="F11479" t="s">
        <v>7672</v>
      </c>
      <c r="G11479" t="s">
        <v>33873</v>
      </c>
      <c r="H11479" t="s">
        <v>8515</v>
      </c>
      <c r="I11479" t="s">
        <v>145</v>
      </c>
      <c r="J11479" t="s">
        <v>8531</v>
      </c>
    </row>
    <row r="11480" spans="1:10" x14ac:dyDescent="0.25">
      <c r="A11480" t="s">
        <v>33876</v>
      </c>
      <c r="B11480">
        <v>11.192</v>
      </c>
      <c r="C11480" t="s">
        <v>33877</v>
      </c>
      <c r="D11480" t="s">
        <v>60</v>
      </c>
      <c r="E11480" t="s">
        <v>33878</v>
      </c>
      <c r="F11480" t="s">
        <v>7672</v>
      </c>
      <c r="G11480" t="s">
        <v>33879</v>
      </c>
      <c r="H11480" t="s">
        <v>10298</v>
      </c>
      <c r="I11480" t="s">
        <v>16930</v>
      </c>
      <c r="J11480" t="s">
        <v>8980</v>
      </c>
    </row>
    <row r="11481" spans="1:10" x14ac:dyDescent="0.25">
      <c r="A11481" t="s">
        <v>33880</v>
      </c>
      <c r="B11481">
        <v>8.64</v>
      </c>
      <c r="C11481" t="s">
        <v>33881</v>
      </c>
      <c r="D11481" t="s">
        <v>131</v>
      </c>
      <c r="E11481" t="s">
        <v>33882</v>
      </c>
      <c r="F11481" t="s">
        <v>7672</v>
      </c>
      <c r="G11481" t="s">
        <v>33883</v>
      </c>
      <c r="H11481" t="s">
        <v>10298</v>
      </c>
      <c r="I11481" t="s">
        <v>15893</v>
      </c>
      <c r="J11481" t="s">
        <v>15070</v>
      </c>
    </row>
    <row r="11482" spans="1:10" x14ac:dyDescent="0.25">
      <c r="A11482" t="s">
        <v>33884</v>
      </c>
      <c r="B11482">
        <v>8.64</v>
      </c>
      <c r="C11482" t="s">
        <v>33885</v>
      </c>
      <c r="D11482" t="s">
        <v>60</v>
      </c>
      <c r="E11482" t="s">
        <v>33882</v>
      </c>
      <c r="F11482" t="s">
        <v>7672</v>
      </c>
      <c r="G11482" t="s">
        <v>33883</v>
      </c>
      <c r="H11482" t="s">
        <v>10298</v>
      </c>
      <c r="I11482" t="s">
        <v>15893</v>
      </c>
      <c r="J11482" t="s">
        <v>15073</v>
      </c>
    </row>
    <row r="11483" spans="1:10" x14ac:dyDescent="0.25">
      <c r="A11483" t="s">
        <v>33886</v>
      </c>
      <c r="B11483">
        <v>8.64</v>
      </c>
      <c r="C11483" t="s">
        <v>33887</v>
      </c>
      <c r="D11483" t="s">
        <v>113</v>
      </c>
      <c r="E11483" t="s">
        <v>33882</v>
      </c>
      <c r="F11483" t="s">
        <v>7672</v>
      </c>
      <c r="G11483" t="s">
        <v>33883</v>
      </c>
      <c r="H11483" t="s">
        <v>10298</v>
      </c>
      <c r="I11483" t="s">
        <v>11878</v>
      </c>
      <c r="J11483" t="s">
        <v>15076</v>
      </c>
    </row>
    <row r="11484" spans="1:10" x14ac:dyDescent="0.25">
      <c r="A11484" t="s">
        <v>33888</v>
      </c>
      <c r="B11484">
        <v>8.64</v>
      </c>
      <c r="C11484" t="s">
        <v>33889</v>
      </c>
      <c r="D11484" t="s">
        <v>875</v>
      </c>
      <c r="E11484" t="s">
        <v>33882</v>
      </c>
      <c r="F11484" t="s">
        <v>7672</v>
      </c>
      <c r="G11484" t="s">
        <v>33883</v>
      </c>
      <c r="H11484" t="s">
        <v>10298</v>
      </c>
      <c r="I11484" t="s">
        <v>15893</v>
      </c>
      <c r="J11484" t="s">
        <v>15076</v>
      </c>
    </row>
    <row r="11485" spans="1:10" x14ac:dyDescent="0.25">
      <c r="A11485" t="s">
        <v>33890</v>
      </c>
      <c r="B11485">
        <v>8.64</v>
      </c>
      <c r="C11485" t="s">
        <v>33891</v>
      </c>
      <c r="D11485" t="s">
        <v>2253</v>
      </c>
      <c r="E11485" t="s">
        <v>33882</v>
      </c>
      <c r="F11485" t="s">
        <v>7672</v>
      </c>
      <c r="G11485" t="s">
        <v>33883</v>
      </c>
      <c r="H11485" t="s">
        <v>10298</v>
      </c>
      <c r="I11485" t="s">
        <v>11878</v>
      </c>
      <c r="J11485" t="s">
        <v>15079</v>
      </c>
    </row>
    <row r="11486" spans="1:10" x14ac:dyDescent="0.25">
      <c r="A11486" t="s">
        <v>33892</v>
      </c>
      <c r="B11486">
        <v>8.64</v>
      </c>
      <c r="C11486" t="s">
        <v>33893</v>
      </c>
      <c r="D11486" t="s">
        <v>4270</v>
      </c>
      <c r="E11486" t="s">
        <v>33882</v>
      </c>
      <c r="F11486" t="s">
        <v>7672</v>
      </c>
      <c r="G11486" t="s">
        <v>33883</v>
      </c>
      <c r="H11486" t="s">
        <v>10298</v>
      </c>
      <c r="I11486" t="s">
        <v>15893</v>
      </c>
      <c r="J11486" t="s">
        <v>15079</v>
      </c>
    </row>
    <row r="11487" spans="1:10" x14ac:dyDescent="0.25">
      <c r="A11487" t="s">
        <v>33894</v>
      </c>
      <c r="B11487">
        <v>9.9920000000000009</v>
      </c>
      <c r="C11487" t="s">
        <v>33895</v>
      </c>
      <c r="D11487" t="s">
        <v>1143</v>
      </c>
      <c r="E11487" t="s">
        <v>33896</v>
      </c>
      <c r="F11487" t="s">
        <v>7672</v>
      </c>
      <c r="G11487" t="s">
        <v>33897</v>
      </c>
      <c r="H11487" t="s">
        <v>12137</v>
      </c>
      <c r="I11487" t="s">
        <v>145</v>
      </c>
      <c r="J11487" t="s">
        <v>11498</v>
      </c>
    </row>
    <row r="11488" spans="1:10" x14ac:dyDescent="0.25">
      <c r="A11488" t="s">
        <v>33898</v>
      </c>
      <c r="B11488">
        <v>9.9920000000000009</v>
      </c>
      <c r="C11488" t="s">
        <v>33899</v>
      </c>
      <c r="D11488" t="s">
        <v>250</v>
      </c>
      <c r="E11488" t="s">
        <v>33896</v>
      </c>
      <c r="F11488" t="s">
        <v>7672</v>
      </c>
      <c r="G11488" t="s">
        <v>33897</v>
      </c>
      <c r="H11488" t="s">
        <v>12137</v>
      </c>
      <c r="I11488" t="s">
        <v>33900</v>
      </c>
      <c r="J11488" t="s">
        <v>11498</v>
      </c>
    </row>
    <row r="11489" spans="1:10" x14ac:dyDescent="0.25">
      <c r="A11489" t="s">
        <v>33901</v>
      </c>
      <c r="B11489">
        <v>7.56</v>
      </c>
      <c r="C11489" t="s">
        <v>33902</v>
      </c>
      <c r="D11489" t="s">
        <v>633</v>
      </c>
      <c r="E11489" t="s">
        <v>33903</v>
      </c>
      <c r="F11489" t="s">
        <v>7672</v>
      </c>
      <c r="G11489" t="s">
        <v>33904</v>
      </c>
      <c r="H11489" t="s">
        <v>15809</v>
      </c>
      <c r="I11489" t="s">
        <v>33905</v>
      </c>
      <c r="J11489" t="s">
        <v>7981</v>
      </c>
    </row>
    <row r="11490" spans="1:10" x14ac:dyDescent="0.25">
      <c r="A11490" t="s">
        <v>33906</v>
      </c>
      <c r="B11490">
        <v>7.56</v>
      </c>
      <c r="C11490" t="s">
        <v>33907</v>
      </c>
      <c r="D11490" t="s">
        <v>975</v>
      </c>
      <c r="E11490" t="s">
        <v>33903</v>
      </c>
      <c r="F11490" t="s">
        <v>7672</v>
      </c>
      <c r="G11490" t="s">
        <v>33904</v>
      </c>
      <c r="H11490" t="s">
        <v>15809</v>
      </c>
      <c r="I11490" t="s">
        <v>31218</v>
      </c>
      <c r="J11490" t="s">
        <v>7981</v>
      </c>
    </row>
    <row r="11491" spans="1:10" x14ac:dyDescent="0.25">
      <c r="A11491" t="s">
        <v>33908</v>
      </c>
      <c r="B11491">
        <v>9</v>
      </c>
      <c r="C11491" t="s">
        <v>33909</v>
      </c>
      <c r="D11491" t="s">
        <v>964</v>
      </c>
      <c r="E11491" t="s">
        <v>33910</v>
      </c>
      <c r="F11491" t="s">
        <v>7672</v>
      </c>
      <c r="G11491" t="s">
        <v>24605</v>
      </c>
      <c r="H11491" t="s">
        <v>16977</v>
      </c>
      <c r="I11491" t="s">
        <v>24606</v>
      </c>
      <c r="J11491" t="s">
        <v>19899</v>
      </c>
    </row>
    <row r="11492" spans="1:10" x14ac:dyDescent="0.25">
      <c r="A11492" t="s">
        <v>33911</v>
      </c>
      <c r="B11492">
        <v>9</v>
      </c>
      <c r="C11492" t="s">
        <v>33912</v>
      </c>
      <c r="D11492" t="s">
        <v>870</v>
      </c>
      <c r="E11492" t="s">
        <v>33910</v>
      </c>
      <c r="F11492" t="s">
        <v>7672</v>
      </c>
      <c r="G11492" t="s">
        <v>24605</v>
      </c>
      <c r="H11492" t="s">
        <v>16977</v>
      </c>
      <c r="I11492" t="s">
        <v>24606</v>
      </c>
      <c r="J11492" t="s">
        <v>19902</v>
      </c>
    </row>
    <row r="11493" spans="1:10" x14ac:dyDescent="0.25">
      <c r="A11493" t="s">
        <v>33913</v>
      </c>
      <c r="B11493">
        <v>9</v>
      </c>
      <c r="C11493" t="s">
        <v>33914</v>
      </c>
      <c r="D11493" t="s">
        <v>698</v>
      </c>
      <c r="E11493" t="s">
        <v>33910</v>
      </c>
      <c r="F11493" t="s">
        <v>7672</v>
      </c>
      <c r="G11493" t="s">
        <v>24605</v>
      </c>
      <c r="H11493" t="s">
        <v>16977</v>
      </c>
      <c r="I11493" t="s">
        <v>24606</v>
      </c>
      <c r="J11493" t="s">
        <v>19905</v>
      </c>
    </row>
    <row r="11494" spans="1:10" x14ac:dyDescent="0.25">
      <c r="A11494" t="s">
        <v>33915</v>
      </c>
      <c r="B11494">
        <v>5.4</v>
      </c>
      <c r="C11494" t="s">
        <v>33916</v>
      </c>
      <c r="D11494" t="s">
        <v>16686</v>
      </c>
      <c r="E11494" t="s">
        <v>33917</v>
      </c>
      <c r="F11494" t="s">
        <v>7672</v>
      </c>
      <c r="G11494" t="s">
        <v>33918</v>
      </c>
      <c r="H11494" t="s">
        <v>31775</v>
      </c>
      <c r="I11494" t="s">
        <v>33919</v>
      </c>
      <c r="J11494" t="s">
        <v>30511</v>
      </c>
    </row>
    <row r="11495" spans="1:10" x14ac:dyDescent="0.25">
      <c r="A11495" t="s">
        <v>33920</v>
      </c>
      <c r="B11495">
        <v>5.4</v>
      </c>
      <c r="C11495" t="s">
        <v>33921</v>
      </c>
      <c r="D11495" t="s">
        <v>2572</v>
      </c>
      <c r="E11495" t="s">
        <v>33917</v>
      </c>
      <c r="F11495" t="s">
        <v>7672</v>
      </c>
      <c r="G11495" t="s">
        <v>33918</v>
      </c>
      <c r="H11495" t="s">
        <v>31775</v>
      </c>
      <c r="I11495" t="s">
        <v>33919</v>
      </c>
      <c r="J11495" t="s">
        <v>30516</v>
      </c>
    </row>
    <row r="11496" spans="1:10" x14ac:dyDescent="0.25">
      <c r="A11496" t="s">
        <v>1538</v>
      </c>
      <c r="B11496">
        <v>20.847999999999999</v>
      </c>
      <c r="C11496" t="s">
        <v>1540</v>
      </c>
      <c r="D11496" t="s">
        <v>342</v>
      </c>
      <c r="E11496" t="s">
        <v>1541</v>
      </c>
      <c r="F11496" t="s">
        <v>7672</v>
      </c>
      <c r="G11496" t="s">
        <v>33922</v>
      </c>
      <c r="H11496" t="s">
        <v>10970</v>
      </c>
      <c r="I11496" t="s">
        <v>33923</v>
      </c>
      <c r="J11496" t="s">
        <v>17923</v>
      </c>
    </row>
    <row r="11497" spans="1:10" x14ac:dyDescent="0.25">
      <c r="A11497" t="s">
        <v>1545</v>
      </c>
      <c r="B11497">
        <v>20.847999999999999</v>
      </c>
      <c r="C11497" t="s">
        <v>1547</v>
      </c>
      <c r="D11497" t="s">
        <v>255</v>
      </c>
      <c r="E11497" t="s">
        <v>1541</v>
      </c>
      <c r="F11497" t="s">
        <v>7672</v>
      </c>
      <c r="G11497" t="s">
        <v>33922</v>
      </c>
      <c r="H11497" t="s">
        <v>10970</v>
      </c>
      <c r="I11497" t="s">
        <v>33924</v>
      </c>
      <c r="J11497" t="s">
        <v>17923</v>
      </c>
    </row>
    <row r="11498" spans="1:10" x14ac:dyDescent="0.25">
      <c r="A11498" t="s">
        <v>33925</v>
      </c>
      <c r="B11498">
        <v>4.16</v>
      </c>
      <c r="C11498" t="s">
        <v>33926</v>
      </c>
      <c r="D11498" t="s">
        <v>2620</v>
      </c>
      <c r="E11498" t="s">
        <v>33927</v>
      </c>
      <c r="F11498" t="s">
        <v>7672</v>
      </c>
      <c r="G11498" t="s">
        <v>33928</v>
      </c>
      <c r="H11498" t="s">
        <v>26624</v>
      </c>
      <c r="I11498" t="s">
        <v>33929</v>
      </c>
      <c r="J11498" t="s">
        <v>7942</v>
      </c>
    </row>
    <row r="11499" spans="1:10" x14ac:dyDescent="0.25">
      <c r="A11499" t="s">
        <v>33930</v>
      </c>
      <c r="B11499">
        <v>4.16</v>
      </c>
      <c r="C11499" t="s">
        <v>33931</v>
      </c>
      <c r="D11499" t="s">
        <v>698</v>
      </c>
      <c r="E11499" t="s">
        <v>33927</v>
      </c>
      <c r="F11499" t="s">
        <v>7672</v>
      </c>
      <c r="G11499" t="s">
        <v>33928</v>
      </c>
      <c r="H11499" t="s">
        <v>26624</v>
      </c>
      <c r="I11499" t="s">
        <v>33932</v>
      </c>
      <c r="J11499" t="s">
        <v>7942</v>
      </c>
    </row>
    <row r="11500" spans="1:10" x14ac:dyDescent="0.25">
      <c r="A11500" t="s">
        <v>33933</v>
      </c>
      <c r="B11500">
        <v>4.16</v>
      </c>
      <c r="C11500" t="s">
        <v>33934</v>
      </c>
      <c r="D11500" t="s">
        <v>352</v>
      </c>
      <c r="E11500" t="s">
        <v>33927</v>
      </c>
      <c r="F11500" t="s">
        <v>7672</v>
      </c>
      <c r="G11500" t="s">
        <v>33928</v>
      </c>
      <c r="H11500" t="s">
        <v>26624</v>
      </c>
      <c r="I11500" t="s">
        <v>33932</v>
      </c>
      <c r="J11500" t="s">
        <v>7981</v>
      </c>
    </row>
    <row r="11501" spans="1:10" x14ac:dyDescent="0.25">
      <c r="A11501" t="s">
        <v>33935</v>
      </c>
      <c r="B11501">
        <v>4.16</v>
      </c>
      <c r="C11501" t="s">
        <v>33936</v>
      </c>
      <c r="D11501" t="s">
        <v>240</v>
      </c>
      <c r="E11501" t="s">
        <v>33927</v>
      </c>
      <c r="F11501" t="s">
        <v>7672</v>
      </c>
      <c r="G11501" t="s">
        <v>33928</v>
      </c>
      <c r="H11501" t="s">
        <v>26624</v>
      </c>
      <c r="I11501" t="s">
        <v>33932</v>
      </c>
      <c r="J11501" t="s">
        <v>7984</v>
      </c>
    </row>
    <row r="11502" spans="1:10" x14ac:dyDescent="0.25">
      <c r="A11502" t="s">
        <v>33937</v>
      </c>
      <c r="B11502">
        <v>4.16</v>
      </c>
      <c r="C11502" t="s">
        <v>33938</v>
      </c>
      <c r="D11502" t="s">
        <v>2910</v>
      </c>
      <c r="E11502" t="s">
        <v>33927</v>
      </c>
      <c r="F11502" t="s">
        <v>7672</v>
      </c>
      <c r="G11502" t="s">
        <v>33928</v>
      </c>
      <c r="H11502" t="s">
        <v>26624</v>
      </c>
      <c r="I11502" t="s">
        <v>33932</v>
      </c>
      <c r="J11502" t="s">
        <v>7987</v>
      </c>
    </row>
    <row r="11503" spans="1:10" x14ac:dyDescent="0.25">
      <c r="A11503" t="s">
        <v>33939</v>
      </c>
      <c r="B11503">
        <v>7.2</v>
      </c>
      <c r="C11503" t="s">
        <v>33940</v>
      </c>
      <c r="D11503" t="s">
        <v>742</v>
      </c>
      <c r="E11503" t="s">
        <v>33941</v>
      </c>
      <c r="F11503" t="s">
        <v>7672</v>
      </c>
      <c r="G11503" t="s">
        <v>33942</v>
      </c>
      <c r="H11503" t="s">
        <v>10298</v>
      </c>
      <c r="I11503" t="s">
        <v>33331</v>
      </c>
      <c r="J11503" t="s">
        <v>8980</v>
      </c>
    </row>
    <row r="11504" spans="1:10" x14ac:dyDescent="0.25">
      <c r="A11504" t="s">
        <v>33943</v>
      </c>
      <c r="B11504">
        <v>7.2</v>
      </c>
      <c r="C11504" t="s">
        <v>33944</v>
      </c>
      <c r="D11504" t="s">
        <v>229</v>
      </c>
      <c r="E11504" t="s">
        <v>33941</v>
      </c>
      <c r="F11504" t="s">
        <v>7672</v>
      </c>
      <c r="G11504" t="s">
        <v>33942</v>
      </c>
      <c r="H11504" t="s">
        <v>10298</v>
      </c>
      <c r="I11504" t="s">
        <v>33331</v>
      </c>
      <c r="J11504" t="s">
        <v>53</v>
      </c>
    </row>
    <row r="11505" spans="1:10" x14ac:dyDescent="0.25">
      <c r="A11505" t="s">
        <v>33945</v>
      </c>
      <c r="B11505">
        <v>7.2</v>
      </c>
      <c r="C11505" t="s">
        <v>33946</v>
      </c>
      <c r="D11505" t="s">
        <v>1134</v>
      </c>
      <c r="E11505" t="s">
        <v>33941</v>
      </c>
      <c r="F11505" t="s">
        <v>7672</v>
      </c>
      <c r="G11505" t="s">
        <v>33942</v>
      </c>
      <c r="H11505" t="s">
        <v>10298</v>
      </c>
      <c r="I11505" t="s">
        <v>33331</v>
      </c>
      <c r="J11505" t="s">
        <v>342</v>
      </c>
    </row>
    <row r="11506" spans="1:10" x14ac:dyDescent="0.25">
      <c r="A11506" t="s">
        <v>33947</v>
      </c>
      <c r="B11506">
        <v>7.2</v>
      </c>
      <c r="C11506" t="s">
        <v>33948</v>
      </c>
      <c r="D11506" t="s">
        <v>311</v>
      </c>
      <c r="E11506" t="s">
        <v>33941</v>
      </c>
      <c r="F11506" t="s">
        <v>7672</v>
      </c>
      <c r="G11506" t="s">
        <v>33942</v>
      </c>
      <c r="H11506" t="s">
        <v>10298</v>
      </c>
      <c r="I11506" t="s">
        <v>33331</v>
      </c>
      <c r="J11506" t="s">
        <v>106</v>
      </c>
    </row>
    <row r="11507" spans="1:10" x14ac:dyDescent="0.25">
      <c r="A11507" t="s">
        <v>33949</v>
      </c>
      <c r="B11507">
        <v>7.2</v>
      </c>
      <c r="C11507" t="s">
        <v>33950</v>
      </c>
      <c r="D11507" t="s">
        <v>875</v>
      </c>
      <c r="E11507" t="s">
        <v>33941</v>
      </c>
      <c r="F11507" t="s">
        <v>7672</v>
      </c>
      <c r="G11507" t="s">
        <v>33942</v>
      </c>
      <c r="H11507" t="s">
        <v>10298</v>
      </c>
      <c r="I11507" t="s">
        <v>33331</v>
      </c>
      <c r="J11507" t="s">
        <v>131</v>
      </c>
    </row>
    <row r="11508" spans="1:10" x14ac:dyDescent="0.25">
      <c r="A11508" t="s">
        <v>33951</v>
      </c>
      <c r="B11508">
        <v>7.2</v>
      </c>
      <c r="C11508" t="s">
        <v>33952</v>
      </c>
      <c r="D11508" t="s">
        <v>776</v>
      </c>
      <c r="E11508" t="s">
        <v>33941</v>
      </c>
      <c r="F11508" t="s">
        <v>7672</v>
      </c>
      <c r="G11508" t="s">
        <v>33942</v>
      </c>
      <c r="H11508" t="s">
        <v>10298</v>
      </c>
      <c r="I11508" t="s">
        <v>33331</v>
      </c>
      <c r="J11508" t="s">
        <v>576</v>
      </c>
    </row>
    <row r="11509" spans="1:10" x14ac:dyDescent="0.25">
      <c r="A11509" t="s">
        <v>33953</v>
      </c>
      <c r="B11509">
        <v>7.2</v>
      </c>
      <c r="C11509" t="s">
        <v>33954</v>
      </c>
      <c r="D11509" t="s">
        <v>698</v>
      </c>
      <c r="E11509" t="s">
        <v>33941</v>
      </c>
      <c r="F11509" t="s">
        <v>7672</v>
      </c>
      <c r="G11509" t="s">
        <v>33942</v>
      </c>
      <c r="H11509" t="s">
        <v>10298</v>
      </c>
      <c r="I11509" t="s">
        <v>33331</v>
      </c>
      <c r="J11509" t="s">
        <v>282</v>
      </c>
    </row>
    <row r="11510" spans="1:10" x14ac:dyDescent="0.25">
      <c r="A11510" t="s">
        <v>33955</v>
      </c>
      <c r="B11510">
        <v>7.2</v>
      </c>
      <c r="C11510" t="s">
        <v>33956</v>
      </c>
      <c r="D11510" t="s">
        <v>352</v>
      </c>
      <c r="E11510" t="s">
        <v>33941</v>
      </c>
      <c r="F11510" t="s">
        <v>7672</v>
      </c>
      <c r="G11510" t="s">
        <v>33942</v>
      </c>
      <c r="H11510" t="s">
        <v>10298</v>
      </c>
      <c r="I11510" t="s">
        <v>33331</v>
      </c>
      <c r="J11510" t="s">
        <v>436</v>
      </c>
    </row>
    <row r="11511" spans="1:10" x14ac:dyDescent="0.25">
      <c r="A11511" t="s">
        <v>33957</v>
      </c>
      <c r="B11511">
        <v>7.2</v>
      </c>
      <c r="C11511" t="s">
        <v>33958</v>
      </c>
      <c r="D11511" t="s">
        <v>290</v>
      </c>
      <c r="E11511" t="s">
        <v>33941</v>
      </c>
      <c r="F11511" t="s">
        <v>7672</v>
      </c>
      <c r="G11511" t="s">
        <v>33942</v>
      </c>
      <c r="H11511" t="s">
        <v>10298</v>
      </c>
      <c r="I11511" t="s">
        <v>33331</v>
      </c>
      <c r="J11511" t="s">
        <v>330</v>
      </c>
    </row>
    <row r="11512" spans="1:10" x14ac:dyDescent="0.25">
      <c r="A11512" t="s">
        <v>33959</v>
      </c>
      <c r="B11512">
        <v>7.2</v>
      </c>
      <c r="C11512" t="s">
        <v>33960</v>
      </c>
      <c r="D11512" t="s">
        <v>255</v>
      </c>
      <c r="E11512" t="s">
        <v>33961</v>
      </c>
      <c r="F11512" t="s">
        <v>7672</v>
      </c>
      <c r="G11512" t="s">
        <v>33962</v>
      </c>
      <c r="H11512" t="s">
        <v>11496</v>
      </c>
      <c r="I11512" t="s">
        <v>18427</v>
      </c>
      <c r="J11512" t="s">
        <v>9423</v>
      </c>
    </row>
    <row r="11513" spans="1:10" x14ac:dyDescent="0.25">
      <c r="A11513" t="s">
        <v>33963</v>
      </c>
      <c r="B11513">
        <v>7.2</v>
      </c>
      <c r="C11513" t="s">
        <v>33964</v>
      </c>
      <c r="D11513" t="s">
        <v>53</v>
      </c>
      <c r="E11513" t="s">
        <v>33961</v>
      </c>
      <c r="F11513" t="s">
        <v>7672</v>
      </c>
      <c r="G11513" t="s">
        <v>33962</v>
      </c>
      <c r="H11513" t="s">
        <v>11496</v>
      </c>
      <c r="I11513" t="s">
        <v>18427</v>
      </c>
      <c r="J11513" t="s">
        <v>9426</v>
      </c>
    </row>
    <row r="11514" spans="1:10" x14ac:dyDescent="0.25">
      <c r="A11514" t="s">
        <v>33965</v>
      </c>
      <c r="B11514">
        <v>186</v>
      </c>
      <c r="C11514" t="s">
        <v>33966</v>
      </c>
      <c r="D11514" t="s">
        <v>2910</v>
      </c>
      <c r="E11514" t="s">
        <v>33967</v>
      </c>
      <c r="F11514" t="s">
        <v>7672</v>
      </c>
      <c r="G11514" t="s">
        <v>33968</v>
      </c>
      <c r="H11514" t="s">
        <v>9693</v>
      </c>
      <c r="I11514" t="s">
        <v>18323</v>
      </c>
      <c r="J11514" t="s">
        <v>9694</v>
      </c>
    </row>
    <row r="11515" spans="1:10" x14ac:dyDescent="0.25">
      <c r="A11515" t="s">
        <v>33969</v>
      </c>
      <c r="B11515">
        <v>11.52</v>
      </c>
      <c r="C11515" t="s">
        <v>33970</v>
      </c>
      <c r="D11515" t="s">
        <v>8803</v>
      </c>
      <c r="E11515" t="s">
        <v>33971</v>
      </c>
      <c r="F11515" t="s">
        <v>7672</v>
      </c>
      <c r="G11515" t="s">
        <v>33972</v>
      </c>
      <c r="H11515" t="s">
        <v>7974</v>
      </c>
      <c r="I11515" t="s">
        <v>33973</v>
      </c>
      <c r="J11515" t="s">
        <v>8439</v>
      </c>
    </row>
    <row r="11516" spans="1:10" x14ac:dyDescent="0.25">
      <c r="A11516" t="s">
        <v>33974</v>
      </c>
      <c r="B11516">
        <v>11.52</v>
      </c>
      <c r="C11516" t="s">
        <v>33975</v>
      </c>
      <c r="D11516" t="s">
        <v>450</v>
      </c>
      <c r="E11516" t="s">
        <v>33971</v>
      </c>
      <c r="F11516" t="s">
        <v>7672</v>
      </c>
      <c r="G11516" t="s">
        <v>33972</v>
      </c>
      <c r="H11516" t="s">
        <v>7974</v>
      </c>
      <c r="I11516" t="s">
        <v>33973</v>
      </c>
      <c r="J11516" t="s">
        <v>8451</v>
      </c>
    </row>
    <row r="11517" spans="1:10" x14ac:dyDescent="0.25">
      <c r="A11517" t="s">
        <v>33976</v>
      </c>
      <c r="B11517">
        <v>11.52</v>
      </c>
      <c r="C11517" t="s">
        <v>33977</v>
      </c>
      <c r="D11517" t="s">
        <v>2253</v>
      </c>
      <c r="E11517" t="s">
        <v>33971</v>
      </c>
      <c r="F11517" t="s">
        <v>7672</v>
      </c>
      <c r="G11517" t="s">
        <v>33972</v>
      </c>
      <c r="H11517" t="s">
        <v>7974</v>
      </c>
      <c r="I11517" t="s">
        <v>33973</v>
      </c>
      <c r="J11517" t="s">
        <v>8462</v>
      </c>
    </row>
    <row r="11518" spans="1:10" x14ac:dyDescent="0.25">
      <c r="A11518" t="s">
        <v>33978</v>
      </c>
      <c r="B11518">
        <v>11.52</v>
      </c>
      <c r="C11518" t="s">
        <v>33979</v>
      </c>
      <c r="D11518" t="s">
        <v>359</v>
      </c>
      <c r="E11518" t="s">
        <v>33971</v>
      </c>
      <c r="F11518" t="s">
        <v>7672</v>
      </c>
      <c r="G11518" t="s">
        <v>33972</v>
      </c>
      <c r="H11518" t="s">
        <v>7974</v>
      </c>
      <c r="I11518" t="s">
        <v>33973</v>
      </c>
      <c r="J11518" t="s">
        <v>9998</v>
      </c>
    </row>
    <row r="11519" spans="1:10" x14ac:dyDescent="0.25">
      <c r="A11519" t="s">
        <v>1550</v>
      </c>
      <c r="B11519">
        <v>3.592000000000001</v>
      </c>
      <c r="C11519" t="s">
        <v>1552</v>
      </c>
      <c r="D11519" t="s">
        <v>144</v>
      </c>
      <c r="E11519" t="s">
        <v>1553</v>
      </c>
      <c r="F11519" t="s">
        <v>7672</v>
      </c>
      <c r="G11519" t="s">
        <v>33980</v>
      </c>
      <c r="H11519" t="s">
        <v>27698</v>
      </c>
      <c r="I11519" t="s">
        <v>5302</v>
      </c>
      <c r="J11519" t="s">
        <v>7981</v>
      </c>
    </row>
    <row r="11520" spans="1:10" x14ac:dyDescent="0.25">
      <c r="A11520" t="s">
        <v>1557</v>
      </c>
      <c r="B11520">
        <v>3.592000000000001</v>
      </c>
      <c r="C11520" t="s">
        <v>1559</v>
      </c>
      <c r="D11520" t="s">
        <v>941</v>
      </c>
      <c r="E11520" t="s">
        <v>1553</v>
      </c>
      <c r="F11520" t="s">
        <v>7672</v>
      </c>
      <c r="G11520" t="s">
        <v>33980</v>
      </c>
      <c r="H11520" t="s">
        <v>27698</v>
      </c>
      <c r="I11520" t="s">
        <v>410</v>
      </c>
      <c r="J11520" t="s">
        <v>7981</v>
      </c>
    </row>
    <row r="11521" spans="1:10" x14ac:dyDescent="0.25">
      <c r="A11521" t="s">
        <v>1563</v>
      </c>
      <c r="B11521">
        <v>3.592000000000001</v>
      </c>
      <c r="C11521" t="s">
        <v>1565</v>
      </c>
      <c r="D11521" t="s">
        <v>1567</v>
      </c>
      <c r="E11521" t="s">
        <v>1553</v>
      </c>
      <c r="F11521" t="s">
        <v>7672</v>
      </c>
      <c r="G11521" t="s">
        <v>33980</v>
      </c>
      <c r="H11521" t="s">
        <v>27698</v>
      </c>
      <c r="I11521" t="s">
        <v>5302</v>
      </c>
      <c r="J11521" t="s">
        <v>7984</v>
      </c>
    </row>
    <row r="11522" spans="1:10" x14ac:dyDescent="0.25">
      <c r="A11522" t="s">
        <v>1569</v>
      </c>
      <c r="B11522">
        <v>4.1920000000000002</v>
      </c>
      <c r="C11522" t="s">
        <v>1571</v>
      </c>
      <c r="D11522" t="s">
        <v>1573</v>
      </c>
      <c r="E11522" t="s">
        <v>1553</v>
      </c>
      <c r="F11522" t="s">
        <v>7672</v>
      </c>
      <c r="G11522" t="s">
        <v>33980</v>
      </c>
      <c r="H11522" t="s">
        <v>27698</v>
      </c>
      <c r="I11522" t="s">
        <v>410</v>
      </c>
      <c r="J11522" t="s">
        <v>7984</v>
      </c>
    </row>
    <row r="11523" spans="1:10" x14ac:dyDescent="0.25">
      <c r="A11523" t="s">
        <v>1575</v>
      </c>
      <c r="B11523">
        <v>3.592000000000001</v>
      </c>
      <c r="C11523" t="s">
        <v>1577</v>
      </c>
      <c r="D11523" t="s">
        <v>1579</v>
      </c>
      <c r="E11523" t="s">
        <v>1553</v>
      </c>
      <c r="F11523" t="s">
        <v>7672</v>
      </c>
      <c r="G11523" t="s">
        <v>33980</v>
      </c>
      <c r="H11523" t="s">
        <v>27698</v>
      </c>
      <c r="I11523" t="s">
        <v>410</v>
      </c>
      <c r="J11523" t="s">
        <v>7987</v>
      </c>
    </row>
    <row r="11524" spans="1:10" x14ac:dyDescent="0.25">
      <c r="A11524" t="s">
        <v>1581</v>
      </c>
      <c r="B11524">
        <v>4.1920000000000002</v>
      </c>
      <c r="C11524" t="s">
        <v>1583</v>
      </c>
      <c r="D11524" t="s">
        <v>975</v>
      </c>
      <c r="E11524" t="s">
        <v>1553</v>
      </c>
      <c r="F11524" t="s">
        <v>7672</v>
      </c>
      <c r="G11524" t="s">
        <v>33980</v>
      </c>
      <c r="H11524" t="s">
        <v>27698</v>
      </c>
      <c r="I11524" t="s">
        <v>5302</v>
      </c>
      <c r="J11524" t="s">
        <v>7987</v>
      </c>
    </row>
    <row r="11525" spans="1:10" x14ac:dyDescent="0.25">
      <c r="A11525" t="s">
        <v>33981</v>
      </c>
      <c r="B11525">
        <v>10.792</v>
      </c>
      <c r="C11525" t="s">
        <v>33982</v>
      </c>
      <c r="D11525" t="s">
        <v>269</v>
      </c>
      <c r="E11525" t="s">
        <v>33983</v>
      </c>
      <c r="F11525" t="s">
        <v>7672</v>
      </c>
      <c r="G11525" t="s">
        <v>33984</v>
      </c>
      <c r="H11525" t="s">
        <v>8087</v>
      </c>
      <c r="I11525" t="s">
        <v>4045</v>
      </c>
      <c r="J11525" t="s">
        <v>113</v>
      </c>
    </row>
    <row r="11526" spans="1:10" x14ac:dyDescent="0.25">
      <c r="A11526" t="s">
        <v>33985</v>
      </c>
      <c r="B11526">
        <v>4.16</v>
      </c>
      <c r="C11526" t="s">
        <v>33986</v>
      </c>
      <c r="D11526" t="s">
        <v>1236</v>
      </c>
      <c r="E11526" t="s">
        <v>33987</v>
      </c>
      <c r="F11526" t="s">
        <v>7672</v>
      </c>
      <c r="G11526" t="s">
        <v>33988</v>
      </c>
      <c r="H11526" t="s">
        <v>26624</v>
      </c>
      <c r="I11526" t="s">
        <v>33989</v>
      </c>
      <c r="J11526" t="s">
        <v>7984</v>
      </c>
    </row>
    <row r="11527" spans="1:10" x14ac:dyDescent="0.25">
      <c r="A11527" t="s">
        <v>33990</v>
      </c>
      <c r="B11527">
        <v>4.16</v>
      </c>
      <c r="C11527" t="s">
        <v>33991</v>
      </c>
      <c r="D11527" t="s">
        <v>781</v>
      </c>
      <c r="E11527" t="s">
        <v>33987</v>
      </c>
      <c r="F11527" t="s">
        <v>7672</v>
      </c>
      <c r="G11527" t="s">
        <v>33988</v>
      </c>
      <c r="H11527" t="s">
        <v>26624</v>
      </c>
      <c r="I11527" t="s">
        <v>33989</v>
      </c>
      <c r="J11527" t="s">
        <v>7987</v>
      </c>
    </row>
    <row r="11528" spans="1:10" x14ac:dyDescent="0.25">
      <c r="A11528" t="s">
        <v>33992</v>
      </c>
      <c r="B11528">
        <v>4.16</v>
      </c>
      <c r="C11528" t="s">
        <v>33993</v>
      </c>
      <c r="D11528" t="s">
        <v>2910</v>
      </c>
      <c r="E11528" t="s">
        <v>33987</v>
      </c>
      <c r="F11528" t="s">
        <v>7672</v>
      </c>
      <c r="G11528" t="s">
        <v>33988</v>
      </c>
      <c r="H11528" t="s">
        <v>26624</v>
      </c>
      <c r="I11528" t="s">
        <v>33989</v>
      </c>
      <c r="J11528" t="s">
        <v>8001</v>
      </c>
    </row>
    <row r="11529" spans="1:10" x14ac:dyDescent="0.25">
      <c r="A11529" t="s">
        <v>33994</v>
      </c>
      <c r="B11529">
        <v>7.68</v>
      </c>
      <c r="C11529" t="s">
        <v>33995</v>
      </c>
      <c r="D11529" t="s">
        <v>269</v>
      </c>
      <c r="E11529" t="s">
        <v>33996</v>
      </c>
      <c r="F11529" t="s">
        <v>7672</v>
      </c>
      <c r="G11529" t="s">
        <v>33997</v>
      </c>
      <c r="H11529" t="s">
        <v>10298</v>
      </c>
      <c r="I11529" t="s">
        <v>9733</v>
      </c>
      <c r="J11529" t="s">
        <v>15076</v>
      </c>
    </row>
    <row r="11530" spans="1:10" x14ac:dyDescent="0.25">
      <c r="A11530" t="s">
        <v>33998</v>
      </c>
      <c r="B11530">
        <v>7.68</v>
      </c>
      <c r="C11530" t="s">
        <v>33999</v>
      </c>
      <c r="D11530" t="s">
        <v>131</v>
      </c>
      <c r="E11530" t="s">
        <v>33996</v>
      </c>
      <c r="F11530" t="s">
        <v>7672</v>
      </c>
      <c r="G11530" t="s">
        <v>33997</v>
      </c>
      <c r="H11530" t="s">
        <v>10298</v>
      </c>
      <c r="I11530" t="s">
        <v>9733</v>
      </c>
      <c r="J11530" t="s">
        <v>15079</v>
      </c>
    </row>
    <row r="11531" spans="1:10" x14ac:dyDescent="0.25">
      <c r="A11531" t="s">
        <v>34000</v>
      </c>
      <c r="B11531">
        <v>3.3759999999999999</v>
      </c>
      <c r="C11531" t="s">
        <v>34001</v>
      </c>
      <c r="D11531" t="s">
        <v>7898</v>
      </c>
      <c r="E11531" t="s">
        <v>34002</v>
      </c>
      <c r="F11531" t="s">
        <v>7672</v>
      </c>
      <c r="G11531" t="s">
        <v>34003</v>
      </c>
      <c r="H11531" t="s">
        <v>24357</v>
      </c>
      <c r="I11531" t="s">
        <v>497</v>
      </c>
      <c r="J11531" t="s">
        <v>9694</v>
      </c>
    </row>
    <row r="11532" spans="1:10" x14ac:dyDescent="0.25">
      <c r="A11532" t="s">
        <v>1586</v>
      </c>
      <c r="B11532">
        <v>7.9200000000000008</v>
      </c>
      <c r="C11532" t="s">
        <v>1588</v>
      </c>
      <c r="D11532" t="s">
        <v>436</v>
      </c>
      <c r="E11532" t="s">
        <v>1589</v>
      </c>
      <c r="F11532" t="s">
        <v>7672</v>
      </c>
      <c r="G11532" t="s">
        <v>34004</v>
      </c>
      <c r="H11532" t="s">
        <v>25715</v>
      </c>
      <c r="I11532" t="s">
        <v>34005</v>
      </c>
      <c r="J11532" t="s">
        <v>7981</v>
      </c>
    </row>
    <row r="11533" spans="1:10" x14ac:dyDescent="0.25">
      <c r="A11533" t="s">
        <v>34006</v>
      </c>
      <c r="B11533">
        <v>7.9200000000000008</v>
      </c>
      <c r="C11533" t="s">
        <v>34007</v>
      </c>
      <c r="D11533" t="s">
        <v>588</v>
      </c>
      <c r="E11533" t="s">
        <v>1589</v>
      </c>
      <c r="F11533" t="s">
        <v>7672</v>
      </c>
      <c r="G11533" t="s">
        <v>34004</v>
      </c>
      <c r="H11533" t="s">
        <v>25715</v>
      </c>
      <c r="I11533" t="s">
        <v>34008</v>
      </c>
      <c r="J11533" t="s">
        <v>7981</v>
      </c>
    </row>
    <row r="11534" spans="1:10" x14ac:dyDescent="0.25">
      <c r="A11534" t="s">
        <v>1591</v>
      </c>
      <c r="B11534">
        <v>4.7920000000000007</v>
      </c>
      <c r="C11534" t="s">
        <v>1593</v>
      </c>
      <c r="D11534" t="s">
        <v>1596</v>
      </c>
      <c r="E11534" t="s">
        <v>1594</v>
      </c>
      <c r="F11534" t="s">
        <v>7672</v>
      </c>
      <c r="G11534" t="s">
        <v>34009</v>
      </c>
      <c r="H11534" t="s">
        <v>26019</v>
      </c>
      <c r="I11534" t="s">
        <v>497</v>
      </c>
      <c r="J11534" t="s">
        <v>9694</v>
      </c>
    </row>
    <row r="11535" spans="1:10" x14ac:dyDescent="0.25">
      <c r="A11535" t="s">
        <v>34010</v>
      </c>
      <c r="B11535">
        <v>90</v>
      </c>
      <c r="C11535" t="s">
        <v>34011</v>
      </c>
      <c r="D11535" t="s">
        <v>835</v>
      </c>
      <c r="E11535" t="s">
        <v>34012</v>
      </c>
      <c r="F11535" t="s">
        <v>7672</v>
      </c>
      <c r="G11535" t="s">
        <v>34013</v>
      </c>
      <c r="H11535" t="s">
        <v>19910</v>
      </c>
      <c r="I11535" t="s">
        <v>33856</v>
      </c>
      <c r="J11535" t="s">
        <v>9694</v>
      </c>
    </row>
    <row r="11536" spans="1:10" x14ac:dyDescent="0.25">
      <c r="A11536" t="s">
        <v>34014</v>
      </c>
      <c r="B11536">
        <v>60</v>
      </c>
      <c r="C11536" t="s">
        <v>34015</v>
      </c>
      <c r="D11536" t="s">
        <v>60</v>
      </c>
      <c r="E11536" t="s">
        <v>34016</v>
      </c>
      <c r="F11536" t="s">
        <v>7672</v>
      </c>
      <c r="G11536" t="s">
        <v>34017</v>
      </c>
      <c r="H11536" t="s">
        <v>9693</v>
      </c>
      <c r="I11536" t="s">
        <v>17521</v>
      </c>
      <c r="J11536" t="s">
        <v>88</v>
      </c>
    </row>
    <row r="11537" spans="1:10" x14ac:dyDescent="0.25">
      <c r="A11537" t="s">
        <v>34018</v>
      </c>
      <c r="B11537">
        <v>9</v>
      </c>
      <c r="C11537" t="s">
        <v>34019</v>
      </c>
      <c r="D11537" t="s">
        <v>269</v>
      </c>
      <c r="E11537" t="s">
        <v>34020</v>
      </c>
      <c r="F11537" t="s">
        <v>7672</v>
      </c>
      <c r="G11537" t="s">
        <v>27967</v>
      </c>
      <c r="H11537" t="s">
        <v>8027</v>
      </c>
      <c r="I11537" t="s">
        <v>8272</v>
      </c>
      <c r="J11537" t="s">
        <v>8427</v>
      </c>
    </row>
    <row r="11538" spans="1:10" x14ac:dyDescent="0.25">
      <c r="A11538" t="s">
        <v>34021</v>
      </c>
      <c r="B11538">
        <v>9</v>
      </c>
      <c r="C11538" t="s">
        <v>34022</v>
      </c>
      <c r="D11538" t="s">
        <v>959</v>
      </c>
      <c r="E11538" t="s">
        <v>34020</v>
      </c>
      <c r="F11538" t="s">
        <v>7672</v>
      </c>
      <c r="G11538" t="s">
        <v>27967</v>
      </c>
      <c r="H11538" t="s">
        <v>8027</v>
      </c>
      <c r="I11538" t="s">
        <v>8272</v>
      </c>
      <c r="J11538" t="s">
        <v>8439</v>
      </c>
    </row>
    <row r="11539" spans="1:10" x14ac:dyDescent="0.25">
      <c r="A11539" t="s">
        <v>34023</v>
      </c>
      <c r="B11539">
        <v>9</v>
      </c>
      <c r="C11539" t="s">
        <v>34024</v>
      </c>
      <c r="D11539" t="s">
        <v>250</v>
      </c>
      <c r="E11539" t="s">
        <v>34020</v>
      </c>
      <c r="F11539" t="s">
        <v>7672</v>
      </c>
      <c r="G11539" t="s">
        <v>27967</v>
      </c>
      <c r="H11539" t="s">
        <v>8027</v>
      </c>
      <c r="I11539" t="s">
        <v>21008</v>
      </c>
      <c r="J11539" t="s">
        <v>8439</v>
      </c>
    </row>
    <row r="11540" spans="1:10" x14ac:dyDescent="0.25">
      <c r="A11540" t="s">
        <v>34025</v>
      </c>
      <c r="B11540">
        <v>90</v>
      </c>
      <c r="C11540" t="s">
        <v>34026</v>
      </c>
      <c r="D11540" t="s">
        <v>4100</v>
      </c>
      <c r="E11540" t="s">
        <v>34027</v>
      </c>
      <c r="F11540" t="s">
        <v>7672</v>
      </c>
      <c r="G11540" t="s">
        <v>34028</v>
      </c>
      <c r="H11540" t="s">
        <v>9693</v>
      </c>
      <c r="I11540" t="s">
        <v>17521</v>
      </c>
      <c r="J11540" t="s">
        <v>9694</v>
      </c>
    </row>
    <row r="11541" spans="1:10" x14ac:dyDescent="0.25">
      <c r="A11541" t="s">
        <v>34029</v>
      </c>
      <c r="B11541">
        <v>180</v>
      </c>
      <c r="C11541" t="s">
        <v>34030</v>
      </c>
      <c r="D11541" t="s">
        <v>3577</v>
      </c>
      <c r="E11541" t="s">
        <v>34031</v>
      </c>
      <c r="F11541" t="s">
        <v>7672</v>
      </c>
      <c r="G11541" t="s">
        <v>34032</v>
      </c>
      <c r="H11541" t="s">
        <v>9693</v>
      </c>
      <c r="I11541" t="s">
        <v>17521</v>
      </c>
      <c r="J11541" t="s">
        <v>9694</v>
      </c>
    </row>
    <row r="11542" spans="1:10" x14ac:dyDescent="0.25">
      <c r="A11542" t="s">
        <v>34033</v>
      </c>
      <c r="B11542">
        <v>36</v>
      </c>
      <c r="C11542" t="s">
        <v>34034</v>
      </c>
      <c r="D11542" t="s">
        <v>2620</v>
      </c>
      <c r="E11542" t="s">
        <v>34035</v>
      </c>
      <c r="F11542" t="s">
        <v>7672</v>
      </c>
      <c r="G11542" t="s">
        <v>34036</v>
      </c>
      <c r="H11542" t="s">
        <v>32316</v>
      </c>
      <c r="I11542" t="s">
        <v>30812</v>
      </c>
      <c r="J11542" t="s">
        <v>9694</v>
      </c>
    </row>
    <row r="11543" spans="1:10" x14ac:dyDescent="0.25">
      <c r="A11543" t="s">
        <v>34037</v>
      </c>
      <c r="B11543">
        <v>180</v>
      </c>
      <c r="C11543" t="s">
        <v>34038</v>
      </c>
      <c r="D11543" t="s">
        <v>4579</v>
      </c>
      <c r="E11543" t="s">
        <v>34039</v>
      </c>
      <c r="F11543" t="s">
        <v>7672</v>
      </c>
      <c r="G11543" t="s">
        <v>34040</v>
      </c>
      <c r="H11543" t="s">
        <v>9693</v>
      </c>
      <c r="I11543" t="s">
        <v>26279</v>
      </c>
      <c r="J11543" t="s">
        <v>9694</v>
      </c>
    </row>
    <row r="11544" spans="1:10" x14ac:dyDescent="0.25">
      <c r="A11544" t="s">
        <v>34041</v>
      </c>
      <c r="B11544">
        <v>60</v>
      </c>
      <c r="C11544" t="s">
        <v>34042</v>
      </c>
      <c r="D11544" t="s">
        <v>3827</v>
      </c>
      <c r="E11544" t="s">
        <v>34043</v>
      </c>
      <c r="F11544" t="s">
        <v>7672</v>
      </c>
      <c r="G11544" t="s">
        <v>34044</v>
      </c>
      <c r="H11544" t="s">
        <v>9693</v>
      </c>
      <c r="I11544" t="s">
        <v>26279</v>
      </c>
      <c r="J11544" t="s">
        <v>9694</v>
      </c>
    </row>
    <row r="11545" spans="1:10" x14ac:dyDescent="0.25">
      <c r="A11545" t="s">
        <v>34045</v>
      </c>
      <c r="B11545">
        <v>60</v>
      </c>
      <c r="C11545" t="s">
        <v>34046</v>
      </c>
      <c r="D11545" t="s">
        <v>1143</v>
      </c>
      <c r="E11545" t="s">
        <v>34047</v>
      </c>
      <c r="F11545" t="s">
        <v>7672</v>
      </c>
      <c r="G11545" t="s">
        <v>34048</v>
      </c>
      <c r="H11545" t="s">
        <v>32316</v>
      </c>
      <c r="I11545" t="s">
        <v>17521</v>
      </c>
      <c r="J11545" t="s">
        <v>9694</v>
      </c>
    </row>
    <row r="11546" spans="1:10" x14ac:dyDescent="0.25">
      <c r="A11546" t="s">
        <v>34049</v>
      </c>
      <c r="B11546">
        <v>90</v>
      </c>
      <c r="C11546" t="s">
        <v>34050</v>
      </c>
      <c r="D11546" t="s">
        <v>2238</v>
      </c>
      <c r="E11546" t="s">
        <v>34051</v>
      </c>
      <c r="F11546" t="s">
        <v>7672</v>
      </c>
      <c r="G11546" t="s">
        <v>34052</v>
      </c>
      <c r="H11546" t="s">
        <v>9693</v>
      </c>
      <c r="I11546" t="s">
        <v>18323</v>
      </c>
      <c r="J11546" t="s">
        <v>9694</v>
      </c>
    </row>
    <row r="11547" spans="1:10" x14ac:dyDescent="0.25">
      <c r="A11547" t="s">
        <v>34053</v>
      </c>
      <c r="B11547">
        <v>3.52</v>
      </c>
      <c r="C11547" t="s">
        <v>34054</v>
      </c>
      <c r="D11547" t="s">
        <v>3184</v>
      </c>
      <c r="E11547" t="s">
        <v>34055</v>
      </c>
      <c r="F11547" t="s">
        <v>7672</v>
      </c>
      <c r="G11547" t="s">
        <v>34056</v>
      </c>
      <c r="H11547" t="s">
        <v>8301</v>
      </c>
      <c r="I11547" t="s">
        <v>31909</v>
      </c>
      <c r="J11547" t="s">
        <v>9694</v>
      </c>
    </row>
    <row r="11548" spans="1:10" x14ac:dyDescent="0.25">
      <c r="A11548" t="s">
        <v>34057</v>
      </c>
      <c r="B11548">
        <v>6.4</v>
      </c>
      <c r="C11548" t="s">
        <v>34058</v>
      </c>
      <c r="D11548" t="s">
        <v>436</v>
      </c>
      <c r="E11548" t="s">
        <v>34059</v>
      </c>
      <c r="F11548" t="s">
        <v>7672</v>
      </c>
      <c r="G11548" t="s">
        <v>34060</v>
      </c>
      <c r="H11548" t="s">
        <v>16993</v>
      </c>
      <c r="I11548" t="s">
        <v>34061</v>
      </c>
      <c r="J11548" t="s">
        <v>9423</v>
      </c>
    </row>
    <row r="11549" spans="1:10" x14ac:dyDescent="0.25">
      <c r="A11549" t="s">
        <v>34062</v>
      </c>
      <c r="B11549">
        <v>6.4</v>
      </c>
      <c r="C11549" t="s">
        <v>34063</v>
      </c>
      <c r="D11549" t="s">
        <v>269</v>
      </c>
      <c r="E11549" t="s">
        <v>34059</v>
      </c>
      <c r="F11549" t="s">
        <v>7672</v>
      </c>
      <c r="G11549" t="s">
        <v>34060</v>
      </c>
      <c r="H11549" t="s">
        <v>16993</v>
      </c>
      <c r="I11549" t="s">
        <v>9733</v>
      </c>
      <c r="J11549" t="s">
        <v>9423</v>
      </c>
    </row>
    <row r="11550" spans="1:10" x14ac:dyDescent="0.25">
      <c r="A11550" t="s">
        <v>34064</v>
      </c>
      <c r="B11550">
        <v>3.64</v>
      </c>
      <c r="C11550" t="s">
        <v>34065</v>
      </c>
      <c r="D11550" t="s">
        <v>290</v>
      </c>
      <c r="E11550" t="s">
        <v>34066</v>
      </c>
      <c r="F11550" t="s">
        <v>7672</v>
      </c>
      <c r="G11550" t="s">
        <v>34067</v>
      </c>
      <c r="H11550" t="s">
        <v>10298</v>
      </c>
      <c r="I11550" t="s">
        <v>34068</v>
      </c>
      <c r="J11550" t="s">
        <v>8439</v>
      </c>
    </row>
    <row r="11551" spans="1:10" x14ac:dyDescent="0.25">
      <c r="A11551" t="s">
        <v>34069</v>
      </c>
      <c r="B11551">
        <v>3.64</v>
      </c>
      <c r="C11551" t="s">
        <v>34070</v>
      </c>
      <c r="D11551" t="s">
        <v>742</v>
      </c>
      <c r="E11551" t="s">
        <v>34066</v>
      </c>
      <c r="F11551" t="s">
        <v>7672</v>
      </c>
      <c r="G11551" t="s">
        <v>34067</v>
      </c>
      <c r="H11551" t="s">
        <v>10298</v>
      </c>
      <c r="I11551" t="s">
        <v>34071</v>
      </c>
      <c r="J11551" t="s">
        <v>8439</v>
      </c>
    </row>
    <row r="11552" spans="1:10" x14ac:dyDescent="0.25">
      <c r="A11552" t="s">
        <v>34072</v>
      </c>
      <c r="B11552">
        <v>3.64</v>
      </c>
      <c r="C11552" t="s">
        <v>34073</v>
      </c>
      <c r="D11552" t="s">
        <v>255</v>
      </c>
      <c r="E11552" t="s">
        <v>34066</v>
      </c>
      <c r="F11552" t="s">
        <v>7672</v>
      </c>
      <c r="G11552" t="s">
        <v>34067</v>
      </c>
      <c r="H11552" t="s">
        <v>10298</v>
      </c>
      <c r="I11552" t="s">
        <v>34074</v>
      </c>
      <c r="J11552" t="s">
        <v>8439</v>
      </c>
    </row>
    <row r="11553" spans="1:10" x14ac:dyDescent="0.25">
      <c r="A11553" t="s">
        <v>34075</v>
      </c>
      <c r="B11553">
        <v>3.64</v>
      </c>
      <c r="C11553" t="s">
        <v>34076</v>
      </c>
      <c r="D11553" t="s">
        <v>53</v>
      </c>
      <c r="E11553" t="s">
        <v>34066</v>
      </c>
      <c r="F11553" t="s">
        <v>7672</v>
      </c>
      <c r="G11553" t="s">
        <v>34067</v>
      </c>
      <c r="H11553" t="s">
        <v>10298</v>
      </c>
      <c r="I11553" t="s">
        <v>34077</v>
      </c>
      <c r="J11553" t="s">
        <v>8439</v>
      </c>
    </row>
    <row r="11554" spans="1:10" x14ac:dyDescent="0.25">
      <c r="A11554" t="s">
        <v>34078</v>
      </c>
      <c r="B11554">
        <v>3.64</v>
      </c>
      <c r="C11554" t="s">
        <v>34079</v>
      </c>
      <c r="D11554" t="s">
        <v>269</v>
      </c>
      <c r="E11554" t="s">
        <v>34066</v>
      </c>
      <c r="F11554" t="s">
        <v>7672</v>
      </c>
      <c r="G11554" t="s">
        <v>34067</v>
      </c>
      <c r="H11554" t="s">
        <v>10298</v>
      </c>
      <c r="I11554" t="s">
        <v>34068</v>
      </c>
      <c r="J11554" t="s">
        <v>8451</v>
      </c>
    </row>
    <row r="11555" spans="1:10" x14ac:dyDescent="0.25">
      <c r="A11555" t="s">
        <v>34080</v>
      </c>
      <c r="B11555">
        <v>3.64</v>
      </c>
      <c r="C11555" t="s">
        <v>34081</v>
      </c>
      <c r="D11555" t="s">
        <v>88</v>
      </c>
      <c r="E11555" t="s">
        <v>34066</v>
      </c>
      <c r="F11555" t="s">
        <v>7672</v>
      </c>
      <c r="G11555" t="s">
        <v>34067</v>
      </c>
      <c r="H11555" t="s">
        <v>10298</v>
      </c>
      <c r="I11555" t="s">
        <v>34074</v>
      </c>
      <c r="J11555" t="s">
        <v>8451</v>
      </c>
    </row>
    <row r="11556" spans="1:10" x14ac:dyDescent="0.25">
      <c r="A11556" t="s">
        <v>34082</v>
      </c>
      <c r="B11556">
        <v>3.64</v>
      </c>
      <c r="C11556" t="s">
        <v>34083</v>
      </c>
      <c r="D11556" t="s">
        <v>576</v>
      </c>
      <c r="E11556" t="s">
        <v>34066</v>
      </c>
      <c r="F11556" t="s">
        <v>7672</v>
      </c>
      <c r="G11556" t="s">
        <v>34067</v>
      </c>
      <c r="H11556" t="s">
        <v>10298</v>
      </c>
      <c r="I11556" t="s">
        <v>34077</v>
      </c>
      <c r="J11556" t="s">
        <v>8451</v>
      </c>
    </row>
    <row r="11557" spans="1:10" x14ac:dyDescent="0.25">
      <c r="A11557" t="s">
        <v>1599</v>
      </c>
      <c r="B11557">
        <v>19.8</v>
      </c>
      <c r="C11557" t="s">
        <v>1601</v>
      </c>
      <c r="D11557" t="s">
        <v>53</v>
      </c>
      <c r="E11557" t="s">
        <v>1602</v>
      </c>
      <c r="F11557" t="s">
        <v>7672</v>
      </c>
      <c r="G11557" t="s">
        <v>34084</v>
      </c>
      <c r="H11557" t="s">
        <v>9232</v>
      </c>
      <c r="I11557" t="s">
        <v>1211</v>
      </c>
      <c r="J11557" t="s">
        <v>7675</v>
      </c>
    </row>
    <row r="11558" spans="1:10" x14ac:dyDescent="0.25">
      <c r="A11558" t="s">
        <v>1606</v>
      </c>
      <c r="B11558">
        <v>19.8</v>
      </c>
      <c r="C11558" t="s">
        <v>1608</v>
      </c>
      <c r="D11558" t="s">
        <v>53</v>
      </c>
      <c r="E11558" t="s">
        <v>1602</v>
      </c>
      <c r="F11558" t="s">
        <v>7672</v>
      </c>
      <c r="G11558" t="s">
        <v>34084</v>
      </c>
      <c r="H11558" t="s">
        <v>9232</v>
      </c>
      <c r="I11558" t="s">
        <v>21724</v>
      </c>
      <c r="J11558" t="s">
        <v>7686</v>
      </c>
    </row>
    <row r="11559" spans="1:10" x14ac:dyDescent="0.25">
      <c r="A11559" t="s">
        <v>34085</v>
      </c>
      <c r="B11559">
        <v>5.4</v>
      </c>
      <c r="C11559" t="s">
        <v>34086</v>
      </c>
      <c r="D11559" t="s">
        <v>2845</v>
      </c>
      <c r="E11559" t="s">
        <v>34087</v>
      </c>
      <c r="F11559" t="s">
        <v>7672</v>
      </c>
      <c r="G11559" t="s">
        <v>34088</v>
      </c>
      <c r="H11559" t="s">
        <v>31775</v>
      </c>
      <c r="I11559" t="s">
        <v>34089</v>
      </c>
      <c r="J11559" t="s">
        <v>30511</v>
      </c>
    </row>
    <row r="11560" spans="1:10" x14ac:dyDescent="0.25">
      <c r="A11560" t="s">
        <v>34090</v>
      </c>
      <c r="B11560">
        <v>5.4</v>
      </c>
      <c r="C11560" t="s">
        <v>34091</v>
      </c>
      <c r="D11560" t="s">
        <v>8618</v>
      </c>
      <c r="E11560" t="s">
        <v>34087</v>
      </c>
      <c r="F11560" t="s">
        <v>7672</v>
      </c>
      <c r="G11560" t="s">
        <v>34088</v>
      </c>
      <c r="H11560" t="s">
        <v>31775</v>
      </c>
      <c r="I11560" t="s">
        <v>34089</v>
      </c>
      <c r="J11560" t="s">
        <v>30516</v>
      </c>
    </row>
    <row r="11561" spans="1:10" x14ac:dyDescent="0.25">
      <c r="A11561" t="s">
        <v>34092</v>
      </c>
      <c r="B11561">
        <v>17.8</v>
      </c>
      <c r="C11561" t="s">
        <v>34093</v>
      </c>
      <c r="D11561" t="s">
        <v>255</v>
      </c>
      <c r="E11561" t="s">
        <v>34094</v>
      </c>
      <c r="F11561" t="s">
        <v>7672</v>
      </c>
      <c r="G11561" t="s">
        <v>34095</v>
      </c>
      <c r="H11561" t="s">
        <v>8301</v>
      </c>
      <c r="I11561" t="s">
        <v>34096</v>
      </c>
      <c r="J11561" t="s">
        <v>88</v>
      </c>
    </row>
    <row r="11562" spans="1:10" x14ac:dyDescent="0.25">
      <c r="A11562" t="s">
        <v>34097</v>
      </c>
      <c r="B11562">
        <v>2.992</v>
      </c>
      <c r="C11562" t="s">
        <v>34098</v>
      </c>
      <c r="D11562" t="s">
        <v>240</v>
      </c>
      <c r="E11562" t="s">
        <v>34099</v>
      </c>
      <c r="F11562" t="s">
        <v>7672</v>
      </c>
      <c r="G11562" t="s">
        <v>34100</v>
      </c>
      <c r="H11562" t="s">
        <v>29304</v>
      </c>
      <c r="I11562" t="s">
        <v>31401</v>
      </c>
      <c r="J11562" t="s">
        <v>7987</v>
      </c>
    </row>
    <row r="11563" spans="1:10" x14ac:dyDescent="0.25">
      <c r="A11563" t="s">
        <v>34101</v>
      </c>
      <c r="B11563">
        <v>2.992</v>
      </c>
      <c r="C11563" t="s">
        <v>34102</v>
      </c>
      <c r="D11563" t="s">
        <v>588</v>
      </c>
      <c r="E11563" t="s">
        <v>34099</v>
      </c>
      <c r="F11563" t="s">
        <v>7672</v>
      </c>
      <c r="G11563" t="s">
        <v>34100</v>
      </c>
      <c r="H11563" t="s">
        <v>29304</v>
      </c>
      <c r="I11563" t="s">
        <v>31401</v>
      </c>
      <c r="J11563" t="s">
        <v>8001</v>
      </c>
    </row>
    <row r="11564" spans="1:10" x14ac:dyDescent="0.25">
      <c r="A11564" t="s">
        <v>34103</v>
      </c>
      <c r="B11564">
        <v>4.2</v>
      </c>
      <c r="C11564" t="s">
        <v>34104</v>
      </c>
      <c r="D11564" t="s">
        <v>959</v>
      </c>
      <c r="E11564" t="s">
        <v>34105</v>
      </c>
      <c r="F11564" t="s">
        <v>7672</v>
      </c>
      <c r="G11564" t="s">
        <v>34106</v>
      </c>
      <c r="H11564" t="s">
        <v>8027</v>
      </c>
      <c r="I11564" t="s">
        <v>935</v>
      </c>
      <c r="J11564" t="s">
        <v>17126</v>
      </c>
    </row>
    <row r="11565" spans="1:10" x14ac:dyDescent="0.25">
      <c r="A11565" t="s">
        <v>34107</v>
      </c>
      <c r="B11565">
        <v>4.2</v>
      </c>
      <c r="C11565" t="s">
        <v>34108</v>
      </c>
      <c r="D11565" t="s">
        <v>301</v>
      </c>
      <c r="E11565" t="s">
        <v>34105</v>
      </c>
      <c r="F11565" t="s">
        <v>7672</v>
      </c>
      <c r="G11565" t="s">
        <v>34106</v>
      </c>
      <c r="H11565" t="s">
        <v>8027</v>
      </c>
      <c r="I11565" t="s">
        <v>8171</v>
      </c>
      <c r="J11565" t="s">
        <v>15073</v>
      </c>
    </row>
    <row r="11566" spans="1:10" x14ac:dyDescent="0.25">
      <c r="A11566" t="s">
        <v>34109</v>
      </c>
      <c r="B11566">
        <v>4.2</v>
      </c>
      <c r="C11566" t="s">
        <v>34110</v>
      </c>
      <c r="D11566" t="s">
        <v>742</v>
      </c>
      <c r="E11566" t="s">
        <v>34105</v>
      </c>
      <c r="F11566" t="s">
        <v>7672</v>
      </c>
      <c r="G11566" t="s">
        <v>34106</v>
      </c>
      <c r="H11566" t="s">
        <v>8027</v>
      </c>
      <c r="I11566" t="s">
        <v>8171</v>
      </c>
      <c r="J11566" t="s">
        <v>15076</v>
      </c>
    </row>
    <row r="11567" spans="1:10" x14ac:dyDescent="0.25">
      <c r="A11567" t="s">
        <v>34111</v>
      </c>
      <c r="B11567">
        <v>4.2</v>
      </c>
      <c r="C11567" t="s">
        <v>34112</v>
      </c>
      <c r="D11567" t="s">
        <v>342</v>
      </c>
      <c r="E11567" t="s">
        <v>34105</v>
      </c>
      <c r="F11567" t="s">
        <v>7672</v>
      </c>
      <c r="G11567" t="s">
        <v>34106</v>
      </c>
      <c r="H11567" t="s">
        <v>8027</v>
      </c>
      <c r="I11567" t="s">
        <v>935</v>
      </c>
      <c r="J11567" t="s">
        <v>15076</v>
      </c>
    </row>
    <row r="11568" spans="1:10" x14ac:dyDescent="0.25">
      <c r="A11568" t="s">
        <v>34113</v>
      </c>
      <c r="B11568">
        <v>4.2</v>
      </c>
      <c r="C11568" t="s">
        <v>34114</v>
      </c>
      <c r="D11568" t="s">
        <v>742</v>
      </c>
      <c r="E11568" t="s">
        <v>34105</v>
      </c>
      <c r="F11568" t="s">
        <v>7672</v>
      </c>
      <c r="G11568" t="s">
        <v>34106</v>
      </c>
      <c r="H11568" t="s">
        <v>8027</v>
      </c>
      <c r="I11568" t="s">
        <v>8208</v>
      </c>
      <c r="J11568" t="s">
        <v>15079</v>
      </c>
    </row>
    <row r="11569" spans="1:10" x14ac:dyDescent="0.25">
      <c r="A11569" t="s">
        <v>34115</v>
      </c>
      <c r="B11569">
        <v>4.2</v>
      </c>
      <c r="C11569" t="s">
        <v>34116</v>
      </c>
      <c r="D11569" t="s">
        <v>301</v>
      </c>
      <c r="E11569" t="s">
        <v>34105</v>
      </c>
      <c r="F11569" t="s">
        <v>7672</v>
      </c>
      <c r="G11569" t="s">
        <v>34106</v>
      </c>
      <c r="H11569" t="s">
        <v>8027</v>
      </c>
      <c r="I11569" t="s">
        <v>4659</v>
      </c>
      <c r="J11569" t="s">
        <v>15079</v>
      </c>
    </row>
    <row r="11570" spans="1:10" x14ac:dyDescent="0.25">
      <c r="A11570" t="s">
        <v>1611</v>
      </c>
      <c r="B11570">
        <v>44.095999999999997</v>
      </c>
      <c r="C11570" t="s">
        <v>1613</v>
      </c>
      <c r="D11570" t="s">
        <v>316</v>
      </c>
      <c r="E11570" t="s">
        <v>1614</v>
      </c>
      <c r="F11570" t="s">
        <v>7672</v>
      </c>
      <c r="G11570" t="s">
        <v>34117</v>
      </c>
      <c r="H11570" t="s">
        <v>21219</v>
      </c>
      <c r="I11570" t="s">
        <v>700</v>
      </c>
      <c r="J11570" t="s">
        <v>7981</v>
      </c>
    </row>
    <row r="11571" spans="1:10" x14ac:dyDescent="0.25">
      <c r="A11571" t="s">
        <v>1617</v>
      </c>
      <c r="B11571">
        <v>44.095999999999997</v>
      </c>
      <c r="C11571" t="s">
        <v>1619</v>
      </c>
      <c r="D11571" t="s">
        <v>1621</v>
      </c>
      <c r="E11571" t="s">
        <v>1614</v>
      </c>
      <c r="F11571" t="s">
        <v>7672</v>
      </c>
      <c r="G11571" t="s">
        <v>34117</v>
      </c>
      <c r="H11571" t="s">
        <v>21219</v>
      </c>
      <c r="I11571" t="s">
        <v>1622</v>
      </c>
      <c r="J11571" t="s">
        <v>7981</v>
      </c>
    </row>
    <row r="11572" spans="1:10" x14ac:dyDescent="0.25">
      <c r="A11572" t="s">
        <v>1623</v>
      </c>
      <c r="B11572">
        <v>44.095999999999997</v>
      </c>
      <c r="C11572" t="s">
        <v>1625</v>
      </c>
      <c r="D11572" t="s">
        <v>698</v>
      </c>
      <c r="E11572" t="s">
        <v>1614</v>
      </c>
      <c r="F11572" t="s">
        <v>7672</v>
      </c>
      <c r="G11572" t="s">
        <v>34117</v>
      </c>
      <c r="H11572" t="s">
        <v>21219</v>
      </c>
      <c r="I11572" t="s">
        <v>1627</v>
      </c>
      <c r="J11572" t="s">
        <v>7981</v>
      </c>
    </row>
    <row r="11573" spans="1:10" x14ac:dyDescent="0.25">
      <c r="A11573" t="s">
        <v>1628</v>
      </c>
      <c r="B11573">
        <v>44.095999999999997</v>
      </c>
      <c r="C11573" t="s">
        <v>1630</v>
      </c>
      <c r="D11573" t="s">
        <v>908</v>
      </c>
      <c r="E11573" t="s">
        <v>1614</v>
      </c>
      <c r="F11573" t="s">
        <v>7672</v>
      </c>
      <c r="G11573" t="s">
        <v>34117</v>
      </c>
      <c r="H11573" t="s">
        <v>21219</v>
      </c>
      <c r="I11573" t="s">
        <v>700</v>
      </c>
      <c r="J11573" t="s">
        <v>7984</v>
      </c>
    </row>
    <row r="11574" spans="1:10" x14ac:dyDescent="0.25">
      <c r="A11574" t="s">
        <v>1632</v>
      </c>
      <c r="B11574">
        <v>44.095999999999997</v>
      </c>
      <c r="C11574" t="s">
        <v>1634</v>
      </c>
      <c r="D11574" t="s">
        <v>306</v>
      </c>
      <c r="E11574" t="s">
        <v>1614</v>
      </c>
      <c r="F11574" t="s">
        <v>7672</v>
      </c>
      <c r="G11574" t="s">
        <v>34117</v>
      </c>
      <c r="H11574" t="s">
        <v>21219</v>
      </c>
      <c r="I11574" t="s">
        <v>1622</v>
      </c>
      <c r="J11574" t="s">
        <v>7984</v>
      </c>
    </row>
    <row r="11575" spans="1:10" x14ac:dyDescent="0.25">
      <c r="A11575" t="s">
        <v>1636</v>
      </c>
      <c r="B11575">
        <v>44.095999999999997</v>
      </c>
      <c r="C11575" t="s">
        <v>1638</v>
      </c>
      <c r="D11575" t="s">
        <v>396</v>
      </c>
      <c r="E11575" t="s">
        <v>1614</v>
      </c>
      <c r="F11575" t="s">
        <v>7672</v>
      </c>
      <c r="G11575" t="s">
        <v>34117</v>
      </c>
      <c r="H11575" t="s">
        <v>21219</v>
      </c>
      <c r="I11575" t="s">
        <v>1627</v>
      </c>
      <c r="J11575" t="s">
        <v>7984</v>
      </c>
    </row>
    <row r="11576" spans="1:10" x14ac:dyDescent="0.25">
      <c r="A11576" t="s">
        <v>1640</v>
      </c>
      <c r="B11576">
        <v>44.095999999999997</v>
      </c>
      <c r="C11576" t="s">
        <v>1642</v>
      </c>
      <c r="D11576" t="s">
        <v>1644</v>
      </c>
      <c r="E11576" t="s">
        <v>1614</v>
      </c>
      <c r="F11576" t="s">
        <v>7672</v>
      </c>
      <c r="G11576" t="s">
        <v>34117</v>
      </c>
      <c r="H11576" t="s">
        <v>21219</v>
      </c>
      <c r="I11576" t="s">
        <v>76</v>
      </c>
      <c r="J11576" t="s">
        <v>7984</v>
      </c>
    </row>
    <row r="11577" spans="1:10" x14ac:dyDescent="0.25">
      <c r="A11577" t="s">
        <v>1645</v>
      </c>
      <c r="B11577">
        <v>44.095999999999997</v>
      </c>
      <c r="C11577" t="s">
        <v>1647</v>
      </c>
      <c r="D11577" t="s">
        <v>588</v>
      </c>
      <c r="E11577" t="s">
        <v>1614</v>
      </c>
      <c r="F11577" t="s">
        <v>7672</v>
      </c>
      <c r="G11577" t="s">
        <v>34117</v>
      </c>
      <c r="H11577" t="s">
        <v>21219</v>
      </c>
      <c r="I11577" t="s">
        <v>700</v>
      </c>
      <c r="J11577" t="s">
        <v>7987</v>
      </c>
    </row>
    <row r="11578" spans="1:10" x14ac:dyDescent="0.25">
      <c r="A11578" t="s">
        <v>1649</v>
      </c>
      <c r="B11578">
        <v>44.095999999999997</v>
      </c>
      <c r="C11578" t="s">
        <v>1651</v>
      </c>
      <c r="D11578" t="s">
        <v>330</v>
      </c>
      <c r="E11578" t="s">
        <v>1614</v>
      </c>
      <c r="F11578" t="s">
        <v>7672</v>
      </c>
      <c r="G11578" t="s">
        <v>34117</v>
      </c>
      <c r="H11578" t="s">
        <v>21219</v>
      </c>
      <c r="I11578" t="s">
        <v>1627</v>
      </c>
      <c r="J11578" t="s">
        <v>7987</v>
      </c>
    </row>
    <row r="11579" spans="1:10" x14ac:dyDescent="0.25">
      <c r="A11579" t="s">
        <v>1653</v>
      </c>
      <c r="B11579">
        <v>44.095999999999997</v>
      </c>
      <c r="C11579" t="s">
        <v>1655</v>
      </c>
      <c r="D11579" t="s">
        <v>964</v>
      </c>
      <c r="E11579" t="s">
        <v>1614</v>
      </c>
      <c r="F11579" t="s">
        <v>7672</v>
      </c>
      <c r="G11579" t="s">
        <v>34117</v>
      </c>
      <c r="H11579" t="s">
        <v>21219</v>
      </c>
      <c r="I11579" t="s">
        <v>700</v>
      </c>
      <c r="J11579" t="s">
        <v>8001</v>
      </c>
    </row>
    <row r="11580" spans="1:10" x14ac:dyDescent="0.25">
      <c r="A11580" t="s">
        <v>1657</v>
      </c>
      <c r="B11580">
        <v>44.095999999999997</v>
      </c>
      <c r="C11580" t="s">
        <v>1659</v>
      </c>
      <c r="D11580" t="s">
        <v>1134</v>
      </c>
      <c r="E11580" t="s">
        <v>1614</v>
      </c>
      <c r="F11580" t="s">
        <v>7672</v>
      </c>
      <c r="G11580" t="s">
        <v>34117</v>
      </c>
      <c r="H11580" t="s">
        <v>21219</v>
      </c>
      <c r="I11580" t="s">
        <v>1622</v>
      </c>
      <c r="J11580" t="s">
        <v>8001</v>
      </c>
    </row>
    <row r="11581" spans="1:10" x14ac:dyDescent="0.25">
      <c r="A11581" t="s">
        <v>1661</v>
      </c>
      <c r="B11581">
        <v>44.095999999999997</v>
      </c>
      <c r="C11581" t="s">
        <v>1663</v>
      </c>
      <c r="D11581" t="s">
        <v>277</v>
      </c>
      <c r="E11581" t="s">
        <v>1614</v>
      </c>
      <c r="F11581" t="s">
        <v>7672</v>
      </c>
      <c r="G11581" t="s">
        <v>34117</v>
      </c>
      <c r="H11581" t="s">
        <v>21219</v>
      </c>
      <c r="I11581" t="s">
        <v>1627</v>
      </c>
      <c r="J11581" t="s">
        <v>8001</v>
      </c>
    </row>
    <row r="11582" spans="1:10" x14ac:dyDescent="0.25">
      <c r="A11582" t="s">
        <v>34118</v>
      </c>
      <c r="B11582">
        <v>8.8000000000000007</v>
      </c>
      <c r="C11582" t="s">
        <v>34119</v>
      </c>
      <c r="D11582" t="s">
        <v>2879</v>
      </c>
      <c r="E11582" t="s">
        <v>34120</v>
      </c>
      <c r="F11582" t="s">
        <v>7672</v>
      </c>
      <c r="G11582" t="s">
        <v>34121</v>
      </c>
      <c r="H11582" t="s">
        <v>8301</v>
      </c>
      <c r="I11582" t="s">
        <v>8158</v>
      </c>
      <c r="J11582" t="s">
        <v>9998</v>
      </c>
    </row>
    <row r="11583" spans="1:10" x14ac:dyDescent="0.25">
      <c r="A11583" t="s">
        <v>34122</v>
      </c>
      <c r="B11583">
        <v>176</v>
      </c>
      <c r="C11583" t="s">
        <v>34123</v>
      </c>
      <c r="D11583" t="s">
        <v>2022</v>
      </c>
      <c r="E11583" t="s">
        <v>34124</v>
      </c>
      <c r="F11583" t="s">
        <v>7672</v>
      </c>
      <c r="G11583" t="s">
        <v>34125</v>
      </c>
      <c r="H11583" t="s">
        <v>9693</v>
      </c>
      <c r="I11583" t="s">
        <v>22191</v>
      </c>
      <c r="J11583" t="s">
        <v>9694</v>
      </c>
    </row>
    <row r="11584" spans="1:10" x14ac:dyDescent="0.25">
      <c r="A11584" t="s">
        <v>34126</v>
      </c>
      <c r="B11584">
        <v>15.96</v>
      </c>
      <c r="C11584" t="s">
        <v>34127</v>
      </c>
      <c r="D11584" t="s">
        <v>342</v>
      </c>
      <c r="E11584" t="s">
        <v>34128</v>
      </c>
      <c r="F11584" t="s">
        <v>7672</v>
      </c>
      <c r="G11584" t="s">
        <v>34129</v>
      </c>
      <c r="H11584" t="s">
        <v>8087</v>
      </c>
      <c r="I11584" t="s">
        <v>1357</v>
      </c>
      <c r="J11584" t="s">
        <v>7942</v>
      </c>
    </row>
    <row r="11585" spans="1:10" x14ac:dyDescent="0.25">
      <c r="A11585" t="s">
        <v>34130</v>
      </c>
      <c r="B11585">
        <v>15.96</v>
      </c>
      <c r="C11585" t="s">
        <v>34131</v>
      </c>
      <c r="D11585" t="s">
        <v>88</v>
      </c>
      <c r="E11585" t="s">
        <v>34128</v>
      </c>
      <c r="F11585" t="s">
        <v>7672</v>
      </c>
      <c r="G11585" t="s">
        <v>34129</v>
      </c>
      <c r="H11585" t="s">
        <v>8087</v>
      </c>
      <c r="I11585" t="s">
        <v>1357</v>
      </c>
      <c r="J11585" t="s">
        <v>7981</v>
      </c>
    </row>
    <row r="11586" spans="1:10" x14ac:dyDescent="0.25">
      <c r="A11586" t="s">
        <v>34132</v>
      </c>
      <c r="B11586">
        <v>15.96</v>
      </c>
      <c r="C11586" t="s">
        <v>34133</v>
      </c>
      <c r="D11586" t="s">
        <v>269</v>
      </c>
      <c r="E11586" t="s">
        <v>34128</v>
      </c>
      <c r="F11586" t="s">
        <v>7672</v>
      </c>
      <c r="G11586" t="s">
        <v>34129</v>
      </c>
      <c r="H11586" t="s">
        <v>8087</v>
      </c>
      <c r="I11586" t="s">
        <v>1357</v>
      </c>
      <c r="J11586" t="s">
        <v>7984</v>
      </c>
    </row>
    <row r="11587" spans="1:10" x14ac:dyDescent="0.25">
      <c r="A11587" t="s">
        <v>34134</v>
      </c>
      <c r="B11587">
        <v>15.96</v>
      </c>
      <c r="C11587" t="s">
        <v>34135</v>
      </c>
      <c r="D11587" t="s">
        <v>106</v>
      </c>
      <c r="E11587" t="s">
        <v>34128</v>
      </c>
      <c r="F11587" t="s">
        <v>7672</v>
      </c>
      <c r="G11587" t="s">
        <v>34129</v>
      </c>
      <c r="H11587" t="s">
        <v>8087</v>
      </c>
      <c r="I11587" t="s">
        <v>1357</v>
      </c>
      <c r="J11587" t="s">
        <v>7987</v>
      </c>
    </row>
    <row r="11588" spans="1:10" x14ac:dyDescent="0.25">
      <c r="A11588" t="s">
        <v>34136</v>
      </c>
      <c r="B11588">
        <v>15.96</v>
      </c>
      <c r="C11588" t="s">
        <v>34137</v>
      </c>
      <c r="D11588" t="s">
        <v>100</v>
      </c>
      <c r="E11588" t="s">
        <v>34128</v>
      </c>
      <c r="F11588" t="s">
        <v>7672</v>
      </c>
      <c r="G11588" t="s">
        <v>34129</v>
      </c>
      <c r="H11588" t="s">
        <v>8087</v>
      </c>
      <c r="I11588" t="s">
        <v>1357</v>
      </c>
      <c r="J11588" t="s">
        <v>8001</v>
      </c>
    </row>
    <row r="11589" spans="1:10" x14ac:dyDescent="0.25">
      <c r="A11589" t="s">
        <v>34138</v>
      </c>
      <c r="B11589">
        <v>9.2000000000000011</v>
      </c>
      <c r="C11589" t="s">
        <v>34139</v>
      </c>
      <c r="D11589" t="s">
        <v>113</v>
      </c>
      <c r="E11589" t="s">
        <v>34140</v>
      </c>
      <c r="F11589" t="s">
        <v>7672</v>
      </c>
      <c r="G11589" t="s">
        <v>34141</v>
      </c>
      <c r="H11589" t="s">
        <v>11381</v>
      </c>
      <c r="I11589" t="s">
        <v>278</v>
      </c>
      <c r="J11589" t="s">
        <v>7713</v>
      </c>
    </row>
    <row r="11590" spans="1:10" x14ac:dyDescent="0.25">
      <c r="A11590" t="s">
        <v>34142</v>
      </c>
      <c r="B11590">
        <v>7.6000000000000014</v>
      </c>
      <c r="C11590" t="s">
        <v>34143</v>
      </c>
      <c r="D11590" t="s">
        <v>199</v>
      </c>
      <c r="E11590" t="s">
        <v>34144</v>
      </c>
      <c r="F11590" t="s">
        <v>7672</v>
      </c>
      <c r="G11590" t="s">
        <v>34145</v>
      </c>
      <c r="H11590" t="s">
        <v>10298</v>
      </c>
      <c r="I11590" t="s">
        <v>76</v>
      </c>
      <c r="J11590" t="s">
        <v>8427</v>
      </c>
    </row>
    <row r="11591" spans="1:10" x14ac:dyDescent="0.25">
      <c r="A11591" t="s">
        <v>34146</v>
      </c>
      <c r="B11591">
        <v>7.6000000000000014</v>
      </c>
      <c r="C11591" t="s">
        <v>34147</v>
      </c>
      <c r="D11591" t="s">
        <v>633</v>
      </c>
      <c r="E11591" t="s">
        <v>34144</v>
      </c>
      <c r="F11591" t="s">
        <v>7672</v>
      </c>
      <c r="G11591" t="s">
        <v>34145</v>
      </c>
      <c r="H11591" t="s">
        <v>10298</v>
      </c>
      <c r="I11591" t="s">
        <v>76</v>
      </c>
      <c r="J11591" t="s">
        <v>8439</v>
      </c>
    </row>
    <row r="11592" spans="1:10" x14ac:dyDescent="0.25">
      <c r="A11592" t="s">
        <v>34148</v>
      </c>
      <c r="B11592">
        <v>7.6000000000000014</v>
      </c>
      <c r="C11592" t="s">
        <v>34149</v>
      </c>
      <c r="D11592" t="s">
        <v>199</v>
      </c>
      <c r="E11592" t="s">
        <v>34144</v>
      </c>
      <c r="F11592" t="s">
        <v>7672</v>
      </c>
      <c r="G11592" t="s">
        <v>34145</v>
      </c>
      <c r="H11592" t="s">
        <v>10298</v>
      </c>
      <c r="I11592" t="s">
        <v>76</v>
      </c>
      <c r="J11592" t="s">
        <v>8451</v>
      </c>
    </row>
    <row r="11593" spans="1:10" x14ac:dyDescent="0.25">
      <c r="A11593" t="s">
        <v>34150</v>
      </c>
      <c r="B11593">
        <v>2.3919999999999999</v>
      </c>
      <c r="C11593" t="s">
        <v>34151</v>
      </c>
      <c r="D11593" t="s">
        <v>131</v>
      </c>
      <c r="E11593" t="s">
        <v>34152</v>
      </c>
      <c r="F11593" t="s">
        <v>7672</v>
      </c>
      <c r="G11593" t="s">
        <v>34153</v>
      </c>
      <c r="H11593" t="s">
        <v>34154</v>
      </c>
      <c r="I11593" t="s">
        <v>22420</v>
      </c>
      <c r="J11593" t="s">
        <v>9694</v>
      </c>
    </row>
    <row r="11594" spans="1:10" x14ac:dyDescent="0.25">
      <c r="A11594" t="s">
        <v>34155</v>
      </c>
      <c r="B11594">
        <v>3.6320000000000001</v>
      </c>
      <c r="C11594" t="s">
        <v>34156</v>
      </c>
      <c r="D11594" t="s">
        <v>964</v>
      </c>
      <c r="E11594" t="s">
        <v>34157</v>
      </c>
      <c r="F11594" t="s">
        <v>7672</v>
      </c>
      <c r="G11594" t="s">
        <v>34158</v>
      </c>
      <c r="H11594" t="s">
        <v>8515</v>
      </c>
      <c r="I11594" t="s">
        <v>34159</v>
      </c>
      <c r="J11594" t="s">
        <v>277</v>
      </c>
    </row>
    <row r="11595" spans="1:10" x14ac:dyDescent="0.25">
      <c r="A11595" t="s">
        <v>34160</v>
      </c>
      <c r="B11595">
        <v>4.84</v>
      </c>
      <c r="C11595" t="s">
        <v>34161</v>
      </c>
      <c r="D11595" t="s">
        <v>3110</v>
      </c>
      <c r="E11595" t="s">
        <v>34162</v>
      </c>
      <c r="F11595" t="s">
        <v>7672</v>
      </c>
      <c r="G11595" t="s">
        <v>34163</v>
      </c>
      <c r="H11595" t="s">
        <v>10298</v>
      </c>
      <c r="I11595" t="s">
        <v>11206</v>
      </c>
      <c r="J11595" t="s">
        <v>8451</v>
      </c>
    </row>
    <row r="11596" spans="1:10" x14ac:dyDescent="0.25">
      <c r="A11596" t="s">
        <v>34164</v>
      </c>
      <c r="B11596">
        <v>4.84</v>
      </c>
      <c r="C11596" t="s">
        <v>34165</v>
      </c>
      <c r="D11596" t="s">
        <v>941</v>
      </c>
      <c r="E11596" t="s">
        <v>34166</v>
      </c>
      <c r="F11596" t="s">
        <v>7672</v>
      </c>
      <c r="G11596" t="s">
        <v>34163</v>
      </c>
      <c r="H11596" t="s">
        <v>10298</v>
      </c>
      <c r="I11596" t="s">
        <v>34167</v>
      </c>
      <c r="J11596" t="s">
        <v>8427</v>
      </c>
    </row>
    <row r="11597" spans="1:10" x14ac:dyDescent="0.25">
      <c r="A11597" t="s">
        <v>34168</v>
      </c>
      <c r="B11597">
        <v>4.84</v>
      </c>
      <c r="C11597" t="s">
        <v>34169</v>
      </c>
      <c r="D11597" t="s">
        <v>9124</v>
      </c>
      <c r="E11597" t="s">
        <v>34166</v>
      </c>
      <c r="F11597" t="s">
        <v>7672</v>
      </c>
      <c r="G11597" t="s">
        <v>34163</v>
      </c>
      <c r="H11597" t="s">
        <v>10298</v>
      </c>
      <c r="I11597" t="s">
        <v>34167</v>
      </c>
      <c r="J11597" t="s">
        <v>8439</v>
      </c>
    </row>
    <row r="11598" spans="1:10" x14ac:dyDescent="0.25">
      <c r="A11598" t="s">
        <v>34170</v>
      </c>
      <c r="B11598">
        <v>4.84</v>
      </c>
      <c r="C11598" t="s">
        <v>34171</v>
      </c>
      <c r="D11598" t="s">
        <v>1874</v>
      </c>
      <c r="E11598" t="s">
        <v>34166</v>
      </c>
      <c r="F11598" t="s">
        <v>7672</v>
      </c>
      <c r="G11598" t="s">
        <v>34163</v>
      </c>
      <c r="H11598" t="s">
        <v>10298</v>
      </c>
      <c r="I11598" t="s">
        <v>34167</v>
      </c>
      <c r="J11598" t="s">
        <v>8451</v>
      </c>
    </row>
    <row r="11599" spans="1:10" x14ac:dyDescent="0.25">
      <c r="A11599" t="s">
        <v>34172</v>
      </c>
      <c r="B11599">
        <v>420</v>
      </c>
      <c r="C11599" t="s">
        <v>34173</v>
      </c>
      <c r="D11599" t="s">
        <v>835</v>
      </c>
      <c r="E11599" t="s">
        <v>34174</v>
      </c>
      <c r="F11599" t="s">
        <v>7672</v>
      </c>
      <c r="G11599" t="s">
        <v>34175</v>
      </c>
      <c r="H11599" t="s">
        <v>34176</v>
      </c>
      <c r="I11599" t="s">
        <v>26279</v>
      </c>
      <c r="J11599" t="s">
        <v>34177</v>
      </c>
    </row>
    <row r="11600" spans="1:10" x14ac:dyDescent="0.25">
      <c r="A11600" t="s">
        <v>34178</v>
      </c>
      <c r="B11600">
        <v>420</v>
      </c>
      <c r="C11600" t="s">
        <v>34179</v>
      </c>
      <c r="D11600" t="s">
        <v>352</v>
      </c>
      <c r="E11600" t="s">
        <v>34174</v>
      </c>
      <c r="F11600" t="s">
        <v>7672</v>
      </c>
      <c r="G11600" t="s">
        <v>34175</v>
      </c>
      <c r="H11600" t="s">
        <v>34176</v>
      </c>
      <c r="I11600" t="s">
        <v>25862</v>
      </c>
      <c r="J11600" t="s">
        <v>34177</v>
      </c>
    </row>
    <row r="11601" spans="1:10" x14ac:dyDescent="0.25">
      <c r="A11601" t="s">
        <v>34180</v>
      </c>
      <c r="B11601">
        <v>400</v>
      </c>
      <c r="C11601" t="s">
        <v>34181</v>
      </c>
      <c r="D11601" t="s">
        <v>277</v>
      </c>
      <c r="E11601" t="s">
        <v>34174</v>
      </c>
      <c r="F11601" t="s">
        <v>7672</v>
      </c>
      <c r="G11601" t="s">
        <v>34175</v>
      </c>
      <c r="H11601" t="s">
        <v>34176</v>
      </c>
      <c r="I11601" t="s">
        <v>25862</v>
      </c>
      <c r="J11601" t="s">
        <v>34182</v>
      </c>
    </row>
    <row r="11602" spans="1:10" x14ac:dyDescent="0.25">
      <c r="A11602" t="s">
        <v>34183</v>
      </c>
      <c r="B11602">
        <v>400</v>
      </c>
      <c r="C11602" t="s">
        <v>34184</v>
      </c>
      <c r="D11602" t="s">
        <v>2697</v>
      </c>
      <c r="E11602" t="s">
        <v>34174</v>
      </c>
      <c r="F11602" t="s">
        <v>7672</v>
      </c>
      <c r="G11602" t="s">
        <v>34175</v>
      </c>
      <c r="H11602" t="s">
        <v>34176</v>
      </c>
      <c r="I11602" t="s">
        <v>26279</v>
      </c>
      <c r="J11602" t="s">
        <v>34182</v>
      </c>
    </row>
    <row r="11603" spans="1:10" x14ac:dyDescent="0.25">
      <c r="A11603" t="s">
        <v>34185</v>
      </c>
      <c r="B11603">
        <v>460</v>
      </c>
      <c r="C11603" t="s">
        <v>34186</v>
      </c>
      <c r="D11603" t="s">
        <v>352</v>
      </c>
      <c r="E11603" t="s">
        <v>34174</v>
      </c>
      <c r="F11603" t="s">
        <v>7672</v>
      </c>
      <c r="G11603" t="s">
        <v>34175</v>
      </c>
      <c r="H11603" t="s">
        <v>34176</v>
      </c>
      <c r="I11603" t="s">
        <v>25862</v>
      </c>
      <c r="J11603" t="s">
        <v>34187</v>
      </c>
    </row>
    <row r="11604" spans="1:10" x14ac:dyDescent="0.25">
      <c r="A11604" t="s">
        <v>34188</v>
      </c>
      <c r="B11604">
        <v>460</v>
      </c>
      <c r="C11604" t="s">
        <v>34189</v>
      </c>
      <c r="D11604" t="s">
        <v>588</v>
      </c>
      <c r="E11604" t="s">
        <v>34174</v>
      </c>
      <c r="F11604" t="s">
        <v>7672</v>
      </c>
      <c r="G11604" t="s">
        <v>34175</v>
      </c>
      <c r="H11604" t="s">
        <v>34176</v>
      </c>
      <c r="I11604" t="s">
        <v>26279</v>
      </c>
      <c r="J11604" t="s">
        <v>34187</v>
      </c>
    </row>
    <row r="11605" spans="1:10" x14ac:dyDescent="0.25">
      <c r="A11605" t="s">
        <v>34190</v>
      </c>
      <c r="B11605">
        <v>580</v>
      </c>
      <c r="C11605" t="s">
        <v>34191</v>
      </c>
      <c r="D11605" t="s">
        <v>277</v>
      </c>
      <c r="E11605" t="s">
        <v>34174</v>
      </c>
      <c r="F11605" t="s">
        <v>7672</v>
      </c>
      <c r="G11605" t="s">
        <v>34175</v>
      </c>
      <c r="H11605" t="s">
        <v>34176</v>
      </c>
      <c r="I11605" t="s">
        <v>26279</v>
      </c>
      <c r="J11605" t="s">
        <v>34192</v>
      </c>
    </row>
    <row r="11606" spans="1:10" x14ac:dyDescent="0.25">
      <c r="A11606" t="s">
        <v>34193</v>
      </c>
      <c r="B11606">
        <v>174</v>
      </c>
      <c r="C11606" t="s">
        <v>34194</v>
      </c>
      <c r="D11606" t="s">
        <v>1143</v>
      </c>
      <c r="E11606" t="s">
        <v>34174</v>
      </c>
      <c r="F11606" t="s">
        <v>7672</v>
      </c>
      <c r="G11606" t="s">
        <v>34175</v>
      </c>
      <c r="H11606" t="s">
        <v>34176</v>
      </c>
      <c r="I11606" t="s">
        <v>25862</v>
      </c>
      <c r="J11606" t="s">
        <v>34192</v>
      </c>
    </row>
    <row r="11607" spans="1:10" x14ac:dyDescent="0.25">
      <c r="A11607" t="s">
        <v>34195</v>
      </c>
      <c r="B11607">
        <v>6</v>
      </c>
      <c r="C11607" t="s">
        <v>34196</v>
      </c>
      <c r="D11607" t="s">
        <v>366</v>
      </c>
      <c r="E11607" t="s">
        <v>34197</v>
      </c>
      <c r="F11607" t="s">
        <v>7672</v>
      </c>
      <c r="G11607" t="s">
        <v>34198</v>
      </c>
      <c r="H11607" t="s">
        <v>11496</v>
      </c>
      <c r="I11607" t="s">
        <v>34199</v>
      </c>
      <c r="J11607" t="s">
        <v>9423</v>
      </c>
    </row>
    <row r="11608" spans="1:10" x14ac:dyDescent="0.25">
      <c r="A11608" t="s">
        <v>34200</v>
      </c>
      <c r="B11608">
        <v>6</v>
      </c>
      <c r="C11608" t="s">
        <v>34201</v>
      </c>
      <c r="D11608" t="s">
        <v>2879</v>
      </c>
      <c r="E11608" t="s">
        <v>34197</v>
      </c>
      <c r="F11608" t="s">
        <v>7672</v>
      </c>
      <c r="G11608" t="s">
        <v>34198</v>
      </c>
      <c r="H11608" t="s">
        <v>11496</v>
      </c>
      <c r="I11608" t="s">
        <v>34199</v>
      </c>
      <c r="J11608" t="s">
        <v>9426</v>
      </c>
    </row>
    <row r="11609" spans="1:10" x14ac:dyDescent="0.25">
      <c r="A11609" t="s">
        <v>34202</v>
      </c>
      <c r="B11609">
        <v>6</v>
      </c>
      <c r="C11609" t="s">
        <v>34203</v>
      </c>
      <c r="D11609" t="s">
        <v>576</v>
      </c>
      <c r="E11609" t="s">
        <v>34197</v>
      </c>
      <c r="F11609" t="s">
        <v>7672</v>
      </c>
      <c r="G11609" t="s">
        <v>34198</v>
      </c>
      <c r="H11609" t="s">
        <v>11496</v>
      </c>
      <c r="I11609" t="s">
        <v>34199</v>
      </c>
      <c r="J11609" t="s">
        <v>10862</v>
      </c>
    </row>
    <row r="11610" spans="1:10" x14ac:dyDescent="0.25">
      <c r="A11610" t="s">
        <v>34204</v>
      </c>
      <c r="B11610">
        <v>6</v>
      </c>
      <c r="C11610" t="s">
        <v>34205</v>
      </c>
      <c r="D11610" t="s">
        <v>588</v>
      </c>
      <c r="E11610" t="s">
        <v>34197</v>
      </c>
      <c r="F11610" t="s">
        <v>7672</v>
      </c>
      <c r="G11610" t="s">
        <v>34198</v>
      </c>
      <c r="H11610" t="s">
        <v>11496</v>
      </c>
      <c r="I11610" t="s">
        <v>34199</v>
      </c>
      <c r="J11610" t="s">
        <v>13084</v>
      </c>
    </row>
    <row r="11611" spans="1:10" x14ac:dyDescent="0.25">
      <c r="A11611" t="s">
        <v>34206</v>
      </c>
      <c r="B11611">
        <v>3.6</v>
      </c>
      <c r="C11611" t="s">
        <v>34207</v>
      </c>
      <c r="D11611" t="s">
        <v>875</v>
      </c>
      <c r="E11611" t="s">
        <v>34208</v>
      </c>
      <c r="F11611" t="s">
        <v>7672</v>
      </c>
      <c r="G11611" t="s">
        <v>34209</v>
      </c>
      <c r="H11611" t="s">
        <v>8515</v>
      </c>
      <c r="I11611" t="s">
        <v>34210</v>
      </c>
      <c r="J11611" t="s">
        <v>100</v>
      </c>
    </row>
    <row r="11612" spans="1:10" x14ac:dyDescent="0.25">
      <c r="A11612" t="s">
        <v>34211</v>
      </c>
      <c r="B11612">
        <v>5.4</v>
      </c>
      <c r="C11612" t="s">
        <v>34212</v>
      </c>
      <c r="D11612" t="s">
        <v>1236</v>
      </c>
      <c r="E11612" t="s">
        <v>34213</v>
      </c>
      <c r="F11612" t="s">
        <v>7672</v>
      </c>
      <c r="G11612" t="s">
        <v>34214</v>
      </c>
      <c r="H11612" t="s">
        <v>10298</v>
      </c>
      <c r="I11612" t="s">
        <v>34215</v>
      </c>
      <c r="J11612" t="s">
        <v>11696</v>
      </c>
    </row>
    <row r="11613" spans="1:10" x14ac:dyDescent="0.25">
      <c r="A11613" t="s">
        <v>34216</v>
      </c>
      <c r="B11613">
        <v>5.4</v>
      </c>
      <c r="C11613" t="s">
        <v>34217</v>
      </c>
      <c r="D11613" t="s">
        <v>576</v>
      </c>
      <c r="E11613" t="s">
        <v>34213</v>
      </c>
      <c r="F11613" t="s">
        <v>7672</v>
      </c>
      <c r="G11613" t="s">
        <v>34214</v>
      </c>
      <c r="H11613" t="s">
        <v>10298</v>
      </c>
      <c r="I11613" t="s">
        <v>34215</v>
      </c>
      <c r="J11613" t="s">
        <v>11702</v>
      </c>
    </row>
    <row r="11614" spans="1:10" x14ac:dyDescent="0.25">
      <c r="A11614" t="s">
        <v>34218</v>
      </c>
      <c r="B11614">
        <v>14.391999999999999</v>
      </c>
      <c r="C11614" t="s">
        <v>34219</v>
      </c>
      <c r="D11614" t="s">
        <v>53</v>
      </c>
      <c r="E11614" t="s">
        <v>34220</v>
      </c>
      <c r="F11614" t="s">
        <v>7672</v>
      </c>
      <c r="G11614" t="s">
        <v>34221</v>
      </c>
      <c r="H11614" t="s">
        <v>9127</v>
      </c>
      <c r="I11614" t="s">
        <v>9807</v>
      </c>
      <c r="J11614" t="s">
        <v>34222</v>
      </c>
    </row>
    <row r="11615" spans="1:10" x14ac:dyDescent="0.25">
      <c r="A11615" t="s">
        <v>34223</v>
      </c>
      <c r="B11615">
        <v>7.7920000000000007</v>
      </c>
      <c r="C11615" t="s">
        <v>34224</v>
      </c>
      <c r="D11615" t="s">
        <v>11690</v>
      </c>
      <c r="E11615" t="s">
        <v>34225</v>
      </c>
      <c r="F11615" t="s">
        <v>7672</v>
      </c>
      <c r="G11615" t="s">
        <v>34226</v>
      </c>
      <c r="H11615" t="s">
        <v>34227</v>
      </c>
      <c r="I11615" t="s">
        <v>30553</v>
      </c>
      <c r="J11615" t="s">
        <v>9694</v>
      </c>
    </row>
    <row r="11616" spans="1:10" x14ac:dyDescent="0.25">
      <c r="A11616" t="s">
        <v>1665</v>
      </c>
      <c r="B11616">
        <v>9.5200000000000014</v>
      </c>
      <c r="C11616" t="s">
        <v>1667</v>
      </c>
      <c r="D11616" t="s">
        <v>100</v>
      </c>
      <c r="E11616" t="s">
        <v>1668</v>
      </c>
      <c r="F11616" t="s">
        <v>7672</v>
      </c>
      <c r="G11616" t="s">
        <v>34228</v>
      </c>
      <c r="H11616" t="s">
        <v>11335</v>
      </c>
      <c r="I11616" t="s">
        <v>1352</v>
      </c>
      <c r="J11616" t="s">
        <v>7942</v>
      </c>
    </row>
    <row r="11617" spans="1:10" x14ac:dyDescent="0.25">
      <c r="A11617" t="s">
        <v>1671</v>
      </c>
      <c r="B11617">
        <v>9.5200000000000014</v>
      </c>
      <c r="C11617" t="s">
        <v>1673</v>
      </c>
      <c r="D11617" t="s">
        <v>269</v>
      </c>
      <c r="E11617" t="s">
        <v>1668</v>
      </c>
      <c r="F11617" t="s">
        <v>7672</v>
      </c>
      <c r="G11617" t="s">
        <v>34228</v>
      </c>
      <c r="H11617" t="s">
        <v>11335</v>
      </c>
      <c r="I11617" t="s">
        <v>3030</v>
      </c>
      <c r="J11617" t="s">
        <v>7942</v>
      </c>
    </row>
    <row r="11618" spans="1:10" x14ac:dyDescent="0.25">
      <c r="A11618" t="s">
        <v>34229</v>
      </c>
      <c r="B11618">
        <v>2.8</v>
      </c>
      <c r="C11618" t="s">
        <v>34230</v>
      </c>
      <c r="D11618" t="s">
        <v>74</v>
      </c>
      <c r="E11618" t="s">
        <v>34231</v>
      </c>
      <c r="F11618" t="s">
        <v>7672</v>
      </c>
      <c r="G11618" t="s">
        <v>34232</v>
      </c>
      <c r="H11618" t="s">
        <v>13951</v>
      </c>
      <c r="I11618" t="s">
        <v>76</v>
      </c>
      <c r="J11618" t="s">
        <v>7675</v>
      </c>
    </row>
    <row r="11619" spans="1:10" x14ac:dyDescent="0.25">
      <c r="A11619" t="s">
        <v>34233</v>
      </c>
      <c r="B11619">
        <v>2.7919999999999998</v>
      </c>
      <c r="C11619" t="s">
        <v>34234</v>
      </c>
      <c r="D11619" t="s">
        <v>4270</v>
      </c>
      <c r="E11619" t="s">
        <v>34235</v>
      </c>
      <c r="F11619" t="s">
        <v>7672</v>
      </c>
      <c r="G11619" t="s">
        <v>34236</v>
      </c>
      <c r="H11619" t="s">
        <v>8515</v>
      </c>
      <c r="I11619" t="s">
        <v>32672</v>
      </c>
      <c r="J11619" t="s">
        <v>11767</v>
      </c>
    </row>
    <row r="11620" spans="1:10" x14ac:dyDescent="0.25">
      <c r="A11620" t="s">
        <v>34237</v>
      </c>
      <c r="B11620">
        <v>7.6959999999999997</v>
      </c>
      <c r="C11620" t="s">
        <v>34238</v>
      </c>
      <c r="D11620" t="s">
        <v>277</v>
      </c>
      <c r="E11620" t="s">
        <v>34239</v>
      </c>
      <c r="F11620" t="s">
        <v>7672</v>
      </c>
      <c r="G11620" t="s">
        <v>34240</v>
      </c>
      <c r="H11620" t="s">
        <v>29594</v>
      </c>
      <c r="I11620" t="s">
        <v>15352</v>
      </c>
      <c r="J11620" t="s">
        <v>9061</v>
      </c>
    </row>
    <row r="11621" spans="1:10" x14ac:dyDescent="0.25">
      <c r="A11621" t="s">
        <v>34241</v>
      </c>
      <c r="B11621">
        <v>3.6</v>
      </c>
      <c r="C11621" t="s">
        <v>34242</v>
      </c>
      <c r="D11621" t="s">
        <v>3378</v>
      </c>
      <c r="E11621" t="s">
        <v>34243</v>
      </c>
      <c r="F11621" t="s">
        <v>7672</v>
      </c>
      <c r="G11621" t="s">
        <v>34244</v>
      </c>
      <c r="H11621" t="s">
        <v>24169</v>
      </c>
      <c r="I11621" t="s">
        <v>278</v>
      </c>
      <c r="J11621" t="s">
        <v>31826</v>
      </c>
    </row>
    <row r="11622" spans="1:10" x14ac:dyDescent="0.25">
      <c r="A11622" t="s">
        <v>34245</v>
      </c>
      <c r="B11622">
        <v>3.6</v>
      </c>
      <c r="C11622" t="s">
        <v>34246</v>
      </c>
      <c r="D11622" t="s">
        <v>296</v>
      </c>
      <c r="E11622" t="s">
        <v>34243</v>
      </c>
      <c r="F11622" t="s">
        <v>7672</v>
      </c>
      <c r="G11622" t="s">
        <v>34244</v>
      </c>
      <c r="H11622" t="s">
        <v>24169</v>
      </c>
      <c r="I11622" t="s">
        <v>278</v>
      </c>
      <c r="J11622" t="s">
        <v>19226</v>
      </c>
    </row>
    <row r="11623" spans="1:10" x14ac:dyDescent="0.25">
      <c r="A11623" t="s">
        <v>34247</v>
      </c>
      <c r="B11623">
        <v>3.6</v>
      </c>
      <c r="C11623" t="s">
        <v>34248</v>
      </c>
      <c r="D11623" t="s">
        <v>229</v>
      </c>
      <c r="E11623" t="s">
        <v>34243</v>
      </c>
      <c r="F11623" t="s">
        <v>7672</v>
      </c>
      <c r="G11623" t="s">
        <v>34244</v>
      </c>
      <c r="H11623" t="s">
        <v>24169</v>
      </c>
      <c r="I11623" t="s">
        <v>278</v>
      </c>
      <c r="J11623" t="s">
        <v>19229</v>
      </c>
    </row>
    <row r="11624" spans="1:10" x14ac:dyDescent="0.25">
      <c r="A11624" t="s">
        <v>34249</v>
      </c>
      <c r="B11624">
        <v>14</v>
      </c>
      <c r="C11624" t="s">
        <v>34250</v>
      </c>
      <c r="D11624" t="s">
        <v>106</v>
      </c>
      <c r="E11624" t="s">
        <v>34251</v>
      </c>
      <c r="F11624" t="s">
        <v>7672</v>
      </c>
      <c r="G11624" t="s">
        <v>34252</v>
      </c>
      <c r="H11624" t="s">
        <v>24085</v>
      </c>
      <c r="I11624" t="s">
        <v>76</v>
      </c>
      <c r="J11624" t="s">
        <v>7984</v>
      </c>
    </row>
    <row r="11625" spans="1:10" x14ac:dyDescent="0.25">
      <c r="A11625" t="s">
        <v>34253</v>
      </c>
      <c r="B11625">
        <v>14</v>
      </c>
      <c r="C11625" t="s">
        <v>34254</v>
      </c>
      <c r="D11625" t="s">
        <v>282</v>
      </c>
      <c r="E11625" t="s">
        <v>34251</v>
      </c>
      <c r="F11625" t="s">
        <v>7672</v>
      </c>
      <c r="G11625" t="s">
        <v>34252</v>
      </c>
      <c r="H11625" t="s">
        <v>24085</v>
      </c>
      <c r="I11625" t="s">
        <v>76</v>
      </c>
      <c r="J11625" t="s">
        <v>15482</v>
      </c>
    </row>
    <row r="11626" spans="1:10" x14ac:dyDescent="0.25">
      <c r="A11626" t="s">
        <v>34255</v>
      </c>
      <c r="B11626">
        <v>84</v>
      </c>
      <c r="C11626" t="s">
        <v>34256</v>
      </c>
      <c r="D11626" t="s">
        <v>1573</v>
      </c>
      <c r="E11626" t="s">
        <v>34257</v>
      </c>
      <c r="F11626" t="s">
        <v>7672</v>
      </c>
      <c r="G11626" t="s">
        <v>34258</v>
      </c>
      <c r="H11626" t="s">
        <v>9693</v>
      </c>
      <c r="I11626" t="s">
        <v>26279</v>
      </c>
      <c r="J11626" t="s">
        <v>9694</v>
      </c>
    </row>
    <row r="11627" spans="1:10" x14ac:dyDescent="0.25">
      <c r="A11627" t="s">
        <v>34259</v>
      </c>
      <c r="B11627">
        <v>14</v>
      </c>
      <c r="C11627" t="s">
        <v>34260</v>
      </c>
      <c r="D11627" t="s">
        <v>250</v>
      </c>
      <c r="E11627" t="s">
        <v>34261</v>
      </c>
      <c r="F11627" t="s">
        <v>7672</v>
      </c>
      <c r="G11627" t="s">
        <v>34262</v>
      </c>
      <c r="H11627" t="s">
        <v>15122</v>
      </c>
      <c r="I11627" t="s">
        <v>235</v>
      </c>
      <c r="J11627" t="s">
        <v>100</v>
      </c>
    </row>
    <row r="11628" spans="1:10" x14ac:dyDescent="0.25">
      <c r="A11628" t="s">
        <v>34263</v>
      </c>
      <c r="B11628">
        <v>14</v>
      </c>
      <c r="C11628" t="s">
        <v>34264</v>
      </c>
      <c r="D11628" t="s">
        <v>742</v>
      </c>
      <c r="E11628" t="s">
        <v>34261</v>
      </c>
      <c r="F11628" t="s">
        <v>7672</v>
      </c>
      <c r="G11628" t="s">
        <v>34262</v>
      </c>
      <c r="H11628" t="s">
        <v>15122</v>
      </c>
      <c r="I11628" t="s">
        <v>235</v>
      </c>
      <c r="J11628" t="s">
        <v>106</v>
      </c>
    </row>
    <row r="11629" spans="1:10" x14ac:dyDescent="0.25">
      <c r="A11629" t="s">
        <v>34265</v>
      </c>
      <c r="B11629">
        <v>14</v>
      </c>
      <c r="C11629" t="s">
        <v>34266</v>
      </c>
      <c r="D11629" t="s">
        <v>282</v>
      </c>
      <c r="E11629" t="s">
        <v>34261</v>
      </c>
      <c r="F11629" t="s">
        <v>7672</v>
      </c>
      <c r="G11629" t="s">
        <v>34262</v>
      </c>
      <c r="H11629" t="s">
        <v>15122</v>
      </c>
      <c r="I11629" t="s">
        <v>235</v>
      </c>
      <c r="J11629" t="s">
        <v>8531</v>
      </c>
    </row>
    <row r="11630" spans="1:10" x14ac:dyDescent="0.25">
      <c r="A11630" t="s">
        <v>34267</v>
      </c>
      <c r="B11630">
        <v>14</v>
      </c>
      <c r="C11630" t="s">
        <v>34268</v>
      </c>
      <c r="D11630" t="s">
        <v>131</v>
      </c>
      <c r="E11630" t="s">
        <v>34261</v>
      </c>
      <c r="F11630" t="s">
        <v>7672</v>
      </c>
      <c r="G11630" t="s">
        <v>34262</v>
      </c>
      <c r="H11630" t="s">
        <v>15122</v>
      </c>
      <c r="I11630" t="s">
        <v>235</v>
      </c>
      <c r="J11630" t="s">
        <v>290</v>
      </c>
    </row>
    <row r="11631" spans="1:10" x14ac:dyDescent="0.25">
      <c r="A11631" t="s">
        <v>34269</v>
      </c>
      <c r="B11631">
        <v>168</v>
      </c>
      <c r="C11631" t="s">
        <v>34270</v>
      </c>
      <c r="D11631" t="s">
        <v>316</v>
      </c>
      <c r="E11631" t="s">
        <v>34271</v>
      </c>
      <c r="F11631" t="s">
        <v>7672</v>
      </c>
      <c r="G11631" t="s">
        <v>34272</v>
      </c>
      <c r="H11631" t="s">
        <v>19910</v>
      </c>
      <c r="I11631" t="s">
        <v>33856</v>
      </c>
      <c r="J11631" t="s">
        <v>9694</v>
      </c>
    </row>
    <row r="11632" spans="1:10" x14ac:dyDescent="0.25">
      <c r="A11632" t="s">
        <v>34273</v>
      </c>
      <c r="B11632">
        <v>84</v>
      </c>
      <c r="C11632" t="s">
        <v>34274</v>
      </c>
      <c r="D11632" t="s">
        <v>2036</v>
      </c>
      <c r="E11632" t="s">
        <v>34275</v>
      </c>
      <c r="F11632" t="s">
        <v>7672</v>
      </c>
      <c r="G11632" t="s">
        <v>34276</v>
      </c>
      <c r="H11632" t="s">
        <v>9693</v>
      </c>
      <c r="I11632" t="s">
        <v>34277</v>
      </c>
      <c r="J11632" t="s">
        <v>9694</v>
      </c>
    </row>
    <row r="11633" spans="1:10" x14ac:dyDescent="0.25">
      <c r="A11633" t="s">
        <v>34278</v>
      </c>
      <c r="B11633">
        <v>168</v>
      </c>
      <c r="C11633" t="s">
        <v>34279</v>
      </c>
      <c r="D11633" t="s">
        <v>875</v>
      </c>
      <c r="E11633" t="s">
        <v>34280</v>
      </c>
      <c r="F11633" t="s">
        <v>7672</v>
      </c>
      <c r="G11633" t="s">
        <v>34281</v>
      </c>
      <c r="H11633" t="s">
        <v>9693</v>
      </c>
      <c r="I11633" t="s">
        <v>17521</v>
      </c>
      <c r="J11633" t="s">
        <v>9694</v>
      </c>
    </row>
    <row r="11634" spans="1:10" x14ac:dyDescent="0.25">
      <c r="A11634" t="s">
        <v>34282</v>
      </c>
      <c r="B11634">
        <v>168</v>
      </c>
      <c r="C11634" t="s">
        <v>34283</v>
      </c>
      <c r="D11634" t="s">
        <v>1621</v>
      </c>
      <c r="E11634" t="s">
        <v>34284</v>
      </c>
      <c r="F11634" t="s">
        <v>7672</v>
      </c>
      <c r="G11634" t="s">
        <v>34285</v>
      </c>
      <c r="H11634" t="s">
        <v>9693</v>
      </c>
      <c r="I11634" t="s">
        <v>17521</v>
      </c>
      <c r="J11634" t="s">
        <v>9694</v>
      </c>
    </row>
    <row r="11635" spans="1:10" x14ac:dyDescent="0.25">
      <c r="A11635" t="s">
        <v>34286</v>
      </c>
      <c r="B11635">
        <v>168</v>
      </c>
      <c r="C11635" t="s">
        <v>34287</v>
      </c>
      <c r="D11635" t="s">
        <v>576</v>
      </c>
      <c r="E11635" t="s">
        <v>34288</v>
      </c>
      <c r="F11635" t="s">
        <v>7672</v>
      </c>
      <c r="G11635" t="s">
        <v>34289</v>
      </c>
      <c r="H11635" t="s">
        <v>19910</v>
      </c>
      <c r="I11635" t="s">
        <v>18323</v>
      </c>
      <c r="J11635" t="s">
        <v>9694</v>
      </c>
    </row>
    <row r="11636" spans="1:10" x14ac:dyDescent="0.25">
      <c r="A11636" t="s">
        <v>34290</v>
      </c>
      <c r="B11636">
        <v>5.3920000000000003</v>
      </c>
      <c r="C11636" t="s">
        <v>34291</v>
      </c>
      <c r="D11636" t="s">
        <v>296</v>
      </c>
      <c r="E11636" t="s">
        <v>34292</v>
      </c>
      <c r="F11636" t="s">
        <v>7672</v>
      </c>
      <c r="G11636" t="s">
        <v>34293</v>
      </c>
      <c r="H11636" t="s">
        <v>34294</v>
      </c>
      <c r="I11636" t="s">
        <v>497</v>
      </c>
      <c r="J11636" t="s">
        <v>9694</v>
      </c>
    </row>
    <row r="11637" spans="1:10" x14ac:dyDescent="0.25">
      <c r="A11637" t="s">
        <v>34295</v>
      </c>
      <c r="B11637">
        <v>13.92</v>
      </c>
      <c r="C11637" t="s">
        <v>34296</v>
      </c>
      <c r="D11637" t="s">
        <v>255</v>
      </c>
      <c r="E11637" t="s">
        <v>34297</v>
      </c>
      <c r="F11637" t="s">
        <v>7672</v>
      </c>
      <c r="G11637" t="s">
        <v>34298</v>
      </c>
      <c r="H11637" t="s">
        <v>11598</v>
      </c>
      <c r="I11637" t="s">
        <v>30766</v>
      </c>
      <c r="J11637" t="s">
        <v>8001</v>
      </c>
    </row>
    <row r="11638" spans="1:10" x14ac:dyDescent="0.25">
      <c r="A11638" t="s">
        <v>34299</v>
      </c>
      <c r="B11638">
        <v>13.92</v>
      </c>
      <c r="C11638" t="s">
        <v>34300</v>
      </c>
      <c r="D11638" t="s">
        <v>131</v>
      </c>
      <c r="E11638" t="s">
        <v>34297</v>
      </c>
      <c r="F11638" t="s">
        <v>7672</v>
      </c>
      <c r="G11638" t="s">
        <v>34298</v>
      </c>
      <c r="H11638" t="s">
        <v>11598</v>
      </c>
      <c r="I11638" t="s">
        <v>30766</v>
      </c>
      <c r="J11638" t="s">
        <v>8013</v>
      </c>
    </row>
    <row r="11639" spans="1:10" x14ac:dyDescent="0.25">
      <c r="A11639" t="s">
        <v>34301</v>
      </c>
      <c r="B11639">
        <v>13.896000000000001</v>
      </c>
      <c r="C11639" t="s">
        <v>34302</v>
      </c>
      <c r="D11639" t="s">
        <v>60</v>
      </c>
      <c r="E11639" t="s">
        <v>34303</v>
      </c>
      <c r="F11639" t="s">
        <v>7672</v>
      </c>
      <c r="G11639" t="s">
        <v>34304</v>
      </c>
      <c r="H11639" t="s">
        <v>10970</v>
      </c>
      <c r="I11639" t="s">
        <v>34305</v>
      </c>
      <c r="J11639" t="s">
        <v>7981</v>
      </c>
    </row>
    <row r="11640" spans="1:10" x14ac:dyDescent="0.25">
      <c r="A11640" t="s">
        <v>34306</v>
      </c>
      <c r="B11640">
        <v>7.2</v>
      </c>
      <c r="C11640" t="s">
        <v>34307</v>
      </c>
      <c r="D11640" t="s">
        <v>8744</v>
      </c>
      <c r="E11640" t="s">
        <v>34308</v>
      </c>
      <c r="F11640" t="s">
        <v>7672</v>
      </c>
      <c r="G11640" t="s">
        <v>34309</v>
      </c>
      <c r="H11640" t="s">
        <v>7974</v>
      </c>
      <c r="I11640" t="s">
        <v>34310</v>
      </c>
      <c r="J11640" t="s">
        <v>8013</v>
      </c>
    </row>
    <row r="11641" spans="1:10" x14ac:dyDescent="0.25">
      <c r="A11641" t="s">
        <v>34311</v>
      </c>
      <c r="B11641">
        <v>5.5920000000000014</v>
      </c>
      <c r="C11641" t="s">
        <v>34312</v>
      </c>
      <c r="D11641" t="s">
        <v>53</v>
      </c>
      <c r="E11641" t="s">
        <v>34313</v>
      </c>
      <c r="F11641" t="s">
        <v>7672</v>
      </c>
      <c r="G11641" t="s">
        <v>34314</v>
      </c>
      <c r="H11641" t="s">
        <v>8027</v>
      </c>
      <c r="I11641" t="s">
        <v>34315</v>
      </c>
      <c r="J11641" t="s">
        <v>15073</v>
      </c>
    </row>
    <row r="11642" spans="1:10" x14ac:dyDescent="0.25">
      <c r="A11642" t="s">
        <v>34316</v>
      </c>
      <c r="B11642">
        <v>5.5920000000000014</v>
      </c>
      <c r="C11642" t="s">
        <v>34317</v>
      </c>
      <c r="D11642" t="s">
        <v>106</v>
      </c>
      <c r="E11642" t="s">
        <v>34313</v>
      </c>
      <c r="F11642" t="s">
        <v>7672</v>
      </c>
      <c r="G11642" t="s">
        <v>34314</v>
      </c>
      <c r="H11642" t="s">
        <v>8027</v>
      </c>
      <c r="I11642" t="s">
        <v>34315</v>
      </c>
      <c r="J11642" t="s">
        <v>15076</v>
      </c>
    </row>
    <row r="11643" spans="1:10" x14ac:dyDescent="0.25">
      <c r="A11643" t="s">
        <v>34318</v>
      </c>
      <c r="B11643">
        <v>4</v>
      </c>
      <c r="C11643" t="s">
        <v>34319</v>
      </c>
      <c r="D11643" t="s">
        <v>698</v>
      </c>
      <c r="E11643" t="s">
        <v>34320</v>
      </c>
      <c r="F11643" t="s">
        <v>7672</v>
      </c>
      <c r="G11643" t="s">
        <v>34321</v>
      </c>
      <c r="H11643" t="s">
        <v>8027</v>
      </c>
      <c r="I11643" t="s">
        <v>34322</v>
      </c>
      <c r="J11643" t="s">
        <v>7942</v>
      </c>
    </row>
    <row r="11644" spans="1:10" x14ac:dyDescent="0.25">
      <c r="A11644" t="s">
        <v>34323</v>
      </c>
      <c r="B11644">
        <v>4</v>
      </c>
      <c r="C11644" t="s">
        <v>34324</v>
      </c>
      <c r="D11644" t="s">
        <v>996</v>
      </c>
      <c r="E11644" t="s">
        <v>34320</v>
      </c>
      <c r="F11644" t="s">
        <v>7672</v>
      </c>
      <c r="G11644" t="s">
        <v>34321</v>
      </c>
      <c r="H11644" t="s">
        <v>8027</v>
      </c>
      <c r="I11644" t="s">
        <v>34322</v>
      </c>
      <c r="J11644" t="s">
        <v>7981</v>
      </c>
    </row>
    <row r="11645" spans="1:10" x14ac:dyDescent="0.25">
      <c r="A11645" t="s">
        <v>34325</v>
      </c>
      <c r="B11645">
        <v>4</v>
      </c>
      <c r="C11645" t="s">
        <v>34326</v>
      </c>
      <c r="D11645" t="s">
        <v>2198</v>
      </c>
      <c r="E11645" t="s">
        <v>34320</v>
      </c>
      <c r="F11645" t="s">
        <v>7672</v>
      </c>
      <c r="G11645" t="s">
        <v>34321</v>
      </c>
      <c r="H11645" t="s">
        <v>8027</v>
      </c>
      <c r="I11645" t="s">
        <v>34322</v>
      </c>
      <c r="J11645" t="s">
        <v>7984</v>
      </c>
    </row>
    <row r="11646" spans="1:10" x14ac:dyDescent="0.25">
      <c r="A11646" t="s">
        <v>34327</v>
      </c>
      <c r="B11646">
        <v>4</v>
      </c>
      <c r="C11646" t="s">
        <v>34328</v>
      </c>
      <c r="D11646" t="s">
        <v>8421</v>
      </c>
      <c r="E11646" t="s">
        <v>34320</v>
      </c>
      <c r="F11646" t="s">
        <v>7672</v>
      </c>
      <c r="G11646" t="s">
        <v>34321</v>
      </c>
      <c r="H11646" t="s">
        <v>8027</v>
      </c>
      <c r="I11646" t="s">
        <v>34322</v>
      </c>
      <c r="J11646" t="s">
        <v>7987</v>
      </c>
    </row>
    <row r="11647" spans="1:10" x14ac:dyDescent="0.25">
      <c r="A11647" t="s">
        <v>34329</v>
      </c>
      <c r="B11647">
        <v>4</v>
      </c>
      <c r="C11647" t="s">
        <v>34330</v>
      </c>
      <c r="D11647" t="s">
        <v>3944</v>
      </c>
      <c r="E11647" t="s">
        <v>34320</v>
      </c>
      <c r="F11647" t="s">
        <v>7672</v>
      </c>
      <c r="G11647" t="s">
        <v>34321</v>
      </c>
      <c r="H11647" t="s">
        <v>8027</v>
      </c>
      <c r="I11647" t="s">
        <v>34322</v>
      </c>
      <c r="J11647" t="s">
        <v>8001</v>
      </c>
    </row>
    <row r="11648" spans="1:10" x14ac:dyDescent="0.25">
      <c r="A11648" t="s">
        <v>34331</v>
      </c>
      <c r="B11648">
        <v>4</v>
      </c>
      <c r="C11648" t="s">
        <v>34332</v>
      </c>
      <c r="D11648" t="s">
        <v>843</v>
      </c>
      <c r="E11648" t="s">
        <v>34320</v>
      </c>
      <c r="F11648" t="s">
        <v>7672</v>
      </c>
      <c r="G11648" t="s">
        <v>34321</v>
      </c>
      <c r="H11648" t="s">
        <v>8027</v>
      </c>
      <c r="I11648" t="s">
        <v>34322</v>
      </c>
      <c r="J11648" t="s">
        <v>8013</v>
      </c>
    </row>
    <row r="11649" spans="1:10" x14ac:dyDescent="0.25">
      <c r="A11649" t="s">
        <v>1676</v>
      </c>
      <c r="B11649">
        <v>4.7920000000000007</v>
      </c>
      <c r="C11649" t="s">
        <v>1678</v>
      </c>
      <c r="D11649" t="s">
        <v>1681</v>
      </c>
      <c r="E11649" t="s">
        <v>1679</v>
      </c>
      <c r="F11649" t="s">
        <v>7672</v>
      </c>
      <c r="G11649" t="s">
        <v>34333</v>
      </c>
      <c r="H11649" t="s">
        <v>26019</v>
      </c>
      <c r="I11649" t="s">
        <v>497</v>
      </c>
      <c r="J11649" t="s">
        <v>9694</v>
      </c>
    </row>
    <row r="11650" spans="1:10" x14ac:dyDescent="0.25">
      <c r="A11650" t="s">
        <v>34334</v>
      </c>
      <c r="B11650">
        <v>17.760000000000002</v>
      </c>
      <c r="C11650" t="s">
        <v>34335</v>
      </c>
      <c r="D11650" t="s">
        <v>53</v>
      </c>
      <c r="E11650" t="s">
        <v>34336</v>
      </c>
      <c r="F11650" t="s">
        <v>7672</v>
      </c>
      <c r="G11650" t="s">
        <v>34337</v>
      </c>
      <c r="H11650" t="s">
        <v>10368</v>
      </c>
      <c r="I11650" t="s">
        <v>935</v>
      </c>
      <c r="J11650" t="s">
        <v>100</v>
      </c>
    </row>
    <row r="11651" spans="1:10" x14ac:dyDescent="0.25">
      <c r="A11651" t="s">
        <v>34338</v>
      </c>
      <c r="B11651">
        <v>54</v>
      </c>
      <c r="C11651" t="s">
        <v>34339</v>
      </c>
      <c r="D11651" t="s">
        <v>34340</v>
      </c>
      <c r="E11651" t="s">
        <v>34341</v>
      </c>
      <c r="F11651" t="s">
        <v>7672</v>
      </c>
      <c r="G11651" t="s">
        <v>34342</v>
      </c>
      <c r="H11651" t="s">
        <v>9693</v>
      </c>
      <c r="I11651" t="s">
        <v>26279</v>
      </c>
      <c r="J11651" t="s">
        <v>9694</v>
      </c>
    </row>
    <row r="11652" spans="1:10" x14ac:dyDescent="0.25">
      <c r="A11652" t="s">
        <v>34343</v>
      </c>
      <c r="B11652">
        <v>6</v>
      </c>
      <c r="C11652" t="s">
        <v>34344</v>
      </c>
      <c r="D11652" t="s">
        <v>113</v>
      </c>
      <c r="E11652" t="s">
        <v>34345</v>
      </c>
      <c r="F11652" t="s">
        <v>7672</v>
      </c>
      <c r="G11652" t="s">
        <v>34346</v>
      </c>
      <c r="H11652" t="s">
        <v>11496</v>
      </c>
      <c r="I11652" t="s">
        <v>34347</v>
      </c>
      <c r="J11652" t="s">
        <v>9423</v>
      </c>
    </row>
    <row r="11653" spans="1:10" x14ac:dyDescent="0.25">
      <c r="A11653" t="s">
        <v>34348</v>
      </c>
      <c r="B11653">
        <v>6</v>
      </c>
      <c r="C11653" t="s">
        <v>34349</v>
      </c>
      <c r="D11653" t="s">
        <v>516</v>
      </c>
      <c r="E11653" t="s">
        <v>34345</v>
      </c>
      <c r="F11653" t="s">
        <v>7672</v>
      </c>
      <c r="G11653" t="s">
        <v>34346</v>
      </c>
      <c r="H11653" t="s">
        <v>11496</v>
      </c>
      <c r="I11653" t="s">
        <v>34347</v>
      </c>
      <c r="J11653" t="s">
        <v>9426</v>
      </c>
    </row>
    <row r="11654" spans="1:10" x14ac:dyDescent="0.25">
      <c r="A11654" t="s">
        <v>34350</v>
      </c>
      <c r="B11654">
        <v>54</v>
      </c>
      <c r="C11654" t="s">
        <v>34351</v>
      </c>
      <c r="D11654" t="s">
        <v>60</v>
      </c>
      <c r="E11654" t="s">
        <v>34352</v>
      </c>
      <c r="F11654" t="s">
        <v>7672</v>
      </c>
      <c r="G11654" t="s">
        <v>34353</v>
      </c>
      <c r="H11654" t="s">
        <v>34354</v>
      </c>
      <c r="I11654" t="s">
        <v>17521</v>
      </c>
      <c r="J11654" t="s">
        <v>9694</v>
      </c>
    </row>
    <row r="11655" spans="1:10" x14ac:dyDescent="0.25">
      <c r="A11655" t="s">
        <v>34355</v>
      </c>
      <c r="B11655">
        <v>8.9920000000000009</v>
      </c>
      <c r="C11655" t="s">
        <v>34356</v>
      </c>
      <c r="D11655" t="s">
        <v>131</v>
      </c>
      <c r="E11655" t="s">
        <v>34357</v>
      </c>
      <c r="F11655" t="s">
        <v>7672</v>
      </c>
      <c r="G11655" t="s">
        <v>34358</v>
      </c>
      <c r="H11655" t="s">
        <v>7674</v>
      </c>
      <c r="I11655" t="s">
        <v>108</v>
      </c>
      <c r="J11655" t="s">
        <v>16039</v>
      </c>
    </row>
    <row r="11656" spans="1:10" x14ac:dyDescent="0.25">
      <c r="A11656" t="s">
        <v>34359</v>
      </c>
      <c r="B11656">
        <v>39.991999999999997</v>
      </c>
      <c r="C11656" t="s">
        <v>34360</v>
      </c>
      <c r="D11656" t="s">
        <v>106</v>
      </c>
      <c r="E11656" t="s">
        <v>34361</v>
      </c>
      <c r="F11656" t="s">
        <v>7672</v>
      </c>
      <c r="G11656" t="s">
        <v>34362</v>
      </c>
      <c r="H11656" t="s">
        <v>12423</v>
      </c>
      <c r="I11656" t="s">
        <v>34363</v>
      </c>
      <c r="J11656" t="s">
        <v>7675</v>
      </c>
    </row>
    <row r="11657" spans="1:10" x14ac:dyDescent="0.25">
      <c r="A11657" t="s">
        <v>34364</v>
      </c>
      <c r="B11657">
        <v>13.896000000000001</v>
      </c>
      <c r="C11657" t="s">
        <v>34365</v>
      </c>
      <c r="D11657" t="s">
        <v>60</v>
      </c>
      <c r="E11657" t="s">
        <v>34361</v>
      </c>
      <c r="F11657" t="s">
        <v>7672</v>
      </c>
      <c r="G11657" t="s">
        <v>34362</v>
      </c>
      <c r="H11657" t="s">
        <v>12423</v>
      </c>
      <c r="I11657" t="s">
        <v>10349</v>
      </c>
      <c r="J11657" t="s">
        <v>7675</v>
      </c>
    </row>
    <row r="11658" spans="1:10" x14ac:dyDescent="0.25">
      <c r="A11658" t="s">
        <v>34366</v>
      </c>
      <c r="B11658">
        <v>39.991999999999997</v>
      </c>
      <c r="C11658" t="s">
        <v>34367</v>
      </c>
      <c r="D11658" t="s">
        <v>269</v>
      </c>
      <c r="E11658" t="s">
        <v>34361</v>
      </c>
      <c r="F11658" t="s">
        <v>7672</v>
      </c>
      <c r="G11658" t="s">
        <v>34362</v>
      </c>
      <c r="H11658" t="s">
        <v>12423</v>
      </c>
      <c r="I11658" t="s">
        <v>34363</v>
      </c>
      <c r="J11658" t="s">
        <v>7686</v>
      </c>
    </row>
    <row r="11659" spans="1:10" x14ac:dyDescent="0.25">
      <c r="A11659" t="s">
        <v>34368</v>
      </c>
      <c r="B11659">
        <v>39.991999999999997</v>
      </c>
      <c r="C11659" t="s">
        <v>34369</v>
      </c>
      <c r="D11659" t="s">
        <v>576</v>
      </c>
      <c r="E11659" t="s">
        <v>34361</v>
      </c>
      <c r="F11659" t="s">
        <v>7672</v>
      </c>
      <c r="G11659" t="s">
        <v>34362</v>
      </c>
      <c r="H11659" t="s">
        <v>12423</v>
      </c>
      <c r="I11659" t="s">
        <v>10349</v>
      </c>
      <c r="J11659" t="s">
        <v>7686</v>
      </c>
    </row>
    <row r="11660" spans="1:10" x14ac:dyDescent="0.25">
      <c r="A11660" t="s">
        <v>34370</v>
      </c>
      <c r="B11660">
        <v>39.991999999999997</v>
      </c>
      <c r="C11660" t="s">
        <v>34371</v>
      </c>
      <c r="D11660" t="s">
        <v>436</v>
      </c>
      <c r="E11660" t="s">
        <v>34361</v>
      </c>
      <c r="F11660" t="s">
        <v>7672</v>
      </c>
      <c r="G11660" t="s">
        <v>34362</v>
      </c>
      <c r="H11660" t="s">
        <v>12423</v>
      </c>
      <c r="I11660" t="s">
        <v>10349</v>
      </c>
      <c r="J11660" t="s">
        <v>7703</v>
      </c>
    </row>
    <row r="11661" spans="1:10" x14ac:dyDescent="0.25">
      <c r="A11661" t="s">
        <v>34372</v>
      </c>
      <c r="B11661">
        <v>39.991999999999997</v>
      </c>
      <c r="C11661" t="s">
        <v>34373</v>
      </c>
      <c r="D11661" t="s">
        <v>277</v>
      </c>
      <c r="E11661" t="s">
        <v>34361</v>
      </c>
      <c r="F11661" t="s">
        <v>7672</v>
      </c>
      <c r="G11661" t="s">
        <v>34362</v>
      </c>
      <c r="H11661" t="s">
        <v>12423</v>
      </c>
      <c r="I11661" t="s">
        <v>34363</v>
      </c>
      <c r="J11661" t="s">
        <v>7703</v>
      </c>
    </row>
    <row r="11662" spans="1:10" x14ac:dyDescent="0.25">
      <c r="A11662" t="s">
        <v>34374</v>
      </c>
      <c r="B11662">
        <v>39.991999999999997</v>
      </c>
      <c r="C11662" t="s">
        <v>34375</v>
      </c>
      <c r="D11662" t="s">
        <v>164</v>
      </c>
      <c r="E11662" t="s">
        <v>34361</v>
      </c>
      <c r="F11662" t="s">
        <v>7672</v>
      </c>
      <c r="G11662" t="s">
        <v>34362</v>
      </c>
      <c r="H11662" t="s">
        <v>12423</v>
      </c>
      <c r="I11662" t="s">
        <v>10349</v>
      </c>
      <c r="J11662" t="s">
        <v>7713</v>
      </c>
    </row>
    <row r="11663" spans="1:10" x14ac:dyDescent="0.25">
      <c r="A11663" t="s">
        <v>34376</v>
      </c>
      <c r="B11663">
        <v>39.991999999999997</v>
      </c>
      <c r="C11663" t="s">
        <v>34377</v>
      </c>
      <c r="D11663" t="s">
        <v>164</v>
      </c>
      <c r="E11663" t="s">
        <v>34361</v>
      </c>
      <c r="F11663" t="s">
        <v>7672</v>
      </c>
      <c r="G11663" t="s">
        <v>34362</v>
      </c>
      <c r="H11663" t="s">
        <v>12423</v>
      </c>
      <c r="I11663" t="s">
        <v>34363</v>
      </c>
      <c r="J11663" t="s">
        <v>7713</v>
      </c>
    </row>
    <row r="11664" spans="1:10" x14ac:dyDescent="0.25">
      <c r="A11664" t="s">
        <v>34378</v>
      </c>
      <c r="B11664">
        <v>39.991999999999997</v>
      </c>
      <c r="C11664" t="s">
        <v>34379</v>
      </c>
      <c r="D11664" t="s">
        <v>282</v>
      </c>
      <c r="E11664" t="s">
        <v>34361</v>
      </c>
      <c r="F11664" t="s">
        <v>7672</v>
      </c>
      <c r="G11664" t="s">
        <v>34362</v>
      </c>
      <c r="H11664" t="s">
        <v>12423</v>
      </c>
      <c r="I11664" t="s">
        <v>10349</v>
      </c>
      <c r="J11664" t="s">
        <v>7719</v>
      </c>
    </row>
    <row r="11665" spans="1:10" x14ac:dyDescent="0.25">
      <c r="A11665" t="s">
        <v>34380</v>
      </c>
      <c r="B11665">
        <v>39.991999999999997</v>
      </c>
      <c r="C11665" t="s">
        <v>34381</v>
      </c>
      <c r="D11665" t="s">
        <v>255</v>
      </c>
      <c r="E11665" t="s">
        <v>34361</v>
      </c>
      <c r="F11665" t="s">
        <v>7672</v>
      </c>
      <c r="G11665" t="s">
        <v>34362</v>
      </c>
      <c r="H11665" t="s">
        <v>12423</v>
      </c>
      <c r="I11665" t="s">
        <v>34363</v>
      </c>
      <c r="J11665" t="s">
        <v>7719</v>
      </c>
    </row>
    <row r="11666" spans="1:10" x14ac:dyDescent="0.25">
      <c r="A11666" t="s">
        <v>34382</v>
      </c>
      <c r="B11666">
        <v>2.88</v>
      </c>
      <c r="C11666" t="s">
        <v>34383</v>
      </c>
      <c r="D11666" t="s">
        <v>6194</v>
      </c>
      <c r="E11666" t="s">
        <v>34384</v>
      </c>
      <c r="F11666" t="s">
        <v>7672</v>
      </c>
      <c r="G11666" t="s">
        <v>34385</v>
      </c>
      <c r="H11666" t="s">
        <v>7674</v>
      </c>
      <c r="I11666" t="s">
        <v>31909</v>
      </c>
      <c r="J11666" t="s">
        <v>9694</v>
      </c>
    </row>
    <row r="11667" spans="1:10" x14ac:dyDescent="0.25">
      <c r="A11667" t="s">
        <v>34386</v>
      </c>
      <c r="B11667">
        <v>11.52</v>
      </c>
      <c r="C11667" t="s">
        <v>34387</v>
      </c>
      <c r="D11667" t="s">
        <v>131</v>
      </c>
      <c r="E11667" t="s">
        <v>34388</v>
      </c>
      <c r="F11667" t="s">
        <v>7672</v>
      </c>
      <c r="G11667" t="s">
        <v>34389</v>
      </c>
      <c r="H11667" t="s">
        <v>10298</v>
      </c>
      <c r="I11667" t="s">
        <v>10394</v>
      </c>
      <c r="J11667" t="s">
        <v>8427</v>
      </c>
    </row>
    <row r="11668" spans="1:10" x14ac:dyDescent="0.25">
      <c r="A11668" t="s">
        <v>34390</v>
      </c>
      <c r="B11668">
        <v>11.52</v>
      </c>
      <c r="C11668" t="s">
        <v>34391</v>
      </c>
      <c r="D11668" t="s">
        <v>742</v>
      </c>
      <c r="E11668" t="s">
        <v>34388</v>
      </c>
      <c r="F11668" t="s">
        <v>7672</v>
      </c>
      <c r="G11668" t="s">
        <v>34389</v>
      </c>
      <c r="H11668" t="s">
        <v>10298</v>
      </c>
      <c r="I11668" t="s">
        <v>10394</v>
      </c>
      <c r="J11668" t="s">
        <v>8439</v>
      </c>
    </row>
    <row r="11669" spans="1:10" x14ac:dyDescent="0.25">
      <c r="A11669" t="s">
        <v>34392</v>
      </c>
      <c r="B11669">
        <v>11.52</v>
      </c>
      <c r="C11669" t="s">
        <v>34393</v>
      </c>
      <c r="D11669" t="s">
        <v>53</v>
      </c>
      <c r="E11669" t="s">
        <v>34388</v>
      </c>
      <c r="F11669" t="s">
        <v>7672</v>
      </c>
      <c r="G11669" t="s">
        <v>34389</v>
      </c>
      <c r="H11669" t="s">
        <v>10298</v>
      </c>
      <c r="I11669" t="s">
        <v>10394</v>
      </c>
      <c r="J11669" t="s">
        <v>8451</v>
      </c>
    </row>
    <row r="11670" spans="1:10" x14ac:dyDescent="0.25">
      <c r="A11670" t="s">
        <v>34394</v>
      </c>
      <c r="B11670">
        <v>3.64</v>
      </c>
      <c r="C11670" t="s">
        <v>34395</v>
      </c>
      <c r="D11670" t="s">
        <v>255</v>
      </c>
      <c r="E11670" t="s">
        <v>34396</v>
      </c>
      <c r="F11670" t="s">
        <v>7672</v>
      </c>
      <c r="G11670" t="s">
        <v>34397</v>
      </c>
      <c r="H11670" t="s">
        <v>10298</v>
      </c>
      <c r="I11670" t="s">
        <v>34077</v>
      </c>
      <c r="J11670" t="s">
        <v>8427</v>
      </c>
    </row>
    <row r="11671" spans="1:10" x14ac:dyDescent="0.25">
      <c r="A11671" t="s">
        <v>34398</v>
      </c>
      <c r="B11671">
        <v>3.64</v>
      </c>
      <c r="C11671" t="s">
        <v>34399</v>
      </c>
      <c r="D11671" t="s">
        <v>664</v>
      </c>
      <c r="E11671" t="s">
        <v>34396</v>
      </c>
      <c r="F11671" t="s">
        <v>7672</v>
      </c>
      <c r="G11671" t="s">
        <v>34397</v>
      </c>
      <c r="H11671" t="s">
        <v>10298</v>
      </c>
      <c r="I11671" t="s">
        <v>21494</v>
      </c>
      <c r="J11671" t="s">
        <v>8439</v>
      </c>
    </row>
    <row r="11672" spans="1:10" x14ac:dyDescent="0.25">
      <c r="A11672" t="s">
        <v>34400</v>
      </c>
      <c r="B11672">
        <v>3.64</v>
      </c>
      <c r="C11672" t="s">
        <v>34401</v>
      </c>
      <c r="D11672" t="s">
        <v>2879</v>
      </c>
      <c r="E11672" t="s">
        <v>34396</v>
      </c>
      <c r="F11672" t="s">
        <v>7672</v>
      </c>
      <c r="G11672" t="s">
        <v>34397</v>
      </c>
      <c r="H11672" t="s">
        <v>10298</v>
      </c>
      <c r="I11672" t="s">
        <v>34402</v>
      </c>
      <c r="J11672" t="s">
        <v>8439</v>
      </c>
    </row>
    <row r="11673" spans="1:10" x14ac:dyDescent="0.25">
      <c r="A11673" t="s">
        <v>34403</v>
      </c>
      <c r="B11673">
        <v>3.64</v>
      </c>
      <c r="C11673" t="s">
        <v>34404</v>
      </c>
      <c r="D11673" t="s">
        <v>2099</v>
      </c>
      <c r="E11673" t="s">
        <v>34396</v>
      </c>
      <c r="F11673" t="s">
        <v>7672</v>
      </c>
      <c r="G11673" t="s">
        <v>34397</v>
      </c>
      <c r="H11673" t="s">
        <v>10298</v>
      </c>
      <c r="I11673" t="s">
        <v>34405</v>
      </c>
      <c r="J11673" t="s">
        <v>8439</v>
      </c>
    </row>
    <row r="11674" spans="1:10" x14ac:dyDescent="0.25">
      <c r="A11674" t="s">
        <v>34406</v>
      </c>
      <c r="B11674">
        <v>3.64</v>
      </c>
      <c r="C11674" t="s">
        <v>34407</v>
      </c>
      <c r="D11674" t="s">
        <v>705</v>
      </c>
      <c r="E11674" t="s">
        <v>34396</v>
      </c>
      <c r="F11674" t="s">
        <v>7672</v>
      </c>
      <c r="G11674" t="s">
        <v>34397</v>
      </c>
      <c r="H11674" t="s">
        <v>10298</v>
      </c>
      <c r="I11674" t="s">
        <v>34408</v>
      </c>
      <c r="J11674" t="s">
        <v>8439</v>
      </c>
    </row>
    <row r="11675" spans="1:10" x14ac:dyDescent="0.25">
      <c r="A11675" t="s">
        <v>34409</v>
      </c>
      <c r="B11675">
        <v>3.64</v>
      </c>
      <c r="C11675" t="s">
        <v>34410</v>
      </c>
      <c r="D11675" t="s">
        <v>2198</v>
      </c>
      <c r="E11675" t="s">
        <v>34396</v>
      </c>
      <c r="F11675" t="s">
        <v>7672</v>
      </c>
      <c r="G11675" t="s">
        <v>34397</v>
      </c>
      <c r="H11675" t="s">
        <v>10298</v>
      </c>
      <c r="I11675" t="s">
        <v>34077</v>
      </c>
      <c r="J11675" t="s">
        <v>8439</v>
      </c>
    </row>
    <row r="11676" spans="1:10" x14ac:dyDescent="0.25">
      <c r="A11676" t="s">
        <v>34411</v>
      </c>
      <c r="B11676">
        <v>3.64</v>
      </c>
      <c r="C11676" t="s">
        <v>34412</v>
      </c>
      <c r="D11676" t="s">
        <v>875</v>
      </c>
      <c r="E11676" t="s">
        <v>34396</v>
      </c>
      <c r="F11676" t="s">
        <v>7672</v>
      </c>
      <c r="G11676" t="s">
        <v>34397</v>
      </c>
      <c r="H11676" t="s">
        <v>10298</v>
      </c>
      <c r="I11676" t="s">
        <v>21494</v>
      </c>
      <c r="J11676" t="s">
        <v>8451</v>
      </c>
    </row>
    <row r="11677" spans="1:10" x14ac:dyDescent="0.25">
      <c r="A11677" t="s">
        <v>34413</v>
      </c>
      <c r="B11677">
        <v>3.64</v>
      </c>
      <c r="C11677" t="s">
        <v>34414</v>
      </c>
      <c r="D11677" t="s">
        <v>1811</v>
      </c>
      <c r="E11677" t="s">
        <v>34396</v>
      </c>
      <c r="F11677" t="s">
        <v>7672</v>
      </c>
      <c r="G11677" t="s">
        <v>34397</v>
      </c>
      <c r="H11677" t="s">
        <v>10298</v>
      </c>
      <c r="I11677" t="s">
        <v>34077</v>
      </c>
      <c r="J11677" t="s">
        <v>8451</v>
      </c>
    </row>
    <row r="11678" spans="1:10" x14ac:dyDescent="0.25">
      <c r="A11678" t="s">
        <v>34415</v>
      </c>
      <c r="B11678">
        <v>3.64</v>
      </c>
      <c r="C11678" t="s">
        <v>34416</v>
      </c>
      <c r="D11678" t="s">
        <v>301</v>
      </c>
      <c r="E11678" t="s">
        <v>34396</v>
      </c>
      <c r="F11678" t="s">
        <v>7672</v>
      </c>
      <c r="G11678" t="s">
        <v>34397</v>
      </c>
      <c r="H11678" t="s">
        <v>10298</v>
      </c>
      <c r="I11678" t="s">
        <v>34405</v>
      </c>
      <c r="J11678" t="s">
        <v>8451</v>
      </c>
    </row>
    <row r="11679" spans="1:10" x14ac:dyDescent="0.25">
      <c r="A11679" t="s">
        <v>34417</v>
      </c>
      <c r="B11679">
        <v>3.64</v>
      </c>
      <c r="C11679" t="s">
        <v>34418</v>
      </c>
      <c r="D11679" t="s">
        <v>2697</v>
      </c>
      <c r="E11679" t="s">
        <v>34396</v>
      </c>
      <c r="F11679" t="s">
        <v>7672</v>
      </c>
      <c r="G11679" t="s">
        <v>34397</v>
      </c>
      <c r="H11679" t="s">
        <v>10298</v>
      </c>
      <c r="I11679" t="s">
        <v>34408</v>
      </c>
      <c r="J11679" t="s">
        <v>8451</v>
      </c>
    </row>
    <row r="11680" spans="1:10" x14ac:dyDescent="0.25">
      <c r="A11680" t="s">
        <v>34419</v>
      </c>
      <c r="B11680">
        <v>6.4</v>
      </c>
      <c r="C11680" t="s">
        <v>34420</v>
      </c>
      <c r="D11680" t="s">
        <v>342</v>
      </c>
      <c r="E11680" t="s">
        <v>34421</v>
      </c>
      <c r="F11680" t="s">
        <v>7672</v>
      </c>
      <c r="G11680" t="s">
        <v>34422</v>
      </c>
      <c r="H11680" t="s">
        <v>34423</v>
      </c>
      <c r="I11680" t="s">
        <v>9326</v>
      </c>
      <c r="J11680" t="s">
        <v>7942</v>
      </c>
    </row>
    <row r="11681" spans="1:10" x14ac:dyDescent="0.25">
      <c r="A11681" t="s">
        <v>34424</v>
      </c>
      <c r="B11681">
        <v>6.4</v>
      </c>
      <c r="C11681" t="s">
        <v>34425</v>
      </c>
      <c r="D11681" t="s">
        <v>2697</v>
      </c>
      <c r="E11681" t="s">
        <v>34421</v>
      </c>
      <c r="F11681" t="s">
        <v>7672</v>
      </c>
      <c r="G11681" t="s">
        <v>34422</v>
      </c>
      <c r="H11681" t="s">
        <v>34423</v>
      </c>
      <c r="I11681" t="s">
        <v>34426</v>
      </c>
      <c r="J11681" t="s">
        <v>7942</v>
      </c>
    </row>
    <row r="11682" spans="1:10" x14ac:dyDescent="0.25">
      <c r="A11682" t="s">
        <v>34427</v>
      </c>
      <c r="B11682">
        <v>6.4</v>
      </c>
      <c r="C11682" t="s">
        <v>34428</v>
      </c>
      <c r="D11682" t="s">
        <v>290</v>
      </c>
      <c r="E11682" t="s">
        <v>34421</v>
      </c>
      <c r="F11682" t="s">
        <v>7672</v>
      </c>
      <c r="G11682" t="s">
        <v>34422</v>
      </c>
      <c r="H11682" t="s">
        <v>34423</v>
      </c>
      <c r="I11682" t="s">
        <v>9326</v>
      </c>
      <c r="J11682" t="s">
        <v>7981</v>
      </c>
    </row>
    <row r="11683" spans="1:10" x14ac:dyDescent="0.25">
      <c r="A11683" t="s">
        <v>34429</v>
      </c>
      <c r="B11683">
        <v>6.4</v>
      </c>
      <c r="C11683" t="s">
        <v>34430</v>
      </c>
      <c r="D11683" t="s">
        <v>1143</v>
      </c>
      <c r="E11683" t="s">
        <v>34421</v>
      </c>
      <c r="F11683" t="s">
        <v>7672</v>
      </c>
      <c r="G11683" t="s">
        <v>34422</v>
      </c>
      <c r="H11683" t="s">
        <v>34423</v>
      </c>
      <c r="I11683" t="s">
        <v>34426</v>
      </c>
      <c r="J11683" t="s">
        <v>7981</v>
      </c>
    </row>
    <row r="11684" spans="1:10" x14ac:dyDescent="0.25">
      <c r="A11684" t="s">
        <v>34431</v>
      </c>
      <c r="B11684">
        <v>6.4</v>
      </c>
      <c r="C11684" t="s">
        <v>34432</v>
      </c>
      <c r="D11684" t="s">
        <v>311</v>
      </c>
      <c r="E11684" t="s">
        <v>34421</v>
      </c>
      <c r="F11684" t="s">
        <v>7672</v>
      </c>
      <c r="G11684" t="s">
        <v>34422</v>
      </c>
      <c r="H11684" t="s">
        <v>34423</v>
      </c>
      <c r="I11684" t="s">
        <v>9326</v>
      </c>
      <c r="J11684" t="s">
        <v>7984</v>
      </c>
    </row>
    <row r="11685" spans="1:10" x14ac:dyDescent="0.25">
      <c r="A11685" t="s">
        <v>34433</v>
      </c>
      <c r="B11685">
        <v>6.4</v>
      </c>
      <c r="C11685" t="s">
        <v>34434</v>
      </c>
      <c r="D11685" t="s">
        <v>588</v>
      </c>
      <c r="E11685" t="s">
        <v>34421</v>
      </c>
      <c r="F11685" t="s">
        <v>7672</v>
      </c>
      <c r="G11685" t="s">
        <v>34422</v>
      </c>
      <c r="H11685" t="s">
        <v>34423</v>
      </c>
      <c r="I11685" t="s">
        <v>34426</v>
      </c>
      <c r="J11685" t="s">
        <v>7984</v>
      </c>
    </row>
    <row r="11686" spans="1:10" x14ac:dyDescent="0.25">
      <c r="A11686" t="s">
        <v>34435</v>
      </c>
      <c r="B11686">
        <v>6.4</v>
      </c>
      <c r="C11686" t="s">
        <v>34436</v>
      </c>
      <c r="D11686" t="s">
        <v>776</v>
      </c>
      <c r="E11686" t="s">
        <v>34421</v>
      </c>
      <c r="F11686" t="s">
        <v>7672</v>
      </c>
      <c r="G11686" t="s">
        <v>34422</v>
      </c>
      <c r="H11686" t="s">
        <v>34423</v>
      </c>
      <c r="I11686" t="s">
        <v>34426</v>
      </c>
      <c r="J11686" t="s">
        <v>7987</v>
      </c>
    </row>
    <row r="11687" spans="1:10" x14ac:dyDescent="0.25">
      <c r="A11687" t="s">
        <v>34437</v>
      </c>
      <c r="B11687">
        <v>6.4</v>
      </c>
      <c r="C11687" t="s">
        <v>34438</v>
      </c>
      <c r="D11687" t="s">
        <v>613</v>
      </c>
      <c r="E11687" t="s">
        <v>34421</v>
      </c>
      <c r="F11687" t="s">
        <v>7672</v>
      </c>
      <c r="G11687" t="s">
        <v>34422</v>
      </c>
      <c r="H11687" t="s">
        <v>34423</v>
      </c>
      <c r="I11687" t="s">
        <v>9326</v>
      </c>
      <c r="J11687" t="s">
        <v>7987</v>
      </c>
    </row>
    <row r="11688" spans="1:10" x14ac:dyDescent="0.25">
      <c r="A11688" t="s">
        <v>34439</v>
      </c>
      <c r="B11688">
        <v>6.4</v>
      </c>
      <c r="C11688" t="s">
        <v>34440</v>
      </c>
      <c r="D11688" t="s">
        <v>277</v>
      </c>
      <c r="E11688" t="s">
        <v>34421</v>
      </c>
      <c r="F11688" t="s">
        <v>7672</v>
      </c>
      <c r="G11688" t="s">
        <v>34422</v>
      </c>
      <c r="H11688" t="s">
        <v>34423</v>
      </c>
      <c r="I11688" t="s">
        <v>34426</v>
      </c>
      <c r="J11688" t="s">
        <v>8001</v>
      </c>
    </row>
    <row r="11689" spans="1:10" x14ac:dyDescent="0.25">
      <c r="A11689" t="s">
        <v>34441</v>
      </c>
      <c r="B11689">
        <v>6.4</v>
      </c>
      <c r="C11689" t="s">
        <v>34442</v>
      </c>
      <c r="D11689" t="s">
        <v>843</v>
      </c>
      <c r="E11689" t="s">
        <v>34421</v>
      </c>
      <c r="F11689" t="s">
        <v>7672</v>
      </c>
      <c r="G11689" t="s">
        <v>34422</v>
      </c>
      <c r="H11689" t="s">
        <v>34423</v>
      </c>
      <c r="I11689" t="s">
        <v>9326</v>
      </c>
      <c r="J11689" t="s">
        <v>8001</v>
      </c>
    </row>
    <row r="11690" spans="1:10" x14ac:dyDescent="0.25">
      <c r="A11690" t="s">
        <v>34443</v>
      </c>
      <c r="B11690">
        <v>6.4</v>
      </c>
      <c r="C11690" t="s">
        <v>34444</v>
      </c>
      <c r="D11690" t="s">
        <v>964</v>
      </c>
      <c r="E11690" t="s">
        <v>34421</v>
      </c>
      <c r="F11690" t="s">
        <v>7672</v>
      </c>
      <c r="G11690" t="s">
        <v>34422</v>
      </c>
      <c r="H11690" t="s">
        <v>34423</v>
      </c>
      <c r="I11690" t="s">
        <v>9326</v>
      </c>
      <c r="J11690" t="s">
        <v>8013</v>
      </c>
    </row>
    <row r="11691" spans="1:10" x14ac:dyDescent="0.25">
      <c r="A11691" t="s">
        <v>34445</v>
      </c>
      <c r="B11691">
        <v>8</v>
      </c>
      <c r="C11691" t="s">
        <v>34446</v>
      </c>
      <c r="D11691" t="s">
        <v>385</v>
      </c>
      <c r="E11691" t="s">
        <v>34447</v>
      </c>
      <c r="F11691" t="s">
        <v>7672</v>
      </c>
      <c r="G11691" t="s">
        <v>34448</v>
      </c>
      <c r="H11691" t="s">
        <v>34449</v>
      </c>
      <c r="I11691" t="s">
        <v>76</v>
      </c>
      <c r="J11691" t="s">
        <v>255</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1545"/>
  <sheetViews>
    <sheetView workbookViewId="0"/>
  </sheetViews>
  <sheetFormatPr defaultRowHeight="15" x14ac:dyDescent="0.25"/>
  <sheetData>
    <row r="1" spans="1:33" x14ac:dyDescent="0.25">
      <c r="A1" t="s">
        <v>34450</v>
      </c>
      <c r="B1" t="s">
        <v>2</v>
      </c>
      <c r="C1" t="s">
        <v>9</v>
      </c>
      <c r="D1" t="s">
        <v>1684</v>
      </c>
      <c r="E1" t="s">
        <v>1688</v>
      </c>
      <c r="F1" t="s">
        <v>1685</v>
      </c>
      <c r="G1" t="s">
        <v>34451</v>
      </c>
      <c r="H1" t="s">
        <v>1689</v>
      </c>
      <c r="I1" t="s">
        <v>1690</v>
      </c>
      <c r="J1" t="s">
        <v>34452</v>
      </c>
      <c r="K1" t="s">
        <v>34453</v>
      </c>
      <c r="L1" t="s">
        <v>1691</v>
      </c>
      <c r="M1" t="s">
        <v>34454</v>
      </c>
      <c r="N1" t="s">
        <v>34455</v>
      </c>
      <c r="O1" t="s">
        <v>1694</v>
      </c>
      <c r="P1" t="s">
        <v>1695</v>
      </c>
      <c r="Q1" t="s">
        <v>1692</v>
      </c>
      <c r="R1" t="s">
        <v>1693</v>
      </c>
      <c r="S1" t="s">
        <v>34456</v>
      </c>
      <c r="T1" t="s">
        <v>1686</v>
      </c>
      <c r="U1" t="s">
        <v>1687</v>
      </c>
      <c r="V1" t="s">
        <v>1697</v>
      </c>
      <c r="W1" t="s">
        <v>1696</v>
      </c>
      <c r="X1" t="s">
        <v>1683</v>
      </c>
      <c r="Y1" t="s">
        <v>34457</v>
      </c>
      <c r="Z1" t="s">
        <v>28</v>
      </c>
      <c r="AA1" t="s">
        <v>29</v>
      </c>
      <c r="AB1" t="s">
        <v>34458</v>
      </c>
      <c r="AC1" t="s">
        <v>34459</v>
      </c>
      <c r="AD1" t="s">
        <v>7666</v>
      </c>
      <c r="AE1" t="s">
        <v>7667</v>
      </c>
      <c r="AF1" t="s">
        <v>34460</v>
      </c>
      <c r="AG1" t="s">
        <v>34461</v>
      </c>
    </row>
    <row r="2" spans="1:33" x14ac:dyDescent="0.25">
      <c r="A2" t="s">
        <v>34462</v>
      </c>
      <c r="B2" t="s">
        <v>34</v>
      </c>
      <c r="C2" t="s">
        <v>39</v>
      </c>
      <c r="D2">
        <v>24.24</v>
      </c>
      <c r="E2">
        <v>16.25</v>
      </c>
      <c r="F2">
        <v>67337</v>
      </c>
      <c r="G2">
        <v>865881</v>
      </c>
      <c r="H2">
        <v>27.54</v>
      </c>
      <c r="I2">
        <v>28.3</v>
      </c>
      <c r="J2">
        <v>0</v>
      </c>
      <c r="K2">
        <v>1</v>
      </c>
      <c r="L2">
        <v>2</v>
      </c>
      <c r="M2">
        <v>2</v>
      </c>
      <c r="N2">
        <v>4.4000000000000004</v>
      </c>
      <c r="O2">
        <v>0</v>
      </c>
      <c r="P2">
        <v>1058</v>
      </c>
      <c r="Q2">
        <v>35</v>
      </c>
      <c r="R2">
        <v>86</v>
      </c>
      <c r="S2" t="s">
        <v>34463</v>
      </c>
      <c r="U2">
        <v>0.35273919999999997</v>
      </c>
      <c r="V2">
        <v>6.6</v>
      </c>
      <c r="W2">
        <v>4.12</v>
      </c>
      <c r="X2" t="s">
        <v>32</v>
      </c>
      <c r="AA2" t="s">
        <v>41</v>
      </c>
      <c r="AB2" t="s">
        <v>34464</v>
      </c>
      <c r="AC2" t="s">
        <v>34465</v>
      </c>
      <c r="AD2" t="s">
        <v>8081</v>
      </c>
      <c r="AE2" t="s">
        <v>14701</v>
      </c>
      <c r="AF2" t="s">
        <v>34466</v>
      </c>
      <c r="AG2" t="s">
        <v>34467</v>
      </c>
    </row>
    <row r="3" spans="1:33" x14ac:dyDescent="0.25">
      <c r="A3" t="s">
        <v>34462</v>
      </c>
      <c r="B3" t="s">
        <v>43</v>
      </c>
      <c r="C3" t="s">
        <v>45</v>
      </c>
      <c r="D3">
        <v>23.14</v>
      </c>
      <c r="E3">
        <v>15.15</v>
      </c>
      <c r="F3">
        <v>67337</v>
      </c>
      <c r="G3">
        <v>135171</v>
      </c>
      <c r="H3">
        <v>31.07</v>
      </c>
      <c r="I3">
        <v>31.07</v>
      </c>
      <c r="J3">
        <v>0.37</v>
      </c>
      <c r="K3">
        <v>1</v>
      </c>
      <c r="L3">
        <v>1</v>
      </c>
      <c r="M3">
        <v>1</v>
      </c>
      <c r="N3">
        <v>4.4000000000000004</v>
      </c>
      <c r="O3">
        <v>0</v>
      </c>
      <c r="P3">
        <v>981</v>
      </c>
      <c r="Q3">
        <v>25</v>
      </c>
      <c r="R3">
        <v>50</v>
      </c>
      <c r="S3" t="s">
        <v>34463</v>
      </c>
      <c r="U3">
        <v>0.50044874000000006</v>
      </c>
      <c r="V3">
        <v>3.42</v>
      </c>
      <c r="W3">
        <v>3.93</v>
      </c>
      <c r="X3" t="s">
        <v>42</v>
      </c>
      <c r="AA3" t="s">
        <v>47</v>
      </c>
      <c r="AB3" t="s">
        <v>34468</v>
      </c>
      <c r="AC3" t="s">
        <v>34465</v>
      </c>
      <c r="AD3" t="s">
        <v>8081</v>
      </c>
      <c r="AE3" t="s">
        <v>34469</v>
      </c>
      <c r="AF3" t="s">
        <v>34470</v>
      </c>
      <c r="AG3" t="s">
        <v>34471</v>
      </c>
    </row>
    <row r="4" spans="1:33" x14ac:dyDescent="0.25">
      <c r="A4" t="s">
        <v>34462</v>
      </c>
      <c r="B4" t="s">
        <v>49</v>
      </c>
      <c r="C4" t="s">
        <v>52</v>
      </c>
      <c r="D4">
        <v>57.34</v>
      </c>
      <c r="E4">
        <v>57.34</v>
      </c>
      <c r="F4">
        <v>310715</v>
      </c>
      <c r="G4">
        <v>518523</v>
      </c>
      <c r="H4">
        <v>52.1</v>
      </c>
      <c r="I4">
        <v>54.95</v>
      </c>
      <c r="J4">
        <v>0</v>
      </c>
      <c r="K4">
        <v>0.79</v>
      </c>
      <c r="L4">
        <v>2</v>
      </c>
      <c r="M4">
        <v>2</v>
      </c>
      <c r="N4">
        <v>4.5</v>
      </c>
      <c r="O4">
        <v>1</v>
      </c>
      <c r="P4">
        <v>70</v>
      </c>
      <c r="Q4">
        <v>11</v>
      </c>
      <c r="R4">
        <v>41</v>
      </c>
      <c r="S4" t="s">
        <v>34472</v>
      </c>
      <c r="U4">
        <v>0.83996022000000004</v>
      </c>
      <c r="V4">
        <v>6.6</v>
      </c>
      <c r="X4" t="s">
        <v>48</v>
      </c>
      <c r="Y4" t="s">
        <v>54</v>
      </c>
      <c r="Z4" t="s">
        <v>54</v>
      </c>
      <c r="AA4" t="s">
        <v>55</v>
      </c>
      <c r="AB4" t="s">
        <v>34473</v>
      </c>
      <c r="AC4" t="s">
        <v>34465</v>
      </c>
      <c r="AD4" t="s">
        <v>11335</v>
      </c>
      <c r="AE4" t="s">
        <v>34474</v>
      </c>
      <c r="AF4" t="s">
        <v>34475</v>
      </c>
      <c r="AG4" t="s">
        <v>34476</v>
      </c>
    </row>
    <row r="5" spans="1:33" x14ac:dyDescent="0.25">
      <c r="A5" t="s">
        <v>34462</v>
      </c>
      <c r="B5" t="s">
        <v>57</v>
      </c>
      <c r="C5" t="s">
        <v>59</v>
      </c>
      <c r="D5">
        <v>49.82</v>
      </c>
      <c r="E5">
        <v>49.82</v>
      </c>
      <c r="F5">
        <v>2586623</v>
      </c>
      <c r="G5">
        <v>1656610</v>
      </c>
      <c r="H5">
        <v>33.75</v>
      </c>
      <c r="I5">
        <v>31.92</v>
      </c>
      <c r="J5">
        <v>0.05</v>
      </c>
      <c r="K5">
        <v>1</v>
      </c>
      <c r="L5">
        <v>1</v>
      </c>
      <c r="M5">
        <v>1</v>
      </c>
      <c r="N5">
        <v>5</v>
      </c>
      <c r="O5">
        <v>0</v>
      </c>
      <c r="P5">
        <v>1</v>
      </c>
      <c r="Q5">
        <v>0</v>
      </c>
      <c r="R5">
        <v>8</v>
      </c>
      <c r="S5" t="s">
        <v>34477</v>
      </c>
      <c r="U5">
        <v>1.08467304</v>
      </c>
      <c r="V5">
        <v>8.0399999999999991</v>
      </c>
      <c r="W5">
        <v>8.4700000000000006</v>
      </c>
      <c r="X5" t="s">
        <v>56</v>
      </c>
      <c r="Y5" t="s">
        <v>34478</v>
      </c>
      <c r="Z5" t="s">
        <v>54</v>
      </c>
      <c r="AA5" t="s">
        <v>61</v>
      </c>
      <c r="AB5" t="s">
        <v>34479</v>
      </c>
      <c r="AC5" t="s">
        <v>34465</v>
      </c>
      <c r="AD5" t="s">
        <v>11335</v>
      </c>
      <c r="AE5" t="s">
        <v>34474</v>
      </c>
      <c r="AF5" t="s">
        <v>34480</v>
      </c>
      <c r="AG5" t="s">
        <v>34476</v>
      </c>
    </row>
    <row r="6" spans="1:33" x14ac:dyDescent="0.25">
      <c r="A6" t="s">
        <v>34462</v>
      </c>
      <c r="B6" t="s">
        <v>63</v>
      </c>
      <c r="C6" t="s">
        <v>66</v>
      </c>
      <c r="D6">
        <v>18.690000000000001</v>
      </c>
      <c r="E6">
        <v>18.690000000000001</v>
      </c>
      <c r="F6">
        <v>85385</v>
      </c>
      <c r="G6">
        <v>136724</v>
      </c>
      <c r="H6">
        <v>18.95</v>
      </c>
      <c r="I6">
        <v>18.95</v>
      </c>
      <c r="J6">
        <v>0</v>
      </c>
      <c r="K6">
        <v>0.9</v>
      </c>
      <c r="L6">
        <v>6</v>
      </c>
      <c r="M6">
        <v>8</v>
      </c>
      <c r="N6">
        <v>4.5999999999999996</v>
      </c>
      <c r="O6">
        <v>1</v>
      </c>
      <c r="P6">
        <v>124</v>
      </c>
      <c r="Q6">
        <v>19</v>
      </c>
      <c r="R6">
        <v>86</v>
      </c>
      <c r="S6" t="s">
        <v>34481</v>
      </c>
      <c r="U6">
        <v>0.39903622</v>
      </c>
      <c r="V6">
        <v>5.82</v>
      </c>
      <c r="W6">
        <v>1.87</v>
      </c>
      <c r="X6" t="s">
        <v>62</v>
      </c>
      <c r="Y6" t="s">
        <v>34482</v>
      </c>
      <c r="Z6" t="s">
        <v>68</v>
      </c>
      <c r="AA6" t="s">
        <v>69</v>
      </c>
      <c r="AB6" t="s">
        <v>34483</v>
      </c>
      <c r="AC6" t="s">
        <v>34484</v>
      </c>
      <c r="AD6" t="s">
        <v>12519</v>
      </c>
      <c r="AE6" t="s">
        <v>100</v>
      </c>
      <c r="AF6" t="s">
        <v>34485</v>
      </c>
      <c r="AG6" t="s">
        <v>34486</v>
      </c>
    </row>
    <row r="7" spans="1:33" x14ac:dyDescent="0.25">
      <c r="A7" t="s">
        <v>34462</v>
      </c>
      <c r="B7" t="s">
        <v>71</v>
      </c>
      <c r="C7" t="s">
        <v>73</v>
      </c>
      <c r="D7">
        <v>24.39</v>
      </c>
      <c r="E7">
        <v>14.8</v>
      </c>
      <c r="F7">
        <v>195734</v>
      </c>
      <c r="G7">
        <v>139635</v>
      </c>
      <c r="H7">
        <v>21.5</v>
      </c>
      <c r="I7">
        <v>21.5</v>
      </c>
      <c r="J7">
        <v>0</v>
      </c>
      <c r="K7">
        <v>0.9</v>
      </c>
      <c r="L7">
        <v>7</v>
      </c>
      <c r="M7">
        <v>9</v>
      </c>
      <c r="N7">
        <v>4.5999999999999996</v>
      </c>
      <c r="O7">
        <v>0</v>
      </c>
      <c r="P7">
        <v>124</v>
      </c>
      <c r="Q7">
        <v>23</v>
      </c>
      <c r="R7">
        <v>80</v>
      </c>
      <c r="S7" t="s">
        <v>34481</v>
      </c>
      <c r="U7">
        <v>0.39903622</v>
      </c>
      <c r="V7">
        <v>5.82</v>
      </c>
      <c r="W7">
        <v>4.1500000000000004</v>
      </c>
      <c r="X7" t="s">
        <v>70</v>
      </c>
      <c r="Y7" t="s">
        <v>34487</v>
      </c>
      <c r="Z7" t="s">
        <v>75</v>
      </c>
      <c r="AA7" t="s">
        <v>76</v>
      </c>
      <c r="AB7" t="s">
        <v>34488</v>
      </c>
      <c r="AC7" t="s">
        <v>34484</v>
      </c>
      <c r="AD7" t="s">
        <v>12519</v>
      </c>
      <c r="AE7" t="s">
        <v>100</v>
      </c>
      <c r="AF7" t="s">
        <v>34489</v>
      </c>
      <c r="AG7" t="s">
        <v>34486</v>
      </c>
    </row>
    <row r="8" spans="1:33" x14ac:dyDescent="0.25">
      <c r="A8" t="s">
        <v>34462</v>
      </c>
      <c r="B8" t="s">
        <v>78</v>
      </c>
      <c r="C8" t="s">
        <v>81</v>
      </c>
      <c r="D8">
        <v>53.92</v>
      </c>
      <c r="E8">
        <v>53.92</v>
      </c>
      <c r="F8">
        <v>18757</v>
      </c>
      <c r="G8">
        <v>5383</v>
      </c>
      <c r="H8">
        <v>43.75</v>
      </c>
      <c r="I8">
        <v>45.35</v>
      </c>
      <c r="J8">
        <v>0</v>
      </c>
      <c r="K8">
        <v>0</v>
      </c>
      <c r="L8">
        <v>2</v>
      </c>
      <c r="M8">
        <v>1</v>
      </c>
      <c r="N8">
        <v>4.2</v>
      </c>
      <c r="O8">
        <v>2</v>
      </c>
      <c r="P8">
        <v>8078</v>
      </c>
      <c r="Q8">
        <v>37</v>
      </c>
      <c r="R8">
        <v>119</v>
      </c>
      <c r="S8" t="s">
        <v>34490</v>
      </c>
      <c r="U8">
        <v>1.3492274399999999</v>
      </c>
      <c r="V8">
        <v>6.14</v>
      </c>
      <c r="W8">
        <v>9.17</v>
      </c>
      <c r="X8" t="s">
        <v>77</v>
      </c>
      <c r="Y8" t="s">
        <v>34491</v>
      </c>
      <c r="Z8" t="s">
        <v>82</v>
      </c>
      <c r="AA8" t="s">
        <v>83</v>
      </c>
      <c r="AB8" t="s">
        <v>34492</v>
      </c>
      <c r="AC8" t="s">
        <v>34493</v>
      </c>
      <c r="AD8" t="s">
        <v>10970</v>
      </c>
      <c r="AE8" t="s">
        <v>34494</v>
      </c>
      <c r="AF8" t="s">
        <v>34495</v>
      </c>
      <c r="AG8" t="s">
        <v>34496</v>
      </c>
    </row>
    <row r="9" spans="1:33" x14ac:dyDescent="0.25">
      <c r="A9" t="s">
        <v>34462</v>
      </c>
      <c r="B9" t="s">
        <v>85</v>
      </c>
      <c r="C9" t="s">
        <v>87</v>
      </c>
      <c r="D9">
        <v>59.99</v>
      </c>
      <c r="E9">
        <v>59.99</v>
      </c>
      <c r="F9">
        <v>18757</v>
      </c>
      <c r="G9">
        <v>5421</v>
      </c>
      <c r="H9">
        <v>38.89</v>
      </c>
      <c r="I9">
        <v>39.299999999999997</v>
      </c>
      <c r="J9">
        <v>0.01</v>
      </c>
      <c r="K9">
        <v>0.01</v>
      </c>
      <c r="L9">
        <v>1</v>
      </c>
      <c r="M9">
        <v>1</v>
      </c>
      <c r="N9">
        <v>4.2</v>
      </c>
      <c r="O9">
        <v>2</v>
      </c>
      <c r="P9">
        <v>8092</v>
      </c>
      <c r="Q9">
        <v>36</v>
      </c>
      <c r="R9">
        <v>126</v>
      </c>
      <c r="S9" t="s">
        <v>34490</v>
      </c>
      <c r="U9">
        <v>1.0471945</v>
      </c>
      <c r="V9">
        <v>7.08</v>
      </c>
      <c r="W9">
        <v>10.199999999999999</v>
      </c>
      <c r="X9" t="s">
        <v>84</v>
      </c>
      <c r="Y9" t="s">
        <v>34497</v>
      </c>
      <c r="Z9" t="s">
        <v>89</v>
      </c>
      <c r="AA9" t="s">
        <v>90</v>
      </c>
      <c r="AB9" t="s">
        <v>34498</v>
      </c>
      <c r="AC9" t="s">
        <v>34493</v>
      </c>
      <c r="AD9" t="s">
        <v>10970</v>
      </c>
      <c r="AE9" t="s">
        <v>34499</v>
      </c>
      <c r="AF9" t="s">
        <v>34500</v>
      </c>
      <c r="AG9" t="s">
        <v>34496</v>
      </c>
    </row>
    <row r="10" spans="1:33" x14ac:dyDescent="0.25">
      <c r="A10" t="s">
        <v>34462</v>
      </c>
      <c r="B10" t="s">
        <v>92</v>
      </c>
      <c r="C10" t="s">
        <v>94</v>
      </c>
      <c r="D10">
        <v>51.22</v>
      </c>
      <c r="E10">
        <v>51.22</v>
      </c>
      <c r="F10">
        <v>18757</v>
      </c>
      <c r="G10">
        <v>5409</v>
      </c>
      <c r="H10">
        <v>51.67</v>
      </c>
      <c r="I10">
        <v>52.1</v>
      </c>
      <c r="J10">
        <v>0</v>
      </c>
      <c r="K10">
        <v>0</v>
      </c>
      <c r="L10">
        <v>1</v>
      </c>
      <c r="M10">
        <v>1</v>
      </c>
      <c r="N10">
        <v>4.2</v>
      </c>
      <c r="O10">
        <v>0</v>
      </c>
      <c r="P10">
        <v>8078</v>
      </c>
      <c r="Q10">
        <v>31</v>
      </c>
      <c r="R10">
        <v>107</v>
      </c>
      <c r="S10" t="s">
        <v>34490</v>
      </c>
      <c r="U10">
        <v>1.0736499399999999</v>
      </c>
      <c r="V10">
        <v>6.6</v>
      </c>
      <c r="W10">
        <v>8.7100000000000009</v>
      </c>
      <c r="X10" t="s">
        <v>91</v>
      </c>
      <c r="Y10" t="s">
        <v>34491</v>
      </c>
      <c r="Z10" t="s">
        <v>82</v>
      </c>
      <c r="AA10" t="s">
        <v>83</v>
      </c>
      <c r="AB10" t="s">
        <v>34501</v>
      </c>
      <c r="AC10" t="s">
        <v>34493</v>
      </c>
      <c r="AD10" t="s">
        <v>10970</v>
      </c>
      <c r="AE10" t="s">
        <v>34499</v>
      </c>
      <c r="AF10" t="s">
        <v>34495</v>
      </c>
      <c r="AG10" t="s">
        <v>34496</v>
      </c>
    </row>
    <row r="11" spans="1:33" x14ac:dyDescent="0.25">
      <c r="A11" t="s">
        <v>34462</v>
      </c>
      <c r="B11" t="s">
        <v>97</v>
      </c>
      <c r="C11" t="s">
        <v>99</v>
      </c>
      <c r="D11">
        <v>59.99</v>
      </c>
      <c r="E11">
        <v>59.99</v>
      </c>
      <c r="F11">
        <v>18757</v>
      </c>
      <c r="G11">
        <v>5394</v>
      </c>
      <c r="H11">
        <v>38.75</v>
      </c>
      <c r="I11">
        <v>39.99</v>
      </c>
      <c r="J11">
        <v>0</v>
      </c>
      <c r="K11">
        <v>0</v>
      </c>
      <c r="L11">
        <v>1</v>
      </c>
      <c r="M11">
        <v>1</v>
      </c>
      <c r="N11">
        <v>4.2</v>
      </c>
      <c r="O11">
        <v>2</v>
      </c>
      <c r="P11">
        <v>8094</v>
      </c>
      <c r="Q11">
        <v>35</v>
      </c>
      <c r="R11">
        <v>117</v>
      </c>
      <c r="S11" t="s">
        <v>34490</v>
      </c>
      <c r="U11">
        <v>1.1508116399999999</v>
      </c>
      <c r="V11">
        <v>7.4</v>
      </c>
      <c r="W11">
        <v>10.199999999999999</v>
      </c>
      <c r="X11" t="s">
        <v>96</v>
      </c>
      <c r="Y11" t="s">
        <v>34497</v>
      </c>
      <c r="Z11" t="s">
        <v>89</v>
      </c>
      <c r="AA11" t="s">
        <v>90</v>
      </c>
      <c r="AB11" t="s">
        <v>34502</v>
      </c>
      <c r="AC11" t="s">
        <v>34493</v>
      </c>
      <c r="AD11" t="s">
        <v>10970</v>
      </c>
      <c r="AE11" t="s">
        <v>34503</v>
      </c>
      <c r="AF11" t="s">
        <v>34500</v>
      </c>
      <c r="AG11" t="s">
        <v>34496</v>
      </c>
    </row>
    <row r="12" spans="1:33" x14ac:dyDescent="0.25">
      <c r="A12" t="s">
        <v>34462</v>
      </c>
      <c r="B12" t="s">
        <v>102</v>
      </c>
      <c r="C12" t="s">
        <v>105</v>
      </c>
      <c r="D12">
        <v>22.99</v>
      </c>
      <c r="E12">
        <v>22.99</v>
      </c>
      <c r="H12">
        <v>22.99</v>
      </c>
      <c r="I12">
        <v>23.73</v>
      </c>
      <c r="J12">
        <v>0</v>
      </c>
      <c r="K12">
        <v>1</v>
      </c>
      <c r="L12">
        <v>2</v>
      </c>
      <c r="M12">
        <v>2</v>
      </c>
      <c r="N12">
        <v>5</v>
      </c>
      <c r="O12">
        <v>0</v>
      </c>
      <c r="P12">
        <v>6</v>
      </c>
      <c r="Q12">
        <v>-1</v>
      </c>
      <c r="R12">
        <v>-1</v>
      </c>
      <c r="U12">
        <v>0.29982831999999998</v>
      </c>
      <c r="V12">
        <v>6.1</v>
      </c>
      <c r="W12">
        <v>3.91</v>
      </c>
      <c r="X12" t="s">
        <v>101</v>
      </c>
      <c r="Y12" t="s">
        <v>34504</v>
      </c>
      <c r="Z12" t="s">
        <v>107</v>
      </c>
      <c r="AA12" t="s">
        <v>108</v>
      </c>
      <c r="AB12" t="s">
        <v>34505</v>
      </c>
      <c r="AC12" t="s">
        <v>34465</v>
      </c>
      <c r="AD12" t="s">
        <v>11496</v>
      </c>
      <c r="AE12" t="s">
        <v>34506</v>
      </c>
      <c r="AF12" t="s">
        <v>34507</v>
      </c>
      <c r="AG12" t="s">
        <v>34508</v>
      </c>
    </row>
    <row r="13" spans="1:33" x14ac:dyDescent="0.25">
      <c r="A13" t="s">
        <v>34462</v>
      </c>
      <c r="B13" t="s">
        <v>110</v>
      </c>
      <c r="C13" t="s">
        <v>112</v>
      </c>
      <c r="D13">
        <v>22.99</v>
      </c>
      <c r="E13">
        <v>22.99</v>
      </c>
      <c r="F13">
        <v>11288339</v>
      </c>
      <c r="G13">
        <v>3230464</v>
      </c>
      <c r="H13">
        <v>23.09</v>
      </c>
      <c r="I13">
        <v>23.81</v>
      </c>
      <c r="J13">
        <v>0</v>
      </c>
      <c r="K13">
        <v>1</v>
      </c>
      <c r="L13">
        <v>1</v>
      </c>
      <c r="M13">
        <v>1</v>
      </c>
      <c r="O13">
        <v>0</v>
      </c>
      <c r="Q13">
        <v>4</v>
      </c>
      <c r="R13">
        <v>10</v>
      </c>
      <c r="U13">
        <v>0.29982831999999998</v>
      </c>
      <c r="V13">
        <v>5.82</v>
      </c>
      <c r="W13">
        <v>3.91</v>
      </c>
      <c r="X13" t="s">
        <v>109</v>
      </c>
      <c r="Y13" t="s">
        <v>34504</v>
      </c>
      <c r="Z13" t="s">
        <v>107</v>
      </c>
      <c r="AA13" t="s">
        <v>108</v>
      </c>
      <c r="AB13" t="s">
        <v>34509</v>
      </c>
      <c r="AC13" t="s">
        <v>34465</v>
      </c>
      <c r="AD13" t="s">
        <v>11496</v>
      </c>
      <c r="AE13" t="s">
        <v>34510</v>
      </c>
      <c r="AF13" t="s">
        <v>34507</v>
      </c>
      <c r="AG13" t="s">
        <v>34508</v>
      </c>
    </row>
    <row r="14" spans="1:33" x14ac:dyDescent="0.25">
      <c r="A14" t="s">
        <v>34462</v>
      </c>
      <c r="B14" t="s">
        <v>115</v>
      </c>
      <c r="C14" t="s">
        <v>117</v>
      </c>
      <c r="D14">
        <v>22.99</v>
      </c>
      <c r="E14">
        <v>22.99</v>
      </c>
      <c r="F14">
        <v>5535372</v>
      </c>
      <c r="G14">
        <v>1423216</v>
      </c>
      <c r="H14">
        <v>23.09</v>
      </c>
      <c r="I14">
        <v>23.81</v>
      </c>
      <c r="J14">
        <v>0</v>
      </c>
      <c r="K14">
        <v>1</v>
      </c>
      <c r="L14">
        <v>1</v>
      </c>
      <c r="M14">
        <v>1</v>
      </c>
      <c r="O14">
        <v>0</v>
      </c>
      <c r="Q14">
        <v>2</v>
      </c>
      <c r="R14">
        <v>9</v>
      </c>
      <c r="U14">
        <v>0.29982831999999998</v>
      </c>
      <c r="V14">
        <v>5.82</v>
      </c>
      <c r="W14">
        <v>3.91</v>
      </c>
      <c r="X14" t="s">
        <v>114</v>
      </c>
      <c r="Y14" t="s">
        <v>34504</v>
      </c>
      <c r="Z14" t="s">
        <v>107</v>
      </c>
      <c r="AA14" t="s">
        <v>108</v>
      </c>
      <c r="AB14" t="s">
        <v>34511</v>
      </c>
      <c r="AC14" t="s">
        <v>34465</v>
      </c>
      <c r="AD14" t="s">
        <v>11496</v>
      </c>
      <c r="AE14" t="s">
        <v>34512</v>
      </c>
      <c r="AF14" t="s">
        <v>34507</v>
      </c>
      <c r="AG14" t="s">
        <v>34508</v>
      </c>
    </row>
    <row r="15" spans="1:33" x14ac:dyDescent="0.25">
      <c r="A15" t="s">
        <v>34462</v>
      </c>
      <c r="B15" t="s">
        <v>120</v>
      </c>
      <c r="C15" t="s">
        <v>123</v>
      </c>
      <c r="D15">
        <v>15</v>
      </c>
      <c r="E15">
        <v>15</v>
      </c>
      <c r="F15">
        <v>265341</v>
      </c>
      <c r="G15">
        <v>107181</v>
      </c>
      <c r="H15">
        <v>32.36</v>
      </c>
      <c r="I15">
        <v>39.74</v>
      </c>
      <c r="J15">
        <v>0</v>
      </c>
      <c r="K15">
        <v>0</v>
      </c>
      <c r="L15">
        <v>1</v>
      </c>
      <c r="M15">
        <v>1</v>
      </c>
      <c r="N15">
        <v>4.5</v>
      </c>
      <c r="O15">
        <v>8</v>
      </c>
      <c r="P15">
        <v>2576</v>
      </c>
      <c r="Q15">
        <v>18</v>
      </c>
      <c r="R15">
        <v>60</v>
      </c>
      <c r="S15" t="s">
        <v>34513</v>
      </c>
      <c r="U15">
        <v>1.5696894400000001</v>
      </c>
      <c r="V15">
        <v>6.85</v>
      </c>
      <c r="W15">
        <v>2.25</v>
      </c>
      <c r="X15" t="s">
        <v>119</v>
      </c>
      <c r="Y15" t="s">
        <v>34514</v>
      </c>
      <c r="Z15" t="s">
        <v>125</v>
      </c>
      <c r="AA15" t="s">
        <v>126</v>
      </c>
      <c r="AB15" t="s">
        <v>34515</v>
      </c>
      <c r="AC15" t="s">
        <v>34493</v>
      </c>
      <c r="AD15" t="s">
        <v>9232</v>
      </c>
      <c r="AE15" t="s">
        <v>34516</v>
      </c>
      <c r="AF15" t="s">
        <v>34517</v>
      </c>
      <c r="AG15" t="s">
        <v>34518</v>
      </c>
    </row>
    <row r="16" spans="1:33" x14ac:dyDescent="0.25">
      <c r="A16" t="s">
        <v>34462</v>
      </c>
      <c r="B16" t="s">
        <v>128</v>
      </c>
      <c r="C16" t="s">
        <v>130</v>
      </c>
      <c r="D16">
        <v>15</v>
      </c>
      <c r="E16">
        <v>15</v>
      </c>
      <c r="F16">
        <v>265341</v>
      </c>
      <c r="G16">
        <v>108804</v>
      </c>
      <c r="H16">
        <v>31.77</v>
      </c>
      <c r="I16">
        <v>38.799999999999997</v>
      </c>
      <c r="J16">
        <v>0</v>
      </c>
      <c r="K16">
        <v>0</v>
      </c>
      <c r="L16">
        <v>3</v>
      </c>
      <c r="M16">
        <v>3</v>
      </c>
      <c r="N16">
        <v>4.5</v>
      </c>
      <c r="O16">
        <v>10</v>
      </c>
      <c r="P16">
        <v>2576</v>
      </c>
      <c r="Q16">
        <v>28</v>
      </c>
      <c r="R16">
        <v>88</v>
      </c>
      <c r="S16" t="s">
        <v>34513</v>
      </c>
      <c r="U16">
        <v>1.64905576</v>
      </c>
      <c r="V16">
        <v>7.16</v>
      </c>
      <c r="W16">
        <v>2.25</v>
      </c>
      <c r="X16" t="s">
        <v>127</v>
      </c>
      <c r="Y16" t="s">
        <v>34519</v>
      </c>
      <c r="Z16" t="s">
        <v>125</v>
      </c>
      <c r="AA16" t="s">
        <v>126</v>
      </c>
      <c r="AB16" t="s">
        <v>34520</v>
      </c>
      <c r="AC16" t="s">
        <v>34493</v>
      </c>
      <c r="AD16" t="s">
        <v>9232</v>
      </c>
      <c r="AE16" t="s">
        <v>34521</v>
      </c>
      <c r="AF16" t="s">
        <v>34517</v>
      </c>
      <c r="AG16" t="s">
        <v>34518</v>
      </c>
    </row>
    <row r="17" spans="1:33" x14ac:dyDescent="0.25">
      <c r="A17" t="s">
        <v>34462</v>
      </c>
      <c r="B17" t="s">
        <v>133</v>
      </c>
      <c r="C17" t="s">
        <v>136</v>
      </c>
      <c r="F17">
        <v>2423964</v>
      </c>
      <c r="G17">
        <v>2581865</v>
      </c>
      <c r="J17">
        <v>1</v>
      </c>
      <c r="K17">
        <v>1</v>
      </c>
      <c r="N17">
        <v>4.5999999999999996</v>
      </c>
      <c r="O17">
        <v>0</v>
      </c>
      <c r="P17">
        <v>151</v>
      </c>
      <c r="Q17">
        <v>2</v>
      </c>
      <c r="R17">
        <v>2</v>
      </c>
      <c r="S17" t="s">
        <v>34522</v>
      </c>
      <c r="U17">
        <v>0.65036289999999997</v>
      </c>
      <c r="V17">
        <v>5.12</v>
      </c>
      <c r="X17" t="s">
        <v>132</v>
      </c>
      <c r="Y17" t="s">
        <v>137</v>
      </c>
      <c r="Z17" t="s">
        <v>137</v>
      </c>
      <c r="AA17" t="s">
        <v>138</v>
      </c>
      <c r="AB17" t="s">
        <v>34523</v>
      </c>
      <c r="AC17" t="s">
        <v>34465</v>
      </c>
      <c r="AD17" t="s">
        <v>34524</v>
      </c>
      <c r="AE17" t="s">
        <v>34525</v>
      </c>
      <c r="AF17" t="s">
        <v>34526</v>
      </c>
      <c r="AG17" t="s">
        <v>34527</v>
      </c>
    </row>
    <row r="18" spans="1:33" x14ac:dyDescent="0.25">
      <c r="A18" t="s">
        <v>34462</v>
      </c>
      <c r="B18" t="s">
        <v>140</v>
      </c>
      <c r="C18" t="s">
        <v>143</v>
      </c>
      <c r="D18">
        <v>23.95</v>
      </c>
      <c r="E18">
        <v>23.95</v>
      </c>
      <c r="H18">
        <v>23.95</v>
      </c>
      <c r="I18">
        <v>23.95</v>
      </c>
      <c r="J18">
        <v>0</v>
      </c>
      <c r="K18">
        <v>1</v>
      </c>
      <c r="L18">
        <v>1</v>
      </c>
      <c r="M18">
        <v>1</v>
      </c>
      <c r="Q18">
        <v>-1</v>
      </c>
      <c r="R18">
        <v>-1</v>
      </c>
      <c r="U18">
        <v>0.43651476</v>
      </c>
      <c r="V18">
        <v>3.42</v>
      </c>
      <c r="W18">
        <v>4.07</v>
      </c>
      <c r="X18" t="s">
        <v>139</v>
      </c>
      <c r="AA18" t="s">
        <v>145</v>
      </c>
      <c r="AB18" t="s">
        <v>34528</v>
      </c>
      <c r="AC18" t="s">
        <v>34465</v>
      </c>
      <c r="AD18" t="s">
        <v>34529</v>
      </c>
      <c r="AF18" t="s">
        <v>34530</v>
      </c>
    </row>
    <row r="19" spans="1:33" x14ac:dyDescent="0.25">
      <c r="A19" t="s">
        <v>34462</v>
      </c>
      <c r="B19" t="s">
        <v>147</v>
      </c>
      <c r="C19" t="s">
        <v>150</v>
      </c>
      <c r="D19">
        <v>31.33</v>
      </c>
      <c r="E19">
        <v>31.33</v>
      </c>
      <c r="F19">
        <v>46319</v>
      </c>
      <c r="G19">
        <v>21187</v>
      </c>
      <c r="H19">
        <v>28.4</v>
      </c>
      <c r="I19">
        <v>27.34</v>
      </c>
      <c r="J19">
        <v>0</v>
      </c>
      <c r="K19">
        <v>0</v>
      </c>
      <c r="L19">
        <v>17</v>
      </c>
      <c r="M19">
        <v>16</v>
      </c>
      <c r="N19">
        <v>4.5999999999999996</v>
      </c>
      <c r="O19">
        <v>3</v>
      </c>
      <c r="P19">
        <v>770</v>
      </c>
      <c r="Q19">
        <v>40</v>
      </c>
      <c r="R19">
        <v>126</v>
      </c>
      <c r="S19" t="s">
        <v>34531</v>
      </c>
      <c r="U19">
        <v>0.66579524000000001</v>
      </c>
      <c r="V19">
        <v>6.81</v>
      </c>
      <c r="W19">
        <v>5.33</v>
      </c>
      <c r="X19" t="s">
        <v>146</v>
      </c>
      <c r="Y19" t="s">
        <v>152</v>
      </c>
      <c r="Z19" t="s">
        <v>152</v>
      </c>
      <c r="AA19" t="s">
        <v>153</v>
      </c>
      <c r="AB19" t="s">
        <v>34532</v>
      </c>
      <c r="AC19" t="s">
        <v>34493</v>
      </c>
      <c r="AD19" t="s">
        <v>8078</v>
      </c>
      <c r="AE19" t="s">
        <v>34533</v>
      </c>
      <c r="AF19" t="s">
        <v>34534</v>
      </c>
      <c r="AG19" t="s">
        <v>34535</v>
      </c>
    </row>
    <row r="20" spans="1:33" x14ac:dyDescent="0.25">
      <c r="A20" t="s">
        <v>34462</v>
      </c>
      <c r="B20" t="s">
        <v>155</v>
      </c>
      <c r="C20" t="s">
        <v>157</v>
      </c>
      <c r="D20">
        <v>39</v>
      </c>
      <c r="E20">
        <v>30.6</v>
      </c>
      <c r="F20">
        <v>50994</v>
      </c>
      <c r="G20">
        <v>21165</v>
      </c>
      <c r="H20">
        <v>31.73</v>
      </c>
      <c r="I20">
        <v>32.909999999999997</v>
      </c>
      <c r="J20">
        <v>0</v>
      </c>
      <c r="K20">
        <v>0</v>
      </c>
      <c r="L20">
        <v>17</v>
      </c>
      <c r="M20">
        <v>15</v>
      </c>
      <c r="N20">
        <v>4.5999999999999996</v>
      </c>
      <c r="O20">
        <v>8</v>
      </c>
      <c r="P20">
        <v>770</v>
      </c>
      <c r="Q20">
        <v>38</v>
      </c>
      <c r="R20">
        <v>153</v>
      </c>
      <c r="S20" t="s">
        <v>34531</v>
      </c>
      <c r="U20">
        <v>0.70547840000000006</v>
      </c>
      <c r="V20">
        <v>7.24</v>
      </c>
      <c r="W20">
        <v>6.63</v>
      </c>
      <c r="X20" t="s">
        <v>154</v>
      </c>
      <c r="Y20" t="s">
        <v>152</v>
      </c>
      <c r="Z20" t="s">
        <v>152</v>
      </c>
      <c r="AA20" t="s">
        <v>153</v>
      </c>
      <c r="AB20" t="s">
        <v>34536</v>
      </c>
      <c r="AC20" t="s">
        <v>34493</v>
      </c>
      <c r="AD20" t="s">
        <v>8078</v>
      </c>
      <c r="AE20" t="s">
        <v>14701</v>
      </c>
      <c r="AF20" t="s">
        <v>34534</v>
      </c>
      <c r="AG20" t="s">
        <v>34535</v>
      </c>
    </row>
    <row r="21" spans="1:33" x14ac:dyDescent="0.25">
      <c r="A21" t="s">
        <v>34462</v>
      </c>
      <c r="B21" t="s">
        <v>160</v>
      </c>
      <c r="C21" t="s">
        <v>163</v>
      </c>
      <c r="D21">
        <v>85.89</v>
      </c>
      <c r="E21">
        <v>79.959999999999994</v>
      </c>
      <c r="F21">
        <v>440037</v>
      </c>
      <c r="G21">
        <v>251506</v>
      </c>
      <c r="H21">
        <v>97.87</v>
      </c>
      <c r="I21">
        <v>98.79</v>
      </c>
      <c r="J21">
        <v>0</v>
      </c>
      <c r="K21">
        <v>0</v>
      </c>
      <c r="L21">
        <v>4</v>
      </c>
      <c r="M21">
        <v>3</v>
      </c>
      <c r="O21">
        <v>0</v>
      </c>
      <c r="Q21">
        <v>20</v>
      </c>
      <c r="R21">
        <v>64</v>
      </c>
      <c r="S21" t="s">
        <v>34537</v>
      </c>
      <c r="U21">
        <v>1.52780166</v>
      </c>
      <c r="V21">
        <v>13.03</v>
      </c>
      <c r="W21">
        <v>14.6</v>
      </c>
      <c r="X21" t="s">
        <v>159</v>
      </c>
      <c r="Y21" t="s">
        <v>165</v>
      </c>
      <c r="Z21" t="s">
        <v>165</v>
      </c>
      <c r="AA21" t="s">
        <v>166</v>
      </c>
      <c r="AB21" t="s">
        <v>34538</v>
      </c>
      <c r="AC21" t="s">
        <v>34493</v>
      </c>
      <c r="AD21" t="s">
        <v>9232</v>
      </c>
      <c r="AE21" t="s">
        <v>8427</v>
      </c>
      <c r="AF21" t="s">
        <v>34539</v>
      </c>
      <c r="AG21" t="s">
        <v>34540</v>
      </c>
    </row>
    <row r="22" spans="1:33" x14ac:dyDescent="0.25">
      <c r="A22" t="s">
        <v>34462</v>
      </c>
      <c r="B22" t="s">
        <v>168</v>
      </c>
      <c r="C22" t="s">
        <v>170</v>
      </c>
      <c r="D22">
        <v>78.53</v>
      </c>
      <c r="E22">
        <v>78.53</v>
      </c>
      <c r="F22">
        <v>440037</v>
      </c>
      <c r="G22">
        <v>259579</v>
      </c>
      <c r="H22">
        <v>75.63</v>
      </c>
      <c r="I22">
        <v>82.24</v>
      </c>
      <c r="J22">
        <v>0</v>
      </c>
      <c r="K22">
        <v>0</v>
      </c>
      <c r="L22">
        <v>3</v>
      </c>
      <c r="M22">
        <v>1</v>
      </c>
      <c r="N22">
        <v>5</v>
      </c>
      <c r="O22">
        <v>2</v>
      </c>
      <c r="P22">
        <v>1</v>
      </c>
      <c r="Q22">
        <v>9</v>
      </c>
      <c r="R22">
        <v>44</v>
      </c>
      <c r="S22" t="s">
        <v>34537</v>
      </c>
      <c r="U22">
        <v>1.4991416</v>
      </c>
      <c r="V22">
        <v>11.51</v>
      </c>
      <c r="W22">
        <v>13.35</v>
      </c>
      <c r="X22" t="s">
        <v>167</v>
      </c>
      <c r="Y22" t="s">
        <v>165</v>
      </c>
      <c r="Z22" t="s">
        <v>165</v>
      </c>
      <c r="AA22" t="s">
        <v>171</v>
      </c>
      <c r="AB22" t="s">
        <v>34541</v>
      </c>
      <c r="AC22" t="s">
        <v>34493</v>
      </c>
      <c r="AD22" t="s">
        <v>9232</v>
      </c>
      <c r="AE22" t="s">
        <v>8427</v>
      </c>
      <c r="AF22" t="s">
        <v>34542</v>
      </c>
      <c r="AG22" t="s">
        <v>34540</v>
      </c>
    </row>
    <row r="23" spans="1:33" x14ac:dyDescent="0.25">
      <c r="A23" t="s">
        <v>34462</v>
      </c>
      <c r="B23" t="s">
        <v>173</v>
      </c>
      <c r="C23" t="s">
        <v>176</v>
      </c>
      <c r="D23">
        <v>48.1</v>
      </c>
      <c r="F23">
        <v>11310</v>
      </c>
      <c r="G23">
        <v>8340</v>
      </c>
      <c r="H23">
        <v>48.1</v>
      </c>
      <c r="I23">
        <v>50.98</v>
      </c>
      <c r="J23">
        <v>0.62</v>
      </c>
      <c r="K23">
        <v>0.62</v>
      </c>
      <c r="L23">
        <v>1</v>
      </c>
      <c r="N23">
        <v>4.5</v>
      </c>
      <c r="O23">
        <v>0</v>
      </c>
      <c r="P23">
        <v>9719</v>
      </c>
      <c r="Q23">
        <v>5</v>
      </c>
      <c r="R23">
        <v>60</v>
      </c>
      <c r="S23" t="s">
        <v>34543</v>
      </c>
      <c r="U23">
        <v>1.2566333999999999</v>
      </c>
      <c r="V23">
        <v>6.6</v>
      </c>
      <c r="X23" t="s">
        <v>172</v>
      </c>
      <c r="Y23" t="s">
        <v>177</v>
      </c>
      <c r="Z23" t="s">
        <v>177</v>
      </c>
      <c r="AA23" t="s">
        <v>178</v>
      </c>
      <c r="AB23" t="s">
        <v>34544</v>
      </c>
      <c r="AC23" t="s">
        <v>34465</v>
      </c>
      <c r="AD23" t="s">
        <v>10970</v>
      </c>
      <c r="AE23" t="s">
        <v>34545</v>
      </c>
      <c r="AF23" t="s">
        <v>34546</v>
      </c>
      <c r="AG23" t="s">
        <v>34547</v>
      </c>
    </row>
    <row r="24" spans="1:33" x14ac:dyDescent="0.25">
      <c r="A24" t="s">
        <v>34462</v>
      </c>
      <c r="B24" t="s">
        <v>180</v>
      </c>
      <c r="C24" t="s">
        <v>182</v>
      </c>
      <c r="D24">
        <v>22.58</v>
      </c>
      <c r="E24">
        <v>22.58</v>
      </c>
      <c r="F24">
        <v>11310</v>
      </c>
      <c r="G24">
        <v>8666</v>
      </c>
      <c r="H24">
        <v>41.36</v>
      </c>
      <c r="I24">
        <v>44.26</v>
      </c>
      <c r="J24">
        <v>0</v>
      </c>
      <c r="K24">
        <v>0</v>
      </c>
      <c r="L24">
        <v>1</v>
      </c>
      <c r="M24">
        <v>1</v>
      </c>
      <c r="N24">
        <v>4.5</v>
      </c>
      <c r="O24">
        <v>0</v>
      </c>
      <c r="P24">
        <v>9829</v>
      </c>
      <c r="Q24">
        <v>35</v>
      </c>
      <c r="R24">
        <v>131</v>
      </c>
      <c r="S24" t="s">
        <v>34543</v>
      </c>
      <c r="U24">
        <v>1.2566333999999999</v>
      </c>
      <c r="V24">
        <v>6.14</v>
      </c>
      <c r="W24">
        <v>3.84</v>
      </c>
      <c r="X24" t="s">
        <v>179</v>
      </c>
      <c r="Y24" t="s">
        <v>34548</v>
      </c>
      <c r="Z24" t="s">
        <v>177</v>
      </c>
      <c r="AA24" t="s">
        <v>178</v>
      </c>
      <c r="AB24" t="s">
        <v>34549</v>
      </c>
      <c r="AC24" t="s">
        <v>34493</v>
      </c>
      <c r="AD24" t="s">
        <v>10970</v>
      </c>
      <c r="AE24" t="s">
        <v>34550</v>
      </c>
      <c r="AF24" t="s">
        <v>34546</v>
      </c>
      <c r="AG24" t="s">
        <v>34547</v>
      </c>
    </row>
    <row r="25" spans="1:33" x14ac:dyDescent="0.25">
      <c r="A25" t="s">
        <v>34462</v>
      </c>
      <c r="B25" t="s">
        <v>184</v>
      </c>
      <c r="C25" t="s">
        <v>186</v>
      </c>
      <c r="D25">
        <v>43.54</v>
      </c>
      <c r="F25">
        <v>11310</v>
      </c>
      <c r="G25">
        <v>8640</v>
      </c>
      <c r="H25">
        <v>43.54</v>
      </c>
      <c r="I25">
        <v>45.25</v>
      </c>
      <c r="J25">
        <v>0.62</v>
      </c>
      <c r="K25">
        <v>0.62</v>
      </c>
      <c r="L25">
        <v>1</v>
      </c>
      <c r="N25">
        <v>4.5</v>
      </c>
      <c r="O25">
        <v>0</v>
      </c>
      <c r="P25">
        <v>9740</v>
      </c>
      <c r="Q25">
        <v>6</v>
      </c>
      <c r="R25">
        <v>67</v>
      </c>
      <c r="S25" t="s">
        <v>34543</v>
      </c>
      <c r="U25">
        <v>1.3536366799999999</v>
      </c>
      <c r="V25">
        <v>6.81</v>
      </c>
      <c r="X25" t="s">
        <v>183</v>
      </c>
      <c r="Y25" t="s">
        <v>34548</v>
      </c>
      <c r="Z25" t="s">
        <v>177</v>
      </c>
      <c r="AA25" t="s">
        <v>178</v>
      </c>
      <c r="AB25" t="s">
        <v>34551</v>
      </c>
      <c r="AC25" t="s">
        <v>34465</v>
      </c>
      <c r="AD25" t="s">
        <v>10970</v>
      </c>
      <c r="AE25" t="s">
        <v>34552</v>
      </c>
      <c r="AF25" t="s">
        <v>34546</v>
      </c>
      <c r="AG25" t="s">
        <v>34547</v>
      </c>
    </row>
    <row r="26" spans="1:33" x14ac:dyDescent="0.25">
      <c r="A26" t="s">
        <v>34462</v>
      </c>
      <c r="B26" t="s">
        <v>188</v>
      </c>
      <c r="C26" t="s">
        <v>190</v>
      </c>
      <c r="D26">
        <v>44.1</v>
      </c>
      <c r="F26">
        <v>11310</v>
      </c>
      <c r="G26">
        <v>8501</v>
      </c>
      <c r="H26">
        <v>44.1</v>
      </c>
      <c r="I26">
        <v>44.57</v>
      </c>
      <c r="J26">
        <v>0.41</v>
      </c>
      <c r="K26">
        <v>0.41</v>
      </c>
      <c r="L26">
        <v>1</v>
      </c>
      <c r="M26">
        <v>1</v>
      </c>
      <c r="N26">
        <v>4.5</v>
      </c>
      <c r="O26">
        <v>0</v>
      </c>
      <c r="P26">
        <v>9790</v>
      </c>
      <c r="Q26">
        <v>16</v>
      </c>
      <c r="R26">
        <v>79</v>
      </c>
      <c r="S26" t="s">
        <v>34543</v>
      </c>
      <c r="U26">
        <v>1.3911152200000001</v>
      </c>
      <c r="V26">
        <v>6.14</v>
      </c>
      <c r="X26" t="s">
        <v>187</v>
      </c>
      <c r="Y26" t="s">
        <v>177</v>
      </c>
      <c r="Z26" t="s">
        <v>177</v>
      </c>
      <c r="AA26" t="s">
        <v>178</v>
      </c>
      <c r="AB26" t="s">
        <v>34553</v>
      </c>
      <c r="AC26" t="s">
        <v>34465</v>
      </c>
      <c r="AD26" t="s">
        <v>10970</v>
      </c>
      <c r="AE26" t="s">
        <v>34554</v>
      </c>
      <c r="AF26" t="s">
        <v>34546</v>
      </c>
      <c r="AG26" t="s">
        <v>34547</v>
      </c>
    </row>
    <row r="27" spans="1:33" x14ac:dyDescent="0.25">
      <c r="A27" t="s">
        <v>34462</v>
      </c>
      <c r="B27" t="s">
        <v>192</v>
      </c>
      <c r="C27" t="s">
        <v>194</v>
      </c>
      <c r="D27">
        <v>44.19</v>
      </c>
      <c r="F27">
        <v>11310</v>
      </c>
      <c r="G27">
        <v>8460</v>
      </c>
      <c r="H27">
        <v>44.19</v>
      </c>
      <c r="I27">
        <v>45.22</v>
      </c>
      <c r="J27">
        <v>0.72</v>
      </c>
      <c r="K27">
        <v>0.72</v>
      </c>
      <c r="L27">
        <v>1</v>
      </c>
      <c r="N27">
        <v>4.5</v>
      </c>
      <c r="O27">
        <v>0</v>
      </c>
      <c r="P27">
        <v>9730</v>
      </c>
      <c r="Q27">
        <v>6</v>
      </c>
      <c r="R27">
        <v>53</v>
      </c>
      <c r="S27" t="s">
        <v>34543</v>
      </c>
      <c r="U27">
        <v>1.1464023999999999</v>
      </c>
      <c r="V27">
        <v>7.24</v>
      </c>
      <c r="X27" t="s">
        <v>191</v>
      </c>
      <c r="Y27" t="s">
        <v>34548</v>
      </c>
      <c r="Z27" t="s">
        <v>177</v>
      </c>
      <c r="AA27" t="s">
        <v>178</v>
      </c>
      <c r="AB27" t="s">
        <v>34555</v>
      </c>
      <c r="AC27" t="s">
        <v>34465</v>
      </c>
      <c r="AD27" t="s">
        <v>10970</v>
      </c>
      <c r="AE27" t="s">
        <v>34556</v>
      </c>
      <c r="AF27" t="s">
        <v>34546</v>
      </c>
      <c r="AG27" t="s">
        <v>34547</v>
      </c>
    </row>
    <row r="28" spans="1:33" x14ac:dyDescent="0.25">
      <c r="A28" t="s">
        <v>34462</v>
      </c>
      <c r="B28" t="s">
        <v>196</v>
      </c>
      <c r="C28" t="s">
        <v>198</v>
      </c>
      <c r="D28">
        <v>42.63</v>
      </c>
      <c r="F28">
        <v>11310</v>
      </c>
      <c r="G28">
        <v>8416</v>
      </c>
      <c r="H28">
        <v>42.63</v>
      </c>
      <c r="I28">
        <v>44.1</v>
      </c>
      <c r="J28">
        <v>0.62</v>
      </c>
      <c r="K28">
        <v>0.62</v>
      </c>
      <c r="L28">
        <v>1</v>
      </c>
      <c r="N28">
        <v>4.5</v>
      </c>
      <c r="O28">
        <v>0</v>
      </c>
      <c r="P28">
        <v>9726</v>
      </c>
      <c r="Q28">
        <v>4</v>
      </c>
      <c r="R28">
        <v>60</v>
      </c>
      <c r="S28" t="s">
        <v>34543</v>
      </c>
      <c r="U28">
        <v>1.4837092599999999</v>
      </c>
      <c r="V28">
        <v>6.14</v>
      </c>
      <c r="X28" t="s">
        <v>195</v>
      </c>
      <c r="Y28" t="s">
        <v>34548</v>
      </c>
      <c r="Z28" t="s">
        <v>177</v>
      </c>
      <c r="AA28" t="s">
        <v>178</v>
      </c>
      <c r="AB28" t="s">
        <v>34557</v>
      </c>
      <c r="AC28" t="s">
        <v>34465</v>
      </c>
      <c r="AD28" t="s">
        <v>10970</v>
      </c>
      <c r="AE28" t="s">
        <v>34558</v>
      </c>
      <c r="AF28" t="s">
        <v>34559</v>
      </c>
      <c r="AG28" t="s">
        <v>34547</v>
      </c>
    </row>
    <row r="29" spans="1:33" x14ac:dyDescent="0.25">
      <c r="A29" t="s">
        <v>34462</v>
      </c>
      <c r="B29" t="s">
        <v>201</v>
      </c>
      <c r="C29" t="s">
        <v>203</v>
      </c>
      <c r="D29">
        <v>43.32</v>
      </c>
      <c r="F29">
        <v>11310</v>
      </c>
      <c r="G29">
        <v>8551</v>
      </c>
      <c r="H29">
        <v>43.32</v>
      </c>
      <c r="I29">
        <v>43.99</v>
      </c>
      <c r="J29">
        <v>0.62</v>
      </c>
      <c r="K29">
        <v>0.62</v>
      </c>
      <c r="L29">
        <v>1</v>
      </c>
      <c r="N29">
        <v>4.5</v>
      </c>
      <c r="O29">
        <v>0</v>
      </c>
      <c r="P29">
        <v>9700</v>
      </c>
      <c r="Q29">
        <v>5</v>
      </c>
      <c r="R29">
        <v>55</v>
      </c>
      <c r="S29" t="s">
        <v>34543</v>
      </c>
      <c r="U29">
        <v>1.4594584399999999</v>
      </c>
      <c r="V29">
        <v>6.81</v>
      </c>
      <c r="X29" t="s">
        <v>200</v>
      </c>
      <c r="Y29" t="s">
        <v>34548</v>
      </c>
      <c r="Z29" t="s">
        <v>177</v>
      </c>
      <c r="AA29" t="s">
        <v>178</v>
      </c>
      <c r="AB29" t="s">
        <v>34560</v>
      </c>
      <c r="AC29" t="s">
        <v>34465</v>
      </c>
      <c r="AD29" t="s">
        <v>10970</v>
      </c>
      <c r="AE29" t="s">
        <v>34561</v>
      </c>
      <c r="AF29" t="s">
        <v>34546</v>
      </c>
      <c r="AG29" t="s">
        <v>34562</v>
      </c>
    </row>
    <row r="30" spans="1:33" x14ac:dyDescent="0.25">
      <c r="A30" t="s">
        <v>34462</v>
      </c>
      <c r="B30" t="s">
        <v>205</v>
      </c>
      <c r="C30" t="s">
        <v>207</v>
      </c>
      <c r="D30">
        <v>22.58</v>
      </c>
      <c r="E30">
        <v>22.58</v>
      </c>
      <c r="F30">
        <v>11310</v>
      </c>
      <c r="G30">
        <v>8573</v>
      </c>
      <c r="H30">
        <v>40.32</v>
      </c>
      <c r="I30">
        <v>41.47</v>
      </c>
      <c r="J30">
        <v>0.04</v>
      </c>
      <c r="K30">
        <v>0.04</v>
      </c>
      <c r="L30">
        <v>1</v>
      </c>
      <c r="M30">
        <v>1</v>
      </c>
      <c r="N30">
        <v>4.5</v>
      </c>
      <c r="O30">
        <v>0</v>
      </c>
      <c r="P30">
        <v>9829</v>
      </c>
      <c r="Q30">
        <v>24</v>
      </c>
      <c r="R30">
        <v>99</v>
      </c>
      <c r="S30" t="s">
        <v>34543</v>
      </c>
      <c r="U30">
        <v>1.59614488</v>
      </c>
      <c r="V30">
        <v>6.6</v>
      </c>
      <c r="W30">
        <v>3.84</v>
      </c>
      <c r="X30" t="s">
        <v>204</v>
      </c>
      <c r="Y30" t="s">
        <v>177</v>
      </c>
      <c r="Z30" t="s">
        <v>177</v>
      </c>
      <c r="AA30" t="s">
        <v>178</v>
      </c>
      <c r="AB30" t="s">
        <v>34563</v>
      </c>
      <c r="AC30" t="s">
        <v>34493</v>
      </c>
      <c r="AD30" t="s">
        <v>10970</v>
      </c>
      <c r="AE30" t="s">
        <v>34564</v>
      </c>
      <c r="AF30" t="s">
        <v>34546</v>
      </c>
      <c r="AG30" t="s">
        <v>34547</v>
      </c>
    </row>
    <row r="31" spans="1:33" x14ac:dyDescent="0.25">
      <c r="A31" t="s">
        <v>34462</v>
      </c>
      <c r="B31" t="s">
        <v>209</v>
      </c>
      <c r="C31" t="s">
        <v>211</v>
      </c>
      <c r="D31">
        <v>45.94</v>
      </c>
      <c r="F31">
        <v>11310</v>
      </c>
      <c r="G31">
        <v>8670</v>
      </c>
      <c r="H31">
        <v>45.94</v>
      </c>
      <c r="I31">
        <v>47.7</v>
      </c>
      <c r="J31">
        <v>0.45</v>
      </c>
      <c r="K31">
        <v>0.45</v>
      </c>
      <c r="L31">
        <v>1</v>
      </c>
      <c r="M31">
        <v>1</v>
      </c>
      <c r="N31">
        <v>4.5</v>
      </c>
      <c r="O31">
        <v>0</v>
      </c>
      <c r="P31">
        <v>9763</v>
      </c>
      <c r="Q31">
        <v>5</v>
      </c>
      <c r="R31">
        <v>77</v>
      </c>
      <c r="S31" t="s">
        <v>34543</v>
      </c>
      <c r="U31">
        <v>1.543234</v>
      </c>
      <c r="V31">
        <v>6.6</v>
      </c>
      <c r="X31" t="s">
        <v>208</v>
      </c>
      <c r="Y31" t="s">
        <v>177</v>
      </c>
      <c r="Z31" t="s">
        <v>177</v>
      </c>
      <c r="AA31" t="s">
        <v>178</v>
      </c>
      <c r="AB31" t="s">
        <v>34565</v>
      </c>
      <c r="AC31" t="s">
        <v>34465</v>
      </c>
      <c r="AD31" t="s">
        <v>10970</v>
      </c>
      <c r="AE31" t="s">
        <v>34566</v>
      </c>
      <c r="AF31" t="s">
        <v>34546</v>
      </c>
      <c r="AG31" t="s">
        <v>34547</v>
      </c>
    </row>
    <row r="32" spans="1:33" x14ac:dyDescent="0.25">
      <c r="A32" t="s">
        <v>34462</v>
      </c>
      <c r="B32" t="s">
        <v>213</v>
      </c>
      <c r="C32" t="s">
        <v>215</v>
      </c>
      <c r="D32">
        <v>22.58</v>
      </c>
      <c r="E32">
        <v>22.58</v>
      </c>
      <c r="F32">
        <v>11444</v>
      </c>
      <c r="G32">
        <v>8670</v>
      </c>
      <c r="H32">
        <v>40.909999999999997</v>
      </c>
      <c r="I32">
        <v>41.79</v>
      </c>
      <c r="J32">
        <v>0</v>
      </c>
      <c r="K32">
        <v>0</v>
      </c>
      <c r="L32">
        <v>1</v>
      </c>
      <c r="M32">
        <v>1</v>
      </c>
      <c r="N32">
        <v>4.5</v>
      </c>
      <c r="O32">
        <v>0</v>
      </c>
      <c r="P32">
        <v>9829</v>
      </c>
      <c r="Q32">
        <v>33</v>
      </c>
      <c r="R32">
        <v>121</v>
      </c>
      <c r="S32" t="s">
        <v>34543</v>
      </c>
      <c r="U32">
        <v>0.64154442</v>
      </c>
      <c r="V32">
        <v>6.14</v>
      </c>
      <c r="W32">
        <v>3.84</v>
      </c>
      <c r="X32" t="s">
        <v>212</v>
      </c>
      <c r="Y32" t="s">
        <v>34548</v>
      </c>
      <c r="Z32" t="s">
        <v>177</v>
      </c>
      <c r="AA32" t="s">
        <v>178</v>
      </c>
      <c r="AB32" t="s">
        <v>34567</v>
      </c>
      <c r="AC32" t="s">
        <v>34493</v>
      </c>
      <c r="AD32" t="s">
        <v>10970</v>
      </c>
      <c r="AE32" t="s">
        <v>34568</v>
      </c>
      <c r="AF32" t="s">
        <v>34546</v>
      </c>
      <c r="AG32" t="s">
        <v>34547</v>
      </c>
    </row>
    <row r="33" spans="1:33" x14ac:dyDescent="0.25">
      <c r="A33" t="s">
        <v>34462</v>
      </c>
      <c r="B33" t="s">
        <v>217</v>
      </c>
      <c r="C33" t="s">
        <v>219</v>
      </c>
      <c r="D33">
        <v>40.26</v>
      </c>
      <c r="F33">
        <v>11310</v>
      </c>
      <c r="G33">
        <v>8640</v>
      </c>
      <c r="H33">
        <v>40.26</v>
      </c>
      <c r="I33">
        <v>41.86</v>
      </c>
      <c r="J33">
        <v>0.03</v>
      </c>
      <c r="K33">
        <v>0.03</v>
      </c>
      <c r="L33">
        <v>1</v>
      </c>
      <c r="M33">
        <v>1</v>
      </c>
      <c r="N33">
        <v>4.5</v>
      </c>
      <c r="O33">
        <v>0</v>
      </c>
      <c r="P33">
        <v>9824</v>
      </c>
      <c r="Q33">
        <v>29</v>
      </c>
      <c r="R33">
        <v>123</v>
      </c>
      <c r="S33" t="s">
        <v>34543</v>
      </c>
      <c r="U33">
        <v>0.82011864000000001</v>
      </c>
      <c r="V33">
        <v>6.6</v>
      </c>
      <c r="X33" t="s">
        <v>216</v>
      </c>
      <c r="Y33" t="s">
        <v>177</v>
      </c>
      <c r="Z33" t="s">
        <v>177</v>
      </c>
      <c r="AA33" t="s">
        <v>178</v>
      </c>
      <c r="AB33" t="s">
        <v>34569</v>
      </c>
      <c r="AC33" t="s">
        <v>34465</v>
      </c>
      <c r="AD33" t="s">
        <v>10970</v>
      </c>
      <c r="AE33" t="s">
        <v>34570</v>
      </c>
      <c r="AF33" t="s">
        <v>34546</v>
      </c>
      <c r="AG33" t="s">
        <v>34547</v>
      </c>
    </row>
    <row r="34" spans="1:33" x14ac:dyDescent="0.25">
      <c r="A34" t="s">
        <v>34462</v>
      </c>
      <c r="B34" t="s">
        <v>221</v>
      </c>
      <c r="C34" t="s">
        <v>223</v>
      </c>
      <c r="D34">
        <v>22.58</v>
      </c>
      <c r="E34">
        <v>22.58</v>
      </c>
      <c r="F34">
        <v>11310</v>
      </c>
      <c r="G34">
        <v>8531</v>
      </c>
      <c r="H34">
        <v>41.22</v>
      </c>
      <c r="I34">
        <v>42.78</v>
      </c>
      <c r="J34">
        <v>0</v>
      </c>
      <c r="K34">
        <v>0</v>
      </c>
      <c r="L34">
        <v>1</v>
      </c>
      <c r="M34">
        <v>1</v>
      </c>
      <c r="N34">
        <v>4.5</v>
      </c>
      <c r="O34">
        <v>0</v>
      </c>
      <c r="P34">
        <v>9825</v>
      </c>
      <c r="Q34">
        <v>32</v>
      </c>
      <c r="R34">
        <v>114</v>
      </c>
      <c r="S34" t="s">
        <v>34543</v>
      </c>
      <c r="U34">
        <v>0.60627050000000005</v>
      </c>
      <c r="V34">
        <v>6.14</v>
      </c>
      <c r="W34">
        <v>3.84</v>
      </c>
      <c r="X34" t="s">
        <v>220</v>
      </c>
      <c r="Y34" t="s">
        <v>177</v>
      </c>
      <c r="Z34" t="s">
        <v>177</v>
      </c>
      <c r="AA34" t="s">
        <v>178</v>
      </c>
      <c r="AB34" t="s">
        <v>34571</v>
      </c>
      <c r="AC34" t="s">
        <v>34493</v>
      </c>
      <c r="AD34" t="s">
        <v>10970</v>
      </c>
      <c r="AE34" t="s">
        <v>34572</v>
      </c>
      <c r="AF34" t="s">
        <v>34546</v>
      </c>
      <c r="AG34" t="s">
        <v>34547</v>
      </c>
    </row>
    <row r="35" spans="1:33" x14ac:dyDescent="0.25">
      <c r="A35" t="s">
        <v>34462</v>
      </c>
      <c r="B35" t="s">
        <v>225</v>
      </c>
      <c r="C35" t="s">
        <v>228</v>
      </c>
      <c r="D35">
        <v>12.24</v>
      </c>
      <c r="E35">
        <v>12.24</v>
      </c>
      <c r="F35">
        <v>13898752</v>
      </c>
      <c r="G35">
        <v>13235840</v>
      </c>
      <c r="H35">
        <v>24.7</v>
      </c>
      <c r="I35">
        <v>28.95</v>
      </c>
      <c r="J35">
        <v>0.39</v>
      </c>
      <c r="K35">
        <v>1</v>
      </c>
      <c r="L35">
        <v>1</v>
      </c>
      <c r="M35">
        <v>1</v>
      </c>
      <c r="Q35">
        <v>0</v>
      </c>
      <c r="R35">
        <v>0</v>
      </c>
      <c r="S35" t="s">
        <v>34573</v>
      </c>
      <c r="U35">
        <v>1.06042222</v>
      </c>
      <c r="V35">
        <v>6.05</v>
      </c>
      <c r="W35">
        <v>1.83</v>
      </c>
      <c r="X35" t="s">
        <v>224</v>
      </c>
      <c r="Y35" t="s">
        <v>34574</v>
      </c>
      <c r="AA35" t="s">
        <v>76</v>
      </c>
      <c r="AB35" t="s">
        <v>34575</v>
      </c>
      <c r="AC35" t="s">
        <v>34465</v>
      </c>
      <c r="AD35" t="s">
        <v>28963</v>
      </c>
      <c r="AE35" t="s">
        <v>34576</v>
      </c>
      <c r="AF35" t="s">
        <v>34577</v>
      </c>
    </row>
    <row r="36" spans="1:33" x14ac:dyDescent="0.25">
      <c r="A36" t="s">
        <v>34462</v>
      </c>
      <c r="B36" t="s">
        <v>231</v>
      </c>
      <c r="C36" t="s">
        <v>233</v>
      </c>
      <c r="D36">
        <v>12.24</v>
      </c>
      <c r="E36">
        <v>12.24</v>
      </c>
      <c r="F36">
        <v>13897714</v>
      </c>
      <c r="G36">
        <v>13312216</v>
      </c>
      <c r="H36">
        <v>22.4</v>
      </c>
      <c r="I36">
        <v>27.51</v>
      </c>
      <c r="J36">
        <v>0</v>
      </c>
      <c r="K36">
        <v>1</v>
      </c>
      <c r="L36">
        <v>1</v>
      </c>
      <c r="M36">
        <v>1</v>
      </c>
      <c r="Q36">
        <v>0</v>
      </c>
      <c r="R36">
        <v>0</v>
      </c>
      <c r="S36" t="s">
        <v>34573</v>
      </c>
      <c r="U36">
        <v>1.0802638</v>
      </c>
      <c r="V36">
        <v>6.21</v>
      </c>
      <c r="W36">
        <v>1.84</v>
      </c>
      <c r="X36" t="s">
        <v>230</v>
      </c>
      <c r="Y36" t="s">
        <v>34578</v>
      </c>
      <c r="AA36" t="s">
        <v>235</v>
      </c>
      <c r="AB36" t="s">
        <v>34579</v>
      </c>
      <c r="AC36" t="s">
        <v>34465</v>
      </c>
      <c r="AD36" t="s">
        <v>28963</v>
      </c>
      <c r="AE36" t="s">
        <v>34576</v>
      </c>
      <c r="AF36" t="s">
        <v>34580</v>
      </c>
    </row>
    <row r="37" spans="1:33" x14ac:dyDescent="0.25">
      <c r="A37" t="s">
        <v>34462</v>
      </c>
      <c r="B37" t="s">
        <v>237</v>
      </c>
      <c r="C37" t="s">
        <v>239</v>
      </c>
      <c r="F37">
        <v>13897714</v>
      </c>
      <c r="G37">
        <v>13196107</v>
      </c>
      <c r="J37">
        <v>1</v>
      </c>
      <c r="K37">
        <v>1</v>
      </c>
      <c r="Q37">
        <v>0</v>
      </c>
      <c r="R37">
        <v>0</v>
      </c>
      <c r="S37" t="s">
        <v>34573</v>
      </c>
      <c r="U37">
        <v>1.0802638</v>
      </c>
      <c r="V37">
        <v>6.05</v>
      </c>
      <c r="X37" t="s">
        <v>236</v>
      </c>
      <c r="Y37" t="s">
        <v>34574</v>
      </c>
      <c r="AA37" t="s">
        <v>76</v>
      </c>
      <c r="AB37" t="s">
        <v>34581</v>
      </c>
      <c r="AC37" t="s">
        <v>34465</v>
      </c>
      <c r="AD37" t="s">
        <v>28963</v>
      </c>
      <c r="AE37" t="s">
        <v>34582</v>
      </c>
      <c r="AF37" t="s">
        <v>34583</v>
      </c>
    </row>
    <row r="38" spans="1:33" x14ac:dyDescent="0.25">
      <c r="A38" t="s">
        <v>34462</v>
      </c>
      <c r="B38" t="s">
        <v>242</v>
      </c>
      <c r="C38" t="s">
        <v>244</v>
      </c>
      <c r="D38">
        <v>12.24</v>
      </c>
      <c r="E38">
        <v>12.24</v>
      </c>
      <c r="F38">
        <v>13897714</v>
      </c>
      <c r="G38">
        <v>13316930</v>
      </c>
      <c r="H38">
        <v>23.62</v>
      </c>
      <c r="I38">
        <v>28.54</v>
      </c>
      <c r="J38">
        <v>0.28000000000000003</v>
      </c>
      <c r="K38">
        <v>1</v>
      </c>
      <c r="L38">
        <v>1</v>
      </c>
      <c r="Q38">
        <v>0</v>
      </c>
      <c r="R38">
        <v>0</v>
      </c>
      <c r="S38" t="s">
        <v>34573</v>
      </c>
      <c r="U38">
        <v>1.1706532199999999</v>
      </c>
      <c r="V38">
        <v>6.21</v>
      </c>
      <c r="W38">
        <v>1.84</v>
      </c>
      <c r="X38" t="s">
        <v>241</v>
      </c>
      <c r="Y38" t="s">
        <v>34578</v>
      </c>
      <c r="AA38" t="s">
        <v>235</v>
      </c>
      <c r="AB38" t="s">
        <v>34584</v>
      </c>
      <c r="AC38" t="s">
        <v>34465</v>
      </c>
      <c r="AD38" t="s">
        <v>28963</v>
      </c>
      <c r="AE38" t="s">
        <v>34582</v>
      </c>
      <c r="AF38" t="s">
        <v>34580</v>
      </c>
    </row>
    <row r="39" spans="1:33" x14ac:dyDescent="0.25">
      <c r="A39" t="s">
        <v>34462</v>
      </c>
      <c r="B39" t="s">
        <v>247</v>
      </c>
      <c r="C39" t="s">
        <v>249</v>
      </c>
      <c r="D39">
        <v>12.24</v>
      </c>
      <c r="E39">
        <v>12.24</v>
      </c>
      <c r="F39">
        <v>13897903</v>
      </c>
      <c r="G39">
        <v>13298537</v>
      </c>
      <c r="H39">
        <v>22.41</v>
      </c>
      <c r="I39">
        <v>27.5</v>
      </c>
      <c r="J39">
        <v>0</v>
      </c>
      <c r="K39">
        <v>1</v>
      </c>
      <c r="L39">
        <v>1</v>
      </c>
      <c r="M39">
        <v>1</v>
      </c>
      <c r="Q39">
        <v>0</v>
      </c>
      <c r="R39">
        <v>0</v>
      </c>
      <c r="S39" t="s">
        <v>34573</v>
      </c>
      <c r="U39">
        <v>1.2808842199999999</v>
      </c>
      <c r="V39">
        <v>6.21</v>
      </c>
      <c r="W39">
        <v>1.84</v>
      </c>
      <c r="X39" t="s">
        <v>246</v>
      </c>
      <c r="Y39" t="s">
        <v>34578</v>
      </c>
      <c r="AA39" t="s">
        <v>235</v>
      </c>
      <c r="AB39" t="s">
        <v>34585</v>
      </c>
      <c r="AC39" t="s">
        <v>34465</v>
      </c>
      <c r="AD39" t="s">
        <v>28963</v>
      </c>
      <c r="AE39" t="s">
        <v>34586</v>
      </c>
      <c r="AF39" t="s">
        <v>34580</v>
      </c>
    </row>
    <row r="40" spans="1:33" x14ac:dyDescent="0.25">
      <c r="A40" t="s">
        <v>34462</v>
      </c>
      <c r="B40" t="s">
        <v>252</v>
      </c>
      <c r="C40" t="s">
        <v>254</v>
      </c>
      <c r="D40">
        <v>12.24</v>
      </c>
      <c r="E40">
        <v>12.24</v>
      </c>
      <c r="F40">
        <v>13898752</v>
      </c>
      <c r="G40">
        <v>13246900</v>
      </c>
      <c r="H40">
        <v>23.88</v>
      </c>
      <c r="I40">
        <v>29.9</v>
      </c>
      <c r="J40">
        <v>0.39</v>
      </c>
      <c r="K40">
        <v>1</v>
      </c>
      <c r="L40">
        <v>1</v>
      </c>
      <c r="M40">
        <v>1</v>
      </c>
      <c r="Q40">
        <v>0</v>
      </c>
      <c r="R40">
        <v>0</v>
      </c>
      <c r="S40" t="s">
        <v>34573</v>
      </c>
      <c r="U40">
        <v>1.1706532199999999</v>
      </c>
      <c r="V40">
        <v>6.21</v>
      </c>
      <c r="W40">
        <v>1.83</v>
      </c>
      <c r="X40" t="s">
        <v>251</v>
      </c>
      <c r="Y40" t="s">
        <v>34574</v>
      </c>
      <c r="AA40" t="s">
        <v>76</v>
      </c>
      <c r="AB40" t="s">
        <v>34587</v>
      </c>
      <c r="AC40" t="s">
        <v>34465</v>
      </c>
      <c r="AD40" t="s">
        <v>28963</v>
      </c>
      <c r="AE40" t="s">
        <v>34586</v>
      </c>
      <c r="AF40" t="s">
        <v>34577</v>
      </c>
    </row>
    <row r="41" spans="1:33" x14ac:dyDescent="0.25">
      <c r="A41" t="s">
        <v>34462</v>
      </c>
      <c r="B41" t="s">
        <v>257</v>
      </c>
      <c r="C41" t="s">
        <v>259</v>
      </c>
      <c r="F41">
        <v>13897714</v>
      </c>
      <c r="G41">
        <v>13304413</v>
      </c>
      <c r="J41">
        <v>1</v>
      </c>
      <c r="K41">
        <v>1</v>
      </c>
      <c r="Q41">
        <v>0</v>
      </c>
      <c r="R41">
        <v>0</v>
      </c>
      <c r="S41" t="s">
        <v>34573</v>
      </c>
      <c r="U41">
        <v>1.32056738</v>
      </c>
      <c r="V41">
        <v>6.21</v>
      </c>
      <c r="X41" t="s">
        <v>256</v>
      </c>
      <c r="Y41" t="s">
        <v>34578</v>
      </c>
      <c r="AA41" t="s">
        <v>235</v>
      </c>
      <c r="AB41" t="s">
        <v>34588</v>
      </c>
      <c r="AC41" t="s">
        <v>34465</v>
      </c>
      <c r="AD41" t="s">
        <v>28963</v>
      </c>
      <c r="AE41" t="s">
        <v>34589</v>
      </c>
      <c r="AF41" t="s">
        <v>34580</v>
      </c>
    </row>
    <row r="42" spans="1:33" x14ac:dyDescent="0.25">
      <c r="A42" t="s">
        <v>34462</v>
      </c>
      <c r="B42" t="s">
        <v>261</v>
      </c>
      <c r="C42" t="s">
        <v>264</v>
      </c>
      <c r="D42">
        <v>12.02</v>
      </c>
      <c r="E42">
        <v>12.02</v>
      </c>
      <c r="F42">
        <v>101269</v>
      </c>
      <c r="G42">
        <v>127510</v>
      </c>
      <c r="H42">
        <v>15.73</v>
      </c>
      <c r="I42">
        <v>16.52</v>
      </c>
      <c r="J42">
        <v>0</v>
      </c>
      <c r="K42">
        <v>0</v>
      </c>
      <c r="L42">
        <v>3</v>
      </c>
      <c r="M42">
        <v>2</v>
      </c>
      <c r="N42">
        <v>4.2</v>
      </c>
      <c r="O42">
        <v>1</v>
      </c>
      <c r="P42">
        <v>452</v>
      </c>
      <c r="Q42">
        <v>29</v>
      </c>
      <c r="R42">
        <v>93</v>
      </c>
      <c r="S42" t="s">
        <v>34590</v>
      </c>
      <c r="U42">
        <v>0.18077884</v>
      </c>
      <c r="V42">
        <v>6.14</v>
      </c>
      <c r="W42">
        <v>0.6</v>
      </c>
      <c r="X42" t="s">
        <v>260</v>
      </c>
      <c r="Y42" t="s">
        <v>265</v>
      </c>
      <c r="Z42" t="s">
        <v>265</v>
      </c>
      <c r="AA42" t="s">
        <v>69</v>
      </c>
      <c r="AB42" t="s">
        <v>34591</v>
      </c>
      <c r="AC42" t="s">
        <v>34493</v>
      </c>
      <c r="AD42" t="s">
        <v>7954</v>
      </c>
      <c r="AE42" t="s">
        <v>34592</v>
      </c>
      <c r="AF42" t="s">
        <v>34593</v>
      </c>
      <c r="AG42" t="s">
        <v>34594</v>
      </c>
    </row>
    <row r="43" spans="1:33" x14ac:dyDescent="0.25">
      <c r="A43" t="s">
        <v>34462</v>
      </c>
      <c r="B43" t="s">
        <v>267</v>
      </c>
      <c r="C43" t="s">
        <v>264</v>
      </c>
      <c r="D43">
        <v>18.600000000000001</v>
      </c>
      <c r="E43">
        <v>13.1</v>
      </c>
      <c r="F43">
        <v>101269</v>
      </c>
      <c r="G43">
        <v>124649</v>
      </c>
      <c r="H43">
        <v>20.78</v>
      </c>
      <c r="I43">
        <v>19.21</v>
      </c>
      <c r="J43">
        <v>0</v>
      </c>
      <c r="K43">
        <v>0</v>
      </c>
      <c r="L43">
        <v>4</v>
      </c>
      <c r="M43">
        <v>4</v>
      </c>
      <c r="N43">
        <v>4.2</v>
      </c>
      <c r="O43">
        <v>2</v>
      </c>
      <c r="P43">
        <v>453</v>
      </c>
      <c r="Q43">
        <v>21</v>
      </c>
      <c r="R43">
        <v>76</v>
      </c>
      <c r="S43" t="s">
        <v>34590</v>
      </c>
      <c r="U43">
        <v>0.18077884</v>
      </c>
      <c r="V43">
        <v>5.9</v>
      </c>
      <c r="W43">
        <v>1.86</v>
      </c>
      <c r="X43" t="s">
        <v>266</v>
      </c>
      <c r="Y43" t="s">
        <v>265</v>
      </c>
      <c r="Z43" t="s">
        <v>265</v>
      </c>
      <c r="AA43" t="s">
        <v>69</v>
      </c>
      <c r="AB43" t="s">
        <v>34595</v>
      </c>
      <c r="AC43" t="s">
        <v>34493</v>
      </c>
      <c r="AD43" t="s">
        <v>7954</v>
      </c>
      <c r="AE43" t="s">
        <v>34596</v>
      </c>
      <c r="AF43" t="s">
        <v>34593</v>
      </c>
      <c r="AG43" t="s">
        <v>34594</v>
      </c>
    </row>
    <row r="44" spans="1:33" x14ac:dyDescent="0.25">
      <c r="A44" t="s">
        <v>34462</v>
      </c>
      <c r="B44" t="s">
        <v>271</v>
      </c>
      <c r="C44" t="s">
        <v>264</v>
      </c>
      <c r="D44">
        <v>21</v>
      </c>
      <c r="E44">
        <v>21</v>
      </c>
      <c r="F44">
        <v>101269</v>
      </c>
      <c r="G44">
        <v>124582</v>
      </c>
      <c r="H44">
        <v>14.32</v>
      </c>
      <c r="I44">
        <v>16.559999999999999</v>
      </c>
      <c r="J44">
        <v>0</v>
      </c>
      <c r="K44">
        <v>0</v>
      </c>
      <c r="L44">
        <v>3</v>
      </c>
      <c r="M44">
        <v>2</v>
      </c>
      <c r="N44">
        <v>4.2</v>
      </c>
      <c r="O44">
        <v>0</v>
      </c>
      <c r="P44">
        <v>451</v>
      </c>
      <c r="Q44">
        <v>22</v>
      </c>
      <c r="R44">
        <v>65</v>
      </c>
      <c r="S44" t="s">
        <v>34590</v>
      </c>
      <c r="U44">
        <v>0.61949821999999999</v>
      </c>
      <c r="V44">
        <v>5.9</v>
      </c>
      <c r="W44">
        <v>3.57</v>
      </c>
      <c r="X44" t="s">
        <v>270</v>
      </c>
      <c r="Y44" t="s">
        <v>265</v>
      </c>
      <c r="Z44" t="s">
        <v>265</v>
      </c>
      <c r="AA44" t="s">
        <v>273</v>
      </c>
      <c r="AB44" t="s">
        <v>34597</v>
      </c>
      <c r="AC44" t="s">
        <v>34493</v>
      </c>
      <c r="AD44" t="s">
        <v>7954</v>
      </c>
      <c r="AE44" t="s">
        <v>34592</v>
      </c>
      <c r="AF44" t="s">
        <v>34598</v>
      </c>
      <c r="AG44" t="s">
        <v>34594</v>
      </c>
    </row>
    <row r="45" spans="1:33" x14ac:dyDescent="0.25">
      <c r="A45" t="s">
        <v>34462</v>
      </c>
      <c r="B45" t="s">
        <v>275</v>
      </c>
      <c r="C45" t="s">
        <v>264</v>
      </c>
      <c r="D45">
        <v>13.18</v>
      </c>
      <c r="E45">
        <v>13.18</v>
      </c>
      <c r="F45">
        <v>101269</v>
      </c>
      <c r="G45">
        <v>128208</v>
      </c>
      <c r="H45">
        <v>15.25</v>
      </c>
      <c r="I45">
        <v>13.49</v>
      </c>
      <c r="J45">
        <v>0</v>
      </c>
      <c r="K45">
        <v>0</v>
      </c>
      <c r="L45">
        <v>2</v>
      </c>
      <c r="M45">
        <v>1</v>
      </c>
      <c r="N45">
        <v>4.2</v>
      </c>
      <c r="O45">
        <v>0</v>
      </c>
      <c r="P45">
        <v>453</v>
      </c>
      <c r="Q45">
        <v>21</v>
      </c>
      <c r="R45">
        <v>77</v>
      </c>
      <c r="S45" t="s">
        <v>34590</v>
      </c>
      <c r="U45">
        <v>0.14991415999999999</v>
      </c>
      <c r="V45">
        <v>5.12</v>
      </c>
      <c r="W45">
        <v>0.66</v>
      </c>
      <c r="X45" t="s">
        <v>274</v>
      </c>
      <c r="Y45" t="s">
        <v>265</v>
      </c>
      <c r="Z45" t="s">
        <v>265</v>
      </c>
      <c r="AA45" t="s">
        <v>278</v>
      </c>
      <c r="AB45" t="s">
        <v>34599</v>
      </c>
      <c r="AC45" t="s">
        <v>34493</v>
      </c>
      <c r="AD45" t="s">
        <v>7954</v>
      </c>
      <c r="AE45" t="s">
        <v>34592</v>
      </c>
      <c r="AF45" t="s">
        <v>34600</v>
      </c>
      <c r="AG45" t="s">
        <v>34594</v>
      </c>
    </row>
    <row r="46" spans="1:33" x14ac:dyDescent="0.25">
      <c r="A46" t="s">
        <v>34462</v>
      </c>
      <c r="B46" t="s">
        <v>280</v>
      </c>
      <c r="C46" t="s">
        <v>264</v>
      </c>
      <c r="D46">
        <v>10.77</v>
      </c>
      <c r="E46">
        <v>10.77</v>
      </c>
      <c r="F46">
        <v>101269</v>
      </c>
      <c r="G46">
        <v>123375</v>
      </c>
      <c r="H46">
        <v>12.65</v>
      </c>
      <c r="I46">
        <v>15.89</v>
      </c>
      <c r="J46">
        <v>0</v>
      </c>
      <c r="K46">
        <v>0</v>
      </c>
      <c r="L46">
        <v>2</v>
      </c>
      <c r="M46">
        <v>1</v>
      </c>
      <c r="N46">
        <v>4.2</v>
      </c>
      <c r="O46">
        <v>3</v>
      </c>
      <c r="P46">
        <v>452</v>
      </c>
      <c r="Q46">
        <v>19</v>
      </c>
      <c r="R46">
        <v>58</v>
      </c>
      <c r="S46" t="s">
        <v>34590</v>
      </c>
      <c r="U46">
        <v>0.17636959999999999</v>
      </c>
      <c r="V46">
        <v>3.9</v>
      </c>
      <c r="W46">
        <v>0.54</v>
      </c>
      <c r="X46" t="s">
        <v>279</v>
      </c>
      <c r="Y46" t="s">
        <v>265</v>
      </c>
      <c r="Z46" t="s">
        <v>265</v>
      </c>
      <c r="AA46" t="s">
        <v>278</v>
      </c>
      <c r="AB46" t="s">
        <v>34601</v>
      </c>
      <c r="AC46" t="s">
        <v>34493</v>
      </c>
      <c r="AD46" t="s">
        <v>7954</v>
      </c>
      <c r="AE46" t="s">
        <v>34596</v>
      </c>
      <c r="AF46" t="s">
        <v>34600</v>
      </c>
      <c r="AG46" t="s">
        <v>34594</v>
      </c>
    </row>
    <row r="47" spans="1:33" x14ac:dyDescent="0.25">
      <c r="A47" t="s">
        <v>34462</v>
      </c>
      <c r="B47" t="s">
        <v>284</v>
      </c>
      <c r="C47" t="s">
        <v>264</v>
      </c>
      <c r="D47">
        <v>14.12</v>
      </c>
      <c r="E47">
        <v>10</v>
      </c>
      <c r="F47">
        <v>101269</v>
      </c>
      <c r="G47">
        <v>126176</v>
      </c>
      <c r="H47">
        <v>19.489999999999998</v>
      </c>
      <c r="I47">
        <v>21.56</v>
      </c>
      <c r="J47">
        <v>0</v>
      </c>
      <c r="K47">
        <v>0</v>
      </c>
      <c r="L47">
        <v>4</v>
      </c>
      <c r="M47">
        <v>4</v>
      </c>
      <c r="N47">
        <v>4.2</v>
      </c>
      <c r="O47">
        <v>1</v>
      </c>
      <c r="P47">
        <v>451</v>
      </c>
      <c r="Q47">
        <v>32</v>
      </c>
      <c r="R47">
        <v>70</v>
      </c>
      <c r="S47" t="s">
        <v>34590</v>
      </c>
      <c r="U47">
        <v>0.61949821999999999</v>
      </c>
      <c r="V47">
        <v>6.6</v>
      </c>
      <c r="W47">
        <v>0.71</v>
      </c>
      <c r="X47" t="s">
        <v>283</v>
      </c>
      <c r="Y47" t="s">
        <v>265</v>
      </c>
      <c r="Z47" t="s">
        <v>265</v>
      </c>
      <c r="AA47" t="s">
        <v>273</v>
      </c>
      <c r="AB47" t="s">
        <v>34602</v>
      </c>
      <c r="AC47" t="s">
        <v>34493</v>
      </c>
      <c r="AD47" t="s">
        <v>7954</v>
      </c>
      <c r="AE47" t="s">
        <v>34596</v>
      </c>
      <c r="AF47" t="s">
        <v>34598</v>
      </c>
      <c r="AG47" t="s">
        <v>34594</v>
      </c>
    </row>
    <row r="48" spans="1:33" x14ac:dyDescent="0.25">
      <c r="A48" t="s">
        <v>34462</v>
      </c>
      <c r="B48" t="s">
        <v>288</v>
      </c>
      <c r="C48" t="s">
        <v>264</v>
      </c>
      <c r="D48">
        <v>11.55</v>
      </c>
      <c r="E48">
        <v>5.87</v>
      </c>
      <c r="F48">
        <v>101269</v>
      </c>
      <c r="G48">
        <v>127869</v>
      </c>
      <c r="H48">
        <v>12.99</v>
      </c>
      <c r="I48">
        <v>15.78</v>
      </c>
      <c r="J48">
        <v>0</v>
      </c>
      <c r="K48">
        <v>0</v>
      </c>
      <c r="L48">
        <v>3</v>
      </c>
      <c r="M48">
        <v>3</v>
      </c>
      <c r="N48">
        <v>4.2</v>
      </c>
      <c r="O48">
        <v>1</v>
      </c>
      <c r="P48">
        <v>453</v>
      </c>
      <c r="Q48">
        <v>34</v>
      </c>
      <c r="R48">
        <v>78</v>
      </c>
      <c r="S48" t="s">
        <v>34590</v>
      </c>
      <c r="U48">
        <v>0.20062041999999999</v>
      </c>
      <c r="V48">
        <v>7.08</v>
      </c>
      <c r="W48">
        <v>0.57999999999999996</v>
      </c>
      <c r="X48" t="s">
        <v>287</v>
      </c>
      <c r="Y48" t="s">
        <v>265</v>
      </c>
      <c r="Z48" t="s">
        <v>265</v>
      </c>
      <c r="AA48" t="s">
        <v>273</v>
      </c>
      <c r="AB48" t="s">
        <v>34603</v>
      </c>
      <c r="AC48" t="s">
        <v>34493</v>
      </c>
      <c r="AD48" t="s">
        <v>7954</v>
      </c>
      <c r="AE48" t="s">
        <v>34604</v>
      </c>
      <c r="AF48" t="s">
        <v>34598</v>
      </c>
      <c r="AG48" t="s">
        <v>34594</v>
      </c>
    </row>
    <row r="49" spans="1:33" x14ac:dyDescent="0.25">
      <c r="A49" t="s">
        <v>34462</v>
      </c>
      <c r="B49" t="s">
        <v>292</v>
      </c>
      <c r="C49" t="s">
        <v>295</v>
      </c>
      <c r="D49">
        <v>29.99</v>
      </c>
      <c r="E49">
        <v>29.99</v>
      </c>
      <c r="F49">
        <v>100566</v>
      </c>
      <c r="G49">
        <v>65975</v>
      </c>
      <c r="H49">
        <v>28.14</v>
      </c>
      <c r="I49">
        <v>25.87</v>
      </c>
      <c r="J49">
        <v>0.22</v>
      </c>
      <c r="K49">
        <v>1</v>
      </c>
      <c r="L49">
        <v>1</v>
      </c>
      <c r="M49">
        <v>1</v>
      </c>
      <c r="N49">
        <v>4.5</v>
      </c>
      <c r="O49">
        <v>6</v>
      </c>
      <c r="P49">
        <v>77</v>
      </c>
      <c r="Q49">
        <v>10</v>
      </c>
      <c r="R49">
        <v>39</v>
      </c>
      <c r="S49" t="s">
        <v>34605</v>
      </c>
      <c r="U49">
        <v>0.110231</v>
      </c>
      <c r="V49">
        <v>4.55</v>
      </c>
      <c r="W49">
        <v>4.5</v>
      </c>
      <c r="X49" t="s">
        <v>291</v>
      </c>
      <c r="Y49" t="s">
        <v>34606</v>
      </c>
      <c r="AB49" t="s">
        <v>34607</v>
      </c>
      <c r="AC49" t="s">
        <v>34465</v>
      </c>
      <c r="AD49" t="s">
        <v>28972</v>
      </c>
      <c r="AE49" t="s">
        <v>34608</v>
      </c>
      <c r="AF49" t="s">
        <v>34609</v>
      </c>
    </row>
    <row r="50" spans="1:33" x14ac:dyDescent="0.25">
      <c r="A50" t="s">
        <v>34462</v>
      </c>
      <c r="B50" t="s">
        <v>298</v>
      </c>
      <c r="C50" t="s">
        <v>300</v>
      </c>
      <c r="D50">
        <v>21.99</v>
      </c>
      <c r="E50">
        <v>15</v>
      </c>
      <c r="F50">
        <v>88694</v>
      </c>
      <c r="G50">
        <v>67667</v>
      </c>
      <c r="H50">
        <v>22.26</v>
      </c>
      <c r="I50">
        <v>26.04</v>
      </c>
      <c r="J50">
        <v>0</v>
      </c>
      <c r="K50">
        <v>1</v>
      </c>
      <c r="L50">
        <v>7</v>
      </c>
      <c r="M50">
        <v>7</v>
      </c>
      <c r="N50">
        <v>4.5</v>
      </c>
      <c r="O50">
        <v>5</v>
      </c>
      <c r="P50">
        <v>77</v>
      </c>
      <c r="Q50">
        <v>23</v>
      </c>
      <c r="R50">
        <v>58</v>
      </c>
      <c r="S50" t="s">
        <v>34605</v>
      </c>
      <c r="U50">
        <v>0.110231</v>
      </c>
      <c r="V50">
        <v>5.87</v>
      </c>
      <c r="W50">
        <v>3.3</v>
      </c>
      <c r="X50" t="s">
        <v>297</v>
      </c>
      <c r="Y50" t="s">
        <v>34610</v>
      </c>
      <c r="AA50" t="s">
        <v>145</v>
      </c>
      <c r="AB50" t="s">
        <v>34611</v>
      </c>
      <c r="AC50" t="s">
        <v>34465</v>
      </c>
      <c r="AD50" t="s">
        <v>28972</v>
      </c>
      <c r="AE50" t="s">
        <v>34608</v>
      </c>
      <c r="AF50" t="s">
        <v>34612</v>
      </c>
    </row>
    <row r="51" spans="1:33" x14ac:dyDescent="0.25">
      <c r="A51" t="s">
        <v>34462</v>
      </c>
      <c r="B51" t="s">
        <v>303</v>
      </c>
      <c r="C51" t="s">
        <v>305</v>
      </c>
      <c r="D51">
        <v>21.99</v>
      </c>
      <c r="E51">
        <v>15</v>
      </c>
      <c r="F51">
        <v>88694</v>
      </c>
      <c r="G51">
        <v>67388</v>
      </c>
      <c r="H51">
        <v>22.11</v>
      </c>
      <c r="I51">
        <v>25.99</v>
      </c>
      <c r="J51">
        <v>0</v>
      </c>
      <c r="K51">
        <v>1</v>
      </c>
      <c r="L51">
        <v>3</v>
      </c>
      <c r="M51">
        <v>2</v>
      </c>
      <c r="N51">
        <v>4.5</v>
      </c>
      <c r="O51">
        <v>6</v>
      </c>
      <c r="P51">
        <v>77</v>
      </c>
      <c r="Q51">
        <v>16</v>
      </c>
      <c r="R51">
        <v>54</v>
      </c>
      <c r="S51" t="s">
        <v>34605</v>
      </c>
      <c r="U51">
        <v>0.14991415999999999</v>
      </c>
      <c r="V51">
        <v>7.08</v>
      </c>
      <c r="W51">
        <v>3.3</v>
      </c>
      <c r="X51" t="s">
        <v>302</v>
      </c>
      <c r="Y51" t="s">
        <v>34613</v>
      </c>
      <c r="AA51" t="s">
        <v>145</v>
      </c>
      <c r="AB51" t="s">
        <v>34614</v>
      </c>
      <c r="AC51" t="s">
        <v>34465</v>
      </c>
      <c r="AD51" t="s">
        <v>28972</v>
      </c>
      <c r="AE51" t="s">
        <v>34615</v>
      </c>
      <c r="AF51" t="s">
        <v>34612</v>
      </c>
    </row>
    <row r="52" spans="1:33" x14ac:dyDescent="0.25">
      <c r="A52" t="s">
        <v>34462</v>
      </c>
      <c r="B52" t="s">
        <v>308</v>
      </c>
      <c r="C52" t="s">
        <v>310</v>
      </c>
      <c r="D52">
        <v>29.99</v>
      </c>
      <c r="E52">
        <v>29.99</v>
      </c>
      <c r="F52">
        <v>100566</v>
      </c>
      <c r="G52">
        <v>65535</v>
      </c>
      <c r="H52">
        <v>29.57</v>
      </c>
      <c r="I52">
        <v>29.79</v>
      </c>
      <c r="J52">
        <v>0.1</v>
      </c>
      <c r="K52">
        <v>1</v>
      </c>
      <c r="L52">
        <v>1</v>
      </c>
      <c r="M52">
        <v>1</v>
      </c>
      <c r="N52">
        <v>4.5</v>
      </c>
      <c r="O52">
        <v>4</v>
      </c>
      <c r="P52">
        <v>77</v>
      </c>
      <c r="Q52">
        <v>11</v>
      </c>
      <c r="R52">
        <v>32</v>
      </c>
      <c r="S52" t="s">
        <v>34605</v>
      </c>
      <c r="U52">
        <v>0.18077884</v>
      </c>
      <c r="V52">
        <v>7.24</v>
      </c>
      <c r="W52">
        <v>4.5</v>
      </c>
      <c r="X52" t="s">
        <v>307</v>
      </c>
      <c r="Y52" t="s">
        <v>34616</v>
      </c>
      <c r="AA52" t="s">
        <v>76</v>
      </c>
      <c r="AB52" t="s">
        <v>34617</v>
      </c>
      <c r="AC52" t="s">
        <v>34465</v>
      </c>
      <c r="AD52" t="s">
        <v>28972</v>
      </c>
      <c r="AE52" t="s">
        <v>34615</v>
      </c>
      <c r="AF52" t="s">
        <v>34618</v>
      </c>
    </row>
    <row r="53" spans="1:33" x14ac:dyDescent="0.25">
      <c r="A53" t="s">
        <v>34462</v>
      </c>
      <c r="B53" t="s">
        <v>313</v>
      </c>
      <c r="C53" t="s">
        <v>315</v>
      </c>
      <c r="D53">
        <v>27.98</v>
      </c>
      <c r="E53">
        <v>22.99</v>
      </c>
      <c r="F53">
        <v>100566</v>
      </c>
      <c r="G53">
        <v>68292</v>
      </c>
      <c r="H53">
        <v>29.12</v>
      </c>
      <c r="I53">
        <v>29.55</v>
      </c>
      <c r="J53">
        <v>0</v>
      </c>
      <c r="K53">
        <v>1</v>
      </c>
      <c r="L53">
        <v>2</v>
      </c>
      <c r="M53">
        <v>2</v>
      </c>
      <c r="N53">
        <v>4.5</v>
      </c>
      <c r="O53">
        <v>7</v>
      </c>
      <c r="P53">
        <v>77</v>
      </c>
      <c r="Q53">
        <v>12</v>
      </c>
      <c r="R53">
        <v>39</v>
      </c>
      <c r="S53" t="s">
        <v>34605</v>
      </c>
      <c r="U53">
        <v>0.14991415999999999</v>
      </c>
      <c r="V53">
        <v>5.87</v>
      </c>
      <c r="W53">
        <v>4.2</v>
      </c>
      <c r="X53" t="s">
        <v>312</v>
      </c>
      <c r="Y53" t="s">
        <v>34619</v>
      </c>
      <c r="AB53" t="s">
        <v>34620</v>
      </c>
      <c r="AC53" t="s">
        <v>34465</v>
      </c>
      <c r="AD53" t="s">
        <v>28972</v>
      </c>
      <c r="AE53" t="s">
        <v>34621</v>
      </c>
      <c r="AF53" t="s">
        <v>34622</v>
      </c>
    </row>
    <row r="54" spans="1:33" x14ac:dyDescent="0.25">
      <c r="A54" t="s">
        <v>34462</v>
      </c>
      <c r="B54" t="s">
        <v>318</v>
      </c>
      <c r="C54" t="s">
        <v>320</v>
      </c>
      <c r="D54">
        <v>21.99</v>
      </c>
      <c r="E54">
        <v>15</v>
      </c>
      <c r="F54">
        <v>88694</v>
      </c>
      <c r="G54">
        <v>68137</v>
      </c>
      <c r="H54">
        <v>22.47</v>
      </c>
      <c r="I54">
        <v>26.23</v>
      </c>
      <c r="J54">
        <v>0</v>
      </c>
      <c r="K54">
        <v>1</v>
      </c>
      <c r="L54">
        <v>2</v>
      </c>
      <c r="M54">
        <v>2</v>
      </c>
      <c r="N54">
        <v>4.5</v>
      </c>
      <c r="O54">
        <v>3</v>
      </c>
      <c r="P54">
        <v>77</v>
      </c>
      <c r="Q54">
        <v>16</v>
      </c>
      <c r="R54">
        <v>46</v>
      </c>
      <c r="S54" t="s">
        <v>34605</v>
      </c>
      <c r="U54">
        <v>0.24030357999999999</v>
      </c>
      <c r="V54">
        <v>10.75</v>
      </c>
      <c r="W54">
        <v>3.3</v>
      </c>
      <c r="X54" t="s">
        <v>317</v>
      </c>
      <c r="Y54" t="s">
        <v>34623</v>
      </c>
      <c r="AA54" t="s">
        <v>145</v>
      </c>
      <c r="AB54" t="s">
        <v>34624</v>
      </c>
      <c r="AC54" t="s">
        <v>34465</v>
      </c>
      <c r="AD54" t="s">
        <v>28972</v>
      </c>
      <c r="AE54" t="s">
        <v>34621</v>
      </c>
      <c r="AF54" t="s">
        <v>34612</v>
      </c>
    </row>
    <row r="55" spans="1:33" x14ac:dyDescent="0.25">
      <c r="A55" t="s">
        <v>34462</v>
      </c>
      <c r="B55" t="s">
        <v>323</v>
      </c>
      <c r="C55" t="s">
        <v>325</v>
      </c>
      <c r="D55">
        <v>21.99</v>
      </c>
      <c r="E55">
        <v>15</v>
      </c>
      <c r="F55">
        <v>93732</v>
      </c>
      <c r="G55">
        <v>67416</v>
      </c>
      <c r="H55">
        <v>22.3</v>
      </c>
      <c r="I55">
        <v>26.09</v>
      </c>
      <c r="J55">
        <v>0</v>
      </c>
      <c r="K55">
        <v>1</v>
      </c>
      <c r="L55">
        <v>2</v>
      </c>
      <c r="M55">
        <v>1</v>
      </c>
      <c r="N55">
        <v>4.5</v>
      </c>
      <c r="O55">
        <v>5</v>
      </c>
      <c r="P55">
        <v>77</v>
      </c>
      <c r="Q55">
        <v>16</v>
      </c>
      <c r="R55">
        <v>51</v>
      </c>
      <c r="S55" t="s">
        <v>34605</v>
      </c>
      <c r="U55">
        <v>0.29982831999999998</v>
      </c>
      <c r="V55">
        <v>3.9</v>
      </c>
      <c r="W55">
        <v>3.3</v>
      </c>
      <c r="X55" t="s">
        <v>322</v>
      </c>
      <c r="Y55" t="s">
        <v>34625</v>
      </c>
      <c r="AA55" t="s">
        <v>145</v>
      </c>
      <c r="AB55" t="s">
        <v>34626</v>
      </c>
      <c r="AC55" t="s">
        <v>34465</v>
      </c>
      <c r="AD55" t="s">
        <v>28972</v>
      </c>
      <c r="AE55" t="s">
        <v>34627</v>
      </c>
      <c r="AF55" t="s">
        <v>34612</v>
      </c>
    </row>
    <row r="56" spans="1:33" x14ac:dyDescent="0.25">
      <c r="A56" t="s">
        <v>34462</v>
      </c>
      <c r="B56" t="s">
        <v>327</v>
      </c>
      <c r="C56" t="s">
        <v>329</v>
      </c>
      <c r="F56">
        <v>100566</v>
      </c>
      <c r="G56">
        <v>72014</v>
      </c>
      <c r="J56">
        <v>1</v>
      </c>
      <c r="K56">
        <v>1</v>
      </c>
      <c r="N56">
        <v>4.5999999999999996</v>
      </c>
      <c r="O56">
        <v>5</v>
      </c>
      <c r="P56">
        <v>40</v>
      </c>
      <c r="Q56">
        <v>4</v>
      </c>
      <c r="R56">
        <v>14</v>
      </c>
      <c r="S56" t="s">
        <v>34605</v>
      </c>
      <c r="U56">
        <v>0.29100984000000002</v>
      </c>
      <c r="V56">
        <v>7.72</v>
      </c>
      <c r="X56" t="s">
        <v>326</v>
      </c>
      <c r="Y56" t="s">
        <v>34628</v>
      </c>
      <c r="AB56" t="s">
        <v>34629</v>
      </c>
      <c r="AC56" t="s">
        <v>34465</v>
      </c>
      <c r="AD56" t="s">
        <v>28972</v>
      </c>
      <c r="AE56" t="s">
        <v>34627</v>
      </c>
      <c r="AF56" t="s">
        <v>34609</v>
      </c>
    </row>
    <row r="57" spans="1:33" x14ac:dyDescent="0.25">
      <c r="A57" t="s">
        <v>34462</v>
      </c>
      <c r="B57" t="s">
        <v>332</v>
      </c>
      <c r="C57" t="s">
        <v>335</v>
      </c>
      <c r="D57">
        <v>33.74</v>
      </c>
      <c r="E57">
        <v>33.74</v>
      </c>
      <c r="F57">
        <v>116912</v>
      </c>
      <c r="G57">
        <v>103743</v>
      </c>
      <c r="H57">
        <v>33.71</v>
      </c>
      <c r="I57">
        <v>35.35</v>
      </c>
      <c r="J57">
        <v>0</v>
      </c>
      <c r="K57">
        <v>0</v>
      </c>
      <c r="L57">
        <v>1</v>
      </c>
      <c r="M57">
        <v>1</v>
      </c>
      <c r="O57">
        <v>0</v>
      </c>
      <c r="Q57">
        <v>12</v>
      </c>
      <c r="R57">
        <v>56</v>
      </c>
      <c r="S57" t="s">
        <v>34630</v>
      </c>
      <c r="U57">
        <v>0.66138600000000003</v>
      </c>
      <c r="V57">
        <v>6.14</v>
      </c>
      <c r="W57">
        <v>5.74</v>
      </c>
      <c r="X57" t="s">
        <v>331</v>
      </c>
      <c r="Y57" t="s">
        <v>336</v>
      </c>
      <c r="Z57" t="s">
        <v>336</v>
      </c>
      <c r="AA57" t="s">
        <v>337</v>
      </c>
      <c r="AB57" t="s">
        <v>34631</v>
      </c>
      <c r="AC57" t="s">
        <v>34493</v>
      </c>
      <c r="AD57" t="s">
        <v>9232</v>
      </c>
      <c r="AE57" t="s">
        <v>34533</v>
      </c>
      <c r="AF57" t="s">
        <v>34632</v>
      </c>
      <c r="AG57" t="s">
        <v>34633</v>
      </c>
    </row>
    <row r="58" spans="1:33" x14ac:dyDescent="0.25">
      <c r="A58" t="s">
        <v>34462</v>
      </c>
      <c r="B58" t="s">
        <v>339</v>
      </c>
      <c r="C58" t="s">
        <v>341</v>
      </c>
      <c r="D58">
        <v>50.24</v>
      </c>
      <c r="E58">
        <v>50.24</v>
      </c>
      <c r="F58">
        <v>111915</v>
      </c>
      <c r="G58">
        <v>105320</v>
      </c>
      <c r="H58">
        <v>33.74</v>
      </c>
      <c r="I58">
        <v>41</v>
      </c>
      <c r="J58">
        <v>0.34</v>
      </c>
      <c r="K58">
        <v>0.78</v>
      </c>
      <c r="L58">
        <v>1</v>
      </c>
      <c r="M58">
        <v>1</v>
      </c>
      <c r="O58">
        <v>0</v>
      </c>
      <c r="Q58">
        <v>6</v>
      </c>
      <c r="R58">
        <v>45</v>
      </c>
      <c r="S58" t="s">
        <v>34630</v>
      </c>
      <c r="U58">
        <v>0.66138600000000003</v>
      </c>
      <c r="V58">
        <v>6.14</v>
      </c>
      <c r="X58" t="s">
        <v>338</v>
      </c>
      <c r="Y58" t="s">
        <v>336</v>
      </c>
      <c r="Z58" t="s">
        <v>336</v>
      </c>
      <c r="AA58" t="s">
        <v>343</v>
      </c>
      <c r="AB58" t="s">
        <v>34634</v>
      </c>
      <c r="AC58" t="s">
        <v>34465</v>
      </c>
      <c r="AD58" t="s">
        <v>9232</v>
      </c>
      <c r="AE58" t="s">
        <v>34469</v>
      </c>
      <c r="AF58" t="s">
        <v>34635</v>
      </c>
      <c r="AG58" t="s">
        <v>34633</v>
      </c>
    </row>
    <row r="59" spans="1:33" x14ac:dyDescent="0.25">
      <c r="A59" t="s">
        <v>34462</v>
      </c>
      <c r="B59" t="s">
        <v>345</v>
      </c>
      <c r="C59" t="s">
        <v>347</v>
      </c>
      <c r="D59">
        <v>31.72</v>
      </c>
      <c r="E59">
        <v>31.72</v>
      </c>
      <c r="F59">
        <v>111915</v>
      </c>
      <c r="G59">
        <v>105981</v>
      </c>
      <c r="H59">
        <v>33.74</v>
      </c>
      <c r="I59">
        <v>36.11</v>
      </c>
      <c r="J59">
        <v>0</v>
      </c>
      <c r="K59">
        <v>0</v>
      </c>
      <c r="L59">
        <v>2</v>
      </c>
      <c r="M59">
        <v>2</v>
      </c>
      <c r="O59">
        <v>0</v>
      </c>
      <c r="Q59">
        <v>9</v>
      </c>
      <c r="R59">
        <v>45</v>
      </c>
      <c r="S59" t="s">
        <v>34630</v>
      </c>
      <c r="U59">
        <v>0.86862028000000002</v>
      </c>
      <c r="V59">
        <v>6.14</v>
      </c>
      <c r="W59">
        <v>5.4</v>
      </c>
      <c r="X59" t="s">
        <v>344</v>
      </c>
      <c r="Y59" t="s">
        <v>336</v>
      </c>
      <c r="Z59" t="s">
        <v>336</v>
      </c>
      <c r="AA59" t="s">
        <v>337</v>
      </c>
      <c r="AB59" t="s">
        <v>34636</v>
      </c>
      <c r="AC59" t="s">
        <v>34493</v>
      </c>
      <c r="AD59" t="s">
        <v>9232</v>
      </c>
      <c r="AE59" t="s">
        <v>34469</v>
      </c>
      <c r="AF59" t="s">
        <v>34632</v>
      </c>
      <c r="AG59" t="s">
        <v>34633</v>
      </c>
    </row>
    <row r="60" spans="1:33" x14ac:dyDescent="0.25">
      <c r="A60" t="s">
        <v>34462</v>
      </c>
      <c r="B60" t="s">
        <v>349</v>
      </c>
      <c r="C60" t="s">
        <v>351</v>
      </c>
      <c r="D60">
        <v>44.99</v>
      </c>
      <c r="E60">
        <v>44.99</v>
      </c>
      <c r="F60">
        <v>111915</v>
      </c>
      <c r="G60">
        <v>102551</v>
      </c>
      <c r="H60">
        <v>24.6</v>
      </c>
      <c r="I60">
        <v>31.76</v>
      </c>
      <c r="J60">
        <v>0</v>
      </c>
      <c r="K60">
        <v>0.74</v>
      </c>
      <c r="L60">
        <v>2</v>
      </c>
      <c r="M60">
        <v>2</v>
      </c>
      <c r="N60">
        <v>3.2</v>
      </c>
      <c r="O60">
        <v>4</v>
      </c>
      <c r="P60">
        <v>4</v>
      </c>
      <c r="Q60">
        <v>25</v>
      </c>
      <c r="R60">
        <v>68</v>
      </c>
      <c r="S60" t="s">
        <v>34630</v>
      </c>
      <c r="U60">
        <v>0.78484472000000005</v>
      </c>
      <c r="V60">
        <v>6.14</v>
      </c>
      <c r="X60" t="s">
        <v>348</v>
      </c>
      <c r="Y60" t="s">
        <v>336</v>
      </c>
      <c r="Z60" t="s">
        <v>336</v>
      </c>
      <c r="AA60" t="s">
        <v>353</v>
      </c>
      <c r="AB60" t="s">
        <v>34637</v>
      </c>
      <c r="AC60" t="s">
        <v>34465</v>
      </c>
      <c r="AD60" t="s">
        <v>9232</v>
      </c>
      <c r="AE60" t="s">
        <v>34469</v>
      </c>
      <c r="AF60" t="s">
        <v>34638</v>
      </c>
      <c r="AG60" t="s">
        <v>34639</v>
      </c>
    </row>
    <row r="61" spans="1:33" x14ac:dyDescent="0.25">
      <c r="A61" t="s">
        <v>34462</v>
      </c>
      <c r="B61" t="s">
        <v>355</v>
      </c>
      <c r="C61" t="s">
        <v>358</v>
      </c>
      <c r="D61">
        <v>25.65</v>
      </c>
      <c r="E61">
        <v>25.65</v>
      </c>
      <c r="F61">
        <v>468816</v>
      </c>
      <c r="G61">
        <v>571194</v>
      </c>
      <c r="H61">
        <v>36.450000000000003</v>
      </c>
      <c r="I61">
        <v>36.450000000000003</v>
      </c>
      <c r="J61">
        <v>0</v>
      </c>
      <c r="K61">
        <v>1</v>
      </c>
      <c r="L61">
        <v>1</v>
      </c>
      <c r="M61">
        <v>1</v>
      </c>
      <c r="O61">
        <v>0</v>
      </c>
      <c r="Q61">
        <v>12</v>
      </c>
      <c r="R61">
        <v>51</v>
      </c>
      <c r="S61" t="s">
        <v>34640</v>
      </c>
      <c r="U61">
        <v>0.81791402000000002</v>
      </c>
      <c r="V61">
        <v>5.87</v>
      </c>
      <c r="X61" t="s">
        <v>354</v>
      </c>
      <c r="Z61" t="s">
        <v>360</v>
      </c>
      <c r="AA61" t="s">
        <v>361</v>
      </c>
      <c r="AB61" t="s">
        <v>34641</v>
      </c>
      <c r="AC61" t="s">
        <v>34465</v>
      </c>
      <c r="AD61" t="s">
        <v>18570</v>
      </c>
      <c r="AE61" t="s">
        <v>20051</v>
      </c>
      <c r="AF61" t="s">
        <v>34642</v>
      </c>
      <c r="AG61" t="s">
        <v>34643</v>
      </c>
    </row>
    <row r="62" spans="1:33" x14ac:dyDescent="0.25">
      <c r="A62" t="s">
        <v>34462</v>
      </c>
      <c r="B62" t="s">
        <v>363</v>
      </c>
      <c r="C62" t="s">
        <v>365</v>
      </c>
      <c r="D62">
        <v>25.65</v>
      </c>
      <c r="E62">
        <v>25.65</v>
      </c>
      <c r="F62">
        <v>417814</v>
      </c>
      <c r="G62">
        <v>585201</v>
      </c>
      <c r="H62">
        <v>38.19</v>
      </c>
      <c r="I62">
        <v>38.19</v>
      </c>
      <c r="J62">
        <v>0</v>
      </c>
      <c r="K62">
        <v>1</v>
      </c>
      <c r="L62">
        <v>1</v>
      </c>
      <c r="M62">
        <v>1</v>
      </c>
      <c r="N62">
        <v>4.4000000000000004</v>
      </c>
      <c r="O62">
        <v>0</v>
      </c>
      <c r="P62">
        <v>51</v>
      </c>
      <c r="Q62">
        <v>12</v>
      </c>
      <c r="R62">
        <v>37</v>
      </c>
      <c r="S62" t="s">
        <v>34640</v>
      </c>
      <c r="U62">
        <v>0.81791402000000002</v>
      </c>
      <c r="V62">
        <v>5.87</v>
      </c>
      <c r="X62" t="s">
        <v>362</v>
      </c>
      <c r="Z62" t="s">
        <v>360</v>
      </c>
      <c r="AA62" t="s">
        <v>367</v>
      </c>
      <c r="AB62" t="s">
        <v>34644</v>
      </c>
      <c r="AC62" t="s">
        <v>34465</v>
      </c>
      <c r="AD62" t="s">
        <v>18570</v>
      </c>
      <c r="AE62" t="s">
        <v>20051</v>
      </c>
      <c r="AF62" t="s">
        <v>34645</v>
      </c>
      <c r="AG62" t="s">
        <v>34646</v>
      </c>
    </row>
    <row r="63" spans="1:33" x14ac:dyDescent="0.25">
      <c r="A63" t="s">
        <v>34462</v>
      </c>
      <c r="B63" t="s">
        <v>369</v>
      </c>
      <c r="C63" t="s">
        <v>372</v>
      </c>
      <c r="D63">
        <v>105.15</v>
      </c>
      <c r="E63">
        <v>105.15</v>
      </c>
      <c r="F63">
        <v>588067</v>
      </c>
      <c r="G63">
        <v>415513</v>
      </c>
      <c r="H63">
        <v>57.76</v>
      </c>
      <c r="I63">
        <v>72.78</v>
      </c>
      <c r="J63">
        <v>0.26</v>
      </c>
      <c r="K63">
        <v>0.35</v>
      </c>
      <c r="L63">
        <v>2</v>
      </c>
      <c r="M63">
        <v>1</v>
      </c>
      <c r="N63">
        <v>3.9</v>
      </c>
      <c r="O63">
        <v>0</v>
      </c>
      <c r="P63">
        <v>8</v>
      </c>
      <c r="Q63">
        <v>7</v>
      </c>
      <c r="R63">
        <v>43</v>
      </c>
      <c r="S63" t="s">
        <v>34647</v>
      </c>
      <c r="U63">
        <v>1.51898318</v>
      </c>
      <c r="V63">
        <v>11.89</v>
      </c>
      <c r="X63" t="s">
        <v>368</v>
      </c>
      <c r="Y63" t="s">
        <v>373</v>
      </c>
      <c r="Z63" t="s">
        <v>373</v>
      </c>
      <c r="AA63" t="s">
        <v>374</v>
      </c>
      <c r="AB63" t="s">
        <v>34648</v>
      </c>
      <c r="AC63" t="s">
        <v>34465</v>
      </c>
      <c r="AD63" t="s">
        <v>9232</v>
      </c>
      <c r="AE63" t="s">
        <v>34649</v>
      </c>
      <c r="AF63" t="s">
        <v>34650</v>
      </c>
      <c r="AG63" t="s">
        <v>34651</v>
      </c>
    </row>
    <row r="64" spans="1:33" x14ac:dyDescent="0.25">
      <c r="A64" t="s">
        <v>34462</v>
      </c>
      <c r="B64" t="s">
        <v>376</v>
      </c>
      <c r="C64" t="s">
        <v>378</v>
      </c>
      <c r="D64">
        <v>90</v>
      </c>
      <c r="E64">
        <v>90</v>
      </c>
      <c r="F64">
        <v>762036</v>
      </c>
      <c r="G64">
        <v>417406</v>
      </c>
      <c r="H64">
        <v>60.1</v>
      </c>
      <c r="I64">
        <v>68.28</v>
      </c>
      <c r="J64">
        <v>0</v>
      </c>
      <c r="K64">
        <v>0</v>
      </c>
      <c r="L64">
        <v>2</v>
      </c>
      <c r="M64">
        <v>1</v>
      </c>
      <c r="N64">
        <v>3.3</v>
      </c>
      <c r="O64">
        <v>0</v>
      </c>
      <c r="P64">
        <v>5</v>
      </c>
      <c r="Q64">
        <v>7</v>
      </c>
      <c r="R64">
        <v>27</v>
      </c>
      <c r="S64" t="s">
        <v>34647</v>
      </c>
      <c r="U64">
        <v>1.6799204400000001</v>
      </c>
      <c r="V64">
        <v>11.89</v>
      </c>
      <c r="W64">
        <v>15.3</v>
      </c>
      <c r="X64" t="s">
        <v>375</v>
      </c>
      <c r="Y64" t="s">
        <v>373</v>
      </c>
      <c r="Z64" t="s">
        <v>373</v>
      </c>
      <c r="AA64" t="s">
        <v>374</v>
      </c>
      <c r="AB64" t="s">
        <v>34652</v>
      </c>
      <c r="AC64" t="s">
        <v>34493</v>
      </c>
      <c r="AD64" t="s">
        <v>9232</v>
      </c>
      <c r="AE64" t="s">
        <v>34469</v>
      </c>
      <c r="AF64" t="s">
        <v>34650</v>
      </c>
      <c r="AG64" t="s">
        <v>34651</v>
      </c>
    </row>
    <row r="65" spans="1:33" x14ac:dyDescent="0.25">
      <c r="A65" t="s">
        <v>34462</v>
      </c>
      <c r="B65" t="s">
        <v>381</v>
      </c>
      <c r="C65" t="s">
        <v>384</v>
      </c>
      <c r="D65">
        <v>41.2</v>
      </c>
      <c r="E65">
        <v>33.25</v>
      </c>
      <c r="F65">
        <v>517471</v>
      </c>
      <c r="G65">
        <v>914059</v>
      </c>
      <c r="H65">
        <v>29.07</v>
      </c>
      <c r="I65">
        <v>26.76</v>
      </c>
      <c r="J65">
        <v>0</v>
      </c>
      <c r="K65">
        <v>0</v>
      </c>
      <c r="L65">
        <v>3</v>
      </c>
      <c r="M65">
        <v>3</v>
      </c>
      <c r="N65">
        <v>5</v>
      </c>
      <c r="O65">
        <v>0</v>
      </c>
      <c r="P65">
        <v>1</v>
      </c>
      <c r="Q65">
        <v>8</v>
      </c>
      <c r="R65">
        <v>22</v>
      </c>
      <c r="S65" t="s">
        <v>34653</v>
      </c>
      <c r="U65">
        <v>0.22046199999999999</v>
      </c>
      <c r="V65">
        <v>5.9</v>
      </c>
      <c r="W65">
        <v>7.01</v>
      </c>
      <c r="X65" t="s">
        <v>380</v>
      </c>
      <c r="Y65" t="s">
        <v>386</v>
      </c>
      <c r="Z65" t="s">
        <v>386</v>
      </c>
      <c r="AA65" t="s">
        <v>387</v>
      </c>
      <c r="AB65" t="s">
        <v>34654</v>
      </c>
      <c r="AC65" t="s">
        <v>34493</v>
      </c>
      <c r="AD65" t="s">
        <v>7954</v>
      </c>
      <c r="AE65" t="s">
        <v>34474</v>
      </c>
      <c r="AF65" t="s">
        <v>34655</v>
      </c>
      <c r="AG65" t="s">
        <v>34656</v>
      </c>
    </row>
    <row r="66" spans="1:33" x14ac:dyDescent="0.25">
      <c r="A66" t="s">
        <v>34462</v>
      </c>
      <c r="B66" t="s">
        <v>389</v>
      </c>
      <c r="C66" t="s">
        <v>391</v>
      </c>
      <c r="D66">
        <v>42.3</v>
      </c>
      <c r="E66">
        <v>33.25</v>
      </c>
      <c r="F66">
        <v>581091</v>
      </c>
      <c r="G66">
        <v>929408</v>
      </c>
      <c r="H66">
        <v>29.27</v>
      </c>
      <c r="I66">
        <v>28.92</v>
      </c>
      <c r="J66">
        <v>0</v>
      </c>
      <c r="K66">
        <v>0</v>
      </c>
      <c r="L66">
        <v>2</v>
      </c>
      <c r="M66">
        <v>1</v>
      </c>
      <c r="N66">
        <v>5</v>
      </c>
      <c r="O66">
        <v>0</v>
      </c>
      <c r="P66">
        <v>1</v>
      </c>
      <c r="Q66">
        <v>11</v>
      </c>
      <c r="R66">
        <v>25</v>
      </c>
      <c r="S66" t="s">
        <v>34653</v>
      </c>
      <c r="U66">
        <v>0.2314851</v>
      </c>
      <c r="V66">
        <v>6.14</v>
      </c>
      <c r="W66">
        <v>7.19</v>
      </c>
      <c r="X66" t="s">
        <v>388</v>
      </c>
      <c r="Y66" t="s">
        <v>386</v>
      </c>
      <c r="Z66" t="s">
        <v>386</v>
      </c>
      <c r="AA66" t="s">
        <v>387</v>
      </c>
      <c r="AB66" t="s">
        <v>34657</v>
      </c>
      <c r="AC66" t="s">
        <v>34493</v>
      </c>
      <c r="AD66" t="s">
        <v>7954</v>
      </c>
      <c r="AE66" t="s">
        <v>34533</v>
      </c>
      <c r="AF66" t="s">
        <v>34655</v>
      </c>
      <c r="AG66" t="s">
        <v>34656</v>
      </c>
    </row>
    <row r="67" spans="1:33" x14ac:dyDescent="0.25">
      <c r="A67" t="s">
        <v>34462</v>
      </c>
      <c r="B67" t="s">
        <v>393</v>
      </c>
      <c r="C67" t="s">
        <v>395</v>
      </c>
      <c r="D67">
        <v>42.3</v>
      </c>
      <c r="E67">
        <v>33.25</v>
      </c>
      <c r="F67">
        <v>517471</v>
      </c>
      <c r="G67">
        <v>917789</v>
      </c>
      <c r="H67">
        <v>40.56</v>
      </c>
      <c r="I67">
        <v>36.119999999999997</v>
      </c>
      <c r="J67">
        <v>0</v>
      </c>
      <c r="K67">
        <v>0</v>
      </c>
      <c r="L67">
        <v>3</v>
      </c>
      <c r="M67">
        <v>3</v>
      </c>
      <c r="N67">
        <v>5</v>
      </c>
      <c r="O67">
        <v>0</v>
      </c>
      <c r="P67">
        <v>1</v>
      </c>
      <c r="Q67">
        <v>12</v>
      </c>
      <c r="R67">
        <v>23</v>
      </c>
      <c r="S67" t="s">
        <v>34653</v>
      </c>
      <c r="U67">
        <v>0.24030357999999999</v>
      </c>
      <c r="V67">
        <v>5.9</v>
      </c>
      <c r="W67">
        <v>7.19</v>
      </c>
      <c r="X67" t="s">
        <v>392</v>
      </c>
      <c r="Y67" t="s">
        <v>386</v>
      </c>
      <c r="Z67" t="s">
        <v>386</v>
      </c>
      <c r="AA67" t="s">
        <v>387</v>
      </c>
      <c r="AB67" t="s">
        <v>34658</v>
      </c>
      <c r="AC67" t="s">
        <v>34493</v>
      </c>
      <c r="AD67" t="s">
        <v>7954</v>
      </c>
      <c r="AE67" t="s">
        <v>14701</v>
      </c>
      <c r="AF67" t="s">
        <v>34655</v>
      </c>
      <c r="AG67" t="s">
        <v>34656</v>
      </c>
    </row>
    <row r="68" spans="1:33" x14ac:dyDescent="0.25">
      <c r="A68" t="s">
        <v>34462</v>
      </c>
      <c r="B68" t="s">
        <v>398</v>
      </c>
      <c r="C68" t="s">
        <v>400</v>
      </c>
      <c r="D68">
        <v>41.2</v>
      </c>
      <c r="E68">
        <v>33.25</v>
      </c>
      <c r="F68">
        <v>517471</v>
      </c>
      <c r="G68">
        <v>914327</v>
      </c>
      <c r="H68">
        <v>39.86</v>
      </c>
      <c r="I68">
        <v>40.700000000000003</v>
      </c>
      <c r="J68">
        <v>0</v>
      </c>
      <c r="K68">
        <v>0</v>
      </c>
      <c r="L68">
        <v>3</v>
      </c>
      <c r="M68">
        <v>2</v>
      </c>
      <c r="N68">
        <v>5</v>
      </c>
      <c r="O68">
        <v>0</v>
      </c>
      <c r="P68">
        <v>1</v>
      </c>
      <c r="Q68">
        <v>9</v>
      </c>
      <c r="R68">
        <v>22</v>
      </c>
      <c r="S68" t="s">
        <v>34653</v>
      </c>
      <c r="U68">
        <v>0.26014515999999999</v>
      </c>
      <c r="V68">
        <v>6.14</v>
      </c>
      <c r="W68">
        <v>7.01</v>
      </c>
      <c r="X68" t="s">
        <v>397</v>
      </c>
      <c r="Y68" t="s">
        <v>386</v>
      </c>
      <c r="Z68" t="s">
        <v>386</v>
      </c>
      <c r="AA68" t="s">
        <v>387</v>
      </c>
      <c r="AB68" t="s">
        <v>34659</v>
      </c>
      <c r="AC68" t="s">
        <v>34493</v>
      </c>
      <c r="AD68" t="s">
        <v>7954</v>
      </c>
      <c r="AE68" t="s">
        <v>34525</v>
      </c>
      <c r="AF68" t="s">
        <v>34655</v>
      </c>
      <c r="AG68" t="s">
        <v>34656</v>
      </c>
    </row>
    <row r="69" spans="1:33" x14ac:dyDescent="0.25">
      <c r="A69" t="s">
        <v>34462</v>
      </c>
      <c r="B69" t="s">
        <v>402</v>
      </c>
      <c r="C69" t="s">
        <v>404</v>
      </c>
      <c r="D69">
        <v>42.3</v>
      </c>
      <c r="E69">
        <v>33.25</v>
      </c>
      <c r="F69">
        <v>581091</v>
      </c>
      <c r="G69">
        <v>903405</v>
      </c>
      <c r="H69">
        <v>33.630000000000003</v>
      </c>
      <c r="I69">
        <v>35.1</v>
      </c>
      <c r="J69">
        <v>0</v>
      </c>
      <c r="K69">
        <v>0</v>
      </c>
      <c r="L69">
        <v>2</v>
      </c>
      <c r="M69">
        <v>2</v>
      </c>
      <c r="N69">
        <v>5</v>
      </c>
      <c r="O69">
        <v>0</v>
      </c>
      <c r="P69">
        <v>1</v>
      </c>
      <c r="Q69">
        <v>9</v>
      </c>
      <c r="R69">
        <v>19</v>
      </c>
      <c r="S69" t="s">
        <v>34653</v>
      </c>
      <c r="U69">
        <v>0.29100984000000002</v>
      </c>
      <c r="V69">
        <v>5.12</v>
      </c>
      <c r="W69">
        <v>7.19</v>
      </c>
      <c r="X69" t="s">
        <v>401</v>
      </c>
      <c r="Y69" t="s">
        <v>386</v>
      </c>
      <c r="Z69" t="s">
        <v>386</v>
      </c>
      <c r="AA69" t="s">
        <v>387</v>
      </c>
      <c r="AB69" t="s">
        <v>34660</v>
      </c>
      <c r="AC69" t="s">
        <v>34493</v>
      </c>
      <c r="AD69" t="s">
        <v>7954</v>
      </c>
      <c r="AE69" t="s">
        <v>34649</v>
      </c>
      <c r="AF69" t="s">
        <v>34655</v>
      </c>
      <c r="AG69" t="s">
        <v>34656</v>
      </c>
    </row>
    <row r="70" spans="1:33" x14ac:dyDescent="0.25">
      <c r="A70" t="s">
        <v>34462</v>
      </c>
      <c r="B70" t="s">
        <v>406</v>
      </c>
      <c r="C70" t="s">
        <v>409</v>
      </c>
      <c r="D70">
        <v>23.04</v>
      </c>
      <c r="I70">
        <v>23.04</v>
      </c>
      <c r="J70">
        <v>0.88</v>
      </c>
      <c r="K70">
        <v>1</v>
      </c>
      <c r="L70">
        <v>1</v>
      </c>
      <c r="Q70">
        <v>0</v>
      </c>
      <c r="R70">
        <v>0</v>
      </c>
      <c r="U70">
        <v>0.50044874000000006</v>
      </c>
      <c r="V70">
        <v>4.45</v>
      </c>
      <c r="X70" t="s">
        <v>405</v>
      </c>
      <c r="AA70" t="s">
        <v>410</v>
      </c>
      <c r="AB70" t="s">
        <v>34661</v>
      </c>
      <c r="AC70" t="s">
        <v>34465</v>
      </c>
      <c r="AD70" t="s">
        <v>11496</v>
      </c>
      <c r="AE70" t="s">
        <v>34662</v>
      </c>
      <c r="AF70" t="s">
        <v>34663</v>
      </c>
      <c r="AG70" t="s">
        <v>34664</v>
      </c>
    </row>
    <row r="71" spans="1:33" x14ac:dyDescent="0.25">
      <c r="A71" t="s">
        <v>34462</v>
      </c>
      <c r="B71" t="s">
        <v>412</v>
      </c>
      <c r="C71" t="s">
        <v>415</v>
      </c>
      <c r="D71">
        <v>27.99</v>
      </c>
      <c r="E71">
        <v>27.99</v>
      </c>
      <c r="F71">
        <v>188444</v>
      </c>
      <c r="G71">
        <v>403422</v>
      </c>
      <c r="H71">
        <v>28.22</v>
      </c>
      <c r="I71">
        <v>32.03</v>
      </c>
      <c r="J71">
        <v>0</v>
      </c>
      <c r="K71">
        <v>1</v>
      </c>
      <c r="L71">
        <v>2</v>
      </c>
      <c r="M71">
        <v>2</v>
      </c>
      <c r="N71">
        <v>4</v>
      </c>
      <c r="O71">
        <v>0</v>
      </c>
      <c r="P71">
        <v>3</v>
      </c>
      <c r="Q71">
        <v>13</v>
      </c>
      <c r="R71">
        <v>35</v>
      </c>
      <c r="S71" t="s">
        <v>34665</v>
      </c>
      <c r="U71">
        <v>0.50044874000000006</v>
      </c>
      <c r="V71">
        <v>5.9</v>
      </c>
      <c r="W71">
        <v>4.76</v>
      </c>
      <c r="X71" t="s">
        <v>411</v>
      </c>
      <c r="AA71" t="s">
        <v>417</v>
      </c>
      <c r="AB71" t="s">
        <v>34666</v>
      </c>
      <c r="AC71" t="s">
        <v>34465</v>
      </c>
      <c r="AD71" t="s">
        <v>8081</v>
      </c>
      <c r="AE71" t="s">
        <v>34469</v>
      </c>
      <c r="AF71" t="s">
        <v>34667</v>
      </c>
      <c r="AG71" t="s">
        <v>34668</v>
      </c>
    </row>
    <row r="72" spans="1:33" x14ac:dyDescent="0.25">
      <c r="A72" t="s">
        <v>34462</v>
      </c>
      <c r="B72" t="s">
        <v>419</v>
      </c>
      <c r="C72" t="s">
        <v>421</v>
      </c>
      <c r="D72">
        <v>24.99</v>
      </c>
      <c r="E72">
        <v>24.99</v>
      </c>
      <c r="F72">
        <v>173686</v>
      </c>
      <c r="G72">
        <v>143016</v>
      </c>
      <c r="H72">
        <v>25.33</v>
      </c>
      <c r="I72">
        <v>29.34</v>
      </c>
      <c r="J72">
        <v>0</v>
      </c>
      <c r="K72">
        <v>1</v>
      </c>
      <c r="L72">
        <v>2</v>
      </c>
      <c r="M72">
        <v>1</v>
      </c>
      <c r="N72">
        <v>4</v>
      </c>
      <c r="O72">
        <v>1</v>
      </c>
      <c r="P72">
        <v>3</v>
      </c>
      <c r="Q72">
        <v>22</v>
      </c>
      <c r="R72">
        <v>66</v>
      </c>
      <c r="S72" t="s">
        <v>34665</v>
      </c>
      <c r="U72">
        <v>0.50044874000000006</v>
      </c>
      <c r="V72">
        <v>5.9</v>
      </c>
      <c r="W72">
        <v>4.25</v>
      </c>
      <c r="X72" t="s">
        <v>418</v>
      </c>
      <c r="AA72" t="s">
        <v>417</v>
      </c>
      <c r="AB72" t="s">
        <v>34669</v>
      </c>
      <c r="AC72" t="s">
        <v>34465</v>
      </c>
      <c r="AD72" t="s">
        <v>8081</v>
      </c>
      <c r="AE72" t="s">
        <v>34649</v>
      </c>
      <c r="AF72" t="s">
        <v>34667</v>
      </c>
      <c r="AG72" t="s">
        <v>34668</v>
      </c>
    </row>
    <row r="73" spans="1:33" x14ac:dyDescent="0.25">
      <c r="A73" t="s">
        <v>34462</v>
      </c>
      <c r="B73" t="s">
        <v>424</v>
      </c>
      <c r="C73" t="s">
        <v>427</v>
      </c>
      <c r="D73">
        <v>42.61</v>
      </c>
      <c r="F73">
        <v>1284819</v>
      </c>
      <c r="G73">
        <v>1108392</v>
      </c>
      <c r="I73">
        <v>42.61</v>
      </c>
      <c r="J73">
        <v>1</v>
      </c>
      <c r="K73">
        <v>1</v>
      </c>
      <c r="N73">
        <v>4.5999999999999996</v>
      </c>
      <c r="O73">
        <v>1</v>
      </c>
      <c r="P73">
        <v>21</v>
      </c>
      <c r="Q73">
        <v>1</v>
      </c>
      <c r="R73">
        <v>4</v>
      </c>
      <c r="S73" t="s">
        <v>34670</v>
      </c>
      <c r="U73">
        <v>1.36906902</v>
      </c>
      <c r="V73">
        <v>7.08</v>
      </c>
      <c r="X73" t="s">
        <v>423</v>
      </c>
      <c r="Y73" t="s">
        <v>34671</v>
      </c>
      <c r="AA73" t="s">
        <v>76</v>
      </c>
      <c r="AB73" t="s">
        <v>34672</v>
      </c>
      <c r="AC73" t="s">
        <v>34465</v>
      </c>
      <c r="AD73" t="s">
        <v>24627</v>
      </c>
      <c r="AE73" t="s">
        <v>34673</v>
      </c>
      <c r="AF73" t="s">
        <v>34674</v>
      </c>
    </row>
    <row r="74" spans="1:33" x14ac:dyDescent="0.25">
      <c r="A74" t="s">
        <v>34462</v>
      </c>
      <c r="B74" t="s">
        <v>429</v>
      </c>
      <c r="C74" t="s">
        <v>431</v>
      </c>
      <c r="F74">
        <v>1284819</v>
      </c>
      <c r="G74">
        <v>1152342</v>
      </c>
      <c r="J74">
        <v>1</v>
      </c>
      <c r="K74">
        <v>1</v>
      </c>
      <c r="Q74">
        <v>0</v>
      </c>
      <c r="R74">
        <v>0</v>
      </c>
      <c r="S74" t="s">
        <v>34670</v>
      </c>
      <c r="U74">
        <v>1.4109567999999999</v>
      </c>
      <c r="V74">
        <v>7.08</v>
      </c>
      <c r="X74" t="s">
        <v>428</v>
      </c>
      <c r="Y74" t="s">
        <v>34671</v>
      </c>
      <c r="AA74" t="s">
        <v>76</v>
      </c>
      <c r="AB74" t="s">
        <v>34675</v>
      </c>
      <c r="AC74" t="s">
        <v>34465</v>
      </c>
      <c r="AD74" t="s">
        <v>24627</v>
      </c>
      <c r="AE74" t="s">
        <v>34676</v>
      </c>
      <c r="AF74" t="s">
        <v>34677</v>
      </c>
    </row>
    <row r="75" spans="1:33" x14ac:dyDescent="0.25">
      <c r="A75" t="s">
        <v>34462</v>
      </c>
      <c r="B75" t="s">
        <v>433</v>
      </c>
      <c r="C75" t="s">
        <v>435</v>
      </c>
      <c r="D75">
        <v>50</v>
      </c>
      <c r="F75">
        <v>1284819</v>
      </c>
      <c r="G75">
        <v>1123330</v>
      </c>
      <c r="H75">
        <v>50</v>
      </c>
      <c r="I75">
        <v>50</v>
      </c>
      <c r="J75">
        <v>0.98</v>
      </c>
      <c r="K75">
        <v>1</v>
      </c>
      <c r="L75">
        <v>1</v>
      </c>
      <c r="N75">
        <v>4.5999999999999996</v>
      </c>
      <c r="O75">
        <v>2</v>
      </c>
      <c r="P75">
        <v>26</v>
      </c>
      <c r="Q75">
        <v>1</v>
      </c>
      <c r="R75">
        <v>4</v>
      </c>
      <c r="S75" t="s">
        <v>34670</v>
      </c>
      <c r="U75">
        <v>1.4109567999999999</v>
      </c>
      <c r="V75">
        <v>7.08</v>
      </c>
      <c r="X75" t="s">
        <v>432</v>
      </c>
      <c r="Y75" t="s">
        <v>34678</v>
      </c>
      <c r="Z75" t="s">
        <v>437</v>
      </c>
      <c r="AA75" t="s">
        <v>438</v>
      </c>
      <c r="AB75" t="s">
        <v>34679</v>
      </c>
      <c r="AC75" t="s">
        <v>34465</v>
      </c>
      <c r="AD75" t="s">
        <v>24627</v>
      </c>
      <c r="AE75" t="s">
        <v>34676</v>
      </c>
      <c r="AF75" t="s">
        <v>34680</v>
      </c>
    </row>
    <row r="76" spans="1:33" x14ac:dyDescent="0.25">
      <c r="A76" t="s">
        <v>34462</v>
      </c>
      <c r="B76" t="s">
        <v>440</v>
      </c>
      <c r="C76" t="s">
        <v>443</v>
      </c>
      <c r="D76">
        <v>33</v>
      </c>
      <c r="E76">
        <v>28.4</v>
      </c>
      <c r="F76">
        <v>1646652</v>
      </c>
      <c r="G76">
        <v>978131</v>
      </c>
      <c r="H76">
        <v>36.78</v>
      </c>
      <c r="I76">
        <v>37.79</v>
      </c>
      <c r="J76">
        <v>0</v>
      </c>
      <c r="K76">
        <v>0.09</v>
      </c>
      <c r="L76">
        <v>4</v>
      </c>
      <c r="M76">
        <v>4</v>
      </c>
      <c r="N76">
        <v>5</v>
      </c>
      <c r="O76">
        <v>0</v>
      </c>
      <c r="P76">
        <v>2</v>
      </c>
      <c r="Q76">
        <v>2</v>
      </c>
      <c r="R76">
        <v>21</v>
      </c>
      <c r="S76" t="s">
        <v>34681</v>
      </c>
      <c r="U76">
        <v>0.88184799999999997</v>
      </c>
      <c r="V76">
        <v>6.81</v>
      </c>
      <c r="W76">
        <v>5.61</v>
      </c>
      <c r="X76" t="s">
        <v>439</v>
      </c>
      <c r="Y76" t="s">
        <v>444</v>
      </c>
      <c r="Z76" t="s">
        <v>444</v>
      </c>
      <c r="AA76" t="s">
        <v>445</v>
      </c>
      <c r="AB76" t="s">
        <v>34682</v>
      </c>
      <c r="AC76" t="s">
        <v>34493</v>
      </c>
      <c r="AD76" t="s">
        <v>7954</v>
      </c>
      <c r="AE76" t="s">
        <v>34683</v>
      </c>
      <c r="AF76" t="s">
        <v>34684</v>
      </c>
      <c r="AG76" t="s">
        <v>34685</v>
      </c>
    </row>
    <row r="77" spans="1:33" x14ac:dyDescent="0.25">
      <c r="A77" t="s">
        <v>34462</v>
      </c>
      <c r="B77" t="s">
        <v>447</v>
      </c>
      <c r="C77" t="s">
        <v>449</v>
      </c>
      <c r="D77">
        <v>34.68</v>
      </c>
      <c r="E77">
        <v>28.4</v>
      </c>
      <c r="F77">
        <v>1646652</v>
      </c>
      <c r="G77">
        <v>1005756</v>
      </c>
      <c r="H77">
        <v>38.56</v>
      </c>
      <c r="I77">
        <v>38.53</v>
      </c>
      <c r="J77">
        <v>0</v>
      </c>
      <c r="K77">
        <v>0</v>
      </c>
      <c r="L77">
        <v>3</v>
      </c>
      <c r="M77">
        <v>2</v>
      </c>
      <c r="N77">
        <v>5</v>
      </c>
      <c r="O77">
        <v>0</v>
      </c>
      <c r="P77">
        <v>2</v>
      </c>
      <c r="Q77">
        <v>3</v>
      </c>
      <c r="R77">
        <v>17</v>
      </c>
      <c r="S77" t="s">
        <v>34681</v>
      </c>
      <c r="U77">
        <v>0.87082490000000001</v>
      </c>
      <c r="V77">
        <v>6.81</v>
      </c>
      <c r="W77">
        <v>5.9</v>
      </c>
      <c r="X77" t="s">
        <v>446</v>
      </c>
      <c r="Y77" t="s">
        <v>444</v>
      </c>
      <c r="Z77" t="s">
        <v>444</v>
      </c>
      <c r="AA77" t="s">
        <v>451</v>
      </c>
      <c r="AB77" t="s">
        <v>34686</v>
      </c>
      <c r="AC77" t="s">
        <v>34493</v>
      </c>
      <c r="AD77" t="s">
        <v>7954</v>
      </c>
      <c r="AE77" t="s">
        <v>34683</v>
      </c>
      <c r="AF77" t="s">
        <v>34687</v>
      </c>
      <c r="AG77" t="s">
        <v>34685</v>
      </c>
    </row>
    <row r="78" spans="1:33" x14ac:dyDescent="0.25">
      <c r="A78" t="s">
        <v>34462</v>
      </c>
      <c r="B78" t="s">
        <v>453</v>
      </c>
      <c r="C78" t="s">
        <v>456</v>
      </c>
      <c r="D78">
        <v>59.99</v>
      </c>
      <c r="E78">
        <v>59.99</v>
      </c>
      <c r="F78">
        <v>10915</v>
      </c>
      <c r="G78">
        <v>8763</v>
      </c>
      <c r="H78">
        <v>57.46</v>
      </c>
      <c r="I78">
        <v>51.29</v>
      </c>
      <c r="L78">
        <v>1</v>
      </c>
      <c r="M78">
        <v>1</v>
      </c>
      <c r="N78">
        <v>4.5</v>
      </c>
      <c r="O78">
        <v>0</v>
      </c>
      <c r="P78">
        <v>9832</v>
      </c>
      <c r="Q78">
        <v>45</v>
      </c>
      <c r="R78">
        <v>144</v>
      </c>
      <c r="S78" t="s">
        <v>34543</v>
      </c>
      <c r="U78">
        <v>1.3227720000000001</v>
      </c>
      <c r="V78">
        <v>7.08</v>
      </c>
      <c r="W78">
        <v>10.199999999999999</v>
      </c>
      <c r="X78" t="s">
        <v>452</v>
      </c>
      <c r="Y78" t="s">
        <v>457</v>
      </c>
      <c r="Z78" t="s">
        <v>457</v>
      </c>
      <c r="AA78" t="s">
        <v>458</v>
      </c>
      <c r="AB78" t="s">
        <v>34688</v>
      </c>
      <c r="AC78" t="s">
        <v>34493</v>
      </c>
      <c r="AD78" t="s">
        <v>10970</v>
      </c>
      <c r="AE78" t="s">
        <v>34550</v>
      </c>
      <c r="AF78" t="s">
        <v>34689</v>
      </c>
      <c r="AG78" t="s">
        <v>34547</v>
      </c>
    </row>
    <row r="79" spans="1:33" x14ac:dyDescent="0.25">
      <c r="A79" t="s">
        <v>34462</v>
      </c>
      <c r="B79" t="s">
        <v>460</v>
      </c>
      <c r="C79" t="s">
        <v>462</v>
      </c>
      <c r="D79">
        <v>59.99</v>
      </c>
      <c r="E79">
        <v>59.99</v>
      </c>
      <c r="F79">
        <v>11310</v>
      </c>
      <c r="G79">
        <v>8712</v>
      </c>
      <c r="H79">
        <v>56.5</v>
      </c>
      <c r="I79">
        <v>49.71</v>
      </c>
      <c r="J79">
        <v>0</v>
      </c>
      <c r="K79">
        <v>0</v>
      </c>
      <c r="L79">
        <v>1</v>
      </c>
      <c r="M79">
        <v>1</v>
      </c>
      <c r="N79">
        <v>4.5</v>
      </c>
      <c r="O79">
        <v>0</v>
      </c>
      <c r="P79">
        <v>9825</v>
      </c>
      <c r="Q79">
        <v>27</v>
      </c>
      <c r="R79">
        <v>110</v>
      </c>
      <c r="S79" t="s">
        <v>34543</v>
      </c>
      <c r="U79">
        <v>1.2808842199999999</v>
      </c>
      <c r="V79">
        <v>6.14</v>
      </c>
      <c r="W79">
        <v>10.199999999999999</v>
      </c>
      <c r="X79" t="s">
        <v>459</v>
      </c>
      <c r="Y79" t="s">
        <v>457</v>
      </c>
      <c r="Z79" t="s">
        <v>457</v>
      </c>
      <c r="AA79" t="s">
        <v>458</v>
      </c>
      <c r="AB79" t="s">
        <v>34690</v>
      </c>
      <c r="AC79" t="s">
        <v>34493</v>
      </c>
      <c r="AD79" t="s">
        <v>10970</v>
      </c>
      <c r="AE79" t="s">
        <v>34691</v>
      </c>
      <c r="AF79" t="s">
        <v>34689</v>
      </c>
      <c r="AG79" t="s">
        <v>34547</v>
      </c>
    </row>
    <row r="80" spans="1:33" x14ac:dyDescent="0.25">
      <c r="A80" t="s">
        <v>34462</v>
      </c>
      <c r="B80" t="s">
        <v>464</v>
      </c>
      <c r="C80" t="s">
        <v>466</v>
      </c>
      <c r="D80">
        <v>59.99</v>
      </c>
      <c r="E80">
        <v>59.99</v>
      </c>
      <c r="F80">
        <v>549226</v>
      </c>
      <c r="G80">
        <v>624951</v>
      </c>
      <c r="H80">
        <v>55.6</v>
      </c>
      <c r="I80">
        <v>54.17</v>
      </c>
      <c r="J80">
        <v>0</v>
      </c>
      <c r="K80">
        <v>1</v>
      </c>
      <c r="L80">
        <v>1</v>
      </c>
      <c r="M80">
        <v>1</v>
      </c>
      <c r="N80">
        <v>4.5999999999999996</v>
      </c>
      <c r="O80">
        <v>0</v>
      </c>
      <c r="P80">
        <v>3</v>
      </c>
      <c r="Q80">
        <v>8</v>
      </c>
      <c r="R80">
        <v>23</v>
      </c>
      <c r="S80" t="s">
        <v>34692</v>
      </c>
      <c r="U80">
        <v>1.64905576</v>
      </c>
      <c r="V80">
        <v>6.6</v>
      </c>
      <c r="W80">
        <v>10.199999999999999</v>
      </c>
      <c r="X80" t="s">
        <v>463</v>
      </c>
      <c r="Y80" t="s">
        <v>467</v>
      </c>
      <c r="Z80" t="s">
        <v>467</v>
      </c>
      <c r="AA80" t="s">
        <v>468</v>
      </c>
      <c r="AB80" t="s">
        <v>34693</v>
      </c>
      <c r="AC80" t="s">
        <v>34465</v>
      </c>
      <c r="AD80" t="s">
        <v>10970</v>
      </c>
      <c r="AE80" t="s">
        <v>34694</v>
      </c>
      <c r="AF80" t="s">
        <v>34695</v>
      </c>
      <c r="AG80" t="s">
        <v>34696</v>
      </c>
    </row>
    <row r="81" spans="1:33" x14ac:dyDescent="0.25">
      <c r="A81" t="s">
        <v>34462</v>
      </c>
      <c r="B81" t="s">
        <v>470</v>
      </c>
      <c r="C81" t="s">
        <v>473</v>
      </c>
      <c r="D81">
        <v>41</v>
      </c>
      <c r="E81">
        <v>41</v>
      </c>
      <c r="F81">
        <v>1424887</v>
      </c>
      <c r="G81">
        <v>1176726</v>
      </c>
      <c r="I81">
        <v>16.059999999999999</v>
      </c>
      <c r="J81">
        <v>0.43</v>
      </c>
      <c r="K81">
        <v>1</v>
      </c>
      <c r="L81">
        <v>1</v>
      </c>
      <c r="M81">
        <v>1</v>
      </c>
      <c r="N81">
        <v>4</v>
      </c>
      <c r="O81">
        <v>0</v>
      </c>
      <c r="P81">
        <v>1</v>
      </c>
      <c r="Q81">
        <v>2</v>
      </c>
      <c r="R81">
        <v>9</v>
      </c>
      <c r="S81" t="s">
        <v>34697</v>
      </c>
      <c r="U81">
        <v>0.29100984000000002</v>
      </c>
      <c r="V81">
        <v>5.9</v>
      </c>
      <c r="X81" t="s">
        <v>469</v>
      </c>
      <c r="Y81" t="s">
        <v>474</v>
      </c>
      <c r="Z81" t="s">
        <v>474</v>
      </c>
      <c r="AA81" t="s">
        <v>76</v>
      </c>
      <c r="AB81" t="s">
        <v>34698</v>
      </c>
      <c r="AC81" t="s">
        <v>34465</v>
      </c>
      <c r="AD81" t="s">
        <v>12519</v>
      </c>
      <c r="AE81" t="s">
        <v>290</v>
      </c>
      <c r="AF81" t="s">
        <v>34699</v>
      </c>
      <c r="AG81" t="s">
        <v>34700</v>
      </c>
    </row>
    <row r="82" spans="1:33" x14ac:dyDescent="0.25">
      <c r="A82" t="s">
        <v>34462</v>
      </c>
      <c r="B82" t="s">
        <v>476</v>
      </c>
      <c r="C82" t="s">
        <v>479</v>
      </c>
      <c r="D82">
        <v>20</v>
      </c>
      <c r="E82">
        <v>20</v>
      </c>
      <c r="F82">
        <v>449567</v>
      </c>
      <c r="G82">
        <v>2028386</v>
      </c>
      <c r="H82">
        <v>39.76</v>
      </c>
      <c r="I82">
        <v>39.770000000000003</v>
      </c>
      <c r="J82">
        <v>0.05</v>
      </c>
      <c r="K82">
        <v>0.05</v>
      </c>
      <c r="L82">
        <v>1</v>
      </c>
      <c r="M82">
        <v>1</v>
      </c>
      <c r="Q82">
        <v>6</v>
      </c>
      <c r="R82">
        <v>8</v>
      </c>
      <c r="S82" t="s">
        <v>34701</v>
      </c>
      <c r="U82">
        <v>0.63933980000000001</v>
      </c>
      <c r="V82">
        <v>5.9</v>
      </c>
      <c r="W82">
        <v>2</v>
      </c>
      <c r="X82" t="s">
        <v>475</v>
      </c>
      <c r="Y82" t="s">
        <v>480</v>
      </c>
      <c r="Z82" t="s">
        <v>480</v>
      </c>
      <c r="AA82" t="s">
        <v>481</v>
      </c>
      <c r="AB82" t="s">
        <v>34702</v>
      </c>
      <c r="AC82" t="s">
        <v>34493</v>
      </c>
      <c r="AD82" t="s">
        <v>23005</v>
      </c>
      <c r="AE82" t="s">
        <v>131</v>
      </c>
      <c r="AF82" t="s">
        <v>34703</v>
      </c>
      <c r="AG82" t="s">
        <v>34704</v>
      </c>
    </row>
    <row r="83" spans="1:33" x14ac:dyDescent="0.25">
      <c r="A83" t="s">
        <v>34462</v>
      </c>
      <c r="B83" t="s">
        <v>483</v>
      </c>
      <c r="C83" t="s">
        <v>485</v>
      </c>
      <c r="D83">
        <v>31.16</v>
      </c>
      <c r="E83">
        <v>31.16</v>
      </c>
      <c r="F83">
        <v>449567</v>
      </c>
      <c r="G83">
        <v>815618</v>
      </c>
      <c r="H83">
        <v>38.47</v>
      </c>
      <c r="I83">
        <v>38.56</v>
      </c>
      <c r="J83">
        <v>0.05</v>
      </c>
      <c r="K83">
        <v>0.05</v>
      </c>
      <c r="L83">
        <v>1</v>
      </c>
      <c r="M83">
        <v>1</v>
      </c>
      <c r="Q83">
        <v>10</v>
      </c>
      <c r="R83">
        <v>19</v>
      </c>
      <c r="S83" t="s">
        <v>34701</v>
      </c>
      <c r="U83">
        <v>0.67240909999999998</v>
      </c>
      <c r="V83">
        <v>5.9</v>
      </c>
      <c r="W83">
        <v>5.3</v>
      </c>
      <c r="X83" t="s">
        <v>482</v>
      </c>
      <c r="Y83" t="s">
        <v>480</v>
      </c>
      <c r="Z83" t="s">
        <v>480</v>
      </c>
      <c r="AA83" t="s">
        <v>486</v>
      </c>
      <c r="AB83" t="s">
        <v>34705</v>
      </c>
      <c r="AC83" t="s">
        <v>34493</v>
      </c>
      <c r="AD83" t="s">
        <v>23005</v>
      </c>
      <c r="AE83" t="s">
        <v>131</v>
      </c>
      <c r="AF83" t="s">
        <v>34706</v>
      </c>
      <c r="AG83" t="s">
        <v>34704</v>
      </c>
    </row>
    <row r="84" spans="1:33" x14ac:dyDescent="0.25">
      <c r="A84" t="s">
        <v>34462</v>
      </c>
      <c r="B84" t="s">
        <v>488</v>
      </c>
      <c r="C84" t="s">
        <v>491</v>
      </c>
      <c r="D84">
        <v>28.83</v>
      </c>
      <c r="E84">
        <v>28.83</v>
      </c>
      <c r="F84">
        <v>2124822</v>
      </c>
      <c r="G84">
        <v>3397071</v>
      </c>
      <c r="H84">
        <v>14.17</v>
      </c>
      <c r="I84">
        <v>21.56</v>
      </c>
      <c r="J84">
        <v>0</v>
      </c>
      <c r="K84">
        <v>1</v>
      </c>
      <c r="L84">
        <v>3</v>
      </c>
      <c r="M84">
        <v>2</v>
      </c>
      <c r="O84">
        <v>0</v>
      </c>
      <c r="Q84">
        <v>3</v>
      </c>
      <c r="R84">
        <v>6</v>
      </c>
      <c r="U84">
        <v>0.22928048000000001</v>
      </c>
      <c r="V84">
        <v>4.6100000000000003</v>
      </c>
      <c r="W84">
        <v>4.9000000000000004</v>
      </c>
      <c r="X84" t="s">
        <v>487</v>
      </c>
      <c r="AA84" t="s">
        <v>492</v>
      </c>
      <c r="AB84" t="s">
        <v>34707</v>
      </c>
      <c r="AC84" t="s">
        <v>34465</v>
      </c>
      <c r="AD84" t="s">
        <v>11496</v>
      </c>
      <c r="AE84" t="s">
        <v>34510</v>
      </c>
      <c r="AF84" t="s">
        <v>34708</v>
      </c>
      <c r="AG84" t="s">
        <v>34709</v>
      </c>
    </row>
    <row r="85" spans="1:33" x14ac:dyDescent="0.25">
      <c r="A85" t="s">
        <v>34462</v>
      </c>
      <c r="B85" t="s">
        <v>494</v>
      </c>
      <c r="C85" t="s">
        <v>496</v>
      </c>
      <c r="D85">
        <v>9.19</v>
      </c>
      <c r="E85">
        <v>9.19</v>
      </c>
      <c r="H85">
        <v>11.03</v>
      </c>
      <c r="I85">
        <v>17.350000000000001</v>
      </c>
      <c r="J85">
        <v>0</v>
      </c>
      <c r="K85">
        <v>1</v>
      </c>
      <c r="L85">
        <v>4</v>
      </c>
      <c r="M85">
        <v>3</v>
      </c>
      <c r="O85">
        <v>0</v>
      </c>
      <c r="Q85">
        <v>0</v>
      </c>
      <c r="R85">
        <v>0</v>
      </c>
      <c r="U85">
        <v>0.22928048000000001</v>
      </c>
      <c r="V85">
        <v>3.84</v>
      </c>
      <c r="W85">
        <v>0.46</v>
      </c>
      <c r="X85" t="s">
        <v>493</v>
      </c>
      <c r="AA85" t="s">
        <v>497</v>
      </c>
      <c r="AB85" t="s">
        <v>34710</v>
      </c>
      <c r="AC85" t="s">
        <v>34465</v>
      </c>
      <c r="AD85" t="s">
        <v>11496</v>
      </c>
      <c r="AE85" t="s">
        <v>34506</v>
      </c>
      <c r="AF85" t="s">
        <v>34711</v>
      </c>
      <c r="AG85" t="s">
        <v>34709</v>
      </c>
    </row>
    <row r="86" spans="1:33" x14ac:dyDescent="0.25">
      <c r="A86" t="s">
        <v>34462</v>
      </c>
      <c r="B86" t="s">
        <v>499</v>
      </c>
      <c r="C86" t="s">
        <v>501</v>
      </c>
      <c r="D86">
        <v>20.22</v>
      </c>
      <c r="E86">
        <v>20</v>
      </c>
      <c r="F86">
        <v>5352579</v>
      </c>
      <c r="G86">
        <v>2633716</v>
      </c>
      <c r="H86">
        <v>21.9</v>
      </c>
      <c r="I86">
        <v>24.39</v>
      </c>
      <c r="J86">
        <v>0</v>
      </c>
      <c r="K86">
        <v>1</v>
      </c>
      <c r="L86">
        <v>4</v>
      </c>
      <c r="M86">
        <v>4</v>
      </c>
      <c r="O86">
        <v>0</v>
      </c>
      <c r="Q86">
        <v>1</v>
      </c>
      <c r="R86">
        <v>4</v>
      </c>
      <c r="U86">
        <v>0.22928048000000001</v>
      </c>
      <c r="V86">
        <v>4.6100000000000003</v>
      </c>
      <c r="W86">
        <v>3.44</v>
      </c>
      <c r="X86" t="s">
        <v>498</v>
      </c>
      <c r="AA86" t="s">
        <v>492</v>
      </c>
      <c r="AB86" t="s">
        <v>34712</v>
      </c>
      <c r="AC86" t="s">
        <v>34465</v>
      </c>
      <c r="AD86" t="s">
        <v>11496</v>
      </c>
      <c r="AF86" t="s">
        <v>34711</v>
      </c>
      <c r="AG86" t="s">
        <v>34709</v>
      </c>
    </row>
    <row r="87" spans="1:33" x14ac:dyDescent="0.25">
      <c r="A87" t="s">
        <v>34462</v>
      </c>
      <c r="B87" t="s">
        <v>503</v>
      </c>
      <c r="C87" t="s">
        <v>506</v>
      </c>
      <c r="D87">
        <v>24.5</v>
      </c>
      <c r="E87">
        <v>24.5</v>
      </c>
      <c r="F87">
        <v>1353697</v>
      </c>
      <c r="G87">
        <v>883410</v>
      </c>
      <c r="H87">
        <v>39.130000000000003</v>
      </c>
      <c r="I87">
        <v>33.270000000000003</v>
      </c>
      <c r="J87">
        <v>0</v>
      </c>
      <c r="K87">
        <v>0</v>
      </c>
      <c r="L87">
        <v>5</v>
      </c>
      <c r="M87">
        <v>5</v>
      </c>
      <c r="N87">
        <v>4.2</v>
      </c>
      <c r="O87">
        <v>0</v>
      </c>
      <c r="P87">
        <v>5</v>
      </c>
      <c r="Q87">
        <v>9</v>
      </c>
      <c r="R87">
        <v>28</v>
      </c>
      <c r="S87" t="s">
        <v>34713</v>
      </c>
      <c r="U87">
        <v>0.26014515999999999</v>
      </c>
      <c r="V87">
        <v>5.9</v>
      </c>
      <c r="W87">
        <v>4.17</v>
      </c>
      <c r="X87" t="s">
        <v>502</v>
      </c>
      <c r="Y87" t="s">
        <v>507</v>
      </c>
      <c r="Z87" t="s">
        <v>507</v>
      </c>
      <c r="AA87" t="s">
        <v>278</v>
      </c>
      <c r="AB87" t="s">
        <v>34714</v>
      </c>
      <c r="AC87" t="s">
        <v>34493</v>
      </c>
      <c r="AD87" t="s">
        <v>7954</v>
      </c>
      <c r="AE87" t="s">
        <v>34474</v>
      </c>
      <c r="AF87" t="s">
        <v>34715</v>
      </c>
      <c r="AG87" t="s">
        <v>34716</v>
      </c>
    </row>
    <row r="88" spans="1:33" x14ac:dyDescent="0.25">
      <c r="A88" t="s">
        <v>34462</v>
      </c>
      <c r="B88" t="s">
        <v>509</v>
      </c>
      <c r="C88" t="s">
        <v>511</v>
      </c>
      <c r="D88">
        <v>42.61</v>
      </c>
      <c r="E88">
        <v>34.659999999999997</v>
      </c>
      <c r="F88">
        <v>1359101</v>
      </c>
      <c r="G88">
        <v>906914</v>
      </c>
      <c r="H88">
        <v>39.42</v>
      </c>
      <c r="I88">
        <v>33.71</v>
      </c>
      <c r="J88">
        <v>0</v>
      </c>
      <c r="K88">
        <v>0.44</v>
      </c>
      <c r="L88">
        <v>4</v>
      </c>
      <c r="M88">
        <v>2</v>
      </c>
      <c r="N88">
        <v>4.2</v>
      </c>
      <c r="O88">
        <v>0</v>
      </c>
      <c r="P88">
        <v>5</v>
      </c>
      <c r="Q88">
        <v>4</v>
      </c>
      <c r="R88">
        <v>21</v>
      </c>
      <c r="S88" t="s">
        <v>34713</v>
      </c>
      <c r="U88">
        <v>0.26014515999999999</v>
      </c>
      <c r="V88">
        <v>6.6</v>
      </c>
      <c r="W88">
        <v>7.25</v>
      </c>
      <c r="X88" t="s">
        <v>508</v>
      </c>
      <c r="Y88" t="s">
        <v>507</v>
      </c>
      <c r="Z88" t="s">
        <v>507</v>
      </c>
      <c r="AA88" t="s">
        <v>278</v>
      </c>
      <c r="AB88" t="s">
        <v>34717</v>
      </c>
      <c r="AC88" t="s">
        <v>34465</v>
      </c>
      <c r="AD88" t="s">
        <v>7954</v>
      </c>
      <c r="AE88" t="s">
        <v>34533</v>
      </c>
      <c r="AF88" t="s">
        <v>34718</v>
      </c>
      <c r="AG88" t="s">
        <v>34716</v>
      </c>
    </row>
    <row r="89" spans="1:33" x14ac:dyDescent="0.25">
      <c r="A89" t="s">
        <v>34462</v>
      </c>
      <c r="B89" t="s">
        <v>513</v>
      </c>
      <c r="C89" t="s">
        <v>515</v>
      </c>
      <c r="D89">
        <v>43.02</v>
      </c>
      <c r="E89">
        <v>35.07</v>
      </c>
      <c r="F89">
        <v>1359101</v>
      </c>
      <c r="G89">
        <v>879810</v>
      </c>
      <c r="H89">
        <v>42.63</v>
      </c>
      <c r="I89">
        <v>34.64</v>
      </c>
      <c r="J89">
        <v>0</v>
      </c>
      <c r="K89">
        <v>0.23</v>
      </c>
      <c r="L89">
        <v>5</v>
      </c>
      <c r="M89">
        <v>2</v>
      </c>
      <c r="N89">
        <v>4.2</v>
      </c>
      <c r="O89">
        <v>1</v>
      </c>
      <c r="P89">
        <v>5</v>
      </c>
      <c r="Q89">
        <v>8</v>
      </c>
      <c r="R89">
        <v>25</v>
      </c>
      <c r="S89" t="s">
        <v>34713</v>
      </c>
      <c r="U89">
        <v>0.29100984000000002</v>
      </c>
      <c r="V89">
        <v>5.9</v>
      </c>
      <c r="W89">
        <v>7.31</v>
      </c>
      <c r="X89" t="s">
        <v>512</v>
      </c>
      <c r="Y89" t="s">
        <v>507</v>
      </c>
      <c r="Z89" t="s">
        <v>507</v>
      </c>
      <c r="AA89" t="s">
        <v>278</v>
      </c>
      <c r="AB89" t="s">
        <v>34719</v>
      </c>
      <c r="AC89" t="s">
        <v>34465</v>
      </c>
      <c r="AD89" t="s">
        <v>7954</v>
      </c>
      <c r="AE89" t="s">
        <v>14701</v>
      </c>
      <c r="AF89" t="s">
        <v>34718</v>
      </c>
      <c r="AG89" t="s">
        <v>34716</v>
      </c>
    </row>
    <row r="90" spans="1:33" x14ac:dyDescent="0.25">
      <c r="A90" t="s">
        <v>34462</v>
      </c>
      <c r="B90" t="s">
        <v>518</v>
      </c>
      <c r="C90" t="s">
        <v>520</v>
      </c>
      <c r="D90">
        <v>43.35</v>
      </c>
      <c r="E90">
        <v>43.35</v>
      </c>
      <c r="F90">
        <v>1359101</v>
      </c>
      <c r="G90">
        <v>3374696</v>
      </c>
      <c r="H90">
        <v>42.1</v>
      </c>
      <c r="I90">
        <v>41.98</v>
      </c>
      <c r="J90">
        <v>0</v>
      </c>
      <c r="K90">
        <v>0.13</v>
      </c>
      <c r="L90">
        <v>4</v>
      </c>
      <c r="M90">
        <v>2</v>
      </c>
      <c r="N90">
        <v>4.2</v>
      </c>
      <c r="O90">
        <v>0</v>
      </c>
      <c r="P90">
        <v>5</v>
      </c>
      <c r="Q90">
        <v>7</v>
      </c>
      <c r="R90">
        <v>17</v>
      </c>
      <c r="S90" t="s">
        <v>34713</v>
      </c>
      <c r="U90">
        <v>0.31085141999999999</v>
      </c>
      <c r="V90">
        <v>5.9</v>
      </c>
      <c r="X90" t="s">
        <v>517</v>
      </c>
      <c r="Y90" t="s">
        <v>507</v>
      </c>
      <c r="Z90" t="s">
        <v>507</v>
      </c>
      <c r="AA90" t="s">
        <v>278</v>
      </c>
      <c r="AB90" t="s">
        <v>34720</v>
      </c>
      <c r="AC90" t="s">
        <v>34465</v>
      </c>
      <c r="AD90" t="s">
        <v>7954</v>
      </c>
      <c r="AE90" t="s">
        <v>34525</v>
      </c>
      <c r="AF90" t="s">
        <v>34718</v>
      </c>
      <c r="AG90" t="s">
        <v>34721</v>
      </c>
    </row>
    <row r="91" spans="1:33" x14ac:dyDescent="0.25">
      <c r="A91" t="s">
        <v>34462</v>
      </c>
      <c r="B91" t="s">
        <v>522</v>
      </c>
      <c r="C91" t="s">
        <v>524</v>
      </c>
      <c r="D91">
        <v>51.3</v>
      </c>
      <c r="E91">
        <v>43.35</v>
      </c>
      <c r="F91">
        <v>1359101</v>
      </c>
      <c r="G91">
        <v>873044</v>
      </c>
      <c r="H91">
        <v>43.09</v>
      </c>
      <c r="I91">
        <v>42.19</v>
      </c>
      <c r="J91">
        <v>0</v>
      </c>
      <c r="K91">
        <v>0.24</v>
      </c>
      <c r="L91">
        <v>2</v>
      </c>
      <c r="M91">
        <v>1</v>
      </c>
      <c r="N91">
        <v>4.2</v>
      </c>
      <c r="O91">
        <v>0</v>
      </c>
      <c r="P91">
        <v>5</v>
      </c>
      <c r="Q91">
        <v>9</v>
      </c>
      <c r="R91">
        <v>29</v>
      </c>
      <c r="S91" t="s">
        <v>34713</v>
      </c>
      <c r="U91">
        <v>0.33069300000000001</v>
      </c>
      <c r="V91">
        <v>5.9</v>
      </c>
      <c r="W91">
        <v>8.7200000000000006</v>
      </c>
      <c r="X91" t="s">
        <v>521</v>
      </c>
      <c r="Y91" t="s">
        <v>507</v>
      </c>
      <c r="Z91" t="s">
        <v>507</v>
      </c>
      <c r="AA91" t="s">
        <v>278</v>
      </c>
      <c r="AB91" t="s">
        <v>34722</v>
      </c>
      <c r="AC91" t="s">
        <v>34465</v>
      </c>
      <c r="AD91" t="s">
        <v>7954</v>
      </c>
      <c r="AE91" t="s">
        <v>34649</v>
      </c>
      <c r="AF91" t="s">
        <v>34718</v>
      </c>
      <c r="AG91" t="s">
        <v>34716</v>
      </c>
    </row>
    <row r="92" spans="1:33" x14ac:dyDescent="0.25">
      <c r="A92" t="s">
        <v>34462</v>
      </c>
      <c r="B92" t="s">
        <v>526</v>
      </c>
      <c r="C92" t="s">
        <v>529</v>
      </c>
      <c r="D92">
        <v>7.5</v>
      </c>
      <c r="E92">
        <v>7.5</v>
      </c>
      <c r="F92">
        <v>2129173</v>
      </c>
      <c r="G92">
        <v>1863178</v>
      </c>
      <c r="H92">
        <v>11.58</v>
      </c>
      <c r="I92">
        <v>11.85</v>
      </c>
      <c r="J92">
        <v>0</v>
      </c>
      <c r="K92">
        <v>1</v>
      </c>
      <c r="L92">
        <v>5</v>
      </c>
      <c r="M92">
        <v>5</v>
      </c>
      <c r="N92">
        <v>4.9000000000000004</v>
      </c>
      <c r="P92">
        <v>16</v>
      </c>
      <c r="Q92">
        <v>0</v>
      </c>
      <c r="R92">
        <v>2</v>
      </c>
      <c r="U92">
        <v>0.110231</v>
      </c>
      <c r="V92">
        <v>3.78</v>
      </c>
      <c r="X92" t="s">
        <v>525</v>
      </c>
      <c r="Y92" t="s">
        <v>531</v>
      </c>
      <c r="Z92" t="s">
        <v>531</v>
      </c>
      <c r="AA92" t="s">
        <v>532</v>
      </c>
      <c r="AB92" t="s">
        <v>34723</v>
      </c>
      <c r="AC92" t="s">
        <v>34465</v>
      </c>
      <c r="AD92" t="s">
        <v>34724</v>
      </c>
      <c r="AE92" t="s">
        <v>34725</v>
      </c>
      <c r="AF92" t="s">
        <v>34726</v>
      </c>
      <c r="AG92" t="s">
        <v>34727</v>
      </c>
    </row>
    <row r="93" spans="1:33" x14ac:dyDescent="0.25">
      <c r="A93" t="s">
        <v>34462</v>
      </c>
      <c r="B93" t="s">
        <v>534</v>
      </c>
      <c r="C93" t="s">
        <v>537</v>
      </c>
      <c r="D93">
        <v>49.99</v>
      </c>
      <c r="E93">
        <v>49.99</v>
      </c>
      <c r="F93">
        <v>237223</v>
      </c>
      <c r="G93">
        <v>560499</v>
      </c>
      <c r="H93">
        <v>32.299999999999997</v>
      </c>
      <c r="I93">
        <v>30.08</v>
      </c>
      <c r="J93">
        <v>0</v>
      </c>
      <c r="K93">
        <v>1</v>
      </c>
      <c r="L93">
        <v>2</v>
      </c>
      <c r="M93">
        <v>2</v>
      </c>
      <c r="N93">
        <v>4.4000000000000004</v>
      </c>
      <c r="O93">
        <v>0</v>
      </c>
      <c r="P93">
        <v>112</v>
      </c>
      <c r="Q93">
        <v>13</v>
      </c>
      <c r="R93">
        <v>29</v>
      </c>
      <c r="S93" t="s">
        <v>34728</v>
      </c>
      <c r="U93">
        <v>1.51898318</v>
      </c>
      <c r="V93">
        <v>6.21</v>
      </c>
      <c r="X93" t="s">
        <v>533</v>
      </c>
      <c r="Y93" t="s">
        <v>538</v>
      </c>
      <c r="Z93" t="s">
        <v>538</v>
      </c>
      <c r="AA93" t="s">
        <v>539</v>
      </c>
      <c r="AB93" t="s">
        <v>34729</v>
      </c>
      <c r="AC93" t="s">
        <v>34465</v>
      </c>
      <c r="AD93" t="s">
        <v>17415</v>
      </c>
      <c r="AE93" t="s">
        <v>34730</v>
      </c>
      <c r="AF93" t="s">
        <v>34731</v>
      </c>
      <c r="AG93" t="s">
        <v>34732</v>
      </c>
    </row>
    <row r="94" spans="1:33" x14ac:dyDescent="0.25">
      <c r="A94" t="s">
        <v>34462</v>
      </c>
      <c r="B94" t="s">
        <v>541</v>
      </c>
      <c r="C94" t="s">
        <v>544</v>
      </c>
      <c r="D94">
        <v>13.15</v>
      </c>
      <c r="F94">
        <v>8007018</v>
      </c>
      <c r="G94">
        <v>3993531</v>
      </c>
      <c r="I94">
        <v>13.15</v>
      </c>
      <c r="J94">
        <v>1</v>
      </c>
      <c r="K94">
        <v>1</v>
      </c>
      <c r="Q94">
        <v>0</v>
      </c>
      <c r="R94">
        <v>0</v>
      </c>
      <c r="S94" t="s">
        <v>34733</v>
      </c>
      <c r="U94">
        <v>0.28660059999999998</v>
      </c>
      <c r="V94">
        <v>5.13</v>
      </c>
      <c r="X94" t="s">
        <v>540</v>
      </c>
      <c r="Y94" t="s">
        <v>545</v>
      </c>
      <c r="Z94" t="s">
        <v>545</v>
      </c>
      <c r="AA94" t="s">
        <v>546</v>
      </c>
      <c r="AB94" t="s">
        <v>34734</v>
      </c>
      <c r="AC94" t="s">
        <v>34465</v>
      </c>
      <c r="AD94" t="s">
        <v>8087</v>
      </c>
      <c r="AE94" t="s">
        <v>34474</v>
      </c>
      <c r="AF94" t="s">
        <v>34735</v>
      </c>
    </row>
    <row r="95" spans="1:33" x14ac:dyDescent="0.25">
      <c r="A95" t="s">
        <v>34462</v>
      </c>
      <c r="B95" t="s">
        <v>548</v>
      </c>
      <c r="C95" t="s">
        <v>550</v>
      </c>
      <c r="D95">
        <v>15.4</v>
      </c>
      <c r="E95">
        <v>15.4</v>
      </c>
      <c r="F95">
        <v>5858949</v>
      </c>
      <c r="G95">
        <v>5033705</v>
      </c>
      <c r="H95">
        <v>32.590000000000003</v>
      </c>
      <c r="I95">
        <v>31.93</v>
      </c>
      <c r="J95">
        <v>0.75</v>
      </c>
      <c r="K95">
        <v>0.75</v>
      </c>
      <c r="L95">
        <v>1</v>
      </c>
      <c r="Q95">
        <v>1</v>
      </c>
      <c r="R95">
        <v>2</v>
      </c>
      <c r="S95" t="s">
        <v>34736</v>
      </c>
      <c r="U95">
        <v>0.41005932</v>
      </c>
      <c r="V95">
        <v>5.9</v>
      </c>
      <c r="W95">
        <v>1.54</v>
      </c>
      <c r="X95" t="s">
        <v>547</v>
      </c>
      <c r="Y95" t="s">
        <v>545</v>
      </c>
      <c r="Z95" t="s">
        <v>545</v>
      </c>
      <c r="AA95" t="s">
        <v>551</v>
      </c>
      <c r="AB95" t="s">
        <v>34737</v>
      </c>
      <c r="AC95" t="s">
        <v>34484</v>
      </c>
      <c r="AD95" t="s">
        <v>8087</v>
      </c>
      <c r="AE95" t="s">
        <v>34474</v>
      </c>
      <c r="AF95" t="s">
        <v>34738</v>
      </c>
    </row>
    <row r="96" spans="1:33" x14ac:dyDescent="0.25">
      <c r="A96" t="s">
        <v>34462</v>
      </c>
      <c r="B96" t="s">
        <v>553</v>
      </c>
      <c r="C96" t="s">
        <v>555</v>
      </c>
      <c r="D96">
        <v>15.4</v>
      </c>
      <c r="E96">
        <v>15.4</v>
      </c>
      <c r="F96">
        <v>5858949</v>
      </c>
      <c r="G96">
        <v>4123338</v>
      </c>
      <c r="H96">
        <v>30.5</v>
      </c>
      <c r="I96">
        <v>35.119999999999997</v>
      </c>
      <c r="J96">
        <v>0.96</v>
      </c>
      <c r="K96">
        <v>0.96</v>
      </c>
      <c r="L96">
        <v>1</v>
      </c>
      <c r="Q96">
        <v>1</v>
      </c>
      <c r="R96">
        <v>1</v>
      </c>
      <c r="S96" t="s">
        <v>34736</v>
      </c>
      <c r="U96">
        <v>0.41005932</v>
      </c>
      <c r="V96">
        <v>5.9</v>
      </c>
      <c r="W96">
        <v>2.62</v>
      </c>
      <c r="X96" t="s">
        <v>552</v>
      </c>
      <c r="Y96" t="s">
        <v>545</v>
      </c>
      <c r="Z96" t="s">
        <v>545</v>
      </c>
      <c r="AA96" t="s">
        <v>546</v>
      </c>
      <c r="AB96" t="s">
        <v>34739</v>
      </c>
      <c r="AC96" t="s">
        <v>34484</v>
      </c>
      <c r="AD96" t="s">
        <v>8087</v>
      </c>
      <c r="AE96" t="s">
        <v>34533</v>
      </c>
      <c r="AF96" t="s">
        <v>34735</v>
      </c>
    </row>
    <row r="97" spans="1:33" x14ac:dyDescent="0.25">
      <c r="A97" t="s">
        <v>34462</v>
      </c>
      <c r="B97" t="s">
        <v>557</v>
      </c>
      <c r="C97" t="s">
        <v>559</v>
      </c>
      <c r="D97">
        <v>15.4</v>
      </c>
      <c r="E97">
        <v>15.4</v>
      </c>
      <c r="F97">
        <v>5858949</v>
      </c>
      <c r="G97">
        <v>5258606</v>
      </c>
      <c r="H97">
        <v>24.95</v>
      </c>
      <c r="I97">
        <v>27.14</v>
      </c>
      <c r="J97">
        <v>0</v>
      </c>
      <c r="K97">
        <v>0</v>
      </c>
      <c r="L97">
        <v>1</v>
      </c>
      <c r="M97">
        <v>1</v>
      </c>
      <c r="Q97">
        <v>1</v>
      </c>
      <c r="R97">
        <v>1</v>
      </c>
      <c r="S97" t="s">
        <v>34736</v>
      </c>
      <c r="U97">
        <v>0.28660059999999998</v>
      </c>
      <c r="V97">
        <v>5.12</v>
      </c>
      <c r="W97">
        <v>1.54</v>
      </c>
      <c r="X97" t="s">
        <v>556</v>
      </c>
      <c r="Y97" t="s">
        <v>545</v>
      </c>
      <c r="Z97" t="s">
        <v>545</v>
      </c>
      <c r="AA97" t="s">
        <v>546</v>
      </c>
      <c r="AB97" t="s">
        <v>34740</v>
      </c>
      <c r="AC97" t="s">
        <v>34493</v>
      </c>
      <c r="AD97" t="s">
        <v>8087</v>
      </c>
      <c r="AE97" t="s">
        <v>14701</v>
      </c>
      <c r="AF97" t="s">
        <v>34735</v>
      </c>
      <c r="AG97" t="s">
        <v>34741</v>
      </c>
    </row>
    <row r="98" spans="1:33" x14ac:dyDescent="0.25">
      <c r="A98" t="s">
        <v>34462</v>
      </c>
      <c r="B98" t="s">
        <v>561</v>
      </c>
      <c r="C98" t="s">
        <v>563</v>
      </c>
      <c r="D98">
        <v>15.4</v>
      </c>
      <c r="E98">
        <v>15.4</v>
      </c>
      <c r="F98">
        <v>5858949</v>
      </c>
      <c r="G98">
        <v>4218806</v>
      </c>
      <c r="H98">
        <v>31.18</v>
      </c>
      <c r="I98">
        <v>29.49</v>
      </c>
      <c r="J98">
        <v>0.94</v>
      </c>
      <c r="K98">
        <v>0.94</v>
      </c>
      <c r="L98">
        <v>1</v>
      </c>
      <c r="Q98">
        <v>1</v>
      </c>
      <c r="R98">
        <v>1</v>
      </c>
      <c r="S98" t="s">
        <v>34736</v>
      </c>
      <c r="U98">
        <v>0.41005932</v>
      </c>
      <c r="V98">
        <v>5.9</v>
      </c>
      <c r="W98">
        <v>2.62</v>
      </c>
      <c r="X98" t="s">
        <v>560</v>
      </c>
      <c r="Y98" t="s">
        <v>545</v>
      </c>
      <c r="Z98" t="s">
        <v>545</v>
      </c>
      <c r="AA98" t="s">
        <v>551</v>
      </c>
      <c r="AB98" t="s">
        <v>34742</v>
      </c>
      <c r="AC98" t="s">
        <v>34484</v>
      </c>
      <c r="AD98" t="s">
        <v>8087</v>
      </c>
      <c r="AE98" t="s">
        <v>34525</v>
      </c>
      <c r="AF98" t="s">
        <v>34738</v>
      </c>
    </row>
    <row r="99" spans="1:33" x14ac:dyDescent="0.25">
      <c r="A99" t="s">
        <v>34462</v>
      </c>
      <c r="B99" t="s">
        <v>565</v>
      </c>
      <c r="C99" t="s">
        <v>567</v>
      </c>
      <c r="D99">
        <v>15.4</v>
      </c>
      <c r="E99">
        <v>15.4</v>
      </c>
      <c r="F99">
        <v>8007018</v>
      </c>
      <c r="G99">
        <v>4743039</v>
      </c>
      <c r="H99">
        <v>31.87</v>
      </c>
      <c r="I99">
        <v>21.97</v>
      </c>
      <c r="J99">
        <v>0.05</v>
      </c>
      <c r="K99">
        <v>0.05</v>
      </c>
      <c r="L99">
        <v>1</v>
      </c>
      <c r="M99">
        <v>1</v>
      </c>
      <c r="Q99">
        <v>0</v>
      </c>
      <c r="R99">
        <v>1</v>
      </c>
      <c r="S99" t="s">
        <v>34733</v>
      </c>
      <c r="U99">
        <v>0.41005932</v>
      </c>
      <c r="V99">
        <v>5.9</v>
      </c>
      <c r="W99">
        <v>1.54</v>
      </c>
      <c r="X99" t="s">
        <v>564</v>
      </c>
      <c r="Y99" t="s">
        <v>545</v>
      </c>
      <c r="Z99" t="s">
        <v>545</v>
      </c>
      <c r="AA99" t="s">
        <v>546</v>
      </c>
      <c r="AB99" t="s">
        <v>34743</v>
      </c>
      <c r="AC99" t="s">
        <v>34493</v>
      </c>
      <c r="AD99" t="s">
        <v>8087</v>
      </c>
      <c r="AE99" t="s">
        <v>34525</v>
      </c>
      <c r="AF99" t="s">
        <v>34735</v>
      </c>
      <c r="AG99" t="s">
        <v>34741</v>
      </c>
    </row>
    <row r="100" spans="1:33" x14ac:dyDescent="0.25">
      <c r="A100" t="s">
        <v>34462</v>
      </c>
      <c r="B100" t="s">
        <v>569</v>
      </c>
      <c r="C100" t="s">
        <v>571</v>
      </c>
      <c r="D100">
        <v>15.4</v>
      </c>
      <c r="E100">
        <v>15.4</v>
      </c>
      <c r="F100">
        <v>5859484</v>
      </c>
      <c r="G100">
        <v>3870954</v>
      </c>
      <c r="H100">
        <v>27.73</v>
      </c>
      <c r="I100">
        <v>21.18</v>
      </c>
      <c r="J100">
        <v>0.94</v>
      </c>
      <c r="K100">
        <v>0.94</v>
      </c>
      <c r="L100">
        <v>1</v>
      </c>
      <c r="Q100">
        <v>1</v>
      </c>
      <c r="R100">
        <v>1</v>
      </c>
      <c r="S100" t="s">
        <v>34736</v>
      </c>
      <c r="U100">
        <v>0.41005932</v>
      </c>
      <c r="V100">
        <v>5.9</v>
      </c>
      <c r="W100">
        <v>1.54</v>
      </c>
      <c r="X100" t="s">
        <v>568</v>
      </c>
      <c r="Y100" t="s">
        <v>545</v>
      </c>
      <c r="Z100" t="s">
        <v>545</v>
      </c>
      <c r="AA100" t="s">
        <v>546</v>
      </c>
      <c r="AB100" t="s">
        <v>34744</v>
      </c>
      <c r="AC100" t="s">
        <v>34484</v>
      </c>
      <c r="AD100" t="s">
        <v>8087</v>
      </c>
      <c r="AE100" t="s">
        <v>34649</v>
      </c>
      <c r="AF100" t="s">
        <v>34735</v>
      </c>
      <c r="AG100" t="s">
        <v>34741</v>
      </c>
    </row>
    <row r="101" spans="1:33" x14ac:dyDescent="0.25">
      <c r="A101" t="s">
        <v>34462</v>
      </c>
      <c r="B101" t="s">
        <v>573</v>
      </c>
      <c r="C101" t="s">
        <v>575</v>
      </c>
      <c r="D101">
        <v>9.08</v>
      </c>
      <c r="F101">
        <v>5858949</v>
      </c>
      <c r="G101">
        <v>3906237</v>
      </c>
      <c r="I101">
        <v>9.08</v>
      </c>
      <c r="J101">
        <v>1</v>
      </c>
      <c r="K101">
        <v>1</v>
      </c>
      <c r="Q101">
        <v>1</v>
      </c>
      <c r="R101">
        <v>1</v>
      </c>
      <c r="S101" t="s">
        <v>34736</v>
      </c>
      <c r="U101">
        <v>0.37478539999999999</v>
      </c>
      <c r="V101">
        <v>4.3499999999999996</v>
      </c>
      <c r="X101" t="s">
        <v>572</v>
      </c>
      <c r="Y101" t="s">
        <v>545</v>
      </c>
      <c r="Z101" t="s">
        <v>545</v>
      </c>
      <c r="AA101" t="s">
        <v>551</v>
      </c>
      <c r="AB101" t="s">
        <v>34745</v>
      </c>
      <c r="AC101" t="s">
        <v>34465</v>
      </c>
      <c r="AD101" t="s">
        <v>8087</v>
      </c>
      <c r="AE101" t="s">
        <v>34649</v>
      </c>
      <c r="AF101" t="s">
        <v>34738</v>
      </c>
    </row>
    <row r="102" spans="1:33" x14ac:dyDescent="0.25">
      <c r="A102" t="s">
        <v>34462</v>
      </c>
      <c r="B102" t="s">
        <v>578</v>
      </c>
      <c r="C102" t="s">
        <v>581</v>
      </c>
      <c r="D102">
        <v>13.91</v>
      </c>
      <c r="E102">
        <v>13.91</v>
      </c>
      <c r="F102">
        <v>12109</v>
      </c>
      <c r="G102">
        <v>4186</v>
      </c>
      <c r="H102">
        <v>23.97</v>
      </c>
      <c r="I102">
        <v>25.16</v>
      </c>
      <c r="J102">
        <v>0</v>
      </c>
      <c r="K102">
        <v>0</v>
      </c>
      <c r="L102">
        <v>1</v>
      </c>
      <c r="M102">
        <v>1</v>
      </c>
      <c r="N102">
        <v>4.2</v>
      </c>
      <c r="O102">
        <v>8</v>
      </c>
      <c r="P102">
        <v>3705</v>
      </c>
      <c r="Q102">
        <v>56</v>
      </c>
      <c r="R102">
        <v>245</v>
      </c>
      <c r="S102" t="s">
        <v>34746</v>
      </c>
      <c r="U102">
        <v>1.2610426400000001</v>
      </c>
      <c r="V102">
        <v>6.6</v>
      </c>
      <c r="W102">
        <v>0.7</v>
      </c>
      <c r="X102" t="s">
        <v>577</v>
      </c>
      <c r="Y102" t="s">
        <v>583</v>
      </c>
      <c r="Z102" t="s">
        <v>583</v>
      </c>
      <c r="AA102" t="s">
        <v>178</v>
      </c>
      <c r="AB102" t="s">
        <v>34747</v>
      </c>
      <c r="AC102" t="s">
        <v>34493</v>
      </c>
      <c r="AD102" t="s">
        <v>10970</v>
      </c>
      <c r="AE102" t="s">
        <v>34499</v>
      </c>
      <c r="AF102" t="s">
        <v>34748</v>
      </c>
      <c r="AG102" t="s">
        <v>34749</v>
      </c>
    </row>
    <row r="103" spans="1:33" x14ac:dyDescent="0.25">
      <c r="A103" t="s">
        <v>34462</v>
      </c>
      <c r="B103" t="s">
        <v>585</v>
      </c>
      <c r="C103" t="s">
        <v>587</v>
      </c>
      <c r="F103">
        <v>12109</v>
      </c>
      <c r="G103">
        <v>4244</v>
      </c>
      <c r="J103">
        <v>1</v>
      </c>
      <c r="K103">
        <v>1</v>
      </c>
      <c r="N103">
        <v>4.2</v>
      </c>
      <c r="O103">
        <v>1</v>
      </c>
      <c r="P103">
        <v>1957</v>
      </c>
      <c r="Q103">
        <v>1</v>
      </c>
      <c r="R103">
        <v>7</v>
      </c>
      <c r="S103" t="s">
        <v>34746</v>
      </c>
      <c r="U103">
        <v>1.34040896</v>
      </c>
      <c r="V103">
        <v>7.24</v>
      </c>
      <c r="X103" t="s">
        <v>584</v>
      </c>
      <c r="Y103" t="s">
        <v>583</v>
      </c>
      <c r="Z103" t="s">
        <v>583</v>
      </c>
      <c r="AA103" t="s">
        <v>178</v>
      </c>
      <c r="AB103" t="s">
        <v>34750</v>
      </c>
      <c r="AC103" t="s">
        <v>34465</v>
      </c>
      <c r="AD103" t="s">
        <v>10970</v>
      </c>
      <c r="AE103" t="s">
        <v>34503</v>
      </c>
      <c r="AF103" t="s">
        <v>34751</v>
      </c>
      <c r="AG103" t="s">
        <v>34749</v>
      </c>
    </row>
    <row r="104" spans="1:33" x14ac:dyDescent="0.25">
      <c r="A104" t="s">
        <v>34462</v>
      </c>
      <c r="B104" t="s">
        <v>590</v>
      </c>
      <c r="C104" t="s">
        <v>592</v>
      </c>
      <c r="D104">
        <v>47.67</v>
      </c>
      <c r="F104">
        <v>12109</v>
      </c>
      <c r="G104">
        <v>4075</v>
      </c>
      <c r="H104">
        <v>47.67</v>
      </c>
      <c r="I104">
        <v>42.86</v>
      </c>
      <c r="J104">
        <v>0.92</v>
      </c>
      <c r="K104">
        <v>0.92</v>
      </c>
      <c r="L104">
        <v>1</v>
      </c>
      <c r="N104">
        <v>4.2</v>
      </c>
      <c r="O104">
        <v>4</v>
      </c>
      <c r="P104">
        <v>3447</v>
      </c>
      <c r="Q104">
        <v>9</v>
      </c>
      <c r="R104">
        <v>45</v>
      </c>
      <c r="S104" t="s">
        <v>34746</v>
      </c>
      <c r="U104">
        <v>3.9683160000000002E-2</v>
      </c>
      <c r="V104">
        <v>7.08</v>
      </c>
      <c r="X104" t="s">
        <v>589</v>
      </c>
      <c r="Y104" t="s">
        <v>583</v>
      </c>
      <c r="Z104" t="s">
        <v>583</v>
      </c>
      <c r="AA104" t="s">
        <v>178</v>
      </c>
      <c r="AB104" t="s">
        <v>34752</v>
      </c>
      <c r="AC104" t="s">
        <v>34465</v>
      </c>
      <c r="AD104" t="s">
        <v>10970</v>
      </c>
      <c r="AE104" t="s">
        <v>34753</v>
      </c>
      <c r="AF104" t="s">
        <v>34751</v>
      </c>
      <c r="AG104" t="s">
        <v>34749</v>
      </c>
    </row>
    <row r="105" spans="1:33" x14ac:dyDescent="0.25">
      <c r="A105" t="s">
        <v>34462</v>
      </c>
      <c r="B105" t="s">
        <v>595</v>
      </c>
      <c r="C105" t="s">
        <v>597</v>
      </c>
      <c r="D105">
        <v>35.770000000000003</v>
      </c>
      <c r="F105">
        <v>12109</v>
      </c>
      <c r="G105">
        <v>3927</v>
      </c>
      <c r="I105">
        <v>35.770000000000003</v>
      </c>
      <c r="J105">
        <v>1</v>
      </c>
      <c r="K105">
        <v>1</v>
      </c>
      <c r="N105">
        <v>4.2</v>
      </c>
      <c r="O105">
        <v>1</v>
      </c>
      <c r="P105">
        <v>2117</v>
      </c>
      <c r="Q105">
        <v>6</v>
      </c>
      <c r="R105">
        <v>26</v>
      </c>
      <c r="S105" t="s">
        <v>34746</v>
      </c>
      <c r="U105">
        <v>1.4219799</v>
      </c>
      <c r="V105">
        <v>7.08</v>
      </c>
      <c r="X105" t="s">
        <v>594</v>
      </c>
      <c r="Y105" t="s">
        <v>583</v>
      </c>
      <c r="Z105" t="s">
        <v>583</v>
      </c>
      <c r="AA105" t="s">
        <v>178</v>
      </c>
      <c r="AB105" t="s">
        <v>34754</v>
      </c>
      <c r="AC105" t="s">
        <v>34465</v>
      </c>
      <c r="AD105" t="s">
        <v>10970</v>
      </c>
      <c r="AE105" t="s">
        <v>34755</v>
      </c>
      <c r="AF105" t="s">
        <v>34751</v>
      </c>
      <c r="AG105" t="s">
        <v>34749</v>
      </c>
    </row>
    <row r="106" spans="1:33" x14ac:dyDescent="0.25">
      <c r="A106" t="s">
        <v>34462</v>
      </c>
      <c r="B106" t="s">
        <v>600</v>
      </c>
      <c r="C106" t="s">
        <v>602</v>
      </c>
      <c r="D106">
        <v>27.82</v>
      </c>
      <c r="F106">
        <v>12109</v>
      </c>
      <c r="G106">
        <v>4090</v>
      </c>
      <c r="H106">
        <v>27.82</v>
      </c>
      <c r="I106">
        <v>34.46</v>
      </c>
      <c r="J106">
        <v>0.98</v>
      </c>
      <c r="K106">
        <v>0.98</v>
      </c>
      <c r="L106">
        <v>1</v>
      </c>
      <c r="N106">
        <v>4.2</v>
      </c>
      <c r="O106">
        <v>1</v>
      </c>
      <c r="P106">
        <v>2443</v>
      </c>
      <c r="Q106">
        <v>2</v>
      </c>
      <c r="R106">
        <v>19</v>
      </c>
      <c r="S106" t="s">
        <v>34746</v>
      </c>
      <c r="U106">
        <v>1.4594584399999999</v>
      </c>
      <c r="V106">
        <v>7.08</v>
      </c>
      <c r="X106" t="s">
        <v>599</v>
      </c>
      <c r="Y106" t="s">
        <v>583</v>
      </c>
      <c r="Z106" t="s">
        <v>583</v>
      </c>
      <c r="AA106" t="s">
        <v>178</v>
      </c>
      <c r="AB106" t="s">
        <v>34756</v>
      </c>
      <c r="AC106" t="s">
        <v>34465</v>
      </c>
      <c r="AD106" t="s">
        <v>10970</v>
      </c>
      <c r="AE106" t="s">
        <v>34757</v>
      </c>
      <c r="AF106" t="s">
        <v>34751</v>
      </c>
      <c r="AG106" t="s">
        <v>34749</v>
      </c>
    </row>
    <row r="107" spans="1:33" x14ac:dyDescent="0.25">
      <c r="A107" t="s">
        <v>34462</v>
      </c>
      <c r="B107" t="s">
        <v>604</v>
      </c>
      <c r="C107" t="s">
        <v>607</v>
      </c>
      <c r="D107">
        <v>88.5</v>
      </c>
      <c r="E107">
        <v>79.55</v>
      </c>
      <c r="F107">
        <v>2131921</v>
      </c>
      <c r="G107">
        <v>2576773</v>
      </c>
      <c r="H107">
        <v>100.12</v>
      </c>
      <c r="I107">
        <v>108.46</v>
      </c>
      <c r="J107">
        <v>0</v>
      </c>
      <c r="K107">
        <v>0</v>
      </c>
      <c r="L107">
        <v>3</v>
      </c>
      <c r="M107">
        <v>2</v>
      </c>
      <c r="Q107">
        <v>2</v>
      </c>
      <c r="R107">
        <v>7</v>
      </c>
      <c r="S107" t="s">
        <v>34758</v>
      </c>
      <c r="U107">
        <v>2.5992469800000002</v>
      </c>
      <c r="V107">
        <v>16.45</v>
      </c>
      <c r="W107">
        <v>15.05</v>
      </c>
      <c r="X107" t="s">
        <v>603</v>
      </c>
      <c r="Y107" t="s">
        <v>34759</v>
      </c>
      <c r="Z107" t="s">
        <v>608</v>
      </c>
      <c r="AA107" t="s">
        <v>609</v>
      </c>
      <c r="AB107" t="s">
        <v>34760</v>
      </c>
      <c r="AC107" t="s">
        <v>34493</v>
      </c>
      <c r="AD107" t="s">
        <v>12423</v>
      </c>
      <c r="AE107" t="s">
        <v>34533</v>
      </c>
      <c r="AF107" t="s">
        <v>34761</v>
      </c>
      <c r="AG107" t="s">
        <v>34762</v>
      </c>
    </row>
    <row r="108" spans="1:33" x14ac:dyDescent="0.25">
      <c r="A108" t="s">
        <v>34462</v>
      </c>
      <c r="B108" t="s">
        <v>611</v>
      </c>
      <c r="C108" t="s">
        <v>607</v>
      </c>
      <c r="D108">
        <v>63.07</v>
      </c>
      <c r="E108">
        <v>63.07</v>
      </c>
      <c r="F108">
        <v>2131921</v>
      </c>
      <c r="G108">
        <v>2656183</v>
      </c>
      <c r="H108">
        <v>79.430000000000007</v>
      </c>
      <c r="I108">
        <v>100.69</v>
      </c>
      <c r="J108">
        <v>0</v>
      </c>
      <c r="K108">
        <v>0</v>
      </c>
      <c r="L108">
        <v>3</v>
      </c>
      <c r="M108">
        <v>2</v>
      </c>
      <c r="Q108">
        <v>2</v>
      </c>
      <c r="R108">
        <v>6</v>
      </c>
      <c r="S108" t="s">
        <v>34758</v>
      </c>
      <c r="U108">
        <v>2.5992469800000002</v>
      </c>
      <c r="V108">
        <v>16.45</v>
      </c>
      <c r="W108">
        <v>10.72</v>
      </c>
      <c r="X108" t="s">
        <v>610</v>
      </c>
      <c r="Y108" t="s">
        <v>34759</v>
      </c>
      <c r="Z108" t="s">
        <v>614</v>
      </c>
      <c r="AA108" t="s">
        <v>609</v>
      </c>
      <c r="AB108" t="s">
        <v>34763</v>
      </c>
      <c r="AC108" t="s">
        <v>34493</v>
      </c>
      <c r="AD108" t="s">
        <v>12423</v>
      </c>
      <c r="AE108" t="s">
        <v>14701</v>
      </c>
      <c r="AF108" t="s">
        <v>34761</v>
      </c>
      <c r="AG108" t="s">
        <v>34762</v>
      </c>
    </row>
    <row r="109" spans="1:33" x14ac:dyDescent="0.25">
      <c r="A109" t="s">
        <v>34462</v>
      </c>
      <c r="B109" t="s">
        <v>616</v>
      </c>
      <c r="C109" t="s">
        <v>619</v>
      </c>
      <c r="D109">
        <v>15.99</v>
      </c>
      <c r="E109">
        <v>15.99</v>
      </c>
      <c r="F109">
        <v>341368</v>
      </c>
      <c r="G109">
        <v>264092</v>
      </c>
      <c r="H109">
        <v>13.03</v>
      </c>
      <c r="I109">
        <v>14.14</v>
      </c>
      <c r="J109">
        <v>0</v>
      </c>
      <c r="K109">
        <v>0.37</v>
      </c>
      <c r="L109">
        <v>3</v>
      </c>
      <c r="M109">
        <v>1</v>
      </c>
      <c r="N109">
        <v>4.7</v>
      </c>
      <c r="P109">
        <v>36</v>
      </c>
      <c r="Q109">
        <v>11</v>
      </c>
      <c r="R109">
        <v>38</v>
      </c>
      <c r="U109">
        <v>1.1023099999999999</v>
      </c>
      <c r="V109">
        <v>5.77</v>
      </c>
      <c r="X109" t="s">
        <v>615</v>
      </c>
      <c r="Y109" t="s">
        <v>620</v>
      </c>
      <c r="Z109" t="s">
        <v>620</v>
      </c>
      <c r="AA109" t="s">
        <v>497</v>
      </c>
      <c r="AB109" t="s">
        <v>34764</v>
      </c>
      <c r="AC109" t="s">
        <v>34465</v>
      </c>
      <c r="AD109" t="s">
        <v>30204</v>
      </c>
      <c r="AF109" t="s">
        <v>34765</v>
      </c>
      <c r="AG109" t="s">
        <v>34766</v>
      </c>
    </row>
    <row r="110" spans="1:33" x14ac:dyDescent="0.25">
      <c r="A110" t="s">
        <v>34462</v>
      </c>
      <c r="B110" t="s">
        <v>622</v>
      </c>
      <c r="C110" t="s">
        <v>625</v>
      </c>
      <c r="D110">
        <v>45</v>
      </c>
      <c r="E110">
        <v>45</v>
      </c>
      <c r="F110">
        <v>842540</v>
      </c>
      <c r="G110">
        <v>362090</v>
      </c>
      <c r="H110">
        <v>78.16</v>
      </c>
      <c r="I110">
        <v>81.56</v>
      </c>
      <c r="J110">
        <v>0</v>
      </c>
      <c r="K110">
        <v>0</v>
      </c>
      <c r="L110">
        <v>1</v>
      </c>
      <c r="M110">
        <v>1</v>
      </c>
      <c r="N110">
        <v>4.3</v>
      </c>
      <c r="O110">
        <v>0</v>
      </c>
      <c r="P110">
        <v>25</v>
      </c>
      <c r="Q110">
        <v>11</v>
      </c>
      <c r="R110">
        <v>46</v>
      </c>
      <c r="S110" t="s">
        <v>34767</v>
      </c>
      <c r="U110">
        <v>2.2509170200000002</v>
      </c>
      <c r="V110">
        <v>16.07</v>
      </c>
      <c r="W110">
        <v>7.65</v>
      </c>
      <c r="X110" t="s">
        <v>621</v>
      </c>
      <c r="Y110" t="s">
        <v>627</v>
      </c>
      <c r="Z110" t="s">
        <v>627</v>
      </c>
      <c r="AA110" t="s">
        <v>628</v>
      </c>
      <c r="AB110" t="s">
        <v>34768</v>
      </c>
      <c r="AC110" t="s">
        <v>34493</v>
      </c>
      <c r="AD110" t="s">
        <v>10970</v>
      </c>
      <c r="AE110" t="s">
        <v>34533</v>
      </c>
      <c r="AF110" t="s">
        <v>34769</v>
      </c>
      <c r="AG110" t="s">
        <v>34770</v>
      </c>
    </row>
    <row r="111" spans="1:33" x14ac:dyDescent="0.25">
      <c r="A111" t="s">
        <v>34462</v>
      </c>
      <c r="B111" t="s">
        <v>630</v>
      </c>
      <c r="C111" t="s">
        <v>632</v>
      </c>
      <c r="D111">
        <v>45</v>
      </c>
      <c r="E111">
        <v>45</v>
      </c>
      <c r="F111">
        <v>842540</v>
      </c>
      <c r="G111">
        <v>365649</v>
      </c>
      <c r="H111">
        <v>81.92</v>
      </c>
      <c r="I111">
        <v>88.83</v>
      </c>
      <c r="J111">
        <v>0</v>
      </c>
      <c r="K111">
        <v>0</v>
      </c>
      <c r="L111">
        <v>1</v>
      </c>
      <c r="M111">
        <v>1</v>
      </c>
      <c r="N111">
        <v>4.4000000000000004</v>
      </c>
      <c r="O111">
        <v>0</v>
      </c>
      <c r="P111">
        <v>26</v>
      </c>
      <c r="Q111">
        <v>12</v>
      </c>
      <c r="R111">
        <v>34</v>
      </c>
      <c r="S111" t="s">
        <v>34767</v>
      </c>
      <c r="U111">
        <v>2.4471281999999999</v>
      </c>
      <c r="V111">
        <v>21.01</v>
      </c>
      <c r="W111">
        <v>7.65</v>
      </c>
      <c r="X111" t="s">
        <v>629</v>
      </c>
      <c r="Y111" t="s">
        <v>634</v>
      </c>
      <c r="Z111" t="s">
        <v>634</v>
      </c>
      <c r="AA111" t="s">
        <v>635</v>
      </c>
      <c r="AB111" t="s">
        <v>34771</v>
      </c>
      <c r="AC111" t="s">
        <v>34493</v>
      </c>
      <c r="AD111" t="s">
        <v>10970</v>
      </c>
      <c r="AE111" t="s">
        <v>34533</v>
      </c>
      <c r="AF111" t="s">
        <v>34772</v>
      </c>
      <c r="AG111" t="s">
        <v>34770</v>
      </c>
    </row>
    <row r="112" spans="1:33" x14ac:dyDescent="0.25">
      <c r="A112" t="s">
        <v>34462</v>
      </c>
      <c r="B112" t="s">
        <v>637</v>
      </c>
      <c r="C112" t="s">
        <v>625</v>
      </c>
      <c r="D112">
        <v>45</v>
      </c>
      <c r="E112">
        <v>45</v>
      </c>
      <c r="F112">
        <v>842540</v>
      </c>
      <c r="G112">
        <v>363950</v>
      </c>
      <c r="H112">
        <v>68.69</v>
      </c>
      <c r="I112">
        <v>76.47</v>
      </c>
      <c r="J112">
        <v>0</v>
      </c>
      <c r="K112">
        <v>0</v>
      </c>
      <c r="L112">
        <v>1</v>
      </c>
      <c r="M112">
        <v>1</v>
      </c>
      <c r="N112">
        <v>4.3</v>
      </c>
      <c r="O112">
        <v>0</v>
      </c>
      <c r="P112">
        <v>25</v>
      </c>
      <c r="Q112">
        <v>10</v>
      </c>
      <c r="R112">
        <v>48</v>
      </c>
      <c r="S112" t="s">
        <v>34767</v>
      </c>
      <c r="U112">
        <v>2.5397222400000001</v>
      </c>
      <c r="V112">
        <v>15.69</v>
      </c>
      <c r="W112">
        <v>7.65</v>
      </c>
      <c r="X112" t="s">
        <v>636</v>
      </c>
      <c r="Y112" t="s">
        <v>640</v>
      </c>
      <c r="Z112" t="s">
        <v>640</v>
      </c>
      <c r="AA112" t="s">
        <v>628</v>
      </c>
      <c r="AB112" t="s">
        <v>34773</v>
      </c>
      <c r="AC112" t="s">
        <v>34493</v>
      </c>
      <c r="AD112" t="s">
        <v>10970</v>
      </c>
      <c r="AE112" t="s">
        <v>14701</v>
      </c>
      <c r="AF112" t="s">
        <v>34769</v>
      </c>
      <c r="AG112" t="s">
        <v>34770</v>
      </c>
    </row>
    <row r="113" spans="1:33" x14ac:dyDescent="0.25">
      <c r="A113" t="s">
        <v>34462</v>
      </c>
      <c r="B113" t="s">
        <v>642</v>
      </c>
      <c r="C113" t="s">
        <v>632</v>
      </c>
      <c r="D113">
        <v>45</v>
      </c>
      <c r="E113">
        <v>45</v>
      </c>
      <c r="F113">
        <v>842540</v>
      </c>
      <c r="G113">
        <v>369819</v>
      </c>
      <c r="H113">
        <v>83.87</v>
      </c>
      <c r="I113">
        <v>87.44</v>
      </c>
      <c r="J113">
        <v>0</v>
      </c>
      <c r="K113">
        <v>0</v>
      </c>
      <c r="L113">
        <v>1</v>
      </c>
      <c r="M113">
        <v>1</v>
      </c>
      <c r="N113">
        <v>4.3</v>
      </c>
      <c r="O113">
        <v>0</v>
      </c>
      <c r="P113">
        <v>25</v>
      </c>
      <c r="Q113">
        <v>10</v>
      </c>
      <c r="R113">
        <v>48</v>
      </c>
      <c r="S113" t="s">
        <v>34767</v>
      </c>
      <c r="U113">
        <v>2.2509170200000002</v>
      </c>
      <c r="V113">
        <v>16.07</v>
      </c>
      <c r="W113">
        <v>7.65</v>
      </c>
      <c r="X113" t="s">
        <v>641</v>
      </c>
      <c r="Y113" t="s">
        <v>645</v>
      </c>
      <c r="Z113" t="s">
        <v>645</v>
      </c>
      <c r="AA113" t="s">
        <v>635</v>
      </c>
      <c r="AB113" t="s">
        <v>34774</v>
      </c>
      <c r="AC113" t="s">
        <v>34493</v>
      </c>
      <c r="AD113" t="s">
        <v>10970</v>
      </c>
      <c r="AE113" t="s">
        <v>14701</v>
      </c>
      <c r="AF113" t="s">
        <v>34772</v>
      </c>
      <c r="AG113" t="s">
        <v>34770</v>
      </c>
    </row>
    <row r="114" spans="1:33" x14ac:dyDescent="0.25">
      <c r="A114" t="s">
        <v>34462</v>
      </c>
      <c r="B114" t="s">
        <v>647</v>
      </c>
      <c r="C114" t="s">
        <v>625</v>
      </c>
      <c r="D114">
        <v>38.76</v>
      </c>
      <c r="E114">
        <v>38.76</v>
      </c>
      <c r="F114">
        <v>842540</v>
      </c>
      <c r="G114">
        <v>346393</v>
      </c>
      <c r="H114">
        <v>51.38</v>
      </c>
      <c r="I114">
        <v>62.62</v>
      </c>
      <c r="J114">
        <v>0</v>
      </c>
      <c r="K114">
        <v>0</v>
      </c>
      <c r="L114">
        <v>1</v>
      </c>
      <c r="M114">
        <v>1</v>
      </c>
      <c r="N114">
        <v>4.3</v>
      </c>
      <c r="O114">
        <v>0</v>
      </c>
      <c r="P114">
        <v>25</v>
      </c>
      <c r="Q114">
        <v>12</v>
      </c>
      <c r="R114">
        <v>44</v>
      </c>
      <c r="S114" t="s">
        <v>34767</v>
      </c>
      <c r="U114">
        <v>2.2509170200000002</v>
      </c>
      <c r="V114">
        <v>16.07</v>
      </c>
      <c r="W114">
        <v>6.59</v>
      </c>
      <c r="X114" t="s">
        <v>646</v>
      </c>
      <c r="Y114" t="s">
        <v>650</v>
      </c>
      <c r="Z114" t="s">
        <v>650</v>
      </c>
      <c r="AA114" t="s">
        <v>628</v>
      </c>
      <c r="AB114" t="s">
        <v>34775</v>
      </c>
      <c r="AC114" t="s">
        <v>34493</v>
      </c>
      <c r="AD114" t="s">
        <v>10970</v>
      </c>
      <c r="AE114" t="s">
        <v>34525</v>
      </c>
      <c r="AF114" t="s">
        <v>34769</v>
      </c>
      <c r="AG114" t="s">
        <v>34770</v>
      </c>
    </row>
    <row r="115" spans="1:33" x14ac:dyDescent="0.25">
      <c r="A115" t="s">
        <v>34462</v>
      </c>
      <c r="B115" t="s">
        <v>652</v>
      </c>
      <c r="C115" t="s">
        <v>632</v>
      </c>
      <c r="D115">
        <v>45</v>
      </c>
      <c r="E115">
        <v>45</v>
      </c>
      <c r="F115">
        <v>842540</v>
      </c>
      <c r="G115">
        <v>395028</v>
      </c>
      <c r="H115">
        <v>86.87</v>
      </c>
      <c r="I115">
        <v>91.35</v>
      </c>
      <c r="J115">
        <v>0</v>
      </c>
      <c r="K115">
        <v>0</v>
      </c>
      <c r="L115">
        <v>1</v>
      </c>
      <c r="M115">
        <v>1</v>
      </c>
      <c r="N115">
        <v>4.3</v>
      </c>
      <c r="O115">
        <v>0</v>
      </c>
      <c r="P115">
        <v>25</v>
      </c>
      <c r="Q115">
        <v>8</v>
      </c>
      <c r="R115">
        <v>32</v>
      </c>
      <c r="S115" t="s">
        <v>34767</v>
      </c>
      <c r="U115">
        <v>2.2509170200000002</v>
      </c>
      <c r="V115">
        <v>16.07</v>
      </c>
      <c r="W115">
        <v>7.65</v>
      </c>
      <c r="X115" t="s">
        <v>651</v>
      </c>
      <c r="Y115" t="s">
        <v>655</v>
      </c>
      <c r="Z115" t="s">
        <v>655</v>
      </c>
      <c r="AA115" t="s">
        <v>635</v>
      </c>
      <c r="AB115" t="s">
        <v>34776</v>
      </c>
      <c r="AC115" t="s">
        <v>34493</v>
      </c>
      <c r="AD115" t="s">
        <v>10970</v>
      </c>
      <c r="AE115" t="s">
        <v>34525</v>
      </c>
      <c r="AF115" t="s">
        <v>34772</v>
      </c>
      <c r="AG115" t="s">
        <v>34770</v>
      </c>
    </row>
    <row r="116" spans="1:33" x14ac:dyDescent="0.25">
      <c r="A116" t="s">
        <v>34462</v>
      </c>
      <c r="B116" t="s">
        <v>657</v>
      </c>
      <c r="C116" t="s">
        <v>625</v>
      </c>
      <c r="D116">
        <v>40.47</v>
      </c>
      <c r="E116">
        <v>40.47</v>
      </c>
      <c r="F116">
        <v>842540</v>
      </c>
      <c r="G116">
        <v>361833</v>
      </c>
      <c r="H116">
        <v>53.38</v>
      </c>
      <c r="I116">
        <v>67.06</v>
      </c>
      <c r="J116">
        <v>0</v>
      </c>
      <c r="K116">
        <v>0</v>
      </c>
      <c r="L116">
        <v>1</v>
      </c>
      <c r="M116">
        <v>1</v>
      </c>
      <c r="N116">
        <v>4.4000000000000004</v>
      </c>
      <c r="O116">
        <v>0</v>
      </c>
      <c r="P116">
        <v>26</v>
      </c>
      <c r="Q116">
        <v>9</v>
      </c>
      <c r="R116">
        <v>39</v>
      </c>
      <c r="S116" t="s">
        <v>34767</v>
      </c>
      <c r="U116">
        <v>2.2509170200000002</v>
      </c>
      <c r="V116">
        <v>16.07</v>
      </c>
      <c r="W116">
        <v>6.88</v>
      </c>
      <c r="X116" t="s">
        <v>656</v>
      </c>
      <c r="Y116" t="s">
        <v>660</v>
      </c>
      <c r="Z116" t="s">
        <v>660</v>
      </c>
      <c r="AA116" t="s">
        <v>628</v>
      </c>
      <c r="AB116" t="s">
        <v>34777</v>
      </c>
      <c r="AC116" t="s">
        <v>34493</v>
      </c>
      <c r="AD116" t="s">
        <v>10970</v>
      </c>
      <c r="AE116" t="s">
        <v>34649</v>
      </c>
      <c r="AF116" t="s">
        <v>34769</v>
      </c>
      <c r="AG116" t="s">
        <v>34770</v>
      </c>
    </row>
    <row r="117" spans="1:33" x14ac:dyDescent="0.25">
      <c r="A117" t="s">
        <v>34462</v>
      </c>
      <c r="B117" t="s">
        <v>662</v>
      </c>
      <c r="C117" t="s">
        <v>632</v>
      </c>
      <c r="D117">
        <v>45</v>
      </c>
      <c r="E117">
        <v>45</v>
      </c>
      <c r="F117">
        <v>842540</v>
      </c>
      <c r="G117">
        <v>358772</v>
      </c>
      <c r="H117">
        <v>70.37</v>
      </c>
      <c r="I117">
        <v>73.12</v>
      </c>
      <c r="J117">
        <v>0</v>
      </c>
      <c r="K117">
        <v>0</v>
      </c>
      <c r="L117">
        <v>1</v>
      </c>
      <c r="M117">
        <v>1</v>
      </c>
      <c r="N117">
        <v>4.3</v>
      </c>
      <c r="O117">
        <v>0</v>
      </c>
      <c r="P117">
        <v>25</v>
      </c>
      <c r="Q117">
        <v>11</v>
      </c>
      <c r="R117">
        <v>67</v>
      </c>
      <c r="S117" t="s">
        <v>34767</v>
      </c>
      <c r="U117">
        <v>2.2509170200000002</v>
      </c>
      <c r="V117">
        <v>16.07</v>
      </c>
      <c r="W117">
        <v>7.65</v>
      </c>
      <c r="X117" t="s">
        <v>661</v>
      </c>
      <c r="Y117" t="s">
        <v>665</v>
      </c>
      <c r="Z117" t="s">
        <v>665</v>
      </c>
      <c r="AA117" t="s">
        <v>635</v>
      </c>
      <c r="AB117" t="s">
        <v>34778</v>
      </c>
      <c r="AC117" t="s">
        <v>34493</v>
      </c>
      <c r="AD117" t="s">
        <v>10970</v>
      </c>
      <c r="AE117" t="s">
        <v>34649</v>
      </c>
      <c r="AF117" t="s">
        <v>34772</v>
      </c>
      <c r="AG117" t="s">
        <v>34770</v>
      </c>
    </row>
    <row r="118" spans="1:33" x14ac:dyDescent="0.25">
      <c r="A118" t="s">
        <v>34462</v>
      </c>
      <c r="B118" t="s">
        <v>667</v>
      </c>
      <c r="C118" t="s">
        <v>670</v>
      </c>
      <c r="D118">
        <v>32.99</v>
      </c>
      <c r="E118">
        <v>32.99</v>
      </c>
      <c r="F118">
        <v>30056</v>
      </c>
      <c r="G118">
        <v>14897</v>
      </c>
      <c r="H118">
        <v>32.869999999999997</v>
      </c>
      <c r="I118">
        <v>32.64</v>
      </c>
      <c r="J118">
        <v>0</v>
      </c>
      <c r="K118">
        <v>0</v>
      </c>
      <c r="L118">
        <v>3</v>
      </c>
      <c r="M118">
        <v>2</v>
      </c>
      <c r="N118">
        <v>4.5</v>
      </c>
      <c r="O118">
        <v>2</v>
      </c>
      <c r="P118">
        <v>4294</v>
      </c>
      <c r="Q118">
        <v>13</v>
      </c>
      <c r="R118">
        <v>46</v>
      </c>
      <c r="S118" t="s">
        <v>34779</v>
      </c>
      <c r="U118">
        <v>0.84657408000000001</v>
      </c>
      <c r="V118">
        <v>7.56</v>
      </c>
      <c r="W118">
        <v>5.61</v>
      </c>
      <c r="X118" t="s">
        <v>666</v>
      </c>
      <c r="Y118" t="s">
        <v>34780</v>
      </c>
      <c r="Z118" t="s">
        <v>672</v>
      </c>
      <c r="AA118" t="s">
        <v>673</v>
      </c>
      <c r="AB118" t="s">
        <v>34781</v>
      </c>
      <c r="AC118" t="s">
        <v>34493</v>
      </c>
      <c r="AD118" t="s">
        <v>11335</v>
      </c>
      <c r="AE118" t="s">
        <v>34782</v>
      </c>
      <c r="AF118" t="s">
        <v>34783</v>
      </c>
      <c r="AG118" t="s">
        <v>34784</v>
      </c>
    </row>
    <row r="119" spans="1:33" x14ac:dyDescent="0.25">
      <c r="A119" t="s">
        <v>34462</v>
      </c>
      <c r="B119" t="s">
        <v>675</v>
      </c>
      <c r="C119" t="s">
        <v>678</v>
      </c>
      <c r="D119">
        <v>17.03</v>
      </c>
      <c r="E119">
        <v>17.03</v>
      </c>
      <c r="F119">
        <v>1321995</v>
      </c>
      <c r="G119">
        <v>992683</v>
      </c>
      <c r="H119">
        <v>18.25</v>
      </c>
      <c r="I119">
        <v>17.72</v>
      </c>
      <c r="J119">
        <v>0</v>
      </c>
      <c r="K119">
        <v>0</v>
      </c>
      <c r="L119">
        <v>1</v>
      </c>
      <c r="M119">
        <v>1</v>
      </c>
      <c r="N119">
        <v>5</v>
      </c>
      <c r="O119">
        <v>0</v>
      </c>
      <c r="P119">
        <v>2</v>
      </c>
      <c r="Q119">
        <v>6</v>
      </c>
      <c r="R119">
        <v>17</v>
      </c>
      <c r="S119" t="s">
        <v>34785</v>
      </c>
      <c r="U119">
        <v>1.1133331</v>
      </c>
      <c r="V119">
        <v>6.81</v>
      </c>
      <c r="W119">
        <v>1.7</v>
      </c>
      <c r="X119" t="s">
        <v>674</v>
      </c>
      <c r="Y119" t="s">
        <v>679</v>
      </c>
      <c r="Z119" t="s">
        <v>679</v>
      </c>
      <c r="AA119" t="s">
        <v>680</v>
      </c>
      <c r="AB119" t="s">
        <v>34786</v>
      </c>
      <c r="AC119" t="s">
        <v>34493</v>
      </c>
      <c r="AD119" t="s">
        <v>34787</v>
      </c>
      <c r="AE119" t="s">
        <v>53</v>
      </c>
      <c r="AF119" t="s">
        <v>34788</v>
      </c>
      <c r="AG119" t="s">
        <v>34789</v>
      </c>
    </row>
    <row r="120" spans="1:33" x14ac:dyDescent="0.25">
      <c r="A120" t="s">
        <v>34462</v>
      </c>
      <c r="B120" t="s">
        <v>682</v>
      </c>
      <c r="C120" t="s">
        <v>684</v>
      </c>
      <c r="D120">
        <v>33.94</v>
      </c>
      <c r="E120">
        <v>33.94</v>
      </c>
      <c r="F120">
        <v>1275331</v>
      </c>
      <c r="G120">
        <v>968338</v>
      </c>
      <c r="H120">
        <v>27.43</v>
      </c>
      <c r="I120">
        <v>23.29</v>
      </c>
      <c r="J120">
        <v>0</v>
      </c>
      <c r="K120">
        <v>0</v>
      </c>
      <c r="L120">
        <v>1</v>
      </c>
      <c r="M120">
        <v>1</v>
      </c>
      <c r="N120">
        <v>5</v>
      </c>
      <c r="O120">
        <v>0</v>
      </c>
      <c r="P120">
        <v>2</v>
      </c>
      <c r="Q120">
        <v>7</v>
      </c>
      <c r="R120">
        <v>23</v>
      </c>
      <c r="S120" t="s">
        <v>34785</v>
      </c>
      <c r="U120">
        <v>1.1133331</v>
      </c>
      <c r="V120">
        <v>6.81</v>
      </c>
      <c r="W120">
        <v>5.77</v>
      </c>
      <c r="X120" t="s">
        <v>681</v>
      </c>
      <c r="Y120" t="s">
        <v>679</v>
      </c>
      <c r="Z120" t="s">
        <v>679</v>
      </c>
      <c r="AA120" t="s">
        <v>76</v>
      </c>
      <c r="AB120" t="s">
        <v>34790</v>
      </c>
      <c r="AC120" t="s">
        <v>34493</v>
      </c>
      <c r="AD120" t="s">
        <v>34787</v>
      </c>
      <c r="AE120" t="s">
        <v>53</v>
      </c>
      <c r="AF120" t="s">
        <v>34791</v>
      </c>
      <c r="AG120" t="s">
        <v>34789</v>
      </c>
    </row>
    <row r="121" spans="1:33" x14ac:dyDescent="0.25">
      <c r="A121" t="s">
        <v>34462</v>
      </c>
      <c r="B121" t="s">
        <v>686</v>
      </c>
      <c r="C121" t="s">
        <v>688</v>
      </c>
      <c r="D121">
        <v>15</v>
      </c>
      <c r="E121">
        <v>15</v>
      </c>
      <c r="F121">
        <v>1303690</v>
      </c>
      <c r="G121">
        <v>1012462</v>
      </c>
      <c r="H121">
        <v>21.95</v>
      </c>
      <c r="I121">
        <v>18.09</v>
      </c>
      <c r="J121">
        <v>0</v>
      </c>
      <c r="K121">
        <v>0</v>
      </c>
      <c r="L121">
        <v>2</v>
      </c>
      <c r="M121">
        <v>2</v>
      </c>
      <c r="N121">
        <v>5</v>
      </c>
      <c r="O121">
        <v>0</v>
      </c>
      <c r="P121">
        <v>2</v>
      </c>
      <c r="Q121">
        <v>4</v>
      </c>
      <c r="R121">
        <v>15</v>
      </c>
      <c r="S121" t="s">
        <v>34785</v>
      </c>
      <c r="U121">
        <v>1.1133331</v>
      </c>
      <c r="V121">
        <v>6.81</v>
      </c>
      <c r="W121">
        <v>2.5499999999999998</v>
      </c>
      <c r="X121" t="s">
        <v>685</v>
      </c>
      <c r="Y121" t="s">
        <v>679</v>
      </c>
      <c r="Z121" t="s">
        <v>679</v>
      </c>
      <c r="AA121" t="s">
        <v>680</v>
      </c>
      <c r="AB121" t="s">
        <v>34792</v>
      </c>
      <c r="AC121" t="s">
        <v>34493</v>
      </c>
      <c r="AD121" t="s">
        <v>34787</v>
      </c>
      <c r="AE121" t="s">
        <v>342</v>
      </c>
      <c r="AF121" t="s">
        <v>34788</v>
      </c>
      <c r="AG121" t="s">
        <v>34789</v>
      </c>
    </row>
    <row r="122" spans="1:33" x14ac:dyDescent="0.25">
      <c r="A122" t="s">
        <v>34462</v>
      </c>
      <c r="B122" t="s">
        <v>690</v>
      </c>
      <c r="C122" t="s">
        <v>692</v>
      </c>
      <c r="D122">
        <v>33.619999999999997</v>
      </c>
      <c r="E122">
        <v>33.619999999999997</v>
      </c>
      <c r="F122">
        <v>1321995</v>
      </c>
      <c r="G122">
        <v>925324</v>
      </c>
      <c r="H122">
        <v>35.97</v>
      </c>
      <c r="I122">
        <v>27.22</v>
      </c>
      <c r="J122">
        <v>0</v>
      </c>
      <c r="K122">
        <v>0</v>
      </c>
      <c r="L122">
        <v>2</v>
      </c>
      <c r="M122">
        <v>2</v>
      </c>
      <c r="N122">
        <v>5</v>
      </c>
      <c r="O122">
        <v>0</v>
      </c>
      <c r="P122">
        <v>2</v>
      </c>
      <c r="Q122">
        <v>5</v>
      </c>
      <c r="R122">
        <v>15</v>
      </c>
      <c r="S122" t="s">
        <v>34785</v>
      </c>
      <c r="U122">
        <v>1.1133331</v>
      </c>
      <c r="V122">
        <v>6.81</v>
      </c>
      <c r="W122">
        <v>5.72</v>
      </c>
      <c r="X122" t="s">
        <v>689</v>
      </c>
      <c r="Y122" t="s">
        <v>679</v>
      </c>
      <c r="Z122" t="s">
        <v>679</v>
      </c>
      <c r="AA122" t="s">
        <v>680</v>
      </c>
      <c r="AB122" t="s">
        <v>34793</v>
      </c>
      <c r="AC122" t="s">
        <v>34493</v>
      </c>
      <c r="AD122" t="s">
        <v>34787</v>
      </c>
      <c r="AE122" t="s">
        <v>106</v>
      </c>
      <c r="AF122" t="s">
        <v>34788</v>
      </c>
      <c r="AG122" t="s">
        <v>34789</v>
      </c>
    </row>
    <row r="123" spans="1:33" x14ac:dyDescent="0.25">
      <c r="A123" t="s">
        <v>34462</v>
      </c>
      <c r="B123" t="s">
        <v>694</v>
      </c>
      <c r="C123" t="s">
        <v>697</v>
      </c>
      <c r="D123">
        <v>95.7</v>
      </c>
      <c r="F123">
        <v>3328345</v>
      </c>
      <c r="G123">
        <v>2675986</v>
      </c>
      <c r="I123">
        <v>95.7</v>
      </c>
      <c r="J123">
        <v>1</v>
      </c>
      <c r="K123">
        <v>1</v>
      </c>
      <c r="N123">
        <v>5</v>
      </c>
      <c r="O123">
        <v>1</v>
      </c>
      <c r="P123">
        <v>1</v>
      </c>
      <c r="Q123">
        <v>1</v>
      </c>
      <c r="R123">
        <v>2</v>
      </c>
      <c r="S123" t="s">
        <v>34794</v>
      </c>
      <c r="U123">
        <v>1.3117489</v>
      </c>
      <c r="V123">
        <v>14.93</v>
      </c>
      <c r="X123" t="s">
        <v>693</v>
      </c>
      <c r="Y123" t="s">
        <v>699</v>
      </c>
      <c r="Z123" t="s">
        <v>699</v>
      </c>
      <c r="AA123" t="s">
        <v>700</v>
      </c>
      <c r="AB123" t="s">
        <v>34795</v>
      </c>
      <c r="AC123" t="s">
        <v>34465</v>
      </c>
      <c r="AD123" t="s">
        <v>34796</v>
      </c>
      <c r="AE123" t="s">
        <v>34533</v>
      </c>
      <c r="AF123" t="s">
        <v>34797</v>
      </c>
      <c r="AG123" t="s">
        <v>34798</v>
      </c>
    </row>
    <row r="124" spans="1:33" x14ac:dyDescent="0.25">
      <c r="A124" t="s">
        <v>34462</v>
      </c>
      <c r="B124" t="s">
        <v>702</v>
      </c>
      <c r="C124" t="s">
        <v>704</v>
      </c>
      <c r="D124">
        <v>83.02</v>
      </c>
      <c r="F124">
        <v>5986832</v>
      </c>
      <c r="G124">
        <v>5382141</v>
      </c>
      <c r="I124">
        <v>83.02</v>
      </c>
      <c r="J124">
        <v>1</v>
      </c>
      <c r="K124">
        <v>1</v>
      </c>
      <c r="N124">
        <v>5</v>
      </c>
      <c r="O124">
        <v>0</v>
      </c>
      <c r="P124">
        <v>1</v>
      </c>
      <c r="Q124">
        <v>0</v>
      </c>
      <c r="R124">
        <v>0</v>
      </c>
      <c r="S124" t="s">
        <v>34799</v>
      </c>
      <c r="U124">
        <v>1.38009212</v>
      </c>
      <c r="V124">
        <v>15.31</v>
      </c>
      <c r="X124" t="s">
        <v>701</v>
      </c>
      <c r="Y124" t="s">
        <v>699</v>
      </c>
      <c r="Z124" t="s">
        <v>699</v>
      </c>
      <c r="AA124" t="s">
        <v>76</v>
      </c>
      <c r="AB124" t="s">
        <v>34800</v>
      </c>
      <c r="AC124" t="s">
        <v>34465</v>
      </c>
      <c r="AD124" t="s">
        <v>34796</v>
      </c>
      <c r="AE124" t="s">
        <v>34533</v>
      </c>
      <c r="AF124" t="s">
        <v>34801</v>
      </c>
      <c r="AG124" t="s">
        <v>34798</v>
      </c>
    </row>
    <row r="125" spans="1:33" x14ac:dyDescent="0.25">
      <c r="A125" t="s">
        <v>34462</v>
      </c>
      <c r="B125" t="s">
        <v>707</v>
      </c>
      <c r="C125" t="s">
        <v>709</v>
      </c>
      <c r="F125">
        <v>3328345</v>
      </c>
      <c r="G125">
        <v>2505502</v>
      </c>
      <c r="J125">
        <v>1</v>
      </c>
      <c r="K125">
        <v>1</v>
      </c>
      <c r="O125">
        <v>0</v>
      </c>
      <c r="Q125">
        <v>1</v>
      </c>
      <c r="R125">
        <v>3</v>
      </c>
      <c r="S125" t="s">
        <v>34794</v>
      </c>
      <c r="U125">
        <v>1.31615814</v>
      </c>
      <c r="V125">
        <v>16.07</v>
      </c>
      <c r="X125" t="s">
        <v>706</v>
      </c>
      <c r="Y125" t="s">
        <v>699</v>
      </c>
      <c r="Z125" t="s">
        <v>699</v>
      </c>
      <c r="AA125" t="s">
        <v>710</v>
      </c>
      <c r="AB125" t="s">
        <v>34802</v>
      </c>
      <c r="AC125" t="s">
        <v>34465</v>
      </c>
      <c r="AD125" t="s">
        <v>34796</v>
      </c>
      <c r="AE125" t="s">
        <v>34533</v>
      </c>
      <c r="AF125" t="s">
        <v>34803</v>
      </c>
      <c r="AG125" t="s">
        <v>34798</v>
      </c>
    </row>
    <row r="126" spans="1:33" x14ac:dyDescent="0.25">
      <c r="A126" t="s">
        <v>34462</v>
      </c>
      <c r="B126" t="s">
        <v>712</v>
      </c>
      <c r="C126" t="s">
        <v>714</v>
      </c>
      <c r="D126">
        <v>42.5</v>
      </c>
      <c r="E126">
        <v>42.5</v>
      </c>
      <c r="F126">
        <v>3328345</v>
      </c>
      <c r="G126">
        <v>2656960</v>
      </c>
      <c r="H126">
        <v>61.6</v>
      </c>
      <c r="I126">
        <v>76.36</v>
      </c>
      <c r="J126">
        <v>0</v>
      </c>
      <c r="K126">
        <v>0</v>
      </c>
      <c r="L126">
        <v>1</v>
      </c>
      <c r="M126">
        <v>1</v>
      </c>
      <c r="N126">
        <v>4</v>
      </c>
      <c r="O126">
        <v>0</v>
      </c>
      <c r="P126">
        <v>2</v>
      </c>
      <c r="Q126">
        <v>1</v>
      </c>
      <c r="R126">
        <v>4</v>
      </c>
      <c r="S126" t="s">
        <v>34794</v>
      </c>
      <c r="U126">
        <v>1.38009212</v>
      </c>
      <c r="V126">
        <v>15.31</v>
      </c>
      <c r="W126">
        <v>7.23</v>
      </c>
      <c r="X126" t="s">
        <v>711</v>
      </c>
      <c r="Y126" t="s">
        <v>699</v>
      </c>
      <c r="Z126" t="s">
        <v>699</v>
      </c>
      <c r="AA126" t="s">
        <v>76</v>
      </c>
      <c r="AB126" t="s">
        <v>34804</v>
      </c>
      <c r="AC126" t="s">
        <v>34493</v>
      </c>
      <c r="AD126" t="s">
        <v>34796</v>
      </c>
      <c r="AE126" t="s">
        <v>14701</v>
      </c>
      <c r="AF126" t="s">
        <v>34805</v>
      </c>
      <c r="AG126" t="s">
        <v>34798</v>
      </c>
    </row>
    <row r="127" spans="1:33" x14ac:dyDescent="0.25">
      <c r="A127" t="s">
        <v>34462</v>
      </c>
      <c r="B127" t="s">
        <v>717</v>
      </c>
      <c r="C127" t="s">
        <v>719</v>
      </c>
      <c r="D127">
        <v>79.42</v>
      </c>
      <c r="E127">
        <v>79.42</v>
      </c>
      <c r="F127">
        <v>3328345</v>
      </c>
      <c r="G127">
        <v>2516095</v>
      </c>
      <c r="H127">
        <v>84.21</v>
      </c>
      <c r="I127">
        <v>83.73</v>
      </c>
      <c r="J127">
        <v>0.33</v>
      </c>
      <c r="K127">
        <v>0.33</v>
      </c>
      <c r="L127">
        <v>1</v>
      </c>
      <c r="M127">
        <v>1</v>
      </c>
      <c r="N127">
        <v>4</v>
      </c>
      <c r="O127">
        <v>0</v>
      </c>
      <c r="P127">
        <v>2</v>
      </c>
      <c r="Q127">
        <v>2</v>
      </c>
      <c r="R127">
        <v>4</v>
      </c>
      <c r="S127" t="s">
        <v>34794</v>
      </c>
      <c r="U127">
        <v>1.3382043400000001</v>
      </c>
      <c r="V127">
        <v>14.93</v>
      </c>
      <c r="W127">
        <v>13.5</v>
      </c>
      <c r="X127" t="s">
        <v>716</v>
      </c>
      <c r="Y127" t="s">
        <v>699</v>
      </c>
      <c r="Z127" t="s">
        <v>699</v>
      </c>
      <c r="AA127" t="s">
        <v>710</v>
      </c>
      <c r="AB127" t="s">
        <v>34806</v>
      </c>
      <c r="AC127" t="s">
        <v>34493</v>
      </c>
      <c r="AD127" t="s">
        <v>34796</v>
      </c>
      <c r="AE127" t="s">
        <v>14701</v>
      </c>
      <c r="AF127" t="s">
        <v>34807</v>
      </c>
      <c r="AG127" t="s">
        <v>34798</v>
      </c>
    </row>
    <row r="128" spans="1:33" x14ac:dyDescent="0.25">
      <c r="A128" t="s">
        <v>34462</v>
      </c>
      <c r="B128" t="s">
        <v>722</v>
      </c>
      <c r="C128" t="s">
        <v>724</v>
      </c>
      <c r="D128">
        <v>62.1</v>
      </c>
      <c r="F128">
        <v>3328345</v>
      </c>
      <c r="G128">
        <v>2154006</v>
      </c>
      <c r="H128">
        <v>62.1</v>
      </c>
      <c r="I128">
        <v>88.66</v>
      </c>
      <c r="J128">
        <v>0.83</v>
      </c>
      <c r="K128">
        <v>1</v>
      </c>
      <c r="L128">
        <v>1</v>
      </c>
      <c r="N128">
        <v>5</v>
      </c>
      <c r="O128">
        <v>0</v>
      </c>
      <c r="P128">
        <v>1</v>
      </c>
      <c r="Q128">
        <v>1</v>
      </c>
      <c r="R128">
        <v>2</v>
      </c>
      <c r="S128" t="s">
        <v>34794</v>
      </c>
      <c r="U128">
        <v>1.38009212</v>
      </c>
      <c r="V128">
        <v>15.31</v>
      </c>
      <c r="X128" t="s">
        <v>721</v>
      </c>
      <c r="Y128" t="s">
        <v>699</v>
      </c>
      <c r="Z128" t="s">
        <v>699</v>
      </c>
      <c r="AA128" t="s">
        <v>700</v>
      </c>
      <c r="AB128" t="s">
        <v>34808</v>
      </c>
      <c r="AC128" t="s">
        <v>34465</v>
      </c>
      <c r="AD128" t="s">
        <v>34796</v>
      </c>
      <c r="AE128" t="s">
        <v>14701</v>
      </c>
      <c r="AF128" t="s">
        <v>34797</v>
      </c>
      <c r="AG128" t="s">
        <v>34798</v>
      </c>
    </row>
    <row r="129" spans="1:33" x14ac:dyDescent="0.25">
      <c r="A129" t="s">
        <v>34462</v>
      </c>
      <c r="B129" t="s">
        <v>727</v>
      </c>
      <c r="C129" t="s">
        <v>729</v>
      </c>
      <c r="F129">
        <v>3328345</v>
      </c>
      <c r="G129">
        <v>1832414</v>
      </c>
      <c r="J129">
        <v>1</v>
      </c>
      <c r="K129">
        <v>1</v>
      </c>
      <c r="O129">
        <v>0</v>
      </c>
      <c r="Q129">
        <v>1</v>
      </c>
      <c r="R129">
        <v>2</v>
      </c>
      <c r="S129" t="s">
        <v>34794</v>
      </c>
      <c r="U129">
        <v>1.3668644000000001</v>
      </c>
      <c r="V129">
        <v>17.97</v>
      </c>
      <c r="X129" t="s">
        <v>726</v>
      </c>
      <c r="Y129" t="s">
        <v>699</v>
      </c>
      <c r="Z129" t="s">
        <v>699</v>
      </c>
      <c r="AA129" t="s">
        <v>710</v>
      </c>
      <c r="AB129" t="s">
        <v>34809</v>
      </c>
      <c r="AC129" t="s">
        <v>34465</v>
      </c>
      <c r="AD129" t="s">
        <v>34796</v>
      </c>
      <c r="AE129" t="s">
        <v>34525</v>
      </c>
      <c r="AF129" t="s">
        <v>34803</v>
      </c>
      <c r="AG129" t="s">
        <v>34798</v>
      </c>
    </row>
    <row r="130" spans="1:33" x14ac:dyDescent="0.25">
      <c r="A130" t="s">
        <v>34462</v>
      </c>
      <c r="B130" t="s">
        <v>731</v>
      </c>
      <c r="C130" t="s">
        <v>733</v>
      </c>
      <c r="D130">
        <v>120.21</v>
      </c>
      <c r="E130">
        <v>120.21</v>
      </c>
      <c r="F130">
        <v>5986832</v>
      </c>
      <c r="G130">
        <v>5487634</v>
      </c>
      <c r="H130">
        <v>114.04</v>
      </c>
      <c r="I130">
        <v>106.52</v>
      </c>
      <c r="J130">
        <v>0</v>
      </c>
      <c r="K130">
        <v>0</v>
      </c>
      <c r="L130">
        <v>1</v>
      </c>
      <c r="M130">
        <v>1</v>
      </c>
      <c r="N130">
        <v>5</v>
      </c>
      <c r="O130">
        <v>1</v>
      </c>
      <c r="P130">
        <v>1</v>
      </c>
      <c r="Q130">
        <v>0</v>
      </c>
      <c r="R130">
        <v>0</v>
      </c>
      <c r="S130" t="s">
        <v>34799</v>
      </c>
      <c r="U130">
        <v>1.44623072</v>
      </c>
      <c r="V130">
        <v>16.07</v>
      </c>
      <c r="W130">
        <v>20.440000000000001</v>
      </c>
      <c r="X130" t="s">
        <v>730</v>
      </c>
      <c r="Y130" t="s">
        <v>699</v>
      </c>
      <c r="Z130" t="s">
        <v>699</v>
      </c>
      <c r="AA130" t="s">
        <v>76</v>
      </c>
      <c r="AB130" t="s">
        <v>34810</v>
      </c>
      <c r="AC130" t="s">
        <v>34493</v>
      </c>
      <c r="AD130" t="s">
        <v>34796</v>
      </c>
      <c r="AE130" t="s">
        <v>34525</v>
      </c>
      <c r="AF130" t="s">
        <v>34805</v>
      </c>
      <c r="AG130" t="s">
        <v>34798</v>
      </c>
    </row>
    <row r="131" spans="1:33" x14ac:dyDescent="0.25">
      <c r="A131" t="s">
        <v>34462</v>
      </c>
      <c r="B131" t="s">
        <v>735</v>
      </c>
      <c r="C131" t="s">
        <v>737</v>
      </c>
      <c r="D131">
        <v>122.79</v>
      </c>
      <c r="E131">
        <v>122.79</v>
      </c>
      <c r="F131">
        <v>3328345</v>
      </c>
      <c r="G131">
        <v>2536479</v>
      </c>
      <c r="H131">
        <v>116.98</v>
      </c>
      <c r="I131">
        <v>112.8</v>
      </c>
      <c r="J131">
        <v>0</v>
      </c>
      <c r="K131">
        <v>0</v>
      </c>
      <c r="L131">
        <v>1</v>
      </c>
      <c r="M131">
        <v>1</v>
      </c>
      <c r="N131">
        <v>4</v>
      </c>
      <c r="O131">
        <v>0</v>
      </c>
      <c r="P131">
        <v>2</v>
      </c>
      <c r="Q131">
        <v>1</v>
      </c>
      <c r="R131">
        <v>3</v>
      </c>
      <c r="S131" t="s">
        <v>34794</v>
      </c>
      <c r="U131">
        <v>1.3668644000000001</v>
      </c>
      <c r="V131">
        <v>17.97</v>
      </c>
      <c r="W131">
        <v>20.87</v>
      </c>
      <c r="X131" t="s">
        <v>734</v>
      </c>
      <c r="Y131" t="s">
        <v>699</v>
      </c>
      <c r="Z131" t="s">
        <v>699</v>
      </c>
      <c r="AA131" t="s">
        <v>700</v>
      </c>
      <c r="AB131" t="s">
        <v>34811</v>
      </c>
      <c r="AC131" t="s">
        <v>34493</v>
      </c>
      <c r="AD131" t="s">
        <v>34796</v>
      </c>
      <c r="AE131" t="s">
        <v>34525</v>
      </c>
      <c r="AF131" t="s">
        <v>34797</v>
      </c>
      <c r="AG131" t="s">
        <v>34798</v>
      </c>
    </row>
    <row r="132" spans="1:33" x14ac:dyDescent="0.25">
      <c r="A132" t="s">
        <v>34462</v>
      </c>
      <c r="B132" t="s">
        <v>739</v>
      </c>
      <c r="C132" t="s">
        <v>741</v>
      </c>
      <c r="F132">
        <v>3328345</v>
      </c>
      <c r="G132">
        <v>2620660</v>
      </c>
      <c r="J132">
        <v>1</v>
      </c>
      <c r="K132">
        <v>1</v>
      </c>
      <c r="O132">
        <v>0</v>
      </c>
      <c r="Q132">
        <v>1</v>
      </c>
      <c r="R132">
        <v>2</v>
      </c>
      <c r="S132" t="s">
        <v>34794</v>
      </c>
      <c r="U132">
        <v>1.38009212</v>
      </c>
      <c r="V132">
        <v>15.31</v>
      </c>
      <c r="X132" t="s">
        <v>738</v>
      </c>
      <c r="Y132" t="s">
        <v>699</v>
      </c>
      <c r="Z132" t="s">
        <v>699</v>
      </c>
      <c r="AA132" t="s">
        <v>76</v>
      </c>
      <c r="AB132" t="s">
        <v>34812</v>
      </c>
      <c r="AC132" t="s">
        <v>34465</v>
      </c>
      <c r="AD132" t="s">
        <v>34796</v>
      </c>
      <c r="AE132" t="s">
        <v>34649</v>
      </c>
      <c r="AF132" t="s">
        <v>34801</v>
      </c>
      <c r="AG132" t="s">
        <v>34798</v>
      </c>
    </row>
    <row r="133" spans="1:33" x14ac:dyDescent="0.25">
      <c r="A133" t="s">
        <v>34462</v>
      </c>
      <c r="B133" t="s">
        <v>744</v>
      </c>
      <c r="C133" t="s">
        <v>746</v>
      </c>
      <c r="D133">
        <v>55.12</v>
      </c>
      <c r="E133">
        <v>55.12</v>
      </c>
      <c r="F133">
        <v>5987300</v>
      </c>
      <c r="G133">
        <v>5488499</v>
      </c>
      <c r="H133">
        <v>102.09</v>
      </c>
      <c r="I133">
        <v>103.59</v>
      </c>
      <c r="J133">
        <v>0</v>
      </c>
      <c r="K133">
        <v>0</v>
      </c>
      <c r="L133">
        <v>1</v>
      </c>
      <c r="M133">
        <v>1</v>
      </c>
      <c r="N133">
        <v>5</v>
      </c>
      <c r="O133">
        <v>0</v>
      </c>
      <c r="P133">
        <v>1</v>
      </c>
      <c r="Q133">
        <v>0</v>
      </c>
      <c r="R133">
        <v>0</v>
      </c>
      <c r="S133" t="s">
        <v>34799</v>
      </c>
      <c r="U133">
        <v>1.48150464</v>
      </c>
      <c r="V133">
        <v>16.45</v>
      </c>
      <c r="W133">
        <v>9.3699999999999992</v>
      </c>
      <c r="X133" t="s">
        <v>743</v>
      </c>
      <c r="Y133" t="s">
        <v>699</v>
      </c>
      <c r="Z133" t="s">
        <v>699</v>
      </c>
      <c r="AA133" t="s">
        <v>700</v>
      </c>
      <c r="AB133" t="s">
        <v>34813</v>
      </c>
      <c r="AC133" t="s">
        <v>34493</v>
      </c>
      <c r="AD133" t="s">
        <v>34796</v>
      </c>
      <c r="AE133" t="s">
        <v>34649</v>
      </c>
      <c r="AF133" t="s">
        <v>34814</v>
      </c>
      <c r="AG133" t="s">
        <v>34798</v>
      </c>
    </row>
    <row r="134" spans="1:33" x14ac:dyDescent="0.25">
      <c r="A134" t="s">
        <v>34462</v>
      </c>
      <c r="B134" t="s">
        <v>748</v>
      </c>
      <c r="C134" t="s">
        <v>751</v>
      </c>
      <c r="D134">
        <v>15.19</v>
      </c>
      <c r="E134">
        <v>15.19</v>
      </c>
      <c r="F134">
        <v>30858</v>
      </c>
      <c r="G134">
        <v>84350</v>
      </c>
      <c r="H134">
        <v>13.65</v>
      </c>
      <c r="I134">
        <v>14.71</v>
      </c>
      <c r="J134">
        <v>0</v>
      </c>
      <c r="K134">
        <v>0.03</v>
      </c>
      <c r="L134">
        <v>13</v>
      </c>
      <c r="M134">
        <v>12</v>
      </c>
      <c r="N134">
        <v>4.4000000000000004</v>
      </c>
      <c r="P134">
        <v>120</v>
      </c>
      <c r="Q134">
        <v>64</v>
      </c>
      <c r="R134">
        <v>143</v>
      </c>
      <c r="T134">
        <v>100</v>
      </c>
      <c r="U134">
        <v>1.4594584399999999</v>
      </c>
      <c r="V134">
        <v>4.5999999999999996</v>
      </c>
      <c r="W134">
        <v>2.29</v>
      </c>
      <c r="X134" t="s">
        <v>747</v>
      </c>
      <c r="Y134" t="s">
        <v>753</v>
      </c>
      <c r="Z134" t="s">
        <v>753</v>
      </c>
      <c r="AA134" t="s">
        <v>497</v>
      </c>
      <c r="AB134" t="s">
        <v>34815</v>
      </c>
      <c r="AC134" t="s">
        <v>34465</v>
      </c>
      <c r="AD134" t="s">
        <v>34816</v>
      </c>
      <c r="AE134" t="s">
        <v>14701</v>
      </c>
      <c r="AF134" t="s">
        <v>34817</v>
      </c>
    </row>
    <row r="135" spans="1:33" x14ac:dyDescent="0.25">
      <c r="A135" t="s">
        <v>34462</v>
      </c>
      <c r="B135" t="s">
        <v>755</v>
      </c>
      <c r="C135" t="s">
        <v>758</v>
      </c>
      <c r="D135">
        <v>27.24</v>
      </c>
      <c r="E135">
        <v>27.24</v>
      </c>
      <c r="F135">
        <v>269371</v>
      </c>
      <c r="G135">
        <v>110270</v>
      </c>
      <c r="H135">
        <v>32.270000000000003</v>
      </c>
      <c r="I135">
        <v>37.4</v>
      </c>
      <c r="J135">
        <v>0</v>
      </c>
      <c r="K135">
        <v>0</v>
      </c>
      <c r="L135">
        <v>4</v>
      </c>
      <c r="M135">
        <v>4</v>
      </c>
      <c r="N135">
        <v>4.5</v>
      </c>
      <c r="O135">
        <v>1</v>
      </c>
      <c r="P135">
        <v>2576</v>
      </c>
      <c r="Q135">
        <v>24</v>
      </c>
      <c r="R135">
        <v>75</v>
      </c>
      <c r="S135" t="s">
        <v>34513</v>
      </c>
      <c r="U135">
        <v>1.5101647</v>
      </c>
      <c r="V135">
        <v>7.08</v>
      </c>
      <c r="W135">
        <v>4.09</v>
      </c>
      <c r="X135" t="s">
        <v>754</v>
      </c>
      <c r="Y135" t="s">
        <v>125</v>
      </c>
      <c r="Z135" t="s">
        <v>125</v>
      </c>
      <c r="AA135" t="s">
        <v>759</v>
      </c>
      <c r="AB135" t="s">
        <v>34818</v>
      </c>
      <c r="AC135" t="s">
        <v>34493</v>
      </c>
      <c r="AD135" t="s">
        <v>9232</v>
      </c>
      <c r="AE135" t="s">
        <v>34516</v>
      </c>
      <c r="AF135" t="s">
        <v>34819</v>
      </c>
      <c r="AG135" t="s">
        <v>34518</v>
      </c>
    </row>
    <row r="136" spans="1:33" x14ac:dyDescent="0.25">
      <c r="A136" t="s">
        <v>34462</v>
      </c>
      <c r="B136" t="s">
        <v>761</v>
      </c>
      <c r="C136" t="s">
        <v>764</v>
      </c>
      <c r="D136">
        <v>18</v>
      </c>
      <c r="E136">
        <v>16.82</v>
      </c>
      <c r="F136">
        <v>9902095</v>
      </c>
      <c r="G136">
        <v>9564278</v>
      </c>
      <c r="H136">
        <v>21.38</v>
      </c>
      <c r="I136">
        <v>21.56</v>
      </c>
      <c r="J136">
        <v>0</v>
      </c>
      <c r="K136">
        <v>1</v>
      </c>
      <c r="L136">
        <v>6</v>
      </c>
      <c r="M136">
        <v>6</v>
      </c>
      <c r="O136">
        <v>0</v>
      </c>
      <c r="Q136">
        <v>0</v>
      </c>
      <c r="R136">
        <v>0</v>
      </c>
      <c r="U136">
        <v>0.33069300000000001</v>
      </c>
      <c r="V136">
        <v>5.9</v>
      </c>
      <c r="W136">
        <v>1.8</v>
      </c>
      <c r="X136" t="s">
        <v>760</v>
      </c>
      <c r="Y136" t="s">
        <v>34820</v>
      </c>
      <c r="Z136" t="s">
        <v>765</v>
      </c>
      <c r="AA136" t="s">
        <v>278</v>
      </c>
      <c r="AB136" t="s">
        <v>34821</v>
      </c>
      <c r="AC136" t="s">
        <v>34465</v>
      </c>
      <c r="AD136" t="s">
        <v>7947</v>
      </c>
      <c r="AE136" t="s">
        <v>34649</v>
      </c>
      <c r="AF136" t="s">
        <v>34822</v>
      </c>
      <c r="AG136" t="s">
        <v>34823</v>
      </c>
    </row>
    <row r="137" spans="1:33" x14ac:dyDescent="0.25">
      <c r="A137" t="s">
        <v>34462</v>
      </c>
      <c r="B137" t="s">
        <v>767</v>
      </c>
      <c r="C137" t="s">
        <v>770</v>
      </c>
      <c r="D137">
        <v>35.409999999999997</v>
      </c>
      <c r="I137">
        <v>35.409999999999997</v>
      </c>
      <c r="J137">
        <v>0.91</v>
      </c>
      <c r="K137">
        <v>1</v>
      </c>
      <c r="L137">
        <v>1</v>
      </c>
      <c r="Q137">
        <v>-1</v>
      </c>
      <c r="R137">
        <v>-1</v>
      </c>
      <c r="S137" t="s">
        <v>34824</v>
      </c>
      <c r="X137" t="s">
        <v>766</v>
      </c>
      <c r="AA137" t="s">
        <v>771</v>
      </c>
      <c r="AB137" t="s">
        <v>34825</v>
      </c>
      <c r="AC137" t="s">
        <v>34465</v>
      </c>
      <c r="AD137" t="s">
        <v>11496</v>
      </c>
      <c r="AE137" t="s">
        <v>34826</v>
      </c>
      <c r="AF137" t="s">
        <v>34827</v>
      </c>
    </row>
    <row r="138" spans="1:33" x14ac:dyDescent="0.25">
      <c r="A138" t="s">
        <v>34462</v>
      </c>
      <c r="B138" t="s">
        <v>773</v>
      </c>
      <c r="C138" t="s">
        <v>775</v>
      </c>
      <c r="D138">
        <v>18.3</v>
      </c>
      <c r="H138">
        <v>18.3</v>
      </c>
      <c r="I138">
        <v>20.02</v>
      </c>
      <c r="J138">
        <v>0.76</v>
      </c>
      <c r="K138">
        <v>1</v>
      </c>
      <c r="L138">
        <v>1</v>
      </c>
      <c r="Q138">
        <v>-1</v>
      </c>
      <c r="R138">
        <v>-1</v>
      </c>
      <c r="S138" t="s">
        <v>34824</v>
      </c>
      <c r="U138">
        <v>5.0706260000000003E-2</v>
      </c>
      <c r="V138">
        <v>3.27</v>
      </c>
      <c r="X138" t="s">
        <v>772</v>
      </c>
      <c r="AA138" t="s">
        <v>771</v>
      </c>
      <c r="AB138" t="s">
        <v>34828</v>
      </c>
      <c r="AC138" t="s">
        <v>34465</v>
      </c>
      <c r="AD138" t="s">
        <v>11496</v>
      </c>
      <c r="AE138" t="s">
        <v>34506</v>
      </c>
      <c r="AF138" t="s">
        <v>34827</v>
      </c>
    </row>
    <row r="139" spans="1:33" x14ac:dyDescent="0.25">
      <c r="A139" t="s">
        <v>34462</v>
      </c>
      <c r="B139" t="s">
        <v>778</v>
      </c>
      <c r="C139" t="s">
        <v>780</v>
      </c>
      <c r="D139">
        <v>18.52</v>
      </c>
      <c r="H139">
        <v>18.52</v>
      </c>
      <c r="I139">
        <v>20.02</v>
      </c>
      <c r="J139">
        <v>0.74</v>
      </c>
      <c r="K139">
        <v>1</v>
      </c>
      <c r="L139">
        <v>2</v>
      </c>
      <c r="Q139">
        <v>-1</v>
      </c>
      <c r="R139">
        <v>-1</v>
      </c>
      <c r="S139" t="s">
        <v>34824</v>
      </c>
      <c r="U139">
        <v>5.0706260000000003E-2</v>
      </c>
      <c r="V139">
        <v>3.43</v>
      </c>
      <c r="X139" t="s">
        <v>777</v>
      </c>
      <c r="AA139" t="s">
        <v>771</v>
      </c>
      <c r="AB139" t="s">
        <v>34829</v>
      </c>
      <c r="AC139" t="s">
        <v>34465</v>
      </c>
      <c r="AD139" t="s">
        <v>11496</v>
      </c>
      <c r="AE139" t="s">
        <v>34512</v>
      </c>
      <c r="AF139" t="s">
        <v>34830</v>
      </c>
    </row>
    <row r="140" spans="1:33" x14ac:dyDescent="0.25">
      <c r="A140" t="s">
        <v>34462</v>
      </c>
      <c r="B140" t="s">
        <v>783</v>
      </c>
      <c r="C140" t="s">
        <v>785</v>
      </c>
      <c r="D140">
        <v>18.420000000000002</v>
      </c>
      <c r="H140">
        <v>18.420000000000002</v>
      </c>
      <c r="I140">
        <v>20</v>
      </c>
      <c r="J140">
        <v>0.74</v>
      </c>
      <c r="K140">
        <v>1</v>
      </c>
      <c r="L140">
        <v>2</v>
      </c>
      <c r="N140">
        <v>4.8</v>
      </c>
      <c r="P140">
        <v>37</v>
      </c>
      <c r="Q140">
        <v>-1</v>
      </c>
      <c r="R140">
        <v>-1</v>
      </c>
      <c r="S140" t="s">
        <v>34824</v>
      </c>
      <c r="U140">
        <v>5.0706260000000003E-2</v>
      </c>
      <c r="V140">
        <v>3.43</v>
      </c>
      <c r="X140" t="s">
        <v>782</v>
      </c>
      <c r="AA140" t="s">
        <v>771</v>
      </c>
      <c r="AB140" t="s">
        <v>34831</v>
      </c>
      <c r="AC140" t="s">
        <v>34465</v>
      </c>
      <c r="AD140" t="s">
        <v>11496</v>
      </c>
      <c r="AE140" t="s">
        <v>34832</v>
      </c>
      <c r="AF140" t="s">
        <v>34827</v>
      </c>
      <c r="AG140" t="s">
        <v>34833</v>
      </c>
    </row>
    <row r="141" spans="1:33" x14ac:dyDescent="0.25">
      <c r="A141" t="s">
        <v>34462</v>
      </c>
      <c r="B141" t="s">
        <v>788</v>
      </c>
      <c r="C141" t="s">
        <v>790</v>
      </c>
      <c r="D141">
        <v>18.5</v>
      </c>
      <c r="H141">
        <v>18.5</v>
      </c>
      <c r="I141">
        <v>21.59</v>
      </c>
      <c r="J141">
        <v>0.74</v>
      </c>
      <c r="K141">
        <v>1</v>
      </c>
      <c r="L141">
        <v>1</v>
      </c>
      <c r="Q141">
        <v>-1</v>
      </c>
      <c r="R141">
        <v>-1</v>
      </c>
      <c r="S141" t="s">
        <v>34824</v>
      </c>
      <c r="U141">
        <v>5.0706260000000003E-2</v>
      </c>
      <c r="V141">
        <v>3.43</v>
      </c>
      <c r="X141" t="s">
        <v>787</v>
      </c>
      <c r="AA141" t="s">
        <v>771</v>
      </c>
      <c r="AB141" t="s">
        <v>34834</v>
      </c>
      <c r="AC141" t="s">
        <v>34465</v>
      </c>
      <c r="AD141" t="s">
        <v>11496</v>
      </c>
      <c r="AE141" t="s">
        <v>34835</v>
      </c>
      <c r="AF141" t="s">
        <v>34827</v>
      </c>
      <c r="AG141" t="s">
        <v>34836</v>
      </c>
    </row>
    <row r="142" spans="1:33" x14ac:dyDescent="0.25">
      <c r="A142" t="s">
        <v>34462</v>
      </c>
      <c r="B142" t="s">
        <v>793</v>
      </c>
      <c r="C142" t="s">
        <v>796</v>
      </c>
      <c r="D142">
        <v>39.99</v>
      </c>
      <c r="E142">
        <v>39.99</v>
      </c>
      <c r="F142">
        <v>35962</v>
      </c>
      <c r="G142">
        <v>35195</v>
      </c>
      <c r="H142">
        <v>32.78</v>
      </c>
      <c r="I142">
        <v>32.6</v>
      </c>
      <c r="J142">
        <v>0.05</v>
      </c>
      <c r="K142">
        <v>0.42</v>
      </c>
      <c r="L142">
        <v>3</v>
      </c>
      <c r="M142">
        <v>2</v>
      </c>
      <c r="N142">
        <v>4.4000000000000004</v>
      </c>
      <c r="O142">
        <v>3</v>
      </c>
      <c r="P142">
        <v>1046</v>
      </c>
      <c r="Q142">
        <v>31</v>
      </c>
      <c r="R142">
        <v>99</v>
      </c>
      <c r="S142" t="s">
        <v>34837</v>
      </c>
      <c r="U142">
        <v>0.79366320000000001</v>
      </c>
      <c r="V142">
        <v>5.9</v>
      </c>
      <c r="W142">
        <v>6.8</v>
      </c>
      <c r="X142" t="s">
        <v>792</v>
      </c>
      <c r="Y142" t="s">
        <v>797</v>
      </c>
      <c r="Z142" t="s">
        <v>797</v>
      </c>
      <c r="AA142" t="s">
        <v>278</v>
      </c>
      <c r="AB142" t="s">
        <v>34838</v>
      </c>
      <c r="AC142" t="s">
        <v>34465</v>
      </c>
      <c r="AD142" t="s">
        <v>22037</v>
      </c>
      <c r="AE142" t="s">
        <v>34839</v>
      </c>
      <c r="AF142" t="s">
        <v>34840</v>
      </c>
      <c r="AG142" t="s">
        <v>34841</v>
      </c>
    </row>
    <row r="143" spans="1:33" x14ac:dyDescent="0.25">
      <c r="A143" t="s">
        <v>34462</v>
      </c>
      <c r="B143" t="s">
        <v>799</v>
      </c>
      <c r="C143" t="s">
        <v>802</v>
      </c>
      <c r="D143">
        <v>39.99</v>
      </c>
      <c r="E143">
        <v>39.99</v>
      </c>
      <c r="F143">
        <v>1956364</v>
      </c>
      <c r="G143">
        <v>1091404</v>
      </c>
      <c r="H143">
        <v>39.619999999999997</v>
      </c>
      <c r="I143">
        <v>39.409999999999997</v>
      </c>
      <c r="J143">
        <v>0</v>
      </c>
      <c r="K143">
        <v>1</v>
      </c>
      <c r="L143">
        <v>2</v>
      </c>
      <c r="M143">
        <v>2</v>
      </c>
      <c r="N143">
        <v>4.0999999999999996</v>
      </c>
      <c r="O143">
        <v>104</v>
      </c>
      <c r="P143">
        <v>121</v>
      </c>
      <c r="Q143">
        <v>3</v>
      </c>
      <c r="R143">
        <v>19</v>
      </c>
      <c r="S143" t="s">
        <v>34842</v>
      </c>
      <c r="U143">
        <v>5.0706260000000003E-2</v>
      </c>
      <c r="V143">
        <v>3.06</v>
      </c>
      <c r="X143" t="s">
        <v>798</v>
      </c>
      <c r="Y143" t="s">
        <v>804</v>
      </c>
      <c r="Z143" t="s">
        <v>804</v>
      </c>
      <c r="AA143" t="s">
        <v>805</v>
      </c>
      <c r="AB143" t="s">
        <v>34843</v>
      </c>
      <c r="AC143" t="s">
        <v>34465</v>
      </c>
      <c r="AD143" t="s">
        <v>34844</v>
      </c>
      <c r="AF143" t="s">
        <v>34845</v>
      </c>
      <c r="AG143" t="s">
        <v>34846</v>
      </c>
    </row>
    <row r="144" spans="1:33" x14ac:dyDescent="0.25">
      <c r="A144" t="s">
        <v>34462</v>
      </c>
      <c r="B144" t="s">
        <v>807</v>
      </c>
      <c r="C144" t="s">
        <v>810</v>
      </c>
      <c r="D144">
        <v>19.2</v>
      </c>
      <c r="F144">
        <v>1589076</v>
      </c>
      <c r="G144">
        <v>2445418</v>
      </c>
      <c r="I144">
        <v>19.2</v>
      </c>
      <c r="J144">
        <v>1</v>
      </c>
      <c r="K144">
        <v>1</v>
      </c>
      <c r="Q144">
        <v>1</v>
      </c>
      <c r="R144">
        <v>1</v>
      </c>
      <c r="S144" t="s">
        <v>34847</v>
      </c>
      <c r="U144">
        <v>0.20062041999999999</v>
      </c>
      <c r="V144">
        <v>5.12</v>
      </c>
      <c r="X144" t="s">
        <v>806</v>
      </c>
      <c r="Y144" t="s">
        <v>34848</v>
      </c>
      <c r="AA144" t="s">
        <v>811</v>
      </c>
      <c r="AB144" t="s">
        <v>34849</v>
      </c>
      <c r="AC144" t="s">
        <v>34465</v>
      </c>
      <c r="AD144" t="s">
        <v>10970</v>
      </c>
      <c r="AE144" t="s">
        <v>34533</v>
      </c>
      <c r="AF144" t="s">
        <v>34850</v>
      </c>
    </row>
    <row r="145" spans="1:36" x14ac:dyDescent="0.25">
      <c r="A145" t="s">
        <v>34462</v>
      </c>
      <c r="B145" t="s">
        <v>813</v>
      </c>
      <c r="C145" t="s">
        <v>816</v>
      </c>
      <c r="D145">
        <v>69.5</v>
      </c>
      <c r="E145">
        <v>69.5</v>
      </c>
      <c r="F145">
        <v>5482</v>
      </c>
      <c r="G145">
        <v>2517</v>
      </c>
      <c r="H145">
        <v>54.19</v>
      </c>
      <c r="I145">
        <v>55.55</v>
      </c>
      <c r="J145">
        <v>0.27</v>
      </c>
      <c r="K145">
        <v>0.06</v>
      </c>
      <c r="L145">
        <v>1</v>
      </c>
      <c r="M145">
        <v>1</v>
      </c>
      <c r="N145">
        <v>4.4000000000000004</v>
      </c>
      <c r="O145">
        <v>0</v>
      </c>
      <c r="P145">
        <v>21832</v>
      </c>
      <c r="Q145">
        <v>53</v>
      </c>
      <c r="R145">
        <v>165</v>
      </c>
      <c r="S145" t="s">
        <v>34851</v>
      </c>
      <c r="U145">
        <v>1.6093725999999999</v>
      </c>
      <c r="V145">
        <v>6.81</v>
      </c>
      <c r="W145">
        <v>11.82</v>
      </c>
      <c r="X145" t="s">
        <v>812</v>
      </c>
      <c r="Y145" t="s">
        <v>817</v>
      </c>
      <c r="Z145" t="s">
        <v>817</v>
      </c>
      <c r="AA145" t="s">
        <v>818</v>
      </c>
      <c r="AB145" t="s">
        <v>34852</v>
      </c>
      <c r="AC145" t="s">
        <v>34493</v>
      </c>
      <c r="AD145" t="s">
        <v>10970</v>
      </c>
      <c r="AE145" t="s">
        <v>34572</v>
      </c>
      <c r="AF145" t="s">
        <v>34853</v>
      </c>
      <c r="AG145" t="s">
        <v>34854</v>
      </c>
    </row>
    <row r="146" spans="1:36" x14ac:dyDescent="0.25">
      <c r="A146" t="s">
        <v>34462</v>
      </c>
      <c r="B146" t="s">
        <v>820</v>
      </c>
      <c r="C146" t="s">
        <v>822</v>
      </c>
      <c r="D146">
        <v>64.97</v>
      </c>
      <c r="E146">
        <v>64.97</v>
      </c>
      <c r="F146">
        <v>4726</v>
      </c>
      <c r="G146">
        <v>2560</v>
      </c>
      <c r="H146">
        <v>61.8</v>
      </c>
      <c r="I146">
        <v>60.32</v>
      </c>
      <c r="J146">
        <v>0.23</v>
      </c>
      <c r="K146">
        <v>0.06</v>
      </c>
      <c r="L146">
        <v>1</v>
      </c>
      <c r="M146">
        <v>1</v>
      </c>
      <c r="N146">
        <v>4.4000000000000004</v>
      </c>
      <c r="O146">
        <v>1</v>
      </c>
      <c r="P146">
        <v>21832</v>
      </c>
      <c r="Q146">
        <v>70</v>
      </c>
      <c r="R146">
        <v>200</v>
      </c>
      <c r="S146" t="s">
        <v>34851</v>
      </c>
      <c r="U146">
        <v>1.45063996</v>
      </c>
      <c r="V146">
        <v>6.05</v>
      </c>
      <c r="W146">
        <v>11.04</v>
      </c>
      <c r="X146" t="s">
        <v>819</v>
      </c>
      <c r="Y146" t="s">
        <v>829</v>
      </c>
      <c r="Z146" t="s">
        <v>823</v>
      </c>
      <c r="AA146" t="s">
        <v>824</v>
      </c>
      <c r="AB146" t="s">
        <v>34855</v>
      </c>
      <c r="AC146" t="s">
        <v>34493</v>
      </c>
      <c r="AD146" t="s">
        <v>10970</v>
      </c>
      <c r="AE146" t="s">
        <v>34856</v>
      </c>
      <c r="AF146" t="s">
        <v>34857</v>
      </c>
      <c r="AG146" t="s">
        <v>34854</v>
      </c>
    </row>
    <row r="147" spans="1:36" x14ac:dyDescent="0.25">
      <c r="A147" t="s">
        <v>34462</v>
      </c>
      <c r="B147" t="s">
        <v>826</v>
      </c>
      <c r="C147" t="s">
        <v>828</v>
      </c>
      <c r="D147">
        <v>58.47</v>
      </c>
      <c r="F147">
        <v>4488</v>
      </c>
      <c r="G147">
        <v>2573</v>
      </c>
      <c r="H147">
        <v>49.93</v>
      </c>
      <c r="I147">
        <v>48.58</v>
      </c>
      <c r="J147">
        <v>0.38</v>
      </c>
      <c r="K147">
        <v>0.13</v>
      </c>
      <c r="L147">
        <v>1</v>
      </c>
      <c r="M147">
        <v>1</v>
      </c>
      <c r="N147">
        <v>4.4000000000000004</v>
      </c>
      <c r="O147">
        <v>0</v>
      </c>
      <c r="P147">
        <v>21832</v>
      </c>
      <c r="Q147">
        <v>61</v>
      </c>
      <c r="R147">
        <v>183</v>
      </c>
      <c r="S147" t="s">
        <v>34851</v>
      </c>
      <c r="U147">
        <v>1.45063996</v>
      </c>
      <c r="V147">
        <v>6.05</v>
      </c>
      <c r="W147">
        <v>9.93</v>
      </c>
      <c r="X147" t="s">
        <v>825</v>
      </c>
      <c r="Y147" t="s">
        <v>829</v>
      </c>
      <c r="Z147" t="s">
        <v>829</v>
      </c>
      <c r="AA147" t="s">
        <v>824</v>
      </c>
      <c r="AB147" t="s">
        <v>34858</v>
      </c>
      <c r="AC147" t="s">
        <v>34493</v>
      </c>
      <c r="AD147" t="s">
        <v>10970</v>
      </c>
      <c r="AE147" t="s">
        <v>34859</v>
      </c>
      <c r="AF147" t="s">
        <v>34857</v>
      </c>
      <c r="AG147" t="s">
        <v>34854</v>
      </c>
    </row>
    <row r="148" spans="1:36" x14ac:dyDescent="0.25">
      <c r="A148" t="s">
        <v>34462</v>
      </c>
      <c r="B148" t="s">
        <v>831</v>
      </c>
      <c r="C148" t="s">
        <v>834</v>
      </c>
      <c r="D148">
        <v>19.600000000000001</v>
      </c>
      <c r="E148">
        <v>19.600000000000001</v>
      </c>
      <c r="F148">
        <v>11386122</v>
      </c>
      <c r="G148">
        <v>10647370</v>
      </c>
      <c r="H148">
        <v>21.82</v>
      </c>
      <c r="I148">
        <v>23.29</v>
      </c>
      <c r="J148">
        <v>0</v>
      </c>
      <c r="K148">
        <v>0</v>
      </c>
      <c r="L148">
        <v>4</v>
      </c>
      <c r="M148">
        <v>3</v>
      </c>
      <c r="Q148">
        <v>0</v>
      </c>
      <c r="R148">
        <v>0</v>
      </c>
      <c r="S148" t="s">
        <v>34860</v>
      </c>
      <c r="U148">
        <v>7.0547840000000001E-2</v>
      </c>
      <c r="V148">
        <v>3.9</v>
      </c>
      <c r="W148">
        <v>2.94</v>
      </c>
      <c r="X148" t="s">
        <v>830</v>
      </c>
      <c r="Y148" t="s">
        <v>836</v>
      </c>
      <c r="Z148" t="s">
        <v>836</v>
      </c>
      <c r="AA148" t="s">
        <v>837</v>
      </c>
      <c r="AB148" t="s">
        <v>34861</v>
      </c>
      <c r="AC148" t="s">
        <v>34493</v>
      </c>
      <c r="AD148" t="s">
        <v>8078</v>
      </c>
      <c r="AE148" t="s">
        <v>34862</v>
      </c>
      <c r="AF148" t="s">
        <v>34863</v>
      </c>
      <c r="AG148" t="s">
        <v>34864</v>
      </c>
    </row>
    <row r="149" spans="1:36" x14ac:dyDescent="0.25">
      <c r="A149" t="s">
        <v>34462</v>
      </c>
      <c r="B149" t="s">
        <v>839</v>
      </c>
      <c r="C149" t="s">
        <v>842</v>
      </c>
      <c r="D149">
        <v>20</v>
      </c>
      <c r="E149">
        <v>20</v>
      </c>
      <c r="H149">
        <v>20</v>
      </c>
      <c r="I149">
        <v>20.67</v>
      </c>
      <c r="J149">
        <v>0</v>
      </c>
      <c r="K149">
        <v>1</v>
      </c>
      <c r="L149">
        <v>1</v>
      </c>
      <c r="M149">
        <v>1</v>
      </c>
      <c r="Q149">
        <v>-1</v>
      </c>
      <c r="R149">
        <v>-1</v>
      </c>
      <c r="U149">
        <v>0.31085141999999999</v>
      </c>
      <c r="X149" t="s">
        <v>838</v>
      </c>
      <c r="AB149" t="s">
        <v>34865</v>
      </c>
      <c r="AC149" t="s">
        <v>34465</v>
      </c>
      <c r="AD149" t="s">
        <v>11496</v>
      </c>
      <c r="AF149" t="s">
        <v>34866</v>
      </c>
    </row>
    <row r="150" spans="1:36" x14ac:dyDescent="0.25">
      <c r="A150" t="s">
        <v>34462</v>
      </c>
      <c r="B150" t="s">
        <v>845</v>
      </c>
      <c r="C150" t="s">
        <v>848</v>
      </c>
      <c r="D150">
        <v>15.93</v>
      </c>
      <c r="E150">
        <v>15.93</v>
      </c>
      <c r="F150">
        <v>431775</v>
      </c>
      <c r="G150">
        <v>2324518</v>
      </c>
      <c r="H150">
        <v>21</v>
      </c>
      <c r="I150">
        <v>17.809999999999999</v>
      </c>
      <c r="J150">
        <v>0.05</v>
      </c>
      <c r="K150">
        <v>1</v>
      </c>
      <c r="L150">
        <v>3</v>
      </c>
      <c r="M150">
        <v>3</v>
      </c>
      <c r="O150">
        <v>0</v>
      </c>
      <c r="Q150">
        <v>3</v>
      </c>
      <c r="R150">
        <v>11</v>
      </c>
      <c r="S150" t="s">
        <v>34867</v>
      </c>
      <c r="U150">
        <v>0.22046199999999999</v>
      </c>
      <c r="V150">
        <v>3.27</v>
      </c>
      <c r="X150" t="s">
        <v>844</v>
      </c>
      <c r="Y150" t="s">
        <v>34868</v>
      </c>
      <c r="AA150" t="s">
        <v>278</v>
      </c>
      <c r="AB150" t="s">
        <v>34869</v>
      </c>
      <c r="AC150" t="s">
        <v>34465</v>
      </c>
      <c r="AD150" t="s">
        <v>34870</v>
      </c>
      <c r="AE150" t="s">
        <v>34533</v>
      </c>
      <c r="AF150" t="s">
        <v>34871</v>
      </c>
      <c r="AG150" t="s">
        <v>34872</v>
      </c>
    </row>
    <row r="151" spans="1:36" x14ac:dyDescent="0.25">
      <c r="A151" t="s">
        <v>34462</v>
      </c>
      <c r="B151" t="s">
        <v>851</v>
      </c>
      <c r="C151" t="s">
        <v>854</v>
      </c>
      <c r="D151">
        <v>52.34</v>
      </c>
      <c r="E151">
        <v>44.39</v>
      </c>
      <c r="F151">
        <v>2605453</v>
      </c>
      <c r="G151">
        <v>1677370</v>
      </c>
      <c r="H151">
        <v>71.92</v>
      </c>
      <c r="I151">
        <v>64.62</v>
      </c>
      <c r="J151">
        <v>0.05</v>
      </c>
      <c r="K151">
        <v>1</v>
      </c>
      <c r="L151">
        <v>1</v>
      </c>
      <c r="M151">
        <v>1</v>
      </c>
      <c r="Q151">
        <v>2</v>
      </c>
      <c r="R151">
        <v>11</v>
      </c>
      <c r="S151" t="s">
        <v>34873</v>
      </c>
      <c r="U151">
        <v>0.42108242000000001</v>
      </c>
      <c r="V151">
        <v>5.9</v>
      </c>
      <c r="W151">
        <v>8.9</v>
      </c>
      <c r="X151" t="s">
        <v>850</v>
      </c>
      <c r="Z151" t="s">
        <v>855</v>
      </c>
      <c r="AA151" t="s">
        <v>856</v>
      </c>
      <c r="AB151" t="s">
        <v>34874</v>
      </c>
      <c r="AC151" t="s">
        <v>34465</v>
      </c>
      <c r="AD151" t="s">
        <v>7954</v>
      </c>
      <c r="AE151" t="s">
        <v>34474</v>
      </c>
      <c r="AF151" t="s">
        <v>34875</v>
      </c>
      <c r="AG151" t="s">
        <v>34876</v>
      </c>
    </row>
    <row r="152" spans="1:36" x14ac:dyDescent="0.25">
      <c r="A152" t="s">
        <v>34462</v>
      </c>
      <c r="B152" t="s">
        <v>858</v>
      </c>
      <c r="C152" t="s">
        <v>860</v>
      </c>
      <c r="D152">
        <v>28</v>
      </c>
      <c r="E152">
        <v>28</v>
      </c>
      <c r="F152">
        <v>2605453</v>
      </c>
      <c r="G152">
        <v>1648982</v>
      </c>
      <c r="H152">
        <v>35.28</v>
      </c>
      <c r="I152">
        <v>39.840000000000003</v>
      </c>
      <c r="J152">
        <v>0</v>
      </c>
      <c r="K152">
        <v>0</v>
      </c>
      <c r="L152">
        <v>3</v>
      </c>
      <c r="M152">
        <v>3</v>
      </c>
      <c r="Q152">
        <v>2</v>
      </c>
      <c r="R152">
        <v>11</v>
      </c>
      <c r="S152" t="s">
        <v>34873</v>
      </c>
      <c r="U152">
        <v>0.46958406000000003</v>
      </c>
      <c r="V152">
        <v>4.45</v>
      </c>
      <c r="W152">
        <v>4.76</v>
      </c>
      <c r="X152" t="s">
        <v>857</v>
      </c>
      <c r="Y152" t="s">
        <v>855</v>
      </c>
      <c r="Z152" t="s">
        <v>855</v>
      </c>
      <c r="AA152" t="s">
        <v>856</v>
      </c>
      <c r="AB152" t="s">
        <v>34877</v>
      </c>
      <c r="AC152" t="s">
        <v>34493</v>
      </c>
      <c r="AD152" t="s">
        <v>7954</v>
      </c>
      <c r="AE152" t="s">
        <v>34533</v>
      </c>
      <c r="AF152" t="s">
        <v>34875</v>
      </c>
      <c r="AG152" t="s">
        <v>34876</v>
      </c>
    </row>
    <row r="153" spans="1:36" x14ac:dyDescent="0.25">
      <c r="A153" t="s">
        <v>34462</v>
      </c>
      <c r="B153" t="s">
        <v>862</v>
      </c>
      <c r="C153" t="s">
        <v>864</v>
      </c>
      <c r="D153">
        <v>21.23</v>
      </c>
      <c r="E153">
        <v>21.23</v>
      </c>
      <c r="F153">
        <v>2605453</v>
      </c>
      <c r="G153">
        <v>1639267</v>
      </c>
      <c r="H153">
        <v>26.63</v>
      </c>
      <c r="I153">
        <v>34.15</v>
      </c>
      <c r="J153">
        <v>0</v>
      </c>
      <c r="K153">
        <v>0</v>
      </c>
      <c r="L153">
        <v>4</v>
      </c>
      <c r="M153">
        <v>3</v>
      </c>
      <c r="O153">
        <v>0</v>
      </c>
      <c r="Q153">
        <v>2</v>
      </c>
      <c r="R153">
        <v>11</v>
      </c>
      <c r="S153" t="s">
        <v>34873</v>
      </c>
      <c r="U153">
        <v>0.49163025999999999</v>
      </c>
      <c r="V153">
        <v>5.9</v>
      </c>
      <c r="W153">
        <v>3.61</v>
      </c>
      <c r="X153" t="s">
        <v>861</v>
      </c>
      <c r="Y153" t="s">
        <v>855</v>
      </c>
      <c r="Z153" t="s">
        <v>855</v>
      </c>
      <c r="AA153" t="s">
        <v>856</v>
      </c>
      <c r="AB153" t="s">
        <v>34878</v>
      </c>
      <c r="AC153" t="s">
        <v>34493</v>
      </c>
      <c r="AD153" t="s">
        <v>7954</v>
      </c>
      <c r="AE153" t="s">
        <v>14701</v>
      </c>
      <c r="AF153" t="s">
        <v>34875</v>
      </c>
      <c r="AG153" t="s">
        <v>34876</v>
      </c>
    </row>
    <row r="154" spans="1:36" x14ac:dyDescent="0.25">
      <c r="A154" t="s">
        <v>34462</v>
      </c>
      <c r="B154" t="s">
        <v>867</v>
      </c>
      <c r="C154" t="s">
        <v>869</v>
      </c>
      <c r="D154">
        <v>28</v>
      </c>
      <c r="E154">
        <v>28</v>
      </c>
      <c r="F154">
        <v>2605453</v>
      </c>
      <c r="G154">
        <v>3681221</v>
      </c>
      <c r="H154">
        <v>37.07</v>
      </c>
      <c r="I154">
        <v>42.92</v>
      </c>
      <c r="J154">
        <v>0</v>
      </c>
      <c r="K154">
        <v>0</v>
      </c>
      <c r="L154">
        <v>3</v>
      </c>
      <c r="M154">
        <v>3</v>
      </c>
      <c r="O154">
        <v>0</v>
      </c>
      <c r="Q154">
        <v>2</v>
      </c>
      <c r="R154">
        <v>7</v>
      </c>
      <c r="S154" t="s">
        <v>34873</v>
      </c>
      <c r="U154">
        <v>0.50706260000000003</v>
      </c>
      <c r="V154">
        <v>5.9</v>
      </c>
      <c r="W154">
        <v>4.76</v>
      </c>
      <c r="X154" t="s">
        <v>866</v>
      </c>
      <c r="Y154" t="s">
        <v>855</v>
      </c>
      <c r="Z154" t="s">
        <v>855</v>
      </c>
      <c r="AA154" t="s">
        <v>856</v>
      </c>
      <c r="AB154" t="s">
        <v>34879</v>
      </c>
      <c r="AC154" t="s">
        <v>34493</v>
      </c>
      <c r="AD154" t="s">
        <v>7954</v>
      </c>
      <c r="AE154" t="s">
        <v>34525</v>
      </c>
      <c r="AF154" t="s">
        <v>34875</v>
      </c>
      <c r="AG154" t="s">
        <v>34876</v>
      </c>
      <c r="AJ154" t="s">
        <v>34880</v>
      </c>
    </row>
    <row r="155" spans="1:36" x14ac:dyDescent="0.25">
      <c r="A155" t="s">
        <v>34462</v>
      </c>
      <c r="B155" t="s">
        <v>872</v>
      </c>
      <c r="C155" t="s">
        <v>874</v>
      </c>
      <c r="D155">
        <v>28</v>
      </c>
      <c r="E155">
        <v>28</v>
      </c>
      <c r="F155">
        <v>2605453</v>
      </c>
      <c r="G155">
        <v>1650299</v>
      </c>
      <c r="H155">
        <v>41.56</v>
      </c>
      <c r="I155">
        <v>43.1</v>
      </c>
      <c r="J155">
        <v>0</v>
      </c>
      <c r="K155">
        <v>0</v>
      </c>
      <c r="L155">
        <v>4</v>
      </c>
      <c r="M155">
        <v>4</v>
      </c>
      <c r="Q155">
        <v>2</v>
      </c>
      <c r="R155">
        <v>11</v>
      </c>
      <c r="S155" t="s">
        <v>34873</v>
      </c>
      <c r="U155">
        <v>0.54895037999999996</v>
      </c>
      <c r="V155">
        <v>5.12</v>
      </c>
      <c r="W155">
        <v>4.76</v>
      </c>
      <c r="X155" t="s">
        <v>871</v>
      </c>
      <c r="Y155" t="s">
        <v>855</v>
      </c>
      <c r="Z155" t="s">
        <v>855</v>
      </c>
      <c r="AA155" t="s">
        <v>856</v>
      </c>
      <c r="AB155" t="s">
        <v>34881</v>
      </c>
      <c r="AC155" t="s">
        <v>34493</v>
      </c>
      <c r="AD155" t="s">
        <v>7954</v>
      </c>
      <c r="AE155" t="s">
        <v>34649</v>
      </c>
      <c r="AF155" t="s">
        <v>34875</v>
      </c>
      <c r="AG155" t="s">
        <v>34876</v>
      </c>
    </row>
    <row r="156" spans="1:36" x14ac:dyDescent="0.25">
      <c r="A156" t="s">
        <v>34462</v>
      </c>
      <c r="B156" t="s">
        <v>877</v>
      </c>
      <c r="C156" t="s">
        <v>880</v>
      </c>
      <c r="D156">
        <v>52.99</v>
      </c>
      <c r="E156">
        <v>27.25</v>
      </c>
      <c r="H156">
        <v>52.99</v>
      </c>
      <c r="I156">
        <v>52.99</v>
      </c>
      <c r="J156">
        <v>0</v>
      </c>
      <c r="K156">
        <v>1</v>
      </c>
      <c r="L156">
        <v>3</v>
      </c>
      <c r="M156">
        <v>2</v>
      </c>
      <c r="Q156">
        <v>-1</v>
      </c>
      <c r="R156">
        <v>-1</v>
      </c>
      <c r="X156" t="s">
        <v>876</v>
      </c>
      <c r="AA156" t="s">
        <v>410</v>
      </c>
      <c r="AB156" t="s">
        <v>34882</v>
      </c>
      <c r="AC156" t="s">
        <v>34465</v>
      </c>
      <c r="AD156" t="s">
        <v>8078</v>
      </c>
      <c r="AE156" t="s">
        <v>34862</v>
      </c>
      <c r="AF156" t="s">
        <v>34883</v>
      </c>
    </row>
    <row r="157" spans="1:36" x14ac:dyDescent="0.25">
      <c r="A157" t="s">
        <v>34462</v>
      </c>
      <c r="B157" t="s">
        <v>882</v>
      </c>
      <c r="C157" t="s">
        <v>885</v>
      </c>
      <c r="D157">
        <v>32.86</v>
      </c>
      <c r="E157">
        <v>32.86</v>
      </c>
      <c r="F157">
        <v>15330</v>
      </c>
      <c r="G157">
        <v>375297</v>
      </c>
      <c r="H157">
        <v>36.51</v>
      </c>
      <c r="I157">
        <v>35.799999999999997</v>
      </c>
      <c r="J157">
        <v>0</v>
      </c>
      <c r="K157">
        <v>0</v>
      </c>
      <c r="L157">
        <v>1</v>
      </c>
      <c r="M157">
        <v>1</v>
      </c>
      <c r="N157">
        <v>4.3</v>
      </c>
      <c r="O157">
        <v>3</v>
      </c>
      <c r="P157">
        <v>5186</v>
      </c>
      <c r="Q157">
        <v>52</v>
      </c>
      <c r="R157">
        <v>144</v>
      </c>
      <c r="S157" t="s">
        <v>34884</v>
      </c>
      <c r="U157">
        <v>0.73634308000000004</v>
      </c>
      <c r="V157">
        <v>6.05</v>
      </c>
      <c r="W157">
        <v>5.59</v>
      </c>
      <c r="X157" t="s">
        <v>881</v>
      </c>
      <c r="Y157" t="s">
        <v>34885</v>
      </c>
      <c r="Z157" t="s">
        <v>886</v>
      </c>
      <c r="AA157" t="s">
        <v>887</v>
      </c>
      <c r="AB157" t="s">
        <v>34886</v>
      </c>
      <c r="AC157" t="s">
        <v>34493</v>
      </c>
      <c r="AD157" t="s">
        <v>8979</v>
      </c>
      <c r="AE157" t="s">
        <v>34887</v>
      </c>
      <c r="AF157" t="s">
        <v>34888</v>
      </c>
      <c r="AG157" t="s">
        <v>34889</v>
      </c>
    </row>
    <row r="158" spans="1:36" x14ac:dyDescent="0.25">
      <c r="A158" t="s">
        <v>34462</v>
      </c>
      <c r="B158" t="s">
        <v>889</v>
      </c>
      <c r="C158" t="s">
        <v>892</v>
      </c>
      <c r="D158">
        <v>30.12</v>
      </c>
      <c r="I158">
        <v>30.12</v>
      </c>
      <c r="J158">
        <v>0.9</v>
      </c>
      <c r="K158">
        <v>1</v>
      </c>
      <c r="L158">
        <v>1</v>
      </c>
      <c r="Q158">
        <v>-1</v>
      </c>
      <c r="R158">
        <v>-1</v>
      </c>
      <c r="S158" t="s">
        <v>34890</v>
      </c>
      <c r="U158">
        <v>2.20462E-3</v>
      </c>
      <c r="V158">
        <v>4.45</v>
      </c>
      <c r="X158" t="s">
        <v>888</v>
      </c>
      <c r="Z158" t="s">
        <v>893</v>
      </c>
      <c r="AA158" t="s">
        <v>894</v>
      </c>
      <c r="AB158" t="s">
        <v>34891</v>
      </c>
      <c r="AC158" t="s">
        <v>34465</v>
      </c>
      <c r="AD158" t="s">
        <v>11496</v>
      </c>
      <c r="AE158" t="s">
        <v>34826</v>
      </c>
      <c r="AF158" t="s">
        <v>34892</v>
      </c>
    </row>
    <row r="159" spans="1:36" x14ac:dyDescent="0.25">
      <c r="A159" t="s">
        <v>34462</v>
      </c>
      <c r="B159" t="s">
        <v>896</v>
      </c>
      <c r="C159" t="s">
        <v>898</v>
      </c>
      <c r="D159">
        <v>31.28</v>
      </c>
      <c r="I159">
        <v>31.28</v>
      </c>
      <c r="J159">
        <v>0.9</v>
      </c>
      <c r="K159">
        <v>1</v>
      </c>
      <c r="L159">
        <v>1</v>
      </c>
      <c r="Q159">
        <v>-1</v>
      </c>
      <c r="R159">
        <v>-1</v>
      </c>
      <c r="S159" t="s">
        <v>34890</v>
      </c>
      <c r="U159">
        <v>2.20462E-3</v>
      </c>
      <c r="V159">
        <v>4.45</v>
      </c>
      <c r="X159" t="s">
        <v>895</v>
      </c>
      <c r="Z159" t="s">
        <v>893</v>
      </c>
      <c r="AA159" t="s">
        <v>894</v>
      </c>
      <c r="AB159" t="s">
        <v>34893</v>
      </c>
      <c r="AC159" t="s">
        <v>34465</v>
      </c>
      <c r="AD159" t="s">
        <v>11496</v>
      </c>
      <c r="AE159" t="s">
        <v>34510</v>
      </c>
      <c r="AF159" t="s">
        <v>34892</v>
      </c>
    </row>
    <row r="160" spans="1:36" x14ac:dyDescent="0.25">
      <c r="A160" t="s">
        <v>34462</v>
      </c>
      <c r="B160" t="s">
        <v>900</v>
      </c>
      <c r="C160" t="s">
        <v>902</v>
      </c>
      <c r="D160">
        <v>30.12</v>
      </c>
      <c r="I160">
        <v>30.12</v>
      </c>
      <c r="J160">
        <v>0.87</v>
      </c>
      <c r="K160">
        <v>1</v>
      </c>
      <c r="L160">
        <v>1</v>
      </c>
      <c r="Q160">
        <v>-1</v>
      </c>
      <c r="R160">
        <v>-1</v>
      </c>
      <c r="S160" t="s">
        <v>34890</v>
      </c>
      <c r="U160">
        <v>2.20462E-3</v>
      </c>
      <c r="V160">
        <v>4.45</v>
      </c>
      <c r="X160" t="s">
        <v>899</v>
      </c>
      <c r="Z160" t="s">
        <v>893</v>
      </c>
      <c r="AA160" t="s">
        <v>894</v>
      </c>
      <c r="AB160" t="s">
        <v>34894</v>
      </c>
      <c r="AC160" t="s">
        <v>34465</v>
      </c>
      <c r="AD160" t="s">
        <v>11496</v>
      </c>
      <c r="AE160" t="s">
        <v>34506</v>
      </c>
      <c r="AF160" t="s">
        <v>34892</v>
      </c>
    </row>
    <row r="161" spans="1:33" x14ac:dyDescent="0.25">
      <c r="A161" t="s">
        <v>34462</v>
      </c>
      <c r="B161" t="s">
        <v>905</v>
      </c>
      <c r="C161" t="s">
        <v>907</v>
      </c>
      <c r="D161">
        <v>30.94</v>
      </c>
      <c r="I161">
        <v>30.94</v>
      </c>
      <c r="J161">
        <v>0.9</v>
      </c>
      <c r="K161">
        <v>1</v>
      </c>
      <c r="L161">
        <v>1</v>
      </c>
      <c r="Q161">
        <v>-1</v>
      </c>
      <c r="R161">
        <v>-1</v>
      </c>
      <c r="S161" t="s">
        <v>34890</v>
      </c>
      <c r="U161">
        <v>2.20462E-3</v>
      </c>
      <c r="V161">
        <v>4.45</v>
      </c>
      <c r="X161" t="s">
        <v>904</v>
      </c>
      <c r="Z161" t="s">
        <v>893</v>
      </c>
      <c r="AA161" t="s">
        <v>894</v>
      </c>
      <c r="AB161" t="s">
        <v>34895</v>
      </c>
      <c r="AC161" t="s">
        <v>34465</v>
      </c>
      <c r="AD161" t="s">
        <v>11496</v>
      </c>
      <c r="AE161" t="s">
        <v>34512</v>
      </c>
      <c r="AF161" t="s">
        <v>34892</v>
      </c>
    </row>
    <row r="162" spans="1:33" x14ac:dyDescent="0.25">
      <c r="A162" t="s">
        <v>34462</v>
      </c>
      <c r="B162" t="s">
        <v>910</v>
      </c>
      <c r="C162" t="s">
        <v>912</v>
      </c>
      <c r="D162">
        <v>22.99</v>
      </c>
      <c r="F162">
        <v>5032360</v>
      </c>
      <c r="G162">
        <v>1270285</v>
      </c>
      <c r="H162">
        <v>22.99</v>
      </c>
      <c r="I162">
        <v>24.37</v>
      </c>
      <c r="J162">
        <v>0.92</v>
      </c>
      <c r="K162">
        <v>1</v>
      </c>
      <c r="L162">
        <v>1</v>
      </c>
      <c r="N162">
        <v>4.5999999999999996</v>
      </c>
      <c r="O162">
        <v>0</v>
      </c>
      <c r="P162">
        <v>43</v>
      </c>
      <c r="Q162">
        <v>0</v>
      </c>
      <c r="R162">
        <v>6</v>
      </c>
      <c r="U162">
        <v>0.29982831999999998</v>
      </c>
      <c r="V162">
        <v>3.35</v>
      </c>
      <c r="X162" t="s">
        <v>909</v>
      </c>
      <c r="Z162" t="s">
        <v>893</v>
      </c>
      <c r="AA162" t="s">
        <v>894</v>
      </c>
      <c r="AB162" t="s">
        <v>34896</v>
      </c>
      <c r="AC162" t="s">
        <v>34465</v>
      </c>
      <c r="AD162" t="s">
        <v>11496</v>
      </c>
      <c r="AE162" t="s">
        <v>34832</v>
      </c>
      <c r="AF162" t="s">
        <v>34892</v>
      </c>
      <c r="AG162" t="s">
        <v>34897</v>
      </c>
    </row>
    <row r="163" spans="1:33" x14ac:dyDescent="0.25">
      <c r="A163" t="s">
        <v>34462</v>
      </c>
      <c r="B163" t="s">
        <v>915</v>
      </c>
      <c r="C163" t="s">
        <v>918</v>
      </c>
      <c r="D163">
        <v>129.94</v>
      </c>
      <c r="E163">
        <v>129.94</v>
      </c>
      <c r="F163">
        <v>234606</v>
      </c>
      <c r="G163">
        <v>131563</v>
      </c>
      <c r="H163">
        <v>115.8</v>
      </c>
      <c r="I163">
        <v>113.97</v>
      </c>
      <c r="J163">
        <v>0</v>
      </c>
      <c r="K163">
        <v>0.21</v>
      </c>
      <c r="L163">
        <v>8</v>
      </c>
      <c r="M163">
        <v>10</v>
      </c>
      <c r="N163">
        <v>4.5999999999999996</v>
      </c>
      <c r="O163">
        <v>3</v>
      </c>
      <c r="P163">
        <v>241</v>
      </c>
      <c r="Q163">
        <v>29</v>
      </c>
      <c r="R163">
        <v>72</v>
      </c>
      <c r="S163" t="s">
        <v>34898</v>
      </c>
      <c r="U163">
        <v>1.8518808</v>
      </c>
      <c r="V163">
        <v>12.27</v>
      </c>
      <c r="W163">
        <v>22.09</v>
      </c>
      <c r="X163" t="s">
        <v>914</v>
      </c>
      <c r="Y163" t="s">
        <v>919</v>
      </c>
      <c r="Z163" t="s">
        <v>919</v>
      </c>
      <c r="AA163" t="s">
        <v>920</v>
      </c>
      <c r="AB163" t="s">
        <v>34899</v>
      </c>
      <c r="AC163" t="s">
        <v>34493</v>
      </c>
      <c r="AD163" t="s">
        <v>9232</v>
      </c>
      <c r="AE163" t="s">
        <v>34533</v>
      </c>
      <c r="AF163" t="s">
        <v>34900</v>
      </c>
      <c r="AG163" t="s">
        <v>34901</v>
      </c>
    </row>
    <row r="164" spans="1:33" x14ac:dyDescent="0.25">
      <c r="A164" t="s">
        <v>34462</v>
      </c>
      <c r="B164" t="s">
        <v>922</v>
      </c>
      <c r="C164" t="s">
        <v>925</v>
      </c>
      <c r="D164">
        <v>19.25</v>
      </c>
      <c r="E164">
        <v>19.25</v>
      </c>
      <c r="F164">
        <v>7343</v>
      </c>
      <c r="G164">
        <v>6361</v>
      </c>
      <c r="H164">
        <v>29.89</v>
      </c>
      <c r="I164">
        <v>30.82</v>
      </c>
      <c r="J164">
        <v>0</v>
      </c>
      <c r="K164">
        <v>0</v>
      </c>
      <c r="L164">
        <v>16</v>
      </c>
      <c r="M164">
        <v>14</v>
      </c>
      <c r="N164">
        <v>4.5</v>
      </c>
      <c r="O164">
        <v>293</v>
      </c>
      <c r="P164">
        <v>293</v>
      </c>
      <c r="Q164">
        <v>54</v>
      </c>
      <c r="R164">
        <v>183</v>
      </c>
      <c r="S164" t="s">
        <v>34902</v>
      </c>
      <c r="T164">
        <v>50</v>
      </c>
      <c r="U164">
        <v>0.72972921999999996</v>
      </c>
      <c r="V164">
        <v>7.24</v>
      </c>
      <c r="W164">
        <v>1.93</v>
      </c>
      <c r="X164" t="s">
        <v>921</v>
      </c>
      <c r="Y164" t="s">
        <v>34903</v>
      </c>
      <c r="Z164" t="s">
        <v>927</v>
      </c>
      <c r="AA164" t="s">
        <v>76</v>
      </c>
      <c r="AB164" t="s">
        <v>34904</v>
      </c>
      <c r="AC164" t="s">
        <v>34493</v>
      </c>
      <c r="AD164" t="s">
        <v>8078</v>
      </c>
      <c r="AE164" t="s">
        <v>34533</v>
      </c>
      <c r="AF164" t="s">
        <v>34905</v>
      </c>
      <c r="AG164" t="s">
        <v>34906</v>
      </c>
    </row>
    <row r="165" spans="1:33" x14ac:dyDescent="0.25">
      <c r="A165" t="s">
        <v>34462</v>
      </c>
      <c r="B165" t="s">
        <v>929</v>
      </c>
      <c r="C165" t="s">
        <v>932</v>
      </c>
      <c r="D165">
        <v>25.04</v>
      </c>
      <c r="E165">
        <v>25.04</v>
      </c>
      <c r="F165">
        <v>147475</v>
      </c>
      <c r="G165">
        <v>156458</v>
      </c>
      <c r="H165">
        <v>28.11</v>
      </c>
      <c r="I165">
        <v>28.11</v>
      </c>
      <c r="J165">
        <v>0</v>
      </c>
      <c r="K165">
        <v>1</v>
      </c>
      <c r="L165">
        <v>4</v>
      </c>
      <c r="M165">
        <v>4</v>
      </c>
      <c r="N165">
        <v>4.9000000000000004</v>
      </c>
      <c r="O165">
        <v>2</v>
      </c>
      <c r="P165">
        <v>40</v>
      </c>
      <c r="Q165">
        <v>29</v>
      </c>
      <c r="R165">
        <v>66</v>
      </c>
      <c r="S165" t="s">
        <v>34907</v>
      </c>
      <c r="U165">
        <v>0.63933980000000001</v>
      </c>
      <c r="V165">
        <v>6.86</v>
      </c>
      <c r="X165" t="s">
        <v>928</v>
      </c>
      <c r="Y165" t="s">
        <v>34908</v>
      </c>
      <c r="Z165" t="s">
        <v>934</v>
      </c>
      <c r="AA165" t="s">
        <v>935</v>
      </c>
      <c r="AB165" t="s">
        <v>34909</v>
      </c>
      <c r="AC165" t="s">
        <v>34465</v>
      </c>
      <c r="AD165" t="s">
        <v>34910</v>
      </c>
      <c r="AE165" t="s">
        <v>100</v>
      </c>
      <c r="AF165" t="s">
        <v>34911</v>
      </c>
    </row>
    <row r="166" spans="1:33" x14ac:dyDescent="0.25">
      <c r="A166" t="s">
        <v>34462</v>
      </c>
      <c r="B166" t="s">
        <v>937</v>
      </c>
      <c r="C166" t="s">
        <v>940</v>
      </c>
      <c r="D166">
        <v>22.99</v>
      </c>
      <c r="F166">
        <v>1677184</v>
      </c>
      <c r="G166">
        <v>917460</v>
      </c>
      <c r="I166">
        <v>22.99</v>
      </c>
      <c r="J166">
        <v>0.9</v>
      </c>
      <c r="K166">
        <v>1</v>
      </c>
      <c r="L166">
        <v>1</v>
      </c>
      <c r="N166">
        <v>4.5999999999999996</v>
      </c>
      <c r="O166">
        <v>0</v>
      </c>
      <c r="P166">
        <v>326</v>
      </c>
      <c r="Q166">
        <v>0</v>
      </c>
      <c r="R166">
        <v>2</v>
      </c>
      <c r="S166" t="s">
        <v>34912</v>
      </c>
      <c r="X166" t="s">
        <v>936</v>
      </c>
      <c r="AA166" t="s">
        <v>942</v>
      </c>
      <c r="AB166" t="s">
        <v>34913</v>
      </c>
      <c r="AC166" t="s">
        <v>34465</v>
      </c>
      <c r="AD166" t="s">
        <v>11496</v>
      </c>
      <c r="AE166" t="s">
        <v>100</v>
      </c>
      <c r="AF166" t="s">
        <v>34914</v>
      </c>
    </row>
    <row r="167" spans="1:33" x14ac:dyDescent="0.25">
      <c r="A167" t="s">
        <v>34462</v>
      </c>
      <c r="B167" t="s">
        <v>944</v>
      </c>
      <c r="C167" t="s">
        <v>947</v>
      </c>
      <c r="D167">
        <v>49.6</v>
      </c>
      <c r="E167">
        <v>40.65</v>
      </c>
      <c r="F167">
        <v>1637108</v>
      </c>
      <c r="G167">
        <v>1142813</v>
      </c>
      <c r="H167">
        <v>44.4</v>
      </c>
      <c r="I167">
        <v>52.53</v>
      </c>
      <c r="J167">
        <v>0</v>
      </c>
      <c r="K167">
        <v>0</v>
      </c>
      <c r="L167">
        <v>2</v>
      </c>
      <c r="M167">
        <v>2</v>
      </c>
      <c r="N167">
        <v>4.9000000000000004</v>
      </c>
      <c r="O167">
        <v>0</v>
      </c>
      <c r="P167">
        <v>32</v>
      </c>
      <c r="Q167">
        <v>4</v>
      </c>
      <c r="R167">
        <v>10</v>
      </c>
      <c r="S167" t="s">
        <v>34915</v>
      </c>
      <c r="U167">
        <v>1.6975574</v>
      </c>
      <c r="V167">
        <v>7.16</v>
      </c>
      <c r="W167">
        <v>7.44</v>
      </c>
      <c r="X167" t="s">
        <v>943</v>
      </c>
      <c r="Y167" t="s">
        <v>948</v>
      </c>
      <c r="Z167" t="s">
        <v>948</v>
      </c>
      <c r="AA167" t="s">
        <v>805</v>
      </c>
      <c r="AB167" t="s">
        <v>34916</v>
      </c>
      <c r="AC167" t="s">
        <v>34493</v>
      </c>
      <c r="AD167" t="s">
        <v>34917</v>
      </c>
      <c r="AE167" t="s">
        <v>34918</v>
      </c>
      <c r="AF167" t="s">
        <v>34919</v>
      </c>
      <c r="AG167" t="s">
        <v>34920</v>
      </c>
    </row>
    <row r="168" spans="1:33" x14ac:dyDescent="0.25">
      <c r="A168" t="s">
        <v>34462</v>
      </c>
      <c r="B168" t="s">
        <v>950</v>
      </c>
      <c r="C168" t="s">
        <v>953</v>
      </c>
      <c r="F168">
        <v>6700686</v>
      </c>
      <c r="G168">
        <v>6140824</v>
      </c>
      <c r="J168">
        <v>1</v>
      </c>
      <c r="K168">
        <v>1</v>
      </c>
      <c r="N168">
        <v>3</v>
      </c>
      <c r="O168">
        <v>0</v>
      </c>
      <c r="P168">
        <v>1</v>
      </c>
      <c r="Q168">
        <v>0</v>
      </c>
      <c r="R168">
        <v>0</v>
      </c>
      <c r="S168" t="s">
        <v>34921</v>
      </c>
      <c r="U168">
        <v>0.93034963999999998</v>
      </c>
      <c r="V168">
        <v>5.52</v>
      </c>
      <c r="X168" t="s">
        <v>949</v>
      </c>
      <c r="Y168" t="s">
        <v>34922</v>
      </c>
      <c r="AA168" t="s">
        <v>954</v>
      </c>
      <c r="AB168" t="s">
        <v>34923</v>
      </c>
      <c r="AC168" t="s">
        <v>34465</v>
      </c>
      <c r="AD168" t="s">
        <v>28963</v>
      </c>
      <c r="AE168" t="s">
        <v>34521</v>
      </c>
      <c r="AF168" t="s">
        <v>34924</v>
      </c>
      <c r="AG168" t="s">
        <v>34925</v>
      </c>
    </row>
    <row r="169" spans="1:33" x14ac:dyDescent="0.25">
      <c r="A169" t="s">
        <v>34462</v>
      </c>
      <c r="B169" t="s">
        <v>956</v>
      </c>
      <c r="C169" t="s">
        <v>958</v>
      </c>
      <c r="D169">
        <v>32.04</v>
      </c>
      <c r="F169">
        <v>6700686</v>
      </c>
      <c r="G169">
        <v>6140857</v>
      </c>
      <c r="I169">
        <v>32.04</v>
      </c>
      <c r="J169">
        <v>1</v>
      </c>
      <c r="K169">
        <v>1</v>
      </c>
      <c r="N169">
        <v>3</v>
      </c>
      <c r="O169">
        <v>0</v>
      </c>
      <c r="P169">
        <v>1</v>
      </c>
      <c r="Q169">
        <v>0</v>
      </c>
      <c r="R169">
        <v>0</v>
      </c>
      <c r="S169" t="s">
        <v>34921</v>
      </c>
      <c r="U169">
        <v>0.95019122</v>
      </c>
      <c r="V169">
        <v>5.52</v>
      </c>
      <c r="X169" t="s">
        <v>955</v>
      </c>
      <c r="Y169" t="s">
        <v>34922</v>
      </c>
      <c r="AA169" t="s">
        <v>954</v>
      </c>
      <c r="AB169" t="s">
        <v>34926</v>
      </c>
      <c r="AC169" t="s">
        <v>34465</v>
      </c>
      <c r="AD169" t="s">
        <v>28963</v>
      </c>
      <c r="AE169" t="s">
        <v>34576</v>
      </c>
      <c r="AF169" t="s">
        <v>34924</v>
      </c>
      <c r="AG169" t="s">
        <v>34925</v>
      </c>
    </row>
    <row r="170" spans="1:33" x14ac:dyDescent="0.25">
      <c r="A170" t="s">
        <v>34462</v>
      </c>
      <c r="B170" t="s">
        <v>961</v>
      </c>
      <c r="C170" t="s">
        <v>963</v>
      </c>
      <c r="F170">
        <v>6700686</v>
      </c>
      <c r="G170">
        <v>6140894</v>
      </c>
      <c r="J170">
        <v>1</v>
      </c>
      <c r="K170">
        <v>1</v>
      </c>
      <c r="N170">
        <v>3</v>
      </c>
      <c r="O170">
        <v>0</v>
      </c>
      <c r="P170">
        <v>1</v>
      </c>
      <c r="Q170">
        <v>0</v>
      </c>
      <c r="R170">
        <v>0</v>
      </c>
      <c r="S170" t="s">
        <v>34921</v>
      </c>
      <c r="U170">
        <v>0.98987438000000005</v>
      </c>
      <c r="V170">
        <v>5.77</v>
      </c>
      <c r="X170" t="s">
        <v>960</v>
      </c>
      <c r="Y170" t="s">
        <v>34927</v>
      </c>
      <c r="AA170" t="s">
        <v>965</v>
      </c>
      <c r="AB170" t="s">
        <v>34928</v>
      </c>
      <c r="AC170" t="s">
        <v>34465</v>
      </c>
      <c r="AD170" t="s">
        <v>28963</v>
      </c>
      <c r="AE170" t="s">
        <v>34576</v>
      </c>
      <c r="AF170" t="s">
        <v>34924</v>
      </c>
      <c r="AG170" t="s">
        <v>34925</v>
      </c>
    </row>
    <row r="171" spans="1:33" x14ac:dyDescent="0.25">
      <c r="A171" t="s">
        <v>34462</v>
      </c>
      <c r="B171" t="s">
        <v>967</v>
      </c>
      <c r="C171" t="s">
        <v>969</v>
      </c>
      <c r="F171">
        <v>6700686</v>
      </c>
      <c r="G171">
        <v>6150969</v>
      </c>
      <c r="J171">
        <v>1</v>
      </c>
      <c r="K171">
        <v>1</v>
      </c>
      <c r="Q171">
        <v>0</v>
      </c>
      <c r="R171">
        <v>0</v>
      </c>
      <c r="S171" t="s">
        <v>34921</v>
      </c>
      <c r="U171">
        <v>0.98987438000000005</v>
      </c>
      <c r="V171">
        <v>5.52</v>
      </c>
      <c r="X171" t="s">
        <v>966</v>
      </c>
      <c r="Y171" t="s">
        <v>34922</v>
      </c>
      <c r="AA171" t="s">
        <v>954</v>
      </c>
      <c r="AB171" t="s">
        <v>34929</v>
      </c>
      <c r="AC171" t="s">
        <v>34465</v>
      </c>
      <c r="AD171" t="s">
        <v>28963</v>
      </c>
      <c r="AE171" t="s">
        <v>34582</v>
      </c>
      <c r="AF171" t="s">
        <v>34924</v>
      </c>
      <c r="AG171" t="s">
        <v>34925</v>
      </c>
    </row>
    <row r="172" spans="1:33" x14ac:dyDescent="0.25">
      <c r="A172" t="s">
        <v>34462</v>
      </c>
      <c r="B172" t="s">
        <v>971</v>
      </c>
      <c r="C172" t="s">
        <v>974</v>
      </c>
      <c r="D172">
        <v>59.95</v>
      </c>
      <c r="E172">
        <v>59.95</v>
      </c>
      <c r="F172">
        <v>2079619</v>
      </c>
      <c r="G172">
        <v>2836008</v>
      </c>
      <c r="H172">
        <v>73.22</v>
      </c>
      <c r="I172">
        <v>93.38</v>
      </c>
      <c r="J172">
        <v>7.0000000000000007E-2</v>
      </c>
      <c r="K172">
        <v>7.0000000000000007E-2</v>
      </c>
      <c r="L172">
        <v>1</v>
      </c>
      <c r="M172">
        <v>1</v>
      </c>
      <c r="N172">
        <v>5</v>
      </c>
      <c r="O172">
        <v>0</v>
      </c>
      <c r="P172">
        <v>1</v>
      </c>
      <c r="Q172">
        <v>1</v>
      </c>
      <c r="R172">
        <v>1</v>
      </c>
      <c r="S172" t="s">
        <v>34930</v>
      </c>
      <c r="U172">
        <v>1.9797487600000001</v>
      </c>
      <c r="V172">
        <v>16.829999999999998</v>
      </c>
      <c r="W172">
        <v>10.19</v>
      </c>
      <c r="X172" t="s">
        <v>970</v>
      </c>
      <c r="Y172" t="s">
        <v>976</v>
      </c>
      <c r="Z172" t="s">
        <v>976</v>
      </c>
      <c r="AA172" t="s">
        <v>700</v>
      </c>
      <c r="AB172" t="s">
        <v>34931</v>
      </c>
      <c r="AC172" t="s">
        <v>34493</v>
      </c>
      <c r="AD172" t="s">
        <v>34796</v>
      </c>
      <c r="AE172" t="s">
        <v>34533</v>
      </c>
      <c r="AF172" t="s">
        <v>34932</v>
      </c>
      <c r="AG172" t="s">
        <v>34933</v>
      </c>
    </row>
    <row r="173" spans="1:33" x14ac:dyDescent="0.25">
      <c r="A173" t="s">
        <v>34462</v>
      </c>
      <c r="B173" t="s">
        <v>978</v>
      </c>
      <c r="C173" t="s">
        <v>980</v>
      </c>
      <c r="D173">
        <v>138.66</v>
      </c>
      <c r="E173">
        <v>138.66</v>
      </c>
      <c r="F173">
        <v>2079619</v>
      </c>
      <c r="G173">
        <v>2854385</v>
      </c>
      <c r="H173">
        <v>117.6</v>
      </c>
      <c r="I173">
        <v>115.8</v>
      </c>
      <c r="J173">
        <v>0</v>
      </c>
      <c r="K173">
        <v>0</v>
      </c>
      <c r="L173">
        <v>1</v>
      </c>
      <c r="M173">
        <v>1</v>
      </c>
      <c r="O173">
        <v>0</v>
      </c>
      <c r="Q173">
        <v>1</v>
      </c>
      <c r="R173">
        <v>1</v>
      </c>
      <c r="S173" t="s">
        <v>34930</v>
      </c>
      <c r="U173">
        <v>1.8695177599999999</v>
      </c>
      <c r="V173">
        <v>15.69</v>
      </c>
      <c r="W173">
        <v>23.57</v>
      </c>
      <c r="X173" t="s">
        <v>977</v>
      </c>
      <c r="Y173" t="s">
        <v>976</v>
      </c>
      <c r="Z173" t="s">
        <v>976</v>
      </c>
      <c r="AA173" t="s">
        <v>76</v>
      </c>
      <c r="AB173" t="s">
        <v>34934</v>
      </c>
      <c r="AC173" t="s">
        <v>34493</v>
      </c>
      <c r="AD173" t="s">
        <v>34796</v>
      </c>
      <c r="AE173" t="s">
        <v>34533</v>
      </c>
      <c r="AF173" t="s">
        <v>34935</v>
      </c>
      <c r="AG173" t="s">
        <v>34933</v>
      </c>
    </row>
    <row r="174" spans="1:33" x14ac:dyDescent="0.25">
      <c r="A174" t="s">
        <v>34462</v>
      </c>
      <c r="B174" t="s">
        <v>983</v>
      </c>
      <c r="C174" t="s">
        <v>985</v>
      </c>
      <c r="D174">
        <v>32.119999999999997</v>
      </c>
      <c r="E174">
        <v>32.119999999999997</v>
      </c>
      <c r="F174">
        <v>2079619</v>
      </c>
      <c r="G174">
        <v>2812941</v>
      </c>
      <c r="H174">
        <v>61.02</v>
      </c>
      <c r="I174">
        <v>90.64</v>
      </c>
      <c r="J174">
        <v>0</v>
      </c>
      <c r="K174">
        <v>0</v>
      </c>
      <c r="L174">
        <v>1</v>
      </c>
      <c r="M174">
        <v>1</v>
      </c>
      <c r="N174">
        <v>5</v>
      </c>
      <c r="O174">
        <v>0</v>
      </c>
      <c r="P174">
        <v>1</v>
      </c>
      <c r="Q174">
        <v>2</v>
      </c>
      <c r="R174">
        <v>2</v>
      </c>
      <c r="S174" t="s">
        <v>34930</v>
      </c>
      <c r="U174">
        <v>2.0569104600000001</v>
      </c>
      <c r="V174">
        <v>19.11</v>
      </c>
      <c r="W174">
        <v>5.46</v>
      </c>
      <c r="X174" t="s">
        <v>982</v>
      </c>
      <c r="Y174" t="s">
        <v>976</v>
      </c>
      <c r="Z174" t="s">
        <v>976</v>
      </c>
      <c r="AA174" t="s">
        <v>76</v>
      </c>
      <c r="AB174" t="s">
        <v>34936</v>
      </c>
      <c r="AC174" t="s">
        <v>34493</v>
      </c>
      <c r="AD174" t="s">
        <v>34796</v>
      </c>
      <c r="AE174" t="s">
        <v>14701</v>
      </c>
      <c r="AF174" t="s">
        <v>34935</v>
      </c>
      <c r="AG174" t="s">
        <v>34933</v>
      </c>
    </row>
    <row r="175" spans="1:33" x14ac:dyDescent="0.25">
      <c r="A175" t="s">
        <v>34462</v>
      </c>
      <c r="B175" t="s">
        <v>988</v>
      </c>
      <c r="C175" t="s">
        <v>990</v>
      </c>
      <c r="D175">
        <v>115.25</v>
      </c>
      <c r="E175">
        <v>115.25</v>
      </c>
      <c r="F175">
        <v>2079619</v>
      </c>
      <c r="G175">
        <v>2818423</v>
      </c>
      <c r="H175">
        <v>107.79</v>
      </c>
      <c r="I175">
        <v>109.92</v>
      </c>
      <c r="J175">
        <v>0</v>
      </c>
      <c r="K175">
        <v>0</v>
      </c>
      <c r="L175">
        <v>1</v>
      </c>
      <c r="M175">
        <v>1</v>
      </c>
      <c r="N175">
        <v>5</v>
      </c>
      <c r="O175">
        <v>0</v>
      </c>
      <c r="P175">
        <v>1</v>
      </c>
      <c r="Q175">
        <v>1</v>
      </c>
      <c r="R175">
        <v>1</v>
      </c>
      <c r="S175" t="s">
        <v>34930</v>
      </c>
      <c r="U175">
        <v>1.9797487600000001</v>
      </c>
      <c r="V175">
        <v>16.829999999999998</v>
      </c>
      <c r="W175">
        <v>19.59</v>
      </c>
      <c r="X175" t="s">
        <v>987</v>
      </c>
      <c r="Y175" t="s">
        <v>976</v>
      </c>
      <c r="Z175" t="s">
        <v>976</v>
      </c>
      <c r="AA175" t="s">
        <v>700</v>
      </c>
      <c r="AB175" t="s">
        <v>34937</v>
      </c>
      <c r="AC175" t="s">
        <v>34493</v>
      </c>
      <c r="AD175" t="s">
        <v>34796</v>
      </c>
      <c r="AE175" t="s">
        <v>14701</v>
      </c>
      <c r="AF175" t="s">
        <v>34932</v>
      </c>
      <c r="AG175" t="s">
        <v>34933</v>
      </c>
    </row>
    <row r="176" spans="1:33" x14ac:dyDescent="0.25">
      <c r="A176" t="s">
        <v>34462</v>
      </c>
      <c r="B176" t="s">
        <v>993</v>
      </c>
      <c r="C176" t="s">
        <v>995</v>
      </c>
      <c r="D176">
        <v>163.92</v>
      </c>
      <c r="E176">
        <v>163.92</v>
      </c>
      <c r="F176">
        <v>2041874</v>
      </c>
      <c r="G176">
        <v>2790797</v>
      </c>
      <c r="H176">
        <v>129.78</v>
      </c>
      <c r="I176">
        <v>132</v>
      </c>
      <c r="J176">
        <v>0.11</v>
      </c>
      <c r="K176">
        <v>0.11</v>
      </c>
      <c r="L176">
        <v>1</v>
      </c>
      <c r="M176">
        <v>1</v>
      </c>
      <c r="N176">
        <v>5</v>
      </c>
      <c r="O176">
        <v>0</v>
      </c>
      <c r="P176">
        <v>1</v>
      </c>
      <c r="Q176">
        <v>1</v>
      </c>
      <c r="R176">
        <v>1</v>
      </c>
      <c r="S176" t="s">
        <v>34930</v>
      </c>
      <c r="U176">
        <v>2.0899797599999999</v>
      </c>
      <c r="V176">
        <v>16.45</v>
      </c>
      <c r="W176">
        <v>27.87</v>
      </c>
      <c r="X176" t="s">
        <v>992</v>
      </c>
      <c r="Y176" t="s">
        <v>976</v>
      </c>
      <c r="Z176" t="s">
        <v>976</v>
      </c>
      <c r="AA176" t="s">
        <v>76</v>
      </c>
      <c r="AB176" t="s">
        <v>34938</v>
      </c>
      <c r="AC176" t="s">
        <v>34493</v>
      </c>
      <c r="AD176" t="s">
        <v>34796</v>
      </c>
      <c r="AE176" t="s">
        <v>34525</v>
      </c>
      <c r="AF176" t="s">
        <v>34935</v>
      </c>
      <c r="AG176" t="s">
        <v>34933</v>
      </c>
    </row>
    <row r="177" spans="1:33" x14ac:dyDescent="0.25">
      <c r="A177" t="s">
        <v>34462</v>
      </c>
      <c r="B177" t="s">
        <v>998</v>
      </c>
      <c r="C177" t="s">
        <v>1000</v>
      </c>
      <c r="D177">
        <v>110.31</v>
      </c>
      <c r="E177">
        <v>110.31</v>
      </c>
      <c r="F177">
        <v>2079619</v>
      </c>
      <c r="G177">
        <v>2809289</v>
      </c>
      <c r="H177">
        <v>112.85</v>
      </c>
      <c r="I177">
        <v>115.54</v>
      </c>
      <c r="J177">
        <v>0</v>
      </c>
      <c r="K177">
        <v>0</v>
      </c>
      <c r="L177">
        <v>1</v>
      </c>
      <c r="M177">
        <v>1</v>
      </c>
      <c r="N177">
        <v>5</v>
      </c>
      <c r="O177">
        <v>0</v>
      </c>
      <c r="P177">
        <v>1</v>
      </c>
      <c r="Q177">
        <v>2</v>
      </c>
      <c r="R177">
        <v>2</v>
      </c>
      <c r="S177" t="s">
        <v>34930</v>
      </c>
      <c r="U177">
        <v>1.9797487600000001</v>
      </c>
      <c r="V177">
        <v>16.829999999999998</v>
      </c>
      <c r="W177">
        <v>18.75</v>
      </c>
      <c r="X177" t="s">
        <v>997</v>
      </c>
      <c r="Y177" t="s">
        <v>976</v>
      </c>
      <c r="Z177" t="s">
        <v>976</v>
      </c>
      <c r="AA177" t="s">
        <v>700</v>
      </c>
      <c r="AB177" t="s">
        <v>34939</v>
      </c>
      <c r="AC177" t="s">
        <v>34493</v>
      </c>
      <c r="AD177" t="s">
        <v>34796</v>
      </c>
      <c r="AE177" t="s">
        <v>34525</v>
      </c>
      <c r="AF177" t="s">
        <v>34932</v>
      </c>
      <c r="AG177" t="s">
        <v>34933</v>
      </c>
    </row>
    <row r="178" spans="1:33" x14ac:dyDescent="0.25">
      <c r="A178" t="s">
        <v>34462</v>
      </c>
      <c r="B178" t="s">
        <v>1002</v>
      </c>
      <c r="C178" t="s">
        <v>1004</v>
      </c>
      <c r="F178">
        <v>2079619</v>
      </c>
      <c r="G178">
        <v>2729021</v>
      </c>
      <c r="J178">
        <v>1</v>
      </c>
      <c r="K178">
        <v>1</v>
      </c>
      <c r="N178">
        <v>5</v>
      </c>
      <c r="O178">
        <v>0</v>
      </c>
      <c r="P178">
        <v>1</v>
      </c>
      <c r="Q178">
        <v>1</v>
      </c>
      <c r="R178">
        <v>1</v>
      </c>
      <c r="S178" t="s">
        <v>34930</v>
      </c>
      <c r="U178">
        <v>2.0701381799999998</v>
      </c>
      <c r="V178">
        <v>20.25</v>
      </c>
      <c r="X178" t="s">
        <v>1001</v>
      </c>
      <c r="Y178" t="s">
        <v>976</v>
      </c>
      <c r="Z178" t="s">
        <v>976</v>
      </c>
      <c r="AA178" t="s">
        <v>76</v>
      </c>
      <c r="AB178" t="s">
        <v>34940</v>
      </c>
      <c r="AC178" t="s">
        <v>34465</v>
      </c>
      <c r="AD178" t="s">
        <v>34796</v>
      </c>
      <c r="AE178" t="s">
        <v>34649</v>
      </c>
      <c r="AF178" t="s">
        <v>34941</v>
      </c>
      <c r="AG178" t="s">
        <v>34933</v>
      </c>
    </row>
    <row r="179" spans="1:33" x14ac:dyDescent="0.25">
      <c r="A179" t="s">
        <v>34462</v>
      </c>
      <c r="B179" t="s">
        <v>1006</v>
      </c>
      <c r="C179" t="s">
        <v>1008</v>
      </c>
      <c r="F179">
        <v>2079619</v>
      </c>
      <c r="G179">
        <v>2936425</v>
      </c>
      <c r="J179">
        <v>1</v>
      </c>
      <c r="K179">
        <v>1</v>
      </c>
      <c r="O179">
        <v>0</v>
      </c>
      <c r="Q179">
        <v>0</v>
      </c>
      <c r="R179">
        <v>0</v>
      </c>
      <c r="S179" t="s">
        <v>34930</v>
      </c>
      <c r="U179">
        <v>1.9797487600000001</v>
      </c>
      <c r="V179">
        <v>16.829999999999998</v>
      </c>
      <c r="X179" t="s">
        <v>1005</v>
      </c>
      <c r="Y179" t="s">
        <v>976</v>
      </c>
      <c r="Z179" t="s">
        <v>976</v>
      </c>
      <c r="AA179" t="s">
        <v>700</v>
      </c>
      <c r="AB179" t="s">
        <v>34942</v>
      </c>
      <c r="AC179" t="s">
        <v>34465</v>
      </c>
      <c r="AD179" t="s">
        <v>34796</v>
      </c>
      <c r="AE179" t="s">
        <v>34649</v>
      </c>
      <c r="AF179" t="s">
        <v>34932</v>
      </c>
      <c r="AG179" t="s">
        <v>34933</v>
      </c>
    </row>
    <row r="180" spans="1:33" x14ac:dyDescent="0.25">
      <c r="A180" t="s">
        <v>34462</v>
      </c>
      <c r="B180" t="s">
        <v>1010</v>
      </c>
      <c r="C180" t="s">
        <v>1013</v>
      </c>
      <c r="D180">
        <v>33.729999999999997</v>
      </c>
      <c r="F180">
        <v>8847176</v>
      </c>
      <c r="G180">
        <v>1265814</v>
      </c>
      <c r="H180">
        <v>33.729999999999997</v>
      </c>
      <c r="I180">
        <v>23.19</v>
      </c>
      <c r="J180">
        <v>0.87</v>
      </c>
      <c r="K180">
        <v>1</v>
      </c>
      <c r="L180">
        <v>1</v>
      </c>
      <c r="O180">
        <v>0</v>
      </c>
      <c r="Q180">
        <v>0</v>
      </c>
      <c r="R180">
        <v>10</v>
      </c>
      <c r="X180" t="s">
        <v>1009</v>
      </c>
      <c r="AA180" t="s">
        <v>1015</v>
      </c>
      <c r="AB180" t="s">
        <v>34943</v>
      </c>
      <c r="AC180" t="s">
        <v>34465</v>
      </c>
      <c r="AD180" t="s">
        <v>11496</v>
      </c>
      <c r="AE180" t="s">
        <v>100</v>
      </c>
      <c r="AF180" t="s">
        <v>34944</v>
      </c>
      <c r="AG180" t="s">
        <v>34945</v>
      </c>
    </row>
    <row r="181" spans="1:33" x14ac:dyDescent="0.25">
      <c r="A181" t="s">
        <v>34462</v>
      </c>
      <c r="B181" t="s">
        <v>1017</v>
      </c>
      <c r="C181" t="s">
        <v>1019</v>
      </c>
      <c r="D181">
        <v>27.99</v>
      </c>
      <c r="E181">
        <v>27.99</v>
      </c>
      <c r="F181">
        <v>431543</v>
      </c>
      <c r="G181">
        <v>1075385</v>
      </c>
      <c r="H181">
        <v>27.99</v>
      </c>
      <c r="I181">
        <v>25.78</v>
      </c>
      <c r="J181">
        <v>0</v>
      </c>
      <c r="K181">
        <v>1</v>
      </c>
      <c r="L181">
        <v>1</v>
      </c>
      <c r="M181">
        <v>1</v>
      </c>
      <c r="N181">
        <v>4.8</v>
      </c>
      <c r="O181">
        <v>0</v>
      </c>
      <c r="P181">
        <v>49</v>
      </c>
      <c r="Q181">
        <v>4</v>
      </c>
      <c r="R181">
        <v>25</v>
      </c>
      <c r="S181" t="s">
        <v>34946</v>
      </c>
      <c r="U181">
        <v>0.65036289999999997</v>
      </c>
      <c r="V181">
        <v>6.05</v>
      </c>
      <c r="W181">
        <v>4.76</v>
      </c>
      <c r="X181" t="s">
        <v>1016</v>
      </c>
      <c r="AA181" t="s">
        <v>1015</v>
      </c>
      <c r="AB181" t="s">
        <v>34947</v>
      </c>
      <c r="AC181" t="s">
        <v>34465</v>
      </c>
      <c r="AD181" t="s">
        <v>11496</v>
      </c>
      <c r="AE181" t="s">
        <v>106</v>
      </c>
      <c r="AF181" t="s">
        <v>34944</v>
      </c>
      <c r="AG181" t="s">
        <v>34945</v>
      </c>
    </row>
    <row r="182" spans="1:33" x14ac:dyDescent="0.25">
      <c r="A182" t="s">
        <v>34462</v>
      </c>
      <c r="B182" t="s">
        <v>1022</v>
      </c>
      <c r="C182" t="s">
        <v>1025</v>
      </c>
      <c r="J182">
        <v>1</v>
      </c>
      <c r="K182">
        <v>1</v>
      </c>
      <c r="Q182">
        <v>-1</v>
      </c>
      <c r="R182">
        <v>-1</v>
      </c>
      <c r="X182" t="s">
        <v>1021</v>
      </c>
      <c r="AB182" t="s">
        <v>34948</v>
      </c>
      <c r="AC182" t="s">
        <v>34465</v>
      </c>
      <c r="AD182" t="s">
        <v>34949</v>
      </c>
      <c r="AF182" t="s">
        <v>34950</v>
      </c>
    </row>
    <row r="183" spans="1:33" x14ac:dyDescent="0.25">
      <c r="A183" t="s">
        <v>34462</v>
      </c>
      <c r="B183" t="s">
        <v>1027</v>
      </c>
      <c r="C183" t="s">
        <v>1030</v>
      </c>
      <c r="D183">
        <v>77.319999999999993</v>
      </c>
      <c r="E183">
        <v>69.349999999999994</v>
      </c>
      <c r="F183">
        <v>4196475</v>
      </c>
      <c r="G183">
        <v>3503894</v>
      </c>
      <c r="H183">
        <v>75.650000000000006</v>
      </c>
      <c r="I183">
        <v>75.650000000000006</v>
      </c>
      <c r="J183">
        <v>0.27</v>
      </c>
      <c r="K183">
        <v>1</v>
      </c>
      <c r="L183">
        <v>1</v>
      </c>
      <c r="M183">
        <v>1</v>
      </c>
      <c r="Q183">
        <v>0</v>
      </c>
      <c r="R183">
        <v>0</v>
      </c>
      <c r="S183" t="s">
        <v>34951</v>
      </c>
      <c r="U183">
        <v>2.2046199999999998</v>
      </c>
      <c r="V183">
        <v>6.6</v>
      </c>
      <c r="W183">
        <v>13.14</v>
      </c>
      <c r="X183" t="s">
        <v>1026</v>
      </c>
      <c r="Y183" t="s">
        <v>34952</v>
      </c>
      <c r="AA183" t="s">
        <v>1031</v>
      </c>
      <c r="AB183" t="s">
        <v>34953</v>
      </c>
      <c r="AC183" t="s">
        <v>34465</v>
      </c>
      <c r="AD183" t="s">
        <v>9232</v>
      </c>
      <c r="AE183" t="s">
        <v>34469</v>
      </c>
      <c r="AF183" t="s">
        <v>34954</v>
      </c>
    </row>
    <row r="184" spans="1:33" x14ac:dyDescent="0.25">
      <c r="A184" t="s">
        <v>34462</v>
      </c>
      <c r="B184" t="s">
        <v>1033</v>
      </c>
      <c r="C184" t="s">
        <v>1036</v>
      </c>
      <c r="D184">
        <v>33.07</v>
      </c>
      <c r="E184">
        <v>33.07</v>
      </c>
      <c r="F184">
        <v>95891</v>
      </c>
      <c r="G184">
        <v>75931</v>
      </c>
      <c r="H184">
        <v>37.99</v>
      </c>
      <c r="I184">
        <v>40.49</v>
      </c>
      <c r="J184">
        <v>0</v>
      </c>
      <c r="K184">
        <v>0</v>
      </c>
      <c r="L184">
        <v>1</v>
      </c>
      <c r="M184">
        <v>1</v>
      </c>
      <c r="N184">
        <v>4.5</v>
      </c>
      <c r="O184">
        <v>0</v>
      </c>
      <c r="P184">
        <v>3500</v>
      </c>
      <c r="Q184">
        <v>25</v>
      </c>
      <c r="R184">
        <v>76</v>
      </c>
      <c r="S184" t="s">
        <v>34955</v>
      </c>
      <c r="U184">
        <v>1.0008974799999999</v>
      </c>
      <c r="V184">
        <v>7.02</v>
      </c>
      <c r="W184">
        <v>5.62</v>
      </c>
      <c r="X184" t="s">
        <v>1032</v>
      </c>
      <c r="Y184" t="s">
        <v>34956</v>
      </c>
      <c r="Z184" t="s">
        <v>1037</v>
      </c>
      <c r="AA184" t="s">
        <v>1038</v>
      </c>
      <c r="AB184" t="s">
        <v>34957</v>
      </c>
      <c r="AC184" t="s">
        <v>34493</v>
      </c>
      <c r="AD184" t="s">
        <v>8979</v>
      </c>
      <c r="AE184" t="s">
        <v>8980</v>
      </c>
      <c r="AF184" t="s">
        <v>34958</v>
      </c>
      <c r="AG184" t="s">
        <v>34959</v>
      </c>
    </row>
    <row r="185" spans="1:33" x14ac:dyDescent="0.25">
      <c r="A185" t="s">
        <v>34462</v>
      </c>
      <c r="B185" t="s">
        <v>1040</v>
      </c>
      <c r="C185" t="s">
        <v>1043</v>
      </c>
      <c r="D185">
        <v>15</v>
      </c>
      <c r="E185">
        <v>15</v>
      </c>
      <c r="F185">
        <v>1392758</v>
      </c>
      <c r="G185">
        <v>707862</v>
      </c>
      <c r="H185">
        <v>16.14</v>
      </c>
      <c r="I185">
        <v>20.23</v>
      </c>
      <c r="J185">
        <v>0</v>
      </c>
      <c r="K185">
        <v>0</v>
      </c>
      <c r="L185">
        <v>1</v>
      </c>
      <c r="M185">
        <v>1</v>
      </c>
      <c r="Q185">
        <v>9</v>
      </c>
      <c r="R185">
        <v>24</v>
      </c>
      <c r="S185" t="s">
        <v>34960</v>
      </c>
      <c r="U185">
        <v>0.65256751999999996</v>
      </c>
      <c r="V185">
        <v>5.9</v>
      </c>
      <c r="W185">
        <v>2.5499999999999998</v>
      </c>
      <c r="X185" t="s">
        <v>1039</v>
      </c>
      <c r="Y185" t="s">
        <v>1044</v>
      </c>
      <c r="Z185" t="s">
        <v>1044</v>
      </c>
      <c r="AA185" t="s">
        <v>76</v>
      </c>
      <c r="AB185" t="s">
        <v>34961</v>
      </c>
      <c r="AC185" t="s">
        <v>34493</v>
      </c>
      <c r="AD185" t="s">
        <v>23005</v>
      </c>
      <c r="AE185" t="s">
        <v>131</v>
      </c>
      <c r="AF185" t="s">
        <v>34962</v>
      </c>
      <c r="AG185" t="s">
        <v>34963</v>
      </c>
    </row>
    <row r="186" spans="1:33" x14ac:dyDescent="0.25">
      <c r="A186" t="s">
        <v>34462</v>
      </c>
      <c r="B186" t="s">
        <v>1046</v>
      </c>
      <c r="C186" t="s">
        <v>1048</v>
      </c>
      <c r="D186">
        <v>23.83</v>
      </c>
      <c r="E186">
        <v>23.83</v>
      </c>
      <c r="F186">
        <v>1392758</v>
      </c>
      <c r="G186">
        <v>735966</v>
      </c>
      <c r="H186">
        <v>25.89</v>
      </c>
      <c r="I186">
        <v>27.06</v>
      </c>
      <c r="J186">
        <v>0</v>
      </c>
      <c r="K186">
        <v>0</v>
      </c>
      <c r="L186">
        <v>1</v>
      </c>
      <c r="M186">
        <v>1</v>
      </c>
      <c r="Q186">
        <v>9</v>
      </c>
      <c r="R186">
        <v>23</v>
      </c>
      <c r="S186" t="s">
        <v>34960</v>
      </c>
      <c r="U186">
        <v>0.63933980000000001</v>
      </c>
      <c r="V186">
        <v>5.9</v>
      </c>
      <c r="W186">
        <v>4.05</v>
      </c>
      <c r="X186" t="s">
        <v>1045</v>
      </c>
      <c r="Y186" t="s">
        <v>1044</v>
      </c>
      <c r="Z186" t="s">
        <v>1044</v>
      </c>
      <c r="AA186" t="s">
        <v>935</v>
      </c>
      <c r="AB186" t="s">
        <v>34964</v>
      </c>
      <c r="AC186" t="s">
        <v>34493</v>
      </c>
      <c r="AD186" t="s">
        <v>23005</v>
      </c>
      <c r="AE186" t="s">
        <v>131</v>
      </c>
      <c r="AF186" t="s">
        <v>34965</v>
      </c>
      <c r="AG186" t="s">
        <v>34963</v>
      </c>
    </row>
    <row r="187" spans="1:33" x14ac:dyDescent="0.25">
      <c r="A187" t="s">
        <v>34462</v>
      </c>
      <c r="B187" t="s">
        <v>1050</v>
      </c>
      <c r="C187" t="s">
        <v>1052</v>
      </c>
      <c r="D187">
        <v>15</v>
      </c>
      <c r="E187">
        <v>15</v>
      </c>
      <c r="F187">
        <v>1401141</v>
      </c>
      <c r="G187">
        <v>750712</v>
      </c>
      <c r="H187">
        <v>15.82</v>
      </c>
      <c r="I187">
        <v>19.829999999999998</v>
      </c>
      <c r="J187">
        <v>0</v>
      </c>
      <c r="K187">
        <v>0</v>
      </c>
      <c r="L187">
        <v>1</v>
      </c>
      <c r="M187">
        <v>1</v>
      </c>
      <c r="Q187">
        <v>3</v>
      </c>
      <c r="R187">
        <v>19</v>
      </c>
      <c r="S187" t="s">
        <v>34960</v>
      </c>
      <c r="U187">
        <v>0.66138600000000003</v>
      </c>
      <c r="V187">
        <v>5.9</v>
      </c>
      <c r="W187">
        <v>0.75</v>
      </c>
      <c r="X187" t="s">
        <v>1049</v>
      </c>
      <c r="Y187" t="s">
        <v>1044</v>
      </c>
      <c r="Z187" t="s">
        <v>1044</v>
      </c>
      <c r="AA187" t="s">
        <v>76</v>
      </c>
      <c r="AB187" t="s">
        <v>34966</v>
      </c>
      <c r="AC187" t="s">
        <v>34493</v>
      </c>
      <c r="AD187" t="s">
        <v>23005</v>
      </c>
      <c r="AE187" t="s">
        <v>269</v>
      </c>
      <c r="AF187" t="s">
        <v>34962</v>
      </c>
      <c r="AG187" t="s">
        <v>34963</v>
      </c>
    </row>
    <row r="188" spans="1:33" x14ac:dyDescent="0.25">
      <c r="A188" t="s">
        <v>34462</v>
      </c>
      <c r="B188" t="s">
        <v>1054</v>
      </c>
      <c r="C188" t="s">
        <v>1056</v>
      </c>
      <c r="D188">
        <v>20.65</v>
      </c>
      <c r="E188">
        <v>20.65</v>
      </c>
      <c r="F188">
        <v>1401141</v>
      </c>
      <c r="G188">
        <v>769048</v>
      </c>
      <c r="H188">
        <v>21.47</v>
      </c>
      <c r="I188">
        <v>23.98</v>
      </c>
      <c r="J188">
        <v>0</v>
      </c>
      <c r="K188">
        <v>0</v>
      </c>
      <c r="L188">
        <v>1</v>
      </c>
      <c r="M188">
        <v>1</v>
      </c>
      <c r="Q188">
        <v>5</v>
      </c>
      <c r="R188">
        <v>22</v>
      </c>
      <c r="S188" t="s">
        <v>34960</v>
      </c>
      <c r="U188">
        <v>0.71429688000000002</v>
      </c>
      <c r="V188">
        <v>5.9</v>
      </c>
      <c r="W188">
        <v>3.51</v>
      </c>
      <c r="X188" t="s">
        <v>1053</v>
      </c>
      <c r="Y188" t="s">
        <v>1044</v>
      </c>
      <c r="Z188" t="s">
        <v>1044</v>
      </c>
      <c r="AA188" t="s">
        <v>935</v>
      </c>
      <c r="AB188" t="s">
        <v>34967</v>
      </c>
      <c r="AC188" t="s">
        <v>34493</v>
      </c>
      <c r="AD188" t="s">
        <v>23005</v>
      </c>
      <c r="AE188" t="s">
        <v>269</v>
      </c>
      <c r="AF188" t="s">
        <v>34968</v>
      </c>
      <c r="AG188" t="s">
        <v>34963</v>
      </c>
    </row>
    <row r="189" spans="1:33" x14ac:dyDescent="0.25">
      <c r="A189" t="s">
        <v>34462</v>
      </c>
      <c r="B189" t="s">
        <v>1058</v>
      </c>
      <c r="C189" t="s">
        <v>1061</v>
      </c>
      <c r="D189">
        <v>16.5</v>
      </c>
      <c r="E189">
        <v>16.5</v>
      </c>
      <c r="F189">
        <v>265341</v>
      </c>
      <c r="G189">
        <v>109842</v>
      </c>
      <c r="H189">
        <v>30.88</v>
      </c>
      <c r="I189">
        <v>33.15</v>
      </c>
      <c r="J189">
        <v>0</v>
      </c>
      <c r="K189">
        <v>0</v>
      </c>
      <c r="L189">
        <v>7</v>
      </c>
      <c r="M189">
        <v>7</v>
      </c>
      <c r="N189">
        <v>4.5</v>
      </c>
      <c r="O189">
        <v>19</v>
      </c>
      <c r="P189">
        <v>2576</v>
      </c>
      <c r="Q189">
        <v>25</v>
      </c>
      <c r="R189">
        <v>81</v>
      </c>
      <c r="S189" t="s">
        <v>34513</v>
      </c>
      <c r="U189">
        <v>1.5696894400000001</v>
      </c>
      <c r="V189">
        <v>7.08</v>
      </c>
      <c r="W189">
        <v>2.48</v>
      </c>
      <c r="X189" t="s">
        <v>1057</v>
      </c>
      <c r="Y189" t="s">
        <v>34969</v>
      </c>
      <c r="Z189" t="s">
        <v>125</v>
      </c>
      <c r="AA189" t="s">
        <v>1062</v>
      </c>
      <c r="AB189" t="s">
        <v>34970</v>
      </c>
      <c r="AC189" t="s">
        <v>34493</v>
      </c>
      <c r="AD189" t="s">
        <v>9232</v>
      </c>
      <c r="AE189" t="s">
        <v>34516</v>
      </c>
      <c r="AF189" t="s">
        <v>34971</v>
      </c>
      <c r="AG189" t="s">
        <v>34518</v>
      </c>
    </row>
    <row r="190" spans="1:33" x14ac:dyDescent="0.25">
      <c r="A190" t="s">
        <v>34462</v>
      </c>
      <c r="B190" t="s">
        <v>1064</v>
      </c>
      <c r="C190" t="s">
        <v>1066</v>
      </c>
      <c r="D190">
        <v>16.5</v>
      </c>
      <c r="E190">
        <v>16.5</v>
      </c>
      <c r="F190">
        <v>265341</v>
      </c>
      <c r="G190">
        <v>109171</v>
      </c>
      <c r="H190">
        <v>28.01</v>
      </c>
      <c r="I190">
        <v>32.799999999999997</v>
      </c>
      <c r="J190">
        <v>0</v>
      </c>
      <c r="K190">
        <v>0</v>
      </c>
      <c r="L190">
        <v>7</v>
      </c>
      <c r="M190">
        <v>7</v>
      </c>
      <c r="N190">
        <v>4.5</v>
      </c>
      <c r="O190">
        <v>8</v>
      </c>
      <c r="P190">
        <v>2576</v>
      </c>
      <c r="Q190">
        <v>30</v>
      </c>
      <c r="R190">
        <v>82</v>
      </c>
      <c r="S190" t="s">
        <v>34513</v>
      </c>
      <c r="U190">
        <v>1.4991416</v>
      </c>
      <c r="V190">
        <v>7</v>
      </c>
      <c r="W190">
        <v>2.48</v>
      </c>
      <c r="X190" t="s">
        <v>1063</v>
      </c>
      <c r="Y190" t="s">
        <v>34972</v>
      </c>
      <c r="Z190" t="s">
        <v>125</v>
      </c>
      <c r="AA190" t="s">
        <v>1067</v>
      </c>
      <c r="AB190" t="s">
        <v>34973</v>
      </c>
      <c r="AC190" t="s">
        <v>34493</v>
      </c>
      <c r="AD190" t="s">
        <v>9232</v>
      </c>
      <c r="AE190" t="s">
        <v>34516</v>
      </c>
      <c r="AF190" t="s">
        <v>34974</v>
      </c>
      <c r="AG190" t="s">
        <v>34518</v>
      </c>
    </row>
    <row r="191" spans="1:33" x14ac:dyDescent="0.25">
      <c r="A191" t="s">
        <v>34462</v>
      </c>
      <c r="B191" t="s">
        <v>1069</v>
      </c>
      <c r="C191" t="s">
        <v>1071</v>
      </c>
      <c r="D191">
        <v>16.5</v>
      </c>
      <c r="E191">
        <v>16.5</v>
      </c>
      <c r="F191">
        <v>265341</v>
      </c>
      <c r="G191">
        <v>109089</v>
      </c>
      <c r="H191">
        <v>34.47</v>
      </c>
      <c r="I191">
        <v>36.630000000000003</v>
      </c>
      <c r="J191">
        <v>0</v>
      </c>
      <c r="K191">
        <v>0</v>
      </c>
      <c r="L191">
        <v>6</v>
      </c>
      <c r="M191">
        <v>6</v>
      </c>
      <c r="N191">
        <v>4.5</v>
      </c>
      <c r="O191">
        <v>20</v>
      </c>
      <c r="P191">
        <v>2576</v>
      </c>
      <c r="Q191">
        <v>34</v>
      </c>
      <c r="R191">
        <v>109</v>
      </c>
      <c r="S191" t="s">
        <v>34513</v>
      </c>
      <c r="U191">
        <v>1.7196035999999999</v>
      </c>
      <c r="V191">
        <v>7</v>
      </c>
      <c r="W191">
        <v>2.48</v>
      </c>
      <c r="X191" t="s">
        <v>1068</v>
      </c>
      <c r="Y191" t="s">
        <v>34969</v>
      </c>
      <c r="Z191" t="s">
        <v>125</v>
      </c>
      <c r="AA191" t="s">
        <v>1062</v>
      </c>
      <c r="AB191" t="s">
        <v>34975</v>
      </c>
      <c r="AC191" t="s">
        <v>34493</v>
      </c>
      <c r="AD191" t="s">
        <v>9232</v>
      </c>
      <c r="AE191" t="s">
        <v>34521</v>
      </c>
      <c r="AF191" t="s">
        <v>34971</v>
      </c>
      <c r="AG191" t="s">
        <v>34518</v>
      </c>
    </row>
    <row r="192" spans="1:33" x14ac:dyDescent="0.25">
      <c r="A192" t="s">
        <v>34462</v>
      </c>
      <c r="B192" t="s">
        <v>1073</v>
      </c>
      <c r="C192" t="s">
        <v>1075</v>
      </c>
      <c r="D192">
        <v>16.5</v>
      </c>
      <c r="E192">
        <v>16.5</v>
      </c>
      <c r="F192">
        <v>265341</v>
      </c>
      <c r="G192">
        <v>109575</v>
      </c>
      <c r="H192">
        <v>35.54</v>
      </c>
      <c r="I192">
        <v>37.06</v>
      </c>
      <c r="J192">
        <v>0</v>
      </c>
      <c r="K192">
        <v>0</v>
      </c>
      <c r="L192">
        <v>3</v>
      </c>
      <c r="M192">
        <v>4</v>
      </c>
      <c r="N192">
        <v>4.5</v>
      </c>
      <c r="O192">
        <v>11</v>
      </c>
      <c r="P192">
        <v>2576</v>
      </c>
      <c r="Q192">
        <v>9</v>
      </c>
      <c r="R192">
        <v>22</v>
      </c>
      <c r="S192" t="s">
        <v>34513</v>
      </c>
      <c r="U192">
        <v>3.1504019799999998</v>
      </c>
      <c r="V192">
        <v>7</v>
      </c>
      <c r="W192">
        <v>2.48</v>
      </c>
      <c r="X192" t="s">
        <v>1072</v>
      </c>
      <c r="Y192" t="s">
        <v>34976</v>
      </c>
      <c r="Z192" t="s">
        <v>125</v>
      </c>
      <c r="AA192" t="s">
        <v>1067</v>
      </c>
      <c r="AB192" t="s">
        <v>34977</v>
      </c>
      <c r="AC192" t="s">
        <v>34493</v>
      </c>
      <c r="AD192" t="s">
        <v>9232</v>
      </c>
      <c r="AE192" t="s">
        <v>34521</v>
      </c>
      <c r="AF192" t="s">
        <v>34974</v>
      </c>
      <c r="AG192" t="s">
        <v>34518</v>
      </c>
    </row>
    <row r="193" spans="1:33" x14ac:dyDescent="0.25">
      <c r="A193" t="s">
        <v>34462</v>
      </c>
      <c r="B193" t="s">
        <v>1077</v>
      </c>
      <c r="C193" t="s">
        <v>1079</v>
      </c>
      <c r="D193">
        <v>16.5</v>
      </c>
      <c r="E193">
        <v>16.5</v>
      </c>
      <c r="F193">
        <v>265341</v>
      </c>
      <c r="G193">
        <v>109373</v>
      </c>
      <c r="H193">
        <v>33.67</v>
      </c>
      <c r="I193">
        <v>36.590000000000003</v>
      </c>
      <c r="J193">
        <v>0</v>
      </c>
      <c r="K193">
        <v>0</v>
      </c>
      <c r="L193">
        <v>3</v>
      </c>
      <c r="M193">
        <v>3</v>
      </c>
      <c r="N193">
        <v>4.5</v>
      </c>
      <c r="O193">
        <v>20</v>
      </c>
      <c r="P193">
        <v>2576</v>
      </c>
      <c r="Q193">
        <v>32</v>
      </c>
      <c r="R193">
        <v>107</v>
      </c>
      <c r="S193" t="s">
        <v>34513</v>
      </c>
      <c r="U193">
        <v>1.7592867599999999</v>
      </c>
      <c r="V193">
        <v>7.01</v>
      </c>
      <c r="W193">
        <v>2.48</v>
      </c>
      <c r="X193" t="s">
        <v>1076</v>
      </c>
      <c r="Y193" t="s">
        <v>34978</v>
      </c>
      <c r="Z193" t="s">
        <v>125</v>
      </c>
      <c r="AA193" t="s">
        <v>1067</v>
      </c>
      <c r="AB193" t="s">
        <v>34979</v>
      </c>
      <c r="AC193" t="s">
        <v>34493</v>
      </c>
      <c r="AD193" t="s">
        <v>9232</v>
      </c>
      <c r="AE193" t="s">
        <v>34576</v>
      </c>
      <c r="AF193" t="s">
        <v>34974</v>
      </c>
      <c r="AG193" t="s">
        <v>34518</v>
      </c>
    </row>
    <row r="194" spans="1:33" x14ac:dyDescent="0.25">
      <c r="A194" t="s">
        <v>34462</v>
      </c>
      <c r="B194" t="s">
        <v>1081</v>
      </c>
      <c r="C194" t="s">
        <v>1084</v>
      </c>
      <c r="D194">
        <v>39.159999999999997</v>
      </c>
      <c r="E194">
        <v>31.21</v>
      </c>
      <c r="F194">
        <v>5075694</v>
      </c>
      <c r="G194">
        <v>3494235</v>
      </c>
      <c r="H194">
        <v>18.2</v>
      </c>
      <c r="I194">
        <v>19.53</v>
      </c>
      <c r="J194">
        <v>0</v>
      </c>
      <c r="K194">
        <v>1</v>
      </c>
      <c r="L194">
        <v>2</v>
      </c>
      <c r="M194">
        <v>1</v>
      </c>
      <c r="Q194">
        <v>0</v>
      </c>
      <c r="R194">
        <v>2</v>
      </c>
      <c r="U194">
        <v>0.61949821999999999</v>
      </c>
      <c r="V194">
        <v>6.14</v>
      </c>
      <c r="W194">
        <v>6.66</v>
      </c>
      <c r="X194" t="s">
        <v>1080</v>
      </c>
      <c r="Y194" t="s">
        <v>34980</v>
      </c>
      <c r="AA194" t="s">
        <v>1085</v>
      </c>
      <c r="AB194" t="s">
        <v>34981</v>
      </c>
      <c r="AC194" t="s">
        <v>34465</v>
      </c>
      <c r="AD194" t="s">
        <v>12519</v>
      </c>
      <c r="AE194" t="s">
        <v>34533</v>
      </c>
      <c r="AF194" t="s">
        <v>34982</v>
      </c>
      <c r="AG194" t="s">
        <v>34983</v>
      </c>
    </row>
    <row r="195" spans="1:33" x14ac:dyDescent="0.25">
      <c r="A195" t="s">
        <v>34462</v>
      </c>
      <c r="B195" t="s">
        <v>1087</v>
      </c>
      <c r="C195" t="s">
        <v>1090</v>
      </c>
      <c r="D195">
        <v>69.989999999999995</v>
      </c>
      <c r="E195">
        <v>69.989999999999995</v>
      </c>
      <c r="F195">
        <v>250055</v>
      </c>
      <c r="G195">
        <v>538414</v>
      </c>
      <c r="H195">
        <v>61.22</v>
      </c>
      <c r="I195">
        <v>62.33</v>
      </c>
      <c r="J195">
        <v>0</v>
      </c>
      <c r="K195">
        <v>0</v>
      </c>
      <c r="L195">
        <v>1</v>
      </c>
      <c r="M195">
        <v>1</v>
      </c>
      <c r="N195">
        <v>4.0999999999999996</v>
      </c>
      <c r="O195">
        <v>6</v>
      </c>
      <c r="P195">
        <v>130</v>
      </c>
      <c r="Q195">
        <v>17</v>
      </c>
      <c r="R195">
        <v>40</v>
      </c>
      <c r="S195" t="s">
        <v>34984</v>
      </c>
      <c r="U195">
        <v>1.2786796</v>
      </c>
      <c r="V195">
        <v>5.82</v>
      </c>
      <c r="W195">
        <v>11.9</v>
      </c>
      <c r="X195" t="s">
        <v>1086</v>
      </c>
      <c r="Y195" t="s">
        <v>34985</v>
      </c>
      <c r="Z195" t="s">
        <v>1091</v>
      </c>
      <c r="AA195" t="s">
        <v>1092</v>
      </c>
      <c r="AB195" t="s">
        <v>34986</v>
      </c>
      <c r="AC195" t="s">
        <v>34493</v>
      </c>
      <c r="AD195" t="s">
        <v>12423</v>
      </c>
      <c r="AE195" t="s">
        <v>118</v>
      </c>
      <c r="AF195" t="s">
        <v>34987</v>
      </c>
      <c r="AG195" t="s">
        <v>34988</v>
      </c>
    </row>
    <row r="196" spans="1:33" x14ac:dyDescent="0.25">
      <c r="A196" t="s">
        <v>34462</v>
      </c>
      <c r="B196" t="s">
        <v>1094</v>
      </c>
      <c r="C196" t="s">
        <v>1096</v>
      </c>
      <c r="D196">
        <v>46.52</v>
      </c>
      <c r="E196">
        <v>38.57</v>
      </c>
      <c r="F196">
        <v>250055</v>
      </c>
      <c r="G196">
        <v>577287</v>
      </c>
      <c r="H196">
        <v>46.52</v>
      </c>
      <c r="I196">
        <v>46.52</v>
      </c>
      <c r="J196">
        <v>0.14000000000000001</v>
      </c>
      <c r="K196">
        <v>1</v>
      </c>
      <c r="L196">
        <v>1</v>
      </c>
      <c r="M196">
        <v>1</v>
      </c>
      <c r="N196">
        <v>4.0999999999999996</v>
      </c>
      <c r="O196">
        <v>6</v>
      </c>
      <c r="P196">
        <v>130</v>
      </c>
      <c r="Q196">
        <v>21</v>
      </c>
      <c r="R196">
        <v>40</v>
      </c>
      <c r="S196" t="s">
        <v>34984</v>
      </c>
      <c r="U196">
        <v>1.5322108999999999</v>
      </c>
      <c r="V196">
        <v>6.05</v>
      </c>
      <c r="W196">
        <v>7.91</v>
      </c>
      <c r="X196" t="s">
        <v>1093</v>
      </c>
      <c r="Y196" t="s">
        <v>34989</v>
      </c>
      <c r="Z196" t="s">
        <v>1091</v>
      </c>
      <c r="AA196" t="s">
        <v>1092</v>
      </c>
      <c r="AB196" t="s">
        <v>34990</v>
      </c>
      <c r="AC196" t="s">
        <v>34465</v>
      </c>
      <c r="AD196" t="s">
        <v>12423</v>
      </c>
      <c r="AE196" t="s">
        <v>311</v>
      </c>
      <c r="AF196" t="s">
        <v>34991</v>
      </c>
      <c r="AG196" t="s">
        <v>34988</v>
      </c>
    </row>
    <row r="197" spans="1:33" x14ac:dyDescent="0.25">
      <c r="A197" t="s">
        <v>34462</v>
      </c>
      <c r="B197" t="s">
        <v>1099</v>
      </c>
      <c r="C197" t="s">
        <v>1102</v>
      </c>
      <c r="D197">
        <v>39.99</v>
      </c>
      <c r="F197">
        <v>416476</v>
      </c>
      <c r="G197">
        <v>310824</v>
      </c>
      <c r="H197">
        <v>39.99</v>
      </c>
      <c r="I197">
        <v>39.99</v>
      </c>
      <c r="J197">
        <v>0.79</v>
      </c>
      <c r="K197">
        <v>1</v>
      </c>
      <c r="L197">
        <v>1</v>
      </c>
      <c r="N197">
        <v>4.4000000000000004</v>
      </c>
      <c r="P197">
        <v>2</v>
      </c>
      <c r="Q197">
        <v>0</v>
      </c>
      <c r="R197">
        <v>7</v>
      </c>
      <c r="V197">
        <v>10.99</v>
      </c>
      <c r="X197" t="s">
        <v>1098</v>
      </c>
      <c r="AB197" t="s">
        <v>34992</v>
      </c>
      <c r="AC197" t="s">
        <v>34465</v>
      </c>
      <c r="AD197" t="s">
        <v>34993</v>
      </c>
      <c r="AF197" t="s">
        <v>34994</v>
      </c>
      <c r="AG197" t="s">
        <v>34995</v>
      </c>
    </row>
    <row r="198" spans="1:33" x14ac:dyDescent="0.25">
      <c r="A198" t="s">
        <v>34462</v>
      </c>
      <c r="B198" t="s">
        <v>1104</v>
      </c>
      <c r="C198" t="s">
        <v>1107</v>
      </c>
      <c r="J198">
        <v>1</v>
      </c>
      <c r="K198">
        <v>1</v>
      </c>
      <c r="Q198">
        <v>-1</v>
      </c>
      <c r="R198">
        <v>-1</v>
      </c>
      <c r="X198" t="s">
        <v>1103</v>
      </c>
      <c r="AB198" t="s">
        <v>34996</v>
      </c>
      <c r="AC198" t="s">
        <v>34465</v>
      </c>
      <c r="AD198" t="s">
        <v>34997</v>
      </c>
      <c r="AF198" t="s">
        <v>34998</v>
      </c>
    </row>
    <row r="199" spans="1:33" x14ac:dyDescent="0.25">
      <c r="A199" t="s">
        <v>34462</v>
      </c>
      <c r="B199" t="s">
        <v>1109</v>
      </c>
      <c r="C199" t="s">
        <v>1112</v>
      </c>
      <c r="D199">
        <v>13.95</v>
      </c>
      <c r="E199">
        <v>13.95</v>
      </c>
      <c r="F199">
        <v>210312</v>
      </c>
      <c r="G199">
        <v>156692</v>
      </c>
      <c r="J199">
        <v>0</v>
      </c>
      <c r="K199">
        <v>1</v>
      </c>
      <c r="L199">
        <v>4</v>
      </c>
      <c r="M199">
        <v>3</v>
      </c>
      <c r="N199">
        <v>3.7</v>
      </c>
      <c r="O199">
        <v>12</v>
      </c>
      <c r="P199">
        <v>12</v>
      </c>
      <c r="Q199">
        <v>0</v>
      </c>
      <c r="R199">
        <v>11</v>
      </c>
      <c r="U199">
        <v>0.26014515999999999</v>
      </c>
      <c r="V199">
        <v>4.47</v>
      </c>
      <c r="X199" t="s">
        <v>1108</v>
      </c>
      <c r="AA199" t="s">
        <v>1114</v>
      </c>
      <c r="AB199" t="s">
        <v>34999</v>
      </c>
      <c r="AC199" t="s">
        <v>34465</v>
      </c>
      <c r="AD199" t="s">
        <v>28972</v>
      </c>
      <c r="AF199" t="s">
        <v>35000</v>
      </c>
    </row>
    <row r="200" spans="1:33" x14ac:dyDescent="0.25">
      <c r="A200" t="s">
        <v>34462</v>
      </c>
      <c r="B200" t="s">
        <v>1116</v>
      </c>
      <c r="C200" t="s">
        <v>1119</v>
      </c>
      <c r="D200">
        <v>33.22</v>
      </c>
      <c r="E200">
        <v>33.22</v>
      </c>
      <c r="F200">
        <v>98250</v>
      </c>
      <c r="G200">
        <v>49056</v>
      </c>
      <c r="H200">
        <v>33.32</v>
      </c>
      <c r="I200">
        <v>35.340000000000003</v>
      </c>
      <c r="J200">
        <v>0</v>
      </c>
      <c r="K200">
        <v>0</v>
      </c>
      <c r="L200">
        <v>19</v>
      </c>
      <c r="M200">
        <v>18</v>
      </c>
      <c r="N200">
        <v>5</v>
      </c>
      <c r="O200">
        <v>2</v>
      </c>
      <c r="P200">
        <v>2</v>
      </c>
      <c r="Q200">
        <v>17</v>
      </c>
      <c r="R200">
        <v>56</v>
      </c>
      <c r="S200" t="s">
        <v>35001</v>
      </c>
      <c r="U200">
        <v>0.68343220000000005</v>
      </c>
      <c r="V200">
        <v>6.81</v>
      </c>
      <c r="W200">
        <v>5.65</v>
      </c>
      <c r="X200" t="s">
        <v>1115</v>
      </c>
      <c r="Y200" t="s">
        <v>1120</v>
      </c>
      <c r="Z200" t="s">
        <v>1120</v>
      </c>
      <c r="AA200" t="s">
        <v>153</v>
      </c>
      <c r="AB200" t="s">
        <v>35002</v>
      </c>
      <c r="AC200" t="s">
        <v>34493</v>
      </c>
      <c r="AD200" t="s">
        <v>8078</v>
      </c>
      <c r="AE200" t="s">
        <v>34533</v>
      </c>
      <c r="AF200" t="s">
        <v>35003</v>
      </c>
      <c r="AG200" t="s">
        <v>35004</v>
      </c>
    </row>
    <row r="201" spans="1:33" x14ac:dyDescent="0.25">
      <c r="A201" t="s">
        <v>34462</v>
      </c>
      <c r="B201" t="s">
        <v>1122</v>
      </c>
      <c r="C201" t="s">
        <v>1125</v>
      </c>
      <c r="D201">
        <v>19</v>
      </c>
      <c r="E201">
        <v>19</v>
      </c>
      <c r="F201">
        <v>220126</v>
      </c>
      <c r="G201">
        <v>167933</v>
      </c>
      <c r="H201">
        <v>19.12</v>
      </c>
      <c r="I201">
        <v>19.559999999999999</v>
      </c>
      <c r="J201">
        <v>0</v>
      </c>
      <c r="K201">
        <v>1</v>
      </c>
      <c r="L201">
        <v>4</v>
      </c>
      <c r="M201">
        <v>3</v>
      </c>
      <c r="N201">
        <v>2.8</v>
      </c>
      <c r="O201">
        <v>1</v>
      </c>
      <c r="P201">
        <v>10</v>
      </c>
      <c r="Q201">
        <v>1</v>
      </c>
      <c r="R201">
        <v>8</v>
      </c>
      <c r="S201" t="s">
        <v>35005</v>
      </c>
      <c r="U201">
        <v>0.13007257999999999</v>
      </c>
      <c r="V201">
        <v>4.55</v>
      </c>
      <c r="W201">
        <v>2.85</v>
      </c>
      <c r="X201" t="s">
        <v>1121</v>
      </c>
      <c r="Y201" t="s">
        <v>35006</v>
      </c>
      <c r="AB201" t="s">
        <v>35007</v>
      </c>
      <c r="AC201" t="s">
        <v>34465</v>
      </c>
      <c r="AD201" t="s">
        <v>28972</v>
      </c>
      <c r="AE201" t="s">
        <v>35008</v>
      </c>
      <c r="AF201" t="s">
        <v>35009</v>
      </c>
    </row>
    <row r="202" spans="1:33" x14ac:dyDescent="0.25">
      <c r="A202" t="s">
        <v>34462</v>
      </c>
      <c r="B202" t="s">
        <v>1127</v>
      </c>
      <c r="C202" t="s">
        <v>1129</v>
      </c>
      <c r="D202">
        <v>19.989999999999998</v>
      </c>
      <c r="E202">
        <v>19.989999999999998</v>
      </c>
      <c r="F202">
        <v>220126</v>
      </c>
      <c r="G202">
        <v>164746</v>
      </c>
      <c r="H202">
        <v>19.989999999999998</v>
      </c>
      <c r="I202">
        <v>19.989999999999998</v>
      </c>
      <c r="J202">
        <v>0</v>
      </c>
      <c r="K202">
        <v>1</v>
      </c>
      <c r="L202">
        <v>2</v>
      </c>
      <c r="M202">
        <v>2</v>
      </c>
      <c r="N202">
        <v>2.8</v>
      </c>
      <c r="O202">
        <v>0</v>
      </c>
      <c r="P202">
        <v>10</v>
      </c>
      <c r="Q202">
        <v>1</v>
      </c>
      <c r="R202">
        <v>6</v>
      </c>
      <c r="S202" t="s">
        <v>35005</v>
      </c>
      <c r="U202">
        <v>0.24030357999999999</v>
      </c>
      <c r="V202">
        <v>7</v>
      </c>
      <c r="W202">
        <v>3</v>
      </c>
      <c r="X202" t="s">
        <v>1126</v>
      </c>
      <c r="Y202" t="s">
        <v>35010</v>
      </c>
      <c r="AA202" t="s">
        <v>935</v>
      </c>
      <c r="AB202" t="s">
        <v>35011</v>
      </c>
      <c r="AC202" t="s">
        <v>34465</v>
      </c>
      <c r="AD202" t="s">
        <v>28972</v>
      </c>
      <c r="AE202" t="s">
        <v>35012</v>
      </c>
      <c r="AF202" t="s">
        <v>35009</v>
      </c>
    </row>
    <row r="203" spans="1:33" x14ac:dyDescent="0.25">
      <c r="A203" t="s">
        <v>34462</v>
      </c>
      <c r="B203" t="s">
        <v>1131</v>
      </c>
      <c r="C203" t="s">
        <v>1133</v>
      </c>
      <c r="D203">
        <v>19.989999999999998</v>
      </c>
      <c r="E203">
        <v>19.989999999999998</v>
      </c>
      <c r="F203">
        <v>219755</v>
      </c>
      <c r="G203">
        <v>168158</v>
      </c>
      <c r="H203">
        <v>19.989999999999998</v>
      </c>
      <c r="I203">
        <v>19.989999999999998</v>
      </c>
      <c r="J203">
        <v>0</v>
      </c>
      <c r="K203">
        <v>1</v>
      </c>
      <c r="L203">
        <v>2</v>
      </c>
      <c r="M203">
        <v>1</v>
      </c>
      <c r="N203">
        <v>2.8</v>
      </c>
      <c r="O203">
        <v>1</v>
      </c>
      <c r="P203">
        <v>10</v>
      </c>
      <c r="Q203">
        <v>1</v>
      </c>
      <c r="R203">
        <v>8</v>
      </c>
      <c r="S203" t="s">
        <v>35005</v>
      </c>
      <c r="U203">
        <v>0.22046199999999999</v>
      </c>
      <c r="V203">
        <v>5.87</v>
      </c>
      <c r="W203">
        <v>3</v>
      </c>
      <c r="X203" t="s">
        <v>1130</v>
      </c>
      <c r="Y203" t="s">
        <v>35013</v>
      </c>
      <c r="AB203" t="s">
        <v>35014</v>
      </c>
      <c r="AC203" t="s">
        <v>34465</v>
      </c>
      <c r="AD203" t="s">
        <v>28972</v>
      </c>
      <c r="AE203" t="s">
        <v>35012</v>
      </c>
      <c r="AF203" t="s">
        <v>35015</v>
      </c>
    </row>
    <row r="204" spans="1:33" x14ac:dyDescent="0.25">
      <c r="A204" t="s">
        <v>34462</v>
      </c>
      <c r="B204" t="s">
        <v>1136</v>
      </c>
      <c r="C204" t="s">
        <v>1138</v>
      </c>
      <c r="D204">
        <v>19.989999999999998</v>
      </c>
      <c r="E204">
        <v>19.989999999999998</v>
      </c>
      <c r="F204">
        <v>220199</v>
      </c>
      <c r="G204">
        <v>166217</v>
      </c>
      <c r="H204">
        <v>20.75</v>
      </c>
      <c r="I204">
        <v>20.37</v>
      </c>
      <c r="J204">
        <v>0</v>
      </c>
      <c r="K204">
        <v>1</v>
      </c>
      <c r="L204">
        <v>2</v>
      </c>
      <c r="M204">
        <v>1</v>
      </c>
      <c r="N204">
        <v>2.8</v>
      </c>
      <c r="O204">
        <v>0</v>
      </c>
      <c r="P204">
        <v>10</v>
      </c>
      <c r="Q204">
        <v>1</v>
      </c>
      <c r="R204">
        <v>7</v>
      </c>
      <c r="S204" t="s">
        <v>35005</v>
      </c>
      <c r="U204">
        <v>0.29100984000000002</v>
      </c>
      <c r="V204">
        <v>6.62</v>
      </c>
      <c r="W204">
        <v>3</v>
      </c>
      <c r="X204" t="s">
        <v>1135</v>
      </c>
      <c r="Y204" t="s">
        <v>35016</v>
      </c>
      <c r="AB204" t="s">
        <v>35017</v>
      </c>
      <c r="AC204" t="s">
        <v>34465</v>
      </c>
      <c r="AD204" t="s">
        <v>28972</v>
      </c>
      <c r="AE204" t="s">
        <v>35018</v>
      </c>
      <c r="AF204" t="s">
        <v>35015</v>
      </c>
    </row>
    <row r="205" spans="1:33" x14ac:dyDescent="0.25">
      <c r="A205" t="s">
        <v>34462</v>
      </c>
      <c r="B205" t="s">
        <v>1140</v>
      </c>
      <c r="C205" t="s">
        <v>1142</v>
      </c>
      <c r="D205">
        <v>19.989999999999998</v>
      </c>
      <c r="E205">
        <v>19.989999999999998</v>
      </c>
      <c r="F205">
        <v>220199</v>
      </c>
      <c r="G205">
        <v>166181</v>
      </c>
      <c r="H205">
        <v>19.989999999999998</v>
      </c>
      <c r="I205">
        <v>19.989999999999998</v>
      </c>
      <c r="J205">
        <v>0</v>
      </c>
      <c r="K205">
        <v>1</v>
      </c>
      <c r="L205">
        <v>2</v>
      </c>
      <c r="M205">
        <v>1</v>
      </c>
      <c r="N205">
        <v>2.8</v>
      </c>
      <c r="O205">
        <v>0</v>
      </c>
      <c r="P205">
        <v>10</v>
      </c>
      <c r="Q205">
        <v>1</v>
      </c>
      <c r="R205">
        <v>6</v>
      </c>
      <c r="S205" t="s">
        <v>35005</v>
      </c>
      <c r="U205">
        <v>0.31085141999999999</v>
      </c>
      <c r="V205">
        <v>7.08</v>
      </c>
      <c r="W205">
        <v>3</v>
      </c>
      <c r="X205" t="s">
        <v>1139</v>
      </c>
      <c r="Y205" t="s">
        <v>35019</v>
      </c>
      <c r="AB205" t="s">
        <v>35020</v>
      </c>
      <c r="AC205" t="s">
        <v>34465</v>
      </c>
      <c r="AD205" t="s">
        <v>28972</v>
      </c>
      <c r="AE205" t="s">
        <v>35018</v>
      </c>
      <c r="AF205" t="s">
        <v>35009</v>
      </c>
    </row>
    <row r="206" spans="1:33" x14ac:dyDescent="0.25">
      <c r="A206" t="s">
        <v>34462</v>
      </c>
      <c r="B206" t="s">
        <v>1145</v>
      </c>
      <c r="C206" t="s">
        <v>1148</v>
      </c>
      <c r="F206">
        <v>35212</v>
      </c>
      <c r="G206">
        <v>20280</v>
      </c>
      <c r="J206">
        <v>1</v>
      </c>
      <c r="K206">
        <v>1</v>
      </c>
      <c r="N206">
        <v>4.5</v>
      </c>
      <c r="O206">
        <v>2</v>
      </c>
      <c r="P206">
        <v>1780</v>
      </c>
      <c r="Q206">
        <v>4</v>
      </c>
      <c r="R206">
        <v>25</v>
      </c>
      <c r="S206" t="s">
        <v>35021</v>
      </c>
      <c r="U206">
        <v>0.75398003999999996</v>
      </c>
      <c r="V206">
        <v>5.9</v>
      </c>
      <c r="X206" t="s">
        <v>1144</v>
      </c>
      <c r="Y206" t="s">
        <v>35022</v>
      </c>
      <c r="Z206" t="s">
        <v>1149</v>
      </c>
      <c r="AA206" t="s">
        <v>1150</v>
      </c>
      <c r="AB206" t="s">
        <v>35023</v>
      </c>
      <c r="AC206" t="s">
        <v>34465</v>
      </c>
      <c r="AD206" t="s">
        <v>23005</v>
      </c>
      <c r="AE206" t="s">
        <v>131</v>
      </c>
      <c r="AF206" t="s">
        <v>35024</v>
      </c>
      <c r="AG206" t="s">
        <v>35025</v>
      </c>
    </row>
    <row r="207" spans="1:33" x14ac:dyDescent="0.25">
      <c r="A207" t="s">
        <v>34462</v>
      </c>
      <c r="B207" t="s">
        <v>1152</v>
      </c>
      <c r="C207" t="s">
        <v>1155</v>
      </c>
      <c r="D207">
        <v>66</v>
      </c>
      <c r="E207">
        <v>66</v>
      </c>
      <c r="F207">
        <v>1139559</v>
      </c>
      <c r="G207">
        <v>1238315</v>
      </c>
      <c r="H207">
        <v>55.66</v>
      </c>
      <c r="I207">
        <v>51.45</v>
      </c>
      <c r="J207">
        <v>0.27</v>
      </c>
      <c r="K207">
        <v>1</v>
      </c>
      <c r="L207">
        <v>1</v>
      </c>
      <c r="N207">
        <v>3.6</v>
      </c>
      <c r="O207">
        <v>0</v>
      </c>
      <c r="P207">
        <v>13</v>
      </c>
      <c r="Q207">
        <v>8</v>
      </c>
      <c r="R207">
        <v>13</v>
      </c>
      <c r="S207" t="s">
        <v>35026</v>
      </c>
      <c r="U207">
        <v>0.50706260000000003</v>
      </c>
      <c r="V207">
        <v>7.4</v>
      </c>
      <c r="X207" t="s">
        <v>1151</v>
      </c>
      <c r="AA207" t="s">
        <v>1156</v>
      </c>
      <c r="AB207" t="s">
        <v>35027</v>
      </c>
      <c r="AC207" t="s">
        <v>34465</v>
      </c>
      <c r="AD207" t="s">
        <v>35028</v>
      </c>
      <c r="AE207" t="s">
        <v>35029</v>
      </c>
      <c r="AF207" t="s">
        <v>35030</v>
      </c>
      <c r="AG207" t="s">
        <v>35031</v>
      </c>
    </row>
    <row r="208" spans="1:33" x14ac:dyDescent="0.25">
      <c r="A208" t="s">
        <v>34462</v>
      </c>
      <c r="B208" t="s">
        <v>1158</v>
      </c>
      <c r="C208" t="s">
        <v>1160</v>
      </c>
      <c r="D208">
        <v>66</v>
      </c>
      <c r="E208">
        <v>66</v>
      </c>
      <c r="F208">
        <v>1139559</v>
      </c>
      <c r="G208">
        <v>1322421</v>
      </c>
      <c r="H208">
        <v>55.72</v>
      </c>
      <c r="I208">
        <v>52.09</v>
      </c>
      <c r="J208">
        <v>0</v>
      </c>
      <c r="K208">
        <v>1</v>
      </c>
      <c r="L208">
        <v>1</v>
      </c>
      <c r="M208">
        <v>1</v>
      </c>
      <c r="N208">
        <v>3.6</v>
      </c>
      <c r="O208">
        <v>0</v>
      </c>
      <c r="P208">
        <v>13</v>
      </c>
      <c r="Q208">
        <v>8</v>
      </c>
      <c r="R208">
        <v>13</v>
      </c>
      <c r="S208" t="s">
        <v>35026</v>
      </c>
      <c r="U208">
        <v>0.50706260000000003</v>
      </c>
      <c r="V208">
        <v>7.4</v>
      </c>
      <c r="X208" t="s">
        <v>1157</v>
      </c>
      <c r="AA208" t="s">
        <v>1156</v>
      </c>
      <c r="AB208" t="s">
        <v>35032</v>
      </c>
      <c r="AC208" t="s">
        <v>34465</v>
      </c>
      <c r="AD208" t="s">
        <v>35028</v>
      </c>
      <c r="AE208" t="s">
        <v>35033</v>
      </c>
      <c r="AF208" t="s">
        <v>35034</v>
      </c>
      <c r="AG208" t="s">
        <v>35035</v>
      </c>
    </row>
    <row r="209" spans="1:33" x14ac:dyDescent="0.25">
      <c r="A209" t="s">
        <v>34462</v>
      </c>
      <c r="B209" t="s">
        <v>1162</v>
      </c>
      <c r="C209" t="s">
        <v>1164</v>
      </c>
      <c r="D209">
        <v>64.42</v>
      </c>
      <c r="E209">
        <v>64.42</v>
      </c>
      <c r="F209">
        <v>1139559</v>
      </c>
      <c r="G209">
        <v>1297153</v>
      </c>
      <c r="H209">
        <v>50.76</v>
      </c>
      <c r="I209">
        <v>50.08</v>
      </c>
      <c r="J209">
        <v>0</v>
      </c>
      <c r="K209">
        <v>1</v>
      </c>
      <c r="L209">
        <v>2</v>
      </c>
      <c r="M209">
        <v>2</v>
      </c>
      <c r="N209">
        <v>3.6</v>
      </c>
      <c r="O209">
        <v>0</v>
      </c>
      <c r="P209">
        <v>13</v>
      </c>
      <c r="Q209">
        <v>6</v>
      </c>
      <c r="R209">
        <v>10</v>
      </c>
      <c r="S209" t="s">
        <v>35026</v>
      </c>
      <c r="U209">
        <v>0.50706260000000003</v>
      </c>
      <c r="V209">
        <v>7.4</v>
      </c>
      <c r="X209" t="s">
        <v>1161</v>
      </c>
      <c r="AA209" t="s">
        <v>1156</v>
      </c>
      <c r="AB209" t="s">
        <v>35036</v>
      </c>
      <c r="AC209" t="s">
        <v>34465</v>
      </c>
      <c r="AD209" t="s">
        <v>35028</v>
      </c>
      <c r="AE209" t="s">
        <v>35037</v>
      </c>
      <c r="AF209" t="s">
        <v>35030</v>
      </c>
      <c r="AG209" t="s">
        <v>35035</v>
      </c>
    </row>
    <row r="210" spans="1:33" x14ac:dyDescent="0.25">
      <c r="A210" t="s">
        <v>34462</v>
      </c>
      <c r="B210" t="s">
        <v>1166</v>
      </c>
      <c r="C210" t="s">
        <v>1169</v>
      </c>
      <c r="D210">
        <v>53.33</v>
      </c>
      <c r="E210">
        <v>53.33</v>
      </c>
      <c r="F210">
        <v>286603</v>
      </c>
      <c r="G210">
        <v>348350</v>
      </c>
      <c r="H210">
        <v>48.76</v>
      </c>
      <c r="I210">
        <v>47.11</v>
      </c>
      <c r="J210">
        <v>0</v>
      </c>
      <c r="K210">
        <v>1</v>
      </c>
      <c r="L210">
        <v>2</v>
      </c>
      <c r="M210">
        <v>2</v>
      </c>
      <c r="N210">
        <v>4.2</v>
      </c>
      <c r="O210">
        <v>0</v>
      </c>
      <c r="P210">
        <v>92</v>
      </c>
      <c r="Q210">
        <v>19</v>
      </c>
      <c r="R210">
        <v>39</v>
      </c>
      <c r="S210" t="s">
        <v>35038</v>
      </c>
      <c r="X210" t="s">
        <v>1165</v>
      </c>
      <c r="AA210" t="s">
        <v>1170</v>
      </c>
      <c r="AB210" t="s">
        <v>35039</v>
      </c>
      <c r="AC210" t="s">
        <v>34465</v>
      </c>
      <c r="AD210" t="s">
        <v>35040</v>
      </c>
      <c r="AE210" t="s">
        <v>35041</v>
      </c>
      <c r="AF210" t="s">
        <v>35042</v>
      </c>
    </row>
    <row r="211" spans="1:33" x14ac:dyDescent="0.25">
      <c r="A211" t="s">
        <v>34462</v>
      </c>
      <c r="B211" t="s">
        <v>1172</v>
      </c>
      <c r="C211" t="s">
        <v>1174</v>
      </c>
      <c r="D211">
        <v>52.91</v>
      </c>
      <c r="E211">
        <v>52.91</v>
      </c>
      <c r="F211">
        <v>286603</v>
      </c>
      <c r="G211">
        <v>358266</v>
      </c>
      <c r="H211">
        <v>50.01</v>
      </c>
      <c r="I211">
        <v>47.69</v>
      </c>
      <c r="J211">
        <v>0</v>
      </c>
      <c r="K211">
        <v>1</v>
      </c>
      <c r="L211">
        <v>2</v>
      </c>
      <c r="M211">
        <v>2</v>
      </c>
      <c r="N211">
        <v>4.2</v>
      </c>
      <c r="O211">
        <v>0</v>
      </c>
      <c r="P211">
        <v>92</v>
      </c>
      <c r="Q211">
        <v>16</v>
      </c>
      <c r="R211">
        <v>40</v>
      </c>
      <c r="S211" t="s">
        <v>35038</v>
      </c>
      <c r="X211" t="s">
        <v>1171</v>
      </c>
      <c r="AA211" t="s">
        <v>1170</v>
      </c>
      <c r="AB211" t="s">
        <v>35043</v>
      </c>
      <c r="AC211" t="s">
        <v>34465</v>
      </c>
      <c r="AD211" t="s">
        <v>35040</v>
      </c>
      <c r="AE211" t="s">
        <v>35044</v>
      </c>
      <c r="AF211" t="s">
        <v>35042</v>
      </c>
    </row>
    <row r="212" spans="1:33" x14ac:dyDescent="0.25">
      <c r="A212" t="s">
        <v>34462</v>
      </c>
      <c r="B212" t="s">
        <v>1176</v>
      </c>
      <c r="C212" t="s">
        <v>1178</v>
      </c>
      <c r="D212">
        <v>52.72</v>
      </c>
      <c r="E212">
        <v>52.72</v>
      </c>
      <c r="F212">
        <v>286603</v>
      </c>
      <c r="G212">
        <v>342929</v>
      </c>
      <c r="H212">
        <v>50.04</v>
      </c>
      <c r="I212">
        <v>47.76</v>
      </c>
      <c r="J212">
        <v>0</v>
      </c>
      <c r="K212">
        <v>1</v>
      </c>
      <c r="L212">
        <v>2</v>
      </c>
      <c r="M212">
        <v>2</v>
      </c>
      <c r="N212">
        <v>4.2</v>
      </c>
      <c r="O212">
        <v>0</v>
      </c>
      <c r="P212">
        <v>92</v>
      </c>
      <c r="Q212">
        <v>14</v>
      </c>
      <c r="R212">
        <v>42</v>
      </c>
      <c r="S212" t="s">
        <v>35038</v>
      </c>
      <c r="X212" t="s">
        <v>1175</v>
      </c>
      <c r="AA212" t="s">
        <v>1170</v>
      </c>
      <c r="AB212" t="s">
        <v>35045</v>
      </c>
      <c r="AC212" t="s">
        <v>34465</v>
      </c>
      <c r="AD212" t="s">
        <v>35040</v>
      </c>
      <c r="AE212" t="s">
        <v>35046</v>
      </c>
      <c r="AF212" t="s">
        <v>35042</v>
      </c>
    </row>
    <row r="213" spans="1:33" x14ac:dyDescent="0.25">
      <c r="A213" t="s">
        <v>34462</v>
      </c>
      <c r="B213" t="s">
        <v>1180</v>
      </c>
      <c r="C213" t="s">
        <v>1182</v>
      </c>
      <c r="D213">
        <v>52.74</v>
      </c>
      <c r="E213">
        <v>52.74</v>
      </c>
      <c r="F213">
        <v>286603</v>
      </c>
      <c r="G213">
        <v>318119</v>
      </c>
      <c r="H213">
        <v>48.56</v>
      </c>
      <c r="I213">
        <v>46.67</v>
      </c>
      <c r="J213">
        <v>0</v>
      </c>
      <c r="K213">
        <v>1</v>
      </c>
      <c r="L213">
        <v>2</v>
      </c>
      <c r="M213">
        <v>2</v>
      </c>
      <c r="N213">
        <v>4.2</v>
      </c>
      <c r="O213">
        <v>0</v>
      </c>
      <c r="P213">
        <v>95</v>
      </c>
      <c r="Q213">
        <v>14</v>
      </c>
      <c r="R213">
        <v>40</v>
      </c>
      <c r="S213" t="s">
        <v>35038</v>
      </c>
      <c r="X213" t="s">
        <v>1179</v>
      </c>
      <c r="AA213" t="s">
        <v>1170</v>
      </c>
      <c r="AB213" t="s">
        <v>35047</v>
      </c>
      <c r="AC213" t="s">
        <v>34465</v>
      </c>
      <c r="AD213" t="s">
        <v>35040</v>
      </c>
      <c r="AE213" t="s">
        <v>35048</v>
      </c>
      <c r="AF213" t="s">
        <v>35042</v>
      </c>
    </row>
    <row r="214" spans="1:33" x14ac:dyDescent="0.25">
      <c r="A214" t="s">
        <v>34462</v>
      </c>
      <c r="B214" t="s">
        <v>1184</v>
      </c>
      <c r="C214" t="s">
        <v>1186</v>
      </c>
      <c r="D214">
        <v>53.56</v>
      </c>
      <c r="E214">
        <v>53.56</v>
      </c>
      <c r="F214">
        <v>286603</v>
      </c>
      <c r="G214">
        <v>352705</v>
      </c>
      <c r="H214">
        <v>50.08</v>
      </c>
      <c r="I214">
        <v>47.77</v>
      </c>
      <c r="J214">
        <v>0</v>
      </c>
      <c r="K214">
        <v>1</v>
      </c>
      <c r="L214">
        <v>2</v>
      </c>
      <c r="M214">
        <v>2</v>
      </c>
      <c r="N214">
        <v>4.2</v>
      </c>
      <c r="O214">
        <v>0</v>
      </c>
      <c r="P214">
        <v>95</v>
      </c>
      <c r="Q214">
        <v>13</v>
      </c>
      <c r="R214">
        <v>35</v>
      </c>
      <c r="S214" t="s">
        <v>35038</v>
      </c>
      <c r="X214" t="s">
        <v>1183</v>
      </c>
      <c r="AA214" t="s">
        <v>1170</v>
      </c>
      <c r="AB214" t="s">
        <v>35049</v>
      </c>
      <c r="AC214" t="s">
        <v>34465</v>
      </c>
      <c r="AD214" t="s">
        <v>35040</v>
      </c>
      <c r="AE214" t="s">
        <v>35029</v>
      </c>
      <c r="AF214" t="s">
        <v>35042</v>
      </c>
    </row>
    <row r="215" spans="1:33" x14ac:dyDescent="0.25">
      <c r="A215" t="s">
        <v>34462</v>
      </c>
      <c r="B215" t="s">
        <v>1188</v>
      </c>
      <c r="C215" t="s">
        <v>1190</v>
      </c>
      <c r="D215">
        <v>32.659999999999997</v>
      </c>
      <c r="E215">
        <v>32.659999999999997</v>
      </c>
      <c r="F215">
        <v>286603</v>
      </c>
      <c r="G215">
        <v>320942</v>
      </c>
      <c r="H215">
        <v>33.21</v>
      </c>
      <c r="I215">
        <v>36.46</v>
      </c>
      <c r="J215">
        <v>0</v>
      </c>
      <c r="K215">
        <v>1</v>
      </c>
      <c r="L215">
        <v>2</v>
      </c>
      <c r="M215">
        <v>2</v>
      </c>
      <c r="N215">
        <v>4.2</v>
      </c>
      <c r="O215">
        <v>0</v>
      </c>
      <c r="P215">
        <v>95</v>
      </c>
      <c r="Q215">
        <v>6</v>
      </c>
      <c r="R215">
        <v>22</v>
      </c>
      <c r="S215" t="s">
        <v>35038</v>
      </c>
      <c r="X215" t="s">
        <v>1187</v>
      </c>
      <c r="Y215" t="s">
        <v>1191</v>
      </c>
      <c r="Z215" t="s">
        <v>1191</v>
      </c>
      <c r="AA215" t="s">
        <v>1170</v>
      </c>
      <c r="AB215" t="s">
        <v>35050</v>
      </c>
      <c r="AC215" t="s">
        <v>34465</v>
      </c>
      <c r="AD215" t="s">
        <v>35040</v>
      </c>
      <c r="AE215" t="s">
        <v>35051</v>
      </c>
      <c r="AF215" t="s">
        <v>35042</v>
      </c>
    </row>
    <row r="216" spans="1:33" x14ac:dyDescent="0.25">
      <c r="A216" t="s">
        <v>34462</v>
      </c>
      <c r="B216" t="s">
        <v>1193</v>
      </c>
      <c r="C216" t="s">
        <v>1195</v>
      </c>
      <c r="D216">
        <v>52.91</v>
      </c>
      <c r="E216">
        <v>52.91</v>
      </c>
      <c r="F216">
        <v>286603</v>
      </c>
      <c r="G216">
        <v>334852</v>
      </c>
      <c r="H216">
        <v>50.18</v>
      </c>
      <c r="I216">
        <v>47.96</v>
      </c>
      <c r="J216">
        <v>0</v>
      </c>
      <c r="K216">
        <v>1</v>
      </c>
      <c r="L216">
        <v>2</v>
      </c>
      <c r="M216">
        <v>2</v>
      </c>
      <c r="N216">
        <v>4.2</v>
      </c>
      <c r="O216">
        <v>0</v>
      </c>
      <c r="P216">
        <v>95</v>
      </c>
      <c r="Q216">
        <v>15</v>
      </c>
      <c r="R216">
        <v>38</v>
      </c>
      <c r="S216" t="s">
        <v>35038</v>
      </c>
      <c r="X216" t="s">
        <v>1192</v>
      </c>
      <c r="Y216" t="s">
        <v>1191</v>
      </c>
      <c r="Z216" t="s">
        <v>1191</v>
      </c>
      <c r="AA216" t="s">
        <v>1170</v>
      </c>
      <c r="AB216" t="s">
        <v>35052</v>
      </c>
      <c r="AC216" t="s">
        <v>34465</v>
      </c>
      <c r="AD216" t="s">
        <v>35040</v>
      </c>
      <c r="AE216" t="s">
        <v>35037</v>
      </c>
      <c r="AF216" t="s">
        <v>35042</v>
      </c>
    </row>
    <row r="217" spans="1:33" x14ac:dyDescent="0.25">
      <c r="A217" t="s">
        <v>34462</v>
      </c>
      <c r="B217" t="s">
        <v>1197</v>
      </c>
      <c r="C217" t="s">
        <v>1199</v>
      </c>
      <c r="D217">
        <v>52.67</v>
      </c>
      <c r="E217">
        <v>52.67</v>
      </c>
      <c r="F217">
        <v>286603</v>
      </c>
      <c r="G217">
        <v>335302</v>
      </c>
      <c r="H217">
        <v>49.75</v>
      </c>
      <c r="I217">
        <v>47.49</v>
      </c>
      <c r="J217">
        <v>0</v>
      </c>
      <c r="K217">
        <v>1</v>
      </c>
      <c r="L217">
        <v>2</v>
      </c>
      <c r="M217">
        <v>2</v>
      </c>
      <c r="N217">
        <v>4.2</v>
      </c>
      <c r="O217">
        <v>0</v>
      </c>
      <c r="P217">
        <v>95</v>
      </c>
      <c r="Q217">
        <v>23</v>
      </c>
      <c r="R217">
        <v>59</v>
      </c>
      <c r="S217" t="s">
        <v>35038</v>
      </c>
      <c r="X217" t="s">
        <v>1196</v>
      </c>
      <c r="AA217" t="s">
        <v>1170</v>
      </c>
      <c r="AB217" t="s">
        <v>35053</v>
      </c>
      <c r="AC217" t="s">
        <v>34465</v>
      </c>
      <c r="AD217" t="s">
        <v>35040</v>
      </c>
      <c r="AE217" t="s">
        <v>35054</v>
      </c>
      <c r="AF217" t="s">
        <v>35042</v>
      </c>
    </row>
    <row r="218" spans="1:33" x14ac:dyDescent="0.25">
      <c r="A218" t="s">
        <v>34462</v>
      </c>
      <c r="B218" t="s">
        <v>1201</v>
      </c>
      <c r="C218" t="s">
        <v>1204</v>
      </c>
      <c r="D218">
        <v>32.5</v>
      </c>
      <c r="E218">
        <v>32.5</v>
      </c>
      <c r="F218">
        <v>446300</v>
      </c>
      <c r="G218">
        <v>270511</v>
      </c>
      <c r="H218">
        <v>32.090000000000003</v>
      </c>
      <c r="I218">
        <v>36.869999999999997</v>
      </c>
      <c r="J218">
        <v>0</v>
      </c>
      <c r="K218">
        <v>0</v>
      </c>
      <c r="L218">
        <v>1</v>
      </c>
      <c r="M218">
        <v>1</v>
      </c>
      <c r="N218">
        <v>4.5999999999999996</v>
      </c>
      <c r="O218">
        <v>1</v>
      </c>
      <c r="P218">
        <v>29</v>
      </c>
      <c r="Q218">
        <v>8</v>
      </c>
      <c r="R218">
        <v>33</v>
      </c>
      <c r="S218" t="s">
        <v>35055</v>
      </c>
      <c r="U218">
        <v>0.85980180000000006</v>
      </c>
      <c r="V218">
        <v>6.6</v>
      </c>
      <c r="W218">
        <v>5.53</v>
      </c>
      <c r="X218" t="s">
        <v>1200</v>
      </c>
      <c r="Y218" t="s">
        <v>1205</v>
      </c>
      <c r="Z218" t="s">
        <v>1205</v>
      </c>
      <c r="AA218" t="s">
        <v>1206</v>
      </c>
      <c r="AB218" t="s">
        <v>35056</v>
      </c>
      <c r="AC218" t="s">
        <v>34493</v>
      </c>
      <c r="AD218" t="s">
        <v>9232</v>
      </c>
      <c r="AE218" t="s">
        <v>34533</v>
      </c>
      <c r="AF218" t="s">
        <v>35057</v>
      </c>
      <c r="AG218" t="s">
        <v>35058</v>
      </c>
    </row>
    <row r="219" spans="1:33" x14ac:dyDescent="0.25">
      <c r="A219" t="s">
        <v>34462</v>
      </c>
      <c r="B219" t="s">
        <v>1208</v>
      </c>
      <c r="C219" t="s">
        <v>1210</v>
      </c>
      <c r="D219">
        <v>39.99</v>
      </c>
      <c r="E219">
        <v>39.99</v>
      </c>
      <c r="F219">
        <v>380293</v>
      </c>
      <c r="G219">
        <v>258165</v>
      </c>
      <c r="H219">
        <v>38.56</v>
      </c>
      <c r="I219">
        <v>43.55</v>
      </c>
      <c r="J219">
        <v>0</v>
      </c>
      <c r="K219">
        <v>0</v>
      </c>
      <c r="L219">
        <v>2</v>
      </c>
      <c r="M219">
        <v>1</v>
      </c>
      <c r="N219">
        <v>4.5</v>
      </c>
      <c r="O219">
        <v>0</v>
      </c>
      <c r="P219">
        <v>26</v>
      </c>
      <c r="Q219">
        <v>10</v>
      </c>
      <c r="R219">
        <v>38</v>
      </c>
      <c r="S219" t="s">
        <v>35055</v>
      </c>
      <c r="U219">
        <v>0.74957079999999998</v>
      </c>
      <c r="V219">
        <v>7.08</v>
      </c>
      <c r="W219">
        <v>6.8</v>
      </c>
      <c r="X219" t="s">
        <v>1207</v>
      </c>
      <c r="Y219" t="s">
        <v>1205</v>
      </c>
      <c r="Z219" t="s">
        <v>1205</v>
      </c>
      <c r="AA219" t="s">
        <v>1211</v>
      </c>
      <c r="AB219" t="s">
        <v>35059</v>
      </c>
      <c r="AC219" t="s">
        <v>34493</v>
      </c>
      <c r="AD219" t="s">
        <v>9232</v>
      </c>
      <c r="AE219" t="s">
        <v>34533</v>
      </c>
      <c r="AF219" t="s">
        <v>35060</v>
      </c>
      <c r="AG219" t="s">
        <v>35058</v>
      </c>
    </row>
    <row r="220" spans="1:33" x14ac:dyDescent="0.25">
      <c r="A220" t="s">
        <v>34462</v>
      </c>
      <c r="B220" t="s">
        <v>1213</v>
      </c>
      <c r="C220" t="s">
        <v>1215</v>
      </c>
      <c r="D220">
        <v>38.200000000000003</v>
      </c>
      <c r="E220">
        <v>38.200000000000003</v>
      </c>
      <c r="F220">
        <v>473382</v>
      </c>
      <c r="G220">
        <v>263665</v>
      </c>
      <c r="H220">
        <v>29.09</v>
      </c>
      <c r="I220">
        <v>29.62</v>
      </c>
      <c r="J220">
        <v>0</v>
      </c>
      <c r="K220">
        <v>0</v>
      </c>
      <c r="L220">
        <v>1</v>
      </c>
      <c r="M220">
        <v>1</v>
      </c>
      <c r="N220">
        <v>4.5999999999999996</v>
      </c>
      <c r="O220">
        <v>0</v>
      </c>
      <c r="P220">
        <v>29</v>
      </c>
      <c r="Q220">
        <v>15</v>
      </c>
      <c r="R220">
        <v>48</v>
      </c>
      <c r="S220" t="s">
        <v>35055</v>
      </c>
      <c r="U220">
        <v>0.66138600000000003</v>
      </c>
      <c r="V220">
        <v>7.08</v>
      </c>
      <c r="W220">
        <v>6.5</v>
      </c>
      <c r="X220" t="s">
        <v>1212</v>
      </c>
      <c r="Y220" t="s">
        <v>1205</v>
      </c>
      <c r="Z220" t="s">
        <v>1205</v>
      </c>
      <c r="AA220" t="s">
        <v>1216</v>
      </c>
      <c r="AB220" t="s">
        <v>35061</v>
      </c>
      <c r="AC220" t="s">
        <v>34493</v>
      </c>
      <c r="AD220" t="s">
        <v>9232</v>
      </c>
      <c r="AE220" t="s">
        <v>34533</v>
      </c>
      <c r="AF220" t="s">
        <v>35062</v>
      </c>
      <c r="AG220" t="s">
        <v>35058</v>
      </c>
    </row>
    <row r="221" spans="1:33" x14ac:dyDescent="0.25">
      <c r="A221" t="s">
        <v>34462</v>
      </c>
      <c r="B221" t="s">
        <v>1218</v>
      </c>
      <c r="C221" t="s">
        <v>1221</v>
      </c>
      <c r="D221">
        <v>19.25</v>
      </c>
      <c r="E221">
        <v>19.25</v>
      </c>
      <c r="F221">
        <v>95631</v>
      </c>
      <c r="G221">
        <v>183134</v>
      </c>
      <c r="H221">
        <v>30.75</v>
      </c>
      <c r="I221">
        <v>30.45</v>
      </c>
      <c r="J221">
        <v>0</v>
      </c>
      <c r="K221">
        <v>0</v>
      </c>
      <c r="L221">
        <v>1</v>
      </c>
      <c r="M221">
        <v>1</v>
      </c>
      <c r="N221">
        <v>4.4000000000000004</v>
      </c>
      <c r="O221">
        <v>0</v>
      </c>
      <c r="P221">
        <v>163</v>
      </c>
      <c r="Q221">
        <v>17</v>
      </c>
      <c r="R221">
        <v>52</v>
      </c>
      <c r="S221" t="s">
        <v>35063</v>
      </c>
      <c r="U221">
        <v>0.29100984000000002</v>
      </c>
      <c r="V221">
        <v>6.6</v>
      </c>
      <c r="W221">
        <v>1.93</v>
      </c>
      <c r="X221" t="s">
        <v>1217</v>
      </c>
      <c r="Y221" t="s">
        <v>1222</v>
      </c>
      <c r="Z221" t="s">
        <v>1222</v>
      </c>
      <c r="AA221" t="s">
        <v>387</v>
      </c>
      <c r="AB221" t="s">
        <v>35064</v>
      </c>
      <c r="AC221" t="s">
        <v>34493</v>
      </c>
      <c r="AD221" t="s">
        <v>7954</v>
      </c>
      <c r="AE221" t="s">
        <v>34474</v>
      </c>
      <c r="AF221" t="s">
        <v>35065</v>
      </c>
      <c r="AG221" t="s">
        <v>35066</v>
      </c>
    </row>
    <row r="222" spans="1:33" x14ac:dyDescent="0.25">
      <c r="A222" t="s">
        <v>34462</v>
      </c>
      <c r="B222" t="s">
        <v>1224</v>
      </c>
      <c r="C222" t="s">
        <v>1227</v>
      </c>
      <c r="F222">
        <v>1535012</v>
      </c>
      <c r="G222">
        <v>1490456</v>
      </c>
      <c r="J222">
        <v>1</v>
      </c>
      <c r="K222">
        <v>1</v>
      </c>
      <c r="Q222">
        <v>0</v>
      </c>
      <c r="R222">
        <v>0</v>
      </c>
      <c r="S222" t="s">
        <v>35067</v>
      </c>
      <c r="U222">
        <v>3.3069300000000003E-2</v>
      </c>
      <c r="V222">
        <v>2.29</v>
      </c>
      <c r="X222" t="s">
        <v>1223</v>
      </c>
      <c r="Y222" t="s">
        <v>35068</v>
      </c>
      <c r="AB222" t="s">
        <v>35069</v>
      </c>
      <c r="AC222" t="s">
        <v>34465</v>
      </c>
      <c r="AD222" t="s">
        <v>35070</v>
      </c>
      <c r="AF222" t="s">
        <v>35071</v>
      </c>
    </row>
    <row r="223" spans="1:33" x14ac:dyDescent="0.25">
      <c r="A223" t="s">
        <v>34462</v>
      </c>
      <c r="B223" t="s">
        <v>1229</v>
      </c>
      <c r="C223" t="s">
        <v>1231</v>
      </c>
      <c r="F223">
        <v>1535012</v>
      </c>
      <c r="G223">
        <v>1490456</v>
      </c>
      <c r="J223">
        <v>1</v>
      </c>
      <c r="K223">
        <v>1</v>
      </c>
      <c r="Q223">
        <v>0</v>
      </c>
      <c r="R223">
        <v>0</v>
      </c>
      <c r="S223" t="s">
        <v>35067</v>
      </c>
      <c r="U223">
        <v>3.3069300000000003E-2</v>
      </c>
      <c r="V223">
        <v>2.29</v>
      </c>
      <c r="X223" t="s">
        <v>1228</v>
      </c>
      <c r="Y223" t="s">
        <v>35068</v>
      </c>
      <c r="AB223" t="s">
        <v>35072</v>
      </c>
      <c r="AC223" t="s">
        <v>34465</v>
      </c>
      <c r="AD223" t="s">
        <v>35070</v>
      </c>
      <c r="AF223" t="s">
        <v>35073</v>
      </c>
    </row>
    <row r="224" spans="1:33" x14ac:dyDescent="0.25">
      <c r="A224" t="s">
        <v>34462</v>
      </c>
      <c r="B224" t="s">
        <v>1233</v>
      </c>
      <c r="C224" t="s">
        <v>1235</v>
      </c>
      <c r="F224">
        <v>1535012</v>
      </c>
      <c r="G224">
        <v>1490456</v>
      </c>
      <c r="J224">
        <v>1</v>
      </c>
      <c r="K224">
        <v>1</v>
      </c>
      <c r="Q224">
        <v>0</v>
      </c>
      <c r="R224">
        <v>0</v>
      </c>
      <c r="S224" t="s">
        <v>35067</v>
      </c>
      <c r="U224">
        <v>3.3069300000000003E-2</v>
      </c>
      <c r="V224">
        <v>2.29</v>
      </c>
      <c r="X224" t="s">
        <v>1232</v>
      </c>
      <c r="Y224" t="s">
        <v>35068</v>
      </c>
      <c r="AB224" t="s">
        <v>35074</v>
      </c>
      <c r="AC224" t="s">
        <v>34465</v>
      </c>
      <c r="AD224" t="s">
        <v>35070</v>
      </c>
      <c r="AF224" t="s">
        <v>35075</v>
      </c>
    </row>
    <row r="225" spans="1:33" x14ac:dyDescent="0.25">
      <c r="A225" t="s">
        <v>34462</v>
      </c>
      <c r="B225" t="s">
        <v>1238</v>
      </c>
      <c r="C225" t="s">
        <v>1241</v>
      </c>
      <c r="D225">
        <v>14.99</v>
      </c>
      <c r="E225">
        <v>14.99</v>
      </c>
      <c r="H225">
        <v>19.48</v>
      </c>
      <c r="I225">
        <v>31.65</v>
      </c>
      <c r="J225">
        <v>0</v>
      </c>
      <c r="K225">
        <v>1</v>
      </c>
      <c r="L225">
        <v>2</v>
      </c>
      <c r="M225">
        <v>2</v>
      </c>
      <c r="N225">
        <v>4.5</v>
      </c>
      <c r="P225">
        <v>2</v>
      </c>
      <c r="Q225">
        <v>0</v>
      </c>
      <c r="R225">
        <v>0</v>
      </c>
      <c r="S225" t="s">
        <v>35076</v>
      </c>
      <c r="U225">
        <v>0.54895037999999996</v>
      </c>
      <c r="X225" t="s">
        <v>1237</v>
      </c>
      <c r="Y225" t="s">
        <v>1242</v>
      </c>
      <c r="Z225" t="s">
        <v>1242</v>
      </c>
      <c r="AA225" t="s">
        <v>1243</v>
      </c>
      <c r="AB225" t="s">
        <v>35077</v>
      </c>
      <c r="AC225" t="s">
        <v>34465</v>
      </c>
      <c r="AD225" t="s">
        <v>34910</v>
      </c>
      <c r="AE225" t="s">
        <v>100</v>
      </c>
      <c r="AF225" t="s">
        <v>35078</v>
      </c>
      <c r="AG225" t="s">
        <v>35079</v>
      </c>
    </row>
    <row r="226" spans="1:33" x14ac:dyDescent="0.25">
      <c r="A226" t="s">
        <v>34462</v>
      </c>
      <c r="B226" t="s">
        <v>1245</v>
      </c>
      <c r="C226" t="s">
        <v>1248</v>
      </c>
      <c r="D226">
        <v>17</v>
      </c>
      <c r="E226">
        <v>17</v>
      </c>
      <c r="F226">
        <v>236960</v>
      </c>
      <c r="G226">
        <v>265080</v>
      </c>
      <c r="H226">
        <v>23.99</v>
      </c>
      <c r="I226">
        <v>23.99</v>
      </c>
      <c r="J226">
        <v>0</v>
      </c>
      <c r="K226">
        <v>1</v>
      </c>
      <c r="L226">
        <v>4</v>
      </c>
      <c r="M226">
        <v>5</v>
      </c>
      <c r="N226">
        <v>4.7</v>
      </c>
      <c r="O226">
        <v>0</v>
      </c>
      <c r="P226">
        <v>651</v>
      </c>
      <c r="Q226">
        <v>16</v>
      </c>
      <c r="R226">
        <v>63</v>
      </c>
      <c r="S226" t="s">
        <v>35080</v>
      </c>
      <c r="U226">
        <v>0.35053457999999998</v>
      </c>
      <c r="V226">
        <v>5.12</v>
      </c>
      <c r="X226" t="s">
        <v>1244</v>
      </c>
      <c r="AA226" t="s">
        <v>1249</v>
      </c>
      <c r="AB226" t="s">
        <v>35081</v>
      </c>
      <c r="AC226" t="s">
        <v>34465</v>
      </c>
      <c r="AD226" t="s">
        <v>11496</v>
      </c>
      <c r="AE226" t="s">
        <v>34826</v>
      </c>
      <c r="AF226" t="s">
        <v>35082</v>
      </c>
      <c r="AG226" t="s">
        <v>35083</v>
      </c>
    </row>
    <row r="227" spans="1:33" x14ac:dyDescent="0.25">
      <c r="A227" t="s">
        <v>34462</v>
      </c>
      <c r="B227" t="s">
        <v>1251</v>
      </c>
      <c r="C227" t="s">
        <v>1253</v>
      </c>
      <c r="D227">
        <v>16.989999999999998</v>
      </c>
      <c r="E227">
        <v>16.899999999999999</v>
      </c>
      <c r="F227">
        <v>332185</v>
      </c>
      <c r="G227">
        <v>264907</v>
      </c>
      <c r="H227">
        <v>20.99</v>
      </c>
      <c r="I227">
        <v>22.49</v>
      </c>
      <c r="J227">
        <v>0</v>
      </c>
      <c r="K227">
        <v>1</v>
      </c>
      <c r="L227">
        <v>5</v>
      </c>
      <c r="M227">
        <v>7</v>
      </c>
      <c r="N227">
        <v>4.7</v>
      </c>
      <c r="O227">
        <v>0</v>
      </c>
      <c r="P227">
        <v>651</v>
      </c>
      <c r="Q227">
        <v>15</v>
      </c>
      <c r="R227">
        <v>53</v>
      </c>
      <c r="S227" t="s">
        <v>35080</v>
      </c>
      <c r="U227">
        <v>0.35053457999999998</v>
      </c>
      <c r="V227">
        <v>5.05</v>
      </c>
      <c r="W227">
        <v>1.7</v>
      </c>
      <c r="X227" t="s">
        <v>1250</v>
      </c>
      <c r="AA227" t="s">
        <v>1249</v>
      </c>
      <c r="AB227" t="s">
        <v>35084</v>
      </c>
      <c r="AC227" t="s">
        <v>34465</v>
      </c>
      <c r="AD227" t="s">
        <v>11496</v>
      </c>
      <c r="AE227" t="s">
        <v>34506</v>
      </c>
      <c r="AF227" t="s">
        <v>35085</v>
      </c>
      <c r="AG227" t="s">
        <v>35083</v>
      </c>
    </row>
    <row r="228" spans="1:33" x14ac:dyDescent="0.25">
      <c r="A228" t="s">
        <v>34462</v>
      </c>
      <c r="B228" t="s">
        <v>1256</v>
      </c>
      <c r="C228" t="s">
        <v>1259</v>
      </c>
      <c r="D228">
        <v>11.24</v>
      </c>
      <c r="E228">
        <v>11.24</v>
      </c>
      <c r="F228">
        <v>8246719</v>
      </c>
      <c r="G228">
        <v>7669386</v>
      </c>
      <c r="H228">
        <v>25.07</v>
      </c>
      <c r="I228">
        <v>28.71</v>
      </c>
      <c r="J228">
        <v>0.03</v>
      </c>
      <c r="K228">
        <v>1</v>
      </c>
      <c r="L228">
        <v>1</v>
      </c>
      <c r="M228">
        <v>1</v>
      </c>
      <c r="Q228">
        <v>0</v>
      </c>
      <c r="R228">
        <v>0</v>
      </c>
      <c r="S228" t="s">
        <v>35086</v>
      </c>
      <c r="U228">
        <v>0.89948496</v>
      </c>
      <c r="V228">
        <v>5.87</v>
      </c>
      <c r="W228">
        <v>1.69</v>
      </c>
      <c r="X228" t="s">
        <v>1255</v>
      </c>
      <c r="Y228" t="s">
        <v>35087</v>
      </c>
      <c r="AA228" t="s">
        <v>1260</v>
      </c>
      <c r="AB228" t="s">
        <v>35088</v>
      </c>
      <c r="AC228" t="s">
        <v>34465</v>
      </c>
      <c r="AD228" t="s">
        <v>28963</v>
      </c>
      <c r="AE228" t="s">
        <v>34521</v>
      </c>
      <c r="AF228" t="s">
        <v>35089</v>
      </c>
      <c r="AG228" t="s">
        <v>35090</v>
      </c>
    </row>
    <row r="229" spans="1:33" x14ac:dyDescent="0.25">
      <c r="A229" t="s">
        <v>34462</v>
      </c>
      <c r="B229" t="s">
        <v>1262</v>
      </c>
      <c r="C229" t="s">
        <v>1264</v>
      </c>
      <c r="D229">
        <v>11.24</v>
      </c>
      <c r="E229">
        <v>11.24</v>
      </c>
      <c r="F229">
        <v>8245331</v>
      </c>
      <c r="G229">
        <v>7671806</v>
      </c>
      <c r="H229">
        <v>22.16</v>
      </c>
      <c r="I229">
        <v>27.89</v>
      </c>
      <c r="J229">
        <v>0.02</v>
      </c>
      <c r="K229">
        <v>1</v>
      </c>
      <c r="L229">
        <v>2</v>
      </c>
      <c r="M229">
        <v>1</v>
      </c>
      <c r="Q229">
        <v>0</v>
      </c>
      <c r="R229">
        <v>0</v>
      </c>
      <c r="S229" t="s">
        <v>35086</v>
      </c>
      <c r="U229">
        <v>0.95019122</v>
      </c>
      <c r="V229">
        <v>5.87</v>
      </c>
      <c r="W229">
        <v>1.69</v>
      </c>
      <c r="X229" t="s">
        <v>1261</v>
      </c>
      <c r="Y229" t="s">
        <v>35087</v>
      </c>
      <c r="AA229" t="s">
        <v>1260</v>
      </c>
      <c r="AB229" t="s">
        <v>35091</v>
      </c>
      <c r="AC229" t="s">
        <v>34465</v>
      </c>
      <c r="AD229" t="s">
        <v>28963</v>
      </c>
      <c r="AE229" t="s">
        <v>34576</v>
      </c>
      <c r="AF229" t="s">
        <v>35089</v>
      </c>
      <c r="AG229" t="s">
        <v>35090</v>
      </c>
    </row>
    <row r="230" spans="1:33" x14ac:dyDescent="0.25">
      <c r="A230" t="s">
        <v>34462</v>
      </c>
      <c r="B230" t="s">
        <v>1266</v>
      </c>
      <c r="C230" t="s">
        <v>1268</v>
      </c>
      <c r="D230">
        <v>11.24</v>
      </c>
      <c r="E230">
        <v>11.24</v>
      </c>
      <c r="F230">
        <v>8245331</v>
      </c>
      <c r="G230">
        <v>7671426</v>
      </c>
      <c r="H230">
        <v>25.09</v>
      </c>
      <c r="I230">
        <v>26.87</v>
      </c>
      <c r="J230">
        <v>0.03</v>
      </c>
      <c r="K230">
        <v>1</v>
      </c>
      <c r="L230">
        <v>1</v>
      </c>
      <c r="M230">
        <v>1</v>
      </c>
      <c r="Q230">
        <v>0</v>
      </c>
      <c r="R230">
        <v>0</v>
      </c>
      <c r="S230" t="s">
        <v>35086</v>
      </c>
      <c r="U230">
        <v>1.0097159600000001</v>
      </c>
      <c r="V230">
        <v>5.87</v>
      </c>
      <c r="W230">
        <v>1.69</v>
      </c>
      <c r="X230" t="s">
        <v>1265</v>
      </c>
      <c r="Y230" t="s">
        <v>35087</v>
      </c>
      <c r="AA230" t="s">
        <v>1260</v>
      </c>
      <c r="AB230" t="s">
        <v>35092</v>
      </c>
      <c r="AC230" t="s">
        <v>34465</v>
      </c>
      <c r="AD230" t="s">
        <v>28963</v>
      </c>
      <c r="AE230" t="s">
        <v>34582</v>
      </c>
      <c r="AF230" t="s">
        <v>35089</v>
      </c>
    </row>
    <row r="231" spans="1:33" x14ac:dyDescent="0.25">
      <c r="A231" t="s">
        <v>34462</v>
      </c>
      <c r="B231" t="s">
        <v>1270</v>
      </c>
      <c r="C231" t="s">
        <v>1273</v>
      </c>
      <c r="F231">
        <v>4571509</v>
      </c>
      <c r="G231">
        <v>4269127</v>
      </c>
      <c r="J231">
        <v>0.33</v>
      </c>
      <c r="K231">
        <v>1</v>
      </c>
      <c r="L231">
        <v>1</v>
      </c>
      <c r="M231">
        <v>1</v>
      </c>
      <c r="Q231">
        <v>0</v>
      </c>
      <c r="R231">
        <v>0</v>
      </c>
      <c r="X231" t="s">
        <v>1269</v>
      </c>
      <c r="Y231" t="s">
        <v>35093</v>
      </c>
      <c r="AB231" t="s">
        <v>35094</v>
      </c>
      <c r="AC231" t="s">
        <v>34465</v>
      </c>
      <c r="AD231" t="s">
        <v>35095</v>
      </c>
      <c r="AF231" t="s">
        <v>35096</v>
      </c>
      <c r="AG231" t="s">
        <v>35097</v>
      </c>
    </row>
    <row r="232" spans="1:33" x14ac:dyDescent="0.25">
      <c r="A232" t="s">
        <v>34462</v>
      </c>
      <c r="B232" t="s">
        <v>1275</v>
      </c>
      <c r="C232" t="s">
        <v>1278</v>
      </c>
      <c r="D232">
        <v>16</v>
      </c>
      <c r="E232">
        <v>16</v>
      </c>
      <c r="H232">
        <v>16.899999999999999</v>
      </c>
      <c r="I232">
        <v>18.670000000000002</v>
      </c>
      <c r="J232">
        <v>0</v>
      </c>
      <c r="K232">
        <v>1</v>
      </c>
      <c r="L232">
        <v>1</v>
      </c>
      <c r="M232">
        <v>1</v>
      </c>
      <c r="N232">
        <v>4.7</v>
      </c>
      <c r="O232">
        <v>0</v>
      </c>
      <c r="P232">
        <v>333</v>
      </c>
      <c r="Q232">
        <v>-1</v>
      </c>
      <c r="R232">
        <v>-1</v>
      </c>
      <c r="S232" t="s">
        <v>34912</v>
      </c>
      <c r="X232" t="s">
        <v>1274</v>
      </c>
      <c r="AA232" t="s">
        <v>1279</v>
      </c>
      <c r="AB232" t="s">
        <v>35098</v>
      </c>
      <c r="AC232" t="s">
        <v>34465</v>
      </c>
      <c r="AD232" t="s">
        <v>11496</v>
      </c>
      <c r="AE232" t="s">
        <v>100</v>
      </c>
      <c r="AF232" t="s">
        <v>35099</v>
      </c>
    </row>
    <row r="233" spans="1:33" x14ac:dyDescent="0.25">
      <c r="A233" t="s">
        <v>34462</v>
      </c>
      <c r="B233" t="s">
        <v>1281</v>
      </c>
      <c r="C233" t="s">
        <v>1284</v>
      </c>
      <c r="D233">
        <v>15</v>
      </c>
      <c r="E233">
        <v>15</v>
      </c>
      <c r="F233">
        <v>1277338</v>
      </c>
      <c r="G233">
        <v>698873</v>
      </c>
      <c r="H233">
        <v>27.02</v>
      </c>
      <c r="I233">
        <v>33.479999999999997</v>
      </c>
      <c r="J233">
        <v>0</v>
      </c>
      <c r="K233">
        <v>0</v>
      </c>
      <c r="L233">
        <v>5</v>
      </c>
      <c r="M233">
        <v>5</v>
      </c>
      <c r="N233">
        <v>4.3</v>
      </c>
      <c r="O233">
        <v>4</v>
      </c>
      <c r="P233">
        <v>30</v>
      </c>
      <c r="Q233">
        <v>2</v>
      </c>
      <c r="R233">
        <v>26</v>
      </c>
      <c r="S233" t="s">
        <v>35100</v>
      </c>
      <c r="U233">
        <v>1.6093725999999999</v>
      </c>
      <c r="V233">
        <v>7</v>
      </c>
      <c r="W233">
        <v>2.25</v>
      </c>
      <c r="X233" t="s">
        <v>1280</v>
      </c>
      <c r="Y233" t="s">
        <v>1285</v>
      </c>
      <c r="Z233" t="s">
        <v>1285</v>
      </c>
      <c r="AA233" t="s">
        <v>1286</v>
      </c>
      <c r="AB233" t="s">
        <v>35101</v>
      </c>
      <c r="AC233" t="s">
        <v>34493</v>
      </c>
      <c r="AD233" t="s">
        <v>9232</v>
      </c>
      <c r="AE233" t="s">
        <v>34516</v>
      </c>
      <c r="AF233" t="s">
        <v>35102</v>
      </c>
      <c r="AG233" t="s">
        <v>35103</v>
      </c>
    </row>
    <row r="234" spans="1:33" x14ac:dyDescent="0.25">
      <c r="A234" t="s">
        <v>34462</v>
      </c>
      <c r="B234" t="s">
        <v>1288</v>
      </c>
      <c r="C234" t="s">
        <v>1291</v>
      </c>
      <c r="D234">
        <v>34.74</v>
      </c>
      <c r="F234">
        <v>5499</v>
      </c>
      <c r="G234">
        <v>3586</v>
      </c>
      <c r="H234">
        <v>34.74</v>
      </c>
      <c r="I234">
        <v>49.6</v>
      </c>
      <c r="J234">
        <v>1</v>
      </c>
      <c r="K234">
        <v>1</v>
      </c>
      <c r="L234">
        <v>1</v>
      </c>
      <c r="N234">
        <v>4.5</v>
      </c>
      <c r="O234">
        <v>1</v>
      </c>
      <c r="P234">
        <v>24029</v>
      </c>
      <c r="Q234">
        <v>18</v>
      </c>
      <c r="R234">
        <v>76</v>
      </c>
      <c r="S234" t="s">
        <v>35104</v>
      </c>
      <c r="U234">
        <v>1.4440261000000001</v>
      </c>
      <c r="V234">
        <v>6.6</v>
      </c>
      <c r="X234" t="s">
        <v>1287</v>
      </c>
      <c r="Y234" t="s">
        <v>1292</v>
      </c>
      <c r="Z234" t="s">
        <v>1292</v>
      </c>
      <c r="AA234" t="s">
        <v>1293</v>
      </c>
      <c r="AB234" t="s">
        <v>35105</v>
      </c>
      <c r="AC234" t="s">
        <v>34465</v>
      </c>
      <c r="AD234" t="s">
        <v>10970</v>
      </c>
      <c r="AE234" t="s">
        <v>34691</v>
      </c>
      <c r="AF234" t="s">
        <v>35106</v>
      </c>
      <c r="AG234" t="s">
        <v>35107</v>
      </c>
    </row>
    <row r="235" spans="1:33" x14ac:dyDescent="0.25">
      <c r="A235" t="s">
        <v>34462</v>
      </c>
      <c r="B235" t="s">
        <v>1295</v>
      </c>
      <c r="C235" t="s">
        <v>1297</v>
      </c>
      <c r="D235">
        <v>59.99</v>
      </c>
      <c r="F235">
        <v>5499</v>
      </c>
      <c r="G235">
        <v>3553</v>
      </c>
      <c r="H235">
        <v>59.99</v>
      </c>
      <c r="I235">
        <v>49.78</v>
      </c>
      <c r="J235">
        <v>1</v>
      </c>
      <c r="K235">
        <v>1</v>
      </c>
      <c r="L235">
        <v>1</v>
      </c>
      <c r="N235">
        <v>4.5</v>
      </c>
      <c r="O235">
        <v>0</v>
      </c>
      <c r="P235">
        <v>23928</v>
      </c>
      <c r="Q235">
        <v>15</v>
      </c>
      <c r="R235">
        <v>53</v>
      </c>
      <c r="S235" t="s">
        <v>35104</v>
      </c>
      <c r="U235">
        <v>1.5410293799999999</v>
      </c>
      <c r="V235">
        <v>7.24</v>
      </c>
      <c r="X235" t="s">
        <v>1294</v>
      </c>
      <c r="Y235" t="s">
        <v>1292</v>
      </c>
      <c r="Z235" t="s">
        <v>1292</v>
      </c>
      <c r="AA235" t="s">
        <v>1293</v>
      </c>
      <c r="AB235" t="s">
        <v>35108</v>
      </c>
      <c r="AC235" t="s">
        <v>34465</v>
      </c>
      <c r="AD235" t="s">
        <v>10970</v>
      </c>
      <c r="AE235" t="s">
        <v>35109</v>
      </c>
      <c r="AF235" t="s">
        <v>35106</v>
      </c>
      <c r="AG235" t="s">
        <v>35107</v>
      </c>
    </row>
    <row r="236" spans="1:33" x14ac:dyDescent="0.25">
      <c r="A236" t="s">
        <v>34462</v>
      </c>
      <c r="B236" t="s">
        <v>1299</v>
      </c>
      <c r="C236" t="s">
        <v>1301</v>
      </c>
      <c r="D236">
        <v>74.45</v>
      </c>
      <c r="E236">
        <v>74.45</v>
      </c>
      <c r="F236">
        <v>5499</v>
      </c>
      <c r="G236">
        <v>3574</v>
      </c>
      <c r="H236">
        <v>56.1</v>
      </c>
      <c r="I236">
        <v>52.98</v>
      </c>
      <c r="J236">
        <v>0</v>
      </c>
      <c r="K236">
        <v>0</v>
      </c>
      <c r="L236">
        <v>1</v>
      </c>
      <c r="M236">
        <v>1</v>
      </c>
      <c r="N236">
        <v>4.5</v>
      </c>
      <c r="O236">
        <v>4</v>
      </c>
      <c r="P236">
        <v>24031</v>
      </c>
      <c r="Q236">
        <v>19</v>
      </c>
      <c r="R236">
        <v>62</v>
      </c>
      <c r="S236" t="s">
        <v>35104</v>
      </c>
      <c r="U236">
        <v>1.5983495000000001</v>
      </c>
      <c r="V236">
        <v>6.81</v>
      </c>
      <c r="W236">
        <v>12.66</v>
      </c>
      <c r="X236" t="s">
        <v>1298</v>
      </c>
      <c r="Y236" t="s">
        <v>1292</v>
      </c>
      <c r="Z236" t="s">
        <v>1292</v>
      </c>
      <c r="AA236" t="s">
        <v>1293</v>
      </c>
      <c r="AB236" t="s">
        <v>35110</v>
      </c>
      <c r="AC236" t="s">
        <v>34493</v>
      </c>
      <c r="AD236" t="s">
        <v>10970</v>
      </c>
      <c r="AE236" t="s">
        <v>35111</v>
      </c>
      <c r="AF236" t="s">
        <v>35106</v>
      </c>
      <c r="AG236" t="s">
        <v>35107</v>
      </c>
    </row>
    <row r="237" spans="1:33" x14ac:dyDescent="0.25">
      <c r="A237" t="s">
        <v>34462</v>
      </c>
      <c r="B237" t="s">
        <v>1303</v>
      </c>
      <c r="C237" t="s">
        <v>1305</v>
      </c>
      <c r="D237">
        <v>49.99</v>
      </c>
      <c r="F237">
        <v>5499</v>
      </c>
      <c r="G237">
        <v>3588</v>
      </c>
      <c r="H237">
        <v>49.99</v>
      </c>
      <c r="I237">
        <v>47.41</v>
      </c>
      <c r="J237">
        <v>0.93</v>
      </c>
      <c r="K237">
        <v>0.93</v>
      </c>
      <c r="L237">
        <v>1</v>
      </c>
      <c r="N237">
        <v>4.5</v>
      </c>
      <c r="O237">
        <v>0</v>
      </c>
      <c r="P237">
        <v>23769</v>
      </c>
      <c r="Q237">
        <v>16</v>
      </c>
      <c r="R237">
        <v>50</v>
      </c>
      <c r="S237" t="s">
        <v>35104</v>
      </c>
      <c r="U237">
        <v>1.4991416</v>
      </c>
      <c r="V237">
        <v>6.81</v>
      </c>
      <c r="X237" t="s">
        <v>1302</v>
      </c>
      <c r="Y237" t="s">
        <v>1292</v>
      </c>
      <c r="Z237" t="s">
        <v>1292</v>
      </c>
      <c r="AA237" t="s">
        <v>1293</v>
      </c>
      <c r="AB237" t="s">
        <v>35112</v>
      </c>
      <c r="AC237" t="s">
        <v>34465</v>
      </c>
      <c r="AD237" t="s">
        <v>10970</v>
      </c>
      <c r="AE237" t="s">
        <v>35113</v>
      </c>
      <c r="AF237" t="s">
        <v>35106</v>
      </c>
      <c r="AG237" t="s">
        <v>35107</v>
      </c>
    </row>
    <row r="238" spans="1:33" x14ac:dyDescent="0.25">
      <c r="A238" t="s">
        <v>34462</v>
      </c>
      <c r="B238" t="s">
        <v>1307</v>
      </c>
      <c r="C238" t="s">
        <v>1309</v>
      </c>
      <c r="D238">
        <v>56.68</v>
      </c>
      <c r="F238">
        <v>5499</v>
      </c>
      <c r="G238">
        <v>3582</v>
      </c>
      <c r="H238">
        <v>56.68</v>
      </c>
      <c r="I238">
        <v>50.49</v>
      </c>
      <c r="J238">
        <v>0.91</v>
      </c>
      <c r="K238">
        <v>0.91</v>
      </c>
      <c r="L238">
        <v>1</v>
      </c>
      <c r="N238">
        <v>4.5</v>
      </c>
      <c r="O238">
        <v>2</v>
      </c>
      <c r="P238">
        <v>23834</v>
      </c>
      <c r="Q238">
        <v>18</v>
      </c>
      <c r="R238">
        <v>59</v>
      </c>
      <c r="S238" t="s">
        <v>35104</v>
      </c>
      <c r="U238">
        <v>1.6093725999999999</v>
      </c>
      <c r="V238">
        <v>6.6</v>
      </c>
      <c r="X238" t="s">
        <v>1306</v>
      </c>
      <c r="Y238" t="s">
        <v>1292</v>
      </c>
      <c r="Z238" t="s">
        <v>1292</v>
      </c>
      <c r="AA238" t="s">
        <v>1293</v>
      </c>
      <c r="AB238" t="s">
        <v>35114</v>
      </c>
      <c r="AC238" t="s">
        <v>34465</v>
      </c>
      <c r="AD238" t="s">
        <v>10970</v>
      </c>
      <c r="AE238" t="s">
        <v>34554</v>
      </c>
      <c r="AF238" t="s">
        <v>35106</v>
      </c>
      <c r="AG238" t="s">
        <v>35107</v>
      </c>
    </row>
    <row r="239" spans="1:33" x14ac:dyDescent="0.25">
      <c r="A239" t="s">
        <v>34462</v>
      </c>
      <c r="B239" t="s">
        <v>1311</v>
      </c>
      <c r="C239" t="s">
        <v>1313</v>
      </c>
      <c r="D239">
        <v>54.95</v>
      </c>
      <c r="F239">
        <v>5499</v>
      </c>
      <c r="G239">
        <v>3583</v>
      </c>
      <c r="H239">
        <v>54.95</v>
      </c>
      <c r="I239">
        <v>47.15</v>
      </c>
      <c r="J239">
        <v>0.98</v>
      </c>
      <c r="K239">
        <v>0.98</v>
      </c>
      <c r="L239">
        <v>1</v>
      </c>
      <c r="N239">
        <v>4.5</v>
      </c>
      <c r="O239">
        <v>4</v>
      </c>
      <c r="P239">
        <v>23894</v>
      </c>
      <c r="Q239">
        <v>18</v>
      </c>
      <c r="R239">
        <v>54</v>
      </c>
      <c r="S239" t="s">
        <v>35104</v>
      </c>
      <c r="U239">
        <v>1.5410293799999999</v>
      </c>
      <c r="V239">
        <v>6.6</v>
      </c>
      <c r="X239" t="s">
        <v>1310</v>
      </c>
      <c r="Y239" t="s">
        <v>1292</v>
      </c>
      <c r="Z239" t="s">
        <v>1292</v>
      </c>
      <c r="AA239" t="s">
        <v>1293</v>
      </c>
      <c r="AB239" t="s">
        <v>35115</v>
      </c>
      <c r="AC239" t="s">
        <v>34465</v>
      </c>
      <c r="AD239" t="s">
        <v>10970</v>
      </c>
      <c r="AE239" t="s">
        <v>35116</v>
      </c>
      <c r="AF239" t="s">
        <v>35106</v>
      </c>
      <c r="AG239" t="s">
        <v>35107</v>
      </c>
    </row>
    <row r="240" spans="1:33" x14ac:dyDescent="0.25">
      <c r="A240" t="s">
        <v>34462</v>
      </c>
      <c r="B240" t="s">
        <v>1315</v>
      </c>
      <c r="C240" t="s">
        <v>1317</v>
      </c>
      <c r="D240">
        <v>49.53</v>
      </c>
      <c r="F240">
        <v>5499</v>
      </c>
      <c r="G240">
        <v>3588</v>
      </c>
      <c r="H240">
        <v>49.53</v>
      </c>
      <c r="I240">
        <v>49.54</v>
      </c>
      <c r="J240">
        <v>0.98</v>
      </c>
      <c r="K240">
        <v>0.98</v>
      </c>
      <c r="L240">
        <v>1</v>
      </c>
      <c r="N240">
        <v>4.5</v>
      </c>
      <c r="O240">
        <v>2</v>
      </c>
      <c r="P240">
        <v>23946</v>
      </c>
      <c r="Q240">
        <v>16</v>
      </c>
      <c r="R240">
        <v>65</v>
      </c>
      <c r="S240" t="s">
        <v>35104</v>
      </c>
      <c r="U240">
        <v>1.64905576</v>
      </c>
      <c r="V240">
        <v>7.08</v>
      </c>
      <c r="X240" t="s">
        <v>1314</v>
      </c>
      <c r="Y240" t="s">
        <v>1292</v>
      </c>
      <c r="Z240" t="s">
        <v>1292</v>
      </c>
      <c r="AA240" t="s">
        <v>1293</v>
      </c>
      <c r="AB240" t="s">
        <v>35117</v>
      </c>
      <c r="AC240" t="s">
        <v>34465</v>
      </c>
      <c r="AD240" t="s">
        <v>10970</v>
      </c>
      <c r="AE240" t="s">
        <v>35118</v>
      </c>
      <c r="AF240" t="s">
        <v>35106</v>
      </c>
      <c r="AG240" t="s">
        <v>35107</v>
      </c>
    </row>
    <row r="241" spans="1:33" x14ac:dyDescent="0.25">
      <c r="A241" t="s">
        <v>34462</v>
      </c>
      <c r="B241" t="s">
        <v>1319</v>
      </c>
      <c r="C241" t="s">
        <v>1321</v>
      </c>
      <c r="D241">
        <v>43.01</v>
      </c>
      <c r="F241">
        <v>5499</v>
      </c>
      <c r="G241">
        <v>3581</v>
      </c>
      <c r="I241">
        <v>43.01</v>
      </c>
      <c r="J241">
        <v>1</v>
      </c>
      <c r="K241">
        <v>1</v>
      </c>
      <c r="N241">
        <v>4.5</v>
      </c>
      <c r="O241">
        <v>1</v>
      </c>
      <c r="P241">
        <v>23244</v>
      </c>
      <c r="Q241">
        <v>1</v>
      </c>
      <c r="R241">
        <v>12</v>
      </c>
      <c r="S241" t="s">
        <v>35104</v>
      </c>
      <c r="U241">
        <v>2.4294912399999999</v>
      </c>
      <c r="V241">
        <v>7.34</v>
      </c>
      <c r="X241" t="s">
        <v>1318</v>
      </c>
      <c r="Y241" t="s">
        <v>1322</v>
      </c>
      <c r="Z241" t="s">
        <v>1322</v>
      </c>
      <c r="AA241" t="s">
        <v>1323</v>
      </c>
      <c r="AB241" t="s">
        <v>35119</v>
      </c>
      <c r="AC241" t="s">
        <v>34465</v>
      </c>
      <c r="AD241" t="s">
        <v>10970</v>
      </c>
      <c r="AE241" t="s">
        <v>35120</v>
      </c>
      <c r="AF241" t="s">
        <v>35121</v>
      </c>
      <c r="AG241" t="s">
        <v>35107</v>
      </c>
    </row>
    <row r="242" spans="1:33" x14ac:dyDescent="0.25">
      <c r="A242" t="s">
        <v>34462</v>
      </c>
      <c r="B242" t="s">
        <v>1325</v>
      </c>
      <c r="C242" t="s">
        <v>1328</v>
      </c>
      <c r="D242">
        <v>27.99</v>
      </c>
      <c r="E242">
        <v>27.99</v>
      </c>
      <c r="F242">
        <v>1357110</v>
      </c>
      <c r="G242">
        <v>584981</v>
      </c>
      <c r="H242">
        <v>28.56</v>
      </c>
      <c r="I242">
        <v>35.090000000000003</v>
      </c>
      <c r="J242">
        <v>0</v>
      </c>
      <c r="K242">
        <v>0</v>
      </c>
      <c r="L242">
        <v>4</v>
      </c>
      <c r="M242">
        <v>3</v>
      </c>
      <c r="O242">
        <v>0</v>
      </c>
      <c r="Q242">
        <v>9</v>
      </c>
      <c r="R242">
        <v>40</v>
      </c>
      <c r="S242" t="s">
        <v>35122</v>
      </c>
      <c r="U242">
        <v>0.66138600000000003</v>
      </c>
      <c r="V242">
        <v>5.9</v>
      </c>
      <c r="W242">
        <v>4.76</v>
      </c>
      <c r="X242" t="s">
        <v>1324</v>
      </c>
      <c r="Y242" t="s">
        <v>1329</v>
      </c>
      <c r="Z242" t="s">
        <v>1329</v>
      </c>
      <c r="AA242" t="s">
        <v>1330</v>
      </c>
      <c r="AB242" t="s">
        <v>35123</v>
      </c>
      <c r="AC242" t="s">
        <v>34493</v>
      </c>
      <c r="AD242" t="s">
        <v>9232</v>
      </c>
      <c r="AE242" t="s">
        <v>34533</v>
      </c>
      <c r="AF242" t="s">
        <v>35124</v>
      </c>
    </row>
    <row r="243" spans="1:33" x14ac:dyDescent="0.25">
      <c r="A243" t="s">
        <v>34462</v>
      </c>
      <c r="B243" t="s">
        <v>1332</v>
      </c>
      <c r="C243" t="s">
        <v>1334</v>
      </c>
      <c r="D243">
        <v>24.95</v>
      </c>
      <c r="E243">
        <v>24.95</v>
      </c>
      <c r="F243">
        <v>1340095</v>
      </c>
      <c r="G243">
        <v>589012</v>
      </c>
      <c r="H243">
        <v>24.27</v>
      </c>
      <c r="I243">
        <v>34.880000000000003</v>
      </c>
      <c r="J243">
        <v>0</v>
      </c>
      <c r="K243">
        <v>0</v>
      </c>
      <c r="L243">
        <v>5</v>
      </c>
      <c r="M243">
        <v>4</v>
      </c>
      <c r="O243">
        <v>0</v>
      </c>
      <c r="Q243">
        <v>8</v>
      </c>
      <c r="R243">
        <v>38</v>
      </c>
      <c r="S243" t="s">
        <v>35122</v>
      </c>
      <c r="U243">
        <v>0.66138600000000003</v>
      </c>
      <c r="V243">
        <v>6.14</v>
      </c>
      <c r="W243">
        <v>4.24</v>
      </c>
      <c r="X243" t="s">
        <v>1331</v>
      </c>
      <c r="Y243" t="s">
        <v>1329</v>
      </c>
      <c r="Z243" t="s">
        <v>1329</v>
      </c>
      <c r="AA243" t="s">
        <v>1335</v>
      </c>
      <c r="AB243" t="s">
        <v>35125</v>
      </c>
      <c r="AC243" t="s">
        <v>34493</v>
      </c>
      <c r="AD243" t="s">
        <v>9232</v>
      </c>
      <c r="AE243" t="s">
        <v>34533</v>
      </c>
      <c r="AF243" t="s">
        <v>35126</v>
      </c>
      <c r="AG243" t="s">
        <v>35103</v>
      </c>
    </row>
    <row r="244" spans="1:33" x14ac:dyDescent="0.25">
      <c r="A244" t="s">
        <v>34462</v>
      </c>
      <c r="B244" t="s">
        <v>1337</v>
      </c>
      <c r="C244" t="s">
        <v>1339</v>
      </c>
      <c r="D244">
        <v>43.92</v>
      </c>
      <c r="E244">
        <v>43.92</v>
      </c>
      <c r="F244">
        <v>1381077</v>
      </c>
      <c r="G244">
        <v>595027</v>
      </c>
      <c r="H244">
        <v>34.68</v>
      </c>
      <c r="I244">
        <v>38.520000000000003</v>
      </c>
      <c r="J244">
        <v>0</v>
      </c>
      <c r="K244">
        <v>0</v>
      </c>
      <c r="L244">
        <v>1</v>
      </c>
      <c r="M244">
        <v>1</v>
      </c>
      <c r="N244">
        <v>3</v>
      </c>
      <c r="O244">
        <v>1</v>
      </c>
      <c r="P244">
        <v>1</v>
      </c>
      <c r="Q244">
        <v>7</v>
      </c>
      <c r="R244">
        <v>20</v>
      </c>
      <c r="S244" t="s">
        <v>35122</v>
      </c>
      <c r="U244">
        <v>0.62831669999999995</v>
      </c>
      <c r="V244">
        <v>6.81</v>
      </c>
      <c r="W244">
        <v>7.47</v>
      </c>
      <c r="X244" t="s">
        <v>1336</v>
      </c>
      <c r="Y244" t="s">
        <v>1329</v>
      </c>
      <c r="Z244" t="s">
        <v>1329</v>
      </c>
      <c r="AA244" t="s">
        <v>1330</v>
      </c>
      <c r="AB244" t="s">
        <v>35127</v>
      </c>
      <c r="AC244" t="s">
        <v>34493</v>
      </c>
      <c r="AD244" t="s">
        <v>9232</v>
      </c>
      <c r="AE244" t="s">
        <v>14701</v>
      </c>
      <c r="AF244" t="s">
        <v>35124</v>
      </c>
      <c r="AG244" t="s">
        <v>35103</v>
      </c>
    </row>
    <row r="245" spans="1:33" x14ac:dyDescent="0.25">
      <c r="A245" t="s">
        <v>34462</v>
      </c>
      <c r="B245" t="s">
        <v>1341</v>
      </c>
      <c r="C245" t="s">
        <v>1344</v>
      </c>
      <c r="D245">
        <v>25.2</v>
      </c>
      <c r="F245">
        <v>2656493</v>
      </c>
      <c r="G245">
        <v>2472513</v>
      </c>
      <c r="I245">
        <v>25.2</v>
      </c>
      <c r="J245">
        <v>1</v>
      </c>
      <c r="K245">
        <v>1</v>
      </c>
      <c r="Q245">
        <v>0</v>
      </c>
      <c r="R245">
        <v>0</v>
      </c>
      <c r="U245">
        <v>0.20062041999999999</v>
      </c>
      <c r="V245">
        <v>4.45</v>
      </c>
      <c r="X245" t="s">
        <v>1340</v>
      </c>
      <c r="Y245" t="s">
        <v>1345</v>
      </c>
      <c r="Z245" t="s">
        <v>1345</v>
      </c>
      <c r="AA245" t="s">
        <v>76</v>
      </c>
      <c r="AB245" t="s">
        <v>35128</v>
      </c>
      <c r="AC245" t="s">
        <v>34465</v>
      </c>
      <c r="AD245" t="s">
        <v>11381</v>
      </c>
      <c r="AE245" t="s">
        <v>35129</v>
      </c>
      <c r="AF245" t="s">
        <v>35130</v>
      </c>
      <c r="AG245" t="s">
        <v>35131</v>
      </c>
    </row>
    <row r="246" spans="1:33" x14ac:dyDescent="0.25">
      <c r="A246" t="s">
        <v>34462</v>
      </c>
      <c r="B246" t="s">
        <v>1347</v>
      </c>
      <c r="C246" t="s">
        <v>1350</v>
      </c>
      <c r="D246">
        <v>38.56</v>
      </c>
      <c r="E246">
        <v>30.61</v>
      </c>
      <c r="H246">
        <v>56.6</v>
      </c>
      <c r="I246">
        <v>56.6</v>
      </c>
      <c r="J246">
        <v>0</v>
      </c>
      <c r="K246">
        <v>0.36</v>
      </c>
      <c r="L246">
        <v>3</v>
      </c>
      <c r="M246">
        <v>2</v>
      </c>
      <c r="Q246">
        <v>-1</v>
      </c>
      <c r="R246">
        <v>-1</v>
      </c>
      <c r="S246" t="s">
        <v>35132</v>
      </c>
      <c r="U246">
        <v>1.0008974799999999</v>
      </c>
      <c r="V246">
        <v>5.9</v>
      </c>
      <c r="W246">
        <v>6.56</v>
      </c>
      <c r="X246" t="s">
        <v>1346</v>
      </c>
      <c r="Y246" t="s">
        <v>1351</v>
      </c>
      <c r="Z246" t="s">
        <v>1351</v>
      </c>
      <c r="AA246" t="s">
        <v>1352</v>
      </c>
      <c r="AB246" t="s">
        <v>35133</v>
      </c>
      <c r="AC246" t="s">
        <v>34484</v>
      </c>
      <c r="AD246" t="s">
        <v>11335</v>
      </c>
      <c r="AE246" t="s">
        <v>34474</v>
      </c>
      <c r="AG246" t="s">
        <v>35134</v>
      </c>
    </row>
    <row r="247" spans="1:33" x14ac:dyDescent="0.25">
      <c r="A247" t="s">
        <v>34462</v>
      </c>
      <c r="B247" t="s">
        <v>1354</v>
      </c>
      <c r="C247" t="s">
        <v>1356</v>
      </c>
      <c r="D247">
        <v>42.23</v>
      </c>
      <c r="E247">
        <v>42.23</v>
      </c>
      <c r="H247">
        <v>62.31</v>
      </c>
      <c r="I247">
        <v>62.31</v>
      </c>
      <c r="J247">
        <v>0</v>
      </c>
      <c r="K247">
        <v>0.36</v>
      </c>
      <c r="L247">
        <v>3</v>
      </c>
      <c r="M247">
        <v>2</v>
      </c>
      <c r="Q247">
        <v>-1</v>
      </c>
      <c r="R247">
        <v>-1</v>
      </c>
      <c r="S247" t="s">
        <v>35132</v>
      </c>
      <c r="U247">
        <v>1.0008974799999999</v>
      </c>
      <c r="V247">
        <v>5.9</v>
      </c>
      <c r="W247">
        <v>7.18</v>
      </c>
      <c r="X247" t="s">
        <v>1353</v>
      </c>
      <c r="Y247" t="s">
        <v>1351</v>
      </c>
      <c r="Z247" t="s">
        <v>1351</v>
      </c>
      <c r="AA247" t="s">
        <v>1357</v>
      </c>
      <c r="AB247" t="s">
        <v>35135</v>
      </c>
      <c r="AC247" t="s">
        <v>34484</v>
      </c>
      <c r="AD247" t="s">
        <v>11335</v>
      </c>
      <c r="AE247" t="s">
        <v>34782</v>
      </c>
    </row>
    <row r="248" spans="1:33" x14ac:dyDescent="0.25">
      <c r="A248" t="s">
        <v>34462</v>
      </c>
      <c r="B248" t="s">
        <v>1359</v>
      </c>
      <c r="C248" t="s">
        <v>1362</v>
      </c>
      <c r="D248">
        <v>19.989999999999998</v>
      </c>
      <c r="E248">
        <v>19.989999999999998</v>
      </c>
      <c r="F248">
        <v>822254</v>
      </c>
      <c r="G248">
        <v>1436368</v>
      </c>
      <c r="H248">
        <v>47.23</v>
      </c>
      <c r="I248">
        <v>48.35</v>
      </c>
      <c r="J248">
        <v>0</v>
      </c>
      <c r="K248">
        <v>0</v>
      </c>
      <c r="L248">
        <v>7</v>
      </c>
      <c r="M248">
        <v>7</v>
      </c>
      <c r="N248">
        <v>4.5</v>
      </c>
      <c r="O248">
        <v>0</v>
      </c>
      <c r="P248">
        <v>5</v>
      </c>
      <c r="Q248">
        <v>3</v>
      </c>
      <c r="R248">
        <v>9</v>
      </c>
      <c r="S248" t="s">
        <v>35136</v>
      </c>
      <c r="U248">
        <v>2.2928047999999999</v>
      </c>
      <c r="V248">
        <v>7.88</v>
      </c>
      <c r="W248">
        <v>3</v>
      </c>
      <c r="X248" t="s">
        <v>1358</v>
      </c>
      <c r="Y248" t="s">
        <v>35137</v>
      </c>
      <c r="Z248" t="s">
        <v>1363</v>
      </c>
      <c r="AA248" t="s">
        <v>1364</v>
      </c>
      <c r="AB248" t="s">
        <v>35138</v>
      </c>
      <c r="AC248" t="s">
        <v>34493</v>
      </c>
      <c r="AD248" t="s">
        <v>35139</v>
      </c>
      <c r="AE248" t="s">
        <v>7966</v>
      </c>
      <c r="AF248" t="s">
        <v>35140</v>
      </c>
      <c r="AG248" t="s">
        <v>35141</v>
      </c>
    </row>
    <row r="249" spans="1:33" x14ac:dyDescent="0.25">
      <c r="A249" t="s">
        <v>34462</v>
      </c>
      <c r="B249" t="s">
        <v>1366</v>
      </c>
      <c r="C249" t="s">
        <v>1369</v>
      </c>
      <c r="D249">
        <v>19.2</v>
      </c>
      <c r="E249">
        <v>19.2</v>
      </c>
      <c r="F249">
        <v>3616579</v>
      </c>
      <c r="G249">
        <v>2470026</v>
      </c>
      <c r="H249">
        <v>21.62</v>
      </c>
      <c r="I249">
        <v>24.49</v>
      </c>
      <c r="J249">
        <v>0</v>
      </c>
      <c r="K249">
        <v>1</v>
      </c>
      <c r="L249">
        <v>1</v>
      </c>
      <c r="M249">
        <v>1</v>
      </c>
      <c r="Q249">
        <v>1</v>
      </c>
      <c r="R249">
        <v>5</v>
      </c>
      <c r="S249" t="s">
        <v>35142</v>
      </c>
      <c r="U249">
        <v>0.52910880000000005</v>
      </c>
      <c r="V249">
        <v>5.9</v>
      </c>
      <c r="W249">
        <v>1.92</v>
      </c>
      <c r="X249" t="s">
        <v>1365</v>
      </c>
      <c r="Y249" t="s">
        <v>1370</v>
      </c>
      <c r="Z249" t="s">
        <v>1370</v>
      </c>
      <c r="AA249" t="s">
        <v>1371</v>
      </c>
      <c r="AB249" t="s">
        <v>35143</v>
      </c>
      <c r="AC249" t="s">
        <v>34465</v>
      </c>
      <c r="AD249" t="s">
        <v>10970</v>
      </c>
      <c r="AE249" t="s">
        <v>34533</v>
      </c>
      <c r="AF249" t="s">
        <v>35144</v>
      </c>
      <c r="AG249" t="s">
        <v>35145</v>
      </c>
    </row>
    <row r="250" spans="1:33" x14ac:dyDescent="0.25">
      <c r="A250" t="s">
        <v>34462</v>
      </c>
      <c r="B250" t="s">
        <v>1373</v>
      </c>
      <c r="C250" t="s">
        <v>1376</v>
      </c>
      <c r="D250">
        <v>22.88</v>
      </c>
      <c r="E250">
        <v>22.88</v>
      </c>
      <c r="F250">
        <v>13506807</v>
      </c>
      <c r="G250">
        <v>12893820</v>
      </c>
      <c r="H250">
        <v>25.32</v>
      </c>
      <c r="I250">
        <v>31.08</v>
      </c>
      <c r="J250">
        <v>0</v>
      </c>
      <c r="K250">
        <v>1</v>
      </c>
      <c r="L250">
        <v>1</v>
      </c>
      <c r="M250">
        <v>1</v>
      </c>
      <c r="Q250">
        <v>0</v>
      </c>
      <c r="R250">
        <v>0</v>
      </c>
      <c r="S250" t="s">
        <v>35146</v>
      </c>
      <c r="U250">
        <v>1.0097159600000001</v>
      </c>
      <c r="V250">
        <v>5.77</v>
      </c>
      <c r="W250">
        <v>3.43</v>
      </c>
      <c r="X250" t="s">
        <v>1372</v>
      </c>
      <c r="Y250" t="s">
        <v>35147</v>
      </c>
      <c r="AA250" t="s">
        <v>76</v>
      </c>
      <c r="AB250" t="s">
        <v>35148</v>
      </c>
      <c r="AC250" t="s">
        <v>34465</v>
      </c>
      <c r="AD250" t="s">
        <v>28963</v>
      </c>
      <c r="AE250" t="s">
        <v>34576</v>
      </c>
      <c r="AF250" t="s">
        <v>35149</v>
      </c>
    </row>
    <row r="251" spans="1:33" x14ac:dyDescent="0.25">
      <c r="A251" t="s">
        <v>34462</v>
      </c>
      <c r="B251" t="s">
        <v>1378</v>
      </c>
      <c r="C251" t="s">
        <v>1380</v>
      </c>
      <c r="D251">
        <v>22.88</v>
      </c>
      <c r="E251">
        <v>22.88</v>
      </c>
      <c r="F251">
        <v>13506807</v>
      </c>
      <c r="G251">
        <v>12892889</v>
      </c>
      <c r="H251">
        <v>24.73</v>
      </c>
      <c r="I251">
        <v>30.73</v>
      </c>
      <c r="J251">
        <v>0</v>
      </c>
      <c r="K251">
        <v>1</v>
      </c>
      <c r="L251">
        <v>1</v>
      </c>
      <c r="M251">
        <v>1</v>
      </c>
      <c r="Q251">
        <v>0</v>
      </c>
      <c r="R251">
        <v>0</v>
      </c>
      <c r="S251" t="s">
        <v>35146</v>
      </c>
      <c r="U251">
        <v>1.06042222</v>
      </c>
      <c r="V251">
        <v>5.77</v>
      </c>
      <c r="W251">
        <v>3.43</v>
      </c>
      <c r="X251" t="s">
        <v>1377</v>
      </c>
      <c r="Y251" t="s">
        <v>35147</v>
      </c>
      <c r="AA251" t="s">
        <v>76</v>
      </c>
      <c r="AB251" t="s">
        <v>35150</v>
      </c>
      <c r="AC251" t="s">
        <v>34465</v>
      </c>
      <c r="AD251" t="s">
        <v>28963</v>
      </c>
      <c r="AE251" t="s">
        <v>34582</v>
      </c>
      <c r="AF251" t="s">
        <v>35149</v>
      </c>
    </row>
    <row r="252" spans="1:33" x14ac:dyDescent="0.25">
      <c r="A252" t="s">
        <v>34462</v>
      </c>
      <c r="B252" t="s">
        <v>1382</v>
      </c>
      <c r="C252" t="s">
        <v>1385</v>
      </c>
      <c r="G252">
        <v>11402831</v>
      </c>
      <c r="J252">
        <v>1</v>
      </c>
      <c r="K252">
        <v>1</v>
      </c>
      <c r="Q252">
        <v>0</v>
      </c>
      <c r="R252">
        <v>0</v>
      </c>
      <c r="U252">
        <v>7.0547840000000001E-2</v>
      </c>
      <c r="V252">
        <v>3.68</v>
      </c>
      <c r="X252" t="s">
        <v>1381</v>
      </c>
      <c r="Y252" t="s">
        <v>1387</v>
      </c>
      <c r="Z252" t="s">
        <v>1387</v>
      </c>
      <c r="AB252" t="s">
        <v>35151</v>
      </c>
      <c r="AC252" t="s">
        <v>34465</v>
      </c>
      <c r="AD252" t="s">
        <v>35152</v>
      </c>
      <c r="AF252" t="s">
        <v>35153</v>
      </c>
    </row>
    <row r="253" spans="1:33" x14ac:dyDescent="0.25">
      <c r="A253" t="s">
        <v>34462</v>
      </c>
      <c r="B253" t="s">
        <v>1389</v>
      </c>
      <c r="C253" t="s">
        <v>1392</v>
      </c>
      <c r="D253">
        <v>39.89</v>
      </c>
      <c r="E253">
        <v>31.94</v>
      </c>
      <c r="H253">
        <v>62.98</v>
      </c>
      <c r="I253">
        <v>62.98</v>
      </c>
      <c r="J253">
        <v>0.19</v>
      </c>
      <c r="K253">
        <v>1</v>
      </c>
      <c r="L253">
        <v>2</v>
      </c>
      <c r="M253">
        <v>2</v>
      </c>
      <c r="Q253">
        <v>-1</v>
      </c>
      <c r="R253">
        <v>-1</v>
      </c>
      <c r="S253" t="s">
        <v>35154</v>
      </c>
      <c r="U253">
        <v>0.65036289999999997</v>
      </c>
      <c r="V253">
        <v>4.1500000000000004</v>
      </c>
      <c r="W253">
        <v>5.98</v>
      </c>
      <c r="X253" t="s">
        <v>1388</v>
      </c>
      <c r="Z253" t="s">
        <v>1393</v>
      </c>
      <c r="AA253" t="s">
        <v>1394</v>
      </c>
      <c r="AB253" t="s">
        <v>35155</v>
      </c>
      <c r="AC253" t="s">
        <v>34465</v>
      </c>
      <c r="AD253" t="s">
        <v>35139</v>
      </c>
      <c r="AE253" t="s">
        <v>7969</v>
      </c>
      <c r="AG253" t="s">
        <v>35156</v>
      </c>
    </row>
    <row r="254" spans="1:33" x14ac:dyDescent="0.25">
      <c r="A254" t="s">
        <v>34462</v>
      </c>
      <c r="B254" t="s">
        <v>1396</v>
      </c>
      <c r="C254" t="s">
        <v>1398</v>
      </c>
      <c r="D254">
        <v>39.89</v>
      </c>
      <c r="E254">
        <v>31.94</v>
      </c>
      <c r="H254">
        <v>58.36</v>
      </c>
      <c r="I254">
        <v>69.23</v>
      </c>
      <c r="J254">
        <v>0.09</v>
      </c>
      <c r="K254">
        <v>1</v>
      </c>
      <c r="L254">
        <v>2</v>
      </c>
      <c r="M254">
        <v>2</v>
      </c>
      <c r="Q254">
        <v>-1</v>
      </c>
      <c r="R254">
        <v>-1</v>
      </c>
      <c r="S254" t="s">
        <v>35154</v>
      </c>
      <c r="U254">
        <v>0.65036289999999997</v>
      </c>
      <c r="V254">
        <v>4.1500000000000004</v>
      </c>
      <c r="W254">
        <v>5.98</v>
      </c>
      <c r="X254" t="s">
        <v>1395</v>
      </c>
      <c r="Z254" t="s">
        <v>1393</v>
      </c>
      <c r="AA254" t="s">
        <v>1399</v>
      </c>
      <c r="AB254" t="s">
        <v>35157</v>
      </c>
      <c r="AC254" t="s">
        <v>34465</v>
      </c>
      <c r="AD254" t="s">
        <v>35139</v>
      </c>
      <c r="AE254" t="s">
        <v>106</v>
      </c>
      <c r="AG254" t="s">
        <v>35156</v>
      </c>
    </row>
    <row r="255" spans="1:33" x14ac:dyDescent="0.25">
      <c r="A255" t="s">
        <v>34462</v>
      </c>
      <c r="B255" t="s">
        <v>1401</v>
      </c>
      <c r="C255" t="s">
        <v>1404</v>
      </c>
      <c r="D255">
        <v>47.55</v>
      </c>
      <c r="E255">
        <v>47.55</v>
      </c>
      <c r="F255">
        <v>256723</v>
      </c>
      <c r="G255">
        <v>261344</v>
      </c>
      <c r="H255">
        <v>40.869999999999997</v>
      </c>
      <c r="I255">
        <v>42.18</v>
      </c>
      <c r="J255">
        <v>0.05</v>
      </c>
      <c r="K255">
        <v>0.65</v>
      </c>
      <c r="L255">
        <v>7</v>
      </c>
      <c r="M255">
        <v>14</v>
      </c>
      <c r="N255">
        <v>4.2</v>
      </c>
      <c r="O255">
        <v>0</v>
      </c>
      <c r="P255">
        <v>90</v>
      </c>
      <c r="Q255">
        <v>32</v>
      </c>
      <c r="R255">
        <v>84</v>
      </c>
      <c r="S255" t="s">
        <v>35158</v>
      </c>
      <c r="U255">
        <v>0.67902295999999995</v>
      </c>
      <c r="V255">
        <v>6.67</v>
      </c>
      <c r="X255" t="s">
        <v>1400</v>
      </c>
      <c r="Y255" t="s">
        <v>1405</v>
      </c>
      <c r="Z255" t="s">
        <v>1405</v>
      </c>
      <c r="AA255" t="s">
        <v>1406</v>
      </c>
      <c r="AB255" t="s">
        <v>35159</v>
      </c>
      <c r="AC255" t="s">
        <v>34465</v>
      </c>
      <c r="AD255" t="s">
        <v>7954</v>
      </c>
      <c r="AE255" t="s">
        <v>34474</v>
      </c>
      <c r="AF255" t="s">
        <v>35160</v>
      </c>
      <c r="AG255" t="s">
        <v>35161</v>
      </c>
    </row>
    <row r="256" spans="1:33" x14ac:dyDescent="0.25">
      <c r="A256" t="s">
        <v>34462</v>
      </c>
      <c r="B256" t="s">
        <v>1408</v>
      </c>
      <c r="C256" t="s">
        <v>1411</v>
      </c>
      <c r="D256">
        <v>51.48</v>
      </c>
      <c r="E256">
        <v>43.53</v>
      </c>
      <c r="F256">
        <v>328372</v>
      </c>
      <c r="G256">
        <v>406514</v>
      </c>
      <c r="H256">
        <v>82</v>
      </c>
      <c r="I256">
        <v>81.319999999999993</v>
      </c>
      <c r="J256">
        <v>0</v>
      </c>
      <c r="K256">
        <v>1</v>
      </c>
      <c r="L256">
        <v>3</v>
      </c>
      <c r="M256">
        <v>3</v>
      </c>
      <c r="N256">
        <v>4.0999999999999996</v>
      </c>
      <c r="O256">
        <v>6</v>
      </c>
      <c r="P256">
        <v>127</v>
      </c>
      <c r="Q256">
        <v>23</v>
      </c>
      <c r="R256">
        <v>63</v>
      </c>
      <c r="S256" t="s">
        <v>35162</v>
      </c>
      <c r="U256">
        <v>1.6997620200000001</v>
      </c>
      <c r="V256">
        <v>10.75</v>
      </c>
      <c r="W256">
        <v>8.75</v>
      </c>
      <c r="X256" t="s">
        <v>1407</v>
      </c>
      <c r="Y256" t="s">
        <v>35163</v>
      </c>
      <c r="Z256" t="s">
        <v>1412</v>
      </c>
      <c r="AA256" t="s">
        <v>1413</v>
      </c>
      <c r="AB256" t="s">
        <v>35164</v>
      </c>
      <c r="AC256" t="s">
        <v>34465</v>
      </c>
      <c r="AD256" t="s">
        <v>12423</v>
      </c>
      <c r="AE256" t="s">
        <v>311</v>
      </c>
      <c r="AF256" t="s">
        <v>35165</v>
      </c>
      <c r="AG256" t="s">
        <v>35166</v>
      </c>
    </row>
    <row r="257" spans="1:33" x14ac:dyDescent="0.25">
      <c r="A257" t="s">
        <v>34462</v>
      </c>
      <c r="B257" t="s">
        <v>1415</v>
      </c>
      <c r="C257" t="s">
        <v>1418</v>
      </c>
      <c r="D257">
        <v>25.17</v>
      </c>
      <c r="E257">
        <v>25.17</v>
      </c>
      <c r="F257">
        <v>3240917</v>
      </c>
      <c r="G257">
        <v>2324700</v>
      </c>
      <c r="H257">
        <v>25.95</v>
      </c>
      <c r="I257">
        <v>27.33</v>
      </c>
      <c r="J257">
        <v>0</v>
      </c>
      <c r="K257">
        <v>0</v>
      </c>
      <c r="L257">
        <v>1</v>
      </c>
      <c r="M257">
        <v>2</v>
      </c>
      <c r="Q257">
        <v>1</v>
      </c>
      <c r="R257">
        <v>5</v>
      </c>
      <c r="S257" t="s">
        <v>35167</v>
      </c>
      <c r="U257">
        <v>0.85980180000000006</v>
      </c>
      <c r="V257">
        <v>12.27</v>
      </c>
      <c r="W257">
        <v>4.2699999999999996</v>
      </c>
      <c r="X257" t="s">
        <v>1414</v>
      </c>
      <c r="Y257" t="s">
        <v>1419</v>
      </c>
      <c r="Z257" t="s">
        <v>1419</v>
      </c>
      <c r="AA257" t="s">
        <v>1420</v>
      </c>
      <c r="AB257" t="s">
        <v>35168</v>
      </c>
      <c r="AC257" t="s">
        <v>34493</v>
      </c>
      <c r="AD257" t="s">
        <v>16164</v>
      </c>
      <c r="AE257" t="s">
        <v>14701</v>
      </c>
      <c r="AF257" t="s">
        <v>35169</v>
      </c>
      <c r="AG257" t="s">
        <v>35170</v>
      </c>
    </row>
    <row r="258" spans="1:33" x14ac:dyDescent="0.25">
      <c r="A258" t="s">
        <v>34462</v>
      </c>
      <c r="B258" t="s">
        <v>1422</v>
      </c>
      <c r="C258" t="s">
        <v>1425</v>
      </c>
      <c r="D258">
        <v>27.99</v>
      </c>
      <c r="F258">
        <v>2481116</v>
      </c>
      <c r="G258">
        <v>1468319</v>
      </c>
      <c r="I258">
        <v>27.99</v>
      </c>
      <c r="J258">
        <v>0.45</v>
      </c>
      <c r="K258">
        <v>1</v>
      </c>
      <c r="L258">
        <v>1</v>
      </c>
      <c r="N258">
        <v>4.9000000000000004</v>
      </c>
      <c r="O258">
        <v>0</v>
      </c>
      <c r="P258">
        <v>43</v>
      </c>
      <c r="Q258">
        <v>0</v>
      </c>
      <c r="R258">
        <v>11</v>
      </c>
      <c r="S258" t="s">
        <v>35171</v>
      </c>
      <c r="U258">
        <v>0.39903622</v>
      </c>
      <c r="V258">
        <v>7.08</v>
      </c>
      <c r="X258" t="s">
        <v>1421</v>
      </c>
      <c r="AA258" t="s">
        <v>410</v>
      </c>
      <c r="AB258" t="s">
        <v>35172</v>
      </c>
      <c r="AC258" t="s">
        <v>34465</v>
      </c>
      <c r="AD258" t="s">
        <v>11496</v>
      </c>
      <c r="AE258" t="s">
        <v>34826</v>
      </c>
      <c r="AF258" t="s">
        <v>35173</v>
      </c>
      <c r="AG258" t="s">
        <v>35174</v>
      </c>
    </row>
    <row r="259" spans="1:33" x14ac:dyDescent="0.25">
      <c r="A259" t="s">
        <v>34462</v>
      </c>
      <c r="B259" t="s">
        <v>1427</v>
      </c>
      <c r="C259" t="s">
        <v>1429</v>
      </c>
      <c r="D259">
        <v>25.82</v>
      </c>
      <c r="F259">
        <v>2481116</v>
      </c>
      <c r="G259">
        <v>1402714</v>
      </c>
      <c r="H259">
        <v>25.82</v>
      </c>
      <c r="I259">
        <v>27.14</v>
      </c>
      <c r="J259">
        <v>0.77</v>
      </c>
      <c r="K259">
        <v>1</v>
      </c>
      <c r="L259">
        <v>1</v>
      </c>
      <c r="O259">
        <v>0</v>
      </c>
      <c r="Q259">
        <v>0</v>
      </c>
      <c r="R259">
        <v>7</v>
      </c>
      <c r="S259" t="s">
        <v>35171</v>
      </c>
      <c r="U259">
        <v>0.39903622</v>
      </c>
      <c r="V259">
        <v>7.08</v>
      </c>
      <c r="X259" t="s">
        <v>1426</v>
      </c>
      <c r="AA259" t="s">
        <v>410</v>
      </c>
      <c r="AB259" t="s">
        <v>35175</v>
      </c>
      <c r="AC259" t="s">
        <v>34465</v>
      </c>
      <c r="AD259" t="s">
        <v>11496</v>
      </c>
      <c r="AE259" t="s">
        <v>34506</v>
      </c>
      <c r="AF259" t="s">
        <v>35173</v>
      </c>
    </row>
    <row r="260" spans="1:33" x14ac:dyDescent="0.25">
      <c r="A260" t="s">
        <v>34462</v>
      </c>
      <c r="B260" t="s">
        <v>1431</v>
      </c>
      <c r="C260" t="s">
        <v>1433</v>
      </c>
      <c r="D260">
        <v>24</v>
      </c>
      <c r="E260">
        <v>24</v>
      </c>
      <c r="F260">
        <v>2481116</v>
      </c>
      <c r="G260">
        <v>2069892</v>
      </c>
      <c r="H260">
        <v>25.99</v>
      </c>
      <c r="I260">
        <v>26.52</v>
      </c>
      <c r="J260">
        <v>0</v>
      </c>
      <c r="K260">
        <v>1</v>
      </c>
      <c r="L260">
        <v>1</v>
      </c>
      <c r="M260">
        <v>1</v>
      </c>
      <c r="N260">
        <v>4.9000000000000004</v>
      </c>
      <c r="O260">
        <v>0</v>
      </c>
      <c r="P260">
        <v>43</v>
      </c>
      <c r="Q260">
        <v>1</v>
      </c>
      <c r="R260">
        <v>7</v>
      </c>
      <c r="S260" t="s">
        <v>35171</v>
      </c>
      <c r="U260">
        <v>0.39903622</v>
      </c>
      <c r="V260">
        <v>7.08</v>
      </c>
      <c r="W260">
        <v>4.08</v>
      </c>
      <c r="X260" t="s">
        <v>1430</v>
      </c>
      <c r="AA260" t="s">
        <v>410</v>
      </c>
      <c r="AB260" t="s">
        <v>35176</v>
      </c>
      <c r="AC260" t="s">
        <v>34465</v>
      </c>
      <c r="AD260" t="s">
        <v>11496</v>
      </c>
      <c r="AE260" t="s">
        <v>34512</v>
      </c>
      <c r="AF260" t="s">
        <v>35173</v>
      </c>
      <c r="AG260" t="s">
        <v>35174</v>
      </c>
    </row>
    <row r="261" spans="1:33" x14ac:dyDescent="0.25">
      <c r="A261" t="s">
        <v>34462</v>
      </c>
      <c r="B261" t="s">
        <v>1435</v>
      </c>
      <c r="C261" t="s">
        <v>1438</v>
      </c>
      <c r="D261">
        <v>43.4</v>
      </c>
      <c r="E261">
        <v>43.4</v>
      </c>
      <c r="F261">
        <v>635421</v>
      </c>
      <c r="G261">
        <v>937417</v>
      </c>
      <c r="H261">
        <v>43.45</v>
      </c>
      <c r="I261">
        <v>43.44</v>
      </c>
      <c r="J261">
        <v>0</v>
      </c>
      <c r="K261">
        <v>1</v>
      </c>
      <c r="L261">
        <v>2</v>
      </c>
      <c r="M261">
        <v>2</v>
      </c>
      <c r="N261">
        <v>3.8</v>
      </c>
      <c r="O261">
        <v>0</v>
      </c>
      <c r="P261">
        <v>23</v>
      </c>
      <c r="Q261">
        <v>10</v>
      </c>
      <c r="R261">
        <v>20</v>
      </c>
      <c r="S261" t="s">
        <v>35177</v>
      </c>
      <c r="U261">
        <v>0.26455440000000002</v>
      </c>
      <c r="V261">
        <v>4.67</v>
      </c>
      <c r="W261">
        <v>7.38</v>
      </c>
      <c r="X261" t="s">
        <v>1434</v>
      </c>
      <c r="Y261" t="s">
        <v>1439</v>
      </c>
      <c r="Z261" t="s">
        <v>1439</v>
      </c>
      <c r="AA261" t="s">
        <v>1440</v>
      </c>
      <c r="AB261" t="s">
        <v>35178</v>
      </c>
      <c r="AC261" t="s">
        <v>34465</v>
      </c>
      <c r="AD261" t="s">
        <v>35040</v>
      </c>
      <c r="AE261" t="s">
        <v>35179</v>
      </c>
      <c r="AF261" t="s">
        <v>35180</v>
      </c>
      <c r="AG261" t="s">
        <v>35181</v>
      </c>
    </row>
    <row r="262" spans="1:33" x14ac:dyDescent="0.25">
      <c r="A262" t="s">
        <v>34462</v>
      </c>
      <c r="B262" t="s">
        <v>1442</v>
      </c>
      <c r="C262" t="s">
        <v>1444</v>
      </c>
      <c r="D262">
        <v>58</v>
      </c>
      <c r="F262">
        <v>635421</v>
      </c>
      <c r="G262">
        <v>998512</v>
      </c>
      <c r="H262">
        <v>58</v>
      </c>
      <c r="I262">
        <v>43.91</v>
      </c>
      <c r="J262">
        <v>0.76</v>
      </c>
      <c r="K262">
        <v>1</v>
      </c>
      <c r="L262">
        <v>1</v>
      </c>
      <c r="N262">
        <v>3.8</v>
      </c>
      <c r="O262">
        <v>1</v>
      </c>
      <c r="P262">
        <v>23</v>
      </c>
      <c r="Q262">
        <v>6</v>
      </c>
      <c r="R262">
        <v>16</v>
      </c>
      <c r="S262" t="s">
        <v>35177</v>
      </c>
      <c r="U262">
        <v>0.26455440000000002</v>
      </c>
      <c r="V262">
        <v>4.67</v>
      </c>
      <c r="X262" t="s">
        <v>1441</v>
      </c>
      <c r="Y262" t="s">
        <v>1445</v>
      </c>
      <c r="Z262" t="s">
        <v>1445</v>
      </c>
      <c r="AA262" t="s">
        <v>1440</v>
      </c>
      <c r="AB262" t="s">
        <v>35182</v>
      </c>
      <c r="AC262" t="s">
        <v>34465</v>
      </c>
      <c r="AD262" t="s">
        <v>35040</v>
      </c>
      <c r="AE262" t="s">
        <v>35183</v>
      </c>
      <c r="AF262" t="s">
        <v>35180</v>
      </c>
      <c r="AG262" t="s">
        <v>35181</v>
      </c>
    </row>
    <row r="263" spans="1:33" x14ac:dyDescent="0.25">
      <c r="A263" t="s">
        <v>34462</v>
      </c>
      <c r="B263" t="s">
        <v>1447</v>
      </c>
      <c r="C263" t="s">
        <v>1450</v>
      </c>
      <c r="D263">
        <v>10.84</v>
      </c>
      <c r="E263">
        <v>10.84</v>
      </c>
      <c r="F263">
        <v>5800904</v>
      </c>
      <c r="G263">
        <v>2350214</v>
      </c>
      <c r="H263">
        <v>11</v>
      </c>
      <c r="I263">
        <v>17.579999999999998</v>
      </c>
      <c r="J263">
        <v>0</v>
      </c>
      <c r="K263">
        <v>1</v>
      </c>
      <c r="L263">
        <v>3</v>
      </c>
      <c r="M263">
        <v>2</v>
      </c>
      <c r="O263">
        <v>0</v>
      </c>
      <c r="Q263">
        <v>0</v>
      </c>
      <c r="R263">
        <v>17</v>
      </c>
      <c r="U263">
        <v>0.19180194</v>
      </c>
      <c r="V263">
        <v>4.3899999999999997</v>
      </c>
      <c r="W263">
        <v>0.54</v>
      </c>
      <c r="X263" t="s">
        <v>1446</v>
      </c>
      <c r="Z263" t="s">
        <v>1452</v>
      </c>
      <c r="AA263" t="s">
        <v>1453</v>
      </c>
      <c r="AB263" t="s">
        <v>35184</v>
      </c>
      <c r="AC263" t="s">
        <v>34465</v>
      </c>
      <c r="AD263" t="s">
        <v>11496</v>
      </c>
      <c r="AF263" t="s">
        <v>35185</v>
      </c>
      <c r="AG263" t="s">
        <v>35186</v>
      </c>
    </row>
    <row r="264" spans="1:33" x14ac:dyDescent="0.25">
      <c r="A264" t="s">
        <v>34462</v>
      </c>
      <c r="B264" t="s">
        <v>1455</v>
      </c>
      <c r="C264" t="s">
        <v>1458</v>
      </c>
      <c r="D264">
        <v>16</v>
      </c>
      <c r="E264">
        <v>16</v>
      </c>
      <c r="F264">
        <v>942997</v>
      </c>
      <c r="G264">
        <v>912035</v>
      </c>
      <c r="I264">
        <v>15.91</v>
      </c>
      <c r="J264">
        <v>0.28000000000000003</v>
      </c>
      <c r="K264">
        <v>1</v>
      </c>
      <c r="L264">
        <v>2</v>
      </c>
      <c r="M264">
        <v>2</v>
      </c>
      <c r="N264">
        <v>3.8</v>
      </c>
      <c r="P264">
        <v>13</v>
      </c>
      <c r="Q264">
        <v>0</v>
      </c>
      <c r="R264">
        <v>0</v>
      </c>
      <c r="U264">
        <v>1.3007257999999999</v>
      </c>
      <c r="V264">
        <v>5.77</v>
      </c>
      <c r="X264" t="s">
        <v>1454</v>
      </c>
      <c r="Y264" t="s">
        <v>1460</v>
      </c>
      <c r="Z264" t="s">
        <v>1460</v>
      </c>
      <c r="AB264" t="s">
        <v>35187</v>
      </c>
      <c r="AC264" t="s">
        <v>34465</v>
      </c>
      <c r="AD264" t="s">
        <v>35188</v>
      </c>
      <c r="AF264" t="s">
        <v>35189</v>
      </c>
      <c r="AG264" t="s">
        <v>35190</v>
      </c>
    </row>
    <row r="265" spans="1:33" x14ac:dyDescent="0.25">
      <c r="A265" t="s">
        <v>34462</v>
      </c>
      <c r="B265" t="s">
        <v>1462</v>
      </c>
      <c r="C265" t="s">
        <v>1465</v>
      </c>
      <c r="D265">
        <v>7.49</v>
      </c>
      <c r="E265">
        <v>7.49</v>
      </c>
      <c r="F265">
        <v>14690</v>
      </c>
      <c r="G265">
        <v>63763</v>
      </c>
      <c r="H265">
        <v>16.059999999999999</v>
      </c>
      <c r="I265">
        <v>17.48</v>
      </c>
      <c r="J265">
        <v>0</v>
      </c>
      <c r="K265">
        <v>0</v>
      </c>
      <c r="L265">
        <v>15</v>
      </c>
      <c r="M265">
        <v>15</v>
      </c>
      <c r="N265">
        <v>4.5</v>
      </c>
      <c r="P265">
        <v>115</v>
      </c>
      <c r="Q265">
        <v>48</v>
      </c>
      <c r="R265">
        <v>155</v>
      </c>
      <c r="T265">
        <v>200</v>
      </c>
      <c r="U265">
        <v>1.3668644000000001</v>
      </c>
      <c r="V265">
        <v>4.75</v>
      </c>
      <c r="W265">
        <v>1.1200000000000001</v>
      </c>
      <c r="X265" t="s">
        <v>1461</v>
      </c>
      <c r="Y265" t="s">
        <v>1467</v>
      </c>
      <c r="Z265" t="s">
        <v>1467</v>
      </c>
      <c r="AA265" t="s">
        <v>76</v>
      </c>
      <c r="AB265" t="s">
        <v>35191</v>
      </c>
      <c r="AC265" t="s">
        <v>34493</v>
      </c>
      <c r="AD265" t="s">
        <v>34816</v>
      </c>
      <c r="AF265" t="s">
        <v>35192</v>
      </c>
      <c r="AG265" t="s">
        <v>35193</v>
      </c>
    </row>
    <row r="266" spans="1:33" x14ac:dyDescent="0.25">
      <c r="A266" t="s">
        <v>34462</v>
      </c>
      <c r="B266" t="s">
        <v>1469</v>
      </c>
      <c r="C266" t="s">
        <v>1472</v>
      </c>
      <c r="D266">
        <v>50</v>
      </c>
      <c r="E266">
        <v>50</v>
      </c>
      <c r="F266">
        <v>6253</v>
      </c>
      <c r="G266">
        <v>3819</v>
      </c>
      <c r="H266">
        <v>51.13</v>
      </c>
      <c r="I266">
        <v>51.08</v>
      </c>
      <c r="J266">
        <v>0</v>
      </c>
      <c r="K266">
        <v>0</v>
      </c>
      <c r="L266">
        <v>1</v>
      </c>
      <c r="M266">
        <v>1</v>
      </c>
      <c r="N266">
        <v>4.5</v>
      </c>
      <c r="O266">
        <v>0</v>
      </c>
      <c r="P266">
        <v>8616</v>
      </c>
      <c r="Q266">
        <v>39</v>
      </c>
      <c r="R266">
        <v>119</v>
      </c>
      <c r="S266" t="s">
        <v>35194</v>
      </c>
      <c r="U266">
        <v>1.3492274399999999</v>
      </c>
      <c r="V266">
        <v>7.18</v>
      </c>
      <c r="W266">
        <v>8.5</v>
      </c>
      <c r="X266" t="s">
        <v>1468</v>
      </c>
      <c r="Y266" t="s">
        <v>1473</v>
      </c>
      <c r="Z266" t="s">
        <v>1473</v>
      </c>
      <c r="AA266" t="s">
        <v>1474</v>
      </c>
      <c r="AB266" t="s">
        <v>35195</v>
      </c>
      <c r="AC266" t="s">
        <v>34493</v>
      </c>
      <c r="AD266" t="s">
        <v>10970</v>
      </c>
      <c r="AE266" t="s">
        <v>34550</v>
      </c>
      <c r="AF266" t="s">
        <v>35196</v>
      </c>
      <c r="AG266" t="s">
        <v>35197</v>
      </c>
    </row>
    <row r="267" spans="1:33" x14ac:dyDescent="0.25">
      <c r="A267" t="s">
        <v>34462</v>
      </c>
      <c r="B267" t="s">
        <v>1476</v>
      </c>
      <c r="C267" t="s">
        <v>1472</v>
      </c>
      <c r="F267">
        <v>6208</v>
      </c>
      <c r="G267">
        <v>3585</v>
      </c>
      <c r="J267">
        <v>1</v>
      </c>
      <c r="K267">
        <v>1</v>
      </c>
      <c r="O267">
        <v>0</v>
      </c>
      <c r="Q267">
        <v>1</v>
      </c>
      <c r="R267">
        <v>9</v>
      </c>
      <c r="S267" t="s">
        <v>35194</v>
      </c>
      <c r="U267">
        <v>1.5498478600000001</v>
      </c>
      <c r="V267">
        <v>6.14</v>
      </c>
      <c r="X267" t="s">
        <v>1475</v>
      </c>
      <c r="Y267" t="s">
        <v>1473</v>
      </c>
      <c r="Z267" t="s">
        <v>1473</v>
      </c>
      <c r="AA267" t="s">
        <v>1474</v>
      </c>
      <c r="AB267" t="s">
        <v>35198</v>
      </c>
      <c r="AC267" t="s">
        <v>34465</v>
      </c>
      <c r="AD267" t="s">
        <v>10970</v>
      </c>
      <c r="AE267" t="s">
        <v>35199</v>
      </c>
      <c r="AF267" t="s">
        <v>35200</v>
      </c>
    </row>
    <row r="268" spans="1:33" x14ac:dyDescent="0.25">
      <c r="A268" t="s">
        <v>34462</v>
      </c>
      <c r="B268" t="s">
        <v>1479</v>
      </c>
      <c r="C268" t="s">
        <v>1472</v>
      </c>
      <c r="D268">
        <v>47.35</v>
      </c>
      <c r="F268">
        <v>6208</v>
      </c>
      <c r="G268">
        <v>3746</v>
      </c>
      <c r="I268">
        <v>47.35</v>
      </c>
      <c r="J268">
        <v>1</v>
      </c>
      <c r="K268">
        <v>1</v>
      </c>
      <c r="N268">
        <v>4.5</v>
      </c>
      <c r="O268">
        <v>0</v>
      </c>
      <c r="P268">
        <v>8016</v>
      </c>
      <c r="Q268">
        <v>0</v>
      </c>
      <c r="R268">
        <v>9</v>
      </c>
      <c r="S268" t="s">
        <v>35194</v>
      </c>
      <c r="U268">
        <v>1.5498478600000001</v>
      </c>
      <c r="V268">
        <v>6.05</v>
      </c>
      <c r="X268" t="s">
        <v>1478</v>
      </c>
      <c r="Y268" t="s">
        <v>1473</v>
      </c>
      <c r="Z268" t="s">
        <v>1473</v>
      </c>
      <c r="AA268" t="s">
        <v>1474</v>
      </c>
      <c r="AB268" t="s">
        <v>35201</v>
      </c>
      <c r="AC268" t="s">
        <v>34465</v>
      </c>
      <c r="AD268" t="s">
        <v>10970</v>
      </c>
      <c r="AE268" t="s">
        <v>35202</v>
      </c>
      <c r="AF268" t="s">
        <v>35203</v>
      </c>
    </row>
    <row r="269" spans="1:33" x14ac:dyDescent="0.25">
      <c r="A269" t="s">
        <v>34462</v>
      </c>
      <c r="B269" t="s">
        <v>1482</v>
      </c>
      <c r="C269" t="s">
        <v>1472</v>
      </c>
      <c r="D269">
        <v>51.3</v>
      </c>
      <c r="F269">
        <v>6208</v>
      </c>
      <c r="G269">
        <v>3584</v>
      </c>
      <c r="H269">
        <v>51.3</v>
      </c>
      <c r="I269">
        <v>50.36</v>
      </c>
      <c r="J269">
        <v>0.74</v>
      </c>
      <c r="K269">
        <v>0.74</v>
      </c>
      <c r="L269">
        <v>1</v>
      </c>
      <c r="N269">
        <v>4.5</v>
      </c>
      <c r="O269">
        <v>1</v>
      </c>
      <c r="P269">
        <v>8387</v>
      </c>
      <c r="Q269">
        <v>1</v>
      </c>
      <c r="R269">
        <v>43</v>
      </c>
      <c r="S269" t="s">
        <v>35194</v>
      </c>
      <c r="U269">
        <v>1.5498478600000001</v>
      </c>
      <c r="V269">
        <v>6.05</v>
      </c>
      <c r="X269" t="s">
        <v>1481</v>
      </c>
      <c r="Y269" t="s">
        <v>1473</v>
      </c>
      <c r="Z269" t="s">
        <v>1473</v>
      </c>
      <c r="AA269" t="s">
        <v>1474</v>
      </c>
      <c r="AB269" t="s">
        <v>35204</v>
      </c>
      <c r="AC269" t="s">
        <v>34465</v>
      </c>
      <c r="AD269" t="s">
        <v>10970</v>
      </c>
      <c r="AE269" t="s">
        <v>34572</v>
      </c>
      <c r="AF269" t="s">
        <v>35200</v>
      </c>
    </row>
    <row r="270" spans="1:33" x14ac:dyDescent="0.25">
      <c r="A270" t="s">
        <v>34462</v>
      </c>
      <c r="B270" t="s">
        <v>1485</v>
      </c>
      <c r="C270" t="s">
        <v>1488</v>
      </c>
      <c r="D270">
        <v>14.15</v>
      </c>
      <c r="E270">
        <v>14.15</v>
      </c>
      <c r="F270">
        <v>294805</v>
      </c>
      <c r="G270">
        <v>265206</v>
      </c>
      <c r="H270">
        <v>10.6</v>
      </c>
      <c r="I270">
        <v>11</v>
      </c>
      <c r="J270">
        <v>0.14000000000000001</v>
      </c>
      <c r="K270">
        <v>0.27</v>
      </c>
      <c r="L270">
        <v>2</v>
      </c>
      <c r="M270">
        <v>1</v>
      </c>
      <c r="N270">
        <v>4.7</v>
      </c>
      <c r="P270">
        <v>32</v>
      </c>
      <c r="Q270">
        <v>6</v>
      </c>
      <c r="R270">
        <v>28</v>
      </c>
      <c r="U270">
        <v>1.0934915199999999</v>
      </c>
      <c r="V270">
        <v>5.37</v>
      </c>
      <c r="W270">
        <v>2.12</v>
      </c>
      <c r="X270" t="s">
        <v>1484</v>
      </c>
      <c r="Y270" t="s">
        <v>1489</v>
      </c>
      <c r="Z270" t="s">
        <v>1489</v>
      </c>
      <c r="AA270" t="s">
        <v>1490</v>
      </c>
      <c r="AB270" t="s">
        <v>35205</v>
      </c>
      <c r="AC270" t="s">
        <v>34465</v>
      </c>
      <c r="AD270" t="s">
        <v>30204</v>
      </c>
      <c r="AF270" t="s">
        <v>35206</v>
      </c>
      <c r="AG270" t="s">
        <v>35207</v>
      </c>
    </row>
    <row r="271" spans="1:33" x14ac:dyDescent="0.25">
      <c r="A271" t="s">
        <v>34462</v>
      </c>
      <c r="B271" t="s">
        <v>1492</v>
      </c>
      <c r="C271" t="s">
        <v>1495</v>
      </c>
      <c r="D271">
        <v>11.24</v>
      </c>
      <c r="E271">
        <v>11.24</v>
      </c>
      <c r="F271">
        <v>5087380</v>
      </c>
      <c r="G271">
        <v>4651423</v>
      </c>
      <c r="H271">
        <v>16.850000000000001</v>
      </c>
      <c r="I271">
        <v>17.07</v>
      </c>
      <c r="J271">
        <v>0</v>
      </c>
      <c r="K271">
        <v>1</v>
      </c>
      <c r="L271">
        <v>1</v>
      </c>
      <c r="M271">
        <v>1</v>
      </c>
      <c r="Q271">
        <v>0</v>
      </c>
      <c r="R271">
        <v>1</v>
      </c>
      <c r="S271" t="s">
        <v>35208</v>
      </c>
      <c r="U271">
        <v>0.98987438000000005</v>
      </c>
      <c r="V271">
        <v>5.52</v>
      </c>
      <c r="W271">
        <v>1.69</v>
      </c>
      <c r="X271" t="s">
        <v>1491</v>
      </c>
      <c r="Y271" t="s">
        <v>1496</v>
      </c>
      <c r="Z271" t="s">
        <v>1496</v>
      </c>
      <c r="AA271" t="s">
        <v>76</v>
      </c>
      <c r="AB271" t="s">
        <v>35209</v>
      </c>
      <c r="AC271" t="s">
        <v>34465</v>
      </c>
      <c r="AD271" t="s">
        <v>28963</v>
      </c>
      <c r="AE271" t="s">
        <v>34576</v>
      </c>
      <c r="AF271" t="s">
        <v>35210</v>
      </c>
      <c r="AG271" t="s">
        <v>35211</v>
      </c>
    </row>
    <row r="272" spans="1:33" x14ac:dyDescent="0.25">
      <c r="A272" t="s">
        <v>34462</v>
      </c>
      <c r="B272" t="s">
        <v>1498</v>
      </c>
      <c r="C272" t="s">
        <v>1500</v>
      </c>
      <c r="D272">
        <v>11.24</v>
      </c>
      <c r="E272">
        <v>11.24</v>
      </c>
      <c r="F272">
        <v>5087380</v>
      </c>
      <c r="G272">
        <v>4616452</v>
      </c>
      <c r="H272">
        <v>16.850000000000001</v>
      </c>
      <c r="I272">
        <v>17.079999999999998</v>
      </c>
      <c r="J272">
        <v>0</v>
      </c>
      <c r="K272">
        <v>1</v>
      </c>
      <c r="L272">
        <v>1</v>
      </c>
      <c r="M272">
        <v>1</v>
      </c>
      <c r="Q272">
        <v>0</v>
      </c>
      <c r="R272">
        <v>1</v>
      </c>
      <c r="S272" t="s">
        <v>35208</v>
      </c>
      <c r="U272">
        <v>1.0802638</v>
      </c>
      <c r="V272">
        <v>5.52</v>
      </c>
      <c r="W272">
        <v>1.69</v>
      </c>
      <c r="X272" t="s">
        <v>1497</v>
      </c>
      <c r="Y272" t="s">
        <v>1496</v>
      </c>
      <c r="AA272" t="s">
        <v>76</v>
      </c>
      <c r="AB272" t="s">
        <v>35212</v>
      </c>
      <c r="AC272" t="s">
        <v>34465</v>
      </c>
      <c r="AD272" t="s">
        <v>28963</v>
      </c>
      <c r="AE272" t="s">
        <v>34582</v>
      </c>
      <c r="AF272" t="s">
        <v>35210</v>
      </c>
      <c r="AG272" t="s">
        <v>35211</v>
      </c>
    </row>
    <row r="273" spans="1:33" x14ac:dyDescent="0.25">
      <c r="A273" t="s">
        <v>34462</v>
      </c>
      <c r="B273" t="s">
        <v>1502</v>
      </c>
      <c r="C273" t="s">
        <v>1505</v>
      </c>
      <c r="D273">
        <v>44.99</v>
      </c>
      <c r="E273">
        <v>44.99</v>
      </c>
      <c r="F273">
        <v>1381077</v>
      </c>
      <c r="G273">
        <v>605174</v>
      </c>
      <c r="H273">
        <v>45.73</v>
      </c>
      <c r="I273">
        <v>50.03</v>
      </c>
      <c r="J273">
        <v>0</v>
      </c>
      <c r="K273">
        <v>0.25</v>
      </c>
      <c r="L273">
        <v>2</v>
      </c>
      <c r="M273">
        <v>1</v>
      </c>
      <c r="O273">
        <v>0</v>
      </c>
      <c r="Q273">
        <v>6</v>
      </c>
      <c r="R273">
        <v>29</v>
      </c>
      <c r="S273" t="s">
        <v>35122</v>
      </c>
      <c r="U273">
        <v>0.76941238000000001</v>
      </c>
      <c r="V273">
        <v>6.14</v>
      </c>
      <c r="W273">
        <v>7.65</v>
      </c>
      <c r="X273" t="s">
        <v>1501</v>
      </c>
      <c r="Y273" t="s">
        <v>1506</v>
      </c>
      <c r="Z273" t="s">
        <v>1506</v>
      </c>
      <c r="AA273" t="s">
        <v>1335</v>
      </c>
      <c r="AB273" t="s">
        <v>35213</v>
      </c>
      <c r="AC273" t="s">
        <v>34493</v>
      </c>
      <c r="AD273" t="s">
        <v>9232</v>
      </c>
      <c r="AE273" t="s">
        <v>8427</v>
      </c>
      <c r="AF273" t="s">
        <v>35126</v>
      </c>
      <c r="AG273" t="s">
        <v>35103</v>
      </c>
    </row>
    <row r="274" spans="1:33" x14ac:dyDescent="0.25">
      <c r="A274" t="s">
        <v>34462</v>
      </c>
      <c r="B274" t="s">
        <v>1508</v>
      </c>
      <c r="C274" t="s">
        <v>1511</v>
      </c>
      <c r="D274">
        <v>20</v>
      </c>
      <c r="E274">
        <v>14.5</v>
      </c>
      <c r="H274">
        <v>21.12</v>
      </c>
      <c r="I274">
        <v>24.44</v>
      </c>
      <c r="J274">
        <v>0</v>
      </c>
      <c r="K274">
        <v>1</v>
      </c>
      <c r="L274">
        <v>3</v>
      </c>
      <c r="M274">
        <v>4</v>
      </c>
      <c r="O274">
        <v>0</v>
      </c>
      <c r="Q274">
        <v>-1</v>
      </c>
      <c r="R274">
        <v>-1</v>
      </c>
      <c r="U274">
        <v>0.35053457999999998</v>
      </c>
      <c r="V274">
        <v>6.1</v>
      </c>
      <c r="W274">
        <v>3.4</v>
      </c>
      <c r="X274" t="s">
        <v>1507</v>
      </c>
      <c r="AA274" t="s">
        <v>1513</v>
      </c>
      <c r="AB274" t="s">
        <v>35214</v>
      </c>
      <c r="AC274" t="s">
        <v>34465</v>
      </c>
      <c r="AD274" t="s">
        <v>11496</v>
      </c>
      <c r="AF274" t="s">
        <v>35215</v>
      </c>
      <c r="AG274" t="s">
        <v>35216</v>
      </c>
    </row>
    <row r="275" spans="1:33" x14ac:dyDescent="0.25">
      <c r="A275" t="s">
        <v>34462</v>
      </c>
      <c r="B275" t="s">
        <v>1515</v>
      </c>
      <c r="C275" t="s">
        <v>1518</v>
      </c>
      <c r="D275">
        <v>18.989999999999998</v>
      </c>
      <c r="E275">
        <v>18.989999999999998</v>
      </c>
      <c r="F275">
        <v>143809</v>
      </c>
      <c r="G275">
        <v>91155</v>
      </c>
      <c r="H275">
        <v>19.93</v>
      </c>
      <c r="I275">
        <v>19.940000000000001</v>
      </c>
      <c r="J275">
        <v>0</v>
      </c>
      <c r="K275">
        <v>1</v>
      </c>
      <c r="L275">
        <v>3</v>
      </c>
      <c r="M275">
        <v>1</v>
      </c>
      <c r="N275">
        <v>4.2</v>
      </c>
      <c r="O275">
        <v>1</v>
      </c>
      <c r="P275">
        <v>32</v>
      </c>
      <c r="Q275">
        <v>6</v>
      </c>
      <c r="R275">
        <v>31</v>
      </c>
      <c r="S275" t="s">
        <v>35217</v>
      </c>
      <c r="U275">
        <v>9.9207900000000002E-2</v>
      </c>
      <c r="V275">
        <v>4.1500000000000004</v>
      </c>
      <c r="W275">
        <v>2.85</v>
      </c>
      <c r="X275" t="s">
        <v>1514</v>
      </c>
      <c r="Y275" t="s">
        <v>35218</v>
      </c>
      <c r="AB275" t="s">
        <v>35219</v>
      </c>
      <c r="AC275" t="s">
        <v>34465</v>
      </c>
      <c r="AD275" t="s">
        <v>28972</v>
      </c>
      <c r="AE275" t="s">
        <v>35220</v>
      </c>
      <c r="AF275" t="s">
        <v>35221</v>
      </c>
    </row>
    <row r="276" spans="1:33" x14ac:dyDescent="0.25">
      <c r="A276" t="s">
        <v>34462</v>
      </c>
      <c r="B276" t="s">
        <v>1520</v>
      </c>
      <c r="C276" t="s">
        <v>1522</v>
      </c>
      <c r="D276">
        <v>19.21</v>
      </c>
      <c r="E276">
        <v>19.21</v>
      </c>
      <c r="F276">
        <v>143249</v>
      </c>
      <c r="G276">
        <v>93605</v>
      </c>
      <c r="H276">
        <v>19.28</v>
      </c>
      <c r="I276">
        <v>19.64</v>
      </c>
      <c r="J276">
        <v>0</v>
      </c>
      <c r="K276">
        <v>1</v>
      </c>
      <c r="L276">
        <v>4</v>
      </c>
      <c r="M276">
        <v>3</v>
      </c>
      <c r="N276">
        <v>4.2</v>
      </c>
      <c r="O276">
        <v>1</v>
      </c>
      <c r="P276">
        <v>32</v>
      </c>
      <c r="Q276">
        <v>6</v>
      </c>
      <c r="R276">
        <v>33</v>
      </c>
      <c r="S276" t="s">
        <v>35217</v>
      </c>
      <c r="U276">
        <v>0.14991415999999999</v>
      </c>
      <c r="V276">
        <v>6.21</v>
      </c>
      <c r="W276">
        <v>2.88</v>
      </c>
      <c r="X276" t="s">
        <v>1519</v>
      </c>
      <c r="Y276" t="s">
        <v>35222</v>
      </c>
      <c r="AB276" t="s">
        <v>35223</v>
      </c>
      <c r="AC276" t="s">
        <v>34465</v>
      </c>
      <c r="AD276" t="s">
        <v>28972</v>
      </c>
      <c r="AE276" t="s">
        <v>35224</v>
      </c>
      <c r="AF276" t="s">
        <v>35225</v>
      </c>
    </row>
    <row r="277" spans="1:33" x14ac:dyDescent="0.25">
      <c r="A277" t="s">
        <v>34462</v>
      </c>
      <c r="B277" t="s">
        <v>1524</v>
      </c>
      <c r="C277" t="s">
        <v>1526</v>
      </c>
      <c r="D277">
        <v>26.98</v>
      </c>
      <c r="E277">
        <v>19.989999999999998</v>
      </c>
      <c r="F277">
        <v>143809</v>
      </c>
      <c r="G277">
        <v>87910</v>
      </c>
      <c r="H277">
        <v>21.72</v>
      </c>
      <c r="I277">
        <v>20.85</v>
      </c>
      <c r="J277">
        <v>0</v>
      </c>
      <c r="K277">
        <v>1</v>
      </c>
      <c r="L277">
        <v>2</v>
      </c>
      <c r="M277">
        <v>1</v>
      </c>
      <c r="N277">
        <v>4.2</v>
      </c>
      <c r="O277">
        <v>1</v>
      </c>
      <c r="P277">
        <v>32</v>
      </c>
      <c r="Q277">
        <v>5</v>
      </c>
      <c r="R277">
        <v>20</v>
      </c>
      <c r="S277" t="s">
        <v>35217</v>
      </c>
      <c r="U277">
        <v>0.20062041999999999</v>
      </c>
      <c r="V277">
        <v>7.8</v>
      </c>
      <c r="W277">
        <v>4.05</v>
      </c>
      <c r="X277" t="s">
        <v>1523</v>
      </c>
      <c r="Y277" t="s">
        <v>35226</v>
      </c>
      <c r="AA277" t="s">
        <v>145</v>
      </c>
      <c r="AB277" t="s">
        <v>35227</v>
      </c>
      <c r="AC277" t="s">
        <v>34465</v>
      </c>
      <c r="AD277" t="s">
        <v>28972</v>
      </c>
      <c r="AE277" t="s">
        <v>35228</v>
      </c>
      <c r="AF277" t="s">
        <v>35225</v>
      </c>
    </row>
    <row r="278" spans="1:33" x14ac:dyDescent="0.25">
      <c r="A278" t="s">
        <v>34462</v>
      </c>
      <c r="B278" t="s">
        <v>1528</v>
      </c>
      <c r="C278" t="s">
        <v>1530</v>
      </c>
      <c r="D278">
        <v>16.670000000000002</v>
      </c>
      <c r="E278">
        <v>16.670000000000002</v>
      </c>
      <c r="F278">
        <v>143809</v>
      </c>
      <c r="G278">
        <v>94393</v>
      </c>
      <c r="H278">
        <v>17.61</v>
      </c>
      <c r="I278">
        <v>18.79</v>
      </c>
      <c r="J278">
        <v>0</v>
      </c>
      <c r="K278">
        <v>1</v>
      </c>
      <c r="L278">
        <v>5</v>
      </c>
      <c r="M278">
        <v>4</v>
      </c>
      <c r="N278">
        <v>4.2</v>
      </c>
      <c r="O278">
        <v>4</v>
      </c>
      <c r="P278">
        <v>32</v>
      </c>
      <c r="Q278">
        <v>5</v>
      </c>
      <c r="R278">
        <v>30</v>
      </c>
      <c r="S278" t="s">
        <v>35217</v>
      </c>
      <c r="U278">
        <v>0.22046199999999999</v>
      </c>
      <c r="V278">
        <v>7.24</v>
      </c>
      <c r="W278">
        <v>2.5</v>
      </c>
      <c r="X278" t="s">
        <v>1527</v>
      </c>
      <c r="Y278" t="s">
        <v>35229</v>
      </c>
      <c r="AB278" t="s">
        <v>35230</v>
      </c>
      <c r="AC278" t="s">
        <v>34465</v>
      </c>
      <c r="AD278" t="s">
        <v>28972</v>
      </c>
      <c r="AE278" t="s">
        <v>35231</v>
      </c>
      <c r="AF278" t="s">
        <v>35225</v>
      </c>
    </row>
    <row r="279" spans="1:33" x14ac:dyDescent="0.25">
      <c r="A279" t="s">
        <v>34462</v>
      </c>
      <c r="B279" t="s">
        <v>1532</v>
      </c>
      <c r="C279" t="s">
        <v>1535</v>
      </c>
      <c r="D279">
        <v>29</v>
      </c>
      <c r="F279">
        <v>4764289</v>
      </c>
      <c r="G279">
        <v>4461926</v>
      </c>
      <c r="H279">
        <v>29</v>
      </c>
      <c r="I279">
        <v>29</v>
      </c>
      <c r="J279">
        <v>1</v>
      </c>
      <c r="K279">
        <v>1</v>
      </c>
      <c r="L279">
        <v>1</v>
      </c>
      <c r="N279">
        <v>4.4000000000000004</v>
      </c>
      <c r="O279">
        <v>21</v>
      </c>
      <c r="P279">
        <v>21</v>
      </c>
      <c r="Q279">
        <v>0</v>
      </c>
      <c r="R279">
        <v>0</v>
      </c>
      <c r="U279">
        <v>0.20062041999999999</v>
      </c>
      <c r="V279">
        <v>3.68</v>
      </c>
      <c r="X279" t="s">
        <v>1531</v>
      </c>
      <c r="Y279" t="s">
        <v>1537</v>
      </c>
      <c r="Z279" t="s">
        <v>1537</v>
      </c>
      <c r="AA279" t="s">
        <v>145</v>
      </c>
      <c r="AB279" t="s">
        <v>35232</v>
      </c>
      <c r="AC279" t="s">
        <v>34465</v>
      </c>
      <c r="AD279" t="s">
        <v>35233</v>
      </c>
      <c r="AF279" t="s">
        <v>35234</v>
      </c>
      <c r="AG279" t="s">
        <v>35235</v>
      </c>
    </row>
    <row r="280" spans="1:33" x14ac:dyDescent="0.25">
      <c r="A280" t="s">
        <v>34462</v>
      </c>
      <c r="B280" t="s">
        <v>1539</v>
      </c>
      <c r="C280" t="s">
        <v>1542</v>
      </c>
      <c r="D280">
        <v>59.99</v>
      </c>
      <c r="E280">
        <v>59.99</v>
      </c>
      <c r="F280">
        <v>6545</v>
      </c>
      <c r="G280">
        <v>3317</v>
      </c>
      <c r="H280">
        <v>55.85</v>
      </c>
      <c r="I280">
        <v>55.89</v>
      </c>
      <c r="J280">
        <v>0</v>
      </c>
      <c r="K280">
        <v>0</v>
      </c>
      <c r="L280">
        <v>1</v>
      </c>
      <c r="M280">
        <v>1</v>
      </c>
      <c r="N280">
        <v>4.5</v>
      </c>
      <c r="O280">
        <v>1</v>
      </c>
      <c r="P280">
        <v>16316</v>
      </c>
      <c r="Q280">
        <v>52</v>
      </c>
      <c r="R280">
        <v>152</v>
      </c>
      <c r="S280" t="s">
        <v>35236</v>
      </c>
      <c r="U280">
        <v>0.98326051999999997</v>
      </c>
      <c r="V280">
        <v>6.81</v>
      </c>
      <c r="W280">
        <v>10.199999999999999</v>
      </c>
      <c r="X280" t="s">
        <v>1538</v>
      </c>
      <c r="Y280" t="s">
        <v>1543</v>
      </c>
      <c r="Z280" t="s">
        <v>1543</v>
      </c>
      <c r="AA280" t="s">
        <v>1544</v>
      </c>
      <c r="AB280" t="s">
        <v>35237</v>
      </c>
      <c r="AC280" t="s">
        <v>34493</v>
      </c>
      <c r="AD280" t="s">
        <v>10970</v>
      </c>
      <c r="AE280" t="s">
        <v>34550</v>
      </c>
      <c r="AF280" t="s">
        <v>35238</v>
      </c>
      <c r="AG280" t="s">
        <v>35239</v>
      </c>
    </row>
    <row r="281" spans="1:33" x14ac:dyDescent="0.25">
      <c r="A281" t="s">
        <v>34462</v>
      </c>
      <c r="B281" t="s">
        <v>1546</v>
      </c>
      <c r="C281" t="s">
        <v>1548</v>
      </c>
      <c r="J281">
        <v>1</v>
      </c>
      <c r="K281">
        <v>1</v>
      </c>
      <c r="N281">
        <v>4.5999999999999996</v>
      </c>
      <c r="O281">
        <v>0</v>
      </c>
      <c r="P281">
        <v>49</v>
      </c>
      <c r="Q281">
        <v>0</v>
      </c>
      <c r="R281">
        <v>0</v>
      </c>
      <c r="U281">
        <v>1.4109567999999999</v>
      </c>
      <c r="V281">
        <v>7.83</v>
      </c>
      <c r="X281" t="s">
        <v>1545</v>
      </c>
      <c r="Y281" t="s">
        <v>1549</v>
      </c>
      <c r="Z281" t="s">
        <v>1549</v>
      </c>
      <c r="AB281" t="s">
        <v>35240</v>
      </c>
      <c r="AC281" t="s">
        <v>34465</v>
      </c>
      <c r="AD281" t="s">
        <v>10970</v>
      </c>
      <c r="AF281" t="s">
        <v>35241</v>
      </c>
      <c r="AG281" t="s">
        <v>35242</v>
      </c>
    </row>
    <row r="282" spans="1:33" x14ac:dyDescent="0.25">
      <c r="A282" t="s">
        <v>34462</v>
      </c>
      <c r="B282" t="s">
        <v>1551</v>
      </c>
      <c r="C282" t="s">
        <v>1554</v>
      </c>
      <c r="D282">
        <v>15</v>
      </c>
      <c r="E282">
        <v>15</v>
      </c>
      <c r="F282">
        <v>208593</v>
      </c>
      <c r="G282">
        <v>200335</v>
      </c>
      <c r="H282">
        <v>15</v>
      </c>
      <c r="I282">
        <v>15</v>
      </c>
      <c r="J282">
        <v>0.48</v>
      </c>
      <c r="K282">
        <v>1</v>
      </c>
      <c r="L282">
        <v>1</v>
      </c>
      <c r="M282">
        <v>1</v>
      </c>
      <c r="N282">
        <v>4.8</v>
      </c>
      <c r="O282">
        <v>6</v>
      </c>
      <c r="P282">
        <v>8</v>
      </c>
      <c r="Q282">
        <v>0</v>
      </c>
      <c r="R282">
        <v>0</v>
      </c>
      <c r="U282">
        <v>9.0389419999999998E-2</v>
      </c>
      <c r="V282">
        <v>3.9</v>
      </c>
      <c r="W282">
        <v>2.25</v>
      </c>
      <c r="X282" t="s">
        <v>1550</v>
      </c>
      <c r="Z282" t="s">
        <v>1555</v>
      </c>
      <c r="AA282" t="s">
        <v>1556</v>
      </c>
      <c r="AB282" t="s">
        <v>35243</v>
      </c>
      <c r="AC282" t="s">
        <v>34465</v>
      </c>
      <c r="AD282" t="s">
        <v>27698</v>
      </c>
      <c r="AE282" t="s">
        <v>34533</v>
      </c>
      <c r="AF282" t="s">
        <v>35244</v>
      </c>
    </row>
    <row r="283" spans="1:33" x14ac:dyDescent="0.25">
      <c r="A283" t="s">
        <v>34462</v>
      </c>
      <c r="B283" t="s">
        <v>1558</v>
      </c>
      <c r="C283" t="s">
        <v>1560</v>
      </c>
      <c r="F283">
        <v>182265</v>
      </c>
      <c r="G283">
        <v>176721</v>
      </c>
      <c r="J283">
        <v>1</v>
      </c>
      <c r="K283">
        <v>1</v>
      </c>
      <c r="N283">
        <v>4.5</v>
      </c>
      <c r="O283">
        <v>8</v>
      </c>
      <c r="P283">
        <v>9</v>
      </c>
      <c r="Q283">
        <v>0</v>
      </c>
      <c r="R283">
        <v>0</v>
      </c>
      <c r="U283">
        <v>9.0389419999999998E-2</v>
      </c>
      <c r="V283">
        <v>3.06</v>
      </c>
      <c r="X283" t="s">
        <v>1557</v>
      </c>
      <c r="Z283" t="s">
        <v>1561</v>
      </c>
      <c r="AA283" t="s">
        <v>1562</v>
      </c>
      <c r="AB283" t="s">
        <v>35245</v>
      </c>
      <c r="AC283" t="s">
        <v>34465</v>
      </c>
      <c r="AD283" t="s">
        <v>27698</v>
      </c>
      <c r="AE283" t="s">
        <v>34533</v>
      </c>
      <c r="AF283" t="s">
        <v>35246</v>
      </c>
    </row>
    <row r="284" spans="1:33" x14ac:dyDescent="0.25">
      <c r="A284" t="s">
        <v>34462</v>
      </c>
      <c r="B284" t="s">
        <v>1564</v>
      </c>
      <c r="C284" t="s">
        <v>1566</v>
      </c>
      <c r="D284">
        <v>15</v>
      </c>
      <c r="E284">
        <v>15</v>
      </c>
      <c r="F284">
        <v>211549</v>
      </c>
      <c r="G284">
        <v>203452</v>
      </c>
      <c r="H284">
        <v>15</v>
      </c>
      <c r="I284">
        <v>15</v>
      </c>
      <c r="J284">
        <v>0.49</v>
      </c>
      <c r="K284">
        <v>1</v>
      </c>
      <c r="L284">
        <v>1</v>
      </c>
      <c r="M284">
        <v>1</v>
      </c>
      <c r="N284">
        <v>3.9</v>
      </c>
      <c r="O284">
        <v>4</v>
      </c>
      <c r="P284">
        <v>5</v>
      </c>
      <c r="Q284">
        <v>0</v>
      </c>
      <c r="R284">
        <v>0</v>
      </c>
      <c r="U284">
        <v>9.0389419999999998E-2</v>
      </c>
      <c r="V284">
        <v>4.55</v>
      </c>
      <c r="W284">
        <v>2.25</v>
      </c>
      <c r="X284" t="s">
        <v>1563</v>
      </c>
      <c r="Z284" t="s">
        <v>1568</v>
      </c>
      <c r="AA284" t="s">
        <v>1556</v>
      </c>
      <c r="AB284" t="s">
        <v>35247</v>
      </c>
      <c r="AC284" t="s">
        <v>34465</v>
      </c>
      <c r="AD284" t="s">
        <v>27698</v>
      </c>
      <c r="AE284" t="s">
        <v>14701</v>
      </c>
      <c r="AF284" t="s">
        <v>35244</v>
      </c>
    </row>
    <row r="285" spans="1:33" x14ac:dyDescent="0.25">
      <c r="A285" t="s">
        <v>34462</v>
      </c>
      <c r="B285" t="s">
        <v>1570</v>
      </c>
      <c r="C285" t="s">
        <v>1572</v>
      </c>
      <c r="F285">
        <v>189603</v>
      </c>
      <c r="G285">
        <v>182926</v>
      </c>
      <c r="J285">
        <v>1</v>
      </c>
      <c r="K285">
        <v>1</v>
      </c>
      <c r="N285">
        <v>4.7</v>
      </c>
      <c r="P285">
        <v>7</v>
      </c>
      <c r="Q285">
        <v>0</v>
      </c>
      <c r="R285">
        <v>0</v>
      </c>
      <c r="U285">
        <v>0.110231</v>
      </c>
      <c r="V285">
        <v>3.86</v>
      </c>
      <c r="X285" t="s">
        <v>1569</v>
      </c>
      <c r="Z285" t="s">
        <v>1574</v>
      </c>
      <c r="AA285" t="s">
        <v>1562</v>
      </c>
      <c r="AB285" t="s">
        <v>35248</v>
      </c>
      <c r="AC285" t="s">
        <v>34465</v>
      </c>
      <c r="AD285" t="s">
        <v>27698</v>
      </c>
      <c r="AE285" t="s">
        <v>14701</v>
      </c>
      <c r="AF285" t="s">
        <v>35246</v>
      </c>
    </row>
    <row r="286" spans="1:33" x14ac:dyDescent="0.25">
      <c r="A286" t="s">
        <v>34462</v>
      </c>
      <c r="B286" t="s">
        <v>1576</v>
      </c>
      <c r="C286" t="s">
        <v>1578</v>
      </c>
      <c r="F286">
        <v>208831</v>
      </c>
      <c r="G286">
        <v>201003</v>
      </c>
      <c r="J286">
        <v>1</v>
      </c>
      <c r="K286">
        <v>1</v>
      </c>
      <c r="N286">
        <v>5</v>
      </c>
      <c r="O286">
        <v>8</v>
      </c>
      <c r="P286">
        <v>10</v>
      </c>
      <c r="Q286">
        <v>0</v>
      </c>
      <c r="R286">
        <v>0</v>
      </c>
      <c r="U286">
        <v>0.20062041999999999</v>
      </c>
      <c r="V286">
        <v>4.08</v>
      </c>
      <c r="X286" t="s">
        <v>1575</v>
      </c>
      <c r="Z286" t="s">
        <v>1580</v>
      </c>
      <c r="AA286" t="s">
        <v>1562</v>
      </c>
      <c r="AB286" t="s">
        <v>35249</v>
      </c>
      <c r="AC286" t="s">
        <v>34465</v>
      </c>
      <c r="AD286" t="s">
        <v>27698</v>
      </c>
      <c r="AE286" t="s">
        <v>34525</v>
      </c>
      <c r="AF286" t="s">
        <v>35246</v>
      </c>
    </row>
    <row r="287" spans="1:33" x14ac:dyDescent="0.25">
      <c r="A287" t="s">
        <v>34462</v>
      </c>
      <c r="B287" t="s">
        <v>1582</v>
      </c>
      <c r="C287" t="s">
        <v>1584</v>
      </c>
      <c r="D287">
        <v>15</v>
      </c>
      <c r="E287">
        <v>15</v>
      </c>
      <c r="F287">
        <v>234567</v>
      </c>
      <c r="G287">
        <v>225293</v>
      </c>
      <c r="H287">
        <v>15</v>
      </c>
      <c r="I287">
        <v>15</v>
      </c>
      <c r="J287">
        <v>0.48</v>
      </c>
      <c r="K287">
        <v>1</v>
      </c>
      <c r="L287">
        <v>1</v>
      </c>
      <c r="M287">
        <v>1</v>
      </c>
      <c r="N287">
        <v>5</v>
      </c>
      <c r="O287">
        <v>2</v>
      </c>
      <c r="P287">
        <v>2</v>
      </c>
      <c r="Q287">
        <v>0</v>
      </c>
      <c r="R287">
        <v>0</v>
      </c>
      <c r="U287">
        <v>0.18077884</v>
      </c>
      <c r="V287">
        <v>4.99</v>
      </c>
      <c r="W287">
        <v>2.25</v>
      </c>
      <c r="X287" t="s">
        <v>1581</v>
      </c>
      <c r="Y287" t="s">
        <v>35250</v>
      </c>
      <c r="Z287" t="s">
        <v>1585</v>
      </c>
      <c r="AA287" t="s">
        <v>1556</v>
      </c>
      <c r="AB287" t="s">
        <v>35251</v>
      </c>
      <c r="AC287" t="s">
        <v>34465</v>
      </c>
      <c r="AD287" t="s">
        <v>27698</v>
      </c>
      <c r="AE287" t="s">
        <v>34525</v>
      </c>
      <c r="AF287" t="s">
        <v>35252</v>
      </c>
    </row>
    <row r="288" spans="1:33" x14ac:dyDescent="0.25">
      <c r="A288" t="s">
        <v>34462</v>
      </c>
      <c r="B288" t="s">
        <v>1587</v>
      </c>
      <c r="C288" t="s">
        <v>1590</v>
      </c>
      <c r="J288">
        <v>1</v>
      </c>
      <c r="K288">
        <v>1</v>
      </c>
      <c r="Q288">
        <v>-1</v>
      </c>
      <c r="R288">
        <v>-1</v>
      </c>
      <c r="X288" t="s">
        <v>1586</v>
      </c>
      <c r="AB288" t="s">
        <v>35253</v>
      </c>
      <c r="AC288" t="s">
        <v>34465</v>
      </c>
      <c r="AD288" t="s">
        <v>35254</v>
      </c>
      <c r="AF288" t="s">
        <v>35255</v>
      </c>
    </row>
    <row r="289" spans="1:33" x14ac:dyDescent="0.25">
      <c r="A289" t="s">
        <v>34462</v>
      </c>
      <c r="B289" t="s">
        <v>1592</v>
      </c>
      <c r="C289" t="s">
        <v>1595</v>
      </c>
      <c r="D289">
        <v>21.99</v>
      </c>
      <c r="E289">
        <v>21.99</v>
      </c>
      <c r="H289">
        <v>21.99</v>
      </c>
      <c r="I289">
        <v>21.99</v>
      </c>
      <c r="J289">
        <v>0.4</v>
      </c>
      <c r="K289">
        <v>1</v>
      </c>
      <c r="L289">
        <v>1</v>
      </c>
      <c r="Q289">
        <v>-1</v>
      </c>
      <c r="R289">
        <v>-1</v>
      </c>
      <c r="U289">
        <v>2.7006595</v>
      </c>
      <c r="V289">
        <v>7.64</v>
      </c>
      <c r="W289">
        <v>3.3</v>
      </c>
      <c r="X289" t="s">
        <v>1591</v>
      </c>
      <c r="Y289" t="s">
        <v>1597</v>
      </c>
      <c r="Z289" t="s">
        <v>1597</v>
      </c>
      <c r="AA289" t="s">
        <v>1598</v>
      </c>
      <c r="AB289" t="s">
        <v>35256</v>
      </c>
      <c r="AC289" t="s">
        <v>34465</v>
      </c>
      <c r="AD289" t="s">
        <v>18241</v>
      </c>
      <c r="AE289" t="s">
        <v>35257</v>
      </c>
      <c r="AF289" t="s">
        <v>35258</v>
      </c>
      <c r="AG289" t="s">
        <v>35259</v>
      </c>
    </row>
    <row r="290" spans="1:33" x14ac:dyDescent="0.25">
      <c r="A290" t="s">
        <v>34462</v>
      </c>
      <c r="B290" t="s">
        <v>1600</v>
      </c>
      <c r="C290" t="s">
        <v>1603</v>
      </c>
      <c r="D290">
        <v>48.74</v>
      </c>
      <c r="E290">
        <v>39.950000000000003</v>
      </c>
      <c r="F290">
        <v>266073</v>
      </c>
      <c r="G290">
        <v>529726</v>
      </c>
      <c r="H290">
        <v>47.28</v>
      </c>
      <c r="I290">
        <v>51.21</v>
      </c>
      <c r="J290">
        <v>0</v>
      </c>
      <c r="K290">
        <v>0</v>
      </c>
      <c r="L290">
        <v>2</v>
      </c>
      <c r="M290">
        <v>2</v>
      </c>
      <c r="N290">
        <v>4.4000000000000004</v>
      </c>
      <c r="O290">
        <v>1</v>
      </c>
      <c r="P290">
        <v>19</v>
      </c>
      <c r="Q290">
        <v>10</v>
      </c>
      <c r="R290">
        <v>38</v>
      </c>
      <c r="S290" t="s">
        <v>35260</v>
      </c>
      <c r="U290">
        <v>1.0361714</v>
      </c>
      <c r="V290">
        <v>6.67</v>
      </c>
      <c r="W290">
        <v>8.2899999999999991</v>
      </c>
      <c r="X290" t="s">
        <v>1599</v>
      </c>
      <c r="Y290" t="s">
        <v>1604</v>
      </c>
      <c r="Z290" t="s">
        <v>1604</v>
      </c>
      <c r="AA290" t="s">
        <v>1605</v>
      </c>
      <c r="AB290" t="s">
        <v>35261</v>
      </c>
      <c r="AC290" t="s">
        <v>34493</v>
      </c>
      <c r="AD290" t="s">
        <v>9232</v>
      </c>
      <c r="AE290" t="s">
        <v>34533</v>
      </c>
      <c r="AF290" t="s">
        <v>35262</v>
      </c>
      <c r="AG290" t="s">
        <v>35263</v>
      </c>
    </row>
    <row r="291" spans="1:33" x14ac:dyDescent="0.25">
      <c r="A291" t="s">
        <v>34462</v>
      </c>
      <c r="B291" t="s">
        <v>1607</v>
      </c>
      <c r="C291" t="s">
        <v>1609</v>
      </c>
      <c r="D291">
        <v>29.7</v>
      </c>
      <c r="E291">
        <v>29.7</v>
      </c>
      <c r="F291">
        <v>321581</v>
      </c>
      <c r="G291">
        <v>612622</v>
      </c>
      <c r="H291">
        <v>36.86</v>
      </c>
      <c r="I291">
        <v>38.83</v>
      </c>
      <c r="J291">
        <v>0</v>
      </c>
      <c r="K291">
        <v>0.38</v>
      </c>
      <c r="L291">
        <v>5</v>
      </c>
      <c r="M291">
        <v>3</v>
      </c>
      <c r="N291">
        <v>4.4000000000000004</v>
      </c>
      <c r="O291">
        <v>0</v>
      </c>
      <c r="P291">
        <v>18</v>
      </c>
      <c r="Q291">
        <v>11</v>
      </c>
      <c r="R291">
        <v>36</v>
      </c>
      <c r="S291" t="s">
        <v>35260</v>
      </c>
      <c r="U291">
        <v>1.0361714</v>
      </c>
      <c r="V291">
        <v>6.81</v>
      </c>
      <c r="W291">
        <v>5.05</v>
      </c>
      <c r="X291" t="s">
        <v>1606</v>
      </c>
      <c r="Y291" t="s">
        <v>1604</v>
      </c>
      <c r="Z291" t="s">
        <v>1604</v>
      </c>
      <c r="AA291" t="s">
        <v>1610</v>
      </c>
      <c r="AB291" t="s">
        <v>35264</v>
      </c>
      <c r="AC291" t="s">
        <v>34465</v>
      </c>
      <c r="AD291" t="s">
        <v>9232</v>
      </c>
      <c r="AE291" t="s">
        <v>14701</v>
      </c>
      <c r="AF291" t="s">
        <v>35265</v>
      </c>
      <c r="AG291" t="s">
        <v>35263</v>
      </c>
    </row>
    <row r="292" spans="1:33" x14ac:dyDescent="0.25">
      <c r="A292" t="s">
        <v>34462</v>
      </c>
      <c r="B292" t="s">
        <v>1612</v>
      </c>
      <c r="C292" t="s">
        <v>1615</v>
      </c>
      <c r="D292">
        <v>91.54</v>
      </c>
      <c r="E292">
        <v>91.54</v>
      </c>
      <c r="F292">
        <v>2197019</v>
      </c>
      <c r="G292">
        <v>5741207</v>
      </c>
      <c r="H292">
        <v>118.59</v>
      </c>
      <c r="I292">
        <v>106.71</v>
      </c>
      <c r="J292">
        <v>0</v>
      </c>
      <c r="K292">
        <v>0</v>
      </c>
      <c r="L292">
        <v>1</v>
      </c>
      <c r="M292">
        <v>1</v>
      </c>
      <c r="N292">
        <v>4.5</v>
      </c>
      <c r="P292">
        <v>2</v>
      </c>
      <c r="Q292">
        <v>3</v>
      </c>
      <c r="R292">
        <v>3</v>
      </c>
      <c r="S292" t="s">
        <v>35266</v>
      </c>
      <c r="U292">
        <v>1.64905576</v>
      </c>
      <c r="V292">
        <v>13.41</v>
      </c>
      <c r="W292">
        <v>15.56</v>
      </c>
      <c r="X292" t="s">
        <v>1611</v>
      </c>
      <c r="Y292" t="s">
        <v>1616</v>
      </c>
      <c r="Z292" t="s">
        <v>1616</v>
      </c>
      <c r="AA292" t="s">
        <v>700</v>
      </c>
      <c r="AB292" t="s">
        <v>35267</v>
      </c>
      <c r="AC292" t="s">
        <v>34493</v>
      </c>
      <c r="AD292" t="s">
        <v>34796</v>
      </c>
      <c r="AE292" t="s">
        <v>34533</v>
      </c>
      <c r="AF292" t="s">
        <v>35268</v>
      </c>
      <c r="AG292" t="s">
        <v>35269</v>
      </c>
    </row>
    <row r="293" spans="1:33" x14ac:dyDescent="0.25">
      <c r="A293" t="s">
        <v>34462</v>
      </c>
      <c r="B293" t="s">
        <v>1618</v>
      </c>
      <c r="C293" t="s">
        <v>1620</v>
      </c>
      <c r="D293">
        <v>55.12</v>
      </c>
      <c r="E293">
        <v>55.12</v>
      </c>
      <c r="F293">
        <v>2197019</v>
      </c>
      <c r="G293">
        <v>2050077</v>
      </c>
      <c r="H293">
        <v>85.8</v>
      </c>
      <c r="I293">
        <v>89.83</v>
      </c>
      <c r="J293">
        <v>0</v>
      </c>
      <c r="K293">
        <v>0</v>
      </c>
      <c r="L293">
        <v>1</v>
      </c>
      <c r="M293">
        <v>1</v>
      </c>
      <c r="N293">
        <v>4.5</v>
      </c>
      <c r="O293">
        <v>0</v>
      </c>
      <c r="P293">
        <v>2</v>
      </c>
      <c r="Q293">
        <v>3</v>
      </c>
      <c r="R293">
        <v>4</v>
      </c>
      <c r="S293" t="s">
        <v>35266</v>
      </c>
      <c r="U293">
        <v>1.64905576</v>
      </c>
      <c r="V293">
        <v>16.829999999999998</v>
      </c>
      <c r="W293">
        <v>9.3699999999999992</v>
      </c>
      <c r="X293" t="s">
        <v>1617</v>
      </c>
      <c r="Y293" t="s">
        <v>1616</v>
      </c>
      <c r="Z293" t="s">
        <v>1616</v>
      </c>
      <c r="AA293" t="s">
        <v>1622</v>
      </c>
      <c r="AB293" t="s">
        <v>35270</v>
      </c>
      <c r="AC293" t="s">
        <v>34493</v>
      </c>
      <c r="AD293" t="s">
        <v>34796</v>
      </c>
      <c r="AE293" t="s">
        <v>34533</v>
      </c>
      <c r="AF293" t="s">
        <v>35271</v>
      </c>
      <c r="AG293" t="s">
        <v>35269</v>
      </c>
    </row>
    <row r="294" spans="1:33" x14ac:dyDescent="0.25">
      <c r="A294" t="s">
        <v>34462</v>
      </c>
      <c r="B294" t="s">
        <v>1624</v>
      </c>
      <c r="C294" t="s">
        <v>1626</v>
      </c>
      <c r="D294">
        <v>110.08</v>
      </c>
      <c r="F294">
        <v>2197019</v>
      </c>
      <c r="G294">
        <v>2268517</v>
      </c>
      <c r="I294">
        <v>110.08</v>
      </c>
      <c r="J294">
        <v>1</v>
      </c>
      <c r="K294">
        <v>1</v>
      </c>
      <c r="Q294">
        <v>0</v>
      </c>
      <c r="R294">
        <v>1</v>
      </c>
      <c r="S294" t="s">
        <v>35266</v>
      </c>
      <c r="U294">
        <v>1.64905576</v>
      </c>
      <c r="V294">
        <v>16.829999999999998</v>
      </c>
      <c r="X294" t="s">
        <v>1623</v>
      </c>
      <c r="Y294" t="s">
        <v>1616</v>
      </c>
      <c r="Z294" t="s">
        <v>1616</v>
      </c>
      <c r="AA294" t="s">
        <v>1627</v>
      </c>
      <c r="AB294" t="s">
        <v>35272</v>
      </c>
      <c r="AC294" t="s">
        <v>34465</v>
      </c>
      <c r="AD294" t="s">
        <v>34796</v>
      </c>
      <c r="AE294" t="s">
        <v>34533</v>
      </c>
      <c r="AF294" t="s">
        <v>35273</v>
      </c>
      <c r="AG294" t="s">
        <v>35269</v>
      </c>
    </row>
    <row r="295" spans="1:33" x14ac:dyDescent="0.25">
      <c r="A295" t="s">
        <v>34462</v>
      </c>
      <c r="B295" t="s">
        <v>1629</v>
      </c>
      <c r="C295" t="s">
        <v>1631</v>
      </c>
      <c r="F295">
        <v>2197019</v>
      </c>
      <c r="G295">
        <v>2047365</v>
      </c>
      <c r="J295">
        <v>1</v>
      </c>
      <c r="K295">
        <v>1</v>
      </c>
      <c r="O295">
        <v>0</v>
      </c>
      <c r="Q295">
        <v>2</v>
      </c>
      <c r="R295">
        <v>3</v>
      </c>
      <c r="S295" t="s">
        <v>35266</v>
      </c>
      <c r="U295">
        <v>1.64905576</v>
      </c>
      <c r="V295">
        <v>13.41</v>
      </c>
      <c r="X295" t="s">
        <v>1628</v>
      </c>
      <c r="Y295" t="s">
        <v>1616</v>
      </c>
      <c r="Z295" t="s">
        <v>1616</v>
      </c>
      <c r="AA295" t="s">
        <v>700</v>
      </c>
      <c r="AB295" t="s">
        <v>35274</v>
      </c>
      <c r="AC295" t="s">
        <v>34465</v>
      </c>
      <c r="AD295" t="s">
        <v>34796</v>
      </c>
      <c r="AE295" t="s">
        <v>14701</v>
      </c>
      <c r="AF295" t="s">
        <v>35268</v>
      </c>
      <c r="AG295" t="s">
        <v>35269</v>
      </c>
    </row>
    <row r="296" spans="1:33" x14ac:dyDescent="0.25">
      <c r="A296" t="s">
        <v>34462</v>
      </c>
      <c r="B296" t="s">
        <v>1633</v>
      </c>
      <c r="C296" t="s">
        <v>1635</v>
      </c>
      <c r="D296">
        <v>55.12</v>
      </c>
      <c r="E296">
        <v>55.12</v>
      </c>
      <c r="F296">
        <v>2176531</v>
      </c>
      <c r="G296">
        <v>2090072</v>
      </c>
      <c r="H296">
        <v>99.84</v>
      </c>
      <c r="I296">
        <v>97.61</v>
      </c>
      <c r="J296">
        <v>0</v>
      </c>
      <c r="K296">
        <v>0</v>
      </c>
      <c r="L296">
        <v>1</v>
      </c>
      <c r="M296">
        <v>1</v>
      </c>
      <c r="N296">
        <v>4.5</v>
      </c>
      <c r="O296">
        <v>1</v>
      </c>
      <c r="P296">
        <v>2</v>
      </c>
      <c r="Q296">
        <v>3</v>
      </c>
      <c r="R296">
        <v>4</v>
      </c>
      <c r="S296" t="s">
        <v>35266</v>
      </c>
      <c r="U296">
        <v>1.64905576</v>
      </c>
      <c r="V296">
        <v>14.17</v>
      </c>
      <c r="W296">
        <v>9.3699999999999992</v>
      </c>
      <c r="X296" t="s">
        <v>1632</v>
      </c>
      <c r="Y296" t="s">
        <v>1616</v>
      </c>
      <c r="Z296" t="s">
        <v>1616</v>
      </c>
      <c r="AA296" t="s">
        <v>1622</v>
      </c>
      <c r="AB296" t="s">
        <v>35275</v>
      </c>
      <c r="AC296" t="s">
        <v>34493</v>
      </c>
      <c r="AD296" t="s">
        <v>34796</v>
      </c>
      <c r="AE296" t="s">
        <v>14701</v>
      </c>
      <c r="AF296" t="s">
        <v>35271</v>
      </c>
      <c r="AG296" t="s">
        <v>35269</v>
      </c>
    </row>
    <row r="297" spans="1:33" x14ac:dyDescent="0.25">
      <c r="A297" t="s">
        <v>34462</v>
      </c>
      <c r="B297" t="s">
        <v>1637</v>
      </c>
      <c r="C297" t="s">
        <v>1639</v>
      </c>
      <c r="D297">
        <v>110.43</v>
      </c>
      <c r="F297">
        <v>2197019</v>
      </c>
      <c r="G297">
        <v>2472463</v>
      </c>
      <c r="I297">
        <v>110.43</v>
      </c>
      <c r="J297">
        <v>1</v>
      </c>
      <c r="K297">
        <v>1</v>
      </c>
      <c r="Q297">
        <v>0</v>
      </c>
      <c r="R297">
        <v>0</v>
      </c>
      <c r="S297" t="s">
        <v>35266</v>
      </c>
      <c r="U297">
        <v>1.64905576</v>
      </c>
      <c r="V297">
        <v>16.829999999999998</v>
      </c>
      <c r="X297" t="s">
        <v>1636</v>
      </c>
      <c r="Y297" t="s">
        <v>1616</v>
      </c>
      <c r="Z297" t="s">
        <v>1616</v>
      </c>
      <c r="AA297" t="s">
        <v>1627</v>
      </c>
      <c r="AB297" t="s">
        <v>35276</v>
      </c>
      <c r="AC297" t="s">
        <v>34465</v>
      </c>
      <c r="AD297" t="s">
        <v>34796</v>
      </c>
      <c r="AE297" t="s">
        <v>14701</v>
      </c>
      <c r="AF297" t="s">
        <v>35273</v>
      </c>
      <c r="AG297" t="s">
        <v>35269</v>
      </c>
    </row>
    <row r="298" spans="1:33" x14ac:dyDescent="0.25">
      <c r="A298" t="s">
        <v>34462</v>
      </c>
      <c r="B298" t="s">
        <v>1641</v>
      </c>
      <c r="C298" t="s">
        <v>1643</v>
      </c>
      <c r="D298">
        <v>87.01</v>
      </c>
      <c r="F298">
        <v>2197019</v>
      </c>
      <c r="G298">
        <v>2177696</v>
      </c>
      <c r="H298">
        <v>87.01</v>
      </c>
      <c r="I298">
        <v>88.56</v>
      </c>
      <c r="J298">
        <v>0.17</v>
      </c>
      <c r="K298">
        <v>0.17</v>
      </c>
      <c r="L298">
        <v>1</v>
      </c>
      <c r="M298">
        <v>1</v>
      </c>
      <c r="Q298">
        <v>2</v>
      </c>
      <c r="R298">
        <v>4</v>
      </c>
      <c r="S298" t="s">
        <v>35266</v>
      </c>
      <c r="U298">
        <v>1.64905576</v>
      </c>
      <c r="V298">
        <v>16.829999999999998</v>
      </c>
      <c r="X298" t="s">
        <v>1640</v>
      </c>
      <c r="Y298" t="s">
        <v>1616</v>
      </c>
      <c r="Z298" t="s">
        <v>1616</v>
      </c>
      <c r="AA298" t="s">
        <v>76</v>
      </c>
      <c r="AB298" t="s">
        <v>35277</v>
      </c>
      <c r="AC298" t="s">
        <v>34465</v>
      </c>
      <c r="AD298" t="s">
        <v>34796</v>
      </c>
      <c r="AE298" t="s">
        <v>14701</v>
      </c>
      <c r="AF298" t="s">
        <v>35278</v>
      </c>
      <c r="AG298" t="s">
        <v>35269</v>
      </c>
    </row>
    <row r="299" spans="1:33" x14ac:dyDescent="0.25">
      <c r="A299" t="s">
        <v>34462</v>
      </c>
      <c r="B299" t="s">
        <v>1646</v>
      </c>
      <c r="C299" t="s">
        <v>1648</v>
      </c>
      <c r="D299">
        <v>91.64</v>
      </c>
      <c r="E299">
        <v>91.64</v>
      </c>
      <c r="F299">
        <v>2166121</v>
      </c>
      <c r="G299">
        <v>2041989</v>
      </c>
      <c r="H299">
        <v>105.62</v>
      </c>
      <c r="I299">
        <v>109.16</v>
      </c>
      <c r="J299">
        <v>0</v>
      </c>
      <c r="K299">
        <v>0</v>
      </c>
      <c r="L299">
        <v>1</v>
      </c>
      <c r="M299">
        <v>1</v>
      </c>
      <c r="N299">
        <v>4.5</v>
      </c>
      <c r="O299">
        <v>0</v>
      </c>
      <c r="P299">
        <v>2</v>
      </c>
      <c r="Q299">
        <v>2</v>
      </c>
      <c r="R299">
        <v>4</v>
      </c>
      <c r="S299" t="s">
        <v>35266</v>
      </c>
      <c r="U299">
        <v>1.64905576</v>
      </c>
      <c r="V299">
        <v>13.41</v>
      </c>
      <c r="W299">
        <v>15.58</v>
      </c>
      <c r="X299" t="s">
        <v>1645</v>
      </c>
      <c r="Y299" t="s">
        <v>1616</v>
      </c>
      <c r="Z299" t="s">
        <v>1616</v>
      </c>
      <c r="AA299" t="s">
        <v>700</v>
      </c>
      <c r="AB299" t="s">
        <v>35279</v>
      </c>
      <c r="AC299" t="s">
        <v>34493</v>
      </c>
      <c r="AD299" t="s">
        <v>34796</v>
      </c>
      <c r="AE299" t="s">
        <v>34525</v>
      </c>
      <c r="AF299" t="s">
        <v>35268</v>
      </c>
      <c r="AG299" t="s">
        <v>35269</v>
      </c>
    </row>
    <row r="300" spans="1:33" x14ac:dyDescent="0.25">
      <c r="A300" t="s">
        <v>34462</v>
      </c>
      <c r="B300" t="s">
        <v>1650</v>
      </c>
      <c r="C300" t="s">
        <v>1652</v>
      </c>
      <c r="D300">
        <v>89.81</v>
      </c>
      <c r="E300">
        <v>89.81</v>
      </c>
      <c r="F300">
        <v>2197019</v>
      </c>
      <c r="G300">
        <v>5511483</v>
      </c>
      <c r="H300">
        <v>111.23</v>
      </c>
      <c r="I300">
        <v>110.57</v>
      </c>
      <c r="J300">
        <v>0</v>
      </c>
      <c r="K300">
        <v>0</v>
      </c>
      <c r="L300">
        <v>1</v>
      </c>
      <c r="M300">
        <v>1</v>
      </c>
      <c r="N300">
        <v>4.5</v>
      </c>
      <c r="P300">
        <v>2</v>
      </c>
      <c r="Q300">
        <v>3</v>
      </c>
      <c r="R300">
        <v>3</v>
      </c>
      <c r="S300" t="s">
        <v>35266</v>
      </c>
      <c r="U300">
        <v>1.6997620200000001</v>
      </c>
      <c r="V300">
        <v>14.17</v>
      </c>
      <c r="W300">
        <v>15.27</v>
      </c>
      <c r="X300" t="s">
        <v>1649</v>
      </c>
      <c r="Y300" t="s">
        <v>1616</v>
      </c>
      <c r="Z300" t="s">
        <v>1616</v>
      </c>
      <c r="AA300" t="s">
        <v>1627</v>
      </c>
      <c r="AB300" t="s">
        <v>35280</v>
      </c>
      <c r="AC300" t="s">
        <v>34493</v>
      </c>
      <c r="AD300" t="s">
        <v>34796</v>
      </c>
      <c r="AE300" t="s">
        <v>34525</v>
      </c>
      <c r="AF300" t="s">
        <v>35273</v>
      </c>
      <c r="AG300" t="s">
        <v>35269</v>
      </c>
    </row>
    <row r="301" spans="1:33" x14ac:dyDescent="0.25">
      <c r="A301" t="s">
        <v>34462</v>
      </c>
      <c r="B301" t="s">
        <v>1654</v>
      </c>
      <c r="C301" t="s">
        <v>1656</v>
      </c>
      <c r="D301">
        <v>107.08</v>
      </c>
      <c r="F301">
        <v>2197019</v>
      </c>
      <c r="G301">
        <v>2074190</v>
      </c>
      <c r="I301">
        <v>107.08</v>
      </c>
      <c r="J301">
        <v>1</v>
      </c>
      <c r="K301">
        <v>1</v>
      </c>
      <c r="Q301">
        <v>1</v>
      </c>
      <c r="R301">
        <v>2</v>
      </c>
      <c r="S301" t="s">
        <v>35266</v>
      </c>
      <c r="U301">
        <v>1.64905576</v>
      </c>
      <c r="V301">
        <v>13.41</v>
      </c>
      <c r="X301" t="s">
        <v>1653</v>
      </c>
      <c r="Y301" t="s">
        <v>1616</v>
      </c>
      <c r="Z301" t="s">
        <v>1616</v>
      </c>
      <c r="AA301" t="s">
        <v>700</v>
      </c>
      <c r="AB301" t="s">
        <v>35281</v>
      </c>
      <c r="AC301" t="s">
        <v>34465</v>
      </c>
      <c r="AD301" t="s">
        <v>34796</v>
      </c>
      <c r="AE301" t="s">
        <v>34649</v>
      </c>
      <c r="AF301" t="s">
        <v>35268</v>
      </c>
      <c r="AG301" t="s">
        <v>35269</v>
      </c>
    </row>
    <row r="302" spans="1:33" x14ac:dyDescent="0.25">
      <c r="A302" t="s">
        <v>34462</v>
      </c>
      <c r="B302" t="s">
        <v>1658</v>
      </c>
      <c r="C302" t="s">
        <v>1660</v>
      </c>
      <c r="D302">
        <v>55.12</v>
      </c>
      <c r="E302">
        <v>55.12</v>
      </c>
      <c r="F302">
        <v>2197019</v>
      </c>
      <c r="G302">
        <v>2069140</v>
      </c>
      <c r="H302">
        <v>94.54</v>
      </c>
      <c r="I302">
        <v>98.77</v>
      </c>
      <c r="J302">
        <v>0</v>
      </c>
      <c r="K302">
        <v>0</v>
      </c>
      <c r="L302">
        <v>1</v>
      </c>
      <c r="M302">
        <v>1</v>
      </c>
      <c r="N302">
        <v>4.5</v>
      </c>
      <c r="O302">
        <v>0</v>
      </c>
      <c r="P302">
        <v>2</v>
      </c>
      <c r="Q302">
        <v>3</v>
      </c>
      <c r="R302">
        <v>5</v>
      </c>
      <c r="S302" t="s">
        <v>35266</v>
      </c>
      <c r="U302">
        <v>1.64905576</v>
      </c>
      <c r="V302">
        <v>16.829999999999998</v>
      </c>
      <c r="W302">
        <v>9.3699999999999992</v>
      </c>
      <c r="X302" t="s">
        <v>1657</v>
      </c>
      <c r="Y302" t="s">
        <v>1616</v>
      </c>
      <c r="Z302" t="s">
        <v>1616</v>
      </c>
      <c r="AA302" t="s">
        <v>1622</v>
      </c>
      <c r="AB302" t="s">
        <v>35282</v>
      </c>
      <c r="AC302" t="s">
        <v>34493</v>
      </c>
      <c r="AD302" t="s">
        <v>34796</v>
      </c>
      <c r="AE302" t="s">
        <v>34649</v>
      </c>
      <c r="AF302" t="s">
        <v>35271</v>
      </c>
      <c r="AG302" t="s">
        <v>35269</v>
      </c>
    </row>
    <row r="303" spans="1:33" x14ac:dyDescent="0.25">
      <c r="A303" t="s">
        <v>34462</v>
      </c>
      <c r="B303" t="s">
        <v>1662</v>
      </c>
      <c r="C303" t="s">
        <v>1664</v>
      </c>
      <c r="D303">
        <v>99.58</v>
      </c>
      <c r="E303">
        <v>99.58</v>
      </c>
      <c r="F303">
        <v>2197019</v>
      </c>
      <c r="G303">
        <v>2065355</v>
      </c>
      <c r="H303">
        <v>119.35</v>
      </c>
      <c r="I303">
        <v>116.43</v>
      </c>
      <c r="J303">
        <v>0</v>
      </c>
      <c r="K303">
        <v>0</v>
      </c>
      <c r="L303">
        <v>1</v>
      </c>
      <c r="M303">
        <v>1</v>
      </c>
      <c r="N303">
        <v>4.5</v>
      </c>
      <c r="O303">
        <v>0</v>
      </c>
      <c r="P303">
        <v>2</v>
      </c>
      <c r="Q303">
        <v>2</v>
      </c>
      <c r="R303">
        <v>3</v>
      </c>
      <c r="S303" t="s">
        <v>35266</v>
      </c>
      <c r="U303">
        <v>1.75046828</v>
      </c>
      <c r="V303">
        <v>14.17</v>
      </c>
      <c r="W303">
        <v>16.93</v>
      </c>
      <c r="X303" t="s">
        <v>1661</v>
      </c>
      <c r="Y303" t="s">
        <v>1616</v>
      </c>
      <c r="Z303" t="s">
        <v>1616</v>
      </c>
      <c r="AA303" t="s">
        <v>1627</v>
      </c>
      <c r="AB303" t="s">
        <v>35283</v>
      </c>
      <c r="AC303" t="s">
        <v>34493</v>
      </c>
      <c r="AD303" t="s">
        <v>34796</v>
      </c>
      <c r="AE303" t="s">
        <v>34649</v>
      </c>
      <c r="AF303" t="s">
        <v>35273</v>
      </c>
      <c r="AG303" t="s">
        <v>35269</v>
      </c>
    </row>
    <row r="304" spans="1:33" x14ac:dyDescent="0.25">
      <c r="A304" t="s">
        <v>34462</v>
      </c>
      <c r="B304" t="s">
        <v>1666</v>
      </c>
      <c r="C304" t="s">
        <v>1669</v>
      </c>
      <c r="D304">
        <v>24.51</v>
      </c>
      <c r="E304">
        <v>24.51</v>
      </c>
      <c r="F304">
        <v>1148603</v>
      </c>
      <c r="G304">
        <v>670274</v>
      </c>
      <c r="H304">
        <v>26.09</v>
      </c>
      <c r="I304">
        <v>23.21</v>
      </c>
      <c r="J304">
        <v>0</v>
      </c>
      <c r="K304">
        <v>0</v>
      </c>
      <c r="L304">
        <v>2</v>
      </c>
      <c r="M304">
        <v>2</v>
      </c>
      <c r="N304">
        <v>4.7</v>
      </c>
      <c r="O304">
        <v>0</v>
      </c>
      <c r="P304">
        <v>17</v>
      </c>
      <c r="Q304">
        <v>7</v>
      </c>
      <c r="R304">
        <v>26</v>
      </c>
      <c r="S304" t="s">
        <v>35284</v>
      </c>
      <c r="U304">
        <v>0.3086468</v>
      </c>
      <c r="V304">
        <v>5.12</v>
      </c>
      <c r="W304">
        <v>4.17</v>
      </c>
      <c r="X304" t="s">
        <v>1665</v>
      </c>
      <c r="Y304" t="s">
        <v>1670</v>
      </c>
      <c r="Z304" t="s">
        <v>1670</v>
      </c>
      <c r="AA304" t="s">
        <v>1352</v>
      </c>
      <c r="AB304" t="s">
        <v>35285</v>
      </c>
      <c r="AC304" t="s">
        <v>34493</v>
      </c>
      <c r="AD304" t="s">
        <v>11335</v>
      </c>
      <c r="AE304" t="s">
        <v>34474</v>
      </c>
      <c r="AF304" t="s">
        <v>35286</v>
      </c>
      <c r="AG304" t="s">
        <v>35287</v>
      </c>
    </row>
    <row r="305" spans="1:33" x14ac:dyDescent="0.25">
      <c r="A305" t="s">
        <v>34462</v>
      </c>
      <c r="B305" t="s">
        <v>1672</v>
      </c>
      <c r="C305" t="s">
        <v>1674</v>
      </c>
      <c r="D305">
        <v>23.89</v>
      </c>
      <c r="E305">
        <v>23.89</v>
      </c>
      <c r="F305">
        <v>1115319</v>
      </c>
      <c r="G305">
        <v>688802</v>
      </c>
      <c r="I305">
        <v>21.06</v>
      </c>
      <c r="J305">
        <v>0.21</v>
      </c>
      <c r="K305">
        <v>1</v>
      </c>
      <c r="L305">
        <v>2</v>
      </c>
      <c r="M305">
        <v>1</v>
      </c>
      <c r="N305">
        <v>4.7</v>
      </c>
      <c r="O305">
        <v>0</v>
      </c>
      <c r="P305">
        <v>17</v>
      </c>
      <c r="Q305">
        <v>8</v>
      </c>
      <c r="R305">
        <v>26</v>
      </c>
      <c r="S305" t="s">
        <v>35284</v>
      </c>
      <c r="U305">
        <v>0.32187452</v>
      </c>
      <c r="V305">
        <v>5.12</v>
      </c>
      <c r="X305" t="s">
        <v>1671</v>
      </c>
      <c r="Y305" t="s">
        <v>1670</v>
      </c>
      <c r="Z305" t="s">
        <v>1670</v>
      </c>
      <c r="AA305" t="s">
        <v>1675</v>
      </c>
      <c r="AB305" t="s">
        <v>35288</v>
      </c>
      <c r="AC305" t="s">
        <v>34465</v>
      </c>
      <c r="AD305" t="s">
        <v>11335</v>
      </c>
      <c r="AE305" t="s">
        <v>34474</v>
      </c>
      <c r="AF305" t="s">
        <v>35289</v>
      </c>
      <c r="AG305" t="s">
        <v>35287</v>
      </c>
    </row>
    <row r="306" spans="1:33" x14ac:dyDescent="0.25">
      <c r="A306" t="s">
        <v>34462</v>
      </c>
      <c r="B306" t="s">
        <v>1677</v>
      </c>
      <c r="C306" t="s">
        <v>1680</v>
      </c>
      <c r="D306">
        <v>11.99</v>
      </c>
      <c r="E306">
        <v>11.99</v>
      </c>
      <c r="F306">
        <v>5158076</v>
      </c>
      <c r="G306">
        <v>4321634</v>
      </c>
      <c r="H306">
        <v>10.6</v>
      </c>
      <c r="I306">
        <v>11.56</v>
      </c>
      <c r="J306">
        <v>0</v>
      </c>
      <c r="K306">
        <v>0.42</v>
      </c>
      <c r="L306">
        <v>3</v>
      </c>
      <c r="M306">
        <v>3</v>
      </c>
      <c r="Q306">
        <v>0</v>
      </c>
      <c r="R306">
        <v>1</v>
      </c>
      <c r="U306">
        <v>1.9797487600000001</v>
      </c>
      <c r="V306">
        <v>7.4</v>
      </c>
      <c r="W306">
        <v>1.8</v>
      </c>
      <c r="X306" t="s">
        <v>1676</v>
      </c>
      <c r="Y306" t="s">
        <v>1682</v>
      </c>
      <c r="Z306" t="s">
        <v>1682</v>
      </c>
      <c r="AA306" t="s">
        <v>1243</v>
      </c>
      <c r="AB306" t="s">
        <v>35290</v>
      </c>
      <c r="AC306" t="s">
        <v>34484</v>
      </c>
      <c r="AD306" t="s">
        <v>34724</v>
      </c>
      <c r="AF306" t="s">
        <v>35291</v>
      </c>
      <c r="AG306" t="s">
        <v>35292</v>
      </c>
    </row>
    <row r="307" spans="1:33" x14ac:dyDescent="0.25">
      <c r="A307" t="s">
        <v>34450</v>
      </c>
      <c r="B307" t="s">
        <v>2</v>
      </c>
      <c r="C307" t="s">
        <v>9</v>
      </c>
      <c r="D307" t="s">
        <v>1684</v>
      </c>
      <c r="E307" t="s">
        <v>1688</v>
      </c>
      <c r="F307" t="s">
        <v>1685</v>
      </c>
      <c r="G307" t="s">
        <v>34451</v>
      </c>
      <c r="H307" t="s">
        <v>1689</v>
      </c>
      <c r="I307" t="s">
        <v>1690</v>
      </c>
      <c r="J307" t="s">
        <v>34452</v>
      </c>
      <c r="K307" t="s">
        <v>34453</v>
      </c>
      <c r="L307" t="s">
        <v>1691</v>
      </c>
      <c r="M307" t="s">
        <v>34454</v>
      </c>
      <c r="N307" t="s">
        <v>34455</v>
      </c>
      <c r="O307" t="s">
        <v>1694</v>
      </c>
      <c r="P307" t="s">
        <v>1695</v>
      </c>
      <c r="Q307" t="s">
        <v>1692</v>
      </c>
      <c r="R307" t="s">
        <v>1693</v>
      </c>
      <c r="S307" t="s">
        <v>34456</v>
      </c>
      <c r="T307" t="s">
        <v>1686</v>
      </c>
      <c r="U307" t="s">
        <v>1687</v>
      </c>
      <c r="V307" t="s">
        <v>1697</v>
      </c>
      <c r="W307" t="s">
        <v>1696</v>
      </c>
      <c r="X307" t="s">
        <v>1683</v>
      </c>
      <c r="Y307" t="s">
        <v>34457</v>
      </c>
      <c r="Z307" t="s">
        <v>28</v>
      </c>
      <c r="AA307" t="s">
        <v>29</v>
      </c>
      <c r="AB307" t="s">
        <v>34458</v>
      </c>
      <c r="AC307" t="s">
        <v>34459</v>
      </c>
      <c r="AD307" t="s">
        <v>7666</v>
      </c>
      <c r="AE307" t="s">
        <v>7667</v>
      </c>
      <c r="AF307" t="s">
        <v>34460</v>
      </c>
      <c r="AG307" t="s">
        <v>34461</v>
      </c>
    </row>
    <row r="308" spans="1:33" x14ac:dyDescent="0.25">
      <c r="A308" t="s">
        <v>34462</v>
      </c>
      <c r="B308" t="s">
        <v>1699</v>
      </c>
      <c r="C308" t="s">
        <v>1702</v>
      </c>
      <c r="D308">
        <v>36</v>
      </c>
      <c r="E308">
        <v>36</v>
      </c>
      <c r="F308">
        <v>2081231</v>
      </c>
      <c r="G308">
        <v>1623800</v>
      </c>
      <c r="H308">
        <v>36.01</v>
      </c>
      <c r="I308">
        <v>37.11</v>
      </c>
      <c r="J308">
        <v>0</v>
      </c>
      <c r="K308">
        <v>1</v>
      </c>
      <c r="L308">
        <v>8</v>
      </c>
      <c r="M308">
        <v>6</v>
      </c>
      <c r="N308">
        <v>5</v>
      </c>
      <c r="O308">
        <v>2</v>
      </c>
      <c r="P308">
        <v>3</v>
      </c>
      <c r="Q308">
        <v>4</v>
      </c>
      <c r="R308">
        <v>11</v>
      </c>
      <c r="U308">
        <v>0.59524739999999998</v>
      </c>
      <c r="V308">
        <v>6.67</v>
      </c>
      <c r="X308" t="s">
        <v>1698</v>
      </c>
      <c r="Y308" t="s">
        <v>1728</v>
      </c>
      <c r="Z308" t="s">
        <v>1704</v>
      </c>
      <c r="AA308" t="s">
        <v>1705</v>
      </c>
      <c r="AB308" t="s">
        <v>35293</v>
      </c>
      <c r="AC308" t="s">
        <v>34465</v>
      </c>
      <c r="AD308" t="s">
        <v>7947</v>
      </c>
      <c r="AF308" t="s">
        <v>35294</v>
      </c>
      <c r="AG308" t="s">
        <v>35295</v>
      </c>
    </row>
    <row r="309" spans="1:33" x14ac:dyDescent="0.25">
      <c r="A309" t="s">
        <v>34462</v>
      </c>
      <c r="B309" t="s">
        <v>1707</v>
      </c>
      <c r="C309" t="s">
        <v>1709</v>
      </c>
      <c r="D309">
        <v>46</v>
      </c>
      <c r="E309">
        <v>46</v>
      </c>
      <c r="F309">
        <v>102803</v>
      </c>
      <c r="G309">
        <v>85179</v>
      </c>
      <c r="H309">
        <v>45.75</v>
      </c>
      <c r="I309">
        <v>40.29</v>
      </c>
      <c r="J309">
        <v>0</v>
      </c>
      <c r="K309">
        <v>1</v>
      </c>
      <c r="L309">
        <v>8</v>
      </c>
      <c r="M309">
        <v>6</v>
      </c>
      <c r="N309">
        <v>4.5</v>
      </c>
      <c r="O309">
        <v>14</v>
      </c>
      <c r="P309">
        <v>155</v>
      </c>
      <c r="Q309">
        <v>29</v>
      </c>
      <c r="R309">
        <v>86</v>
      </c>
      <c r="S309" t="s">
        <v>35296</v>
      </c>
      <c r="U309">
        <v>0.67902295999999995</v>
      </c>
      <c r="V309">
        <v>6.67</v>
      </c>
      <c r="X309" t="s">
        <v>1706</v>
      </c>
      <c r="Y309" t="s">
        <v>1728</v>
      </c>
      <c r="Z309" t="s">
        <v>1704</v>
      </c>
      <c r="AA309" t="s">
        <v>1705</v>
      </c>
      <c r="AB309" t="s">
        <v>35297</v>
      </c>
      <c r="AC309" t="s">
        <v>34465</v>
      </c>
      <c r="AD309" t="s">
        <v>7947</v>
      </c>
      <c r="AE309" t="s">
        <v>14701</v>
      </c>
      <c r="AF309" t="s">
        <v>35298</v>
      </c>
      <c r="AG309" t="s">
        <v>35299</v>
      </c>
    </row>
    <row r="310" spans="1:33" x14ac:dyDescent="0.25">
      <c r="A310" t="s">
        <v>34462</v>
      </c>
      <c r="B310" t="s">
        <v>1712</v>
      </c>
      <c r="C310" t="s">
        <v>1714</v>
      </c>
      <c r="D310">
        <v>42.99</v>
      </c>
      <c r="E310">
        <v>42.99</v>
      </c>
      <c r="F310">
        <v>102803</v>
      </c>
      <c r="G310">
        <v>79770</v>
      </c>
      <c r="H310">
        <v>35.17</v>
      </c>
      <c r="I310">
        <v>34.11</v>
      </c>
      <c r="J310">
        <v>0</v>
      </c>
      <c r="K310">
        <v>1</v>
      </c>
      <c r="L310">
        <v>6</v>
      </c>
      <c r="M310">
        <v>4</v>
      </c>
      <c r="N310">
        <v>4.5</v>
      </c>
      <c r="O310">
        <v>6</v>
      </c>
      <c r="P310">
        <v>155</v>
      </c>
      <c r="Q310">
        <v>33</v>
      </c>
      <c r="R310">
        <v>121</v>
      </c>
      <c r="S310" t="s">
        <v>35296</v>
      </c>
      <c r="U310">
        <v>0.63933980000000001</v>
      </c>
      <c r="V310">
        <v>6.6</v>
      </c>
      <c r="W310">
        <v>7.31</v>
      </c>
      <c r="X310" t="s">
        <v>1711</v>
      </c>
      <c r="Y310" t="s">
        <v>35300</v>
      </c>
      <c r="Z310" t="s">
        <v>1704</v>
      </c>
      <c r="AA310" t="s">
        <v>1490</v>
      </c>
      <c r="AB310" t="s">
        <v>35301</v>
      </c>
      <c r="AC310" t="s">
        <v>34465</v>
      </c>
      <c r="AD310" t="s">
        <v>7947</v>
      </c>
      <c r="AE310" t="s">
        <v>14701</v>
      </c>
      <c r="AF310" t="s">
        <v>35302</v>
      </c>
      <c r="AG310" t="s">
        <v>35299</v>
      </c>
    </row>
    <row r="311" spans="1:33" x14ac:dyDescent="0.25">
      <c r="A311" t="s">
        <v>34462</v>
      </c>
      <c r="B311" t="s">
        <v>1717</v>
      </c>
      <c r="C311" t="s">
        <v>1719</v>
      </c>
      <c r="D311">
        <v>40.94</v>
      </c>
      <c r="E311">
        <v>40.94</v>
      </c>
      <c r="F311">
        <v>111227</v>
      </c>
      <c r="G311">
        <v>80130</v>
      </c>
      <c r="H311">
        <v>46.56</v>
      </c>
      <c r="I311">
        <v>42.46</v>
      </c>
      <c r="J311">
        <v>0</v>
      </c>
      <c r="K311">
        <v>1</v>
      </c>
      <c r="L311">
        <v>7</v>
      </c>
      <c r="M311">
        <v>5</v>
      </c>
      <c r="N311">
        <v>4.5</v>
      </c>
      <c r="O311">
        <v>11</v>
      </c>
      <c r="P311">
        <v>155</v>
      </c>
      <c r="Q311">
        <v>38</v>
      </c>
      <c r="R311">
        <v>131</v>
      </c>
      <c r="S311" t="s">
        <v>35296</v>
      </c>
      <c r="U311">
        <v>0.72752459999999997</v>
      </c>
      <c r="V311">
        <v>6.48</v>
      </c>
      <c r="X311" t="s">
        <v>1716</v>
      </c>
      <c r="Y311" t="s">
        <v>1728</v>
      </c>
      <c r="Z311" t="s">
        <v>1704</v>
      </c>
      <c r="AA311" t="s">
        <v>1705</v>
      </c>
      <c r="AB311" t="s">
        <v>35303</v>
      </c>
      <c r="AC311" t="s">
        <v>34465</v>
      </c>
      <c r="AD311" t="s">
        <v>7947</v>
      </c>
      <c r="AE311" t="s">
        <v>34525</v>
      </c>
      <c r="AF311" t="s">
        <v>35298</v>
      </c>
      <c r="AG311" t="s">
        <v>35299</v>
      </c>
    </row>
    <row r="312" spans="1:33" x14ac:dyDescent="0.25">
      <c r="A312" t="s">
        <v>34462</v>
      </c>
      <c r="B312" t="s">
        <v>1721</v>
      </c>
      <c r="C312" t="s">
        <v>1723</v>
      </c>
      <c r="D312">
        <v>42.85</v>
      </c>
      <c r="E312">
        <v>39.99</v>
      </c>
      <c r="F312">
        <v>1373793</v>
      </c>
      <c r="G312">
        <v>427898</v>
      </c>
      <c r="H312">
        <v>41.77</v>
      </c>
      <c r="I312">
        <v>39.340000000000003</v>
      </c>
      <c r="J312">
        <v>0</v>
      </c>
      <c r="K312">
        <v>1</v>
      </c>
      <c r="L312">
        <v>9</v>
      </c>
      <c r="M312">
        <v>6</v>
      </c>
      <c r="N312">
        <v>5</v>
      </c>
      <c r="O312">
        <v>8</v>
      </c>
      <c r="P312">
        <v>8</v>
      </c>
      <c r="Q312">
        <v>5</v>
      </c>
      <c r="R312">
        <v>78</v>
      </c>
      <c r="U312">
        <v>0.70547840000000006</v>
      </c>
      <c r="V312">
        <v>6.67</v>
      </c>
      <c r="W312">
        <v>7.28</v>
      </c>
      <c r="X312" t="s">
        <v>1720</v>
      </c>
      <c r="Y312" t="s">
        <v>35300</v>
      </c>
      <c r="Z312" t="s">
        <v>1704</v>
      </c>
      <c r="AA312" t="s">
        <v>1490</v>
      </c>
      <c r="AB312" t="s">
        <v>35304</v>
      </c>
      <c r="AC312" t="s">
        <v>34465</v>
      </c>
      <c r="AD312" t="s">
        <v>7947</v>
      </c>
      <c r="AF312" t="s">
        <v>35305</v>
      </c>
      <c r="AG312" t="s">
        <v>35299</v>
      </c>
    </row>
    <row r="313" spans="1:33" x14ac:dyDescent="0.25">
      <c r="A313" t="s">
        <v>34462</v>
      </c>
      <c r="B313" t="s">
        <v>1725</v>
      </c>
      <c r="C313" t="s">
        <v>1727</v>
      </c>
      <c r="D313">
        <v>46.02</v>
      </c>
      <c r="E313">
        <v>39.99</v>
      </c>
      <c r="F313">
        <v>102803</v>
      </c>
      <c r="G313">
        <v>86099</v>
      </c>
      <c r="H313">
        <v>43.45</v>
      </c>
      <c r="I313">
        <v>40.58</v>
      </c>
      <c r="J313">
        <v>0</v>
      </c>
      <c r="K313">
        <v>1</v>
      </c>
      <c r="L313">
        <v>12</v>
      </c>
      <c r="M313">
        <v>7</v>
      </c>
      <c r="N313">
        <v>4.5</v>
      </c>
      <c r="O313">
        <v>15</v>
      </c>
      <c r="P313">
        <v>155</v>
      </c>
      <c r="Q313">
        <v>34</v>
      </c>
      <c r="R313">
        <v>96</v>
      </c>
      <c r="S313" t="s">
        <v>35296</v>
      </c>
      <c r="U313">
        <v>0.74736617999999999</v>
      </c>
      <c r="V313">
        <v>6.81</v>
      </c>
      <c r="W313">
        <v>7.82</v>
      </c>
      <c r="X313" t="s">
        <v>1724</v>
      </c>
      <c r="Y313" t="s">
        <v>1728</v>
      </c>
      <c r="Z313" t="s">
        <v>1728</v>
      </c>
      <c r="AA313" t="s">
        <v>1705</v>
      </c>
      <c r="AB313" t="s">
        <v>35306</v>
      </c>
      <c r="AC313" t="s">
        <v>34465</v>
      </c>
      <c r="AD313" t="s">
        <v>7947</v>
      </c>
      <c r="AE313" t="s">
        <v>34649</v>
      </c>
      <c r="AF313" t="s">
        <v>35294</v>
      </c>
      <c r="AG313" t="s">
        <v>35299</v>
      </c>
    </row>
    <row r="314" spans="1:33" x14ac:dyDescent="0.25">
      <c r="A314" t="s">
        <v>34462</v>
      </c>
      <c r="B314" t="s">
        <v>1730</v>
      </c>
      <c r="C314" t="s">
        <v>1733</v>
      </c>
      <c r="D314">
        <v>35.5</v>
      </c>
      <c r="E314">
        <v>35.5</v>
      </c>
      <c r="F314">
        <v>37317</v>
      </c>
      <c r="G314">
        <v>89580</v>
      </c>
      <c r="H314">
        <v>42.5</v>
      </c>
      <c r="I314">
        <v>36.83</v>
      </c>
      <c r="J314">
        <v>0</v>
      </c>
      <c r="K314">
        <v>0.85</v>
      </c>
      <c r="L314">
        <v>6</v>
      </c>
      <c r="M314">
        <v>9</v>
      </c>
      <c r="N314">
        <v>4.5999999999999996</v>
      </c>
      <c r="O314">
        <v>2</v>
      </c>
      <c r="P314">
        <v>72</v>
      </c>
      <c r="Q314">
        <v>68</v>
      </c>
      <c r="R314">
        <v>166</v>
      </c>
      <c r="S314" t="s">
        <v>35307</v>
      </c>
      <c r="U314">
        <v>0.95900969999999996</v>
      </c>
      <c r="V314">
        <v>6.86</v>
      </c>
      <c r="X314" t="s">
        <v>1729</v>
      </c>
      <c r="Y314" t="s">
        <v>1735</v>
      </c>
      <c r="Z314" t="s">
        <v>1735</v>
      </c>
      <c r="AA314" t="s">
        <v>1736</v>
      </c>
      <c r="AB314" t="s">
        <v>35308</v>
      </c>
      <c r="AC314" t="s">
        <v>34465</v>
      </c>
      <c r="AD314" t="s">
        <v>7954</v>
      </c>
      <c r="AE314" t="s">
        <v>34533</v>
      </c>
      <c r="AF314" t="s">
        <v>35309</v>
      </c>
      <c r="AG314" t="s">
        <v>35310</v>
      </c>
    </row>
    <row r="315" spans="1:33" x14ac:dyDescent="0.25">
      <c r="A315" t="s">
        <v>34462</v>
      </c>
      <c r="B315" t="s">
        <v>1738</v>
      </c>
      <c r="C315" t="s">
        <v>1740</v>
      </c>
      <c r="D315">
        <v>25.97</v>
      </c>
      <c r="E315">
        <v>25.97</v>
      </c>
      <c r="F315">
        <v>37317</v>
      </c>
      <c r="G315">
        <v>78142</v>
      </c>
      <c r="H315">
        <v>32.020000000000003</v>
      </c>
      <c r="I315">
        <v>32.25</v>
      </c>
      <c r="J315">
        <v>0.06</v>
      </c>
      <c r="K315">
        <v>0.31</v>
      </c>
      <c r="L315">
        <v>2</v>
      </c>
      <c r="M315">
        <v>2</v>
      </c>
      <c r="N315">
        <v>4.5999999999999996</v>
      </c>
      <c r="O315">
        <v>1</v>
      </c>
      <c r="P315">
        <v>72</v>
      </c>
      <c r="Q315">
        <v>63</v>
      </c>
      <c r="R315">
        <v>124</v>
      </c>
      <c r="S315" t="s">
        <v>35307</v>
      </c>
      <c r="U315">
        <v>1.0141252000000001</v>
      </c>
      <c r="V315">
        <v>5.82</v>
      </c>
      <c r="X315" t="s">
        <v>1737</v>
      </c>
      <c r="Y315" t="s">
        <v>1735</v>
      </c>
      <c r="Z315" t="s">
        <v>1735</v>
      </c>
      <c r="AA315" t="s">
        <v>76</v>
      </c>
      <c r="AB315" t="s">
        <v>35311</v>
      </c>
      <c r="AC315" t="s">
        <v>34465</v>
      </c>
      <c r="AD315" t="s">
        <v>7954</v>
      </c>
      <c r="AE315" t="s">
        <v>34533</v>
      </c>
      <c r="AF315" t="s">
        <v>35312</v>
      </c>
      <c r="AG315" t="s">
        <v>35310</v>
      </c>
    </row>
    <row r="316" spans="1:33" x14ac:dyDescent="0.25">
      <c r="A316" t="s">
        <v>34462</v>
      </c>
      <c r="B316" t="s">
        <v>1743</v>
      </c>
      <c r="C316" t="s">
        <v>1745</v>
      </c>
      <c r="D316">
        <v>17.5</v>
      </c>
      <c r="E316">
        <v>17.5</v>
      </c>
      <c r="F316">
        <v>37317</v>
      </c>
      <c r="G316">
        <v>52510</v>
      </c>
      <c r="H316">
        <v>30.19</v>
      </c>
      <c r="I316">
        <v>30.21</v>
      </c>
      <c r="J316">
        <v>0</v>
      </c>
      <c r="K316">
        <v>0</v>
      </c>
      <c r="L316">
        <v>4</v>
      </c>
      <c r="M316">
        <v>4</v>
      </c>
      <c r="N316">
        <v>4.5999999999999996</v>
      </c>
      <c r="O316">
        <v>10</v>
      </c>
      <c r="P316">
        <v>72</v>
      </c>
      <c r="Q316">
        <v>47</v>
      </c>
      <c r="R316">
        <v>134</v>
      </c>
      <c r="S316" t="s">
        <v>35307</v>
      </c>
      <c r="U316">
        <v>1.0008974799999999</v>
      </c>
      <c r="V316">
        <v>6.05</v>
      </c>
      <c r="W316">
        <v>2.98</v>
      </c>
      <c r="X316" t="s">
        <v>1742</v>
      </c>
      <c r="Y316" t="s">
        <v>1735</v>
      </c>
      <c r="Z316" t="s">
        <v>1735</v>
      </c>
      <c r="AA316" t="s">
        <v>1747</v>
      </c>
      <c r="AB316" t="s">
        <v>35313</v>
      </c>
      <c r="AC316" t="s">
        <v>34493</v>
      </c>
      <c r="AD316" t="s">
        <v>7954</v>
      </c>
      <c r="AE316" t="s">
        <v>34533</v>
      </c>
      <c r="AF316" t="s">
        <v>35314</v>
      </c>
      <c r="AG316" t="s">
        <v>35310</v>
      </c>
    </row>
    <row r="317" spans="1:33" x14ac:dyDescent="0.25">
      <c r="A317" t="s">
        <v>34462</v>
      </c>
      <c r="B317" t="s">
        <v>1749</v>
      </c>
      <c r="C317" t="s">
        <v>1751</v>
      </c>
      <c r="D317">
        <v>34.92</v>
      </c>
      <c r="E317">
        <v>34.92</v>
      </c>
      <c r="F317">
        <v>37317</v>
      </c>
      <c r="G317">
        <v>53068</v>
      </c>
      <c r="H317">
        <v>32.18</v>
      </c>
      <c r="I317">
        <v>32.28</v>
      </c>
      <c r="J317">
        <v>0.01</v>
      </c>
      <c r="K317">
        <v>0.26</v>
      </c>
      <c r="L317">
        <v>2</v>
      </c>
      <c r="M317">
        <v>2</v>
      </c>
      <c r="N317">
        <v>4.5999999999999996</v>
      </c>
      <c r="O317">
        <v>6</v>
      </c>
      <c r="P317">
        <v>72</v>
      </c>
      <c r="Q317">
        <v>75</v>
      </c>
      <c r="R317">
        <v>162</v>
      </c>
      <c r="S317" t="s">
        <v>35307</v>
      </c>
      <c r="T317">
        <v>50</v>
      </c>
      <c r="U317">
        <v>1.0141252000000001</v>
      </c>
      <c r="V317">
        <v>6.05</v>
      </c>
      <c r="X317" t="s">
        <v>1748</v>
      </c>
      <c r="Y317" t="s">
        <v>1735</v>
      </c>
      <c r="Z317" t="s">
        <v>1735</v>
      </c>
      <c r="AA317" t="s">
        <v>76</v>
      </c>
      <c r="AB317" t="s">
        <v>35315</v>
      </c>
      <c r="AC317" t="s">
        <v>34465</v>
      </c>
      <c r="AD317" t="s">
        <v>7954</v>
      </c>
      <c r="AE317" t="s">
        <v>14701</v>
      </c>
      <c r="AF317" t="s">
        <v>35316</v>
      </c>
      <c r="AG317" t="s">
        <v>35310</v>
      </c>
    </row>
    <row r="318" spans="1:33" x14ac:dyDescent="0.25">
      <c r="A318" t="s">
        <v>34462</v>
      </c>
      <c r="B318" t="s">
        <v>1754</v>
      </c>
      <c r="C318" t="s">
        <v>1756</v>
      </c>
      <c r="D318">
        <v>43</v>
      </c>
      <c r="E318">
        <v>43</v>
      </c>
      <c r="F318">
        <v>44404</v>
      </c>
      <c r="G318">
        <v>82697</v>
      </c>
      <c r="H318">
        <v>34.090000000000003</v>
      </c>
      <c r="I318">
        <v>33.53</v>
      </c>
      <c r="J318">
        <v>0</v>
      </c>
      <c r="K318">
        <v>0.87</v>
      </c>
      <c r="L318">
        <v>4</v>
      </c>
      <c r="M318">
        <v>6</v>
      </c>
      <c r="N318">
        <v>4.5999999999999996</v>
      </c>
      <c r="O318">
        <v>2</v>
      </c>
      <c r="P318">
        <v>72</v>
      </c>
      <c r="Q318">
        <v>60</v>
      </c>
      <c r="R318">
        <v>135</v>
      </c>
      <c r="S318" t="s">
        <v>35307</v>
      </c>
      <c r="U318">
        <v>1.0361714</v>
      </c>
      <c r="V318">
        <v>6.67</v>
      </c>
      <c r="X318" t="s">
        <v>1753</v>
      </c>
      <c r="Y318" t="s">
        <v>1735</v>
      </c>
      <c r="Z318" t="s">
        <v>1735</v>
      </c>
      <c r="AA318" t="s">
        <v>1736</v>
      </c>
      <c r="AB318" t="s">
        <v>35317</v>
      </c>
      <c r="AC318" t="s">
        <v>34465</v>
      </c>
      <c r="AD318" t="s">
        <v>7954</v>
      </c>
      <c r="AE318" t="s">
        <v>14701</v>
      </c>
      <c r="AF318" t="s">
        <v>35309</v>
      </c>
      <c r="AG318" t="s">
        <v>35310</v>
      </c>
    </row>
    <row r="319" spans="1:33" x14ac:dyDescent="0.25">
      <c r="A319" t="s">
        <v>34462</v>
      </c>
      <c r="B319" t="s">
        <v>1759</v>
      </c>
      <c r="C319" t="s">
        <v>1761</v>
      </c>
      <c r="D319">
        <v>43.92</v>
      </c>
      <c r="E319">
        <v>43.92</v>
      </c>
      <c r="F319">
        <v>37317</v>
      </c>
      <c r="G319">
        <v>49651</v>
      </c>
      <c r="H319">
        <v>32.090000000000003</v>
      </c>
      <c r="I319">
        <v>32.229999999999997</v>
      </c>
      <c r="J319">
        <v>0</v>
      </c>
      <c r="K319">
        <v>0.14000000000000001</v>
      </c>
      <c r="L319">
        <v>2</v>
      </c>
      <c r="M319">
        <v>2</v>
      </c>
      <c r="N319">
        <v>4.5999999999999996</v>
      </c>
      <c r="O319">
        <v>3</v>
      </c>
      <c r="P319">
        <v>72</v>
      </c>
      <c r="Q319">
        <v>38</v>
      </c>
      <c r="R319">
        <v>108</v>
      </c>
      <c r="S319" t="s">
        <v>35307</v>
      </c>
      <c r="U319">
        <v>1.0097159600000001</v>
      </c>
      <c r="V319">
        <v>6.67</v>
      </c>
      <c r="X319" t="s">
        <v>1758</v>
      </c>
      <c r="Y319" t="s">
        <v>1735</v>
      </c>
      <c r="Z319" t="s">
        <v>1735</v>
      </c>
      <c r="AA319" t="s">
        <v>1747</v>
      </c>
      <c r="AB319" t="s">
        <v>35318</v>
      </c>
      <c r="AC319" t="s">
        <v>34465</v>
      </c>
      <c r="AD319" t="s">
        <v>7954</v>
      </c>
      <c r="AE319" t="s">
        <v>14701</v>
      </c>
      <c r="AF319" t="s">
        <v>35319</v>
      </c>
      <c r="AG319" t="s">
        <v>35310</v>
      </c>
    </row>
    <row r="320" spans="1:33" x14ac:dyDescent="0.25">
      <c r="A320" t="s">
        <v>34462</v>
      </c>
      <c r="B320" t="s">
        <v>1764</v>
      </c>
      <c r="C320" t="s">
        <v>1766</v>
      </c>
      <c r="D320">
        <v>42.87</v>
      </c>
      <c r="E320">
        <v>42.87</v>
      </c>
      <c r="F320">
        <v>37317</v>
      </c>
      <c r="G320">
        <v>49351</v>
      </c>
      <c r="H320">
        <v>33.36</v>
      </c>
      <c r="I320">
        <v>32.94</v>
      </c>
      <c r="J320">
        <v>0.25</v>
      </c>
      <c r="K320">
        <v>0.78</v>
      </c>
      <c r="L320">
        <v>2</v>
      </c>
      <c r="M320">
        <v>2</v>
      </c>
      <c r="N320">
        <v>4.5999999999999996</v>
      </c>
      <c r="O320">
        <v>8</v>
      </c>
      <c r="P320">
        <v>72</v>
      </c>
      <c r="Q320">
        <v>53</v>
      </c>
      <c r="R320">
        <v>115</v>
      </c>
      <c r="S320" t="s">
        <v>35307</v>
      </c>
      <c r="U320">
        <v>1.1464023999999999</v>
      </c>
      <c r="V320">
        <v>5.82</v>
      </c>
      <c r="X320" t="s">
        <v>1763</v>
      </c>
      <c r="Y320" t="s">
        <v>1735</v>
      </c>
      <c r="Z320" t="s">
        <v>1735</v>
      </c>
      <c r="AA320" t="s">
        <v>76</v>
      </c>
      <c r="AB320" t="s">
        <v>35320</v>
      </c>
      <c r="AC320" t="s">
        <v>34465</v>
      </c>
      <c r="AD320" t="s">
        <v>7954</v>
      </c>
      <c r="AE320" t="s">
        <v>34525</v>
      </c>
      <c r="AF320" t="s">
        <v>35316</v>
      </c>
      <c r="AG320" t="s">
        <v>35310</v>
      </c>
    </row>
    <row r="321" spans="1:33" x14ac:dyDescent="0.25">
      <c r="A321" t="s">
        <v>34462</v>
      </c>
      <c r="B321" t="s">
        <v>1769</v>
      </c>
      <c r="C321" t="s">
        <v>1771</v>
      </c>
      <c r="D321">
        <v>26.76</v>
      </c>
      <c r="E321">
        <v>26.76</v>
      </c>
      <c r="F321">
        <v>43543</v>
      </c>
      <c r="G321">
        <v>49176</v>
      </c>
      <c r="H321">
        <v>32.049999999999997</v>
      </c>
      <c r="I321">
        <v>32.049999999999997</v>
      </c>
      <c r="J321">
        <v>0.15</v>
      </c>
      <c r="K321">
        <v>0.66</v>
      </c>
      <c r="L321">
        <v>2</v>
      </c>
      <c r="M321">
        <v>3</v>
      </c>
      <c r="N321">
        <v>4.5999999999999996</v>
      </c>
      <c r="O321">
        <v>8</v>
      </c>
      <c r="P321">
        <v>72</v>
      </c>
      <c r="Q321">
        <v>55</v>
      </c>
      <c r="R321">
        <v>112</v>
      </c>
      <c r="S321" t="s">
        <v>35307</v>
      </c>
      <c r="U321">
        <v>1.1508116399999999</v>
      </c>
      <c r="V321">
        <v>6.6</v>
      </c>
      <c r="X321" t="s">
        <v>1768</v>
      </c>
      <c r="Y321" t="s">
        <v>35321</v>
      </c>
      <c r="Z321" t="s">
        <v>1735</v>
      </c>
      <c r="AA321" t="s">
        <v>1736</v>
      </c>
      <c r="AB321" t="s">
        <v>35322</v>
      </c>
      <c r="AC321" t="s">
        <v>34465</v>
      </c>
      <c r="AD321" t="s">
        <v>7954</v>
      </c>
      <c r="AE321" t="s">
        <v>34525</v>
      </c>
      <c r="AF321" t="s">
        <v>35323</v>
      </c>
      <c r="AG321" t="s">
        <v>35310</v>
      </c>
    </row>
    <row r="322" spans="1:33" x14ac:dyDescent="0.25">
      <c r="A322" t="s">
        <v>34462</v>
      </c>
      <c r="B322" t="s">
        <v>1774</v>
      </c>
      <c r="C322" t="s">
        <v>1776</v>
      </c>
      <c r="D322">
        <v>17.5</v>
      </c>
      <c r="E322">
        <v>17.5</v>
      </c>
      <c r="F322">
        <v>37317</v>
      </c>
      <c r="G322">
        <v>53099</v>
      </c>
      <c r="H322">
        <v>31.42</v>
      </c>
      <c r="I322">
        <v>31.71</v>
      </c>
      <c r="J322">
        <v>0.28999999999999998</v>
      </c>
      <c r="K322">
        <v>0.65</v>
      </c>
      <c r="L322">
        <v>2</v>
      </c>
      <c r="M322">
        <v>2</v>
      </c>
      <c r="N322">
        <v>4.5999999999999996</v>
      </c>
      <c r="O322">
        <v>3</v>
      </c>
      <c r="P322">
        <v>72</v>
      </c>
      <c r="Q322">
        <v>37</v>
      </c>
      <c r="R322">
        <v>87</v>
      </c>
      <c r="S322" t="s">
        <v>35307</v>
      </c>
      <c r="U322">
        <v>1.0802638</v>
      </c>
      <c r="V322">
        <v>6.67</v>
      </c>
      <c r="W322">
        <v>2.98</v>
      </c>
      <c r="X322" t="s">
        <v>1773</v>
      </c>
      <c r="Y322" t="s">
        <v>1735</v>
      </c>
      <c r="Z322" t="s">
        <v>1735</v>
      </c>
      <c r="AA322" t="s">
        <v>1747</v>
      </c>
      <c r="AB322" t="s">
        <v>35324</v>
      </c>
      <c r="AC322" t="s">
        <v>34484</v>
      </c>
      <c r="AD322" t="s">
        <v>7954</v>
      </c>
      <c r="AE322" t="s">
        <v>34525</v>
      </c>
      <c r="AF322" t="s">
        <v>35319</v>
      </c>
      <c r="AG322" t="s">
        <v>35310</v>
      </c>
    </row>
    <row r="323" spans="1:33" x14ac:dyDescent="0.25">
      <c r="A323" t="s">
        <v>34462</v>
      </c>
      <c r="B323" t="s">
        <v>1779</v>
      </c>
      <c r="C323" t="s">
        <v>1781</v>
      </c>
      <c r="D323">
        <v>34.71</v>
      </c>
      <c r="E323">
        <v>26.76</v>
      </c>
      <c r="F323">
        <v>36895</v>
      </c>
      <c r="G323">
        <v>48733</v>
      </c>
      <c r="H323">
        <v>31.62</v>
      </c>
      <c r="I323">
        <v>33.729999999999997</v>
      </c>
      <c r="J323">
        <v>0.15</v>
      </c>
      <c r="K323">
        <v>0.4</v>
      </c>
      <c r="L323">
        <v>2</v>
      </c>
      <c r="M323">
        <v>1</v>
      </c>
      <c r="N323">
        <v>4.5999999999999996</v>
      </c>
      <c r="O323">
        <v>2</v>
      </c>
      <c r="P323">
        <v>72</v>
      </c>
      <c r="Q323">
        <v>57</v>
      </c>
      <c r="R323">
        <v>125</v>
      </c>
      <c r="S323" t="s">
        <v>35307</v>
      </c>
      <c r="T323">
        <v>50</v>
      </c>
      <c r="U323">
        <v>1.0141252000000001</v>
      </c>
      <c r="V323">
        <v>6.67</v>
      </c>
      <c r="W323">
        <v>5.9</v>
      </c>
      <c r="X323" t="s">
        <v>1778</v>
      </c>
      <c r="Y323" t="s">
        <v>1735</v>
      </c>
      <c r="Z323" t="s">
        <v>1735</v>
      </c>
      <c r="AA323" t="s">
        <v>76</v>
      </c>
      <c r="AB323" t="s">
        <v>35325</v>
      </c>
      <c r="AC323" t="s">
        <v>34465</v>
      </c>
      <c r="AD323" t="s">
        <v>7954</v>
      </c>
      <c r="AE323" t="s">
        <v>34649</v>
      </c>
      <c r="AF323" t="s">
        <v>35312</v>
      </c>
      <c r="AG323" t="s">
        <v>35310</v>
      </c>
    </row>
    <row r="324" spans="1:33" x14ac:dyDescent="0.25">
      <c r="A324" t="s">
        <v>34462</v>
      </c>
      <c r="B324" t="s">
        <v>1783</v>
      </c>
      <c r="C324" t="s">
        <v>1785</v>
      </c>
      <c r="D324">
        <v>27.09</v>
      </c>
      <c r="E324">
        <v>27.09</v>
      </c>
      <c r="F324">
        <v>38876</v>
      </c>
      <c r="G324">
        <v>48878</v>
      </c>
      <c r="H324">
        <v>33.200000000000003</v>
      </c>
      <c r="I324">
        <v>32.549999999999997</v>
      </c>
      <c r="J324">
        <v>0.11</v>
      </c>
      <c r="K324">
        <v>0.46</v>
      </c>
      <c r="L324">
        <v>1</v>
      </c>
      <c r="M324">
        <v>1</v>
      </c>
      <c r="N324">
        <v>4.5999999999999996</v>
      </c>
      <c r="O324">
        <v>1</v>
      </c>
      <c r="P324">
        <v>72</v>
      </c>
      <c r="Q324">
        <v>40</v>
      </c>
      <c r="R324">
        <v>84</v>
      </c>
      <c r="S324" t="s">
        <v>35307</v>
      </c>
      <c r="U324">
        <v>1.0471945</v>
      </c>
      <c r="V324">
        <v>6.86</v>
      </c>
      <c r="X324" t="s">
        <v>1782</v>
      </c>
      <c r="Y324" t="s">
        <v>1735</v>
      </c>
      <c r="Z324" t="s">
        <v>1735</v>
      </c>
      <c r="AA324" t="s">
        <v>1747</v>
      </c>
      <c r="AB324" t="s">
        <v>35326</v>
      </c>
      <c r="AC324" t="s">
        <v>34465</v>
      </c>
      <c r="AD324" t="s">
        <v>7954</v>
      </c>
      <c r="AE324" t="s">
        <v>34649</v>
      </c>
      <c r="AF324" t="s">
        <v>35319</v>
      </c>
      <c r="AG324" t="s">
        <v>35310</v>
      </c>
    </row>
    <row r="325" spans="1:33" x14ac:dyDescent="0.25">
      <c r="A325" t="s">
        <v>34462</v>
      </c>
      <c r="B325" t="s">
        <v>1787</v>
      </c>
      <c r="C325" t="s">
        <v>1789</v>
      </c>
      <c r="D325">
        <v>26.76</v>
      </c>
      <c r="E325">
        <v>26.76</v>
      </c>
      <c r="F325">
        <v>37317</v>
      </c>
      <c r="G325">
        <v>81436</v>
      </c>
      <c r="H325">
        <v>41.01</v>
      </c>
      <c r="I325">
        <v>42.08</v>
      </c>
      <c r="J325">
        <v>0.16</v>
      </c>
      <c r="K325">
        <v>0.89</v>
      </c>
      <c r="L325">
        <v>3</v>
      </c>
      <c r="M325">
        <v>3</v>
      </c>
      <c r="N325">
        <v>4.5999999999999996</v>
      </c>
      <c r="O325">
        <v>2</v>
      </c>
      <c r="P325">
        <v>72</v>
      </c>
      <c r="Q325">
        <v>51</v>
      </c>
      <c r="R325">
        <v>105</v>
      </c>
      <c r="S325" t="s">
        <v>35307</v>
      </c>
      <c r="U325">
        <v>0.95019122</v>
      </c>
      <c r="V325">
        <v>5.82</v>
      </c>
      <c r="X325" t="s">
        <v>1786</v>
      </c>
      <c r="Y325" t="s">
        <v>1735</v>
      </c>
      <c r="Z325" t="s">
        <v>1735</v>
      </c>
      <c r="AA325" t="s">
        <v>1736</v>
      </c>
      <c r="AB325" t="s">
        <v>35327</v>
      </c>
      <c r="AC325" t="s">
        <v>34465</v>
      </c>
      <c r="AD325" t="s">
        <v>7954</v>
      </c>
      <c r="AE325" t="s">
        <v>34649</v>
      </c>
      <c r="AF325" t="s">
        <v>35323</v>
      </c>
      <c r="AG325" t="s">
        <v>35310</v>
      </c>
    </row>
    <row r="326" spans="1:33" x14ac:dyDescent="0.25">
      <c r="A326" t="s">
        <v>34462</v>
      </c>
      <c r="B326" t="s">
        <v>1792</v>
      </c>
      <c r="C326" t="s">
        <v>1794</v>
      </c>
      <c r="D326">
        <v>17.5</v>
      </c>
      <c r="E326">
        <v>17.5</v>
      </c>
      <c r="F326">
        <v>37317</v>
      </c>
      <c r="G326">
        <v>58427</v>
      </c>
      <c r="H326">
        <v>31.64</v>
      </c>
      <c r="I326">
        <v>34.17</v>
      </c>
      <c r="J326">
        <v>0.05</v>
      </c>
      <c r="K326">
        <v>0.13</v>
      </c>
      <c r="L326">
        <v>2</v>
      </c>
      <c r="M326">
        <v>2</v>
      </c>
      <c r="N326">
        <v>4.5999999999999996</v>
      </c>
      <c r="O326">
        <v>4</v>
      </c>
      <c r="P326">
        <v>72</v>
      </c>
      <c r="Q326">
        <v>36</v>
      </c>
      <c r="R326">
        <v>99</v>
      </c>
      <c r="S326" t="s">
        <v>35307</v>
      </c>
      <c r="U326">
        <v>1.2235640999999999</v>
      </c>
      <c r="V326">
        <v>6.86</v>
      </c>
      <c r="W326">
        <v>1.75</v>
      </c>
      <c r="X326" t="s">
        <v>1791</v>
      </c>
      <c r="Y326" t="s">
        <v>1735</v>
      </c>
      <c r="Z326" t="s">
        <v>1735</v>
      </c>
      <c r="AA326" t="s">
        <v>76</v>
      </c>
      <c r="AB326" t="s">
        <v>35328</v>
      </c>
      <c r="AC326" t="s">
        <v>34493</v>
      </c>
      <c r="AD326" t="s">
        <v>7954</v>
      </c>
      <c r="AE326" t="s">
        <v>34469</v>
      </c>
      <c r="AF326" t="s">
        <v>35316</v>
      </c>
      <c r="AG326" t="s">
        <v>35310</v>
      </c>
    </row>
    <row r="327" spans="1:33" x14ac:dyDescent="0.25">
      <c r="A327" t="s">
        <v>34462</v>
      </c>
      <c r="B327" t="s">
        <v>1797</v>
      </c>
      <c r="C327" t="s">
        <v>1799</v>
      </c>
      <c r="D327">
        <v>27.09</v>
      </c>
      <c r="E327">
        <v>27.09</v>
      </c>
      <c r="F327">
        <v>38876</v>
      </c>
      <c r="G327">
        <v>93910</v>
      </c>
      <c r="H327">
        <v>32.299999999999997</v>
      </c>
      <c r="I327">
        <v>32.159999999999997</v>
      </c>
      <c r="J327">
        <v>0.57999999999999996</v>
      </c>
      <c r="K327">
        <v>0.92</v>
      </c>
      <c r="L327">
        <v>2</v>
      </c>
      <c r="M327">
        <v>2</v>
      </c>
      <c r="N327">
        <v>4.5999999999999996</v>
      </c>
      <c r="O327">
        <v>0</v>
      </c>
      <c r="P327">
        <v>72</v>
      </c>
      <c r="Q327">
        <v>36</v>
      </c>
      <c r="R327">
        <v>73</v>
      </c>
      <c r="S327" t="s">
        <v>35307</v>
      </c>
      <c r="U327">
        <v>1.1904948</v>
      </c>
      <c r="V327">
        <v>6.86</v>
      </c>
      <c r="X327" t="s">
        <v>1796</v>
      </c>
      <c r="Y327" t="s">
        <v>1735</v>
      </c>
      <c r="Z327" t="s">
        <v>1735</v>
      </c>
      <c r="AA327" t="s">
        <v>1747</v>
      </c>
      <c r="AB327" t="s">
        <v>35329</v>
      </c>
      <c r="AC327" t="s">
        <v>34465</v>
      </c>
      <c r="AD327" t="s">
        <v>7954</v>
      </c>
      <c r="AE327" t="s">
        <v>34469</v>
      </c>
      <c r="AF327" t="s">
        <v>35319</v>
      </c>
      <c r="AG327" t="s">
        <v>35310</v>
      </c>
    </row>
    <row r="328" spans="1:33" x14ac:dyDescent="0.25">
      <c r="A328" t="s">
        <v>34462</v>
      </c>
      <c r="B328" t="s">
        <v>1802</v>
      </c>
      <c r="C328" t="s">
        <v>1804</v>
      </c>
      <c r="D328">
        <v>35</v>
      </c>
      <c r="E328">
        <v>35</v>
      </c>
      <c r="F328">
        <v>37317</v>
      </c>
      <c r="G328">
        <v>49114</v>
      </c>
      <c r="H328">
        <v>31.4</v>
      </c>
      <c r="I328">
        <v>33.36</v>
      </c>
      <c r="J328">
        <v>0.02</v>
      </c>
      <c r="K328">
        <v>0.2</v>
      </c>
      <c r="L328">
        <v>3</v>
      </c>
      <c r="M328">
        <v>3</v>
      </c>
      <c r="N328">
        <v>4.5999999999999996</v>
      </c>
      <c r="O328">
        <v>4</v>
      </c>
      <c r="P328">
        <v>72</v>
      </c>
      <c r="Q328">
        <v>48</v>
      </c>
      <c r="R328">
        <v>121</v>
      </c>
      <c r="S328" t="s">
        <v>35307</v>
      </c>
      <c r="U328">
        <v>1.2125410000000001</v>
      </c>
      <c r="V328">
        <v>6.86</v>
      </c>
      <c r="W328">
        <v>3.5</v>
      </c>
      <c r="X328" t="s">
        <v>1801</v>
      </c>
      <c r="Y328" t="s">
        <v>35321</v>
      </c>
      <c r="Z328" t="s">
        <v>1735</v>
      </c>
      <c r="AA328" t="s">
        <v>1736</v>
      </c>
      <c r="AB328" t="s">
        <v>35330</v>
      </c>
      <c r="AC328" t="s">
        <v>34465</v>
      </c>
      <c r="AD328" t="s">
        <v>7954</v>
      </c>
      <c r="AE328" t="s">
        <v>34469</v>
      </c>
      <c r="AF328" t="s">
        <v>35309</v>
      </c>
      <c r="AG328" t="s">
        <v>35310</v>
      </c>
    </row>
    <row r="329" spans="1:33" x14ac:dyDescent="0.25">
      <c r="A329" t="s">
        <v>34462</v>
      </c>
      <c r="B329" t="s">
        <v>1807</v>
      </c>
      <c r="C329" t="s">
        <v>1810</v>
      </c>
      <c r="D329">
        <v>76.25</v>
      </c>
      <c r="E329">
        <v>76.25</v>
      </c>
      <c r="F329">
        <v>325228</v>
      </c>
      <c r="G329">
        <v>239146</v>
      </c>
      <c r="I329">
        <v>104.18</v>
      </c>
      <c r="J329">
        <v>0.03</v>
      </c>
      <c r="K329">
        <v>1</v>
      </c>
      <c r="L329">
        <v>2</v>
      </c>
      <c r="M329">
        <v>2</v>
      </c>
      <c r="N329">
        <v>4.5999999999999996</v>
      </c>
      <c r="O329">
        <v>12</v>
      </c>
      <c r="P329">
        <v>124</v>
      </c>
      <c r="Q329">
        <v>36</v>
      </c>
      <c r="R329">
        <v>68</v>
      </c>
      <c r="S329" t="s">
        <v>35331</v>
      </c>
      <c r="U329">
        <v>2.6962502599999998</v>
      </c>
      <c r="V329">
        <v>7.16</v>
      </c>
      <c r="X329" t="s">
        <v>1806</v>
      </c>
      <c r="Y329" t="s">
        <v>1812</v>
      </c>
      <c r="Z329" t="s">
        <v>1812</v>
      </c>
      <c r="AA329" t="s">
        <v>1813</v>
      </c>
      <c r="AB329" t="s">
        <v>35332</v>
      </c>
      <c r="AC329" t="s">
        <v>34465</v>
      </c>
      <c r="AD329" t="s">
        <v>7965</v>
      </c>
      <c r="AE329" t="s">
        <v>88</v>
      </c>
      <c r="AF329" t="s">
        <v>35333</v>
      </c>
      <c r="AG329" t="s">
        <v>35334</v>
      </c>
    </row>
    <row r="330" spans="1:33" x14ac:dyDescent="0.25">
      <c r="A330" t="s">
        <v>34462</v>
      </c>
      <c r="B330" t="s">
        <v>1815</v>
      </c>
      <c r="C330" t="s">
        <v>1817</v>
      </c>
      <c r="D330">
        <v>75</v>
      </c>
      <c r="E330">
        <v>75</v>
      </c>
      <c r="F330">
        <v>325228</v>
      </c>
      <c r="G330">
        <v>237581</v>
      </c>
      <c r="H330">
        <v>82.09</v>
      </c>
      <c r="I330">
        <v>82.6</v>
      </c>
      <c r="J330">
        <v>0</v>
      </c>
      <c r="K330">
        <v>1</v>
      </c>
      <c r="L330">
        <v>2</v>
      </c>
      <c r="M330">
        <v>1</v>
      </c>
      <c r="N330">
        <v>4.5999999999999996</v>
      </c>
      <c r="O330">
        <v>6</v>
      </c>
      <c r="P330">
        <v>124</v>
      </c>
      <c r="Q330">
        <v>39</v>
      </c>
      <c r="R330">
        <v>77</v>
      </c>
      <c r="S330" t="s">
        <v>35331</v>
      </c>
      <c r="U330">
        <v>2.7249103200000002</v>
      </c>
      <c r="V330">
        <v>7.16</v>
      </c>
      <c r="X330" t="s">
        <v>1814</v>
      </c>
      <c r="Y330" t="s">
        <v>1812</v>
      </c>
      <c r="Z330" t="s">
        <v>1812</v>
      </c>
      <c r="AA330" t="s">
        <v>1813</v>
      </c>
      <c r="AB330" t="s">
        <v>35335</v>
      </c>
      <c r="AC330" t="s">
        <v>34465</v>
      </c>
      <c r="AD330" t="s">
        <v>7965</v>
      </c>
      <c r="AE330" t="s">
        <v>7966</v>
      </c>
      <c r="AF330" t="s">
        <v>35333</v>
      </c>
      <c r="AG330" t="s">
        <v>35334</v>
      </c>
    </row>
    <row r="331" spans="1:33" x14ac:dyDescent="0.25">
      <c r="A331" t="s">
        <v>34462</v>
      </c>
      <c r="B331" t="s">
        <v>1819</v>
      </c>
      <c r="C331" t="s">
        <v>1821</v>
      </c>
      <c r="D331">
        <v>72.5</v>
      </c>
      <c r="E331">
        <v>72.5</v>
      </c>
      <c r="F331">
        <v>325228</v>
      </c>
      <c r="G331">
        <v>240002</v>
      </c>
      <c r="I331">
        <v>87.18</v>
      </c>
      <c r="J331">
        <v>0</v>
      </c>
      <c r="K331">
        <v>1</v>
      </c>
      <c r="L331">
        <v>2</v>
      </c>
      <c r="M331">
        <v>1</v>
      </c>
      <c r="N331">
        <v>4.5999999999999996</v>
      </c>
      <c r="O331">
        <v>13</v>
      </c>
      <c r="P331">
        <v>124</v>
      </c>
      <c r="Q331">
        <v>58</v>
      </c>
      <c r="R331">
        <v>123</v>
      </c>
      <c r="S331" t="s">
        <v>35331</v>
      </c>
      <c r="U331">
        <v>2.8108905000000002</v>
      </c>
      <c r="V331">
        <v>7.16</v>
      </c>
      <c r="X331" t="s">
        <v>1818</v>
      </c>
      <c r="Y331" t="s">
        <v>1812</v>
      </c>
      <c r="Z331" t="s">
        <v>1812</v>
      </c>
      <c r="AA331" t="s">
        <v>1813</v>
      </c>
      <c r="AB331" t="s">
        <v>35336</v>
      </c>
      <c r="AC331" t="s">
        <v>34465</v>
      </c>
      <c r="AD331" t="s">
        <v>7965</v>
      </c>
      <c r="AE331" t="s">
        <v>131</v>
      </c>
      <c r="AF331" t="s">
        <v>35333</v>
      </c>
      <c r="AG331" t="s">
        <v>35334</v>
      </c>
    </row>
    <row r="332" spans="1:33" x14ac:dyDescent="0.25">
      <c r="A332" t="s">
        <v>34462</v>
      </c>
      <c r="B332" t="s">
        <v>1824</v>
      </c>
      <c r="C332" t="s">
        <v>1826</v>
      </c>
      <c r="D332">
        <v>83.25</v>
      </c>
      <c r="E332">
        <v>83.25</v>
      </c>
      <c r="F332">
        <v>325228</v>
      </c>
      <c r="G332">
        <v>239247</v>
      </c>
      <c r="I332">
        <v>87.02</v>
      </c>
      <c r="J332">
        <v>0</v>
      </c>
      <c r="K332">
        <v>1</v>
      </c>
      <c r="L332">
        <v>3</v>
      </c>
      <c r="M332">
        <v>3</v>
      </c>
      <c r="N332">
        <v>4.5999999999999996</v>
      </c>
      <c r="O332">
        <v>14</v>
      </c>
      <c r="P332">
        <v>124</v>
      </c>
      <c r="Q332">
        <v>51</v>
      </c>
      <c r="R332">
        <v>104</v>
      </c>
      <c r="S332" t="s">
        <v>35331</v>
      </c>
      <c r="U332">
        <v>3.0026924400000001</v>
      </c>
      <c r="V332">
        <v>7.56</v>
      </c>
      <c r="X332" t="s">
        <v>1823</v>
      </c>
      <c r="Y332" t="s">
        <v>1812</v>
      </c>
      <c r="Z332" t="s">
        <v>1812</v>
      </c>
      <c r="AA332" t="s">
        <v>1813</v>
      </c>
      <c r="AB332" t="s">
        <v>35337</v>
      </c>
      <c r="AC332" t="s">
        <v>34465</v>
      </c>
      <c r="AD332" t="s">
        <v>7965</v>
      </c>
      <c r="AE332" t="s">
        <v>7967</v>
      </c>
      <c r="AF332" t="s">
        <v>35333</v>
      </c>
      <c r="AG332" t="s">
        <v>35334</v>
      </c>
    </row>
    <row r="333" spans="1:33" x14ac:dyDescent="0.25">
      <c r="A333" t="s">
        <v>34462</v>
      </c>
      <c r="B333" t="s">
        <v>1829</v>
      </c>
      <c r="C333" t="s">
        <v>1831</v>
      </c>
      <c r="D333">
        <v>77.25</v>
      </c>
      <c r="E333">
        <v>77.25</v>
      </c>
      <c r="F333">
        <v>325228</v>
      </c>
      <c r="G333">
        <v>233504</v>
      </c>
      <c r="I333">
        <v>78.81</v>
      </c>
      <c r="J333">
        <v>0</v>
      </c>
      <c r="K333">
        <v>1</v>
      </c>
      <c r="L333">
        <v>2</v>
      </c>
      <c r="M333">
        <v>2</v>
      </c>
      <c r="N333">
        <v>4.5999999999999996</v>
      </c>
      <c r="O333">
        <v>10</v>
      </c>
      <c r="P333">
        <v>124</v>
      </c>
      <c r="Q333">
        <v>66</v>
      </c>
      <c r="R333">
        <v>152</v>
      </c>
      <c r="S333" t="s">
        <v>35331</v>
      </c>
      <c r="U333">
        <v>2.9586000399999999</v>
      </c>
      <c r="V333">
        <v>7.56</v>
      </c>
      <c r="X333" t="s">
        <v>1828</v>
      </c>
      <c r="Y333" t="s">
        <v>1812</v>
      </c>
      <c r="Z333" t="s">
        <v>1812</v>
      </c>
      <c r="AA333" t="s">
        <v>1813</v>
      </c>
      <c r="AB333" t="s">
        <v>35338</v>
      </c>
      <c r="AC333" t="s">
        <v>34465</v>
      </c>
      <c r="AD333" t="s">
        <v>7965</v>
      </c>
      <c r="AE333" t="s">
        <v>269</v>
      </c>
      <c r="AF333" t="s">
        <v>35333</v>
      </c>
      <c r="AG333" t="s">
        <v>35334</v>
      </c>
    </row>
    <row r="334" spans="1:33" x14ac:dyDescent="0.25">
      <c r="A334" t="s">
        <v>34462</v>
      </c>
      <c r="B334" t="s">
        <v>1834</v>
      </c>
      <c r="C334" t="s">
        <v>1836</v>
      </c>
      <c r="D334">
        <v>79.5</v>
      </c>
      <c r="E334">
        <v>79.5</v>
      </c>
      <c r="F334">
        <v>325228</v>
      </c>
      <c r="G334">
        <v>236700</v>
      </c>
      <c r="I334">
        <v>81.69</v>
      </c>
      <c r="J334">
        <v>0</v>
      </c>
      <c r="K334">
        <v>1</v>
      </c>
      <c r="L334">
        <v>2</v>
      </c>
      <c r="M334">
        <v>1</v>
      </c>
      <c r="N334">
        <v>4.5999999999999996</v>
      </c>
      <c r="O334">
        <v>19</v>
      </c>
      <c r="P334">
        <v>124</v>
      </c>
      <c r="Q334">
        <v>41</v>
      </c>
      <c r="R334">
        <v>101</v>
      </c>
      <c r="S334" t="s">
        <v>35331</v>
      </c>
      <c r="U334">
        <v>3.05780794</v>
      </c>
      <c r="V334">
        <v>7.56</v>
      </c>
      <c r="X334" t="s">
        <v>1833</v>
      </c>
      <c r="Y334" t="s">
        <v>1812</v>
      </c>
      <c r="Z334" t="s">
        <v>1812</v>
      </c>
      <c r="AA334" t="s">
        <v>1813</v>
      </c>
      <c r="AB334" t="s">
        <v>35339</v>
      </c>
      <c r="AC334" t="s">
        <v>34465</v>
      </c>
      <c r="AD334" t="s">
        <v>7965</v>
      </c>
      <c r="AE334" t="s">
        <v>7968</v>
      </c>
      <c r="AF334" t="s">
        <v>35333</v>
      </c>
      <c r="AG334" t="s">
        <v>35334</v>
      </c>
    </row>
    <row r="335" spans="1:33" x14ac:dyDescent="0.25">
      <c r="A335" t="s">
        <v>34462</v>
      </c>
      <c r="B335" t="s">
        <v>1839</v>
      </c>
      <c r="C335" t="s">
        <v>1841</v>
      </c>
      <c r="D335">
        <v>77.5</v>
      </c>
      <c r="E335">
        <v>77.5</v>
      </c>
      <c r="F335">
        <v>325228</v>
      </c>
      <c r="G335">
        <v>239731</v>
      </c>
      <c r="H335">
        <v>62.95</v>
      </c>
      <c r="I335">
        <v>79.23</v>
      </c>
      <c r="J335">
        <v>0</v>
      </c>
      <c r="K335">
        <v>1</v>
      </c>
      <c r="L335">
        <v>2</v>
      </c>
      <c r="M335">
        <v>2</v>
      </c>
      <c r="N335">
        <v>4.5999999999999996</v>
      </c>
      <c r="O335">
        <v>9</v>
      </c>
      <c r="P335">
        <v>124</v>
      </c>
      <c r="Q335">
        <v>53</v>
      </c>
      <c r="R335">
        <v>119</v>
      </c>
      <c r="S335" t="s">
        <v>35331</v>
      </c>
      <c r="U335">
        <v>3.07764952</v>
      </c>
      <c r="V335">
        <v>7.56</v>
      </c>
      <c r="X335" t="s">
        <v>1838</v>
      </c>
      <c r="Y335" t="s">
        <v>1812</v>
      </c>
      <c r="Z335" t="s">
        <v>1812</v>
      </c>
      <c r="AA335" t="s">
        <v>1813</v>
      </c>
      <c r="AB335" t="s">
        <v>35340</v>
      </c>
      <c r="AC335" t="s">
        <v>34465</v>
      </c>
      <c r="AD335" t="s">
        <v>7965</v>
      </c>
      <c r="AE335" t="s">
        <v>576</v>
      </c>
      <c r="AF335" t="s">
        <v>35333</v>
      </c>
      <c r="AG335" t="s">
        <v>35334</v>
      </c>
    </row>
    <row r="336" spans="1:33" x14ac:dyDescent="0.25">
      <c r="A336" t="s">
        <v>34462</v>
      </c>
      <c r="B336" t="s">
        <v>1844</v>
      </c>
      <c r="C336" t="s">
        <v>1846</v>
      </c>
      <c r="D336">
        <v>76</v>
      </c>
      <c r="E336">
        <v>76</v>
      </c>
      <c r="F336">
        <v>325228</v>
      </c>
      <c r="G336">
        <v>233788</v>
      </c>
      <c r="I336">
        <v>87.83</v>
      </c>
      <c r="J336">
        <v>0.01</v>
      </c>
      <c r="K336">
        <v>1</v>
      </c>
      <c r="L336">
        <v>2</v>
      </c>
      <c r="M336">
        <v>3</v>
      </c>
      <c r="N336">
        <v>4.5999999999999996</v>
      </c>
      <c r="O336">
        <v>12</v>
      </c>
      <c r="P336">
        <v>124</v>
      </c>
      <c r="Q336">
        <v>45</v>
      </c>
      <c r="R336">
        <v>87</v>
      </c>
      <c r="S336" t="s">
        <v>35331</v>
      </c>
      <c r="U336">
        <v>3.1966990000000002</v>
      </c>
      <c r="V336">
        <v>7.56</v>
      </c>
      <c r="X336" t="s">
        <v>1843</v>
      </c>
      <c r="Y336" t="s">
        <v>1812</v>
      </c>
      <c r="Z336" t="s">
        <v>1812</v>
      </c>
      <c r="AA336" t="s">
        <v>1813</v>
      </c>
      <c r="AB336" t="s">
        <v>35341</v>
      </c>
      <c r="AC336" t="s">
        <v>34465</v>
      </c>
      <c r="AD336" t="s">
        <v>7965</v>
      </c>
      <c r="AE336" t="s">
        <v>7969</v>
      </c>
      <c r="AF336" t="s">
        <v>35333</v>
      </c>
      <c r="AG336" t="s">
        <v>35334</v>
      </c>
    </row>
    <row r="337" spans="1:33" x14ac:dyDescent="0.25">
      <c r="A337" t="s">
        <v>34462</v>
      </c>
      <c r="B337" t="s">
        <v>1849</v>
      </c>
      <c r="C337" t="s">
        <v>1851</v>
      </c>
      <c r="D337">
        <v>76.91</v>
      </c>
      <c r="E337">
        <v>76.5</v>
      </c>
      <c r="F337">
        <v>325228</v>
      </c>
      <c r="G337">
        <v>235661</v>
      </c>
      <c r="H337">
        <v>77.75</v>
      </c>
      <c r="I337">
        <v>94.39</v>
      </c>
      <c r="J337">
        <v>0</v>
      </c>
      <c r="K337">
        <v>1</v>
      </c>
      <c r="L337">
        <v>2</v>
      </c>
      <c r="M337">
        <v>2</v>
      </c>
      <c r="N337">
        <v>4.5999999999999996</v>
      </c>
      <c r="O337">
        <v>8</v>
      </c>
      <c r="P337">
        <v>124</v>
      </c>
      <c r="Q337">
        <v>33</v>
      </c>
      <c r="R337">
        <v>97</v>
      </c>
      <c r="S337" t="s">
        <v>35331</v>
      </c>
      <c r="U337">
        <v>3.2474052599999998</v>
      </c>
      <c r="V337">
        <v>7.56</v>
      </c>
      <c r="W337">
        <v>11.54</v>
      </c>
      <c r="X337" t="s">
        <v>1848</v>
      </c>
      <c r="Y337" t="s">
        <v>1812</v>
      </c>
      <c r="Z337" t="s">
        <v>1812</v>
      </c>
      <c r="AA337" t="s">
        <v>1813</v>
      </c>
      <c r="AB337" t="s">
        <v>35342</v>
      </c>
      <c r="AC337" t="s">
        <v>34465</v>
      </c>
      <c r="AD337" t="s">
        <v>7965</v>
      </c>
      <c r="AE337" t="s">
        <v>255</v>
      </c>
      <c r="AF337" t="s">
        <v>35333</v>
      </c>
      <c r="AG337" t="s">
        <v>35334</v>
      </c>
    </row>
    <row r="338" spans="1:33" x14ac:dyDescent="0.25">
      <c r="A338" t="s">
        <v>34462</v>
      </c>
      <c r="B338" t="s">
        <v>1854</v>
      </c>
      <c r="C338" t="s">
        <v>1857</v>
      </c>
      <c r="D338">
        <v>29.67</v>
      </c>
      <c r="E338">
        <v>29.67</v>
      </c>
      <c r="F338">
        <v>57946</v>
      </c>
      <c r="G338">
        <v>32943</v>
      </c>
      <c r="H338">
        <v>35.369999999999997</v>
      </c>
      <c r="I338">
        <v>36.78</v>
      </c>
      <c r="J338">
        <v>0</v>
      </c>
      <c r="K338">
        <v>0</v>
      </c>
      <c r="L338">
        <v>12</v>
      </c>
      <c r="M338">
        <v>12</v>
      </c>
      <c r="N338">
        <v>4.5999999999999996</v>
      </c>
      <c r="O338">
        <v>25</v>
      </c>
      <c r="P338">
        <v>380</v>
      </c>
      <c r="Q338">
        <v>45</v>
      </c>
      <c r="R338">
        <v>144</v>
      </c>
      <c r="S338" t="s">
        <v>35343</v>
      </c>
      <c r="T338">
        <v>100</v>
      </c>
      <c r="U338">
        <v>0.85980180000000006</v>
      </c>
      <c r="V338">
        <v>6.86</v>
      </c>
      <c r="W338">
        <v>5.04</v>
      </c>
      <c r="X338" t="s">
        <v>1853</v>
      </c>
      <c r="Y338" t="s">
        <v>1858</v>
      </c>
      <c r="Z338" t="s">
        <v>1858</v>
      </c>
      <c r="AA338" t="s">
        <v>1859</v>
      </c>
      <c r="AB338" t="s">
        <v>35344</v>
      </c>
      <c r="AC338" t="s">
        <v>34493</v>
      </c>
      <c r="AD338" t="s">
        <v>8078</v>
      </c>
      <c r="AE338" t="s">
        <v>34533</v>
      </c>
      <c r="AF338" t="s">
        <v>35345</v>
      </c>
      <c r="AG338" t="s">
        <v>35346</v>
      </c>
    </row>
    <row r="339" spans="1:33" x14ac:dyDescent="0.25">
      <c r="A339" t="s">
        <v>34462</v>
      </c>
      <c r="B339" t="s">
        <v>1861</v>
      </c>
      <c r="C339" t="s">
        <v>1863</v>
      </c>
      <c r="D339">
        <v>34.97</v>
      </c>
      <c r="E339">
        <v>28.64</v>
      </c>
      <c r="F339">
        <v>57946</v>
      </c>
      <c r="G339">
        <v>34693</v>
      </c>
      <c r="H339">
        <v>35.21</v>
      </c>
      <c r="I339">
        <v>37</v>
      </c>
      <c r="J339">
        <v>0</v>
      </c>
      <c r="K339">
        <v>0</v>
      </c>
      <c r="L339">
        <v>10</v>
      </c>
      <c r="M339">
        <v>12</v>
      </c>
      <c r="N339">
        <v>4.5999999999999996</v>
      </c>
      <c r="O339">
        <v>3</v>
      </c>
      <c r="P339">
        <v>380</v>
      </c>
      <c r="Q339">
        <v>42</v>
      </c>
      <c r="R339">
        <v>136</v>
      </c>
      <c r="S339" t="s">
        <v>35343</v>
      </c>
      <c r="U339">
        <v>0.74957079999999998</v>
      </c>
      <c r="V339">
        <v>6.67</v>
      </c>
      <c r="W339">
        <v>5.94</v>
      </c>
      <c r="X339" t="s">
        <v>1860</v>
      </c>
      <c r="Y339" t="s">
        <v>1858</v>
      </c>
      <c r="Z339" t="s">
        <v>1858</v>
      </c>
      <c r="AA339" t="s">
        <v>1865</v>
      </c>
      <c r="AB339" t="s">
        <v>35347</v>
      </c>
      <c r="AC339" t="s">
        <v>34493</v>
      </c>
      <c r="AD339" t="s">
        <v>8078</v>
      </c>
      <c r="AE339" t="s">
        <v>34533</v>
      </c>
      <c r="AF339" t="s">
        <v>35348</v>
      </c>
      <c r="AG339" t="s">
        <v>35349</v>
      </c>
    </row>
    <row r="340" spans="1:33" x14ac:dyDescent="0.25">
      <c r="A340" t="s">
        <v>34462</v>
      </c>
      <c r="B340" t="s">
        <v>1867</v>
      </c>
      <c r="C340" t="s">
        <v>1869</v>
      </c>
      <c r="D340">
        <v>42.52</v>
      </c>
      <c r="E340">
        <v>42.52</v>
      </c>
      <c r="F340">
        <v>57946</v>
      </c>
      <c r="G340">
        <v>33470</v>
      </c>
      <c r="H340">
        <v>43.87</v>
      </c>
      <c r="I340">
        <v>43.91</v>
      </c>
      <c r="J340">
        <v>0</v>
      </c>
      <c r="K340">
        <v>0</v>
      </c>
      <c r="L340">
        <v>13</v>
      </c>
      <c r="M340">
        <v>19</v>
      </c>
      <c r="N340">
        <v>4.5999999999999996</v>
      </c>
      <c r="O340">
        <v>14</v>
      </c>
      <c r="P340">
        <v>380</v>
      </c>
      <c r="Q340">
        <v>63</v>
      </c>
      <c r="R340">
        <v>210</v>
      </c>
      <c r="S340" t="s">
        <v>35343</v>
      </c>
      <c r="U340">
        <v>0.83775560000000004</v>
      </c>
      <c r="V340">
        <v>6.86</v>
      </c>
      <c r="W340">
        <v>7.23</v>
      </c>
      <c r="X340" t="s">
        <v>1866</v>
      </c>
      <c r="Y340" t="s">
        <v>1858</v>
      </c>
      <c r="Z340" t="s">
        <v>1858</v>
      </c>
      <c r="AA340" t="s">
        <v>1865</v>
      </c>
      <c r="AB340" t="s">
        <v>35350</v>
      </c>
      <c r="AC340" t="s">
        <v>34493</v>
      </c>
      <c r="AD340" t="s">
        <v>8078</v>
      </c>
      <c r="AE340" t="s">
        <v>14701</v>
      </c>
      <c r="AF340" t="s">
        <v>35348</v>
      </c>
      <c r="AG340" t="s">
        <v>35346</v>
      </c>
    </row>
    <row r="341" spans="1:33" x14ac:dyDescent="0.25">
      <c r="A341" t="s">
        <v>34462</v>
      </c>
      <c r="B341" t="s">
        <v>1871</v>
      </c>
      <c r="C341" t="s">
        <v>1873</v>
      </c>
      <c r="D341">
        <v>38.979999999999997</v>
      </c>
      <c r="E341">
        <v>30.13</v>
      </c>
      <c r="F341">
        <v>57946</v>
      </c>
      <c r="G341">
        <v>32829</v>
      </c>
      <c r="H341">
        <v>41.72</v>
      </c>
      <c r="I341">
        <v>40.99</v>
      </c>
      <c r="J341">
        <v>0</v>
      </c>
      <c r="K341">
        <v>0</v>
      </c>
      <c r="L341">
        <v>12</v>
      </c>
      <c r="M341">
        <v>18</v>
      </c>
      <c r="N341">
        <v>4.5999999999999996</v>
      </c>
      <c r="O341">
        <v>26</v>
      </c>
      <c r="P341">
        <v>380</v>
      </c>
      <c r="Q341">
        <v>62</v>
      </c>
      <c r="R341">
        <v>193</v>
      </c>
      <c r="S341" t="s">
        <v>35343</v>
      </c>
      <c r="U341">
        <v>0.83775560000000004</v>
      </c>
      <c r="V341">
        <v>6.48</v>
      </c>
      <c r="W341">
        <v>6.63</v>
      </c>
      <c r="X341" t="s">
        <v>1870</v>
      </c>
      <c r="Y341" t="s">
        <v>1858</v>
      </c>
      <c r="Z341" t="s">
        <v>1858</v>
      </c>
      <c r="AA341" t="s">
        <v>1865</v>
      </c>
      <c r="AB341" t="s">
        <v>35351</v>
      </c>
      <c r="AC341" t="s">
        <v>34493</v>
      </c>
      <c r="AD341" t="s">
        <v>8078</v>
      </c>
      <c r="AE341" t="s">
        <v>34525</v>
      </c>
      <c r="AF341" t="s">
        <v>35348</v>
      </c>
      <c r="AG341" t="s">
        <v>35349</v>
      </c>
    </row>
    <row r="342" spans="1:33" x14ac:dyDescent="0.25">
      <c r="A342" t="s">
        <v>34462</v>
      </c>
      <c r="B342" t="s">
        <v>1876</v>
      </c>
      <c r="C342" t="s">
        <v>1878</v>
      </c>
      <c r="D342">
        <v>41.12</v>
      </c>
      <c r="E342">
        <v>41.12</v>
      </c>
      <c r="F342">
        <v>57946</v>
      </c>
      <c r="G342">
        <v>35553</v>
      </c>
      <c r="H342">
        <v>40.880000000000003</v>
      </c>
      <c r="I342">
        <v>41.97</v>
      </c>
      <c r="J342">
        <v>0</v>
      </c>
      <c r="K342">
        <v>0</v>
      </c>
      <c r="L342">
        <v>11</v>
      </c>
      <c r="M342">
        <v>13</v>
      </c>
      <c r="N342">
        <v>4.5999999999999996</v>
      </c>
      <c r="O342">
        <v>11</v>
      </c>
      <c r="P342">
        <v>380</v>
      </c>
      <c r="Q342">
        <v>55</v>
      </c>
      <c r="R342">
        <v>171</v>
      </c>
      <c r="S342" t="s">
        <v>35343</v>
      </c>
      <c r="U342">
        <v>0.94798660000000001</v>
      </c>
      <c r="V342">
        <v>6.67</v>
      </c>
      <c r="W342">
        <v>6.99</v>
      </c>
      <c r="X342" t="s">
        <v>1875</v>
      </c>
      <c r="Y342" t="s">
        <v>1858</v>
      </c>
      <c r="Z342" t="s">
        <v>1858</v>
      </c>
      <c r="AA342" t="s">
        <v>1865</v>
      </c>
      <c r="AB342" t="s">
        <v>35352</v>
      </c>
      <c r="AC342" t="s">
        <v>34493</v>
      </c>
      <c r="AD342" t="s">
        <v>8078</v>
      </c>
      <c r="AE342" t="s">
        <v>34649</v>
      </c>
      <c r="AF342" t="s">
        <v>35348</v>
      </c>
      <c r="AG342" t="s">
        <v>35346</v>
      </c>
    </row>
    <row r="343" spans="1:33" x14ac:dyDescent="0.25">
      <c r="A343" t="s">
        <v>34462</v>
      </c>
      <c r="B343" t="s">
        <v>1881</v>
      </c>
      <c r="C343" t="s">
        <v>1883</v>
      </c>
      <c r="D343">
        <v>35.72</v>
      </c>
      <c r="E343">
        <v>30.45</v>
      </c>
      <c r="F343">
        <v>57946</v>
      </c>
      <c r="G343">
        <v>32308</v>
      </c>
      <c r="H343">
        <v>37.72</v>
      </c>
      <c r="I343">
        <v>40.35</v>
      </c>
      <c r="J343">
        <v>0</v>
      </c>
      <c r="K343">
        <v>0</v>
      </c>
      <c r="L343">
        <v>11</v>
      </c>
      <c r="M343">
        <v>12</v>
      </c>
      <c r="N343">
        <v>4.5999999999999996</v>
      </c>
      <c r="O343">
        <v>31</v>
      </c>
      <c r="P343">
        <v>380</v>
      </c>
      <c r="Q343">
        <v>61</v>
      </c>
      <c r="R343">
        <v>195</v>
      </c>
      <c r="S343" t="s">
        <v>35343</v>
      </c>
      <c r="T343">
        <v>50</v>
      </c>
      <c r="U343">
        <v>0.99207900000000004</v>
      </c>
      <c r="V343">
        <v>6.67</v>
      </c>
      <c r="W343">
        <v>6.07</v>
      </c>
      <c r="X343" t="s">
        <v>1880</v>
      </c>
      <c r="Y343" t="s">
        <v>1858</v>
      </c>
      <c r="Z343" t="s">
        <v>1858</v>
      </c>
      <c r="AA343" t="s">
        <v>1859</v>
      </c>
      <c r="AB343" t="s">
        <v>35353</v>
      </c>
      <c r="AC343" t="s">
        <v>34493</v>
      </c>
      <c r="AD343" t="s">
        <v>8078</v>
      </c>
      <c r="AE343" t="s">
        <v>34649</v>
      </c>
      <c r="AF343" t="s">
        <v>35345</v>
      </c>
      <c r="AG343" t="s">
        <v>35346</v>
      </c>
    </row>
    <row r="344" spans="1:33" x14ac:dyDescent="0.25">
      <c r="A344" t="s">
        <v>34462</v>
      </c>
      <c r="B344" t="s">
        <v>1886</v>
      </c>
      <c r="C344" t="s">
        <v>1888</v>
      </c>
      <c r="D344">
        <v>33.909999999999997</v>
      </c>
      <c r="E344">
        <v>30.45</v>
      </c>
      <c r="F344">
        <v>57946</v>
      </c>
      <c r="G344">
        <v>33574</v>
      </c>
      <c r="H344">
        <v>33.159999999999997</v>
      </c>
      <c r="I344">
        <v>35.72</v>
      </c>
      <c r="J344">
        <v>0</v>
      </c>
      <c r="K344">
        <v>0</v>
      </c>
      <c r="L344">
        <v>10</v>
      </c>
      <c r="M344">
        <v>12</v>
      </c>
      <c r="N344">
        <v>4.5999999999999996</v>
      </c>
      <c r="O344">
        <v>17</v>
      </c>
      <c r="P344">
        <v>380</v>
      </c>
      <c r="Q344">
        <v>32</v>
      </c>
      <c r="R344">
        <v>121</v>
      </c>
      <c r="S344" t="s">
        <v>35343</v>
      </c>
      <c r="U344">
        <v>1.0097159600000001</v>
      </c>
      <c r="V344">
        <v>6.67</v>
      </c>
      <c r="W344">
        <v>5.76</v>
      </c>
      <c r="X344" t="s">
        <v>1885</v>
      </c>
      <c r="Y344" t="s">
        <v>1858</v>
      </c>
      <c r="Z344" t="s">
        <v>1858</v>
      </c>
      <c r="AA344" t="s">
        <v>1859</v>
      </c>
      <c r="AB344" t="s">
        <v>35354</v>
      </c>
      <c r="AC344" t="s">
        <v>34493</v>
      </c>
      <c r="AD344" t="s">
        <v>8078</v>
      </c>
      <c r="AE344" t="s">
        <v>34469</v>
      </c>
      <c r="AF344" t="s">
        <v>35355</v>
      </c>
      <c r="AG344" t="s">
        <v>35346</v>
      </c>
    </row>
    <row r="345" spans="1:33" x14ac:dyDescent="0.25">
      <c r="A345" t="s">
        <v>34462</v>
      </c>
      <c r="B345" t="s">
        <v>1890</v>
      </c>
      <c r="C345" t="s">
        <v>1892</v>
      </c>
      <c r="D345">
        <v>37.96</v>
      </c>
      <c r="E345">
        <v>37.96</v>
      </c>
      <c r="F345">
        <v>57946</v>
      </c>
      <c r="G345">
        <v>37233</v>
      </c>
      <c r="H345">
        <v>37.299999999999997</v>
      </c>
      <c r="I345">
        <v>39.18</v>
      </c>
      <c r="J345">
        <v>0</v>
      </c>
      <c r="K345">
        <v>0</v>
      </c>
      <c r="L345">
        <v>14</v>
      </c>
      <c r="M345">
        <v>18</v>
      </c>
      <c r="N345">
        <v>4.5999999999999996</v>
      </c>
      <c r="O345">
        <v>6</v>
      </c>
      <c r="P345">
        <v>380</v>
      </c>
      <c r="Q345">
        <v>32</v>
      </c>
      <c r="R345">
        <v>112</v>
      </c>
      <c r="S345" t="s">
        <v>35343</v>
      </c>
      <c r="U345">
        <v>1.0141252000000001</v>
      </c>
      <c r="V345">
        <v>6.86</v>
      </c>
      <c r="W345">
        <v>6.45</v>
      </c>
      <c r="X345" t="s">
        <v>1889</v>
      </c>
      <c r="Y345" t="s">
        <v>1858</v>
      </c>
      <c r="Z345" t="s">
        <v>1858</v>
      </c>
      <c r="AA345" t="s">
        <v>1865</v>
      </c>
      <c r="AB345" t="s">
        <v>35356</v>
      </c>
      <c r="AC345" t="s">
        <v>34493</v>
      </c>
      <c r="AD345" t="s">
        <v>8078</v>
      </c>
      <c r="AE345" t="s">
        <v>34469</v>
      </c>
      <c r="AF345" t="s">
        <v>35348</v>
      </c>
      <c r="AG345" t="s">
        <v>35349</v>
      </c>
    </row>
    <row r="346" spans="1:33" x14ac:dyDescent="0.25">
      <c r="A346" t="s">
        <v>34462</v>
      </c>
      <c r="B346" t="s">
        <v>1895</v>
      </c>
      <c r="C346" t="s">
        <v>1898</v>
      </c>
      <c r="D346">
        <v>28.98</v>
      </c>
      <c r="F346">
        <v>1552</v>
      </c>
      <c r="G346">
        <v>5218</v>
      </c>
      <c r="H346">
        <v>28.98</v>
      </c>
      <c r="I346">
        <v>30.26</v>
      </c>
      <c r="L346">
        <v>3</v>
      </c>
      <c r="M346">
        <v>3</v>
      </c>
      <c r="N346">
        <v>4.5</v>
      </c>
      <c r="O346">
        <v>361</v>
      </c>
      <c r="P346">
        <v>17903</v>
      </c>
      <c r="Q346">
        <v>49</v>
      </c>
      <c r="R346">
        <v>134</v>
      </c>
      <c r="S346" t="s">
        <v>35357</v>
      </c>
      <c r="T346">
        <v>100</v>
      </c>
      <c r="U346">
        <v>0.93034963999999998</v>
      </c>
      <c r="V346">
        <v>6.6</v>
      </c>
      <c r="X346" t="s">
        <v>1894</v>
      </c>
      <c r="Y346" t="s">
        <v>35358</v>
      </c>
      <c r="Z346" t="s">
        <v>1900</v>
      </c>
      <c r="AA346" t="s">
        <v>1901</v>
      </c>
      <c r="AB346" t="s">
        <v>35359</v>
      </c>
      <c r="AC346" t="s">
        <v>34493</v>
      </c>
      <c r="AD346" t="s">
        <v>8081</v>
      </c>
      <c r="AE346" t="s">
        <v>34533</v>
      </c>
      <c r="AF346" t="s">
        <v>35360</v>
      </c>
      <c r="AG346" t="s">
        <v>35361</v>
      </c>
    </row>
    <row r="347" spans="1:33" x14ac:dyDescent="0.25">
      <c r="A347" t="s">
        <v>34462</v>
      </c>
      <c r="B347" t="s">
        <v>1903</v>
      </c>
      <c r="C347" t="s">
        <v>1898</v>
      </c>
      <c r="D347">
        <v>31.52</v>
      </c>
      <c r="F347">
        <v>1165</v>
      </c>
      <c r="G347">
        <v>5212</v>
      </c>
      <c r="H347">
        <v>31.52</v>
      </c>
      <c r="I347">
        <v>33.01</v>
      </c>
      <c r="L347">
        <v>4</v>
      </c>
      <c r="M347">
        <v>5</v>
      </c>
      <c r="N347">
        <v>4.5</v>
      </c>
      <c r="O347">
        <v>447</v>
      </c>
      <c r="P347">
        <v>17903</v>
      </c>
      <c r="Q347">
        <v>62</v>
      </c>
      <c r="R347">
        <v>157</v>
      </c>
      <c r="S347" t="s">
        <v>35357</v>
      </c>
      <c r="T347">
        <v>100</v>
      </c>
      <c r="U347">
        <v>0.97003280000000003</v>
      </c>
      <c r="V347">
        <v>7.08</v>
      </c>
      <c r="X347" t="s">
        <v>1902</v>
      </c>
      <c r="Y347" t="s">
        <v>35362</v>
      </c>
      <c r="Z347" t="s">
        <v>1900</v>
      </c>
      <c r="AA347" t="s">
        <v>1906</v>
      </c>
      <c r="AB347" t="s">
        <v>35363</v>
      </c>
      <c r="AC347" t="s">
        <v>34493</v>
      </c>
      <c r="AD347" t="s">
        <v>8081</v>
      </c>
      <c r="AE347" t="s">
        <v>34533</v>
      </c>
      <c r="AF347" t="s">
        <v>35364</v>
      </c>
      <c r="AG347" t="s">
        <v>35361</v>
      </c>
    </row>
    <row r="348" spans="1:33" x14ac:dyDescent="0.25">
      <c r="A348" t="s">
        <v>34462</v>
      </c>
      <c r="B348" t="s">
        <v>1908</v>
      </c>
      <c r="C348" t="s">
        <v>1898</v>
      </c>
      <c r="D348">
        <v>13.5</v>
      </c>
      <c r="E348">
        <v>13.5</v>
      </c>
      <c r="F348">
        <v>1165</v>
      </c>
      <c r="G348">
        <v>5216</v>
      </c>
      <c r="H348">
        <v>30.07</v>
      </c>
      <c r="I348">
        <v>32.200000000000003</v>
      </c>
      <c r="L348">
        <v>6</v>
      </c>
      <c r="M348">
        <v>6</v>
      </c>
      <c r="N348">
        <v>4.5</v>
      </c>
      <c r="O348">
        <v>1506</v>
      </c>
      <c r="P348">
        <v>17908</v>
      </c>
      <c r="Q348">
        <v>102</v>
      </c>
      <c r="R348">
        <v>250</v>
      </c>
      <c r="S348" t="s">
        <v>35357</v>
      </c>
      <c r="T348">
        <v>400</v>
      </c>
      <c r="U348">
        <v>1.0097159600000001</v>
      </c>
      <c r="V348">
        <v>6.6</v>
      </c>
      <c r="W348">
        <v>0.68</v>
      </c>
      <c r="X348" t="s">
        <v>1907</v>
      </c>
      <c r="Y348" t="s">
        <v>35365</v>
      </c>
      <c r="Z348" t="s">
        <v>1900</v>
      </c>
      <c r="AA348" t="s">
        <v>1906</v>
      </c>
      <c r="AB348" t="s">
        <v>35366</v>
      </c>
      <c r="AC348" t="s">
        <v>34493</v>
      </c>
      <c r="AD348" t="s">
        <v>8081</v>
      </c>
      <c r="AE348" t="s">
        <v>14701</v>
      </c>
      <c r="AF348" t="s">
        <v>35364</v>
      </c>
      <c r="AG348" t="s">
        <v>35361</v>
      </c>
    </row>
    <row r="349" spans="1:33" x14ac:dyDescent="0.25">
      <c r="A349" t="s">
        <v>34462</v>
      </c>
      <c r="B349" t="s">
        <v>1912</v>
      </c>
      <c r="C349" t="s">
        <v>1914</v>
      </c>
      <c r="D349">
        <v>13.5</v>
      </c>
      <c r="E349">
        <v>13.5</v>
      </c>
      <c r="F349">
        <v>1165</v>
      </c>
      <c r="G349">
        <v>5209</v>
      </c>
      <c r="H349">
        <v>31.71</v>
      </c>
      <c r="I349">
        <v>31.75</v>
      </c>
      <c r="L349">
        <v>2</v>
      </c>
      <c r="M349">
        <v>2</v>
      </c>
      <c r="N349">
        <v>4.5</v>
      </c>
      <c r="O349">
        <v>855</v>
      </c>
      <c r="P349">
        <v>17908</v>
      </c>
      <c r="Q349">
        <v>49</v>
      </c>
      <c r="R349">
        <v>126</v>
      </c>
      <c r="S349" t="s">
        <v>35357</v>
      </c>
      <c r="T349">
        <v>300</v>
      </c>
      <c r="U349">
        <v>1.0405806399999999</v>
      </c>
      <c r="V349">
        <v>6.67</v>
      </c>
      <c r="W349">
        <v>0.68</v>
      </c>
      <c r="X349" t="s">
        <v>1911</v>
      </c>
      <c r="Y349" t="s">
        <v>35367</v>
      </c>
      <c r="Z349" t="s">
        <v>1900</v>
      </c>
      <c r="AA349" t="s">
        <v>1901</v>
      </c>
      <c r="AB349" t="s">
        <v>35368</v>
      </c>
      <c r="AC349" t="s">
        <v>34493</v>
      </c>
      <c r="AD349" t="s">
        <v>8081</v>
      </c>
      <c r="AE349" t="s">
        <v>14701</v>
      </c>
      <c r="AF349" t="s">
        <v>35360</v>
      </c>
      <c r="AG349" t="s">
        <v>35361</v>
      </c>
    </row>
    <row r="350" spans="1:33" x14ac:dyDescent="0.25">
      <c r="A350" t="s">
        <v>34462</v>
      </c>
      <c r="B350" t="s">
        <v>1917</v>
      </c>
      <c r="C350" t="s">
        <v>1919</v>
      </c>
      <c r="D350">
        <v>13.5</v>
      </c>
      <c r="E350">
        <v>13.5</v>
      </c>
      <c r="F350">
        <v>1165</v>
      </c>
      <c r="G350">
        <v>5222</v>
      </c>
      <c r="H350">
        <v>30.79</v>
      </c>
      <c r="I350">
        <v>31.37</v>
      </c>
      <c r="L350">
        <v>3</v>
      </c>
      <c r="M350">
        <v>3</v>
      </c>
      <c r="N350">
        <v>4.5</v>
      </c>
      <c r="O350">
        <v>1256</v>
      </c>
      <c r="P350">
        <v>17908</v>
      </c>
      <c r="Q350">
        <v>84</v>
      </c>
      <c r="R350">
        <v>194</v>
      </c>
      <c r="S350" t="s">
        <v>35357</v>
      </c>
      <c r="T350">
        <v>400</v>
      </c>
      <c r="U350">
        <v>1.08908228</v>
      </c>
      <c r="V350">
        <v>7.08</v>
      </c>
      <c r="W350">
        <v>0.68</v>
      </c>
      <c r="X350" t="s">
        <v>1916</v>
      </c>
      <c r="Y350" t="s">
        <v>35369</v>
      </c>
      <c r="Z350" t="s">
        <v>1900</v>
      </c>
      <c r="AA350" t="s">
        <v>1901</v>
      </c>
      <c r="AB350" t="s">
        <v>35370</v>
      </c>
      <c r="AC350" t="s">
        <v>34493</v>
      </c>
      <c r="AD350" t="s">
        <v>8081</v>
      </c>
      <c r="AE350" t="s">
        <v>34525</v>
      </c>
      <c r="AF350" t="s">
        <v>35360</v>
      </c>
      <c r="AG350" t="s">
        <v>35361</v>
      </c>
    </row>
    <row r="351" spans="1:33" x14ac:dyDescent="0.25">
      <c r="A351" t="s">
        <v>34462</v>
      </c>
      <c r="B351" t="s">
        <v>1922</v>
      </c>
      <c r="C351" t="s">
        <v>1898</v>
      </c>
      <c r="D351">
        <v>13</v>
      </c>
      <c r="E351">
        <v>13</v>
      </c>
      <c r="F351">
        <v>1552</v>
      </c>
      <c r="G351">
        <v>5172</v>
      </c>
      <c r="H351">
        <v>31.4</v>
      </c>
      <c r="I351">
        <v>33.049999999999997</v>
      </c>
      <c r="J351">
        <v>0.23</v>
      </c>
      <c r="K351">
        <v>0.3</v>
      </c>
      <c r="L351">
        <v>5</v>
      </c>
      <c r="M351">
        <v>4</v>
      </c>
      <c r="N351">
        <v>4.5</v>
      </c>
      <c r="O351">
        <v>1954</v>
      </c>
      <c r="P351">
        <v>17903</v>
      </c>
      <c r="Q351">
        <v>48</v>
      </c>
      <c r="R351">
        <v>110</v>
      </c>
      <c r="S351" t="s">
        <v>35357</v>
      </c>
      <c r="T351">
        <v>300</v>
      </c>
      <c r="U351">
        <v>1.16624398</v>
      </c>
      <c r="V351">
        <v>6.67</v>
      </c>
      <c r="W351">
        <v>0.66</v>
      </c>
      <c r="X351" t="s">
        <v>1921</v>
      </c>
      <c r="Y351" t="s">
        <v>35371</v>
      </c>
      <c r="Z351" t="s">
        <v>1900</v>
      </c>
      <c r="AA351" t="s">
        <v>1906</v>
      </c>
      <c r="AB351" t="s">
        <v>35372</v>
      </c>
      <c r="AC351" t="s">
        <v>34465</v>
      </c>
      <c r="AD351" t="s">
        <v>8081</v>
      </c>
      <c r="AE351" t="s">
        <v>34649</v>
      </c>
      <c r="AF351" t="s">
        <v>35364</v>
      </c>
      <c r="AG351" t="s">
        <v>35361</v>
      </c>
    </row>
    <row r="352" spans="1:33" x14ac:dyDescent="0.25">
      <c r="A352" t="s">
        <v>34462</v>
      </c>
      <c r="B352" t="s">
        <v>1926</v>
      </c>
      <c r="C352" t="s">
        <v>1898</v>
      </c>
      <c r="D352">
        <v>30.11</v>
      </c>
      <c r="F352">
        <v>1165</v>
      </c>
      <c r="G352">
        <v>5229</v>
      </c>
      <c r="H352">
        <v>30.11</v>
      </c>
      <c r="I352">
        <v>31.01</v>
      </c>
      <c r="L352">
        <v>3</v>
      </c>
      <c r="M352">
        <v>2</v>
      </c>
      <c r="N352">
        <v>4.5</v>
      </c>
      <c r="O352">
        <v>843</v>
      </c>
      <c r="P352">
        <v>17903</v>
      </c>
      <c r="Q352">
        <v>61</v>
      </c>
      <c r="R352">
        <v>135</v>
      </c>
      <c r="S352" t="s">
        <v>35357</v>
      </c>
      <c r="T352">
        <v>200</v>
      </c>
      <c r="U352">
        <v>1.11994696</v>
      </c>
      <c r="V352">
        <v>6.86</v>
      </c>
      <c r="X352" t="s">
        <v>1925</v>
      </c>
      <c r="Y352" t="s">
        <v>35373</v>
      </c>
      <c r="Z352" t="s">
        <v>1900</v>
      </c>
      <c r="AA352" t="s">
        <v>1901</v>
      </c>
      <c r="AB352" t="s">
        <v>35374</v>
      </c>
      <c r="AC352" t="s">
        <v>34493</v>
      </c>
      <c r="AD352" t="s">
        <v>8081</v>
      </c>
      <c r="AE352" t="s">
        <v>34649</v>
      </c>
      <c r="AF352" t="s">
        <v>35375</v>
      </c>
      <c r="AG352" t="s">
        <v>35361</v>
      </c>
    </row>
    <row r="353" spans="1:33" x14ac:dyDescent="0.25">
      <c r="A353" t="s">
        <v>34462</v>
      </c>
      <c r="B353" t="s">
        <v>1930</v>
      </c>
      <c r="C353" t="s">
        <v>1898</v>
      </c>
      <c r="D353">
        <v>30.53</v>
      </c>
      <c r="F353">
        <v>1552</v>
      </c>
      <c r="G353">
        <v>5205</v>
      </c>
      <c r="H353">
        <v>30.53</v>
      </c>
      <c r="I353">
        <v>32.619999999999997</v>
      </c>
      <c r="L353">
        <v>4</v>
      </c>
      <c r="M353">
        <v>4</v>
      </c>
      <c r="N353">
        <v>4.5</v>
      </c>
      <c r="O353">
        <v>955</v>
      </c>
      <c r="P353">
        <v>17908</v>
      </c>
      <c r="Q353">
        <v>59</v>
      </c>
      <c r="R353">
        <v>146</v>
      </c>
      <c r="S353" t="s">
        <v>35357</v>
      </c>
      <c r="T353">
        <v>100</v>
      </c>
      <c r="U353">
        <v>1.1904948</v>
      </c>
      <c r="V353">
        <v>7.5</v>
      </c>
      <c r="X353" t="s">
        <v>1929</v>
      </c>
      <c r="Y353" t="s">
        <v>35376</v>
      </c>
      <c r="Z353" t="s">
        <v>1900</v>
      </c>
      <c r="AA353" t="s">
        <v>1906</v>
      </c>
      <c r="AB353" t="s">
        <v>35377</v>
      </c>
      <c r="AC353" t="s">
        <v>34493</v>
      </c>
      <c r="AD353" t="s">
        <v>8081</v>
      </c>
      <c r="AE353" t="s">
        <v>34469</v>
      </c>
      <c r="AF353" t="s">
        <v>35364</v>
      </c>
      <c r="AG353" t="s">
        <v>35361</v>
      </c>
    </row>
    <row r="354" spans="1:33" x14ac:dyDescent="0.25">
      <c r="A354" t="s">
        <v>34462</v>
      </c>
      <c r="B354" t="s">
        <v>1934</v>
      </c>
      <c r="C354" t="s">
        <v>1898</v>
      </c>
      <c r="D354">
        <v>13.5</v>
      </c>
      <c r="E354">
        <v>13.5</v>
      </c>
      <c r="F354">
        <v>1608</v>
      </c>
      <c r="G354">
        <v>5252</v>
      </c>
      <c r="H354">
        <v>29.88</v>
      </c>
      <c r="I354">
        <v>30.87</v>
      </c>
      <c r="L354">
        <v>3</v>
      </c>
      <c r="M354">
        <v>3</v>
      </c>
      <c r="N354">
        <v>4.5</v>
      </c>
      <c r="O354">
        <v>531</v>
      </c>
      <c r="P354">
        <v>17908</v>
      </c>
      <c r="Q354">
        <v>47</v>
      </c>
      <c r="R354">
        <v>101</v>
      </c>
      <c r="S354" t="s">
        <v>35357</v>
      </c>
      <c r="T354">
        <v>100</v>
      </c>
      <c r="U354">
        <v>1.1904948</v>
      </c>
      <c r="V354">
        <v>7.24</v>
      </c>
      <c r="W354">
        <v>0.68</v>
      </c>
      <c r="X354" t="s">
        <v>1933</v>
      </c>
      <c r="Y354" t="s">
        <v>35378</v>
      </c>
      <c r="Z354" t="s">
        <v>1900</v>
      </c>
      <c r="AA354" t="s">
        <v>1901</v>
      </c>
      <c r="AB354" t="s">
        <v>35379</v>
      </c>
      <c r="AC354" t="s">
        <v>34493</v>
      </c>
      <c r="AD354" t="s">
        <v>8081</v>
      </c>
      <c r="AE354" t="s">
        <v>34469</v>
      </c>
      <c r="AF354" t="s">
        <v>35360</v>
      </c>
      <c r="AG354" t="s">
        <v>35361</v>
      </c>
    </row>
    <row r="355" spans="1:33" x14ac:dyDescent="0.25">
      <c r="A355" t="s">
        <v>34462</v>
      </c>
      <c r="B355" t="s">
        <v>1938</v>
      </c>
      <c r="C355" t="s">
        <v>1941</v>
      </c>
      <c r="D355">
        <v>41</v>
      </c>
      <c r="E355">
        <v>37.61</v>
      </c>
      <c r="F355">
        <v>20186</v>
      </c>
      <c r="G355">
        <v>10439</v>
      </c>
      <c r="H355">
        <v>38.03</v>
      </c>
      <c r="I355">
        <v>36.630000000000003</v>
      </c>
      <c r="J355">
        <v>0</v>
      </c>
      <c r="K355">
        <v>0</v>
      </c>
      <c r="L355">
        <v>13</v>
      </c>
      <c r="M355">
        <v>16</v>
      </c>
      <c r="N355">
        <v>4.7</v>
      </c>
      <c r="O355">
        <v>13</v>
      </c>
      <c r="P355">
        <v>14230</v>
      </c>
      <c r="Q355">
        <v>56</v>
      </c>
      <c r="R355">
        <v>175</v>
      </c>
      <c r="S355" t="s">
        <v>35380</v>
      </c>
      <c r="U355">
        <v>1.1684486000000001</v>
      </c>
      <c r="V355">
        <v>7.08</v>
      </c>
      <c r="W355">
        <v>6.97</v>
      </c>
      <c r="X355" t="s">
        <v>1937</v>
      </c>
      <c r="Y355" t="s">
        <v>1942</v>
      </c>
      <c r="Z355" t="s">
        <v>1942</v>
      </c>
      <c r="AA355" t="s">
        <v>1943</v>
      </c>
      <c r="AB355" t="s">
        <v>35381</v>
      </c>
      <c r="AC355" t="s">
        <v>34493</v>
      </c>
      <c r="AD355" t="s">
        <v>8078</v>
      </c>
      <c r="AE355" t="s">
        <v>34649</v>
      </c>
      <c r="AF355" t="s">
        <v>35382</v>
      </c>
      <c r="AG355" t="s">
        <v>35383</v>
      </c>
    </row>
    <row r="356" spans="1:33" x14ac:dyDescent="0.25">
      <c r="A356" t="s">
        <v>34462</v>
      </c>
      <c r="B356" t="s">
        <v>1945</v>
      </c>
      <c r="C356" t="s">
        <v>1948</v>
      </c>
      <c r="J356">
        <v>1</v>
      </c>
      <c r="K356">
        <v>1</v>
      </c>
      <c r="Q356">
        <v>-1</v>
      </c>
      <c r="R356">
        <v>-1</v>
      </c>
      <c r="X356" t="s">
        <v>1944</v>
      </c>
      <c r="AB356" t="s">
        <v>35384</v>
      </c>
      <c r="AC356" t="s">
        <v>34465</v>
      </c>
      <c r="AD356" t="s">
        <v>35385</v>
      </c>
      <c r="AF356" t="s">
        <v>35386</v>
      </c>
    </row>
    <row r="357" spans="1:33" x14ac:dyDescent="0.25">
      <c r="A357" t="s">
        <v>34462</v>
      </c>
      <c r="B357" t="s">
        <v>1951</v>
      </c>
      <c r="C357" t="s">
        <v>1953</v>
      </c>
      <c r="J357">
        <v>1</v>
      </c>
      <c r="K357">
        <v>1</v>
      </c>
      <c r="Q357">
        <v>-1</v>
      </c>
      <c r="R357">
        <v>-1</v>
      </c>
      <c r="X357" t="s">
        <v>1950</v>
      </c>
      <c r="AB357" t="s">
        <v>35387</v>
      </c>
      <c r="AC357" t="s">
        <v>34465</v>
      </c>
      <c r="AD357" t="s">
        <v>35385</v>
      </c>
      <c r="AF357" t="s">
        <v>35386</v>
      </c>
    </row>
    <row r="358" spans="1:33" x14ac:dyDescent="0.25">
      <c r="A358" t="s">
        <v>34462</v>
      </c>
      <c r="B358" t="s">
        <v>1956</v>
      </c>
      <c r="C358" t="s">
        <v>1958</v>
      </c>
      <c r="J358">
        <v>1</v>
      </c>
      <c r="K358">
        <v>1</v>
      </c>
      <c r="Q358">
        <v>-1</v>
      </c>
      <c r="R358">
        <v>-1</v>
      </c>
      <c r="X358" t="s">
        <v>1955</v>
      </c>
      <c r="AB358" t="s">
        <v>35388</v>
      </c>
      <c r="AC358" t="s">
        <v>34465</v>
      </c>
      <c r="AD358" t="s">
        <v>35385</v>
      </c>
      <c r="AF358" t="s">
        <v>35386</v>
      </c>
    </row>
    <row r="359" spans="1:33" x14ac:dyDescent="0.25">
      <c r="A359" t="s">
        <v>34462</v>
      </c>
      <c r="B359" t="s">
        <v>1961</v>
      </c>
      <c r="C359" t="s">
        <v>1964</v>
      </c>
      <c r="D359">
        <v>19.47</v>
      </c>
      <c r="E359">
        <v>19.47</v>
      </c>
      <c r="F359">
        <v>36182</v>
      </c>
      <c r="G359">
        <v>25555</v>
      </c>
      <c r="H359">
        <v>35.450000000000003</v>
      </c>
      <c r="I359">
        <v>24.34</v>
      </c>
      <c r="J359">
        <v>0.24</v>
      </c>
      <c r="K359">
        <v>0.87</v>
      </c>
      <c r="L359">
        <v>1</v>
      </c>
      <c r="M359">
        <v>2</v>
      </c>
      <c r="N359">
        <v>4.5999999999999996</v>
      </c>
      <c r="O359">
        <v>38</v>
      </c>
      <c r="P359">
        <v>4891</v>
      </c>
      <c r="Q359">
        <v>52</v>
      </c>
      <c r="R359">
        <v>109</v>
      </c>
      <c r="S359" t="s">
        <v>35389</v>
      </c>
      <c r="U359">
        <v>0.77382161999999999</v>
      </c>
      <c r="V359">
        <v>5.9</v>
      </c>
      <c r="X359" t="s">
        <v>1960</v>
      </c>
      <c r="Y359" t="s">
        <v>35390</v>
      </c>
      <c r="Z359" t="s">
        <v>1966</v>
      </c>
      <c r="AA359" t="s">
        <v>1967</v>
      </c>
      <c r="AB359" t="s">
        <v>35391</v>
      </c>
      <c r="AC359" t="s">
        <v>34465</v>
      </c>
      <c r="AD359" t="s">
        <v>7954</v>
      </c>
      <c r="AE359" t="s">
        <v>35392</v>
      </c>
      <c r="AF359" t="s">
        <v>35393</v>
      </c>
      <c r="AG359" t="s">
        <v>35394</v>
      </c>
    </row>
    <row r="360" spans="1:33" x14ac:dyDescent="0.25">
      <c r="A360" t="s">
        <v>34462</v>
      </c>
      <c r="B360" t="s">
        <v>1969</v>
      </c>
      <c r="C360" t="s">
        <v>1971</v>
      </c>
      <c r="D360">
        <v>37.99</v>
      </c>
      <c r="E360">
        <v>37.99</v>
      </c>
      <c r="F360">
        <v>36182</v>
      </c>
      <c r="G360">
        <v>25574</v>
      </c>
      <c r="H360">
        <v>28.7</v>
      </c>
      <c r="I360">
        <v>29.33</v>
      </c>
      <c r="J360">
        <v>0.05</v>
      </c>
      <c r="K360">
        <v>7.0000000000000007E-2</v>
      </c>
      <c r="L360">
        <v>1</v>
      </c>
      <c r="M360">
        <v>1</v>
      </c>
      <c r="N360">
        <v>4.5999999999999996</v>
      </c>
      <c r="O360">
        <v>14</v>
      </c>
      <c r="P360">
        <v>4891</v>
      </c>
      <c r="Q360">
        <v>38</v>
      </c>
      <c r="R360">
        <v>93</v>
      </c>
      <c r="S360" t="s">
        <v>35389</v>
      </c>
      <c r="U360">
        <v>0.70988764000000004</v>
      </c>
      <c r="V360">
        <v>5.9</v>
      </c>
      <c r="W360">
        <v>6.46</v>
      </c>
      <c r="X360" t="s">
        <v>1968</v>
      </c>
      <c r="Y360" t="s">
        <v>35395</v>
      </c>
      <c r="Z360" t="s">
        <v>1966</v>
      </c>
      <c r="AA360" t="s">
        <v>1973</v>
      </c>
      <c r="AB360" t="s">
        <v>35396</v>
      </c>
      <c r="AC360" t="s">
        <v>34465</v>
      </c>
      <c r="AD360" t="s">
        <v>7954</v>
      </c>
      <c r="AE360" t="s">
        <v>35392</v>
      </c>
      <c r="AF360" t="s">
        <v>35397</v>
      </c>
      <c r="AG360" t="s">
        <v>35394</v>
      </c>
    </row>
    <row r="361" spans="1:33" x14ac:dyDescent="0.25">
      <c r="A361" t="s">
        <v>34462</v>
      </c>
      <c r="B361" t="s">
        <v>1975</v>
      </c>
      <c r="C361" t="s">
        <v>1977</v>
      </c>
      <c r="D361">
        <v>33.99</v>
      </c>
      <c r="E361">
        <v>26.04</v>
      </c>
      <c r="F361">
        <v>36182</v>
      </c>
      <c r="G361">
        <v>25709</v>
      </c>
      <c r="H361">
        <v>37.299999999999997</v>
      </c>
      <c r="I361">
        <v>33.94</v>
      </c>
      <c r="J361">
        <v>0.19</v>
      </c>
      <c r="K361">
        <v>0.87</v>
      </c>
      <c r="L361">
        <v>1</v>
      </c>
      <c r="M361">
        <v>1</v>
      </c>
      <c r="N361">
        <v>4.5999999999999996</v>
      </c>
      <c r="O361">
        <v>45</v>
      </c>
      <c r="P361">
        <v>4891</v>
      </c>
      <c r="Q361">
        <v>44</v>
      </c>
      <c r="R361">
        <v>113</v>
      </c>
      <c r="S361" t="s">
        <v>35389</v>
      </c>
      <c r="U361">
        <v>0.76941238000000001</v>
      </c>
      <c r="V361">
        <v>5.12</v>
      </c>
      <c r="W361">
        <v>5.77</v>
      </c>
      <c r="X361" t="s">
        <v>1974</v>
      </c>
      <c r="Y361" t="s">
        <v>35398</v>
      </c>
      <c r="Z361" t="s">
        <v>1966</v>
      </c>
      <c r="AA361" t="s">
        <v>1973</v>
      </c>
      <c r="AB361" t="s">
        <v>35399</v>
      </c>
      <c r="AC361" t="s">
        <v>34465</v>
      </c>
      <c r="AD361" t="s">
        <v>7954</v>
      </c>
      <c r="AE361" t="s">
        <v>35400</v>
      </c>
      <c r="AF361" t="s">
        <v>35397</v>
      </c>
      <c r="AG361" t="s">
        <v>35394</v>
      </c>
    </row>
    <row r="362" spans="1:33" x14ac:dyDescent="0.25">
      <c r="A362" t="s">
        <v>34462</v>
      </c>
      <c r="B362" t="s">
        <v>1979</v>
      </c>
      <c r="C362" t="s">
        <v>1981</v>
      </c>
      <c r="D362">
        <v>19.47</v>
      </c>
      <c r="E362">
        <v>19.47</v>
      </c>
      <c r="F362">
        <v>36182</v>
      </c>
      <c r="G362">
        <v>25544</v>
      </c>
      <c r="H362">
        <v>43.17</v>
      </c>
      <c r="I362">
        <v>43.17</v>
      </c>
      <c r="J362">
        <v>0</v>
      </c>
      <c r="K362">
        <v>1</v>
      </c>
      <c r="L362">
        <v>2</v>
      </c>
      <c r="M362">
        <v>2</v>
      </c>
      <c r="N362">
        <v>4.5999999999999996</v>
      </c>
      <c r="O362">
        <v>58</v>
      </c>
      <c r="P362">
        <v>4891</v>
      </c>
      <c r="Q362">
        <v>56</v>
      </c>
      <c r="R362">
        <v>145</v>
      </c>
      <c r="S362" t="s">
        <v>35389</v>
      </c>
      <c r="U362">
        <v>0.79145858000000002</v>
      </c>
      <c r="V362">
        <v>5.9</v>
      </c>
      <c r="X362" t="s">
        <v>1978</v>
      </c>
      <c r="Y362" t="s">
        <v>35401</v>
      </c>
      <c r="Z362" t="s">
        <v>1966</v>
      </c>
      <c r="AA362" t="s">
        <v>1967</v>
      </c>
      <c r="AB362" t="s">
        <v>35402</v>
      </c>
      <c r="AC362" t="s">
        <v>34465</v>
      </c>
      <c r="AD362" t="s">
        <v>7954</v>
      </c>
      <c r="AE362" t="s">
        <v>35400</v>
      </c>
      <c r="AF362" t="s">
        <v>35393</v>
      </c>
      <c r="AG362" t="s">
        <v>35394</v>
      </c>
    </row>
    <row r="363" spans="1:33" x14ac:dyDescent="0.25">
      <c r="A363" t="s">
        <v>34462</v>
      </c>
      <c r="B363" t="s">
        <v>1983</v>
      </c>
      <c r="C363" t="s">
        <v>1985</v>
      </c>
      <c r="D363">
        <v>33.99</v>
      </c>
      <c r="E363">
        <v>26.04</v>
      </c>
      <c r="F363">
        <v>36182</v>
      </c>
      <c r="G363">
        <v>25575</v>
      </c>
      <c r="H363">
        <v>41.08</v>
      </c>
      <c r="I363">
        <v>32.840000000000003</v>
      </c>
      <c r="J363">
        <v>0.01</v>
      </c>
      <c r="K363">
        <v>0.99</v>
      </c>
      <c r="L363">
        <v>1</v>
      </c>
      <c r="M363">
        <v>1</v>
      </c>
      <c r="N363">
        <v>4.5999999999999996</v>
      </c>
      <c r="O363">
        <v>30</v>
      </c>
      <c r="P363">
        <v>4891</v>
      </c>
      <c r="Q363">
        <v>41</v>
      </c>
      <c r="R363">
        <v>105</v>
      </c>
      <c r="S363" t="s">
        <v>35389</v>
      </c>
      <c r="U363">
        <v>0.87964337999999997</v>
      </c>
      <c r="V363">
        <v>5.12</v>
      </c>
      <c r="W363">
        <v>5.77</v>
      </c>
      <c r="X363" t="s">
        <v>1982</v>
      </c>
      <c r="Y363" t="s">
        <v>35403</v>
      </c>
      <c r="Z363" t="s">
        <v>1966</v>
      </c>
      <c r="AA363" t="s">
        <v>1973</v>
      </c>
      <c r="AB363" t="s">
        <v>35404</v>
      </c>
      <c r="AC363" t="s">
        <v>34465</v>
      </c>
      <c r="AD363" t="s">
        <v>7954</v>
      </c>
      <c r="AE363" t="s">
        <v>35405</v>
      </c>
      <c r="AF363" t="s">
        <v>35397</v>
      </c>
      <c r="AG363" t="s">
        <v>35394</v>
      </c>
    </row>
    <row r="364" spans="1:33" x14ac:dyDescent="0.25">
      <c r="A364" t="s">
        <v>34462</v>
      </c>
      <c r="B364" t="s">
        <v>1987</v>
      </c>
      <c r="C364" t="s">
        <v>1989</v>
      </c>
      <c r="D364">
        <v>19.47</v>
      </c>
      <c r="E364">
        <v>19.47</v>
      </c>
      <c r="F364">
        <v>36182</v>
      </c>
      <c r="G364">
        <v>25887</v>
      </c>
      <c r="H364">
        <v>40.6</v>
      </c>
      <c r="I364">
        <v>40.6</v>
      </c>
      <c r="J364">
        <v>0</v>
      </c>
      <c r="K364">
        <v>1</v>
      </c>
      <c r="L364">
        <v>2</v>
      </c>
      <c r="M364">
        <v>2</v>
      </c>
      <c r="N364">
        <v>4.5999999999999996</v>
      </c>
      <c r="O364">
        <v>77</v>
      </c>
      <c r="P364">
        <v>4891</v>
      </c>
      <c r="Q364">
        <v>64</v>
      </c>
      <c r="R364">
        <v>137</v>
      </c>
      <c r="S364" t="s">
        <v>35389</v>
      </c>
      <c r="U364">
        <v>0.89948496</v>
      </c>
      <c r="V364">
        <v>5.12</v>
      </c>
      <c r="X364" t="s">
        <v>1986</v>
      </c>
      <c r="Y364" t="s">
        <v>35406</v>
      </c>
      <c r="Z364" t="s">
        <v>1966</v>
      </c>
      <c r="AA364" t="s">
        <v>1967</v>
      </c>
      <c r="AB364" t="s">
        <v>35407</v>
      </c>
      <c r="AC364" t="s">
        <v>34465</v>
      </c>
      <c r="AD364" t="s">
        <v>7954</v>
      </c>
      <c r="AE364" t="s">
        <v>35405</v>
      </c>
      <c r="AF364" t="s">
        <v>35393</v>
      </c>
      <c r="AG364" t="s">
        <v>35394</v>
      </c>
    </row>
    <row r="365" spans="1:33" x14ac:dyDescent="0.25">
      <c r="A365" t="s">
        <v>34462</v>
      </c>
      <c r="B365" t="s">
        <v>1991</v>
      </c>
      <c r="C365" t="s">
        <v>1994</v>
      </c>
      <c r="J365">
        <v>1</v>
      </c>
      <c r="K365">
        <v>1</v>
      </c>
      <c r="Q365">
        <v>-1</v>
      </c>
      <c r="R365">
        <v>-1</v>
      </c>
      <c r="U365">
        <v>2.5000390800000001</v>
      </c>
      <c r="V365">
        <v>8.1199999999999992</v>
      </c>
      <c r="X365" t="s">
        <v>1990</v>
      </c>
      <c r="AA365" t="s">
        <v>1996</v>
      </c>
      <c r="AB365" t="s">
        <v>35408</v>
      </c>
      <c r="AC365" t="s">
        <v>34465</v>
      </c>
      <c r="AD365" t="s">
        <v>8331</v>
      </c>
      <c r="AE365" t="s">
        <v>131</v>
      </c>
    </row>
    <row r="366" spans="1:33" x14ac:dyDescent="0.25">
      <c r="A366" t="s">
        <v>34462</v>
      </c>
      <c r="B366" t="s">
        <v>1998</v>
      </c>
      <c r="C366" t="s">
        <v>2000</v>
      </c>
      <c r="J366">
        <v>1</v>
      </c>
      <c r="K366">
        <v>1</v>
      </c>
      <c r="Q366">
        <v>-1</v>
      </c>
      <c r="R366">
        <v>-1</v>
      </c>
      <c r="U366">
        <v>2.5000390800000001</v>
      </c>
      <c r="V366">
        <v>8.1199999999999992</v>
      </c>
      <c r="X366" t="s">
        <v>1997</v>
      </c>
      <c r="AA366" t="s">
        <v>1996</v>
      </c>
      <c r="AB366" t="s">
        <v>35409</v>
      </c>
      <c r="AC366" t="s">
        <v>34465</v>
      </c>
      <c r="AD366" t="s">
        <v>8331</v>
      </c>
      <c r="AE366" t="s">
        <v>255</v>
      </c>
    </row>
    <row r="367" spans="1:33" x14ac:dyDescent="0.25">
      <c r="A367" t="s">
        <v>34462</v>
      </c>
      <c r="B367" t="s">
        <v>2003</v>
      </c>
      <c r="C367" t="s">
        <v>2006</v>
      </c>
      <c r="D367">
        <v>59.85</v>
      </c>
      <c r="E367">
        <v>51.9</v>
      </c>
      <c r="H367">
        <v>92.59</v>
      </c>
      <c r="I367">
        <v>92.59</v>
      </c>
      <c r="J367">
        <v>0.44</v>
      </c>
      <c r="K367">
        <v>1</v>
      </c>
      <c r="L367">
        <v>3</v>
      </c>
      <c r="M367">
        <v>3</v>
      </c>
      <c r="Q367">
        <v>-1</v>
      </c>
      <c r="R367">
        <v>-1</v>
      </c>
      <c r="U367">
        <v>2.46035592</v>
      </c>
      <c r="V367">
        <v>8.1999999999999993</v>
      </c>
      <c r="W367">
        <v>10.17</v>
      </c>
      <c r="X367" t="s">
        <v>2002</v>
      </c>
      <c r="Y367" t="s">
        <v>35410</v>
      </c>
      <c r="AA367" t="s">
        <v>2007</v>
      </c>
      <c r="AB367" t="s">
        <v>35411</v>
      </c>
      <c r="AC367" t="s">
        <v>34465</v>
      </c>
      <c r="AD367" t="s">
        <v>34870</v>
      </c>
      <c r="AE367" t="s">
        <v>34566</v>
      </c>
      <c r="AF367" t="s">
        <v>35412</v>
      </c>
    </row>
    <row r="368" spans="1:33" x14ac:dyDescent="0.25">
      <c r="A368" t="s">
        <v>34462</v>
      </c>
      <c r="B368" t="s">
        <v>2009</v>
      </c>
      <c r="C368" t="s">
        <v>2006</v>
      </c>
      <c r="D368">
        <v>59.85</v>
      </c>
      <c r="E368">
        <v>51.9</v>
      </c>
      <c r="G368">
        <v>2696881</v>
      </c>
      <c r="H368">
        <v>88.28</v>
      </c>
      <c r="I368">
        <v>88.28</v>
      </c>
      <c r="J368">
        <v>0.39</v>
      </c>
      <c r="K368">
        <v>1</v>
      </c>
      <c r="L368">
        <v>3</v>
      </c>
      <c r="M368">
        <v>3</v>
      </c>
      <c r="Q368">
        <v>0</v>
      </c>
      <c r="R368">
        <v>0</v>
      </c>
      <c r="U368">
        <v>2.46035592</v>
      </c>
      <c r="V368">
        <v>8.1999999999999993</v>
      </c>
      <c r="W368">
        <v>10.17</v>
      </c>
      <c r="X368" t="s">
        <v>2008</v>
      </c>
      <c r="Y368" t="s">
        <v>35413</v>
      </c>
      <c r="AA368" t="s">
        <v>2007</v>
      </c>
      <c r="AB368" t="s">
        <v>35414</v>
      </c>
      <c r="AC368" t="s">
        <v>34465</v>
      </c>
      <c r="AD368" t="s">
        <v>34870</v>
      </c>
      <c r="AE368" t="s">
        <v>34570</v>
      </c>
      <c r="AF368" t="s">
        <v>35412</v>
      </c>
      <c r="AG368" t="s">
        <v>35415</v>
      </c>
    </row>
    <row r="369" spans="1:33" x14ac:dyDescent="0.25">
      <c r="A369" t="s">
        <v>34462</v>
      </c>
      <c r="B369" t="s">
        <v>2012</v>
      </c>
      <c r="C369" t="s">
        <v>2015</v>
      </c>
      <c r="D369">
        <v>41.49</v>
      </c>
      <c r="E369">
        <v>30.85</v>
      </c>
      <c r="F369">
        <v>50737</v>
      </c>
      <c r="G369">
        <v>39974</v>
      </c>
      <c r="H369">
        <v>49.7</v>
      </c>
      <c r="I369">
        <v>49.82</v>
      </c>
      <c r="J369">
        <v>0</v>
      </c>
      <c r="K369">
        <v>0</v>
      </c>
      <c r="L369">
        <v>3</v>
      </c>
      <c r="M369">
        <v>2</v>
      </c>
      <c r="N369">
        <v>4.7</v>
      </c>
      <c r="O369">
        <v>26</v>
      </c>
      <c r="P369">
        <v>26</v>
      </c>
      <c r="Q369">
        <v>39</v>
      </c>
      <c r="R369">
        <v>99</v>
      </c>
      <c r="S369" t="s">
        <v>35416</v>
      </c>
      <c r="U369">
        <v>0.78925396000000003</v>
      </c>
      <c r="V369">
        <v>7.02</v>
      </c>
      <c r="W369">
        <v>7.05</v>
      </c>
      <c r="X369" t="s">
        <v>2011</v>
      </c>
      <c r="Y369" t="s">
        <v>2016</v>
      </c>
      <c r="Z369" t="s">
        <v>2016</v>
      </c>
      <c r="AA369" t="s">
        <v>2017</v>
      </c>
      <c r="AB369" t="s">
        <v>35417</v>
      </c>
      <c r="AC369" t="s">
        <v>34493</v>
      </c>
      <c r="AD369" t="s">
        <v>8078</v>
      </c>
      <c r="AE369" t="s">
        <v>35418</v>
      </c>
      <c r="AF369" t="s">
        <v>35419</v>
      </c>
      <c r="AG369" t="s">
        <v>35420</v>
      </c>
    </row>
    <row r="370" spans="1:33" x14ac:dyDescent="0.25">
      <c r="A370" t="s">
        <v>34462</v>
      </c>
      <c r="B370" t="s">
        <v>2019</v>
      </c>
      <c r="C370" t="s">
        <v>2021</v>
      </c>
      <c r="D370">
        <v>38.770000000000003</v>
      </c>
      <c r="E370">
        <v>30.82</v>
      </c>
      <c r="F370">
        <v>50737</v>
      </c>
      <c r="G370">
        <v>40118</v>
      </c>
      <c r="H370">
        <v>48.73</v>
      </c>
      <c r="I370">
        <v>48.29</v>
      </c>
      <c r="J370">
        <v>0</v>
      </c>
      <c r="K370">
        <v>0</v>
      </c>
      <c r="L370">
        <v>2</v>
      </c>
      <c r="M370">
        <v>1</v>
      </c>
      <c r="N370">
        <v>4.5999999999999996</v>
      </c>
      <c r="O370">
        <v>6</v>
      </c>
      <c r="P370">
        <v>6</v>
      </c>
      <c r="Q370">
        <v>31</v>
      </c>
      <c r="R370">
        <v>97</v>
      </c>
      <c r="S370" t="s">
        <v>35416</v>
      </c>
      <c r="U370">
        <v>0.74295694000000001</v>
      </c>
      <c r="V370">
        <v>6.48</v>
      </c>
      <c r="W370">
        <v>6.59</v>
      </c>
      <c r="X370" t="s">
        <v>2018</v>
      </c>
      <c r="Y370" t="s">
        <v>2016</v>
      </c>
      <c r="Z370" t="s">
        <v>2016</v>
      </c>
      <c r="AA370" t="s">
        <v>2023</v>
      </c>
      <c r="AB370" t="s">
        <v>35421</v>
      </c>
      <c r="AC370" t="s">
        <v>34493</v>
      </c>
      <c r="AD370" t="s">
        <v>8078</v>
      </c>
      <c r="AE370" t="s">
        <v>35418</v>
      </c>
      <c r="AF370" t="s">
        <v>35422</v>
      </c>
      <c r="AG370" t="s">
        <v>35420</v>
      </c>
    </row>
    <row r="371" spans="1:33" x14ac:dyDescent="0.25">
      <c r="A371" t="s">
        <v>34462</v>
      </c>
      <c r="B371" t="s">
        <v>2025</v>
      </c>
      <c r="C371" t="s">
        <v>2027</v>
      </c>
      <c r="D371">
        <v>39.68</v>
      </c>
      <c r="E371">
        <v>30.83</v>
      </c>
      <c r="F371">
        <v>50737</v>
      </c>
      <c r="G371">
        <v>40564</v>
      </c>
      <c r="H371">
        <v>48.79</v>
      </c>
      <c r="I371">
        <v>49.42</v>
      </c>
      <c r="J371">
        <v>0</v>
      </c>
      <c r="K371">
        <v>0</v>
      </c>
      <c r="L371">
        <v>4</v>
      </c>
      <c r="M371">
        <v>3</v>
      </c>
      <c r="N371">
        <v>5</v>
      </c>
      <c r="O371">
        <v>2</v>
      </c>
      <c r="P371">
        <v>2</v>
      </c>
      <c r="Q371">
        <v>27</v>
      </c>
      <c r="R371">
        <v>68</v>
      </c>
      <c r="S371" t="s">
        <v>35416</v>
      </c>
      <c r="U371">
        <v>0.70547840000000006</v>
      </c>
      <c r="V371">
        <v>5.82</v>
      </c>
      <c r="W371">
        <v>6.75</v>
      </c>
      <c r="X371" t="s">
        <v>2024</v>
      </c>
      <c r="Y371" t="s">
        <v>2016</v>
      </c>
      <c r="Z371" t="s">
        <v>2016</v>
      </c>
      <c r="AA371" t="s">
        <v>2023</v>
      </c>
      <c r="AB371" t="s">
        <v>35423</v>
      </c>
      <c r="AC371" t="s">
        <v>34493</v>
      </c>
      <c r="AD371" t="s">
        <v>8078</v>
      </c>
      <c r="AE371" t="s">
        <v>35424</v>
      </c>
      <c r="AF371" t="s">
        <v>35422</v>
      </c>
      <c r="AG371" t="s">
        <v>35420</v>
      </c>
    </row>
    <row r="372" spans="1:33" x14ac:dyDescent="0.25">
      <c r="A372" t="s">
        <v>34462</v>
      </c>
      <c r="B372" t="s">
        <v>2029</v>
      </c>
      <c r="C372" t="s">
        <v>2031</v>
      </c>
      <c r="D372">
        <v>34.39</v>
      </c>
      <c r="E372">
        <v>26.69</v>
      </c>
      <c r="F372">
        <v>50737</v>
      </c>
      <c r="G372">
        <v>40456</v>
      </c>
      <c r="H372">
        <v>35.369999999999997</v>
      </c>
      <c r="I372">
        <v>38.130000000000003</v>
      </c>
      <c r="J372">
        <v>0</v>
      </c>
      <c r="K372">
        <v>0</v>
      </c>
      <c r="L372">
        <v>7</v>
      </c>
      <c r="M372">
        <v>7</v>
      </c>
      <c r="N372">
        <v>3.9</v>
      </c>
      <c r="O372">
        <v>32</v>
      </c>
      <c r="P372">
        <v>32</v>
      </c>
      <c r="Q372">
        <v>19</v>
      </c>
      <c r="R372">
        <v>49</v>
      </c>
      <c r="S372" t="s">
        <v>35416</v>
      </c>
      <c r="U372">
        <v>0.83996022000000004</v>
      </c>
      <c r="V372">
        <v>7.18</v>
      </c>
      <c r="W372">
        <v>5.85</v>
      </c>
      <c r="X372" t="s">
        <v>2028</v>
      </c>
      <c r="Y372" t="s">
        <v>2016</v>
      </c>
      <c r="Z372" t="s">
        <v>2016</v>
      </c>
      <c r="AA372" t="s">
        <v>2017</v>
      </c>
      <c r="AB372" t="s">
        <v>35425</v>
      </c>
      <c r="AC372" t="s">
        <v>34493</v>
      </c>
      <c r="AD372" t="s">
        <v>8078</v>
      </c>
      <c r="AE372" t="s">
        <v>35426</v>
      </c>
      <c r="AF372" t="s">
        <v>35427</v>
      </c>
      <c r="AG372" t="s">
        <v>35420</v>
      </c>
    </row>
    <row r="373" spans="1:33" x14ac:dyDescent="0.25">
      <c r="A373" t="s">
        <v>34462</v>
      </c>
      <c r="B373" t="s">
        <v>2033</v>
      </c>
      <c r="C373" t="s">
        <v>2035</v>
      </c>
      <c r="D373">
        <v>33.57</v>
      </c>
      <c r="E373">
        <v>25.62</v>
      </c>
      <c r="F373">
        <v>50737</v>
      </c>
      <c r="G373">
        <v>40424</v>
      </c>
      <c r="H373">
        <v>45.22</v>
      </c>
      <c r="I373">
        <v>41.55</v>
      </c>
      <c r="J373">
        <v>0</v>
      </c>
      <c r="K373">
        <v>0.91</v>
      </c>
      <c r="L373">
        <v>5</v>
      </c>
      <c r="M373">
        <v>6</v>
      </c>
      <c r="N373">
        <v>4.5999999999999996</v>
      </c>
      <c r="O373">
        <v>7</v>
      </c>
      <c r="P373">
        <v>7</v>
      </c>
      <c r="Q373">
        <v>42</v>
      </c>
      <c r="R373">
        <v>106</v>
      </c>
      <c r="S373" t="s">
        <v>35416</v>
      </c>
      <c r="U373">
        <v>0.74957079999999998</v>
      </c>
      <c r="V373">
        <v>7.18</v>
      </c>
      <c r="W373">
        <v>5.7</v>
      </c>
      <c r="X373" t="s">
        <v>2032</v>
      </c>
      <c r="Y373" t="s">
        <v>2016</v>
      </c>
      <c r="Z373" t="s">
        <v>2016</v>
      </c>
      <c r="AA373" t="s">
        <v>2023</v>
      </c>
      <c r="AB373" t="s">
        <v>35428</v>
      </c>
      <c r="AC373" t="s">
        <v>34484</v>
      </c>
      <c r="AD373" t="s">
        <v>8078</v>
      </c>
      <c r="AE373" t="s">
        <v>35426</v>
      </c>
      <c r="AF373" t="s">
        <v>35429</v>
      </c>
      <c r="AG373" t="s">
        <v>35420</v>
      </c>
    </row>
    <row r="374" spans="1:33" x14ac:dyDescent="0.25">
      <c r="A374" t="s">
        <v>34462</v>
      </c>
      <c r="B374" t="s">
        <v>2038</v>
      </c>
      <c r="C374" t="s">
        <v>2040</v>
      </c>
      <c r="D374">
        <v>38.799999999999997</v>
      </c>
      <c r="E374">
        <v>30.61</v>
      </c>
      <c r="F374">
        <v>50737</v>
      </c>
      <c r="G374">
        <v>41426</v>
      </c>
      <c r="H374">
        <v>40.340000000000003</v>
      </c>
      <c r="I374">
        <v>42.05</v>
      </c>
      <c r="J374">
        <v>0</v>
      </c>
      <c r="K374">
        <v>0</v>
      </c>
      <c r="L374">
        <v>6</v>
      </c>
      <c r="M374">
        <v>6</v>
      </c>
      <c r="N374">
        <v>5</v>
      </c>
      <c r="O374">
        <v>1</v>
      </c>
      <c r="P374">
        <v>1</v>
      </c>
      <c r="Q374">
        <v>25</v>
      </c>
      <c r="R374">
        <v>63</v>
      </c>
      <c r="S374" t="s">
        <v>35416</v>
      </c>
      <c r="U374">
        <v>0.74957079999999998</v>
      </c>
      <c r="V374">
        <v>6.86</v>
      </c>
      <c r="W374">
        <v>6.6</v>
      </c>
      <c r="X374" t="s">
        <v>2037</v>
      </c>
      <c r="Y374" t="s">
        <v>2016</v>
      </c>
      <c r="Z374" t="s">
        <v>2016</v>
      </c>
      <c r="AA374" t="s">
        <v>2023</v>
      </c>
      <c r="AB374" t="s">
        <v>35430</v>
      </c>
      <c r="AC374" t="s">
        <v>34493</v>
      </c>
      <c r="AD374" t="s">
        <v>8078</v>
      </c>
      <c r="AE374" t="s">
        <v>35431</v>
      </c>
      <c r="AF374" t="s">
        <v>35429</v>
      </c>
      <c r="AG374" t="s">
        <v>35420</v>
      </c>
    </row>
    <row r="375" spans="1:33" x14ac:dyDescent="0.25">
      <c r="A375" t="s">
        <v>34462</v>
      </c>
      <c r="B375" t="s">
        <v>2042</v>
      </c>
      <c r="C375" t="s">
        <v>2044</v>
      </c>
      <c r="D375">
        <v>32.25</v>
      </c>
      <c r="E375">
        <v>26.69</v>
      </c>
      <c r="F375">
        <v>50737</v>
      </c>
      <c r="G375">
        <v>40359</v>
      </c>
      <c r="H375">
        <v>38.75</v>
      </c>
      <c r="I375">
        <v>40.65</v>
      </c>
      <c r="J375">
        <v>0</v>
      </c>
      <c r="K375">
        <v>0</v>
      </c>
      <c r="L375">
        <v>5</v>
      </c>
      <c r="M375">
        <v>5</v>
      </c>
      <c r="N375">
        <v>3.6</v>
      </c>
      <c r="O375">
        <v>19</v>
      </c>
      <c r="P375">
        <v>19</v>
      </c>
      <c r="Q375">
        <v>41</v>
      </c>
      <c r="R375">
        <v>90</v>
      </c>
      <c r="S375" t="s">
        <v>35416</v>
      </c>
      <c r="U375">
        <v>0.72752459999999997</v>
      </c>
      <c r="V375">
        <v>7.34</v>
      </c>
      <c r="W375">
        <v>5.48</v>
      </c>
      <c r="X375" t="s">
        <v>2041</v>
      </c>
      <c r="Y375" t="s">
        <v>2016</v>
      </c>
      <c r="Z375" t="s">
        <v>2016</v>
      </c>
      <c r="AA375" t="s">
        <v>2017</v>
      </c>
      <c r="AB375" t="s">
        <v>35432</v>
      </c>
      <c r="AC375" t="s">
        <v>34493</v>
      </c>
      <c r="AD375" t="s">
        <v>8078</v>
      </c>
      <c r="AE375" t="s">
        <v>35431</v>
      </c>
      <c r="AF375" t="s">
        <v>35419</v>
      </c>
      <c r="AG375" t="s">
        <v>35420</v>
      </c>
    </row>
    <row r="376" spans="1:33" x14ac:dyDescent="0.25">
      <c r="A376" t="s">
        <v>34462</v>
      </c>
      <c r="B376" t="s">
        <v>2046</v>
      </c>
      <c r="C376" t="s">
        <v>2049</v>
      </c>
      <c r="D376">
        <v>37.99</v>
      </c>
      <c r="E376">
        <v>37.99</v>
      </c>
      <c r="F376">
        <v>581</v>
      </c>
      <c r="G376">
        <v>1319</v>
      </c>
      <c r="H376">
        <v>33.42</v>
      </c>
      <c r="I376">
        <v>33.85</v>
      </c>
      <c r="J376">
        <v>0</v>
      </c>
      <c r="K376">
        <v>0</v>
      </c>
      <c r="L376">
        <v>1</v>
      </c>
      <c r="M376">
        <v>1</v>
      </c>
      <c r="N376">
        <v>4.4000000000000004</v>
      </c>
      <c r="O376">
        <v>16</v>
      </c>
      <c r="P376">
        <v>53300</v>
      </c>
      <c r="Q376">
        <v>66</v>
      </c>
      <c r="R376">
        <v>185</v>
      </c>
      <c r="S376" t="s">
        <v>35433</v>
      </c>
      <c r="U376">
        <v>0.90168957999999999</v>
      </c>
      <c r="V376">
        <v>6.05</v>
      </c>
      <c r="W376">
        <v>6.46</v>
      </c>
      <c r="X376" t="s">
        <v>2045</v>
      </c>
      <c r="Y376" t="s">
        <v>35434</v>
      </c>
      <c r="Z376" t="s">
        <v>2050</v>
      </c>
      <c r="AA376" t="s">
        <v>2051</v>
      </c>
      <c r="AB376" t="s">
        <v>35435</v>
      </c>
      <c r="AC376" t="s">
        <v>34493</v>
      </c>
      <c r="AD376" t="s">
        <v>8979</v>
      </c>
      <c r="AE376" t="s">
        <v>8980</v>
      </c>
      <c r="AF376" t="s">
        <v>35436</v>
      </c>
      <c r="AG376" t="s">
        <v>35437</v>
      </c>
    </row>
    <row r="377" spans="1:33" x14ac:dyDescent="0.25">
      <c r="A377" t="s">
        <v>34462</v>
      </c>
      <c r="B377" t="s">
        <v>2053</v>
      </c>
      <c r="C377" t="s">
        <v>2055</v>
      </c>
      <c r="D377">
        <v>38.39</v>
      </c>
      <c r="E377">
        <v>38.39</v>
      </c>
      <c r="F377">
        <v>581</v>
      </c>
      <c r="G377">
        <v>587</v>
      </c>
      <c r="H377">
        <v>36.4</v>
      </c>
      <c r="I377">
        <v>35.74</v>
      </c>
      <c r="J377">
        <v>0</v>
      </c>
      <c r="K377">
        <v>0</v>
      </c>
      <c r="L377">
        <v>1</v>
      </c>
      <c r="M377">
        <v>1</v>
      </c>
      <c r="N377">
        <v>4.4000000000000004</v>
      </c>
      <c r="O377">
        <v>13</v>
      </c>
      <c r="P377">
        <v>53312</v>
      </c>
      <c r="Q377">
        <v>68</v>
      </c>
      <c r="R377">
        <v>198</v>
      </c>
      <c r="S377" t="s">
        <v>35433</v>
      </c>
      <c r="U377">
        <v>0.83996022000000004</v>
      </c>
      <c r="V377">
        <v>6.48</v>
      </c>
      <c r="W377">
        <v>6.52</v>
      </c>
      <c r="X377" t="s">
        <v>2052</v>
      </c>
      <c r="Y377" t="s">
        <v>35438</v>
      </c>
      <c r="Z377" t="s">
        <v>2050</v>
      </c>
      <c r="AA377" t="s">
        <v>2057</v>
      </c>
      <c r="AB377" t="s">
        <v>35439</v>
      </c>
      <c r="AC377" t="s">
        <v>34493</v>
      </c>
      <c r="AD377" t="s">
        <v>8979</v>
      </c>
      <c r="AE377" t="s">
        <v>8980</v>
      </c>
      <c r="AF377" t="s">
        <v>35440</v>
      </c>
      <c r="AG377" t="s">
        <v>35437</v>
      </c>
    </row>
    <row r="378" spans="1:33" x14ac:dyDescent="0.25">
      <c r="A378" t="s">
        <v>34462</v>
      </c>
      <c r="B378" t="s">
        <v>2059</v>
      </c>
      <c r="C378" t="s">
        <v>2061</v>
      </c>
      <c r="D378">
        <v>30.85</v>
      </c>
      <c r="E378">
        <v>30.85</v>
      </c>
      <c r="F378">
        <v>581</v>
      </c>
      <c r="G378">
        <v>335</v>
      </c>
      <c r="H378">
        <v>32.049999999999997</v>
      </c>
      <c r="I378">
        <v>32.71</v>
      </c>
      <c r="J378">
        <v>0</v>
      </c>
      <c r="K378">
        <v>0</v>
      </c>
      <c r="L378">
        <v>2</v>
      </c>
      <c r="M378">
        <v>2</v>
      </c>
      <c r="N378">
        <v>4.4000000000000004</v>
      </c>
      <c r="O378">
        <v>15</v>
      </c>
      <c r="P378">
        <v>53312</v>
      </c>
      <c r="Q378">
        <v>59</v>
      </c>
      <c r="R378">
        <v>187</v>
      </c>
      <c r="S378" t="s">
        <v>35433</v>
      </c>
      <c r="U378">
        <v>1.0493991199999999</v>
      </c>
      <c r="V378">
        <v>6.05</v>
      </c>
      <c r="W378">
        <v>5.24</v>
      </c>
      <c r="X378" t="s">
        <v>2058</v>
      </c>
      <c r="Y378" t="s">
        <v>35441</v>
      </c>
      <c r="Z378" t="s">
        <v>2050</v>
      </c>
      <c r="AA378" t="s">
        <v>2062</v>
      </c>
      <c r="AB378" t="s">
        <v>35442</v>
      </c>
      <c r="AC378" t="s">
        <v>34493</v>
      </c>
      <c r="AD378" t="s">
        <v>8979</v>
      </c>
      <c r="AE378" t="s">
        <v>8980</v>
      </c>
      <c r="AF378" t="s">
        <v>35443</v>
      </c>
      <c r="AG378" t="s">
        <v>35437</v>
      </c>
    </row>
    <row r="379" spans="1:33" x14ac:dyDescent="0.25">
      <c r="A379" t="s">
        <v>34462</v>
      </c>
      <c r="B379" t="s">
        <v>2064</v>
      </c>
      <c r="C379" t="s">
        <v>2066</v>
      </c>
      <c r="D379">
        <v>39.99</v>
      </c>
      <c r="E379">
        <v>39.99</v>
      </c>
      <c r="F379">
        <v>581</v>
      </c>
      <c r="G379">
        <v>79264</v>
      </c>
      <c r="H379">
        <v>38.86</v>
      </c>
      <c r="I379">
        <v>36.65</v>
      </c>
      <c r="J379">
        <v>0.43</v>
      </c>
      <c r="K379">
        <v>0.43</v>
      </c>
      <c r="L379">
        <v>1</v>
      </c>
      <c r="M379">
        <v>1</v>
      </c>
      <c r="N379">
        <v>4.4000000000000004</v>
      </c>
      <c r="O379">
        <v>1</v>
      </c>
      <c r="P379">
        <v>53300</v>
      </c>
      <c r="Q379">
        <v>51</v>
      </c>
      <c r="R379">
        <v>131</v>
      </c>
      <c r="S379" t="s">
        <v>35433</v>
      </c>
      <c r="U379">
        <v>1.2566333999999999</v>
      </c>
      <c r="V379">
        <v>6.48</v>
      </c>
      <c r="W379">
        <v>6.8</v>
      </c>
      <c r="X379" t="s">
        <v>2063</v>
      </c>
      <c r="Y379" t="s">
        <v>35444</v>
      </c>
      <c r="Z379" t="s">
        <v>2050</v>
      </c>
      <c r="AA379" t="s">
        <v>2067</v>
      </c>
      <c r="AB379" t="s">
        <v>35445</v>
      </c>
      <c r="AC379" t="s">
        <v>34493</v>
      </c>
      <c r="AD379" t="s">
        <v>8979</v>
      </c>
      <c r="AE379" t="s">
        <v>8980</v>
      </c>
      <c r="AF379" t="s">
        <v>35446</v>
      </c>
      <c r="AG379" t="s">
        <v>35437</v>
      </c>
    </row>
    <row r="380" spans="1:33" x14ac:dyDescent="0.25">
      <c r="A380" t="s">
        <v>34462</v>
      </c>
      <c r="B380" t="s">
        <v>2069</v>
      </c>
      <c r="C380" t="s">
        <v>2071</v>
      </c>
      <c r="D380">
        <v>31.99</v>
      </c>
      <c r="E380">
        <v>31.99</v>
      </c>
      <c r="F380">
        <v>592</v>
      </c>
      <c r="G380">
        <v>380</v>
      </c>
      <c r="H380">
        <v>30.03</v>
      </c>
      <c r="I380">
        <v>32.299999999999997</v>
      </c>
      <c r="J380">
        <v>0</v>
      </c>
      <c r="K380">
        <v>0</v>
      </c>
      <c r="L380">
        <v>2</v>
      </c>
      <c r="M380">
        <v>2</v>
      </c>
      <c r="N380">
        <v>4.4000000000000004</v>
      </c>
      <c r="O380">
        <v>24</v>
      </c>
      <c r="P380">
        <v>53300</v>
      </c>
      <c r="Q380">
        <v>62</v>
      </c>
      <c r="R380">
        <v>183</v>
      </c>
      <c r="S380" t="s">
        <v>35433</v>
      </c>
      <c r="U380">
        <v>0.9259404</v>
      </c>
      <c r="V380">
        <v>6.14</v>
      </c>
      <c r="W380">
        <v>5.43</v>
      </c>
      <c r="X380" t="s">
        <v>2068</v>
      </c>
      <c r="Y380" t="s">
        <v>35447</v>
      </c>
      <c r="Z380" t="s">
        <v>2050</v>
      </c>
      <c r="AA380" t="s">
        <v>2073</v>
      </c>
      <c r="AB380" t="s">
        <v>35448</v>
      </c>
      <c r="AC380" t="s">
        <v>34493</v>
      </c>
      <c r="AD380" t="s">
        <v>8979</v>
      </c>
      <c r="AE380" t="s">
        <v>8980</v>
      </c>
      <c r="AF380" t="s">
        <v>35449</v>
      </c>
      <c r="AG380" t="s">
        <v>35437</v>
      </c>
    </row>
    <row r="381" spans="1:33" x14ac:dyDescent="0.25">
      <c r="A381" t="s">
        <v>34462</v>
      </c>
      <c r="B381" t="s">
        <v>2075</v>
      </c>
      <c r="C381" t="s">
        <v>2077</v>
      </c>
      <c r="D381">
        <v>26.69</v>
      </c>
      <c r="E381">
        <v>26.69</v>
      </c>
      <c r="F381">
        <v>581</v>
      </c>
      <c r="G381">
        <v>1776</v>
      </c>
      <c r="H381">
        <v>30.22</v>
      </c>
      <c r="I381">
        <v>31.44</v>
      </c>
      <c r="J381">
        <v>0</v>
      </c>
      <c r="K381">
        <v>0</v>
      </c>
      <c r="L381">
        <v>1</v>
      </c>
      <c r="M381">
        <v>1</v>
      </c>
      <c r="N381">
        <v>4.4000000000000004</v>
      </c>
      <c r="O381">
        <v>1</v>
      </c>
      <c r="P381">
        <v>53298</v>
      </c>
      <c r="Q381">
        <v>56</v>
      </c>
      <c r="R381">
        <v>167</v>
      </c>
      <c r="S381" t="s">
        <v>35433</v>
      </c>
      <c r="U381">
        <v>1.0295575400000001</v>
      </c>
      <c r="V381">
        <v>6.48</v>
      </c>
      <c r="W381">
        <v>4.54</v>
      </c>
      <c r="X381" t="s">
        <v>2074</v>
      </c>
      <c r="Y381" t="s">
        <v>35450</v>
      </c>
      <c r="Z381" t="s">
        <v>2050</v>
      </c>
      <c r="AA381" t="s">
        <v>2079</v>
      </c>
      <c r="AB381" t="s">
        <v>35451</v>
      </c>
      <c r="AC381" t="s">
        <v>34493</v>
      </c>
      <c r="AD381" t="s">
        <v>8979</v>
      </c>
      <c r="AE381" t="s">
        <v>8980</v>
      </c>
      <c r="AF381" t="s">
        <v>35452</v>
      </c>
      <c r="AG381" t="s">
        <v>35437</v>
      </c>
    </row>
    <row r="382" spans="1:33" x14ac:dyDescent="0.25">
      <c r="A382" t="s">
        <v>34462</v>
      </c>
      <c r="B382" t="s">
        <v>2081</v>
      </c>
      <c r="C382" t="s">
        <v>2083</v>
      </c>
      <c r="D382">
        <v>25.45</v>
      </c>
      <c r="E382">
        <v>25.45</v>
      </c>
      <c r="F382">
        <v>592</v>
      </c>
      <c r="G382">
        <v>346</v>
      </c>
      <c r="H382">
        <v>30.11</v>
      </c>
      <c r="I382">
        <v>32</v>
      </c>
      <c r="J382">
        <v>0</v>
      </c>
      <c r="K382">
        <v>0</v>
      </c>
      <c r="L382">
        <v>2</v>
      </c>
      <c r="M382">
        <v>2</v>
      </c>
      <c r="N382">
        <v>4.4000000000000004</v>
      </c>
      <c r="O382">
        <v>9</v>
      </c>
      <c r="P382">
        <v>53300</v>
      </c>
      <c r="Q382">
        <v>74</v>
      </c>
      <c r="R382">
        <v>202</v>
      </c>
      <c r="S382" t="s">
        <v>35433</v>
      </c>
      <c r="U382">
        <v>1.0493991199999999</v>
      </c>
      <c r="V382">
        <v>6.05</v>
      </c>
      <c r="W382">
        <v>4.33</v>
      </c>
      <c r="X382" t="s">
        <v>2080</v>
      </c>
      <c r="Y382" t="s">
        <v>35453</v>
      </c>
      <c r="Z382" t="s">
        <v>2050</v>
      </c>
      <c r="AA382" t="s">
        <v>2084</v>
      </c>
      <c r="AB382" t="s">
        <v>35454</v>
      </c>
      <c r="AC382" t="s">
        <v>34493</v>
      </c>
      <c r="AD382" t="s">
        <v>8979</v>
      </c>
      <c r="AE382" t="s">
        <v>8980</v>
      </c>
      <c r="AF382" t="s">
        <v>35455</v>
      </c>
      <c r="AG382" t="s">
        <v>35437</v>
      </c>
    </row>
    <row r="383" spans="1:33" x14ac:dyDescent="0.25">
      <c r="A383" t="s">
        <v>34462</v>
      </c>
      <c r="B383" t="s">
        <v>2086</v>
      </c>
      <c r="C383" t="s">
        <v>2088</v>
      </c>
      <c r="D383">
        <v>28.8</v>
      </c>
      <c r="E383">
        <v>28.8</v>
      </c>
      <c r="F383">
        <v>581</v>
      </c>
      <c r="G383">
        <v>103583</v>
      </c>
      <c r="H383">
        <v>30.67</v>
      </c>
      <c r="I383">
        <v>33.15</v>
      </c>
      <c r="J383">
        <v>0.22</v>
      </c>
      <c r="K383">
        <v>0.22</v>
      </c>
      <c r="L383">
        <v>1</v>
      </c>
      <c r="M383">
        <v>1</v>
      </c>
      <c r="N383">
        <v>4.4000000000000004</v>
      </c>
      <c r="O383">
        <v>8</v>
      </c>
      <c r="P383">
        <v>53298</v>
      </c>
      <c r="Q383">
        <v>59</v>
      </c>
      <c r="R383">
        <v>161</v>
      </c>
      <c r="S383" t="s">
        <v>35433</v>
      </c>
      <c r="U383">
        <v>0.93696350000000006</v>
      </c>
      <c r="V383">
        <v>5.82</v>
      </c>
      <c r="W383">
        <v>4.9000000000000004</v>
      </c>
      <c r="X383" t="s">
        <v>2085</v>
      </c>
      <c r="Y383" t="s">
        <v>35456</v>
      </c>
      <c r="Z383" t="s">
        <v>2050</v>
      </c>
      <c r="AA383" t="s">
        <v>2089</v>
      </c>
      <c r="AB383" t="s">
        <v>35457</v>
      </c>
      <c r="AC383" t="s">
        <v>34493</v>
      </c>
      <c r="AD383" t="s">
        <v>8979</v>
      </c>
      <c r="AE383" t="s">
        <v>8980</v>
      </c>
      <c r="AF383" t="s">
        <v>35458</v>
      </c>
      <c r="AG383" t="s">
        <v>35437</v>
      </c>
    </row>
    <row r="384" spans="1:33" x14ac:dyDescent="0.25">
      <c r="A384" t="s">
        <v>34462</v>
      </c>
      <c r="B384" t="s">
        <v>2091</v>
      </c>
      <c r="C384" t="s">
        <v>2093</v>
      </c>
      <c r="D384">
        <v>37.99</v>
      </c>
      <c r="E384">
        <v>37.99</v>
      </c>
      <c r="F384">
        <v>581</v>
      </c>
      <c r="G384">
        <v>1186</v>
      </c>
      <c r="H384">
        <v>33.6</v>
      </c>
      <c r="I384">
        <v>34.17</v>
      </c>
      <c r="J384">
        <v>0.01</v>
      </c>
      <c r="K384">
        <v>0.01</v>
      </c>
      <c r="L384">
        <v>1</v>
      </c>
      <c r="M384">
        <v>1</v>
      </c>
      <c r="N384">
        <v>4.4000000000000004</v>
      </c>
      <c r="O384">
        <v>9</v>
      </c>
      <c r="P384">
        <v>53300</v>
      </c>
      <c r="Q384">
        <v>62</v>
      </c>
      <c r="R384">
        <v>163</v>
      </c>
      <c r="S384" t="s">
        <v>35433</v>
      </c>
      <c r="U384">
        <v>1.0493991199999999</v>
      </c>
      <c r="V384">
        <v>6.05</v>
      </c>
      <c r="W384">
        <v>6.46</v>
      </c>
      <c r="X384" t="s">
        <v>2090</v>
      </c>
      <c r="Y384" t="s">
        <v>35459</v>
      </c>
      <c r="Z384" t="s">
        <v>2050</v>
      </c>
      <c r="AA384" t="s">
        <v>2094</v>
      </c>
      <c r="AB384" t="s">
        <v>35460</v>
      </c>
      <c r="AC384" t="s">
        <v>34493</v>
      </c>
      <c r="AD384" t="s">
        <v>8979</v>
      </c>
      <c r="AE384" t="s">
        <v>8980</v>
      </c>
      <c r="AF384" t="s">
        <v>35461</v>
      </c>
      <c r="AG384" t="s">
        <v>35437</v>
      </c>
    </row>
    <row r="385" spans="1:33" x14ac:dyDescent="0.25">
      <c r="A385" t="s">
        <v>34462</v>
      </c>
      <c r="B385" t="s">
        <v>2096</v>
      </c>
      <c r="C385" t="s">
        <v>2098</v>
      </c>
      <c r="D385">
        <v>39.99</v>
      </c>
      <c r="E385">
        <v>39.99</v>
      </c>
      <c r="F385">
        <v>583</v>
      </c>
      <c r="G385">
        <v>2110</v>
      </c>
      <c r="H385">
        <v>35.590000000000003</v>
      </c>
      <c r="I385">
        <v>34.71</v>
      </c>
      <c r="J385">
        <v>0</v>
      </c>
      <c r="K385">
        <v>0</v>
      </c>
      <c r="L385">
        <v>1</v>
      </c>
      <c r="M385">
        <v>1</v>
      </c>
      <c r="N385">
        <v>4.4000000000000004</v>
      </c>
      <c r="O385">
        <v>28</v>
      </c>
      <c r="P385">
        <v>53300</v>
      </c>
      <c r="Q385">
        <v>70</v>
      </c>
      <c r="R385">
        <v>186</v>
      </c>
      <c r="S385" t="s">
        <v>35433</v>
      </c>
      <c r="U385">
        <v>1.0493991199999999</v>
      </c>
      <c r="V385">
        <v>6.05</v>
      </c>
      <c r="W385">
        <v>6.8</v>
      </c>
      <c r="X385" t="s">
        <v>2095</v>
      </c>
      <c r="Y385" t="s">
        <v>35462</v>
      </c>
      <c r="Z385" t="s">
        <v>2050</v>
      </c>
      <c r="AA385" t="s">
        <v>2057</v>
      </c>
      <c r="AB385" t="s">
        <v>35463</v>
      </c>
      <c r="AC385" t="s">
        <v>34493</v>
      </c>
      <c r="AD385" t="s">
        <v>8979</v>
      </c>
      <c r="AE385" t="s">
        <v>53</v>
      </c>
      <c r="AF385" t="s">
        <v>35440</v>
      </c>
      <c r="AG385" t="s">
        <v>35437</v>
      </c>
    </row>
    <row r="386" spans="1:33" x14ac:dyDescent="0.25">
      <c r="A386" t="s">
        <v>34462</v>
      </c>
      <c r="B386" t="s">
        <v>2101</v>
      </c>
      <c r="C386" t="s">
        <v>2103</v>
      </c>
      <c r="D386">
        <v>30.85</v>
      </c>
      <c r="E386">
        <v>30.85</v>
      </c>
      <c r="F386">
        <v>581</v>
      </c>
      <c r="G386">
        <v>69846</v>
      </c>
      <c r="H386">
        <v>32.07</v>
      </c>
      <c r="I386">
        <v>32.83</v>
      </c>
      <c r="J386">
        <v>0</v>
      </c>
      <c r="K386">
        <v>0</v>
      </c>
      <c r="L386">
        <v>2</v>
      </c>
      <c r="M386">
        <v>2</v>
      </c>
      <c r="N386">
        <v>4.4000000000000004</v>
      </c>
      <c r="O386">
        <v>14</v>
      </c>
      <c r="P386">
        <v>53296</v>
      </c>
      <c r="Q386">
        <v>56</v>
      </c>
      <c r="R386">
        <v>155</v>
      </c>
      <c r="S386" t="s">
        <v>35433</v>
      </c>
      <c r="U386">
        <v>1.0493991199999999</v>
      </c>
      <c r="V386">
        <v>6.05</v>
      </c>
      <c r="W386">
        <v>5.24</v>
      </c>
      <c r="X386" t="s">
        <v>2100</v>
      </c>
      <c r="Y386" t="s">
        <v>35464</v>
      </c>
      <c r="Z386" t="s">
        <v>2050</v>
      </c>
      <c r="AA386" t="s">
        <v>2062</v>
      </c>
      <c r="AB386" t="s">
        <v>35465</v>
      </c>
      <c r="AC386" t="s">
        <v>34493</v>
      </c>
      <c r="AD386" t="s">
        <v>8979</v>
      </c>
      <c r="AE386" t="s">
        <v>53</v>
      </c>
      <c r="AF386" t="s">
        <v>35443</v>
      </c>
      <c r="AG386" t="s">
        <v>35437</v>
      </c>
    </row>
    <row r="387" spans="1:33" x14ac:dyDescent="0.25">
      <c r="A387" t="s">
        <v>34462</v>
      </c>
      <c r="B387" t="s">
        <v>2105</v>
      </c>
      <c r="C387" t="s">
        <v>2107</v>
      </c>
      <c r="D387">
        <v>30.85</v>
      </c>
      <c r="E387">
        <v>30.85</v>
      </c>
      <c r="F387">
        <v>581</v>
      </c>
      <c r="G387">
        <v>363</v>
      </c>
      <c r="H387">
        <v>31.83</v>
      </c>
      <c r="I387">
        <v>33.11</v>
      </c>
      <c r="J387">
        <v>0</v>
      </c>
      <c r="K387">
        <v>0</v>
      </c>
      <c r="L387">
        <v>1</v>
      </c>
      <c r="M387">
        <v>1</v>
      </c>
      <c r="N387">
        <v>4.4000000000000004</v>
      </c>
      <c r="O387">
        <v>7</v>
      </c>
      <c r="P387">
        <v>53298</v>
      </c>
      <c r="Q387">
        <v>48</v>
      </c>
      <c r="R387">
        <v>148</v>
      </c>
      <c r="S387" t="s">
        <v>35433</v>
      </c>
      <c r="U387">
        <v>1.0361714</v>
      </c>
      <c r="V387">
        <v>6.48</v>
      </c>
      <c r="W387">
        <v>5.24</v>
      </c>
      <c r="X387" t="s">
        <v>2104</v>
      </c>
      <c r="Y387" t="s">
        <v>35466</v>
      </c>
      <c r="Z387" t="s">
        <v>2050</v>
      </c>
      <c r="AA387" t="s">
        <v>2079</v>
      </c>
      <c r="AB387" t="s">
        <v>35467</v>
      </c>
      <c r="AC387" t="s">
        <v>34493</v>
      </c>
      <c r="AD387" t="s">
        <v>8979</v>
      </c>
      <c r="AE387" t="s">
        <v>53</v>
      </c>
      <c r="AF387" t="s">
        <v>35468</v>
      </c>
      <c r="AG387" t="s">
        <v>35437</v>
      </c>
    </row>
    <row r="388" spans="1:33" x14ac:dyDescent="0.25">
      <c r="A388" t="s">
        <v>34462</v>
      </c>
      <c r="B388" t="s">
        <v>2109</v>
      </c>
      <c r="C388" t="s">
        <v>2111</v>
      </c>
      <c r="D388">
        <v>31.99</v>
      </c>
      <c r="E388">
        <v>31.99</v>
      </c>
      <c r="F388">
        <v>581</v>
      </c>
      <c r="G388">
        <v>1159</v>
      </c>
      <c r="H388">
        <v>30.91</v>
      </c>
      <c r="I388">
        <v>32.86</v>
      </c>
      <c r="J388">
        <v>0</v>
      </c>
      <c r="K388">
        <v>0</v>
      </c>
      <c r="L388">
        <v>2</v>
      </c>
      <c r="M388">
        <v>2</v>
      </c>
      <c r="N388">
        <v>4.4000000000000004</v>
      </c>
      <c r="O388">
        <v>16</v>
      </c>
      <c r="P388">
        <v>53300</v>
      </c>
      <c r="Q388">
        <v>57</v>
      </c>
      <c r="R388">
        <v>171</v>
      </c>
      <c r="S388" t="s">
        <v>35433</v>
      </c>
      <c r="U388">
        <v>0.93034963999999998</v>
      </c>
      <c r="V388">
        <v>6.05</v>
      </c>
      <c r="W388">
        <v>5.44</v>
      </c>
      <c r="X388" t="s">
        <v>2108</v>
      </c>
      <c r="Y388" t="s">
        <v>35469</v>
      </c>
      <c r="Z388" t="s">
        <v>2050</v>
      </c>
      <c r="AA388" t="s">
        <v>2073</v>
      </c>
      <c r="AB388" t="s">
        <v>35470</v>
      </c>
      <c r="AC388" t="s">
        <v>34493</v>
      </c>
      <c r="AD388" t="s">
        <v>8979</v>
      </c>
      <c r="AE388" t="s">
        <v>53</v>
      </c>
      <c r="AF388" t="s">
        <v>35449</v>
      </c>
      <c r="AG388" t="s">
        <v>35437</v>
      </c>
    </row>
    <row r="389" spans="1:33" x14ac:dyDescent="0.25">
      <c r="A389" t="s">
        <v>34462</v>
      </c>
      <c r="B389" t="s">
        <v>2113</v>
      </c>
      <c r="C389" t="s">
        <v>2115</v>
      </c>
      <c r="D389">
        <v>37.99</v>
      </c>
      <c r="E389">
        <v>37.99</v>
      </c>
      <c r="F389">
        <v>581</v>
      </c>
      <c r="G389">
        <v>649</v>
      </c>
      <c r="H389">
        <v>34.39</v>
      </c>
      <c r="I389">
        <v>33.729999999999997</v>
      </c>
      <c r="J389">
        <v>0</v>
      </c>
      <c r="K389">
        <v>0</v>
      </c>
      <c r="L389">
        <v>1</v>
      </c>
      <c r="M389">
        <v>1</v>
      </c>
      <c r="N389">
        <v>4.4000000000000004</v>
      </c>
      <c r="O389">
        <v>14</v>
      </c>
      <c r="P389">
        <v>53300</v>
      </c>
      <c r="Q389">
        <v>53</v>
      </c>
      <c r="R389">
        <v>166</v>
      </c>
      <c r="S389" t="s">
        <v>35433</v>
      </c>
      <c r="U389">
        <v>0.93475887999999996</v>
      </c>
      <c r="V389">
        <v>6.05</v>
      </c>
      <c r="W389">
        <v>6.46</v>
      </c>
      <c r="X389" t="s">
        <v>2112</v>
      </c>
      <c r="Y389" t="s">
        <v>35471</v>
      </c>
      <c r="Z389" t="s">
        <v>2050</v>
      </c>
      <c r="AA389" t="s">
        <v>2051</v>
      </c>
      <c r="AB389" t="s">
        <v>35472</v>
      </c>
      <c r="AC389" t="s">
        <v>34493</v>
      </c>
      <c r="AD389" t="s">
        <v>8979</v>
      </c>
      <c r="AE389" t="s">
        <v>53</v>
      </c>
      <c r="AF389" t="s">
        <v>35473</v>
      </c>
      <c r="AG389" t="s">
        <v>35437</v>
      </c>
    </row>
    <row r="390" spans="1:33" x14ac:dyDescent="0.25">
      <c r="A390" t="s">
        <v>34462</v>
      </c>
      <c r="B390" t="s">
        <v>2117</v>
      </c>
      <c r="C390" t="s">
        <v>2119</v>
      </c>
      <c r="D390">
        <v>29.13</v>
      </c>
      <c r="E390">
        <v>29.13</v>
      </c>
      <c r="F390">
        <v>581</v>
      </c>
      <c r="G390">
        <v>4144</v>
      </c>
      <c r="H390">
        <v>31.2</v>
      </c>
      <c r="I390">
        <v>32.97</v>
      </c>
      <c r="J390">
        <v>0</v>
      </c>
      <c r="K390">
        <v>0</v>
      </c>
      <c r="L390">
        <v>2</v>
      </c>
      <c r="M390">
        <v>2</v>
      </c>
      <c r="N390">
        <v>4.4000000000000004</v>
      </c>
      <c r="O390">
        <v>17</v>
      </c>
      <c r="P390">
        <v>53300</v>
      </c>
      <c r="Q390">
        <v>51</v>
      </c>
      <c r="R390">
        <v>156</v>
      </c>
      <c r="S390" t="s">
        <v>35433</v>
      </c>
      <c r="U390">
        <v>1.06042222</v>
      </c>
      <c r="V390">
        <v>6.05</v>
      </c>
      <c r="W390">
        <v>4.95</v>
      </c>
      <c r="X390" t="s">
        <v>2116</v>
      </c>
      <c r="Y390" t="s">
        <v>35474</v>
      </c>
      <c r="Z390" t="s">
        <v>2050</v>
      </c>
      <c r="AA390" t="s">
        <v>2084</v>
      </c>
      <c r="AB390" t="s">
        <v>35475</v>
      </c>
      <c r="AC390" t="s">
        <v>34493</v>
      </c>
      <c r="AD390" t="s">
        <v>8979</v>
      </c>
      <c r="AE390" t="s">
        <v>53</v>
      </c>
      <c r="AF390" t="s">
        <v>35476</v>
      </c>
      <c r="AG390" t="s">
        <v>35437</v>
      </c>
    </row>
    <row r="391" spans="1:33" x14ac:dyDescent="0.25">
      <c r="A391" t="s">
        <v>34462</v>
      </c>
      <c r="B391" t="s">
        <v>2121</v>
      </c>
      <c r="C391" t="s">
        <v>2123</v>
      </c>
      <c r="D391">
        <v>39.99</v>
      </c>
      <c r="E391">
        <v>39.99</v>
      </c>
      <c r="F391">
        <v>581</v>
      </c>
      <c r="G391">
        <v>362</v>
      </c>
      <c r="H391">
        <v>37.83</v>
      </c>
      <c r="I391">
        <v>36.35</v>
      </c>
      <c r="J391">
        <v>0</v>
      </c>
      <c r="K391">
        <v>0</v>
      </c>
      <c r="L391">
        <v>1</v>
      </c>
      <c r="M391">
        <v>1</v>
      </c>
      <c r="N391">
        <v>4.4000000000000004</v>
      </c>
      <c r="O391">
        <v>7</v>
      </c>
      <c r="P391">
        <v>53298</v>
      </c>
      <c r="Q391">
        <v>49</v>
      </c>
      <c r="R391">
        <v>161</v>
      </c>
      <c r="S391" t="s">
        <v>35433</v>
      </c>
      <c r="U391">
        <v>0.98326051999999997</v>
      </c>
      <c r="V391">
        <v>6.67</v>
      </c>
      <c r="W391">
        <v>6.8</v>
      </c>
      <c r="X391" t="s">
        <v>2120</v>
      </c>
      <c r="Y391" t="s">
        <v>35477</v>
      </c>
      <c r="Z391" t="s">
        <v>2050</v>
      </c>
      <c r="AA391" t="s">
        <v>2067</v>
      </c>
      <c r="AB391" t="s">
        <v>35478</v>
      </c>
      <c r="AC391" t="s">
        <v>34493</v>
      </c>
      <c r="AD391" t="s">
        <v>8979</v>
      </c>
      <c r="AE391" t="s">
        <v>53</v>
      </c>
      <c r="AF391" t="s">
        <v>35479</v>
      </c>
      <c r="AG391" t="s">
        <v>35437</v>
      </c>
    </row>
    <row r="392" spans="1:33" x14ac:dyDescent="0.25">
      <c r="A392" t="s">
        <v>34462</v>
      </c>
      <c r="B392" t="s">
        <v>2125</v>
      </c>
      <c r="C392" t="s">
        <v>2127</v>
      </c>
      <c r="D392">
        <v>37.99</v>
      </c>
      <c r="E392">
        <v>37.99</v>
      </c>
      <c r="F392">
        <v>583</v>
      </c>
      <c r="G392">
        <v>6878</v>
      </c>
      <c r="H392">
        <v>35.799999999999997</v>
      </c>
      <c r="I392">
        <v>34.840000000000003</v>
      </c>
      <c r="J392">
        <v>0.95</v>
      </c>
      <c r="K392">
        <v>0.96</v>
      </c>
      <c r="L392">
        <v>1</v>
      </c>
      <c r="N392">
        <v>4.4000000000000004</v>
      </c>
      <c r="O392">
        <v>14</v>
      </c>
      <c r="P392">
        <v>53300</v>
      </c>
      <c r="Q392">
        <v>53</v>
      </c>
      <c r="R392">
        <v>137</v>
      </c>
      <c r="S392" t="s">
        <v>35433</v>
      </c>
      <c r="U392">
        <v>1.0493991199999999</v>
      </c>
      <c r="V392">
        <v>6.05</v>
      </c>
      <c r="W392">
        <v>6.46</v>
      </c>
      <c r="X392" t="s">
        <v>2124</v>
      </c>
      <c r="Y392" t="s">
        <v>35480</v>
      </c>
      <c r="Z392" t="s">
        <v>2050</v>
      </c>
      <c r="AA392" t="s">
        <v>2094</v>
      </c>
      <c r="AB392" t="s">
        <v>35481</v>
      </c>
      <c r="AC392" t="s">
        <v>34493</v>
      </c>
      <c r="AD392" t="s">
        <v>8979</v>
      </c>
      <c r="AE392" t="s">
        <v>53</v>
      </c>
      <c r="AF392" t="s">
        <v>35482</v>
      </c>
      <c r="AG392" t="s">
        <v>35437</v>
      </c>
    </row>
    <row r="393" spans="1:33" x14ac:dyDescent="0.25">
      <c r="A393" t="s">
        <v>34462</v>
      </c>
      <c r="B393" t="s">
        <v>2129</v>
      </c>
      <c r="C393" t="s">
        <v>2132</v>
      </c>
      <c r="D393">
        <v>48.1</v>
      </c>
      <c r="E393">
        <v>48.1</v>
      </c>
      <c r="F393">
        <v>59807</v>
      </c>
      <c r="G393">
        <v>169029</v>
      </c>
      <c r="H393">
        <v>47.53</v>
      </c>
      <c r="I393">
        <v>51.98</v>
      </c>
      <c r="J393">
        <v>0</v>
      </c>
      <c r="K393">
        <v>0.13</v>
      </c>
      <c r="L393">
        <v>6</v>
      </c>
      <c r="M393">
        <v>7</v>
      </c>
      <c r="N393">
        <v>4.8</v>
      </c>
      <c r="O393">
        <v>2</v>
      </c>
      <c r="P393">
        <v>49</v>
      </c>
      <c r="Q393">
        <v>27</v>
      </c>
      <c r="R393">
        <v>81</v>
      </c>
      <c r="S393" t="s">
        <v>35483</v>
      </c>
      <c r="U393">
        <v>0.84436946000000002</v>
      </c>
      <c r="V393">
        <v>6.48</v>
      </c>
      <c r="W393">
        <v>8.18</v>
      </c>
      <c r="X393" t="s">
        <v>2128</v>
      </c>
      <c r="Y393" t="s">
        <v>2133</v>
      </c>
      <c r="Z393" t="s">
        <v>2133</v>
      </c>
      <c r="AA393" t="s">
        <v>1859</v>
      </c>
      <c r="AB393" t="s">
        <v>35484</v>
      </c>
      <c r="AC393" t="s">
        <v>34465</v>
      </c>
      <c r="AD393" t="s">
        <v>8078</v>
      </c>
      <c r="AE393" t="s">
        <v>34533</v>
      </c>
      <c r="AF393" t="s">
        <v>35485</v>
      </c>
      <c r="AG393" t="s">
        <v>35346</v>
      </c>
    </row>
    <row r="394" spans="1:33" x14ac:dyDescent="0.25">
      <c r="A394" t="s">
        <v>34462</v>
      </c>
      <c r="B394" t="s">
        <v>2135</v>
      </c>
      <c r="C394" t="s">
        <v>2137</v>
      </c>
      <c r="D394">
        <v>47.79</v>
      </c>
      <c r="E394">
        <v>38.450000000000003</v>
      </c>
      <c r="F394">
        <v>59807</v>
      </c>
      <c r="G394">
        <v>167291</v>
      </c>
      <c r="H394">
        <v>56.77</v>
      </c>
      <c r="I394">
        <v>56.63</v>
      </c>
      <c r="J394">
        <v>0</v>
      </c>
      <c r="K394">
        <v>0</v>
      </c>
      <c r="L394">
        <v>6</v>
      </c>
      <c r="M394">
        <v>7</v>
      </c>
      <c r="N394">
        <v>4.8</v>
      </c>
      <c r="O394">
        <v>0</v>
      </c>
      <c r="P394">
        <v>49</v>
      </c>
      <c r="Q394">
        <v>19</v>
      </c>
      <c r="R394">
        <v>51</v>
      </c>
      <c r="S394" t="s">
        <v>35483</v>
      </c>
      <c r="U394">
        <v>0.85980180000000006</v>
      </c>
      <c r="V394">
        <v>6.67</v>
      </c>
      <c r="W394">
        <v>8.1199999999999992</v>
      </c>
      <c r="X394" t="s">
        <v>2134</v>
      </c>
      <c r="Y394" t="s">
        <v>2133</v>
      </c>
      <c r="Z394" t="s">
        <v>2133</v>
      </c>
      <c r="AA394" t="s">
        <v>2139</v>
      </c>
      <c r="AB394" t="s">
        <v>35486</v>
      </c>
      <c r="AC394" t="s">
        <v>34493</v>
      </c>
      <c r="AD394" t="s">
        <v>8078</v>
      </c>
      <c r="AE394" t="s">
        <v>34533</v>
      </c>
      <c r="AF394" t="s">
        <v>35487</v>
      </c>
      <c r="AG394" t="s">
        <v>35346</v>
      </c>
    </row>
    <row r="395" spans="1:33" x14ac:dyDescent="0.25">
      <c r="A395" t="s">
        <v>34462</v>
      </c>
      <c r="B395" t="s">
        <v>2141</v>
      </c>
      <c r="C395" t="s">
        <v>2143</v>
      </c>
      <c r="D395">
        <v>47.79</v>
      </c>
      <c r="E395">
        <v>38.450000000000003</v>
      </c>
      <c r="F395">
        <v>59807</v>
      </c>
      <c r="G395">
        <v>170995</v>
      </c>
      <c r="H395">
        <v>54.67</v>
      </c>
      <c r="I395">
        <v>54.38</v>
      </c>
      <c r="J395">
        <v>0</v>
      </c>
      <c r="K395">
        <v>0</v>
      </c>
      <c r="L395">
        <v>3</v>
      </c>
      <c r="M395">
        <v>3</v>
      </c>
      <c r="N395">
        <v>4.8</v>
      </c>
      <c r="O395">
        <v>1</v>
      </c>
      <c r="P395">
        <v>49</v>
      </c>
      <c r="Q395">
        <v>22</v>
      </c>
      <c r="R395">
        <v>50</v>
      </c>
      <c r="S395" t="s">
        <v>35483</v>
      </c>
      <c r="U395">
        <v>0.88184799999999997</v>
      </c>
      <c r="V395">
        <v>6.86</v>
      </c>
      <c r="W395">
        <v>8.1199999999999992</v>
      </c>
      <c r="X395" t="s">
        <v>2140</v>
      </c>
      <c r="Y395" t="s">
        <v>2133</v>
      </c>
      <c r="Z395" t="s">
        <v>2133</v>
      </c>
      <c r="AA395" t="s">
        <v>2144</v>
      </c>
      <c r="AB395" t="s">
        <v>35488</v>
      </c>
      <c r="AC395" t="s">
        <v>34493</v>
      </c>
      <c r="AD395" t="s">
        <v>8078</v>
      </c>
      <c r="AE395" t="s">
        <v>34533</v>
      </c>
      <c r="AF395" t="s">
        <v>35489</v>
      </c>
      <c r="AG395" t="s">
        <v>35346</v>
      </c>
    </row>
    <row r="396" spans="1:33" x14ac:dyDescent="0.25">
      <c r="A396" t="s">
        <v>34462</v>
      </c>
      <c r="B396" t="s">
        <v>2146</v>
      </c>
      <c r="C396" t="s">
        <v>2148</v>
      </c>
      <c r="D396">
        <v>47.79</v>
      </c>
      <c r="E396">
        <v>38.450000000000003</v>
      </c>
      <c r="F396">
        <v>59807</v>
      </c>
      <c r="G396">
        <v>160600</v>
      </c>
      <c r="H396">
        <v>56.8</v>
      </c>
      <c r="I396">
        <v>57.45</v>
      </c>
      <c r="J396">
        <v>0</v>
      </c>
      <c r="K396">
        <v>0</v>
      </c>
      <c r="L396">
        <v>7</v>
      </c>
      <c r="M396">
        <v>8</v>
      </c>
      <c r="N396">
        <v>4.8</v>
      </c>
      <c r="O396">
        <v>1</v>
      </c>
      <c r="P396">
        <v>49</v>
      </c>
      <c r="Q396">
        <v>23</v>
      </c>
      <c r="R396">
        <v>65</v>
      </c>
      <c r="S396" t="s">
        <v>35483</v>
      </c>
      <c r="U396">
        <v>0.90389419999999998</v>
      </c>
      <c r="V396">
        <v>6.67</v>
      </c>
      <c r="W396">
        <v>8.1199999999999992</v>
      </c>
      <c r="X396" t="s">
        <v>2145</v>
      </c>
      <c r="Y396" t="s">
        <v>2133</v>
      </c>
      <c r="Z396" t="s">
        <v>2133</v>
      </c>
      <c r="AA396" t="s">
        <v>2139</v>
      </c>
      <c r="AB396" t="s">
        <v>35490</v>
      </c>
      <c r="AC396" t="s">
        <v>34493</v>
      </c>
      <c r="AD396" t="s">
        <v>8078</v>
      </c>
      <c r="AE396" t="s">
        <v>14701</v>
      </c>
      <c r="AF396" t="s">
        <v>35487</v>
      </c>
      <c r="AG396" t="s">
        <v>35346</v>
      </c>
    </row>
    <row r="397" spans="1:33" x14ac:dyDescent="0.25">
      <c r="A397" t="s">
        <v>34462</v>
      </c>
      <c r="B397" t="s">
        <v>2151</v>
      </c>
      <c r="C397" t="s">
        <v>2153</v>
      </c>
      <c r="D397">
        <v>47.65</v>
      </c>
      <c r="E397">
        <v>38.450000000000003</v>
      </c>
      <c r="F397">
        <v>59807</v>
      </c>
      <c r="G397">
        <v>172175</v>
      </c>
      <c r="H397">
        <v>55.14</v>
      </c>
      <c r="I397">
        <v>55.14</v>
      </c>
      <c r="J397">
        <v>0</v>
      </c>
      <c r="K397">
        <v>0</v>
      </c>
      <c r="L397">
        <v>5</v>
      </c>
      <c r="M397">
        <v>4</v>
      </c>
      <c r="N397">
        <v>4.8</v>
      </c>
      <c r="O397">
        <v>0</v>
      </c>
      <c r="P397">
        <v>49</v>
      </c>
      <c r="Q397">
        <v>27</v>
      </c>
      <c r="R397">
        <v>68</v>
      </c>
      <c r="S397" t="s">
        <v>35483</v>
      </c>
      <c r="U397">
        <v>0.91491730000000004</v>
      </c>
      <c r="V397">
        <v>6.67</v>
      </c>
      <c r="W397">
        <v>8.1</v>
      </c>
      <c r="X397" t="s">
        <v>2150</v>
      </c>
      <c r="Y397" t="s">
        <v>2133</v>
      </c>
      <c r="Z397" t="s">
        <v>2133</v>
      </c>
      <c r="AA397" t="s">
        <v>2144</v>
      </c>
      <c r="AB397" t="s">
        <v>35491</v>
      </c>
      <c r="AC397" t="s">
        <v>34493</v>
      </c>
      <c r="AD397" t="s">
        <v>8078</v>
      </c>
      <c r="AE397" t="s">
        <v>14701</v>
      </c>
      <c r="AF397" t="s">
        <v>35489</v>
      </c>
      <c r="AG397" t="s">
        <v>35346</v>
      </c>
    </row>
    <row r="398" spans="1:33" x14ac:dyDescent="0.25">
      <c r="A398" t="s">
        <v>34462</v>
      </c>
      <c r="B398" t="s">
        <v>2155</v>
      </c>
      <c r="C398" t="s">
        <v>2157</v>
      </c>
      <c r="D398">
        <v>47.79</v>
      </c>
      <c r="E398">
        <v>38.450000000000003</v>
      </c>
      <c r="F398">
        <v>59807</v>
      </c>
      <c r="G398">
        <v>167878</v>
      </c>
      <c r="H398">
        <v>56.97</v>
      </c>
      <c r="I398">
        <v>56.84</v>
      </c>
      <c r="J398">
        <v>0</v>
      </c>
      <c r="K398">
        <v>0</v>
      </c>
      <c r="L398">
        <v>6</v>
      </c>
      <c r="M398">
        <v>7</v>
      </c>
      <c r="N398">
        <v>4.8</v>
      </c>
      <c r="O398">
        <v>2</v>
      </c>
      <c r="P398">
        <v>49</v>
      </c>
      <c r="Q398">
        <v>25</v>
      </c>
      <c r="R398">
        <v>61</v>
      </c>
      <c r="S398" t="s">
        <v>35483</v>
      </c>
      <c r="U398">
        <v>0.95900969999999996</v>
      </c>
      <c r="V398">
        <v>6.67</v>
      </c>
      <c r="W398">
        <v>8.1199999999999992</v>
      </c>
      <c r="X398" t="s">
        <v>2154</v>
      </c>
      <c r="Y398" t="s">
        <v>2133</v>
      </c>
      <c r="Z398" t="s">
        <v>2133</v>
      </c>
      <c r="AA398" t="s">
        <v>2139</v>
      </c>
      <c r="AB398" t="s">
        <v>35492</v>
      </c>
      <c r="AC398" t="s">
        <v>34493</v>
      </c>
      <c r="AD398" t="s">
        <v>8078</v>
      </c>
      <c r="AE398" t="s">
        <v>34525</v>
      </c>
      <c r="AF398" t="s">
        <v>35487</v>
      </c>
      <c r="AG398" t="s">
        <v>35346</v>
      </c>
    </row>
    <row r="399" spans="1:33" x14ac:dyDescent="0.25">
      <c r="A399" t="s">
        <v>34462</v>
      </c>
      <c r="B399" t="s">
        <v>2159</v>
      </c>
      <c r="C399" t="s">
        <v>2161</v>
      </c>
      <c r="D399">
        <v>47.79</v>
      </c>
      <c r="E399">
        <v>38.450000000000003</v>
      </c>
      <c r="F399">
        <v>59807</v>
      </c>
      <c r="G399">
        <v>164637</v>
      </c>
      <c r="H399">
        <v>56.85</v>
      </c>
      <c r="I399">
        <v>56.6</v>
      </c>
      <c r="J399">
        <v>0</v>
      </c>
      <c r="K399">
        <v>0.12</v>
      </c>
      <c r="L399">
        <v>7</v>
      </c>
      <c r="M399">
        <v>8</v>
      </c>
      <c r="N399">
        <v>4.8</v>
      </c>
      <c r="O399">
        <v>3</v>
      </c>
      <c r="P399">
        <v>49</v>
      </c>
      <c r="Q399">
        <v>18</v>
      </c>
      <c r="R399">
        <v>59</v>
      </c>
      <c r="S399" t="s">
        <v>35483</v>
      </c>
      <c r="U399">
        <v>0.91491730000000004</v>
      </c>
      <c r="V399">
        <v>7.4</v>
      </c>
      <c r="W399">
        <v>8.1199999999999992</v>
      </c>
      <c r="X399" t="s">
        <v>2158</v>
      </c>
      <c r="Y399" t="s">
        <v>2133</v>
      </c>
      <c r="Z399" t="s">
        <v>2133</v>
      </c>
      <c r="AA399" t="s">
        <v>2144</v>
      </c>
      <c r="AB399" t="s">
        <v>35493</v>
      </c>
      <c r="AC399" t="s">
        <v>34493</v>
      </c>
      <c r="AD399" t="s">
        <v>8078</v>
      </c>
      <c r="AE399" t="s">
        <v>34525</v>
      </c>
      <c r="AF399" t="s">
        <v>35489</v>
      </c>
      <c r="AG399" t="s">
        <v>35346</v>
      </c>
    </row>
    <row r="400" spans="1:33" x14ac:dyDescent="0.25">
      <c r="A400" t="s">
        <v>34462</v>
      </c>
      <c r="B400" t="s">
        <v>2163</v>
      </c>
      <c r="C400" t="s">
        <v>2165</v>
      </c>
      <c r="D400">
        <v>60</v>
      </c>
      <c r="E400">
        <v>38.450000000000003</v>
      </c>
      <c r="F400">
        <v>59807</v>
      </c>
      <c r="G400">
        <v>164551</v>
      </c>
      <c r="H400">
        <v>56.86</v>
      </c>
      <c r="I400">
        <v>56.92</v>
      </c>
      <c r="J400">
        <v>0</v>
      </c>
      <c r="K400">
        <v>7.0000000000000007E-2</v>
      </c>
      <c r="L400">
        <v>5</v>
      </c>
      <c r="M400">
        <v>6</v>
      </c>
      <c r="N400">
        <v>4.8</v>
      </c>
      <c r="O400">
        <v>0</v>
      </c>
      <c r="P400">
        <v>49</v>
      </c>
      <c r="Q400">
        <v>28</v>
      </c>
      <c r="R400">
        <v>83</v>
      </c>
      <c r="S400" t="s">
        <v>35483</v>
      </c>
      <c r="U400">
        <v>1.0361714</v>
      </c>
      <c r="V400">
        <v>6.81</v>
      </c>
      <c r="W400">
        <v>10.199999999999999</v>
      </c>
      <c r="X400" t="s">
        <v>2162</v>
      </c>
      <c r="Y400" t="s">
        <v>2133</v>
      </c>
      <c r="Z400" t="s">
        <v>2133</v>
      </c>
      <c r="AA400" t="s">
        <v>2144</v>
      </c>
      <c r="AB400" t="s">
        <v>35494</v>
      </c>
      <c r="AC400" t="s">
        <v>34493</v>
      </c>
      <c r="AD400" t="s">
        <v>8078</v>
      </c>
      <c r="AE400" t="s">
        <v>34649</v>
      </c>
      <c r="AF400" t="s">
        <v>35489</v>
      </c>
      <c r="AG400" t="s">
        <v>35346</v>
      </c>
    </row>
    <row r="401" spans="1:33" x14ac:dyDescent="0.25">
      <c r="A401" t="s">
        <v>34462</v>
      </c>
      <c r="B401" t="s">
        <v>2167</v>
      </c>
      <c r="C401" t="s">
        <v>2169</v>
      </c>
      <c r="D401">
        <v>53.43</v>
      </c>
      <c r="E401">
        <v>48.13</v>
      </c>
      <c r="F401">
        <v>59807</v>
      </c>
      <c r="G401">
        <v>167543</v>
      </c>
      <c r="H401">
        <v>50.04</v>
      </c>
      <c r="I401">
        <v>53.22</v>
      </c>
      <c r="J401">
        <v>0</v>
      </c>
      <c r="K401">
        <v>0.26</v>
      </c>
      <c r="L401">
        <v>5</v>
      </c>
      <c r="M401">
        <v>6</v>
      </c>
      <c r="N401">
        <v>4.8</v>
      </c>
      <c r="O401">
        <v>1</v>
      </c>
      <c r="P401">
        <v>49</v>
      </c>
      <c r="Q401">
        <v>28</v>
      </c>
      <c r="R401">
        <v>74</v>
      </c>
      <c r="S401" t="s">
        <v>35483</v>
      </c>
      <c r="U401">
        <v>1.0802638</v>
      </c>
      <c r="V401">
        <v>7.02</v>
      </c>
      <c r="W401">
        <v>9.08</v>
      </c>
      <c r="X401" t="s">
        <v>2166</v>
      </c>
      <c r="Y401" t="s">
        <v>2133</v>
      </c>
      <c r="Z401" t="s">
        <v>2133</v>
      </c>
      <c r="AA401" t="s">
        <v>2144</v>
      </c>
      <c r="AB401" t="s">
        <v>35495</v>
      </c>
      <c r="AC401" t="s">
        <v>34493</v>
      </c>
      <c r="AD401" t="s">
        <v>8078</v>
      </c>
      <c r="AE401" t="s">
        <v>34469</v>
      </c>
      <c r="AF401" t="s">
        <v>35489</v>
      </c>
      <c r="AG401" t="s">
        <v>35346</v>
      </c>
    </row>
    <row r="402" spans="1:33" x14ac:dyDescent="0.25">
      <c r="A402" t="s">
        <v>34462</v>
      </c>
      <c r="B402" t="s">
        <v>2171</v>
      </c>
      <c r="C402" t="s">
        <v>2174</v>
      </c>
      <c r="D402">
        <v>37.99</v>
      </c>
      <c r="E402">
        <v>36.9</v>
      </c>
      <c r="F402">
        <v>16913</v>
      </c>
      <c r="G402">
        <v>32123</v>
      </c>
      <c r="H402">
        <v>39.92</v>
      </c>
      <c r="I402">
        <v>41.39</v>
      </c>
      <c r="J402">
        <v>0.01</v>
      </c>
      <c r="K402">
        <v>0.35</v>
      </c>
      <c r="L402">
        <v>2</v>
      </c>
      <c r="M402">
        <v>2</v>
      </c>
      <c r="N402">
        <v>4.5999999999999996</v>
      </c>
      <c r="O402">
        <v>2</v>
      </c>
      <c r="P402">
        <v>1225</v>
      </c>
      <c r="Q402">
        <v>54</v>
      </c>
      <c r="R402">
        <v>163</v>
      </c>
      <c r="S402" t="s">
        <v>35496</v>
      </c>
      <c r="U402">
        <v>0.42108242000000001</v>
      </c>
      <c r="V402">
        <v>5.82</v>
      </c>
      <c r="W402">
        <v>6.46</v>
      </c>
      <c r="X402" t="s">
        <v>2170</v>
      </c>
      <c r="Y402" t="s">
        <v>35497</v>
      </c>
      <c r="Z402" t="s">
        <v>2175</v>
      </c>
      <c r="AA402" t="s">
        <v>1705</v>
      </c>
      <c r="AB402" t="s">
        <v>35498</v>
      </c>
      <c r="AC402" t="s">
        <v>34465</v>
      </c>
      <c r="AD402" t="s">
        <v>7954</v>
      </c>
      <c r="AE402" t="s">
        <v>34533</v>
      </c>
      <c r="AF402" t="s">
        <v>35499</v>
      </c>
      <c r="AG402" t="s">
        <v>35500</v>
      </c>
    </row>
    <row r="403" spans="1:33" x14ac:dyDescent="0.25">
      <c r="A403" t="s">
        <v>34462</v>
      </c>
      <c r="B403" t="s">
        <v>2177</v>
      </c>
      <c r="C403" t="s">
        <v>2179</v>
      </c>
      <c r="D403">
        <v>49.88</v>
      </c>
      <c r="E403">
        <v>41.93</v>
      </c>
      <c r="H403">
        <v>87.98</v>
      </c>
      <c r="I403">
        <v>86.48</v>
      </c>
      <c r="J403">
        <v>0</v>
      </c>
      <c r="K403">
        <v>1</v>
      </c>
      <c r="L403">
        <v>3</v>
      </c>
      <c r="M403">
        <v>2</v>
      </c>
      <c r="O403">
        <v>0</v>
      </c>
      <c r="Q403">
        <v>0</v>
      </c>
      <c r="R403">
        <v>0</v>
      </c>
      <c r="U403">
        <v>1.3999337000000001</v>
      </c>
      <c r="V403">
        <v>5.9</v>
      </c>
      <c r="W403">
        <v>8.48</v>
      </c>
      <c r="X403" t="s">
        <v>2176</v>
      </c>
      <c r="Z403" t="s">
        <v>2180</v>
      </c>
      <c r="AA403" t="s">
        <v>145</v>
      </c>
      <c r="AB403" t="s">
        <v>35501</v>
      </c>
      <c r="AC403" t="s">
        <v>34465</v>
      </c>
      <c r="AD403" t="s">
        <v>7954</v>
      </c>
      <c r="AF403" t="s">
        <v>35502</v>
      </c>
      <c r="AG403" t="s">
        <v>35503</v>
      </c>
    </row>
    <row r="404" spans="1:33" x14ac:dyDescent="0.25">
      <c r="A404" t="s">
        <v>34462</v>
      </c>
      <c r="B404" t="s">
        <v>2182</v>
      </c>
      <c r="C404" t="s">
        <v>2184</v>
      </c>
      <c r="D404">
        <v>35.979999999999997</v>
      </c>
      <c r="E404">
        <v>28.03</v>
      </c>
      <c r="F404">
        <v>16913</v>
      </c>
      <c r="G404">
        <v>32625</v>
      </c>
      <c r="H404">
        <v>39.28</v>
      </c>
      <c r="I404">
        <v>39.299999999999997</v>
      </c>
      <c r="J404">
        <v>0.03</v>
      </c>
      <c r="K404">
        <v>0.32</v>
      </c>
      <c r="L404">
        <v>2</v>
      </c>
      <c r="M404">
        <v>2</v>
      </c>
      <c r="N404">
        <v>4.5999999999999996</v>
      </c>
      <c r="O404">
        <v>3</v>
      </c>
      <c r="P404">
        <v>1225</v>
      </c>
      <c r="Q404">
        <v>51</v>
      </c>
      <c r="R404">
        <v>105</v>
      </c>
      <c r="S404" t="s">
        <v>35496</v>
      </c>
      <c r="U404">
        <v>0.39903622</v>
      </c>
      <c r="V404">
        <v>5.82</v>
      </c>
      <c r="W404">
        <v>6.12</v>
      </c>
      <c r="X404" t="s">
        <v>2181</v>
      </c>
      <c r="Y404" t="s">
        <v>35504</v>
      </c>
      <c r="Z404" t="s">
        <v>2175</v>
      </c>
      <c r="AA404" t="s">
        <v>2185</v>
      </c>
      <c r="AB404" t="s">
        <v>35505</v>
      </c>
      <c r="AC404" t="s">
        <v>34465</v>
      </c>
      <c r="AD404" t="s">
        <v>7954</v>
      </c>
      <c r="AE404" t="s">
        <v>34533</v>
      </c>
      <c r="AF404" t="s">
        <v>35506</v>
      </c>
      <c r="AG404" t="s">
        <v>35500</v>
      </c>
    </row>
    <row r="405" spans="1:33" x14ac:dyDescent="0.25">
      <c r="A405" t="s">
        <v>34462</v>
      </c>
      <c r="B405" t="s">
        <v>2187</v>
      </c>
      <c r="C405" t="s">
        <v>2189</v>
      </c>
      <c r="D405">
        <v>36.99</v>
      </c>
      <c r="E405">
        <v>36.99</v>
      </c>
      <c r="F405">
        <v>16913</v>
      </c>
      <c r="G405">
        <v>32468</v>
      </c>
      <c r="H405">
        <v>40.04</v>
      </c>
      <c r="I405">
        <v>38.43</v>
      </c>
      <c r="J405">
        <v>0</v>
      </c>
      <c r="K405">
        <v>1</v>
      </c>
      <c r="L405">
        <v>4</v>
      </c>
      <c r="M405">
        <v>5</v>
      </c>
      <c r="N405">
        <v>4.5999999999999996</v>
      </c>
      <c r="O405">
        <v>12</v>
      </c>
      <c r="P405">
        <v>1225</v>
      </c>
      <c r="Q405">
        <v>41</v>
      </c>
      <c r="R405">
        <v>108</v>
      </c>
      <c r="S405" t="s">
        <v>35496</v>
      </c>
      <c r="U405">
        <v>0.46076558000000001</v>
      </c>
      <c r="V405">
        <v>6.05</v>
      </c>
      <c r="W405">
        <v>6.29</v>
      </c>
      <c r="X405" t="s">
        <v>2186</v>
      </c>
      <c r="Y405" t="s">
        <v>35507</v>
      </c>
      <c r="Z405" t="s">
        <v>2175</v>
      </c>
      <c r="AA405" t="s">
        <v>1705</v>
      </c>
      <c r="AB405" t="s">
        <v>35508</v>
      </c>
      <c r="AC405" t="s">
        <v>34465</v>
      </c>
      <c r="AD405" t="s">
        <v>7954</v>
      </c>
      <c r="AE405" t="s">
        <v>34525</v>
      </c>
      <c r="AF405" t="s">
        <v>35499</v>
      </c>
      <c r="AG405" t="s">
        <v>35500</v>
      </c>
    </row>
    <row r="406" spans="1:33" x14ac:dyDescent="0.25">
      <c r="A406" t="s">
        <v>34462</v>
      </c>
      <c r="B406" t="s">
        <v>2191</v>
      </c>
      <c r="C406" t="s">
        <v>2193</v>
      </c>
      <c r="D406">
        <v>41.88</v>
      </c>
      <c r="E406">
        <v>41.85</v>
      </c>
      <c r="F406">
        <v>16913</v>
      </c>
      <c r="G406">
        <v>32769</v>
      </c>
      <c r="H406">
        <v>40.299999999999997</v>
      </c>
      <c r="I406">
        <v>44.05</v>
      </c>
      <c r="J406">
        <v>0</v>
      </c>
      <c r="K406">
        <v>0.42</v>
      </c>
      <c r="L406">
        <v>3</v>
      </c>
      <c r="M406">
        <v>4</v>
      </c>
      <c r="N406">
        <v>4.5999999999999996</v>
      </c>
      <c r="O406">
        <v>5</v>
      </c>
      <c r="P406">
        <v>1225</v>
      </c>
      <c r="Q406">
        <v>46</v>
      </c>
      <c r="R406">
        <v>97</v>
      </c>
      <c r="S406" t="s">
        <v>35496</v>
      </c>
      <c r="U406">
        <v>0.52910880000000005</v>
      </c>
      <c r="V406">
        <v>5.9</v>
      </c>
      <c r="W406">
        <v>7.12</v>
      </c>
      <c r="X406" t="s">
        <v>2190</v>
      </c>
      <c r="Y406" t="s">
        <v>35509</v>
      </c>
      <c r="Z406" t="s">
        <v>2175</v>
      </c>
      <c r="AA406" t="s">
        <v>1705</v>
      </c>
      <c r="AB406" t="s">
        <v>35510</v>
      </c>
      <c r="AC406" t="s">
        <v>34465</v>
      </c>
      <c r="AD406" t="s">
        <v>7954</v>
      </c>
      <c r="AE406" t="s">
        <v>34649</v>
      </c>
      <c r="AF406" t="s">
        <v>35499</v>
      </c>
      <c r="AG406" t="s">
        <v>35500</v>
      </c>
    </row>
    <row r="407" spans="1:33" x14ac:dyDescent="0.25">
      <c r="A407" t="s">
        <v>34462</v>
      </c>
      <c r="B407" t="s">
        <v>2195</v>
      </c>
      <c r="C407" t="s">
        <v>2197</v>
      </c>
      <c r="D407">
        <v>42.94</v>
      </c>
      <c r="E407">
        <v>42.9</v>
      </c>
      <c r="F407">
        <v>16913</v>
      </c>
      <c r="G407">
        <v>31972</v>
      </c>
      <c r="H407">
        <v>45.55</v>
      </c>
      <c r="I407">
        <v>46.64</v>
      </c>
      <c r="J407">
        <v>0</v>
      </c>
      <c r="K407">
        <v>1</v>
      </c>
      <c r="L407">
        <v>3</v>
      </c>
      <c r="M407">
        <v>4</v>
      </c>
      <c r="N407">
        <v>4.5999999999999996</v>
      </c>
      <c r="O407">
        <v>7</v>
      </c>
      <c r="P407">
        <v>1225</v>
      </c>
      <c r="Q407">
        <v>41</v>
      </c>
      <c r="R407">
        <v>93</v>
      </c>
      <c r="S407" t="s">
        <v>35496</v>
      </c>
      <c r="U407">
        <v>0.57099657999999998</v>
      </c>
      <c r="V407">
        <v>5.82</v>
      </c>
      <c r="W407">
        <v>7.3</v>
      </c>
      <c r="X407" t="s">
        <v>2194</v>
      </c>
      <c r="Y407" t="s">
        <v>35511</v>
      </c>
      <c r="Z407" t="s">
        <v>2175</v>
      </c>
      <c r="AA407" t="s">
        <v>1705</v>
      </c>
      <c r="AB407" t="s">
        <v>35512</v>
      </c>
      <c r="AC407" t="s">
        <v>34465</v>
      </c>
      <c r="AD407" t="s">
        <v>7954</v>
      </c>
      <c r="AE407" t="s">
        <v>34469</v>
      </c>
      <c r="AF407" t="s">
        <v>35499</v>
      </c>
      <c r="AG407" t="s">
        <v>35500</v>
      </c>
    </row>
    <row r="408" spans="1:33" x14ac:dyDescent="0.25">
      <c r="A408" t="s">
        <v>34462</v>
      </c>
      <c r="B408" t="s">
        <v>2200</v>
      </c>
      <c r="C408" t="s">
        <v>2203</v>
      </c>
      <c r="D408">
        <v>20.239999999999998</v>
      </c>
      <c r="E408">
        <v>17.649999999999999</v>
      </c>
      <c r="F408">
        <v>26</v>
      </c>
      <c r="G408">
        <v>49</v>
      </c>
      <c r="H408">
        <v>20.37</v>
      </c>
      <c r="I408">
        <v>20.03</v>
      </c>
      <c r="J408">
        <v>0</v>
      </c>
      <c r="K408">
        <v>0</v>
      </c>
      <c r="L408">
        <v>10</v>
      </c>
      <c r="M408">
        <v>11</v>
      </c>
      <c r="N408">
        <v>4.5</v>
      </c>
      <c r="O408">
        <v>15</v>
      </c>
      <c r="P408">
        <v>91808</v>
      </c>
      <c r="Q408">
        <v>70</v>
      </c>
      <c r="R408">
        <v>201</v>
      </c>
      <c r="S408" t="s">
        <v>35513</v>
      </c>
      <c r="T408">
        <v>50</v>
      </c>
      <c r="U408">
        <v>0.3086468</v>
      </c>
      <c r="V408">
        <v>4.6100000000000003</v>
      </c>
      <c r="W408">
        <v>2.0299999999999998</v>
      </c>
      <c r="X408" t="s">
        <v>2199</v>
      </c>
      <c r="Y408" t="s">
        <v>2205</v>
      </c>
      <c r="Z408" t="s">
        <v>2205</v>
      </c>
      <c r="AA408" t="s">
        <v>2206</v>
      </c>
      <c r="AB408" t="s">
        <v>35514</v>
      </c>
      <c r="AC408" t="s">
        <v>34493</v>
      </c>
      <c r="AD408" t="s">
        <v>8078</v>
      </c>
      <c r="AE408" t="s">
        <v>34533</v>
      </c>
      <c r="AF408" t="s">
        <v>35515</v>
      </c>
      <c r="AG408" t="s">
        <v>35516</v>
      </c>
    </row>
    <row r="409" spans="1:33" x14ac:dyDescent="0.25">
      <c r="A409" t="s">
        <v>34462</v>
      </c>
      <c r="B409" t="s">
        <v>2208</v>
      </c>
      <c r="C409" t="s">
        <v>2211</v>
      </c>
      <c r="D409">
        <v>129.78</v>
      </c>
      <c r="E409">
        <v>129.78</v>
      </c>
      <c r="F409">
        <v>1340694</v>
      </c>
      <c r="G409">
        <v>674400</v>
      </c>
      <c r="H409">
        <v>83.39</v>
      </c>
      <c r="I409">
        <v>108.49</v>
      </c>
      <c r="J409">
        <v>0.36</v>
      </c>
      <c r="K409">
        <v>0.42</v>
      </c>
      <c r="L409">
        <v>2</v>
      </c>
      <c r="N409">
        <v>4.4000000000000004</v>
      </c>
      <c r="O409">
        <v>0</v>
      </c>
      <c r="P409">
        <v>8</v>
      </c>
      <c r="Q409">
        <v>3</v>
      </c>
      <c r="R409">
        <v>27</v>
      </c>
      <c r="S409" t="s">
        <v>35517</v>
      </c>
      <c r="U409">
        <v>2.2707586000000002</v>
      </c>
      <c r="V409">
        <v>12.65</v>
      </c>
      <c r="X409" t="s">
        <v>2207</v>
      </c>
      <c r="Y409" t="s">
        <v>2212</v>
      </c>
      <c r="Z409" t="s">
        <v>2212</v>
      </c>
      <c r="AA409" t="s">
        <v>2213</v>
      </c>
      <c r="AB409" t="s">
        <v>35518</v>
      </c>
      <c r="AC409" t="s">
        <v>34465</v>
      </c>
      <c r="AD409" t="s">
        <v>9232</v>
      </c>
      <c r="AE409" t="s">
        <v>34533</v>
      </c>
      <c r="AF409" t="s">
        <v>35519</v>
      </c>
      <c r="AG409" t="s">
        <v>35520</v>
      </c>
    </row>
    <row r="410" spans="1:33" x14ac:dyDescent="0.25">
      <c r="A410" t="s">
        <v>34462</v>
      </c>
      <c r="B410" t="s">
        <v>2215</v>
      </c>
      <c r="C410" t="s">
        <v>2217</v>
      </c>
      <c r="D410">
        <v>136.47999999999999</v>
      </c>
      <c r="E410">
        <v>136.47999999999999</v>
      </c>
      <c r="F410">
        <v>1323131</v>
      </c>
      <c r="G410">
        <v>723398</v>
      </c>
      <c r="H410">
        <v>148.84</v>
      </c>
      <c r="I410">
        <v>144.19</v>
      </c>
      <c r="J410">
        <v>0</v>
      </c>
      <c r="K410">
        <v>1</v>
      </c>
      <c r="L410">
        <v>2</v>
      </c>
      <c r="M410">
        <v>2</v>
      </c>
      <c r="N410">
        <v>4.4000000000000004</v>
      </c>
      <c r="O410">
        <v>0</v>
      </c>
      <c r="P410">
        <v>8</v>
      </c>
      <c r="Q410">
        <v>5</v>
      </c>
      <c r="R410">
        <v>16</v>
      </c>
      <c r="S410" t="s">
        <v>35517</v>
      </c>
      <c r="U410">
        <v>2.2707586000000002</v>
      </c>
      <c r="V410">
        <v>14.17</v>
      </c>
      <c r="W410">
        <v>23.2</v>
      </c>
      <c r="X410" t="s">
        <v>2214</v>
      </c>
      <c r="Y410" t="s">
        <v>2212</v>
      </c>
      <c r="Z410" t="s">
        <v>2212</v>
      </c>
      <c r="AA410" t="s">
        <v>1406</v>
      </c>
      <c r="AB410" t="s">
        <v>35521</v>
      </c>
      <c r="AC410" t="s">
        <v>34465</v>
      </c>
      <c r="AD410" t="s">
        <v>9232</v>
      </c>
      <c r="AE410" t="s">
        <v>34533</v>
      </c>
      <c r="AF410" t="s">
        <v>35522</v>
      </c>
      <c r="AG410" t="s">
        <v>35520</v>
      </c>
    </row>
    <row r="411" spans="1:33" x14ac:dyDescent="0.25">
      <c r="A411" t="s">
        <v>34462</v>
      </c>
      <c r="B411" t="s">
        <v>2219</v>
      </c>
      <c r="C411" t="s">
        <v>2221</v>
      </c>
      <c r="D411">
        <v>129.78</v>
      </c>
      <c r="E411">
        <v>129.78</v>
      </c>
      <c r="F411">
        <v>1323131</v>
      </c>
      <c r="G411">
        <v>742650</v>
      </c>
      <c r="H411">
        <v>84.2</v>
      </c>
      <c r="I411">
        <v>84.2</v>
      </c>
      <c r="J411">
        <v>0</v>
      </c>
      <c r="K411">
        <v>0.65</v>
      </c>
      <c r="L411">
        <v>3</v>
      </c>
      <c r="M411">
        <v>2</v>
      </c>
      <c r="N411">
        <v>4.4000000000000004</v>
      </c>
      <c r="O411">
        <v>0</v>
      </c>
      <c r="P411">
        <v>8</v>
      </c>
      <c r="Q411">
        <v>8</v>
      </c>
      <c r="R411">
        <v>36</v>
      </c>
      <c r="S411" t="s">
        <v>35517</v>
      </c>
      <c r="U411">
        <v>2.2707586000000002</v>
      </c>
      <c r="V411">
        <v>14.93</v>
      </c>
      <c r="X411" t="s">
        <v>2218</v>
      </c>
      <c r="Y411" t="s">
        <v>2212</v>
      </c>
      <c r="Z411" t="s">
        <v>2212</v>
      </c>
      <c r="AA411" t="s">
        <v>1211</v>
      </c>
      <c r="AB411" t="s">
        <v>35523</v>
      </c>
      <c r="AC411" t="s">
        <v>34465</v>
      </c>
      <c r="AD411" t="s">
        <v>9232</v>
      </c>
      <c r="AE411" t="s">
        <v>34533</v>
      </c>
      <c r="AF411" t="s">
        <v>35524</v>
      </c>
      <c r="AG411" t="s">
        <v>35520</v>
      </c>
    </row>
    <row r="412" spans="1:33" x14ac:dyDescent="0.25">
      <c r="A412" t="s">
        <v>34462</v>
      </c>
      <c r="B412" t="s">
        <v>2223</v>
      </c>
      <c r="C412" t="s">
        <v>2225</v>
      </c>
      <c r="D412">
        <v>98.67</v>
      </c>
      <c r="E412">
        <v>98.67</v>
      </c>
      <c r="F412">
        <v>1403714</v>
      </c>
      <c r="G412">
        <v>710621</v>
      </c>
      <c r="H412">
        <v>102.62</v>
      </c>
      <c r="I412">
        <v>115.66</v>
      </c>
      <c r="J412">
        <v>0.16</v>
      </c>
      <c r="K412">
        <v>0.32</v>
      </c>
      <c r="L412">
        <v>1</v>
      </c>
      <c r="M412">
        <v>1</v>
      </c>
      <c r="N412">
        <v>4.4000000000000004</v>
      </c>
      <c r="O412">
        <v>2</v>
      </c>
      <c r="P412">
        <v>8</v>
      </c>
      <c r="Q412">
        <v>5</v>
      </c>
      <c r="R412">
        <v>25</v>
      </c>
      <c r="S412" t="s">
        <v>35517</v>
      </c>
      <c r="U412">
        <v>2.2707586000000002</v>
      </c>
      <c r="V412">
        <v>14.93</v>
      </c>
      <c r="W412">
        <v>16.77</v>
      </c>
      <c r="X412" t="s">
        <v>2222</v>
      </c>
      <c r="Y412" t="s">
        <v>2212</v>
      </c>
      <c r="Z412" t="s">
        <v>2212</v>
      </c>
      <c r="AA412" t="s">
        <v>76</v>
      </c>
      <c r="AB412" t="s">
        <v>35525</v>
      </c>
      <c r="AC412" t="s">
        <v>34493</v>
      </c>
      <c r="AD412" t="s">
        <v>9232</v>
      </c>
      <c r="AE412" t="s">
        <v>34533</v>
      </c>
      <c r="AF412" t="s">
        <v>35526</v>
      </c>
      <c r="AG412" t="s">
        <v>35520</v>
      </c>
    </row>
    <row r="413" spans="1:33" x14ac:dyDescent="0.25">
      <c r="A413" t="s">
        <v>34462</v>
      </c>
      <c r="B413" t="s">
        <v>2227</v>
      </c>
      <c r="C413" t="s">
        <v>2229</v>
      </c>
      <c r="D413">
        <v>66</v>
      </c>
      <c r="E413">
        <v>66</v>
      </c>
      <c r="F413">
        <v>1362042</v>
      </c>
      <c r="G413">
        <v>727730</v>
      </c>
      <c r="H413">
        <v>82.16</v>
      </c>
      <c r="I413">
        <v>122.25</v>
      </c>
      <c r="J413">
        <v>0.56000000000000005</v>
      </c>
      <c r="K413">
        <v>0.83</v>
      </c>
      <c r="L413">
        <v>2</v>
      </c>
      <c r="M413">
        <v>1</v>
      </c>
      <c r="N413">
        <v>4.4000000000000004</v>
      </c>
      <c r="O413">
        <v>0</v>
      </c>
      <c r="P413">
        <v>4</v>
      </c>
      <c r="Q413">
        <v>4</v>
      </c>
      <c r="R413">
        <v>20</v>
      </c>
      <c r="S413" t="s">
        <v>35517</v>
      </c>
      <c r="U413">
        <v>2.4294912399999999</v>
      </c>
      <c r="V413">
        <v>14.17</v>
      </c>
      <c r="W413">
        <v>11.22</v>
      </c>
      <c r="X413" t="s">
        <v>2226</v>
      </c>
      <c r="Y413" t="s">
        <v>2212</v>
      </c>
      <c r="Z413" t="s">
        <v>2212</v>
      </c>
      <c r="AA413" t="s">
        <v>2213</v>
      </c>
      <c r="AB413" t="s">
        <v>35527</v>
      </c>
      <c r="AC413" t="s">
        <v>34493</v>
      </c>
      <c r="AD413" t="s">
        <v>9232</v>
      </c>
      <c r="AE413" t="s">
        <v>14701</v>
      </c>
      <c r="AF413" t="s">
        <v>35519</v>
      </c>
    </row>
    <row r="414" spans="1:33" x14ac:dyDescent="0.25">
      <c r="A414" t="s">
        <v>34462</v>
      </c>
      <c r="B414" t="s">
        <v>2231</v>
      </c>
      <c r="C414" t="s">
        <v>2233</v>
      </c>
      <c r="D414">
        <v>120.28</v>
      </c>
      <c r="E414">
        <v>120.28</v>
      </c>
      <c r="F414">
        <v>1403714</v>
      </c>
      <c r="G414">
        <v>705696</v>
      </c>
      <c r="H414">
        <v>138.46</v>
      </c>
      <c r="I414">
        <v>135.69</v>
      </c>
      <c r="J414">
        <v>0</v>
      </c>
      <c r="K414">
        <v>0</v>
      </c>
      <c r="L414">
        <v>2</v>
      </c>
      <c r="M414">
        <v>2</v>
      </c>
      <c r="N414">
        <v>4.4000000000000004</v>
      </c>
      <c r="O414">
        <v>0</v>
      </c>
      <c r="P414">
        <v>8</v>
      </c>
      <c r="Q414">
        <v>5</v>
      </c>
      <c r="R414">
        <v>29</v>
      </c>
      <c r="S414" t="s">
        <v>35517</v>
      </c>
      <c r="U414">
        <v>2.4691744</v>
      </c>
      <c r="V414">
        <v>14.93</v>
      </c>
      <c r="W414">
        <v>20.45</v>
      </c>
      <c r="X414" t="s">
        <v>2230</v>
      </c>
      <c r="Y414" t="s">
        <v>2212</v>
      </c>
      <c r="Z414" t="s">
        <v>2212</v>
      </c>
      <c r="AA414" t="s">
        <v>1406</v>
      </c>
      <c r="AB414" t="s">
        <v>35528</v>
      </c>
      <c r="AC414" t="s">
        <v>34493</v>
      </c>
      <c r="AD414" t="s">
        <v>9232</v>
      </c>
      <c r="AE414" t="s">
        <v>14701</v>
      </c>
      <c r="AF414" t="s">
        <v>35529</v>
      </c>
      <c r="AG414" t="s">
        <v>35520</v>
      </c>
    </row>
    <row r="415" spans="1:33" x14ac:dyDescent="0.25">
      <c r="A415" t="s">
        <v>34462</v>
      </c>
      <c r="B415" t="s">
        <v>2235</v>
      </c>
      <c r="C415" t="s">
        <v>2237</v>
      </c>
      <c r="D415">
        <v>136.47999999999999</v>
      </c>
      <c r="E415">
        <v>136.47999999999999</v>
      </c>
      <c r="F415">
        <v>1340694</v>
      </c>
      <c r="G415">
        <v>709014</v>
      </c>
      <c r="H415">
        <v>85</v>
      </c>
      <c r="I415">
        <v>112.15</v>
      </c>
      <c r="J415">
        <v>0</v>
      </c>
      <c r="K415">
        <v>0.56999999999999995</v>
      </c>
      <c r="L415">
        <v>2</v>
      </c>
      <c r="M415">
        <v>1</v>
      </c>
      <c r="N415">
        <v>4.4000000000000004</v>
      </c>
      <c r="O415">
        <v>0</v>
      </c>
      <c r="P415">
        <v>8</v>
      </c>
      <c r="Q415">
        <v>6</v>
      </c>
      <c r="R415">
        <v>28</v>
      </c>
      <c r="S415" t="s">
        <v>35517</v>
      </c>
      <c r="U415">
        <v>2.44933282</v>
      </c>
      <c r="V415">
        <v>15.31</v>
      </c>
      <c r="X415" t="s">
        <v>2234</v>
      </c>
      <c r="Y415" t="s">
        <v>2212</v>
      </c>
      <c r="Z415" t="s">
        <v>2212</v>
      </c>
      <c r="AA415" t="s">
        <v>1211</v>
      </c>
      <c r="AB415" t="s">
        <v>35530</v>
      </c>
      <c r="AC415" t="s">
        <v>34465</v>
      </c>
      <c r="AD415" t="s">
        <v>9232</v>
      </c>
      <c r="AE415" t="s">
        <v>14701</v>
      </c>
      <c r="AF415" t="s">
        <v>35524</v>
      </c>
      <c r="AG415" t="s">
        <v>35520</v>
      </c>
    </row>
    <row r="416" spans="1:33" x14ac:dyDescent="0.25">
      <c r="A416" t="s">
        <v>34462</v>
      </c>
      <c r="B416" t="s">
        <v>2240</v>
      </c>
      <c r="C416" t="s">
        <v>2242</v>
      </c>
      <c r="D416">
        <v>129.78</v>
      </c>
      <c r="E416">
        <v>129.78</v>
      </c>
      <c r="F416">
        <v>1323131</v>
      </c>
      <c r="G416">
        <v>689576</v>
      </c>
      <c r="H416">
        <v>84.19</v>
      </c>
      <c r="I416">
        <v>98.61</v>
      </c>
      <c r="J416">
        <v>0.28999999999999998</v>
      </c>
      <c r="K416">
        <v>0.43</v>
      </c>
      <c r="L416">
        <v>1</v>
      </c>
      <c r="M416">
        <v>1</v>
      </c>
      <c r="N416">
        <v>4.3</v>
      </c>
      <c r="O416">
        <v>0</v>
      </c>
      <c r="P416">
        <v>7</v>
      </c>
      <c r="Q416">
        <v>6</v>
      </c>
      <c r="R416">
        <v>17</v>
      </c>
      <c r="S416" t="s">
        <v>35517</v>
      </c>
      <c r="U416">
        <v>2.5397222400000001</v>
      </c>
      <c r="V416">
        <v>14.17</v>
      </c>
      <c r="X416" t="s">
        <v>2239</v>
      </c>
      <c r="Y416" t="s">
        <v>2212</v>
      </c>
      <c r="Z416" t="s">
        <v>2212</v>
      </c>
      <c r="AA416" t="s">
        <v>2213</v>
      </c>
      <c r="AB416" t="s">
        <v>35531</v>
      </c>
      <c r="AC416" t="s">
        <v>34465</v>
      </c>
      <c r="AD416" t="s">
        <v>9232</v>
      </c>
      <c r="AE416" t="s">
        <v>34525</v>
      </c>
      <c r="AF416" t="s">
        <v>35519</v>
      </c>
      <c r="AG416" t="s">
        <v>35520</v>
      </c>
    </row>
    <row r="417" spans="1:33" x14ac:dyDescent="0.25">
      <c r="A417" t="s">
        <v>34462</v>
      </c>
      <c r="B417" t="s">
        <v>2245</v>
      </c>
      <c r="C417" t="s">
        <v>2247</v>
      </c>
      <c r="D417">
        <v>136.47999999999999</v>
      </c>
      <c r="E417">
        <v>136.47999999999999</v>
      </c>
      <c r="F417">
        <v>1362042</v>
      </c>
      <c r="G417">
        <v>652874</v>
      </c>
      <c r="H417">
        <v>85</v>
      </c>
      <c r="I417">
        <v>116.03</v>
      </c>
      <c r="J417">
        <v>0.24</v>
      </c>
      <c r="K417">
        <v>0.71</v>
      </c>
      <c r="L417">
        <v>2</v>
      </c>
      <c r="M417">
        <v>2</v>
      </c>
      <c r="N417">
        <v>4.4000000000000004</v>
      </c>
      <c r="O417">
        <v>0</v>
      </c>
      <c r="P417">
        <v>8</v>
      </c>
      <c r="Q417">
        <v>4</v>
      </c>
      <c r="R417">
        <v>27</v>
      </c>
      <c r="S417" t="s">
        <v>35517</v>
      </c>
      <c r="U417">
        <v>2.70947798</v>
      </c>
      <c r="V417">
        <v>14.93</v>
      </c>
      <c r="X417" t="s">
        <v>2244</v>
      </c>
      <c r="Y417" t="s">
        <v>2212</v>
      </c>
      <c r="Z417" t="s">
        <v>2212</v>
      </c>
      <c r="AA417" t="s">
        <v>1211</v>
      </c>
      <c r="AB417" t="s">
        <v>35532</v>
      </c>
      <c r="AC417" t="s">
        <v>34465</v>
      </c>
      <c r="AD417" t="s">
        <v>9232</v>
      </c>
      <c r="AE417" t="s">
        <v>34525</v>
      </c>
      <c r="AF417" t="s">
        <v>35533</v>
      </c>
      <c r="AG417" t="s">
        <v>35520</v>
      </c>
    </row>
    <row r="418" spans="1:33" x14ac:dyDescent="0.25">
      <c r="A418" t="s">
        <v>34462</v>
      </c>
      <c r="B418" t="s">
        <v>2250</v>
      </c>
      <c r="C418" t="s">
        <v>2252</v>
      </c>
      <c r="D418">
        <v>119.83</v>
      </c>
      <c r="E418">
        <v>119.83</v>
      </c>
      <c r="F418">
        <v>1340694</v>
      </c>
      <c r="G418">
        <v>687478</v>
      </c>
      <c r="H418">
        <v>137.38</v>
      </c>
      <c r="I418">
        <v>133.69</v>
      </c>
      <c r="J418">
        <v>0.23</v>
      </c>
      <c r="K418">
        <v>0.57999999999999996</v>
      </c>
      <c r="L418">
        <v>2</v>
      </c>
      <c r="M418">
        <v>2</v>
      </c>
      <c r="N418">
        <v>4.4000000000000004</v>
      </c>
      <c r="O418">
        <v>0</v>
      </c>
      <c r="P418">
        <v>8</v>
      </c>
      <c r="Q418">
        <v>5</v>
      </c>
      <c r="R418">
        <v>23</v>
      </c>
      <c r="S418" t="s">
        <v>35517</v>
      </c>
      <c r="U418">
        <v>2.5110621800000001</v>
      </c>
      <c r="V418">
        <v>13.41</v>
      </c>
      <c r="W418">
        <v>20.37</v>
      </c>
      <c r="X418" t="s">
        <v>2249</v>
      </c>
      <c r="Y418" t="s">
        <v>2212</v>
      </c>
      <c r="Z418" t="s">
        <v>2212</v>
      </c>
      <c r="AA418" t="s">
        <v>1406</v>
      </c>
      <c r="AB418" t="s">
        <v>35534</v>
      </c>
      <c r="AC418" t="s">
        <v>34493</v>
      </c>
      <c r="AD418" t="s">
        <v>9232</v>
      </c>
      <c r="AE418" t="s">
        <v>34525</v>
      </c>
      <c r="AF418" t="s">
        <v>35529</v>
      </c>
      <c r="AG418" t="s">
        <v>35520</v>
      </c>
    </row>
    <row r="419" spans="1:33" x14ac:dyDescent="0.25">
      <c r="A419" t="s">
        <v>34462</v>
      </c>
      <c r="B419" t="s">
        <v>2255</v>
      </c>
      <c r="C419" t="s">
        <v>2257</v>
      </c>
      <c r="D419">
        <v>129.78</v>
      </c>
      <c r="E419">
        <v>129.78</v>
      </c>
      <c r="F419">
        <v>1312989</v>
      </c>
      <c r="G419">
        <v>731915</v>
      </c>
      <c r="H419">
        <v>123.97</v>
      </c>
      <c r="I419">
        <v>129.6</v>
      </c>
      <c r="J419">
        <v>0.39</v>
      </c>
      <c r="K419">
        <v>1</v>
      </c>
      <c r="L419">
        <v>2</v>
      </c>
      <c r="M419">
        <v>1</v>
      </c>
      <c r="N419">
        <v>4.4000000000000004</v>
      </c>
      <c r="O419">
        <v>0</v>
      </c>
      <c r="P419">
        <v>8</v>
      </c>
      <c r="Q419">
        <v>5</v>
      </c>
      <c r="R419">
        <v>22</v>
      </c>
      <c r="S419" t="s">
        <v>35517</v>
      </c>
      <c r="U419">
        <v>2.6499532399999999</v>
      </c>
      <c r="V419">
        <v>14.55</v>
      </c>
      <c r="X419" t="s">
        <v>2254</v>
      </c>
      <c r="Y419" t="s">
        <v>2212</v>
      </c>
      <c r="Z419" t="s">
        <v>2212</v>
      </c>
      <c r="AA419" t="s">
        <v>2213</v>
      </c>
      <c r="AB419" t="s">
        <v>35535</v>
      </c>
      <c r="AC419" t="s">
        <v>34465</v>
      </c>
      <c r="AD419" t="s">
        <v>9232</v>
      </c>
      <c r="AE419" t="s">
        <v>34649</v>
      </c>
      <c r="AF419" t="s">
        <v>35536</v>
      </c>
      <c r="AG419" t="s">
        <v>35520</v>
      </c>
    </row>
    <row r="420" spans="1:33" x14ac:dyDescent="0.25">
      <c r="A420" t="s">
        <v>34462</v>
      </c>
      <c r="B420" t="s">
        <v>2259</v>
      </c>
      <c r="C420" t="s">
        <v>2261</v>
      </c>
      <c r="D420">
        <v>66</v>
      </c>
      <c r="E420">
        <v>66</v>
      </c>
      <c r="F420">
        <v>1340694</v>
      </c>
      <c r="G420">
        <v>688178</v>
      </c>
      <c r="H420">
        <v>88.06</v>
      </c>
      <c r="I420">
        <v>100.95</v>
      </c>
      <c r="J420">
        <v>0</v>
      </c>
      <c r="K420">
        <v>0.02</v>
      </c>
      <c r="L420">
        <v>4</v>
      </c>
      <c r="M420">
        <v>3</v>
      </c>
      <c r="N420">
        <v>4.4000000000000004</v>
      </c>
      <c r="O420">
        <v>0</v>
      </c>
      <c r="P420">
        <v>8</v>
      </c>
      <c r="Q420">
        <v>5</v>
      </c>
      <c r="R420">
        <v>28</v>
      </c>
      <c r="S420" t="s">
        <v>35517</v>
      </c>
      <c r="U420">
        <v>2.6499532399999999</v>
      </c>
      <c r="V420">
        <v>14.17</v>
      </c>
      <c r="W420">
        <v>11.22</v>
      </c>
      <c r="X420" t="s">
        <v>2258</v>
      </c>
      <c r="Y420" t="s">
        <v>2212</v>
      </c>
      <c r="Z420" t="s">
        <v>2212</v>
      </c>
      <c r="AA420" t="s">
        <v>1211</v>
      </c>
      <c r="AB420" t="s">
        <v>35537</v>
      </c>
      <c r="AC420" t="s">
        <v>34493</v>
      </c>
      <c r="AD420" t="s">
        <v>9232</v>
      </c>
      <c r="AE420" t="s">
        <v>34649</v>
      </c>
      <c r="AF420" t="s">
        <v>35524</v>
      </c>
      <c r="AG420" t="s">
        <v>35520</v>
      </c>
    </row>
    <row r="421" spans="1:33" x14ac:dyDescent="0.25">
      <c r="A421" t="s">
        <v>34462</v>
      </c>
      <c r="B421" t="s">
        <v>2264</v>
      </c>
      <c r="C421" t="s">
        <v>2266</v>
      </c>
      <c r="D421">
        <v>100.32</v>
      </c>
      <c r="E421">
        <v>100.32</v>
      </c>
      <c r="F421">
        <v>1362042</v>
      </c>
      <c r="G421">
        <v>711080</v>
      </c>
      <c r="H421">
        <v>130.24</v>
      </c>
      <c r="I421">
        <v>123.22</v>
      </c>
      <c r="J421">
        <v>0.21</v>
      </c>
      <c r="K421">
        <v>0.9</v>
      </c>
      <c r="L421">
        <v>2</v>
      </c>
      <c r="M421">
        <v>2</v>
      </c>
      <c r="N421">
        <v>4.4000000000000004</v>
      </c>
      <c r="O421">
        <v>0</v>
      </c>
      <c r="P421">
        <v>8</v>
      </c>
      <c r="Q421">
        <v>5</v>
      </c>
      <c r="R421">
        <v>20</v>
      </c>
      <c r="S421" t="s">
        <v>35517</v>
      </c>
      <c r="U421">
        <v>2.2707586000000002</v>
      </c>
      <c r="V421">
        <v>14.93</v>
      </c>
      <c r="W421">
        <v>17.05</v>
      </c>
      <c r="X421" t="s">
        <v>2263</v>
      </c>
      <c r="Y421" t="s">
        <v>2212</v>
      </c>
      <c r="Z421" t="s">
        <v>2212</v>
      </c>
      <c r="AA421" t="s">
        <v>76</v>
      </c>
      <c r="AB421" t="s">
        <v>35538</v>
      </c>
      <c r="AC421" t="s">
        <v>34493</v>
      </c>
      <c r="AD421" t="s">
        <v>9232</v>
      </c>
      <c r="AE421" t="s">
        <v>34649</v>
      </c>
      <c r="AF421" t="s">
        <v>35539</v>
      </c>
      <c r="AG421" t="s">
        <v>35520</v>
      </c>
    </row>
    <row r="422" spans="1:33" x14ac:dyDescent="0.25">
      <c r="A422" t="s">
        <v>34462</v>
      </c>
      <c r="B422" t="s">
        <v>2268</v>
      </c>
      <c r="C422" t="s">
        <v>2270</v>
      </c>
      <c r="D422">
        <v>129.78</v>
      </c>
      <c r="E422">
        <v>129.78</v>
      </c>
      <c r="F422">
        <v>1316697</v>
      </c>
      <c r="G422">
        <v>736492</v>
      </c>
      <c r="H422">
        <v>117.43</v>
      </c>
      <c r="I422">
        <v>121.47</v>
      </c>
      <c r="J422">
        <v>0</v>
      </c>
      <c r="K422">
        <v>0.42</v>
      </c>
      <c r="L422">
        <v>2</v>
      </c>
      <c r="M422">
        <v>3</v>
      </c>
      <c r="N422">
        <v>4.4000000000000004</v>
      </c>
      <c r="O422">
        <v>0</v>
      </c>
      <c r="P422">
        <v>8</v>
      </c>
      <c r="Q422">
        <v>5</v>
      </c>
      <c r="R422">
        <v>21</v>
      </c>
      <c r="S422" t="s">
        <v>35517</v>
      </c>
      <c r="U422">
        <v>2.5397222400000001</v>
      </c>
      <c r="V422">
        <v>8.52</v>
      </c>
      <c r="W422">
        <v>22.06</v>
      </c>
      <c r="X422" t="s">
        <v>2267</v>
      </c>
      <c r="Y422" t="s">
        <v>2212</v>
      </c>
      <c r="Z422" t="s">
        <v>2212</v>
      </c>
      <c r="AA422" t="s">
        <v>1406</v>
      </c>
      <c r="AB422" t="s">
        <v>35540</v>
      </c>
      <c r="AC422" t="s">
        <v>34465</v>
      </c>
      <c r="AD422" t="s">
        <v>9232</v>
      </c>
      <c r="AE422" t="s">
        <v>34649</v>
      </c>
      <c r="AF422" t="s">
        <v>35522</v>
      </c>
      <c r="AG422" t="s">
        <v>35520</v>
      </c>
    </row>
    <row r="423" spans="1:33" x14ac:dyDescent="0.25">
      <c r="A423" t="s">
        <v>34462</v>
      </c>
      <c r="B423" t="s">
        <v>2272</v>
      </c>
      <c r="C423" t="s">
        <v>2274</v>
      </c>
      <c r="D423">
        <v>129.78</v>
      </c>
      <c r="E423">
        <v>129.78</v>
      </c>
      <c r="F423">
        <v>1340694</v>
      </c>
      <c r="G423">
        <v>687591</v>
      </c>
      <c r="H423">
        <v>115.71</v>
      </c>
      <c r="I423">
        <v>130.5</v>
      </c>
      <c r="J423">
        <v>0.09</v>
      </c>
      <c r="K423">
        <v>0.95</v>
      </c>
      <c r="L423">
        <v>2</v>
      </c>
      <c r="M423">
        <v>2</v>
      </c>
      <c r="N423">
        <v>4.3</v>
      </c>
      <c r="O423">
        <v>1</v>
      </c>
      <c r="P423">
        <v>7</v>
      </c>
      <c r="Q423">
        <v>6</v>
      </c>
      <c r="R423">
        <v>30</v>
      </c>
      <c r="S423" t="s">
        <v>35517</v>
      </c>
      <c r="U423">
        <v>2.7601842400000001</v>
      </c>
      <c r="V423">
        <v>14.93</v>
      </c>
      <c r="W423">
        <v>22.06</v>
      </c>
      <c r="X423" t="s">
        <v>2271</v>
      </c>
      <c r="Y423" t="s">
        <v>2212</v>
      </c>
      <c r="Z423" t="s">
        <v>2212</v>
      </c>
      <c r="AA423" t="s">
        <v>76</v>
      </c>
      <c r="AB423" t="s">
        <v>35541</v>
      </c>
      <c r="AC423" t="s">
        <v>34465</v>
      </c>
      <c r="AD423" t="s">
        <v>9232</v>
      </c>
      <c r="AE423" t="s">
        <v>34469</v>
      </c>
      <c r="AF423" t="s">
        <v>35526</v>
      </c>
      <c r="AG423" t="s">
        <v>35520</v>
      </c>
    </row>
    <row r="424" spans="1:33" x14ac:dyDescent="0.25">
      <c r="A424" t="s">
        <v>34462</v>
      </c>
      <c r="B424" t="s">
        <v>2276</v>
      </c>
      <c r="C424" t="s">
        <v>2278</v>
      </c>
      <c r="D424">
        <v>102.45</v>
      </c>
      <c r="E424">
        <v>102.45</v>
      </c>
      <c r="F424">
        <v>1316697</v>
      </c>
      <c r="G424">
        <v>744319</v>
      </c>
      <c r="H424">
        <v>102.67</v>
      </c>
      <c r="I424">
        <v>105.98</v>
      </c>
      <c r="J424">
        <v>0</v>
      </c>
      <c r="K424">
        <v>0</v>
      </c>
      <c r="L424">
        <v>2</v>
      </c>
      <c r="M424">
        <v>2</v>
      </c>
      <c r="O424">
        <v>0</v>
      </c>
      <c r="Q424">
        <v>5</v>
      </c>
      <c r="R424">
        <v>26</v>
      </c>
      <c r="S424" t="s">
        <v>35517</v>
      </c>
      <c r="U424">
        <v>2.9762369999999998</v>
      </c>
      <c r="V424">
        <v>13.79</v>
      </c>
      <c r="W424">
        <v>17.420000000000002</v>
      </c>
      <c r="X424" t="s">
        <v>2275</v>
      </c>
      <c r="Y424" t="s">
        <v>2212</v>
      </c>
      <c r="Z424" t="s">
        <v>2212</v>
      </c>
      <c r="AA424" t="s">
        <v>2213</v>
      </c>
      <c r="AB424" t="s">
        <v>35542</v>
      </c>
      <c r="AC424" t="s">
        <v>34493</v>
      </c>
      <c r="AD424" t="s">
        <v>9232</v>
      </c>
      <c r="AE424" t="s">
        <v>34469</v>
      </c>
      <c r="AF424" t="s">
        <v>35519</v>
      </c>
      <c r="AG424" t="s">
        <v>35520</v>
      </c>
    </row>
    <row r="425" spans="1:33" x14ac:dyDescent="0.25">
      <c r="A425" t="s">
        <v>34462</v>
      </c>
      <c r="B425" t="s">
        <v>2280</v>
      </c>
      <c r="C425" t="s">
        <v>2282</v>
      </c>
      <c r="D425">
        <v>149</v>
      </c>
      <c r="E425">
        <v>129.78</v>
      </c>
      <c r="F425">
        <v>1323131</v>
      </c>
      <c r="G425">
        <v>691341</v>
      </c>
      <c r="H425">
        <v>143.83000000000001</v>
      </c>
      <c r="I425">
        <v>141.69999999999999</v>
      </c>
      <c r="J425">
        <v>0</v>
      </c>
      <c r="K425">
        <v>0.53</v>
      </c>
      <c r="L425">
        <v>2</v>
      </c>
      <c r="M425">
        <v>2</v>
      </c>
      <c r="O425">
        <v>0</v>
      </c>
      <c r="Q425">
        <v>5</v>
      </c>
      <c r="R425">
        <v>31</v>
      </c>
      <c r="S425" t="s">
        <v>35517</v>
      </c>
      <c r="U425">
        <v>2.7601842400000001</v>
      </c>
      <c r="V425">
        <v>14.93</v>
      </c>
      <c r="W425">
        <v>25.33</v>
      </c>
      <c r="X425" t="s">
        <v>2279</v>
      </c>
      <c r="Y425" t="s">
        <v>2212</v>
      </c>
      <c r="Z425" t="s">
        <v>2212</v>
      </c>
      <c r="AA425" t="s">
        <v>1406</v>
      </c>
      <c r="AB425" t="s">
        <v>35543</v>
      </c>
      <c r="AC425" t="s">
        <v>34465</v>
      </c>
      <c r="AD425" t="s">
        <v>9232</v>
      </c>
      <c r="AE425" t="s">
        <v>34469</v>
      </c>
      <c r="AF425" t="s">
        <v>35522</v>
      </c>
      <c r="AG425" t="s">
        <v>35520</v>
      </c>
    </row>
    <row r="426" spans="1:33" x14ac:dyDescent="0.25">
      <c r="A426" t="s">
        <v>34462</v>
      </c>
      <c r="B426" t="s">
        <v>2284</v>
      </c>
      <c r="C426" t="s">
        <v>2286</v>
      </c>
      <c r="D426">
        <v>66</v>
      </c>
      <c r="E426">
        <v>66</v>
      </c>
      <c r="F426">
        <v>1312989</v>
      </c>
      <c r="G426">
        <v>700181</v>
      </c>
      <c r="H426">
        <v>84.66</v>
      </c>
      <c r="I426">
        <v>93.19</v>
      </c>
      <c r="J426">
        <v>0</v>
      </c>
      <c r="K426">
        <v>0</v>
      </c>
      <c r="L426">
        <v>2</v>
      </c>
      <c r="M426">
        <v>2</v>
      </c>
      <c r="N426">
        <v>4.4000000000000004</v>
      </c>
      <c r="O426">
        <v>0</v>
      </c>
      <c r="P426">
        <v>4</v>
      </c>
      <c r="Q426">
        <v>5</v>
      </c>
      <c r="R426">
        <v>20</v>
      </c>
      <c r="S426" t="s">
        <v>35517</v>
      </c>
      <c r="U426">
        <v>2.2707586000000002</v>
      </c>
      <c r="V426">
        <v>14.93</v>
      </c>
      <c r="W426">
        <v>11.22</v>
      </c>
      <c r="X426" t="s">
        <v>2283</v>
      </c>
      <c r="Y426" t="s">
        <v>2212</v>
      </c>
      <c r="Z426" t="s">
        <v>2212</v>
      </c>
      <c r="AA426" t="s">
        <v>1211</v>
      </c>
      <c r="AB426" t="s">
        <v>35544</v>
      </c>
      <c r="AC426" t="s">
        <v>34493</v>
      </c>
      <c r="AD426" t="s">
        <v>9232</v>
      </c>
      <c r="AE426" t="s">
        <v>34469</v>
      </c>
      <c r="AF426" t="s">
        <v>35524</v>
      </c>
      <c r="AG426" t="s">
        <v>35520</v>
      </c>
    </row>
    <row r="427" spans="1:33" x14ac:dyDescent="0.25">
      <c r="A427" t="s">
        <v>34462</v>
      </c>
      <c r="B427" t="s">
        <v>2288</v>
      </c>
      <c r="C427" t="s">
        <v>2291</v>
      </c>
      <c r="D427">
        <v>19.25</v>
      </c>
      <c r="E427">
        <v>19.25</v>
      </c>
      <c r="F427">
        <v>7343</v>
      </c>
      <c r="G427">
        <v>6345</v>
      </c>
      <c r="H427">
        <v>32.47</v>
      </c>
      <c r="I427">
        <v>33.659999999999997</v>
      </c>
      <c r="J427">
        <v>0</v>
      </c>
      <c r="K427">
        <v>0</v>
      </c>
      <c r="L427">
        <v>7</v>
      </c>
      <c r="M427">
        <v>7</v>
      </c>
      <c r="N427">
        <v>4.8</v>
      </c>
      <c r="O427">
        <v>5</v>
      </c>
      <c r="P427">
        <v>5</v>
      </c>
      <c r="Q427">
        <v>46</v>
      </c>
      <c r="R427">
        <v>147</v>
      </c>
      <c r="S427" t="s">
        <v>34902</v>
      </c>
      <c r="U427">
        <v>0.8487787</v>
      </c>
      <c r="V427">
        <v>7.56</v>
      </c>
      <c r="W427">
        <v>1.93</v>
      </c>
      <c r="X427" t="s">
        <v>2287</v>
      </c>
      <c r="Y427" t="s">
        <v>2293</v>
      </c>
      <c r="Z427" t="s">
        <v>2293</v>
      </c>
      <c r="AA427" t="s">
        <v>1865</v>
      </c>
      <c r="AB427" t="s">
        <v>35545</v>
      </c>
      <c r="AC427" t="s">
        <v>34493</v>
      </c>
      <c r="AD427" t="s">
        <v>8078</v>
      </c>
      <c r="AE427" t="s">
        <v>34533</v>
      </c>
      <c r="AF427" t="s">
        <v>35546</v>
      </c>
      <c r="AG427" t="s">
        <v>34906</v>
      </c>
    </row>
    <row r="428" spans="1:33" x14ac:dyDescent="0.25">
      <c r="A428" t="s">
        <v>34462</v>
      </c>
      <c r="B428" t="s">
        <v>2295</v>
      </c>
      <c r="C428" t="s">
        <v>2297</v>
      </c>
      <c r="D428">
        <v>32.97</v>
      </c>
      <c r="E428">
        <v>30.3</v>
      </c>
      <c r="F428">
        <v>7343</v>
      </c>
      <c r="G428">
        <v>6334</v>
      </c>
      <c r="H428">
        <v>34.15</v>
      </c>
      <c r="I428">
        <v>32.19</v>
      </c>
      <c r="J428">
        <v>0</v>
      </c>
      <c r="K428">
        <v>0</v>
      </c>
      <c r="L428">
        <v>6</v>
      </c>
      <c r="M428">
        <v>6</v>
      </c>
      <c r="N428">
        <v>4.5999999999999996</v>
      </c>
      <c r="O428">
        <v>21</v>
      </c>
      <c r="P428">
        <v>21</v>
      </c>
      <c r="Q428">
        <v>53</v>
      </c>
      <c r="R428">
        <v>148</v>
      </c>
      <c r="S428" t="s">
        <v>34902</v>
      </c>
      <c r="T428">
        <v>50</v>
      </c>
      <c r="U428">
        <v>0.85980180000000006</v>
      </c>
      <c r="V428">
        <v>6.86</v>
      </c>
      <c r="W428">
        <v>5.6</v>
      </c>
      <c r="X428" t="s">
        <v>2294</v>
      </c>
      <c r="Y428" t="s">
        <v>2293</v>
      </c>
      <c r="Z428" t="s">
        <v>2293</v>
      </c>
      <c r="AA428" t="s">
        <v>1859</v>
      </c>
      <c r="AB428" t="s">
        <v>35547</v>
      </c>
      <c r="AC428" t="s">
        <v>34493</v>
      </c>
      <c r="AD428" t="s">
        <v>8078</v>
      </c>
      <c r="AE428" t="s">
        <v>34533</v>
      </c>
      <c r="AF428" t="s">
        <v>35548</v>
      </c>
      <c r="AG428" t="s">
        <v>34906</v>
      </c>
    </row>
    <row r="429" spans="1:33" x14ac:dyDescent="0.25">
      <c r="A429" t="s">
        <v>34462</v>
      </c>
      <c r="B429" t="s">
        <v>2299</v>
      </c>
      <c r="C429" t="s">
        <v>2301</v>
      </c>
      <c r="D429">
        <v>32.97</v>
      </c>
      <c r="E429">
        <v>30.3</v>
      </c>
      <c r="F429">
        <v>7345</v>
      </c>
      <c r="G429">
        <v>6373</v>
      </c>
      <c r="H429">
        <v>33.74</v>
      </c>
      <c r="I429">
        <v>36.31</v>
      </c>
      <c r="J429">
        <v>0</v>
      </c>
      <c r="K429">
        <v>0</v>
      </c>
      <c r="L429">
        <v>8</v>
      </c>
      <c r="M429">
        <v>7</v>
      </c>
      <c r="N429">
        <v>4.5</v>
      </c>
      <c r="O429">
        <v>60</v>
      </c>
      <c r="P429">
        <v>60</v>
      </c>
      <c r="Q429">
        <v>82</v>
      </c>
      <c r="R429">
        <v>261</v>
      </c>
      <c r="S429" t="s">
        <v>34902</v>
      </c>
      <c r="T429">
        <v>50</v>
      </c>
      <c r="U429">
        <v>0.87964337999999997</v>
      </c>
      <c r="V429">
        <v>7.24</v>
      </c>
      <c r="W429">
        <v>5.6</v>
      </c>
      <c r="X429" t="s">
        <v>2298</v>
      </c>
      <c r="Y429" t="s">
        <v>2293</v>
      </c>
      <c r="Z429" t="s">
        <v>2293</v>
      </c>
      <c r="AA429" t="s">
        <v>1859</v>
      </c>
      <c r="AB429" t="s">
        <v>35549</v>
      </c>
      <c r="AC429" t="s">
        <v>34493</v>
      </c>
      <c r="AD429" t="s">
        <v>8078</v>
      </c>
      <c r="AE429" t="s">
        <v>14701</v>
      </c>
      <c r="AF429" t="s">
        <v>35548</v>
      </c>
      <c r="AG429" t="s">
        <v>34906</v>
      </c>
    </row>
    <row r="430" spans="1:33" x14ac:dyDescent="0.25">
      <c r="A430" t="s">
        <v>34462</v>
      </c>
      <c r="B430" t="s">
        <v>2304</v>
      </c>
      <c r="C430" t="s">
        <v>2306</v>
      </c>
      <c r="D430">
        <v>19.25</v>
      </c>
      <c r="E430">
        <v>19.25</v>
      </c>
      <c r="F430">
        <v>7343</v>
      </c>
      <c r="G430">
        <v>6357</v>
      </c>
      <c r="H430">
        <v>32.61</v>
      </c>
      <c r="I430">
        <v>34.380000000000003</v>
      </c>
      <c r="J430">
        <v>0</v>
      </c>
      <c r="K430">
        <v>0</v>
      </c>
      <c r="L430">
        <v>8</v>
      </c>
      <c r="M430">
        <v>8</v>
      </c>
      <c r="N430">
        <v>4.5</v>
      </c>
      <c r="O430">
        <v>23</v>
      </c>
      <c r="P430">
        <v>23</v>
      </c>
      <c r="Q430">
        <v>52</v>
      </c>
      <c r="R430">
        <v>188</v>
      </c>
      <c r="S430" t="s">
        <v>34902</v>
      </c>
      <c r="T430">
        <v>50</v>
      </c>
      <c r="U430">
        <v>0.87964337999999997</v>
      </c>
      <c r="V430">
        <v>6.86</v>
      </c>
      <c r="W430">
        <v>1.93</v>
      </c>
      <c r="X430" t="s">
        <v>2303</v>
      </c>
      <c r="Y430" t="s">
        <v>2293</v>
      </c>
      <c r="Z430" t="s">
        <v>2293</v>
      </c>
      <c r="AA430" t="s">
        <v>1865</v>
      </c>
      <c r="AB430" t="s">
        <v>35550</v>
      </c>
      <c r="AC430" t="s">
        <v>34493</v>
      </c>
      <c r="AD430" t="s">
        <v>8078</v>
      </c>
      <c r="AE430" t="s">
        <v>14701</v>
      </c>
      <c r="AF430" t="s">
        <v>35551</v>
      </c>
      <c r="AG430" t="s">
        <v>34906</v>
      </c>
    </row>
    <row r="431" spans="1:33" x14ac:dyDescent="0.25">
      <c r="A431" t="s">
        <v>34462</v>
      </c>
      <c r="B431" t="s">
        <v>2309</v>
      </c>
      <c r="C431" t="s">
        <v>2311</v>
      </c>
      <c r="D431">
        <v>19.25</v>
      </c>
      <c r="E431">
        <v>19.25</v>
      </c>
      <c r="F431">
        <v>7343</v>
      </c>
      <c r="G431">
        <v>6404</v>
      </c>
      <c r="H431">
        <v>32.549999999999997</v>
      </c>
      <c r="I431">
        <v>36.43</v>
      </c>
      <c r="J431">
        <v>0</v>
      </c>
      <c r="K431">
        <v>0</v>
      </c>
      <c r="L431">
        <v>6</v>
      </c>
      <c r="M431">
        <v>5</v>
      </c>
      <c r="N431">
        <v>4.8</v>
      </c>
      <c r="O431">
        <v>51</v>
      </c>
      <c r="P431">
        <v>51</v>
      </c>
      <c r="Q431">
        <v>52</v>
      </c>
      <c r="R431">
        <v>172</v>
      </c>
      <c r="S431" t="s">
        <v>34902</v>
      </c>
      <c r="T431">
        <v>100</v>
      </c>
      <c r="U431">
        <v>0.90389419999999998</v>
      </c>
      <c r="V431">
        <v>7.02</v>
      </c>
      <c r="W431">
        <v>1.93</v>
      </c>
      <c r="X431" t="s">
        <v>2308</v>
      </c>
      <c r="Y431" t="s">
        <v>2293</v>
      </c>
      <c r="Z431" t="s">
        <v>2293</v>
      </c>
      <c r="AA431" t="s">
        <v>1865</v>
      </c>
      <c r="AB431" t="s">
        <v>35552</v>
      </c>
      <c r="AC431" t="s">
        <v>34493</v>
      </c>
      <c r="AD431" t="s">
        <v>8078</v>
      </c>
      <c r="AE431" t="s">
        <v>34525</v>
      </c>
      <c r="AF431" t="s">
        <v>35551</v>
      </c>
      <c r="AG431" t="s">
        <v>34906</v>
      </c>
    </row>
    <row r="432" spans="1:33" x14ac:dyDescent="0.25">
      <c r="A432" t="s">
        <v>34462</v>
      </c>
      <c r="B432" t="s">
        <v>2314</v>
      </c>
      <c r="C432" t="s">
        <v>2316</v>
      </c>
      <c r="D432">
        <v>19.25</v>
      </c>
      <c r="E432">
        <v>19.25</v>
      </c>
      <c r="F432">
        <v>7343</v>
      </c>
      <c r="G432">
        <v>6346</v>
      </c>
      <c r="H432">
        <v>35.270000000000003</v>
      </c>
      <c r="I432">
        <v>39.93</v>
      </c>
      <c r="J432">
        <v>0</v>
      </c>
      <c r="K432">
        <v>0.19</v>
      </c>
      <c r="L432">
        <v>4</v>
      </c>
      <c r="M432">
        <v>3</v>
      </c>
      <c r="N432">
        <v>4.7</v>
      </c>
      <c r="O432">
        <v>27</v>
      </c>
      <c r="P432">
        <v>27</v>
      </c>
      <c r="Q432">
        <v>37</v>
      </c>
      <c r="R432">
        <v>142</v>
      </c>
      <c r="S432" t="s">
        <v>34902</v>
      </c>
      <c r="T432">
        <v>50</v>
      </c>
      <c r="U432">
        <v>1.0097159600000001</v>
      </c>
      <c r="V432">
        <v>7.4</v>
      </c>
      <c r="W432">
        <v>1.93</v>
      </c>
      <c r="X432" t="s">
        <v>2313</v>
      </c>
      <c r="Y432" t="s">
        <v>2293</v>
      </c>
      <c r="Z432" t="s">
        <v>2293</v>
      </c>
      <c r="AA432" t="s">
        <v>1865</v>
      </c>
      <c r="AB432" t="s">
        <v>35553</v>
      </c>
      <c r="AC432" t="s">
        <v>34484</v>
      </c>
      <c r="AD432" t="s">
        <v>8078</v>
      </c>
      <c r="AE432" t="s">
        <v>34649</v>
      </c>
      <c r="AF432" t="s">
        <v>35551</v>
      </c>
      <c r="AG432" t="s">
        <v>34906</v>
      </c>
    </row>
    <row r="433" spans="1:33" x14ac:dyDescent="0.25">
      <c r="A433" t="s">
        <v>34462</v>
      </c>
      <c r="B433" t="s">
        <v>2319</v>
      </c>
      <c r="C433" t="s">
        <v>2321</v>
      </c>
      <c r="D433">
        <v>19.25</v>
      </c>
      <c r="E433">
        <v>19.25</v>
      </c>
      <c r="F433">
        <v>7343</v>
      </c>
      <c r="G433">
        <v>6376</v>
      </c>
      <c r="H433">
        <v>33.19</v>
      </c>
      <c r="I433">
        <v>40.51</v>
      </c>
      <c r="J433">
        <v>0.01</v>
      </c>
      <c r="K433">
        <v>0.01</v>
      </c>
      <c r="L433">
        <v>5</v>
      </c>
      <c r="M433">
        <v>5</v>
      </c>
      <c r="N433">
        <v>4.2</v>
      </c>
      <c r="O433">
        <v>10</v>
      </c>
      <c r="P433">
        <v>10</v>
      </c>
      <c r="Q433">
        <v>40</v>
      </c>
      <c r="R433">
        <v>141</v>
      </c>
      <c r="S433" t="s">
        <v>34902</v>
      </c>
      <c r="U433">
        <v>1.0802638</v>
      </c>
      <c r="V433">
        <v>10.75</v>
      </c>
      <c r="W433">
        <v>1.93</v>
      </c>
      <c r="X433" t="s">
        <v>2318</v>
      </c>
      <c r="Y433" t="s">
        <v>2293</v>
      </c>
      <c r="Z433" t="s">
        <v>2293</v>
      </c>
      <c r="AA433" t="s">
        <v>1865</v>
      </c>
      <c r="AB433" t="s">
        <v>35554</v>
      </c>
      <c r="AC433" t="s">
        <v>34493</v>
      </c>
      <c r="AD433" t="s">
        <v>8078</v>
      </c>
      <c r="AE433" t="s">
        <v>34469</v>
      </c>
      <c r="AF433" t="s">
        <v>35546</v>
      </c>
      <c r="AG433" t="s">
        <v>34906</v>
      </c>
    </row>
    <row r="434" spans="1:33" x14ac:dyDescent="0.25">
      <c r="A434" t="s">
        <v>34462</v>
      </c>
      <c r="B434" t="s">
        <v>2324</v>
      </c>
      <c r="C434" t="s">
        <v>2327</v>
      </c>
      <c r="D434">
        <v>13.5</v>
      </c>
      <c r="E434">
        <v>13.5</v>
      </c>
      <c r="F434">
        <v>12581</v>
      </c>
      <c r="G434">
        <v>36173</v>
      </c>
      <c r="H434">
        <v>32.869999999999997</v>
      </c>
      <c r="I434">
        <v>32.520000000000003</v>
      </c>
      <c r="J434">
        <v>0</v>
      </c>
      <c r="K434">
        <v>0</v>
      </c>
      <c r="L434">
        <v>4</v>
      </c>
      <c r="M434">
        <v>5</v>
      </c>
      <c r="N434">
        <v>4.4000000000000004</v>
      </c>
      <c r="O434">
        <v>18</v>
      </c>
      <c r="P434">
        <v>1279</v>
      </c>
      <c r="Q434">
        <v>18</v>
      </c>
      <c r="R434">
        <v>43</v>
      </c>
      <c r="S434" t="s">
        <v>35555</v>
      </c>
      <c r="U434">
        <v>0.50706260000000003</v>
      </c>
      <c r="V434">
        <v>6.6</v>
      </c>
      <c r="W434">
        <v>2.29</v>
      </c>
      <c r="X434" t="s">
        <v>2323</v>
      </c>
      <c r="Y434" t="s">
        <v>35556</v>
      </c>
      <c r="Z434" t="s">
        <v>2328</v>
      </c>
      <c r="AA434" t="s">
        <v>76</v>
      </c>
      <c r="AB434" t="s">
        <v>35557</v>
      </c>
      <c r="AC434" t="s">
        <v>34493</v>
      </c>
      <c r="AD434" t="s">
        <v>9535</v>
      </c>
      <c r="AE434" t="s">
        <v>35558</v>
      </c>
      <c r="AF434" t="s">
        <v>35559</v>
      </c>
      <c r="AG434" t="s">
        <v>35560</v>
      </c>
    </row>
    <row r="435" spans="1:33" x14ac:dyDescent="0.25">
      <c r="A435" t="s">
        <v>34462</v>
      </c>
      <c r="B435" t="s">
        <v>2330</v>
      </c>
      <c r="C435" t="s">
        <v>2332</v>
      </c>
      <c r="D435">
        <v>34.4</v>
      </c>
      <c r="E435">
        <v>26.45</v>
      </c>
      <c r="F435">
        <v>12581</v>
      </c>
      <c r="G435">
        <v>34814</v>
      </c>
      <c r="H435">
        <v>40.1</v>
      </c>
      <c r="I435">
        <v>41.03</v>
      </c>
      <c r="J435">
        <v>0.19</v>
      </c>
      <c r="K435">
        <v>0.99</v>
      </c>
      <c r="L435">
        <v>2</v>
      </c>
      <c r="M435">
        <v>2</v>
      </c>
      <c r="N435">
        <v>4.4000000000000004</v>
      </c>
      <c r="O435">
        <v>5</v>
      </c>
      <c r="P435">
        <v>1279</v>
      </c>
      <c r="Q435">
        <v>16</v>
      </c>
      <c r="R435">
        <v>31</v>
      </c>
      <c r="S435" t="s">
        <v>35555</v>
      </c>
      <c r="U435">
        <v>0.52029031999999997</v>
      </c>
      <c r="V435">
        <v>6.48</v>
      </c>
      <c r="W435">
        <v>5.85</v>
      </c>
      <c r="X435" t="s">
        <v>2329</v>
      </c>
      <c r="Y435" t="s">
        <v>35561</v>
      </c>
      <c r="Z435" t="s">
        <v>2333</v>
      </c>
      <c r="AA435" t="s">
        <v>2334</v>
      </c>
      <c r="AB435" t="s">
        <v>35562</v>
      </c>
      <c r="AC435" t="s">
        <v>34465</v>
      </c>
      <c r="AD435" t="s">
        <v>9535</v>
      </c>
      <c r="AE435" t="s">
        <v>35558</v>
      </c>
      <c r="AF435" t="s">
        <v>35563</v>
      </c>
      <c r="AG435" t="s">
        <v>35560</v>
      </c>
    </row>
    <row r="436" spans="1:33" x14ac:dyDescent="0.25">
      <c r="A436" t="s">
        <v>34462</v>
      </c>
      <c r="B436" t="s">
        <v>2336</v>
      </c>
      <c r="C436" t="s">
        <v>2338</v>
      </c>
      <c r="D436">
        <v>13.5</v>
      </c>
      <c r="E436">
        <v>13.5</v>
      </c>
      <c r="F436">
        <v>12581</v>
      </c>
      <c r="G436">
        <v>36167</v>
      </c>
      <c r="H436">
        <v>27.94</v>
      </c>
      <c r="I436">
        <v>29.93</v>
      </c>
      <c r="J436">
        <v>0</v>
      </c>
      <c r="K436">
        <v>0</v>
      </c>
      <c r="L436">
        <v>3</v>
      </c>
      <c r="M436">
        <v>3</v>
      </c>
      <c r="N436">
        <v>4.4000000000000004</v>
      </c>
      <c r="O436">
        <v>11</v>
      </c>
      <c r="P436">
        <v>1279</v>
      </c>
      <c r="Q436">
        <v>22</v>
      </c>
      <c r="R436">
        <v>47</v>
      </c>
      <c r="S436" t="s">
        <v>35555</v>
      </c>
      <c r="U436">
        <v>0.61949821999999999</v>
      </c>
      <c r="V436">
        <v>6.81</v>
      </c>
      <c r="W436">
        <v>2.2999999999999998</v>
      </c>
      <c r="X436" t="s">
        <v>2335</v>
      </c>
      <c r="Y436" t="s">
        <v>35564</v>
      </c>
      <c r="Z436" t="s">
        <v>2328</v>
      </c>
      <c r="AA436" t="s">
        <v>76</v>
      </c>
      <c r="AB436" t="s">
        <v>35565</v>
      </c>
      <c r="AC436" t="s">
        <v>34493</v>
      </c>
      <c r="AD436" t="s">
        <v>9535</v>
      </c>
      <c r="AE436" t="s">
        <v>35566</v>
      </c>
      <c r="AF436" t="s">
        <v>35559</v>
      </c>
      <c r="AG436" t="s">
        <v>35560</v>
      </c>
    </row>
    <row r="437" spans="1:33" x14ac:dyDescent="0.25">
      <c r="A437" t="s">
        <v>34462</v>
      </c>
      <c r="B437" t="s">
        <v>2340</v>
      </c>
      <c r="C437" t="s">
        <v>2342</v>
      </c>
      <c r="D437">
        <v>13.5</v>
      </c>
      <c r="E437">
        <v>13.5</v>
      </c>
      <c r="F437">
        <v>12581</v>
      </c>
      <c r="G437">
        <v>35693</v>
      </c>
      <c r="H437">
        <v>33.14</v>
      </c>
      <c r="I437">
        <v>35.99</v>
      </c>
      <c r="J437">
        <v>0</v>
      </c>
      <c r="K437">
        <v>0</v>
      </c>
      <c r="L437">
        <v>7</v>
      </c>
      <c r="M437">
        <v>9</v>
      </c>
      <c r="N437">
        <v>4.4000000000000004</v>
      </c>
      <c r="O437">
        <v>18</v>
      </c>
      <c r="P437">
        <v>1279</v>
      </c>
      <c r="Q437">
        <v>57</v>
      </c>
      <c r="R437">
        <v>138</v>
      </c>
      <c r="S437" t="s">
        <v>35555</v>
      </c>
      <c r="T437">
        <v>50</v>
      </c>
      <c r="U437">
        <v>0.65918138000000004</v>
      </c>
      <c r="V437">
        <v>7.08</v>
      </c>
      <c r="W437">
        <v>0.68</v>
      </c>
      <c r="X437" t="s">
        <v>2339</v>
      </c>
      <c r="Y437" t="s">
        <v>35567</v>
      </c>
      <c r="Z437" t="s">
        <v>2328</v>
      </c>
      <c r="AA437" t="s">
        <v>76</v>
      </c>
      <c r="AB437" t="s">
        <v>35568</v>
      </c>
      <c r="AC437" t="s">
        <v>34493</v>
      </c>
      <c r="AD437" t="s">
        <v>9535</v>
      </c>
      <c r="AE437" t="s">
        <v>35569</v>
      </c>
      <c r="AF437" t="s">
        <v>35559</v>
      </c>
      <c r="AG437" t="s">
        <v>35560</v>
      </c>
    </row>
    <row r="438" spans="1:33" x14ac:dyDescent="0.25">
      <c r="A438" t="s">
        <v>34462</v>
      </c>
      <c r="B438" t="s">
        <v>2344</v>
      </c>
      <c r="C438" t="s">
        <v>2346</v>
      </c>
      <c r="D438">
        <v>13.5</v>
      </c>
      <c r="E438">
        <v>13.5</v>
      </c>
      <c r="F438">
        <v>12581</v>
      </c>
      <c r="G438">
        <v>35251</v>
      </c>
      <c r="H438">
        <v>37.46</v>
      </c>
      <c r="I438">
        <v>34.86</v>
      </c>
      <c r="J438">
        <v>0</v>
      </c>
      <c r="K438">
        <v>0</v>
      </c>
      <c r="L438">
        <v>3</v>
      </c>
      <c r="M438">
        <v>4</v>
      </c>
      <c r="N438">
        <v>4.4000000000000004</v>
      </c>
      <c r="O438">
        <v>13</v>
      </c>
      <c r="P438">
        <v>1279</v>
      </c>
      <c r="Q438">
        <v>46</v>
      </c>
      <c r="R438">
        <v>110</v>
      </c>
      <c r="S438" t="s">
        <v>35555</v>
      </c>
      <c r="U438">
        <v>0.65918138000000004</v>
      </c>
      <c r="V438">
        <v>6.81</v>
      </c>
      <c r="W438">
        <v>2.2999999999999998</v>
      </c>
      <c r="X438" t="s">
        <v>2343</v>
      </c>
      <c r="Y438" t="s">
        <v>35570</v>
      </c>
      <c r="Z438" t="s">
        <v>2328</v>
      </c>
      <c r="AA438" t="s">
        <v>76</v>
      </c>
      <c r="AB438" t="s">
        <v>35571</v>
      </c>
      <c r="AC438" t="s">
        <v>34493</v>
      </c>
      <c r="AD438" t="s">
        <v>9535</v>
      </c>
      <c r="AE438" t="s">
        <v>35572</v>
      </c>
      <c r="AF438" t="s">
        <v>35573</v>
      </c>
      <c r="AG438" t="s">
        <v>35560</v>
      </c>
    </row>
    <row r="439" spans="1:33" x14ac:dyDescent="0.25">
      <c r="A439" t="s">
        <v>34462</v>
      </c>
      <c r="B439" t="s">
        <v>2349</v>
      </c>
      <c r="C439" t="s">
        <v>2351</v>
      </c>
      <c r="D439">
        <v>39.1</v>
      </c>
      <c r="E439">
        <v>39.1</v>
      </c>
      <c r="F439">
        <v>12581</v>
      </c>
      <c r="G439">
        <v>36237</v>
      </c>
      <c r="H439">
        <v>36.74</v>
      </c>
      <c r="I439">
        <v>36.700000000000003</v>
      </c>
      <c r="J439">
        <v>0</v>
      </c>
      <c r="K439">
        <v>0.01</v>
      </c>
      <c r="L439">
        <v>1</v>
      </c>
      <c r="M439">
        <v>1</v>
      </c>
      <c r="N439">
        <v>4.4000000000000004</v>
      </c>
      <c r="O439">
        <v>5</v>
      </c>
      <c r="P439">
        <v>1279</v>
      </c>
      <c r="Q439">
        <v>30</v>
      </c>
      <c r="R439">
        <v>61</v>
      </c>
      <c r="S439" t="s">
        <v>35555</v>
      </c>
      <c r="U439">
        <v>0.52029031999999997</v>
      </c>
      <c r="V439">
        <v>6.48</v>
      </c>
      <c r="W439">
        <v>1.97</v>
      </c>
      <c r="X439" t="s">
        <v>2348</v>
      </c>
      <c r="Y439" t="s">
        <v>35574</v>
      </c>
      <c r="Z439" t="s">
        <v>2328</v>
      </c>
      <c r="AA439" t="s">
        <v>76</v>
      </c>
      <c r="AB439" t="s">
        <v>35575</v>
      </c>
      <c r="AC439" t="s">
        <v>34465</v>
      </c>
      <c r="AD439" t="s">
        <v>9535</v>
      </c>
      <c r="AE439" t="s">
        <v>35576</v>
      </c>
      <c r="AF439" t="s">
        <v>35573</v>
      </c>
      <c r="AG439" t="s">
        <v>35560</v>
      </c>
    </row>
    <row r="440" spans="1:33" x14ac:dyDescent="0.25">
      <c r="A440" t="s">
        <v>34462</v>
      </c>
      <c r="B440" t="s">
        <v>2353</v>
      </c>
      <c r="C440" t="s">
        <v>2356</v>
      </c>
      <c r="D440">
        <v>24.75</v>
      </c>
      <c r="E440">
        <v>24.75</v>
      </c>
      <c r="F440">
        <v>19453</v>
      </c>
      <c r="G440">
        <v>24861</v>
      </c>
      <c r="H440">
        <v>23.83</v>
      </c>
      <c r="I440">
        <v>28.35</v>
      </c>
      <c r="J440">
        <v>0.14000000000000001</v>
      </c>
      <c r="K440">
        <v>0.53</v>
      </c>
      <c r="L440">
        <v>18</v>
      </c>
      <c r="M440">
        <v>17</v>
      </c>
      <c r="N440">
        <v>4.4000000000000004</v>
      </c>
      <c r="O440">
        <v>1</v>
      </c>
      <c r="P440">
        <v>69</v>
      </c>
      <c r="Q440">
        <v>66</v>
      </c>
      <c r="R440">
        <v>184</v>
      </c>
      <c r="S440" t="s">
        <v>35577</v>
      </c>
      <c r="T440">
        <v>50</v>
      </c>
      <c r="U440">
        <v>0.79366320000000001</v>
      </c>
      <c r="V440">
        <v>6.81</v>
      </c>
      <c r="W440">
        <v>2.48</v>
      </c>
      <c r="X440" t="s">
        <v>2352</v>
      </c>
      <c r="Y440" t="s">
        <v>35578</v>
      </c>
      <c r="Z440" t="s">
        <v>2357</v>
      </c>
      <c r="AA440" t="s">
        <v>2358</v>
      </c>
      <c r="AB440" t="s">
        <v>35579</v>
      </c>
      <c r="AC440" t="s">
        <v>34465</v>
      </c>
      <c r="AD440" t="s">
        <v>7954</v>
      </c>
      <c r="AE440" t="s">
        <v>34649</v>
      </c>
      <c r="AF440" t="s">
        <v>35580</v>
      </c>
      <c r="AG440" t="s">
        <v>35581</v>
      </c>
    </row>
    <row r="441" spans="1:33" x14ac:dyDescent="0.25">
      <c r="A441" t="s">
        <v>34462</v>
      </c>
      <c r="B441" t="s">
        <v>2360</v>
      </c>
      <c r="C441" t="s">
        <v>2363</v>
      </c>
      <c r="D441">
        <v>54.74</v>
      </c>
      <c r="E441">
        <v>46.02</v>
      </c>
      <c r="F441">
        <v>1560371</v>
      </c>
      <c r="G441">
        <v>1282190</v>
      </c>
      <c r="H441">
        <v>50.4</v>
      </c>
      <c r="I441">
        <v>48.1</v>
      </c>
      <c r="J441">
        <v>0</v>
      </c>
      <c r="K441">
        <v>1</v>
      </c>
      <c r="L441">
        <v>5</v>
      </c>
      <c r="M441">
        <v>5</v>
      </c>
      <c r="N441">
        <v>4.3</v>
      </c>
      <c r="O441">
        <v>7</v>
      </c>
      <c r="P441">
        <v>32</v>
      </c>
      <c r="Q441">
        <v>1</v>
      </c>
      <c r="R441">
        <v>8</v>
      </c>
      <c r="S441" t="s">
        <v>35582</v>
      </c>
      <c r="U441">
        <v>0.6172936</v>
      </c>
      <c r="V441">
        <v>7.08</v>
      </c>
      <c r="W441">
        <v>9.31</v>
      </c>
      <c r="X441" t="s">
        <v>2359</v>
      </c>
      <c r="Y441" t="s">
        <v>2365</v>
      </c>
      <c r="Z441" t="s">
        <v>2365</v>
      </c>
      <c r="AA441" t="s">
        <v>2366</v>
      </c>
      <c r="AB441" t="s">
        <v>35583</v>
      </c>
      <c r="AC441" t="s">
        <v>34465</v>
      </c>
      <c r="AD441" t="s">
        <v>7954</v>
      </c>
      <c r="AE441" t="s">
        <v>34533</v>
      </c>
      <c r="AF441" t="s">
        <v>35584</v>
      </c>
      <c r="AG441" t="s">
        <v>35585</v>
      </c>
    </row>
    <row r="442" spans="1:33" x14ac:dyDescent="0.25">
      <c r="A442" t="s">
        <v>34462</v>
      </c>
      <c r="B442" t="s">
        <v>2368</v>
      </c>
      <c r="C442" t="s">
        <v>2370</v>
      </c>
      <c r="D442">
        <v>46.02</v>
      </c>
      <c r="E442">
        <v>46.02</v>
      </c>
      <c r="F442">
        <v>229494</v>
      </c>
      <c r="G442">
        <v>209104</v>
      </c>
      <c r="H442">
        <v>47.71</v>
      </c>
      <c r="I442">
        <v>49.03</v>
      </c>
      <c r="J442">
        <v>0.24</v>
      </c>
      <c r="K442">
        <v>1</v>
      </c>
      <c r="L442">
        <v>2</v>
      </c>
      <c r="M442">
        <v>1</v>
      </c>
      <c r="N442">
        <v>4.5999999999999996</v>
      </c>
      <c r="O442">
        <v>5</v>
      </c>
      <c r="P442">
        <v>207</v>
      </c>
      <c r="Q442">
        <v>21</v>
      </c>
      <c r="R442">
        <v>68</v>
      </c>
      <c r="S442" t="s">
        <v>35586</v>
      </c>
      <c r="U442">
        <v>0.86200642000000005</v>
      </c>
      <c r="V442">
        <v>6.67</v>
      </c>
      <c r="W442">
        <v>7.82</v>
      </c>
      <c r="X442" t="s">
        <v>2367</v>
      </c>
      <c r="Y442" t="s">
        <v>2365</v>
      </c>
      <c r="Z442" t="s">
        <v>2365</v>
      </c>
      <c r="AA442" t="s">
        <v>2366</v>
      </c>
      <c r="AB442" t="s">
        <v>35587</v>
      </c>
      <c r="AC442" t="s">
        <v>34465</v>
      </c>
      <c r="AD442" t="s">
        <v>7954</v>
      </c>
      <c r="AE442" t="s">
        <v>14701</v>
      </c>
      <c r="AF442" t="s">
        <v>35584</v>
      </c>
      <c r="AG442" t="s">
        <v>35585</v>
      </c>
    </row>
    <row r="443" spans="1:33" x14ac:dyDescent="0.25">
      <c r="A443" t="s">
        <v>34462</v>
      </c>
      <c r="B443" t="s">
        <v>2373</v>
      </c>
      <c r="C443" t="s">
        <v>2375</v>
      </c>
      <c r="D443">
        <v>45.97</v>
      </c>
      <c r="E443">
        <v>45.97</v>
      </c>
      <c r="F443">
        <v>229494</v>
      </c>
      <c r="G443">
        <v>219233</v>
      </c>
      <c r="H443">
        <v>53.46</v>
      </c>
      <c r="I443">
        <v>49.31</v>
      </c>
      <c r="J443">
        <v>0.09</v>
      </c>
      <c r="K443">
        <v>0.99</v>
      </c>
      <c r="L443">
        <v>3</v>
      </c>
      <c r="M443">
        <v>1</v>
      </c>
      <c r="N443">
        <v>4.5999999999999996</v>
      </c>
      <c r="O443">
        <v>16</v>
      </c>
      <c r="P443">
        <v>207</v>
      </c>
      <c r="Q443">
        <v>24</v>
      </c>
      <c r="R443">
        <v>71</v>
      </c>
      <c r="S443" t="s">
        <v>35586</v>
      </c>
      <c r="U443">
        <v>0.90609881999999997</v>
      </c>
      <c r="V443">
        <v>6.67</v>
      </c>
      <c r="W443">
        <v>7.81</v>
      </c>
      <c r="X443" t="s">
        <v>2372</v>
      </c>
      <c r="Y443" t="s">
        <v>2365</v>
      </c>
      <c r="Z443" t="s">
        <v>2365</v>
      </c>
      <c r="AA443" t="s">
        <v>2366</v>
      </c>
      <c r="AB443" t="s">
        <v>35588</v>
      </c>
      <c r="AC443" t="s">
        <v>34465</v>
      </c>
      <c r="AD443" t="s">
        <v>7954</v>
      </c>
      <c r="AE443" t="s">
        <v>34525</v>
      </c>
      <c r="AF443" t="s">
        <v>35584</v>
      </c>
      <c r="AG443" t="s">
        <v>35585</v>
      </c>
    </row>
    <row r="444" spans="1:33" x14ac:dyDescent="0.25">
      <c r="A444" t="s">
        <v>34462</v>
      </c>
      <c r="B444" t="s">
        <v>2378</v>
      </c>
      <c r="C444" t="s">
        <v>2380</v>
      </c>
      <c r="D444">
        <v>41.25</v>
      </c>
      <c r="E444">
        <v>41.25</v>
      </c>
      <c r="F444">
        <v>176994</v>
      </c>
      <c r="G444">
        <v>222347</v>
      </c>
      <c r="H444">
        <v>54.54</v>
      </c>
      <c r="I444">
        <v>50.69</v>
      </c>
      <c r="J444">
        <v>0</v>
      </c>
      <c r="K444">
        <v>1</v>
      </c>
      <c r="L444">
        <v>4</v>
      </c>
      <c r="M444">
        <v>4</v>
      </c>
      <c r="N444">
        <v>4.5999999999999996</v>
      </c>
      <c r="O444">
        <v>8</v>
      </c>
      <c r="P444">
        <v>207</v>
      </c>
      <c r="Q444">
        <v>36</v>
      </c>
      <c r="R444">
        <v>82</v>
      </c>
      <c r="S444" t="s">
        <v>35586</v>
      </c>
      <c r="U444">
        <v>0.79366320000000001</v>
      </c>
      <c r="V444">
        <v>6.48</v>
      </c>
      <c r="W444">
        <v>7.01</v>
      </c>
      <c r="X444" t="s">
        <v>2377</v>
      </c>
      <c r="Y444" t="s">
        <v>2365</v>
      </c>
      <c r="Z444" t="s">
        <v>2365</v>
      </c>
      <c r="AA444" t="s">
        <v>2366</v>
      </c>
      <c r="AB444" t="s">
        <v>35589</v>
      </c>
      <c r="AC444" t="s">
        <v>34465</v>
      </c>
      <c r="AD444" t="s">
        <v>7954</v>
      </c>
      <c r="AE444" t="s">
        <v>34649</v>
      </c>
      <c r="AF444" t="s">
        <v>35584</v>
      </c>
      <c r="AG444" t="s">
        <v>35585</v>
      </c>
    </row>
    <row r="445" spans="1:33" x14ac:dyDescent="0.25">
      <c r="A445" t="s">
        <v>34462</v>
      </c>
      <c r="B445" t="s">
        <v>2383</v>
      </c>
      <c r="C445" t="s">
        <v>2385</v>
      </c>
      <c r="D445">
        <v>49.97</v>
      </c>
      <c r="E445">
        <v>46.02</v>
      </c>
      <c r="F445">
        <v>229494</v>
      </c>
      <c r="G445">
        <v>215732</v>
      </c>
      <c r="H445">
        <v>47.86</v>
      </c>
      <c r="I445">
        <v>45.87</v>
      </c>
      <c r="J445">
        <v>0</v>
      </c>
      <c r="K445">
        <v>1</v>
      </c>
      <c r="L445">
        <v>8</v>
      </c>
      <c r="M445">
        <v>6</v>
      </c>
      <c r="N445">
        <v>4.5999999999999996</v>
      </c>
      <c r="O445">
        <v>4</v>
      </c>
      <c r="P445">
        <v>207</v>
      </c>
      <c r="Q445">
        <v>25</v>
      </c>
      <c r="R445">
        <v>69</v>
      </c>
      <c r="S445" t="s">
        <v>35586</v>
      </c>
      <c r="U445">
        <v>0.79366320000000001</v>
      </c>
      <c r="V445">
        <v>6.67</v>
      </c>
      <c r="W445">
        <v>8.49</v>
      </c>
      <c r="X445" t="s">
        <v>2382</v>
      </c>
      <c r="Y445" t="s">
        <v>2365</v>
      </c>
      <c r="Z445" t="s">
        <v>2365</v>
      </c>
      <c r="AA445" t="s">
        <v>2366</v>
      </c>
      <c r="AB445" t="s">
        <v>35590</v>
      </c>
      <c r="AC445" t="s">
        <v>34465</v>
      </c>
      <c r="AD445" t="s">
        <v>7954</v>
      </c>
      <c r="AE445" t="s">
        <v>34469</v>
      </c>
      <c r="AF445" t="s">
        <v>35584</v>
      </c>
      <c r="AG445" t="s">
        <v>35585</v>
      </c>
    </row>
    <row r="446" spans="1:33" x14ac:dyDescent="0.25">
      <c r="A446" t="s">
        <v>34462</v>
      </c>
      <c r="B446" t="s">
        <v>2387</v>
      </c>
      <c r="C446" t="s">
        <v>2390</v>
      </c>
      <c r="D446">
        <v>58</v>
      </c>
      <c r="E446">
        <v>58</v>
      </c>
      <c r="F446">
        <v>104592</v>
      </c>
      <c r="G446">
        <v>89931</v>
      </c>
      <c r="H446">
        <v>58.54</v>
      </c>
      <c r="I446">
        <v>57.07</v>
      </c>
      <c r="J446">
        <v>0</v>
      </c>
      <c r="K446">
        <v>1</v>
      </c>
      <c r="L446">
        <v>11</v>
      </c>
      <c r="M446">
        <v>10</v>
      </c>
      <c r="N446">
        <v>4.5999999999999996</v>
      </c>
      <c r="O446">
        <v>508</v>
      </c>
      <c r="P446">
        <v>2270</v>
      </c>
      <c r="Q446">
        <v>62</v>
      </c>
      <c r="R446">
        <v>166</v>
      </c>
      <c r="S446" t="s">
        <v>35591</v>
      </c>
      <c r="U446">
        <v>6.9004605999999997</v>
      </c>
      <c r="V446">
        <v>15.31</v>
      </c>
      <c r="X446" t="s">
        <v>2386</v>
      </c>
      <c r="Y446" t="s">
        <v>2391</v>
      </c>
      <c r="Z446" t="s">
        <v>2391</v>
      </c>
      <c r="AA446" t="s">
        <v>497</v>
      </c>
      <c r="AB446" t="s">
        <v>35592</v>
      </c>
      <c r="AC446" t="s">
        <v>34465</v>
      </c>
      <c r="AD446" t="s">
        <v>10317</v>
      </c>
      <c r="AE446" t="s">
        <v>34533</v>
      </c>
      <c r="AF446" t="s">
        <v>35593</v>
      </c>
      <c r="AG446" t="s">
        <v>35594</v>
      </c>
    </row>
    <row r="447" spans="1:33" x14ac:dyDescent="0.25">
      <c r="A447" t="s">
        <v>34462</v>
      </c>
      <c r="B447" t="s">
        <v>2393</v>
      </c>
      <c r="C447" t="s">
        <v>2396</v>
      </c>
      <c r="D447">
        <v>68.63</v>
      </c>
      <c r="E447">
        <v>68.63</v>
      </c>
      <c r="F447">
        <v>2213008</v>
      </c>
      <c r="G447">
        <v>3309713</v>
      </c>
      <c r="H447">
        <v>65.930000000000007</v>
      </c>
      <c r="I447">
        <v>64.319999999999993</v>
      </c>
      <c r="J447">
        <v>0</v>
      </c>
      <c r="K447">
        <v>1</v>
      </c>
      <c r="L447">
        <v>2</v>
      </c>
      <c r="M447">
        <v>1</v>
      </c>
      <c r="Q447">
        <v>1</v>
      </c>
      <c r="R447">
        <v>1</v>
      </c>
      <c r="U447">
        <v>0.82011864000000001</v>
      </c>
      <c r="V447">
        <v>3.77</v>
      </c>
      <c r="W447">
        <v>8.24</v>
      </c>
      <c r="X447" t="s">
        <v>2392</v>
      </c>
      <c r="Y447" t="s">
        <v>35595</v>
      </c>
      <c r="AB447" t="s">
        <v>35596</v>
      </c>
      <c r="AC447" t="s">
        <v>34465</v>
      </c>
      <c r="AD447" t="s">
        <v>35597</v>
      </c>
      <c r="AF447" t="s">
        <v>35598</v>
      </c>
      <c r="AG447" t="s">
        <v>35599</v>
      </c>
    </row>
    <row r="448" spans="1:33" x14ac:dyDescent="0.25">
      <c r="A448" t="s">
        <v>34462</v>
      </c>
      <c r="B448" t="s">
        <v>2398</v>
      </c>
      <c r="C448" t="s">
        <v>2400</v>
      </c>
      <c r="D448">
        <v>9.49</v>
      </c>
      <c r="E448">
        <v>9.48</v>
      </c>
      <c r="F448">
        <v>208946</v>
      </c>
      <c r="G448">
        <v>214583</v>
      </c>
      <c r="H448">
        <v>6.68</v>
      </c>
      <c r="I448">
        <v>6.59</v>
      </c>
      <c r="J448">
        <v>0</v>
      </c>
      <c r="K448">
        <v>0</v>
      </c>
      <c r="L448">
        <v>8</v>
      </c>
      <c r="M448">
        <v>7</v>
      </c>
      <c r="N448">
        <v>4.8</v>
      </c>
      <c r="O448">
        <v>55</v>
      </c>
      <c r="P448">
        <v>76</v>
      </c>
      <c r="Q448">
        <v>16</v>
      </c>
      <c r="R448">
        <v>52</v>
      </c>
      <c r="S448" t="s">
        <v>35600</v>
      </c>
      <c r="U448">
        <v>0.13007257999999999</v>
      </c>
      <c r="V448">
        <v>2.91</v>
      </c>
      <c r="W448">
        <v>1.1399999999999999</v>
      </c>
      <c r="X448" t="s">
        <v>2397</v>
      </c>
      <c r="Y448" t="s">
        <v>2401</v>
      </c>
      <c r="Z448" t="s">
        <v>2401</v>
      </c>
      <c r="AB448" t="s">
        <v>35601</v>
      </c>
      <c r="AC448" t="s">
        <v>34493</v>
      </c>
      <c r="AD448" t="s">
        <v>35597</v>
      </c>
      <c r="AE448" t="s">
        <v>35602</v>
      </c>
      <c r="AF448" t="s">
        <v>35603</v>
      </c>
      <c r="AG448" t="s">
        <v>2400</v>
      </c>
    </row>
    <row r="449" spans="1:33" x14ac:dyDescent="0.25">
      <c r="A449" t="s">
        <v>34462</v>
      </c>
      <c r="B449" t="s">
        <v>2403</v>
      </c>
      <c r="C449" t="s">
        <v>2405</v>
      </c>
      <c r="D449">
        <v>6.76</v>
      </c>
      <c r="E449">
        <v>2</v>
      </c>
      <c r="F449">
        <v>2106233</v>
      </c>
      <c r="G449">
        <v>2073316</v>
      </c>
      <c r="H449">
        <v>7.07</v>
      </c>
      <c r="I449">
        <v>7.05</v>
      </c>
      <c r="J449">
        <v>0</v>
      </c>
      <c r="K449">
        <v>1</v>
      </c>
      <c r="L449">
        <v>4</v>
      </c>
      <c r="M449">
        <v>3</v>
      </c>
      <c r="N449">
        <v>4.5</v>
      </c>
      <c r="P449">
        <v>5</v>
      </c>
      <c r="Q449">
        <v>1</v>
      </c>
      <c r="R449">
        <v>1</v>
      </c>
      <c r="U449">
        <v>0.31966990000000001</v>
      </c>
      <c r="V449">
        <v>2.63</v>
      </c>
      <c r="W449">
        <v>0.81</v>
      </c>
      <c r="X449" t="s">
        <v>2402</v>
      </c>
      <c r="Y449" t="s">
        <v>2406</v>
      </c>
      <c r="Z449" t="s">
        <v>2406</v>
      </c>
      <c r="AB449" t="s">
        <v>35604</v>
      </c>
      <c r="AC449" t="s">
        <v>34465</v>
      </c>
      <c r="AD449" t="s">
        <v>35597</v>
      </c>
      <c r="AF449" t="s">
        <v>35605</v>
      </c>
      <c r="AG449" t="s">
        <v>35606</v>
      </c>
    </row>
    <row r="450" spans="1:33" x14ac:dyDescent="0.25">
      <c r="A450" t="s">
        <v>34462</v>
      </c>
      <c r="B450" t="s">
        <v>2408</v>
      </c>
      <c r="C450" t="s">
        <v>2410</v>
      </c>
      <c r="J450">
        <v>1</v>
      </c>
      <c r="K450">
        <v>1</v>
      </c>
      <c r="Q450">
        <v>-1</v>
      </c>
      <c r="R450">
        <v>-1</v>
      </c>
      <c r="X450" t="s">
        <v>2407</v>
      </c>
      <c r="AB450" t="s">
        <v>35607</v>
      </c>
      <c r="AC450" t="s">
        <v>34465</v>
      </c>
      <c r="AD450" t="s">
        <v>35597</v>
      </c>
      <c r="AF450" t="s">
        <v>35608</v>
      </c>
    </row>
    <row r="451" spans="1:33" x14ac:dyDescent="0.25">
      <c r="A451" t="s">
        <v>34462</v>
      </c>
      <c r="B451" t="s">
        <v>2412</v>
      </c>
      <c r="C451" t="s">
        <v>2414</v>
      </c>
      <c r="D451">
        <v>7.89</v>
      </c>
      <c r="E451">
        <v>7.89</v>
      </c>
      <c r="H451">
        <v>7.88</v>
      </c>
      <c r="I451">
        <v>7.94</v>
      </c>
      <c r="J451">
        <v>0</v>
      </c>
      <c r="K451">
        <v>1</v>
      </c>
      <c r="L451">
        <v>6</v>
      </c>
      <c r="M451">
        <v>5</v>
      </c>
      <c r="N451">
        <v>4.5</v>
      </c>
      <c r="P451">
        <v>59</v>
      </c>
      <c r="Q451">
        <v>0</v>
      </c>
      <c r="R451">
        <v>0</v>
      </c>
      <c r="U451">
        <v>1.9841580000000001E-2</v>
      </c>
      <c r="V451">
        <v>2.91</v>
      </c>
      <c r="W451">
        <v>0.95</v>
      </c>
      <c r="X451" t="s">
        <v>2411</v>
      </c>
      <c r="Y451" t="s">
        <v>2415</v>
      </c>
      <c r="Z451" t="s">
        <v>2415</v>
      </c>
      <c r="AB451" t="s">
        <v>35609</v>
      </c>
      <c r="AC451" t="s">
        <v>34465</v>
      </c>
      <c r="AD451" t="s">
        <v>35597</v>
      </c>
      <c r="AF451" t="s">
        <v>35610</v>
      </c>
      <c r="AG451" t="s">
        <v>2414</v>
      </c>
    </row>
    <row r="452" spans="1:33" x14ac:dyDescent="0.25">
      <c r="A452" t="s">
        <v>34462</v>
      </c>
      <c r="B452" t="s">
        <v>2417</v>
      </c>
      <c r="C452" t="s">
        <v>2419</v>
      </c>
      <c r="D452">
        <v>27.24</v>
      </c>
      <c r="E452">
        <v>27.24</v>
      </c>
      <c r="H452">
        <v>27.24</v>
      </c>
      <c r="I452">
        <v>27.24</v>
      </c>
      <c r="J452">
        <v>0.52</v>
      </c>
      <c r="K452">
        <v>1</v>
      </c>
      <c r="L452">
        <v>1</v>
      </c>
      <c r="Q452">
        <v>0</v>
      </c>
      <c r="R452">
        <v>0</v>
      </c>
      <c r="X452" t="s">
        <v>2416</v>
      </c>
      <c r="Y452" t="s">
        <v>35611</v>
      </c>
      <c r="AB452" t="s">
        <v>35612</v>
      </c>
      <c r="AC452" t="s">
        <v>34465</v>
      </c>
      <c r="AD452" t="s">
        <v>35597</v>
      </c>
      <c r="AF452" t="s">
        <v>35613</v>
      </c>
      <c r="AG452" t="s">
        <v>35614</v>
      </c>
    </row>
    <row r="453" spans="1:33" x14ac:dyDescent="0.25">
      <c r="A453" t="s">
        <v>34462</v>
      </c>
      <c r="B453" t="s">
        <v>2421</v>
      </c>
      <c r="C453" t="s">
        <v>2423</v>
      </c>
      <c r="D453">
        <v>9</v>
      </c>
      <c r="E453">
        <v>9</v>
      </c>
      <c r="F453">
        <v>4530254</v>
      </c>
      <c r="G453">
        <v>4272079</v>
      </c>
      <c r="H453">
        <v>9</v>
      </c>
      <c r="I453">
        <v>9</v>
      </c>
      <c r="J453">
        <v>0</v>
      </c>
      <c r="K453">
        <v>1</v>
      </c>
      <c r="L453">
        <v>2</v>
      </c>
      <c r="M453">
        <v>2</v>
      </c>
      <c r="Q453">
        <v>0</v>
      </c>
      <c r="R453">
        <v>0</v>
      </c>
      <c r="X453" t="s">
        <v>2420</v>
      </c>
      <c r="Y453" t="s">
        <v>35615</v>
      </c>
      <c r="AB453" t="s">
        <v>35616</v>
      </c>
      <c r="AC453" t="s">
        <v>34465</v>
      </c>
      <c r="AD453" t="s">
        <v>35597</v>
      </c>
      <c r="AF453" t="s">
        <v>35617</v>
      </c>
      <c r="AG453" t="s">
        <v>35618</v>
      </c>
    </row>
    <row r="454" spans="1:33" x14ac:dyDescent="0.25">
      <c r="A454" t="s">
        <v>34462</v>
      </c>
      <c r="B454" t="s">
        <v>2425</v>
      </c>
      <c r="C454" t="s">
        <v>2428</v>
      </c>
      <c r="D454">
        <v>42</v>
      </c>
      <c r="E454">
        <v>34.049999999999997</v>
      </c>
      <c r="F454">
        <v>197779</v>
      </c>
      <c r="G454">
        <v>510955</v>
      </c>
      <c r="H454">
        <v>42</v>
      </c>
      <c r="I454">
        <v>36.29</v>
      </c>
      <c r="J454">
        <v>0.04</v>
      </c>
      <c r="K454">
        <v>1</v>
      </c>
      <c r="L454">
        <v>1</v>
      </c>
      <c r="M454">
        <v>1</v>
      </c>
      <c r="N454">
        <v>4.5</v>
      </c>
      <c r="O454">
        <v>2</v>
      </c>
      <c r="P454">
        <v>613</v>
      </c>
      <c r="Q454">
        <v>13</v>
      </c>
      <c r="R454">
        <v>48</v>
      </c>
      <c r="S454" t="s">
        <v>35619</v>
      </c>
      <c r="U454">
        <v>0.92814501999999999</v>
      </c>
      <c r="V454">
        <v>5.12</v>
      </c>
      <c r="W454">
        <v>7.14</v>
      </c>
      <c r="X454" t="s">
        <v>2424</v>
      </c>
      <c r="Y454" t="s">
        <v>2429</v>
      </c>
      <c r="Z454" t="s">
        <v>2429</v>
      </c>
      <c r="AA454" t="s">
        <v>2430</v>
      </c>
      <c r="AB454" t="s">
        <v>35620</v>
      </c>
      <c r="AC454" t="s">
        <v>34465</v>
      </c>
      <c r="AD454" t="s">
        <v>10820</v>
      </c>
      <c r="AE454" t="s">
        <v>34533</v>
      </c>
      <c r="AF454" t="s">
        <v>35621</v>
      </c>
      <c r="AG454" t="s">
        <v>35622</v>
      </c>
    </row>
    <row r="455" spans="1:33" x14ac:dyDescent="0.25">
      <c r="A455" t="s">
        <v>34462</v>
      </c>
      <c r="B455" t="s">
        <v>2432</v>
      </c>
      <c r="C455" t="s">
        <v>2434</v>
      </c>
      <c r="D455">
        <v>49.58</v>
      </c>
      <c r="E455">
        <v>49.58</v>
      </c>
      <c r="F455">
        <v>197779</v>
      </c>
      <c r="G455">
        <v>443247</v>
      </c>
      <c r="H455">
        <v>46.34</v>
      </c>
      <c r="I455">
        <v>44.21</v>
      </c>
      <c r="J455">
        <v>0</v>
      </c>
      <c r="K455">
        <v>1</v>
      </c>
      <c r="L455">
        <v>2</v>
      </c>
      <c r="M455">
        <v>2</v>
      </c>
      <c r="N455">
        <v>4.5</v>
      </c>
      <c r="O455">
        <v>0</v>
      </c>
      <c r="P455">
        <v>613</v>
      </c>
      <c r="Q455">
        <v>22</v>
      </c>
      <c r="R455">
        <v>72</v>
      </c>
      <c r="S455" t="s">
        <v>35619</v>
      </c>
      <c r="U455">
        <v>0.67902295999999995</v>
      </c>
      <c r="V455">
        <v>5.12</v>
      </c>
      <c r="W455">
        <v>8.43</v>
      </c>
      <c r="X455" t="s">
        <v>2431</v>
      </c>
      <c r="Y455" t="s">
        <v>2435</v>
      </c>
      <c r="Z455" t="s">
        <v>2435</v>
      </c>
      <c r="AA455" t="s">
        <v>2436</v>
      </c>
      <c r="AB455" t="s">
        <v>35623</v>
      </c>
      <c r="AC455" t="s">
        <v>34465</v>
      </c>
      <c r="AD455" t="s">
        <v>10820</v>
      </c>
      <c r="AE455" t="s">
        <v>34533</v>
      </c>
      <c r="AF455" t="s">
        <v>35624</v>
      </c>
      <c r="AG455" t="s">
        <v>35625</v>
      </c>
    </row>
    <row r="456" spans="1:33" x14ac:dyDescent="0.25">
      <c r="A456" t="s">
        <v>34462</v>
      </c>
      <c r="B456" t="s">
        <v>2437</v>
      </c>
      <c r="C456" t="s">
        <v>2438</v>
      </c>
      <c r="D456">
        <v>24.94</v>
      </c>
      <c r="E456">
        <v>24.94</v>
      </c>
      <c r="F456">
        <v>197779</v>
      </c>
      <c r="G456">
        <v>284256</v>
      </c>
      <c r="H456">
        <v>28.05</v>
      </c>
      <c r="I456">
        <v>28.19</v>
      </c>
      <c r="J456">
        <v>0</v>
      </c>
      <c r="K456">
        <v>0</v>
      </c>
      <c r="L456">
        <v>5</v>
      </c>
      <c r="M456">
        <v>5</v>
      </c>
      <c r="N456">
        <v>4.5</v>
      </c>
      <c r="O456">
        <v>26</v>
      </c>
      <c r="P456">
        <v>613</v>
      </c>
      <c r="Q456">
        <v>36</v>
      </c>
      <c r="R456">
        <v>85</v>
      </c>
      <c r="S456" t="s">
        <v>35619</v>
      </c>
      <c r="U456">
        <v>0.92814501999999999</v>
      </c>
      <c r="V456">
        <v>5.12</v>
      </c>
      <c r="W456">
        <v>4.24</v>
      </c>
      <c r="X456" t="s">
        <v>2431</v>
      </c>
      <c r="Y456" t="s">
        <v>2435</v>
      </c>
      <c r="Z456" t="s">
        <v>2435</v>
      </c>
      <c r="AA456" t="s">
        <v>2439</v>
      </c>
      <c r="AB456" t="s">
        <v>35623</v>
      </c>
      <c r="AC456" t="s">
        <v>34493</v>
      </c>
      <c r="AD456" t="s">
        <v>10820</v>
      </c>
      <c r="AE456" t="s">
        <v>34533</v>
      </c>
      <c r="AF456" t="s">
        <v>35626</v>
      </c>
      <c r="AG456" t="s">
        <v>35627</v>
      </c>
    </row>
    <row r="457" spans="1:33" x14ac:dyDescent="0.25">
      <c r="A457" t="s">
        <v>34462</v>
      </c>
      <c r="B457" t="s">
        <v>2441</v>
      </c>
      <c r="C457" t="s">
        <v>2443</v>
      </c>
      <c r="D457">
        <v>48.97</v>
      </c>
      <c r="E457">
        <v>48.97</v>
      </c>
      <c r="F457">
        <v>243019</v>
      </c>
      <c r="G457">
        <v>156657</v>
      </c>
      <c r="H457">
        <v>29.29</v>
      </c>
      <c r="I457">
        <v>30.42</v>
      </c>
      <c r="J457">
        <v>0</v>
      </c>
      <c r="K457">
        <v>0.8</v>
      </c>
      <c r="L457">
        <v>4</v>
      </c>
      <c r="M457">
        <v>3</v>
      </c>
      <c r="N457">
        <v>4.7</v>
      </c>
      <c r="O457">
        <v>338</v>
      </c>
      <c r="P457">
        <v>1480</v>
      </c>
      <c r="Q457">
        <v>51</v>
      </c>
      <c r="R457">
        <v>133</v>
      </c>
      <c r="S457" t="s">
        <v>35628</v>
      </c>
      <c r="U457">
        <v>0.78925396000000003</v>
      </c>
      <c r="V457">
        <v>6.14</v>
      </c>
      <c r="X457" t="s">
        <v>2440</v>
      </c>
      <c r="Y457" t="s">
        <v>2429</v>
      </c>
      <c r="Z457" t="s">
        <v>2429</v>
      </c>
      <c r="AA457" t="s">
        <v>2445</v>
      </c>
      <c r="AB457" t="s">
        <v>35629</v>
      </c>
      <c r="AC457" t="s">
        <v>34465</v>
      </c>
      <c r="AD457" t="s">
        <v>10820</v>
      </c>
      <c r="AE457" t="s">
        <v>14701</v>
      </c>
      <c r="AF457" t="s">
        <v>35630</v>
      </c>
      <c r="AG457" t="s">
        <v>35631</v>
      </c>
    </row>
    <row r="458" spans="1:33" x14ac:dyDescent="0.25">
      <c r="A458" t="s">
        <v>34462</v>
      </c>
      <c r="B458" t="s">
        <v>2446</v>
      </c>
      <c r="C458" t="s">
        <v>2447</v>
      </c>
      <c r="D458">
        <v>23.74</v>
      </c>
      <c r="F458">
        <v>197779</v>
      </c>
      <c r="G458">
        <v>485142</v>
      </c>
      <c r="I458">
        <v>23.74</v>
      </c>
      <c r="J458">
        <v>0.98</v>
      </c>
      <c r="K458">
        <v>1</v>
      </c>
      <c r="L458">
        <v>1</v>
      </c>
      <c r="O458">
        <v>0</v>
      </c>
      <c r="Q458">
        <v>4</v>
      </c>
      <c r="R458">
        <v>15</v>
      </c>
      <c r="S458" t="s">
        <v>35619</v>
      </c>
      <c r="U458">
        <v>3.9683160000000002E-2</v>
      </c>
      <c r="V458">
        <v>5.9</v>
      </c>
      <c r="X458" t="s">
        <v>2440</v>
      </c>
      <c r="Y458" t="s">
        <v>2429</v>
      </c>
      <c r="Z458" t="s">
        <v>2429</v>
      </c>
      <c r="AA458" t="s">
        <v>2430</v>
      </c>
      <c r="AB458" t="s">
        <v>35629</v>
      </c>
      <c r="AC458" t="s">
        <v>34465</v>
      </c>
      <c r="AD458" t="s">
        <v>10820</v>
      </c>
      <c r="AE458" t="s">
        <v>14701</v>
      </c>
      <c r="AF458" t="s">
        <v>35621</v>
      </c>
      <c r="AG458" t="s">
        <v>35625</v>
      </c>
    </row>
    <row r="459" spans="1:33" x14ac:dyDescent="0.25">
      <c r="A459" t="s">
        <v>34462</v>
      </c>
      <c r="B459" t="s">
        <v>2449</v>
      </c>
      <c r="C459" t="s">
        <v>2451</v>
      </c>
      <c r="D459">
        <v>59.06</v>
      </c>
      <c r="E459">
        <v>59.06</v>
      </c>
      <c r="F459">
        <v>184079</v>
      </c>
      <c r="G459">
        <v>438552</v>
      </c>
      <c r="H459">
        <v>46.33</v>
      </c>
      <c r="I459">
        <v>46.33</v>
      </c>
      <c r="J459">
        <v>0</v>
      </c>
      <c r="K459">
        <v>1</v>
      </c>
      <c r="L459">
        <v>2</v>
      </c>
      <c r="M459">
        <v>2</v>
      </c>
      <c r="N459">
        <v>4.5</v>
      </c>
      <c r="O459">
        <v>0</v>
      </c>
      <c r="P459">
        <v>613</v>
      </c>
      <c r="Q459">
        <v>31</v>
      </c>
      <c r="R459">
        <v>79</v>
      </c>
      <c r="S459" t="s">
        <v>35619</v>
      </c>
      <c r="U459">
        <v>0.76941238000000001</v>
      </c>
      <c r="V459">
        <v>5.12</v>
      </c>
      <c r="X459" t="s">
        <v>2448</v>
      </c>
      <c r="Y459" t="s">
        <v>2435</v>
      </c>
      <c r="Z459" t="s">
        <v>2435</v>
      </c>
      <c r="AA459" t="s">
        <v>2436</v>
      </c>
      <c r="AB459" t="s">
        <v>35632</v>
      </c>
      <c r="AC459" t="s">
        <v>34465</v>
      </c>
      <c r="AD459" t="s">
        <v>10820</v>
      </c>
      <c r="AE459" t="s">
        <v>14701</v>
      </c>
      <c r="AF459" t="s">
        <v>35624</v>
      </c>
      <c r="AG459" t="s">
        <v>35625</v>
      </c>
    </row>
    <row r="460" spans="1:33" x14ac:dyDescent="0.25">
      <c r="A460" t="s">
        <v>34462</v>
      </c>
      <c r="B460" t="s">
        <v>2453</v>
      </c>
      <c r="C460" t="s">
        <v>2454</v>
      </c>
      <c r="D460">
        <v>42</v>
      </c>
      <c r="E460">
        <v>42</v>
      </c>
      <c r="F460">
        <v>197779</v>
      </c>
      <c r="G460">
        <v>300983</v>
      </c>
      <c r="H460">
        <v>40</v>
      </c>
      <c r="I460">
        <v>31.66</v>
      </c>
      <c r="J460">
        <v>0</v>
      </c>
      <c r="K460">
        <v>0.99</v>
      </c>
      <c r="L460">
        <v>4</v>
      </c>
      <c r="M460">
        <v>4</v>
      </c>
      <c r="N460">
        <v>4.5</v>
      </c>
      <c r="O460">
        <v>206</v>
      </c>
      <c r="P460">
        <v>613</v>
      </c>
      <c r="Q460">
        <v>38</v>
      </c>
      <c r="R460">
        <v>99</v>
      </c>
      <c r="S460" t="s">
        <v>35619</v>
      </c>
      <c r="U460">
        <v>0.76941238000000001</v>
      </c>
      <c r="V460">
        <v>5.9</v>
      </c>
      <c r="X460" t="s">
        <v>2448</v>
      </c>
      <c r="Y460" t="s">
        <v>2435</v>
      </c>
      <c r="Z460" t="s">
        <v>2435</v>
      </c>
      <c r="AA460" t="s">
        <v>2439</v>
      </c>
      <c r="AB460" t="s">
        <v>35632</v>
      </c>
      <c r="AC460" t="s">
        <v>34465</v>
      </c>
      <c r="AD460" t="s">
        <v>10820</v>
      </c>
      <c r="AE460" t="s">
        <v>14701</v>
      </c>
      <c r="AF460" t="s">
        <v>35626</v>
      </c>
      <c r="AG460" t="s">
        <v>35631</v>
      </c>
    </row>
    <row r="461" spans="1:33" x14ac:dyDescent="0.25">
      <c r="A461" t="s">
        <v>34462</v>
      </c>
      <c r="B461" t="s">
        <v>2456</v>
      </c>
      <c r="C461" t="s">
        <v>2458</v>
      </c>
      <c r="D461">
        <v>38.99</v>
      </c>
      <c r="E461">
        <v>38.99</v>
      </c>
      <c r="F461">
        <v>240525</v>
      </c>
      <c r="G461">
        <v>154415</v>
      </c>
      <c r="H461">
        <v>31.77</v>
      </c>
      <c r="I461">
        <v>30.32</v>
      </c>
      <c r="J461">
        <v>0.02</v>
      </c>
      <c r="K461">
        <v>0.74</v>
      </c>
      <c r="L461">
        <v>4</v>
      </c>
      <c r="M461">
        <v>4</v>
      </c>
      <c r="N461">
        <v>4.7</v>
      </c>
      <c r="O461">
        <v>571</v>
      </c>
      <c r="P461">
        <v>1480</v>
      </c>
      <c r="Q461">
        <v>41</v>
      </c>
      <c r="R461">
        <v>107</v>
      </c>
      <c r="S461" t="s">
        <v>35628</v>
      </c>
      <c r="U461">
        <v>0.88184799999999997</v>
      </c>
      <c r="V461">
        <v>6.14</v>
      </c>
      <c r="X461" t="s">
        <v>2455</v>
      </c>
      <c r="Y461" t="s">
        <v>2429</v>
      </c>
      <c r="Z461" t="s">
        <v>2429</v>
      </c>
      <c r="AA461" t="s">
        <v>2445</v>
      </c>
      <c r="AB461" t="s">
        <v>35633</v>
      </c>
      <c r="AC461" t="s">
        <v>34465</v>
      </c>
      <c r="AD461" t="s">
        <v>10820</v>
      </c>
      <c r="AE461" t="s">
        <v>34525</v>
      </c>
      <c r="AF461" t="s">
        <v>35630</v>
      </c>
      <c r="AG461" t="s">
        <v>35631</v>
      </c>
    </row>
    <row r="462" spans="1:33" x14ac:dyDescent="0.25">
      <c r="A462" t="s">
        <v>34462</v>
      </c>
      <c r="B462" t="s">
        <v>2460</v>
      </c>
      <c r="C462" t="s">
        <v>2461</v>
      </c>
      <c r="F462">
        <v>197779</v>
      </c>
      <c r="G462">
        <v>459590</v>
      </c>
      <c r="J462">
        <v>0.98</v>
      </c>
      <c r="K462">
        <v>1</v>
      </c>
      <c r="L462">
        <v>1</v>
      </c>
      <c r="O462">
        <v>0</v>
      </c>
      <c r="Q462">
        <v>4</v>
      </c>
      <c r="R462">
        <v>16</v>
      </c>
      <c r="S462" t="s">
        <v>35619</v>
      </c>
      <c r="U462">
        <v>0.82011864000000001</v>
      </c>
      <c r="V462">
        <v>5.9</v>
      </c>
      <c r="X462" t="s">
        <v>2455</v>
      </c>
      <c r="Y462" t="s">
        <v>2429</v>
      </c>
      <c r="Z462" t="s">
        <v>2429</v>
      </c>
      <c r="AA462" t="s">
        <v>2430</v>
      </c>
      <c r="AB462" t="s">
        <v>35633</v>
      </c>
      <c r="AC462" t="s">
        <v>34465</v>
      </c>
      <c r="AD462" t="s">
        <v>10820</v>
      </c>
      <c r="AE462" t="s">
        <v>34525</v>
      </c>
      <c r="AF462" t="s">
        <v>35621</v>
      </c>
    </row>
    <row r="463" spans="1:33" x14ac:dyDescent="0.25">
      <c r="A463" t="s">
        <v>34462</v>
      </c>
      <c r="B463" t="s">
        <v>2463</v>
      </c>
      <c r="C463" t="s">
        <v>2465</v>
      </c>
      <c r="D463">
        <v>22.92</v>
      </c>
      <c r="F463">
        <v>197779</v>
      </c>
      <c r="G463">
        <v>475195</v>
      </c>
      <c r="I463">
        <v>22.92</v>
      </c>
      <c r="J463">
        <v>0.96</v>
      </c>
      <c r="K463">
        <v>1</v>
      </c>
      <c r="L463">
        <v>1</v>
      </c>
      <c r="N463">
        <v>4.5</v>
      </c>
      <c r="O463">
        <v>2</v>
      </c>
      <c r="P463">
        <v>2</v>
      </c>
      <c r="Q463">
        <v>9</v>
      </c>
      <c r="R463">
        <v>19</v>
      </c>
      <c r="S463" t="s">
        <v>35619</v>
      </c>
      <c r="U463">
        <v>0.83996022000000004</v>
      </c>
      <c r="V463">
        <v>5.9</v>
      </c>
      <c r="X463" t="s">
        <v>2462</v>
      </c>
      <c r="Y463" t="s">
        <v>2435</v>
      </c>
      <c r="Z463" t="s">
        <v>2435</v>
      </c>
      <c r="AA463" t="s">
        <v>2436</v>
      </c>
      <c r="AB463" t="s">
        <v>35634</v>
      </c>
      <c r="AC463" t="s">
        <v>34465</v>
      </c>
      <c r="AD463" t="s">
        <v>10820</v>
      </c>
      <c r="AE463" t="s">
        <v>34525</v>
      </c>
      <c r="AF463" t="s">
        <v>35624</v>
      </c>
      <c r="AG463" t="s">
        <v>35625</v>
      </c>
    </row>
    <row r="464" spans="1:33" x14ac:dyDescent="0.25">
      <c r="A464" t="s">
        <v>34462</v>
      </c>
      <c r="B464" t="s">
        <v>2467</v>
      </c>
      <c r="C464" t="s">
        <v>2468</v>
      </c>
      <c r="D464">
        <v>42</v>
      </c>
      <c r="E464">
        <v>42</v>
      </c>
      <c r="F464">
        <v>240525</v>
      </c>
      <c r="G464">
        <v>156888</v>
      </c>
      <c r="H464">
        <v>31.5</v>
      </c>
      <c r="I464">
        <v>27.04</v>
      </c>
      <c r="J464">
        <v>0</v>
      </c>
      <c r="K464">
        <v>1</v>
      </c>
      <c r="L464">
        <v>5</v>
      </c>
      <c r="M464">
        <v>5</v>
      </c>
      <c r="N464">
        <v>4.7</v>
      </c>
      <c r="O464">
        <v>178</v>
      </c>
      <c r="P464">
        <v>1480</v>
      </c>
      <c r="Q464">
        <v>49</v>
      </c>
      <c r="R464">
        <v>111</v>
      </c>
      <c r="S464" t="s">
        <v>35628</v>
      </c>
      <c r="U464">
        <v>0.83996022000000004</v>
      </c>
      <c r="V464">
        <v>5.12</v>
      </c>
      <c r="X464" t="s">
        <v>2462</v>
      </c>
      <c r="Y464" t="s">
        <v>2435</v>
      </c>
      <c r="Z464" t="s">
        <v>2435</v>
      </c>
      <c r="AA464" t="s">
        <v>2439</v>
      </c>
      <c r="AB464" t="s">
        <v>35634</v>
      </c>
      <c r="AC464" t="s">
        <v>34465</v>
      </c>
      <c r="AD464" t="s">
        <v>10820</v>
      </c>
      <c r="AE464" t="s">
        <v>34525</v>
      </c>
      <c r="AF464" t="s">
        <v>35635</v>
      </c>
      <c r="AG464" t="s">
        <v>35631</v>
      </c>
    </row>
    <row r="465" spans="1:33" x14ac:dyDescent="0.25">
      <c r="A465" t="s">
        <v>34462</v>
      </c>
      <c r="B465" t="s">
        <v>2470</v>
      </c>
      <c r="C465" t="s">
        <v>2472</v>
      </c>
      <c r="D465">
        <v>48.97</v>
      </c>
      <c r="E465">
        <v>48.97</v>
      </c>
      <c r="F465">
        <v>243019</v>
      </c>
      <c r="G465">
        <v>157576</v>
      </c>
      <c r="H465">
        <v>26.38</v>
      </c>
      <c r="I465">
        <v>29.55</v>
      </c>
      <c r="J465">
        <v>0.08</v>
      </c>
      <c r="K465">
        <v>0.8</v>
      </c>
      <c r="L465">
        <v>2</v>
      </c>
      <c r="M465">
        <v>2</v>
      </c>
      <c r="N465">
        <v>4.7</v>
      </c>
      <c r="O465">
        <v>393</v>
      </c>
      <c r="P465">
        <v>1480</v>
      </c>
      <c r="Q465">
        <v>29</v>
      </c>
      <c r="R465">
        <v>90</v>
      </c>
      <c r="S465" t="s">
        <v>35628</v>
      </c>
      <c r="U465">
        <v>0.95019122</v>
      </c>
      <c r="V465">
        <v>5.9</v>
      </c>
      <c r="X465" t="s">
        <v>2469</v>
      </c>
      <c r="Y465" t="s">
        <v>2429</v>
      </c>
      <c r="Z465" t="s">
        <v>2429</v>
      </c>
      <c r="AA465" t="s">
        <v>2445</v>
      </c>
      <c r="AB465" t="s">
        <v>35636</v>
      </c>
      <c r="AC465" t="s">
        <v>34465</v>
      </c>
      <c r="AD465" t="s">
        <v>10820</v>
      </c>
      <c r="AE465" t="s">
        <v>34649</v>
      </c>
      <c r="AF465" t="s">
        <v>35637</v>
      </c>
      <c r="AG465" t="s">
        <v>35631</v>
      </c>
    </row>
    <row r="466" spans="1:33" x14ac:dyDescent="0.25">
      <c r="A466" t="s">
        <v>34462</v>
      </c>
      <c r="B466" t="s">
        <v>2474</v>
      </c>
      <c r="C466" t="s">
        <v>2475</v>
      </c>
      <c r="F466">
        <v>197779</v>
      </c>
      <c r="G466">
        <v>4030704</v>
      </c>
      <c r="J466">
        <v>0.97</v>
      </c>
      <c r="K466">
        <v>1</v>
      </c>
      <c r="L466">
        <v>1</v>
      </c>
      <c r="N466">
        <v>4</v>
      </c>
      <c r="P466">
        <v>1</v>
      </c>
      <c r="Q466">
        <v>4</v>
      </c>
      <c r="R466">
        <v>6</v>
      </c>
      <c r="S466" t="s">
        <v>35619</v>
      </c>
      <c r="U466">
        <v>0.87964337999999997</v>
      </c>
      <c r="V466">
        <v>5.9</v>
      </c>
      <c r="X466" t="s">
        <v>2469</v>
      </c>
      <c r="Y466" t="s">
        <v>2429</v>
      </c>
      <c r="Z466" t="s">
        <v>2429</v>
      </c>
      <c r="AA466" t="s">
        <v>2430</v>
      </c>
      <c r="AB466" t="s">
        <v>35636</v>
      </c>
      <c r="AC466" t="s">
        <v>34465</v>
      </c>
      <c r="AD466" t="s">
        <v>10820</v>
      </c>
      <c r="AE466" t="s">
        <v>34649</v>
      </c>
      <c r="AF466" t="s">
        <v>35621</v>
      </c>
    </row>
    <row r="467" spans="1:33" x14ac:dyDescent="0.25">
      <c r="A467" t="s">
        <v>34462</v>
      </c>
      <c r="B467" t="s">
        <v>2477</v>
      </c>
      <c r="C467" t="s">
        <v>2479</v>
      </c>
      <c r="D467">
        <v>22.8</v>
      </c>
      <c r="F467">
        <v>197779</v>
      </c>
      <c r="G467">
        <v>455639</v>
      </c>
      <c r="I467">
        <v>22.8</v>
      </c>
      <c r="J467">
        <v>0.97</v>
      </c>
      <c r="K467">
        <v>1</v>
      </c>
      <c r="L467">
        <v>1</v>
      </c>
      <c r="N467">
        <v>4.5</v>
      </c>
      <c r="O467">
        <v>0</v>
      </c>
      <c r="P467">
        <v>2</v>
      </c>
      <c r="Q467">
        <v>8</v>
      </c>
      <c r="R467">
        <v>16</v>
      </c>
      <c r="S467" t="s">
        <v>35619</v>
      </c>
      <c r="U467">
        <v>0.95019122</v>
      </c>
      <c r="V467">
        <v>5.12</v>
      </c>
      <c r="X467" t="s">
        <v>2476</v>
      </c>
      <c r="Y467" t="s">
        <v>2435</v>
      </c>
      <c r="Z467" t="s">
        <v>2435</v>
      </c>
      <c r="AA467" t="s">
        <v>2436</v>
      </c>
      <c r="AB467" t="s">
        <v>35638</v>
      </c>
      <c r="AC467" t="s">
        <v>34465</v>
      </c>
      <c r="AD467" t="s">
        <v>10820</v>
      </c>
      <c r="AE467" t="s">
        <v>34649</v>
      </c>
      <c r="AF467" t="s">
        <v>35624</v>
      </c>
      <c r="AG467" t="s">
        <v>35625</v>
      </c>
    </row>
    <row r="468" spans="1:33" x14ac:dyDescent="0.25">
      <c r="A468" t="s">
        <v>34462</v>
      </c>
      <c r="B468" t="s">
        <v>2481</v>
      </c>
      <c r="C468" t="s">
        <v>2482</v>
      </c>
      <c r="D468">
        <v>31.5</v>
      </c>
      <c r="E468">
        <v>29.68</v>
      </c>
      <c r="F468">
        <v>197779</v>
      </c>
      <c r="G468">
        <v>294600</v>
      </c>
      <c r="H468">
        <v>32.450000000000003</v>
      </c>
      <c r="I468">
        <v>31.7</v>
      </c>
      <c r="J468">
        <v>0</v>
      </c>
      <c r="K468">
        <v>0</v>
      </c>
      <c r="L468">
        <v>5</v>
      </c>
      <c r="M468">
        <v>5</v>
      </c>
      <c r="N468">
        <v>4.5</v>
      </c>
      <c r="O468">
        <v>164</v>
      </c>
      <c r="P468">
        <v>613</v>
      </c>
      <c r="Q468">
        <v>38</v>
      </c>
      <c r="R468">
        <v>93</v>
      </c>
      <c r="S468" t="s">
        <v>35619</v>
      </c>
      <c r="U468">
        <v>0.87964337999999997</v>
      </c>
      <c r="V468">
        <v>5.9</v>
      </c>
      <c r="W468">
        <v>5.36</v>
      </c>
      <c r="X468" t="s">
        <v>2476</v>
      </c>
      <c r="Y468" t="s">
        <v>2435</v>
      </c>
      <c r="Z468" t="s">
        <v>2435</v>
      </c>
      <c r="AA468" t="s">
        <v>2439</v>
      </c>
      <c r="AB468" t="s">
        <v>35638</v>
      </c>
      <c r="AC468" t="s">
        <v>34493</v>
      </c>
      <c r="AD468" t="s">
        <v>10820</v>
      </c>
      <c r="AE468" t="s">
        <v>34649</v>
      </c>
      <c r="AF468" t="s">
        <v>35626</v>
      </c>
      <c r="AG468" t="s">
        <v>35631</v>
      </c>
    </row>
    <row r="469" spans="1:33" x14ac:dyDescent="0.25">
      <c r="A469" t="s">
        <v>34462</v>
      </c>
      <c r="B469" t="s">
        <v>2484</v>
      </c>
      <c r="C469" t="s">
        <v>2487</v>
      </c>
      <c r="D469">
        <v>19.25</v>
      </c>
      <c r="E469">
        <v>19.25</v>
      </c>
      <c r="F469">
        <v>4577144</v>
      </c>
      <c r="G469">
        <v>3322464</v>
      </c>
      <c r="H469">
        <v>10</v>
      </c>
      <c r="I469">
        <v>21.77</v>
      </c>
      <c r="J469">
        <v>0</v>
      </c>
      <c r="K469">
        <v>1</v>
      </c>
      <c r="L469">
        <v>5</v>
      </c>
      <c r="M469">
        <v>4</v>
      </c>
      <c r="N469">
        <v>5</v>
      </c>
      <c r="P469">
        <v>1</v>
      </c>
      <c r="Q469">
        <v>0</v>
      </c>
      <c r="R469">
        <v>4</v>
      </c>
      <c r="U469">
        <v>0.29100984000000002</v>
      </c>
      <c r="V469">
        <v>4.67</v>
      </c>
      <c r="X469" t="s">
        <v>2483</v>
      </c>
      <c r="Z469" t="s">
        <v>2489</v>
      </c>
      <c r="AA469" t="s">
        <v>1243</v>
      </c>
      <c r="AB469" t="s">
        <v>35639</v>
      </c>
      <c r="AC469" t="s">
        <v>34465</v>
      </c>
      <c r="AD469" t="s">
        <v>7947</v>
      </c>
      <c r="AE469" t="s">
        <v>35640</v>
      </c>
      <c r="AF469" t="s">
        <v>35641</v>
      </c>
      <c r="AG469" t="s">
        <v>35642</v>
      </c>
    </row>
    <row r="470" spans="1:33" x14ac:dyDescent="0.25">
      <c r="A470" t="s">
        <v>34462</v>
      </c>
      <c r="B470" t="s">
        <v>2491</v>
      </c>
      <c r="C470" t="s">
        <v>2494</v>
      </c>
      <c r="J470">
        <v>1</v>
      </c>
      <c r="K470">
        <v>1</v>
      </c>
      <c r="Q470">
        <v>-1</v>
      </c>
      <c r="R470">
        <v>-1</v>
      </c>
      <c r="U470">
        <v>3.00048782</v>
      </c>
      <c r="V470">
        <v>22.15</v>
      </c>
      <c r="X470" t="s">
        <v>2490</v>
      </c>
      <c r="Y470" t="s">
        <v>2490</v>
      </c>
      <c r="Z470" t="s">
        <v>2490</v>
      </c>
      <c r="AA470" t="s">
        <v>2496</v>
      </c>
      <c r="AB470" t="s">
        <v>35643</v>
      </c>
      <c r="AC470" t="s">
        <v>34465</v>
      </c>
      <c r="AD470" t="s">
        <v>11174</v>
      </c>
      <c r="AF470" t="s">
        <v>35644</v>
      </c>
    </row>
    <row r="471" spans="1:33" x14ac:dyDescent="0.25">
      <c r="A471" t="s">
        <v>34462</v>
      </c>
      <c r="B471" t="s">
        <v>2498</v>
      </c>
      <c r="C471" t="s">
        <v>2501</v>
      </c>
      <c r="D471">
        <v>56.6</v>
      </c>
      <c r="E471">
        <v>48.65</v>
      </c>
      <c r="H471">
        <v>105.15</v>
      </c>
      <c r="I471">
        <v>111.29</v>
      </c>
      <c r="J471">
        <v>0</v>
      </c>
      <c r="K471">
        <v>1</v>
      </c>
      <c r="L471">
        <v>3</v>
      </c>
      <c r="M471">
        <v>3</v>
      </c>
      <c r="O471">
        <v>0</v>
      </c>
      <c r="Q471">
        <v>0</v>
      </c>
      <c r="R471">
        <v>0</v>
      </c>
      <c r="V471">
        <v>8.2899999999999991</v>
      </c>
      <c r="X471" t="s">
        <v>2497</v>
      </c>
      <c r="Y471" t="s">
        <v>2502</v>
      </c>
      <c r="Z471" t="s">
        <v>2502</v>
      </c>
      <c r="AB471" t="s">
        <v>35645</v>
      </c>
      <c r="AC471" t="s">
        <v>34465</v>
      </c>
      <c r="AD471" t="s">
        <v>11335</v>
      </c>
      <c r="AF471" t="s">
        <v>35646</v>
      </c>
      <c r="AG471" t="s">
        <v>35647</v>
      </c>
    </row>
    <row r="472" spans="1:33" x14ac:dyDescent="0.25">
      <c r="A472" t="s">
        <v>34462</v>
      </c>
      <c r="B472" t="s">
        <v>2504</v>
      </c>
      <c r="C472" t="s">
        <v>2501</v>
      </c>
      <c r="D472">
        <v>56.6</v>
      </c>
      <c r="E472">
        <v>48.65</v>
      </c>
      <c r="H472">
        <v>87.99</v>
      </c>
      <c r="I472">
        <v>87.99</v>
      </c>
      <c r="J472">
        <v>0</v>
      </c>
      <c r="K472">
        <v>1</v>
      </c>
      <c r="L472">
        <v>3</v>
      </c>
      <c r="M472">
        <v>2</v>
      </c>
      <c r="O472">
        <v>0</v>
      </c>
      <c r="Q472">
        <v>0</v>
      </c>
      <c r="R472">
        <v>0</v>
      </c>
      <c r="V472">
        <v>8.2899999999999991</v>
      </c>
      <c r="X472" t="s">
        <v>2503</v>
      </c>
      <c r="Y472" t="s">
        <v>2502</v>
      </c>
      <c r="Z472" t="s">
        <v>2502</v>
      </c>
      <c r="AB472" t="s">
        <v>35648</v>
      </c>
      <c r="AC472" t="s">
        <v>34465</v>
      </c>
      <c r="AD472" t="s">
        <v>11335</v>
      </c>
      <c r="AF472" t="s">
        <v>35646</v>
      </c>
      <c r="AG472" t="s">
        <v>35647</v>
      </c>
    </row>
    <row r="473" spans="1:33" x14ac:dyDescent="0.25">
      <c r="A473" t="s">
        <v>34462</v>
      </c>
      <c r="B473" t="s">
        <v>2507</v>
      </c>
      <c r="C473" t="s">
        <v>2501</v>
      </c>
      <c r="D473">
        <v>56.6</v>
      </c>
      <c r="E473">
        <v>48.65</v>
      </c>
      <c r="H473">
        <v>102.82</v>
      </c>
      <c r="I473">
        <v>102.26</v>
      </c>
      <c r="J473">
        <v>0</v>
      </c>
      <c r="K473">
        <v>1</v>
      </c>
      <c r="L473">
        <v>3</v>
      </c>
      <c r="M473">
        <v>3</v>
      </c>
      <c r="O473">
        <v>0</v>
      </c>
      <c r="Q473">
        <v>0</v>
      </c>
      <c r="R473">
        <v>0</v>
      </c>
      <c r="V473">
        <v>8.2899999999999991</v>
      </c>
      <c r="X473" t="s">
        <v>2506</v>
      </c>
      <c r="Y473" t="s">
        <v>2502</v>
      </c>
      <c r="AB473" t="s">
        <v>35649</v>
      </c>
      <c r="AC473" t="s">
        <v>34465</v>
      </c>
      <c r="AD473" t="s">
        <v>11335</v>
      </c>
      <c r="AF473" t="s">
        <v>35646</v>
      </c>
      <c r="AG473" t="s">
        <v>35650</v>
      </c>
    </row>
    <row r="474" spans="1:33" x14ac:dyDescent="0.25">
      <c r="A474" t="s">
        <v>34462</v>
      </c>
      <c r="B474" t="s">
        <v>2510</v>
      </c>
      <c r="C474" t="s">
        <v>2501</v>
      </c>
      <c r="D474">
        <v>48.65</v>
      </c>
      <c r="E474">
        <v>48.65</v>
      </c>
      <c r="J474">
        <v>0</v>
      </c>
      <c r="K474">
        <v>1</v>
      </c>
      <c r="L474">
        <v>3</v>
      </c>
      <c r="M474">
        <v>3</v>
      </c>
      <c r="N474">
        <v>4.5</v>
      </c>
      <c r="O474">
        <v>0</v>
      </c>
      <c r="P474">
        <v>35</v>
      </c>
      <c r="Q474">
        <v>0</v>
      </c>
      <c r="R474">
        <v>0</v>
      </c>
      <c r="V474">
        <v>8.2899999999999991</v>
      </c>
      <c r="X474" t="s">
        <v>2509</v>
      </c>
      <c r="Y474" t="s">
        <v>2502</v>
      </c>
      <c r="Z474" t="s">
        <v>2502</v>
      </c>
      <c r="AB474" t="s">
        <v>35651</v>
      </c>
      <c r="AC474" t="s">
        <v>34465</v>
      </c>
      <c r="AD474" t="s">
        <v>11335</v>
      </c>
      <c r="AF474" t="s">
        <v>35646</v>
      </c>
      <c r="AG474" t="s">
        <v>35650</v>
      </c>
    </row>
    <row r="475" spans="1:33" x14ac:dyDescent="0.25">
      <c r="A475" t="s">
        <v>34462</v>
      </c>
      <c r="B475" t="s">
        <v>2513</v>
      </c>
      <c r="C475" t="s">
        <v>2516</v>
      </c>
      <c r="D475">
        <v>9.6199999999999992</v>
      </c>
      <c r="E475">
        <v>9.6199999999999992</v>
      </c>
      <c r="F475">
        <v>166871</v>
      </c>
      <c r="G475">
        <v>198229</v>
      </c>
      <c r="H475">
        <v>18.71</v>
      </c>
      <c r="I475">
        <v>23.47</v>
      </c>
      <c r="J475">
        <v>0.12</v>
      </c>
      <c r="K475">
        <v>0.12</v>
      </c>
      <c r="L475">
        <v>1</v>
      </c>
      <c r="M475">
        <v>1</v>
      </c>
      <c r="N475">
        <v>4.7</v>
      </c>
      <c r="O475">
        <v>3</v>
      </c>
      <c r="P475">
        <v>219</v>
      </c>
      <c r="Q475">
        <v>18</v>
      </c>
      <c r="R475">
        <v>45</v>
      </c>
      <c r="S475" t="s">
        <v>35652</v>
      </c>
      <c r="U475">
        <v>0.59524739999999998</v>
      </c>
      <c r="V475">
        <v>5</v>
      </c>
      <c r="W475">
        <v>1.44</v>
      </c>
      <c r="X475" t="s">
        <v>2512</v>
      </c>
      <c r="Y475" t="s">
        <v>2518</v>
      </c>
      <c r="Z475" t="s">
        <v>2518</v>
      </c>
      <c r="AA475" t="s">
        <v>235</v>
      </c>
      <c r="AB475" t="s">
        <v>35653</v>
      </c>
      <c r="AC475" t="s">
        <v>34493</v>
      </c>
      <c r="AD475" t="s">
        <v>11496</v>
      </c>
      <c r="AE475" t="s">
        <v>34516</v>
      </c>
      <c r="AF475" t="s">
        <v>35654</v>
      </c>
      <c r="AG475" t="s">
        <v>35655</v>
      </c>
    </row>
    <row r="476" spans="1:33" x14ac:dyDescent="0.25">
      <c r="A476" t="s">
        <v>34462</v>
      </c>
      <c r="B476" t="s">
        <v>2520</v>
      </c>
      <c r="C476" t="s">
        <v>2522</v>
      </c>
      <c r="D476">
        <v>9.6199999999999992</v>
      </c>
      <c r="E476">
        <v>9.6199999999999992</v>
      </c>
      <c r="F476">
        <v>169640</v>
      </c>
      <c r="G476">
        <v>200718</v>
      </c>
      <c r="H476">
        <v>19.04</v>
      </c>
      <c r="I476">
        <v>24.02</v>
      </c>
      <c r="J476">
        <v>0.28000000000000003</v>
      </c>
      <c r="K476">
        <v>0.28000000000000003</v>
      </c>
      <c r="L476">
        <v>1</v>
      </c>
      <c r="N476">
        <v>4.7</v>
      </c>
      <c r="O476">
        <v>3</v>
      </c>
      <c r="P476">
        <v>219</v>
      </c>
      <c r="Q476">
        <v>14</v>
      </c>
      <c r="R476">
        <v>33</v>
      </c>
      <c r="S476" t="s">
        <v>35652</v>
      </c>
      <c r="U476">
        <v>0.65036289999999997</v>
      </c>
      <c r="V476">
        <v>4.5999999999999996</v>
      </c>
      <c r="W476">
        <v>1.44</v>
      </c>
      <c r="X476" t="s">
        <v>2519</v>
      </c>
      <c r="Y476" t="s">
        <v>2524</v>
      </c>
      <c r="Z476" t="s">
        <v>2524</v>
      </c>
      <c r="AA476" t="s">
        <v>235</v>
      </c>
      <c r="AB476" t="s">
        <v>35656</v>
      </c>
      <c r="AC476" t="s">
        <v>34493</v>
      </c>
      <c r="AD476" t="s">
        <v>11496</v>
      </c>
      <c r="AE476" t="s">
        <v>34521</v>
      </c>
      <c r="AF476" t="s">
        <v>35657</v>
      </c>
      <c r="AG476" t="s">
        <v>35655</v>
      </c>
    </row>
    <row r="477" spans="1:33" x14ac:dyDescent="0.25">
      <c r="A477" t="s">
        <v>34462</v>
      </c>
      <c r="B477" t="s">
        <v>2526</v>
      </c>
      <c r="C477" t="s">
        <v>2528</v>
      </c>
      <c r="D477">
        <v>19.920000000000002</v>
      </c>
      <c r="F477">
        <v>169640</v>
      </c>
      <c r="G477">
        <v>207163</v>
      </c>
      <c r="H477">
        <v>19.920000000000002</v>
      </c>
      <c r="I477">
        <v>24.02</v>
      </c>
      <c r="J477">
        <v>0.31</v>
      </c>
      <c r="K477">
        <v>0.77</v>
      </c>
      <c r="L477">
        <v>1</v>
      </c>
      <c r="M477">
        <v>1</v>
      </c>
      <c r="N477">
        <v>4.7</v>
      </c>
      <c r="O477">
        <v>4</v>
      </c>
      <c r="P477">
        <v>219</v>
      </c>
      <c r="Q477">
        <v>17</v>
      </c>
      <c r="R477">
        <v>55</v>
      </c>
      <c r="S477" t="s">
        <v>35652</v>
      </c>
      <c r="U477">
        <v>0.70547840000000006</v>
      </c>
      <c r="V477">
        <v>5.37</v>
      </c>
      <c r="X477" t="s">
        <v>2525</v>
      </c>
      <c r="Y477" t="s">
        <v>2530</v>
      </c>
      <c r="Z477" t="s">
        <v>2530</v>
      </c>
      <c r="AA477" t="s">
        <v>235</v>
      </c>
      <c r="AB477" t="s">
        <v>35658</v>
      </c>
      <c r="AC477" t="s">
        <v>34465</v>
      </c>
      <c r="AD477" t="s">
        <v>11496</v>
      </c>
      <c r="AE477" t="s">
        <v>34576</v>
      </c>
      <c r="AF477" t="s">
        <v>35654</v>
      </c>
      <c r="AG477" t="s">
        <v>35655</v>
      </c>
    </row>
    <row r="478" spans="1:33" x14ac:dyDescent="0.25">
      <c r="A478" t="s">
        <v>34462</v>
      </c>
      <c r="B478" t="s">
        <v>2532</v>
      </c>
      <c r="C478" t="s">
        <v>2534</v>
      </c>
      <c r="D478">
        <v>39.99</v>
      </c>
      <c r="E478">
        <v>39.99</v>
      </c>
      <c r="F478">
        <v>184803</v>
      </c>
      <c r="G478">
        <v>205217</v>
      </c>
      <c r="H478">
        <v>18.760000000000002</v>
      </c>
      <c r="I478">
        <v>26.31</v>
      </c>
      <c r="J478">
        <v>0.59</v>
      </c>
      <c r="K478">
        <v>0.68</v>
      </c>
      <c r="L478">
        <v>2</v>
      </c>
      <c r="M478">
        <v>1</v>
      </c>
      <c r="N478">
        <v>4.7</v>
      </c>
      <c r="O478">
        <v>8</v>
      </c>
      <c r="P478">
        <v>219</v>
      </c>
      <c r="Q478">
        <v>20</v>
      </c>
      <c r="R478">
        <v>38</v>
      </c>
      <c r="S478" t="s">
        <v>35652</v>
      </c>
      <c r="U478">
        <v>1.21033638</v>
      </c>
      <c r="V478">
        <v>7.43</v>
      </c>
      <c r="X478" t="s">
        <v>2531</v>
      </c>
      <c r="Y478" t="s">
        <v>2536</v>
      </c>
      <c r="Z478" t="s">
        <v>2536</v>
      </c>
      <c r="AA478" t="s">
        <v>235</v>
      </c>
      <c r="AB478" t="s">
        <v>35659</v>
      </c>
      <c r="AC478" t="s">
        <v>34465</v>
      </c>
      <c r="AD478" t="s">
        <v>11496</v>
      </c>
      <c r="AE478" t="s">
        <v>34582</v>
      </c>
      <c r="AF478" t="s">
        <v>35657</v>
      </c>
      <c r="AG478" t="s">
        <v>35655</v>
      </c>
    </row>
    <row r="479" spans="1:33" x14ac:dyDescent="0.25">
      <c r="A479" t="s">
        <v>34462</v>
      </c>
      <c r="B479" t="s">
        <v>2538</v>
      </c>
      <c r="C479" t="s">
        <v>2540</v>
      </c>
      <c r="D479">
        <v>19.739999999999998</v>
      </c>
      <c r="F479">
        <v>166871</v>
      </c>
      <c r="G479">
        <v>200014</v>
      </c>
      <c r="H479">
        <v>19.739999999999998</v>
      </c>
      <c r="I479">
        <v>26.74</v>
      </c>
      <c r="J479">
        <v>0.79</v>
      </c>
      <c r="K479">
        <v>0.79</v>
      </c>
      <c r="L479">
        <v>1</v>
      </c>
      <c r="N479">
        <v>4.7</v>
      </c>
      <c r="O479">
        <v>18</v>
      </c>
      <c r="P479">
        <v>207</v>
      </c>
      <c r="Q479">
        <v>8</v>
      </c>
      <c r="R479">
        <v>27</v>
      </c>
      <c r="S479" t="s">
        <v>35652</v>
      </c>
      <c r="U479">
        <v>0.78264010000000006</v>
      </c>
      <c r="V479">
        <v>6.21</v>
      </c>
      <c r="X479" t="s">
        <v>2537</v>
      </c>
      <c r="Y479" t="s">
        <v>2542</v>
      </c>
      <c r="Z479" t="s">
        <v>2542</v>
      </c>
      <c r="AA479" t="s">
        <v>235</v>
      </c>
      <c r="AB479" t="s">
        <v>35660</v>
      </c>
      <c r="AC479" t="s">
        <v>34465</v>
      </c>
      <c r="AD479" t="s">
        <v>11496</v>
      </c>
      <c r="AE479" t="s">
        <v>34586</v>
      </c>
      <c r="AF479" t="s">
        <v>35657</v>
      </c>
      <c r="AG479" t="s">
        <v>35655</v>
      </c>
    </row>
    <row r="480" spans="1:33" x14ac:dyDescent="0.25">
      <c r="A480" t="s">
        <v>34462</v>
      </c>
      <c r="B480" t="s">
        <v>2544</v>
      </c>
      <c r="C480" t="s">
        <v>2546</v>
      </c>
      <c r="D480">
        <v>19.27</v>
      </c>
      <c r="F480">
        <v>166871</v>
      </c>
      <c r="G480">
        <v>205517</v>
      </c>
      <c r="H480">
        <v>19.27</v>
      </c>
      <c r="I480">
        <v>27.75</v>
      </c>
      <c r="J480">
        <v>0.68</v>
      </c>
      <c r="K480">
        <v>0.81</v>
      </c>
      <c r="L480">
        <v>2</v>
      </c>
      <c r="M480">
        <v>1</v>
      </c>
      <c r="N480">
        <v>4.7</v>
      </c>
      <c r="O480">
        <v>25</v>
      </c>
      <c r="P480">
        <v>218</v>
      </c>
      <c r="Q480">
        <v>16</v>
      </c>
      <c r="R480">
        <v>29</v>
      </c>
      <c r="S480" t="s">
        <v>35652</v>
      </c>
      <c r="U480">
        <v>0.82673249999999998</v>
      </c>
      <c r="V480">
        <v>6.62</v>
      </c>
      <c r="X480" t="s">
        <v>2543</v>
      </c>
      <c r="Y480" t="s">
        <v>2548</v>
      </c>
      <c r="Z480" t="s">
        <v>2548</v>
      </c>
      <c r="AA480" t="s">
        <v>235</v>
      </c>
      <c r="AB480" t="s">
        <v>35661</v>
      </c>
      <c r="AC480" t="s">
        <v>34465</v>
      </c>
      <c r="AD480" t="s">
        <v>11496</v>
      </c>
      <c r="AE480" t="s">
        <v>34589</v>
      </c>
      <c r="AF480" t="s">
        <v>35657</v>
      </c>
      <c r="AG480" t="s">
        <v>35655</v>
      </c>
    </row>
    <row r="481" spans="1:33" x14ac:dyDescent="0.25">
      <c r="A481" t="s">
        <v>34462</v>
      </c>
      <c r="B481" t="s">
        <v>2550</v>
      </c>
      <c r="C481" t="s">
        <v>2552</v>
      </c>
      <c r="D481">
        <v>20.95</v>
      </c>
      <c r="F481">
        <v>166871</v>
      </c>
      <c r="G481">
        <v>199138</v>
      </c>
      <c r="H481">
        <v>20.95</v>
      </c>
      <c r="I481">
        <v>26.49</v>
      </c>
      <c r="J481">
        <v>0.9</v>
      </c>
      <c r="K481">
        <v>0.9</v>
      </c>
      <c r="L481">
        <v>1</v>
      </c>
      <c r="N481">
        <v>4.7</v>
      </c>
      <c r="O481">
        <v>13</v>
      </c>
      <c r="P481">
        <v>217</v>
      </c>
      <c r="Q481">
        <v>13</v>
      </c>
      <c r="R481">
        <v>29</v>
      </c>
      <c r="S481" t="s">
        <v>35652</v>
      </c>
      <c r="U481">
        <v>0.86421104000000004</v>
      </c>
      <c r="V481">
        <v>7.08</v>
      </c>
      <c r="X481" t="s">
        <v>2549</v>
      </c>
      <c r="Y481" t="s">
        <v>2554</v>
      </c>
      <c r="Z481" t="s">
        <v>2554</v>
      </c>
      <c r="AA481" t="s">
        <v>235</v>
      </c>
      <c r="AB481" t="s">
        <v>35662</v>
      </c>
      <c r="AC481" t="s">
        <v>34465</v>
      </c>
      <c r="AD481" t="s">
        <v>11496</v>
      </c>
      <c r="AE481" t="s">
        <v>35663</v>
      </c>
      <c r="AF481" t="s">
        <v>35657</v>
      </c>
      <c r="AG481" t="s">
        <v>35655</v>
      </c>
    </row>
    <row r="482" spans="1:33" x14ac:dyDescent="0.25">
      <c r="A482" t="s">
        <v>34462</v>
      </c>
      <c r="B482" t="s">
        <v>2556</v>
      </c>
      <c r="C482" t="s">
        <v>2558</v>
      </c>
      <c r="D482">
        <v>20.94</v>
      </c>
      <c r="F482">
        <v>169640</v>
      </c>
      <c r="G482">
        <v>207984</v>
      </c>
      <c r="H482">
        <v>20.94</v>
      </c>
      <c r="I482">
        <v>29.76</v>
      </c>
      <c r="J482">
        <v>0.43</v>
      </c>
      <c r="K482">
        <v>0.91</v>
      </c>
      <c r="L482">
        <v>1</v>
      </c>
      <c r="M482">
        <v>1</v>
      </c>
      <c r="N482">
        <v>4.7</v>
      </c>
      <c r="O482">
        <v>12</v>
      </c>
      <c r="P482">
        <v>219</v>
      </c>
      <c r="Q482">
        <v>7</v>
      </c>
      <c r="R482">
        <v>32</v>
      </c>
      <c r="S482" t="s">
        <v>35652</v>
      </c>
      <c r="U482">
        <v>0.92373578000000001</v>
      </c>
      <c r="V482">
        <v>6.05</v>
      </c>
      <c r="X482" t="s">
        <v>2555</v>
      </c>
      <c r="Y482" t="s">
        <v>2560</v>
      </c>
      <c r="Z482" t="s">
        <v>2560</v>
      </c>
      <c r="AA482" t="s">
        <v>235</v>
      </c>
      <c r="AB482" t="s">
        <v>35664</v>
      </c>
      <c r="AC482" t="s">
        <v>34465</v>
      </c>
      <c r="AD482" t="s">
        <v>11496</v>
      </c>
      <c r="AE482" t="s">
        <v>35665</v>
      </c>
      <c r="AF482" t="s">
        <v>35654</v>
      </c>
      <c r="AG482" t="s">
        <v>35655</v>
      </c>
    </row>
    <row r="483" spans="1:33" x14ac:dyDescent="0.25">
      <c r="A483" t="s">
        <v>34462</v>
      </c>
      <c r="B483" t="s">
        <v>2562</v>
      </c>
      <c r="C483" t="s">
        <v>2564</v>
      </c>
      <c r="D483">
        <v>19.09</v>
      </c>
      <c r="F483">
        <v>217505</v>
      </c>
      <c r="G483">
        <v>195932</v>
      </c>
      <c r="H483">
        <v>19.09</v>
      </c>
      <c r="I483">
        <v>26.56</v>
      </c>
      <c r="J483">
        <v>0.67</v>
      </c>
      <c r="K483">
        <v>0.69</v>
      </c>
      <c r="L483">
        <v>1</v>
      </c>
      <c r="N483">
        <v>4.7</v>
      </c>
      <c r="O483">
        <v>10</v>
      </c>
      <c r="P483">
        <v>219</v>
      </c>
      <c r="Q483">
        <v>14</v>
      </c>
      <c r="R483">
        <v>35</v>
      </c>
      <c r="S483" t="s">
        <v>35652</v>
      </c>
      <c r="U483">
        <v>1.4793000199999999</v>
      </c>
      <c r="V483">
        <v>7.4</v>
      </c>
      <c r="X483" t="s">
        <v>2561</v>
      </c>
      <c r="Y483" t="s">
        <v>2566</v>
      </c>
      <c r="Z483" t="s">
        <v>2566</v>
      </c>
      <c r="AA483" t="s">
        <v>235</v>
      </c>
      <c r="AB483" t="s">
        <v>35666</v>
      </c>
      <c r="AC483" t="s">
        <v>34465</v>
      </c>
      <c r="AD483" t="s">
        <v>11496</v>
      </c>
      <c r="AE483" t="s">
        <v>35667</v>
      </c>
      <c r="AF483" t="s">
        <v>35654</v>
      </c>
      <c r="AG483" t="s">
        <v>35655</v>
      </c>
    </row>
    <row r="484" spans="1:33" x14ac:dyDescent="0.25">
      <c r="A484" t="s">
        <v>34462</v>
      </c>
      <c r="B484" t="s">
        <v>2568</v>
      </c>
      <c r="C484" t="s">
        <v>2571</v>
      </c>
      <c r="D484">
        <v>9.6199999999999992</v>
      </c>
      <c r="E484">
        <v>9.6199999999999992</v>
      </c>
      <c r="F484">
        <v>124817</v>
      </c>
      <c r="G484">
        <v>145834</v>
      </c>
      <c r="H484">
        <v>19.22</v>
      </c>
      <c r="I484">
        <v>20.9</v>
      </c>
      <c r="J484">
        <v>0</v>
      </c>
      <c r="K484">
        <v>0.84</v>
      </c>
      <c r="L484">
        <v>3</v>
      </c>
      <c r="M484">
        <v>4</v>
      </c>
      <c r="N484">
        <v>4.8</v>
      </c>
      <c r="O484">
        <v>4</v>
      </c>
      <c r="P484">
        <v>399</v>
      </c>
      <c r="Q484">
        <v>25</v>
      </c>
      <c r="R484">
        <v>76</v>
      </c>
      <c r="S484" t="s">
        <v>35668</v>
      </c>
      <c r="U484">
        <v>0.44092399999999998</v>
      </c>
      <c r="V484">
        <v>4.55</v>
      </c>
      <c r="W484">
        <v>1.44</v>
      </c>
      <c r="X484" t="s">
        <v>2567</v>
      </c>
      <c r="Y484" t="s">
        <v>2573</v>
      </c>
      <c r="Z484" t="s">
        <v>2573</v>
      </c>
      <c r="AA484" t="s">
        <v>76</v>
      </c>
      <c r="AB484" t="s">
        <v>35669</v>
      </c>
      <c r="AC484" t="s">
        <v>34484</v>
      </c>
      <c r="AD484" t="s">
        <v>35670</v>
      </c>
      <c r="AE484" t="s">
        <v>34516</v>
      </c>
      <c r="AF484" t="s">
        <v>35671</v>
      </c>
      <c r="AG484" t="s">
        <v>35672</v>
      </c>
    </row>
    <row r="485" spans="1:33" x14ac:dyDescent="0.25">
      <c r="A485" t="s">
        <v>34462</v>
      </c>
      <c r="B485" t="s">
        <v>2575</v>
      </c>
      <c r="C485" t="s">
        <v>2577</v>
      </c>
      <c r="D485">
        <v>19.239999999999998</v>
      </c>
      <c r="E485">
        <v>19.239999999999998</v>
      </c>
      <c r="F485">
        <v>91758</v>
      </c>
      <c r="G485">
        <v>145598</v>
      </c>
      <c r="H485">
        <v>19.71</v>
      </c>
      <c r="I485">
        <v>22.46</v>
      </c>
      <c r="J485">
        <v>0</v>
      </c>
      <c r="K485">
        <v>0.97</v>
      </c>
      <c r="L485">
        <v>4</v>
      </c>
      <c r="M485">
        <v>5</v>
      </c>
      <c r="N485">
        <v>4.8</v>
      </c>
      <c r="O485">
        <v>11</v>
      </c>
      <c r="P485">
        <v>398</v>
      </c>
      <c r="Q485">
        <v>30</v>
      </c>
      <c r="R485">
        <v>97</v>
      </c>
      <c r="S485" t="s">
        <v>35668</v>
      </c>
      <c r="U485">
        <v>0.48942564</v>
      </c>
      <c r="V485">
        <v>5.52</v>
      </c>
      <c r="X485" t="s">
        <v>2574</v>
      </c>
      <c r="Y485" t="s">
        <v>2573</v>
      </c>
      <c r="Z485" t="s">
        <v>2573</v>
      </c>
      <c r="AA485" t="s">
        <v>76</v>
      </c>
      <c r="AB485" t="s">
        <v>35673</v>
      </c>
      <c r="AC485" t="s">
        <v>34465</v>
      </c>
      <c r="AD485" t="s">
        <v>35670</v>
      </c>
      <c r="AE485" t="s">
        <v>34521</v>
      </c>
      <c r="AF485" t="s">
        <v>35671</v>
      </c>
      <c r="AG485" t="s">
        <v>35672</v>
      </c>
    </row>
    <row r="486" spans="1:33" x14ac:dyDescent="0.25">
      <c r="A486" t="s">
        <v>34462</v>
      </c>
      <c r="B486" t="s">
        <v>2580</v>
      </c>
      <c r="C486" t="s">
        <v>2582</v>
      </c>
      <c r="D486">
        <v>21.5</v>
      </c>
      <c r="E486">
        <v>21.5</v>
      </c>
      <c r="F486">
        <v>128900</v>
      </c>
      <c r="G486">
        <v>147779</v>
      </c>
      <c r="H486">
        <v>19.239999999999998</v>
      </c>
      <c r="I486">
        <v>19.7</v>
      </c>
      <c r="J486">
        <v>0</v>
      </c>
      <c r="K486">
        <v>1</v>
      </c>
      <c r="L486">
        <v>4</v>
      </c>
      <c r="M486">
        <v>6</v>
      </c>
      <c r="N486">
        <v>4.8</v>
      </c>
      <c r="O486">
        <v>11</v>
      </c>
      <c r="P486">
        <v>399</v>
      </c>
      <c r="Q486">
        <v>24</v>
      </c>
      <c r="R486">
        <v>96</v>
      </c>
      <c r="S486" t="s">
        <v>35668</v>
      </c>
      <c r="U486">
        <v>1.06042222</v>
      </c>
      <c r="V486">
        <v>7.4</v>
      </c>
      <c r="X486" t="s">
        <v>2579</v>
      </c>
      <c r="Y486" t="s">
        <v>2573</v>
      </c>
      <c r="Z486" t="s">
        <v>2573</v>
      </c>
      <c r="AA486" t="s">
        <v>76</v>
      </c>
      <c r="AB486" t="s">
        <v>35674</v>
      </c>
      <c r="AC486" t="s">
        <v>34465</v>
      </c>
      <c r="AD486" t="s">
        <v>35670</v>
      </c>
      <c r="AE486" t="s">
        <v>34576</v>
      </c>
      <c r="AF486" t="s">
        <v>35671</v>
      </c>
      <c r="AG486" t="s">
        <v>35672</v>
      </c>
    </row>
    <row r="487" spans="1:33" x14ac:dyDescent="0.25">
      <c r="A487" t="s">
        <v>34462</v>
      </c>
      <c r="B487" t="s">
        <v>2584</v>
      </c>
      <c r="C487" t="s">
        <v>2586</v>
      </c>
      <c r="D487">
        <v>19.809999999999999</v>
      </c>
      <c r="E487">
        <v>19.809999999999999</v>
      </c>
      <c r="F487">
        <v>128900</v>
      </c>
      <c r="G487">
        <v>152043</v>
      </c>
      <c r="H487">
        <v>19.100000000000001</v>
      </c>
      <c r="I487">
        <v>21.9</v>
      </c>
      <c r="J487">
        <v>0.31</v>
      </c>
      <c r="K487">
        <v>0.99</v>
      </c>
      <c r="L487">
        <v>3</v>
      </c>
      <c r="M487">
        <v>3</v>
      </c>
      <c r="N487">
        <v>4.8</v>
      </c>
      <c r="O487">
        <v>9</v>
      </c>
      <c r="P487">
        <v>399</v>
      </c>
      <c r="Q487">
        <v>45</v>
      </c>
      <c r="R487">
        <v>93</v>
      </c>
      <c r="S487" t="s">
        <v>35668</v>
      </c>
      <c r="U487">
        <v>0.57099657999999998</v>
      </c>
      <c r="V487">
        <v>5.52</v>
      </c>
      <c r="X487" t="s">
        <v>2583</v>
      </c>
      <c r="Y487" t="s">
        <v>2573</v>
      </c>
      <c r="Z487" t="s">
        <v>2573</v>
      </c>
      <c r="AA487" t="s">
        <v>76</v>
      </c>
      <c r="AB487" t="s">
        <v>35675</v>
      </c>
      <c r="AC487" t="s">
        <v>34465</v>
      </c>
      <c r="AD487" t="s">
        <v>35670</v>
      </c>
      <c r="AE487" t="s">
        <v>34582</v>
      </c>
      <c r="AF487" t="s">
        <v>35671</v>
      </c>
      <c r="AG487" t="s">
        <v>35672</v>
      </c>
    </row>
    <row r="488" spans="1:33" x14ac:dyDescent="0.25">
      <c r="A488" t="s">
        <v>34462</v>
      </c>
      <c r="B488" t="s">
        <v>2589</v>
      </c>
      <c r="C488" t="s">
        <v>2591</v>
      </c>
      <c r="D488">
        <v>23</v>
      </c>
      <c r="E488">
        <v>23</v>
      </c>
      <c r="F488">
        <v>127440</v>
      </c>
      <c r="G488">
        <v>145840</v>
      </c>
      <c r="H488">
        <v>17.07</v>
      </c>
      <c r="I488">
        <v>19.72</v>
      </c>
      <c r="J488">
        <v>0</v>
      </c>
      <c r="K488">
        <v>0.99</v>
      </c>
      <c r="L488">
        <v>3</v>
      </c>
      <c r="M488">
        <v>2</v>
      </c>
      <c r="N488">
        <v>4.8</v>
      </c>
      <c r="O488">
        <v>10</v>
      </c>
      <c r="P488">
        <v>399</v>
      </c>
      <c r="Q488">
        <v>24</v>
      </c>
      <c r="R488">
        <v>81</v>
      </c>
      <c r="S488" t="s">
        <v>35668</v>
      </c>
      <c r="U488">
        <v>0.54895037999999996</v>
      </c>
      <c r="V488">
        <v>6.05</v>
      </c>
      <c r="X488" t="s">
        <v>2588</v>
      </c>
      <c r="Y488" t="s">
        <v>2573</v>
      </c>
      <c r="Z488" t="s">
        <v>2573</v>
      </c>
      <c r="AA488" t="s">
        <v>76</v>
      </c>
      <c r="AB488" t="s">
        <v>35676</v>
      </c>
      <c r="AC488" t="s">
        <v>34465</v>
      </c>
      <c r="AD488" t="s">
        <v>35670</v>
      </c>
      <c r="AE488" t="s">
        <v>34586</v>
      </c>
      <c r="AF488" t="s">
        <v>35671</v>
      </c>
      <c r="AG488" t="s">
        <v>35672</v>
      </c>
    </row>
    <row r="489" spans="1:33" x14ac:dyDescent="0.25">
      <c r="A489" t="s">
        <v>34462</v>
      </c>
      <c r="B489" t="s">
        <v>2593</v>
      </c>
      <c r="C489" t="s">
        <v>2595</v>
      </c>
      <c r="D489">
        <v>23.99</v>
      </c>
      <c r="E489">
        <v>23.99</v>
      </c>
      <c r="F489">
        <v>124817</v>
      </c>
      <c r="G489">
        <v>147276</v>
      </c>
      <c r="H489">
        <v>30.27</v>
      </c>
      <c r="I489">
        <v>30.37</v>
      </c>
      <c r="J489">
        <v>0</v>
      </c>
      <c r="K489">
        <v>1</v>
      </c>
      <c r="L489">
        <v>5</v>
      </c>
      <c r="M489">
        <v>7</v>
      </c>
      <c r="N489">
        <v>4.8</v>
      </c>
      <c r="O489">
        <v>8</v>
      </c>
      <c r="P489">
        <v>397</v>
      </c>
      <c r="Q489">
        <v>22</v>
      </c>
      <c r="R489">
        <v>72</v>
      </c>
      <c r="S489" t="s">
        <v>35668</v>
      </c>
      <c r="U489">
        <v>1.1508116399999999</v>
      </c>
      <c r="V489">
        <v>7.4</v>
      </c>
      <c r="W489">
        <v>3.6</v>
      </c>
      <c r="X489" t="s">
        <v>2592</v>
      </c>
      <c r="Y489" t="s">
        <v>2573</v>
      </c>
      <c r="Z489" t="s">
        <v>2573</v>
      </c>
      <c r="AA489" t="s">
        <v>76</v>
      </c>
      <c r="AB489" t="s">
        <v>35677</v>
      </c>
      <c r="AC489" t="s">
        <v>34465</v>
      </c>
      <c r="AD489" t="s">
        <v>35670</v>
      </c>
      <c r="AE489" t="s">
        <v>34589</v>
      </c>
      <c r="AF489" t="s">
        <v>35671</v>
      </c>
      <c r="AG489" t="s">
        <v>35672</v>
      </c>
    </row>
    <row r="490" spans="1:33" x14ac:dyDescent="0.25">
      <c r="A490" t="s">
        <v>34462</v>
      </c>
      <c r="B490" t="s">
        <v>2598</v>
      </c>
      <c r="C490" t="s">
        <v>2601</v>
      </c>
      <c r="D490">
        <v>22.75</v>
      </c>
      <c r="E490">
        <v>22.75</v>
      </c>
      <c r="F490">
        <v>81238</v>
      </c>
      <c r="G490">
        <v>309119</v>
      </c>
      <c r="H490">
        <v>33.619999999999997</v>
      </c>
      <c r="I490">
        <v>28.57</v>
      </c>
      <c r="J490">
        <v>0</v>
      </c>
      <c r="K490">
        <v>0</v>
      </c>
      <c r="L490">
        <v>5</v>
      </c>
      <c r="M490">
        <v>6</v>
      </c>
      <c r="N490">
        <v>4.4000000000000004</v>
      </c>
      <c r="O490">
        <v>0</v>
      </c>
      <c r="P490">
        <v>6</v>
      </c>
      <c r="Q490">
        <v>25</v>
      </c>
      <c r="R490">
        <v>77</v>
      </c>
      <c r="S490" t="s">
        <v>35678</v>
      </c>
      <c r="U490">
        <v>0.40785470000000001</v>
      </c>
      <c r="V490">
        <v>6.14</v>
      </c>
      <c r="W490">
        <v>3.87</v>
      </c>
      <c r="X490" t="s">
        <v>2597</v>
      </c>
      <c r="Y490" t="s">
        <v>2602</v>
      </c>
      <c r="Z490" t="s">
        <v>2602</v>
      </c>
      <c r="AA490" t="s">
        <v>2603</v>
      </c>
      <c r="AB490" t="s">
        <v>35679</v>
      </c>
      <c r="AC490" t="s">
        <v>34493</v>
      </c>
      <c r="AD490" t="s">
        <v>7954</v>
      </c>
      <c r="AE490" t="s">
        <v>34533</v>
      </c>
      <c r="AF490" t="s">
        <v>35680</v>
      </c>
      <c r="AG490" t="s">
        <v>35681</v>
      </c>
    </row>
    <row r="491" spans="1:33" x14ac:dyDescent="0.25">
      <c r="A491" t="s">
        <v>34462</v>
      </c>
      <c r="B491" t="s">
        <v>2605</v>
      </c>
      <c r="C491" t="s">
        <v>2607</v>
      </c>
      <c r="D491">
        <v>22.75</v>
      </c>
      <c r="E491">
        <v>22.75</v>
      </c>
      <c r="F491">
        <v>81238</v>
      </c>
      <c r="G491">
        <v>312309</v>
      </c>
      <c r="H491">
        <v>38.69</v>
      </c>
      <c r="I491">
        <v>34.85</v>
      </c>
      <c r="J491">
        <v>0</v>
      </c>
      <c r="K491">
        <v>0</v>
      </c>
      <c r="L491">
        <v>5</v>
      </c>
      <c r="M491">
        <v>5</v>
      </c>
      <c r="N491">
        <v>4.4000000000000004</v>
      </c>
      <c r="O491">
        <v>0</v>
      </c>
      <c r="P491">
        <v>6</v>
      </c>
      <c r="Q491">
        <v>23</v>
      </c>
      <c r="R491">
        <v>72</v>
      </c>
      <c r="S491" t="s">
        <v>35678</v>
      </c>
      <c r="U491">
        <v>0.34171610000000002</v>
      </c>
      <c r="V491">
        <v>5.9</v>
      </c>
      <c r="W491">
        <v>3.87</v>
      </c>
      <c r="X491" t="s">
        <v>2604</v>
      </c>
      <c r="Y491" t="s">
        <v>2602</v>
      </c>
      <c r="Z491" t="s">
        <v>2602</v>
      </c>
      <c r="AA491" t="s">
        <v>935</v>
      </c>
      <c r="AB491" t="s">
        <v>35682</v>
      </c>
      <c r="AC491" t="s">
        <v>34493</v>
      </c>
      <c r="AD491" t="s">
        <v>7954</v>
      </c>
      <c r="AE491" t="s">
        <v>34533</v>
      </c>
      <c r="AF491" t="s">
        <v>35683</v>
      </c>
      <c r="AG491" t="s">
        <v>35681</v>
      </c>
    </row>
    <row r="492" spans="1:33" x14ac:dyDescent="0.25">
      <c r="A492" t="s">
        <v>34462</v>
      </c>
      <c r="B492" t="s">
        <v>2609</v>
      </c>
      <c r="C492" t="s">
        <v>2611</v>
      </c>
      <c r="D492">
        <v>22.75</v>
      </c>
      <c r="E492">
        <v>22.75</v>
      </c>
      <c r="F492">
        <v>76198</v>
      </c>
      <c r="G492">
        <v>325732</v>
      </c>
      <c r="H492">
        <v>41.35</v>
      </c>
      <c r="I492">
        <v>37.81</v>
      </c>
      <c r="J492">
        <v>0</v>
      </c>
      <c r="K492">
        <v>0</v>
      </c>
      <c r="L492">
        <v>6</v>
      </c>
      <c r="M492">
        <v>5</v>
      </c>
      <c r="N492">
        <v>4.4000000000000004</v>
      </c>
      <c r="O492">
        <v>1</v>
      </c>
      <c r="P492">
        <v>6</v>
      </c>
      <c r="Q492">
        <v>25</v>
      </c>
      <c r="R492">
        <v>75</v>
      </c>
      <c r="S492" t="s">
        <v>35678</v>
      </c>
      <c r="U492">
        <v>0.44092399999999998</v>
      </c>
      <c r="V492">
        <v>5.9</v>
      </c>
      <c r="W492">
        <v>3.87</v>
      </c>
      <c r="X492" t="s">
        <v>2608</v>
      </c>
      <c r="Y492" t="s">
        <v>2602</v>
      </c>
      <c r="Z492" t="s">
        <v>2602</v>
      </c>
      <c r="AA492" t="s">
        <v>935</v>
      </c>
      <c r="AB492" t="s">
        <v>35684</v>
      </c>
      <c r="AC492" t="s">
        <v>34493</v>
      </c>
      <c r="AD492" t="s">
        <v>7954</v>
      </c>
      <c r="AE492" t="s">
        <v>14701</v>
      </c>
      <c r="AF492" t="s">
        <v>35683</v>
      </c>
      <c r="AG492" t="s">
        <v>35681</v>
      </c>
    </row>
    <row r="493" spans="1:33" x14ac:dyDescent="0.25">
      <c r="A493" t="s">
        <v>34462</v>
      </c>
      <c r="B493" t="s">
        <v>2613</v>
      </c>
      <c r="C493" t="s">
        <v>2615</v>
      </c>
      <c r="D493">
        <v>22.75</v>
      </c>
      <c r="E493">
        <v>22.75</v>
      </c>
      <c r="F493">
        <v>81238</v>
      </c>
      <c r="G493">
        <v>322902</v>
      </c>
      <c r="H493">
        <v>38.090000000000003</v>
      </c>
      <c r="I493">
        <v>35.200000000000003</v>
      </c>
      <c r="J493">
        <v>0</v>
      </c>
      <c r="K493">
        <v>0</v>
      </c>
      <c r="L493">
        <v>7</v>
      </c>
      <c r="M493">
        <v>7</v>
      </c>
      <c r="N493">
        <v>4.4000000000000004</v>
      </c>
      <c r="O493">
        <v>1</v>
      </c>
      <c r="P493">
        <v>6</v>
      </c>
      <c r="Q493">
        <v>23</v>
      </c>
      <c r="R493">
        <v>62</v>
      </c>
      <c r="S493" t="s">
        <v>35678</v>
      </c>
      <c r="U493">
        <v>0.40785470000000001</v>
      </c>
      <c r="V493">
        <v>6.14</v>
      </c>
      <c r="W493">
        <v>3.87</v>
      </c>
      <c r="X493" t="s">
        <v>2612</v>
      </c>
      <c r="Y493" t="s">
        <v>2602</v>
      </c>
      <c r="Z493" t="s">
        <v>2602</v>
      </c>
      <c r="AA493" t="s">
        <v>2603</v>
      </c>
      <c r="AB493" t="s">
        <v>35685</v>
      </c>
      <c r="AC493" t="s">
        <v>34493</v>
      </c>
      <c r="AD493" t="s">
        <v>7954</v>
      </c>
      <c r="AE493" t="s">
        <v>14701</v>
      </c>
      <c r="AF493" t="s">
        <v>35680</v>
      </c>
      <c r="AG493" t="s">
        <v>35681</v>
      </c>
    </row>
    <row r="494" spans="1:33" x14ac:dyDescent="0.25">
      <c r="A494" t="s">
        <v>34462</v>
      </c>
      <c r="B494" t="s">
        <v>2617</v>
      </c>
      <c r="C494" t="s">
        <v>2619</v>
      </c>
      <c r="D494">
        <v>41.99</v>
      </c>
      <c r="E494">
        <v>39.979999999999997</v>
      </c>
      <c r="F494">
        <v>76198</v>
      </c>
      <c r="G494">
        <v>314955</v>
      </c>
      <c r="H494">
        <v>43.3</v>
      </c>
      <c r="I494">
        <v>40.43</v>
      </c>
      <c r="J494">
        <v>0</v>
      </c>
      <c r="K494">
        <v>0.03</v>
      </c>
      <c r="L494">
        <v>6</v>
      </c>
      <c r="M494">
        <v>5</v>
      </c>
      <c r="N494">
        <v>4.4000000000000004</v>
      </c>
      <c r="O494">
        <v>0</v>
      </c>
      <c r="P494">
        <v>6</v>
      </c>
      <c r="Q494">
        <v>25</v>
      </c>
      <c r="R494">
        <v>79</v>
      </c>
      <c r="S494" t="s">
        <v>35678</v>
      </c>
      <c r="U494">
        <v>0.44092399999999998</v>
      </c>
      <c r="V494">
        <v>5.9</v>
      </c>
      <c r="W494">
        <v>7.14</v>
      </c>
      <c r="X494" t="s">
        <v>2616</v>
      </c>
      <c r="Y494" t="s">
        <v>2602</v>
      </c>
      <c r="Z494" t="s">
        <v>2602</v>
      </c>
      <c r="AA494" t="s">
        <v>935</v>
      </c>
      <c r="AB494" t="s">
        <v>35686</v>
      </c>
      <c r="AC494" t="s">
        <v>34465</v>
      </c>
      <c r="AD494" t="s">
        <v>7954</v>
      </c>
      <c r="AE494" t="s">
        <v>34525</v>
      </c>
      <c r="AF494" t="s">
        <v>35683</v>
      </c>
      <c r="AG494" t="s">
        <v>35681</v>
      </c>
    </row>
    <row r="495" spans="1:33" x14ac:dyDescent="0.25">
      <c r="A495" t="s">
        <v>34462</v>
      </c>
      <c r="B495" t="s">
        <v>2622</v>
      </c>
      <c r="C495" t="s">
        <v>2624</v>
      </c>
      <c r="D495">
        <v>31.17</v>
      </c>
      <c r="E495">
        <v>31.17</v>
      </c>
      <c r="F495">
        <v>76198</v>
      </c>
      <c r="G495">
        <v>318686</v>
      </c>
      <c r="H495">
        <v>41.74</v>
      </c>
      <c r="I495">
        <v>38.159999999999997</v>
      </c>
      <c r="J495">
        <v>0</v>
      </c>
      <c r="K495">
        <v>0.01</v>
      </c>
      <c r="L495">
        <v>6</v>
      </c>
      <c r="M495">
        <v>5</v>
      </c>
      <c r="O495">
        <v>0</v>
      </c>
      <c r="Q495">
        <v>22</v>
      </c>
      <c r="R495">
        <v>63</v>
      </c>
      <c r="S495" t="s">
        <v>35678</v>
      </c>
      <c r="U495">
        <v>0.48942564</v>
      </c>
      <c r="V495">
        <v>5.9</v>
      </c>
      <c r="W495">
        <v>5.3</v>
      </c>
      <c r="X495" t="s">
        <v>2621</v>
      </c>
      <c r="Y495" t="s">
        <v>2602</v>
      </c>
      <c r="Z495" t="s">
        <v>2602</v>
      </c>
      <c r="AA495" t="s">
        <v>2603</v>
      </c>
      <c r="AB495" t="s">
        <v>35687</v>
      </c>
      <c r="AC495" t="s">
        <v>34465</v>
      </c>
      <c r="AD495" t="s">
        <v>7954</v>
      </c>
      <c r="AE495" t="s">
        <v>34525</v>
      </c>
      <c r="AF495" t="s">
        <v>35688</v>
      </c>
      <c r="AG495" t="s">
        <v>35681</v>
      </c>
    </row>
    <row r="496" spans="1:33" x14ac:dyDescent="0.25">
      <c r="A496" t="s">
        <v>34462</v>
      </c>
      <c r="B496" t="s">
        <v>2626</v>
      </c>
      <c r="C496" t="s">
        <v>2628</v>
      </c>
      <c r="D496">
        <v>22.75</v>
      </c>
      <c r="E496">
        <v>22.75</v>
      </c>
      <c r="F496">
        <v>112154</v>
      </c>
      <c r="G496">
        <v>318841</v>
      </c>
      <c r="H496">
        <v>40.32</v>
      </c>
      <c r="I496">
        <v>34.4</v>
      </c>
      <c r="J496">
        <v>0</v>
      </c>
      <c r="K496">
        <v>0.01</v>
      </c>
      <c r="L496">
        <v>7</v>
      </c>
      <c r="M496">
        <v>7</v>
      </c>
      <c r="N496">
        <v>4.4000000000000004</v>
      </c>
      <c r="O496">
        <v>1</v>
      </c>
      <c r="P496">
        <v>6</v>
      </c>
      <c r="Q496">
        <v>24</v>
      </c>
      <c r="R496">
        <v>67</v>
      </c>
      <c r="S496" t="s">
        <v>35678</v>
      </c>
      <c r="U496">
        <v>0.45194709999999999</v>
      </c>
      <c r="V496">
        <v>6.14</v>
      </c>
      <c r="W496">
        <v>3.87</v>
      </c>
      <c r="X496" t="s">
        <v>2625</v>
      </c>
      <c r="Y496" t="s">
        <v>2602</v>
      </c>
      <c r="Z496" t="s">
        <v>2602</v>
      </c>
      <c r="AA496" t="s">
        <v>1406</v>
      </c>
      <c r="AB496" t="s">
        <v>35689</v>
      </c>
      <c r="AC496" t="s">
        <v>34493</v>
      </c>
      <c r="AD496" t="s">
        <v>7954</v>
      </c>
      <c r="AE496" t="s">
        <v>34525</v>
      </c>
      <c r="AF496" t="s">
        <v>35690</v>
      </c>
      <c r="AG496" t="s">
        <v>35681</v>
      </c>
    </row>
    <row r="497" spans="1:33" x14ac:dyDescent="0.25">
      <c r="A497" t="s">
        <v>34462</v>
      </c>
      <c r="B497" t="s">
        <v>2630</v>
      </c>
      <c r="C497" t="s">
        <v>2632</v>
      </c>
      <c r="D497">
        <v>22.75</v>
      </c>
      <c r="E497">
        <v>22.75</v>
      </c>
      <c r="F497">
        <v>76198</v>
      </c>
      <c r="G497">
        <v>308284</v>
      </c>
      <c r="H497">
        <v>38.61</v>
      </c>
      <c r="I497">
        <v>38.18</v>
      </c>
      <c r="J497">
        <v>0</v>
      </c>
      <c r="K497">
        <v>0</v>
      </c>
      <c r="L497">
        <v>6</v>
      </c>
      <c r="M497">
        <v>6</v>
      </c>
      <c r="N497">
        <v>4.4000000000000004</v>
      </c>
      <c r="O497">
        <v>0</v>
      </c>
      <c r="P497">
        <v>6</v>
      </c>
      <c r="Q497">
        <v>22</v>
      </c>
      <c r="R497">
        <v>64</v>
      </c>
      <c r="S497" t="s">
        <v>35678</v>
      </c>
      <c r="U497">
        <v>0.47399330000000001</v>
      </c>
      <c r="V497">
        <v>5.9</v>
      </c>
      <c r="W497">
        <v>3.87</v>
      </c>
      <c r="X497" t="s">
        <v>2629</v>
      </c>
      <c r="Y497" t="s">
        <v>2602</v>
      </c>
      <c r="Z497" t="s">
        <v>2602</v>
      </c>
      <c r="AA497" t="s">
        <v>1406</v>
      </c>
      <c r="AB497" t="s">
        <v>35691</v>
      </c>
      <c r="AC497" t="s">
        <v>34493</v>
      </c>
      <c r="AD497" t="s">
        <v>7954</v>
      </c>
      <c r="AE497" t="s">
        <v>34649</v>
      </c>
      <c r="AF497" t="s">
        <v>35690</v>
      </c>
      <c r="AG497" t="s">
        <v>35681</v>
      </c>
    </row>
    <row r="498" spans="1:33" x14ac:dyDescent="0.25">
      <c r="A498" t="s">
        <v>34462</v>
      </c>
      <c r="B498" t="s">
        <v>2634</v>
      </c>
      <c r="C498" t="s">
        <v>2636</v>
      </c>
      <c r="D498">
        <v>39.979999999999997</v>
      </c>
      <c r="E498">
        <v>39.979999999999997</v>
      </c>
      <c r="F498">
        <v>76198</v>
      </c>
      <c r="G498">
        <v>319586</v>
      </c>
      <c r="H498">
        <v>43.39</v>
      </c>
      <c r="I498">
        <v>42.97</v>
      </c>
      <c r="J498">
        <v>0</v>
      </c>
      <c r="K498">
        <v>0.06</v>
      </c>
      <c r="L498">
        <v>6</v>
      </c>
      <c r="M498">
        <v>4</v>
      </c>
      <c r="N498">
        <v>4.4000000000000004</v>
      </c>
      <c r="O498">
        <v>0</v>
      </c>
      <c r="P498">
        <v>6</v>
      </c>
      <c r="Q498">
        <v>29</v>
      </c>
      <c r="R498">
        <v>70</v>
      </c>
      <c r="S498" t="s">
        <v>35678</v>
      </c>
      <c r="U498">
        <v>0.48501640000000001</v>
      </c>
      <c r="V498">
        <v>5.9</v>
      </c>
      <c r="X498" t="s">
        <v>2633</v>
      </c>
      <c r="Y498" t="s">
        <v>2602</v>
      </c>
      <c r="Z498" t="s">
        <v>2602</v>
      </c>
      <c r="AA498" t="s">
        <v>935</v>
      </c>
      <c r="AB498" t="s">
        <v>35692</v>
      </c>
      <c r="AC498" t="s">
        <v>34465</v>
      </c>
      <c r="AD498" t="s">
        <v>7954</v>
      </c>
      <c r="AE498" t="s">
        <v>34649</v>
      </c>
      <c r="AF498" t="s">
        <v>35693</v>
      </c>
      <c r="AG498" t="s">
        <v>35681</v>
      </c>
    </row>
    <row r="499" spans="1:33" x14ac:dyDescent="0.25">
      <c r="A499" t="s">
        <v>34462</v>
      </c>
      <c r="B499" t="s">
        <v>2638</v>
      </c>
      <c r="C499" t="s">
        <v>2640</v>
      </c>
      <c r="D499">
        <v>22.75</v>
      </c>
      <c r="E499">
        <v>22.75</v>
      </c>
      <c r="F499">
        <v>76198</v>
      </c>
      <c r="G499">
        <v>307103</v>
      </c>
      <c r="H499">
        <v>41.35</v>
      </c>
      <c r="I499">
        <v>35.93</v>
      </c>
      <c r="J499">
        <v>0</v>
      </c>
      <c r="K499">
        <v>0</v>
      </c>
      <c r="L499">
        <v>5</v>
      </c>
      <c r="M499">
        <v>4</v>
      </c>
      <c r="N499">
        <v>4.4000000000000004</v>
      </c>
      <c r="O499">
        <v>2</v>
      </c>
      <c r="P499">
        <v>6</v>
      </c>
      <c r="Q499">
        <v>23</v>
      </c>
      <c r="R499">
        <v>64</v>
      </c>
      <c r="S499" t="s">
        <v>35678</v>
      </c>
      <c r="U499">
        <v>0.50706260000000003</v>
      </c>
      <c r="V499">
        <v>6.14</v>
      </c>
      <c r="W499">
        <v>3.87</v>
      </c>
      <c r="X499" t="s">
        <v>2637</v>
      </c>
      <c r="Y499" t="s">
        <v>2602</v>
      </c>
      <c r="Z499" t="s">
        <v>2602</v>
      </c>
      <c r="AA499" t="s">
        <v>2603</v>
      </c>
      <c r="AB499" t="s">
        <v>35694</v>
      </c>
      <c r="AC499" t="s">
        <v>34493</v>
      </c>
      <c r="AD499" t="s">
        <v>7954</v>
      </c>
      <c r="AE499" t="s">
        <v>34649</v>
      </c>
      <c r="AF499" t="s">
        <v>35680</v>
      </c>
      <c r="AG499" t="s">
        <v>35681</v>
      </c>
    </row>
    <row r="500" spans="1:33" x14ac:dyDescent="0.25">
      <c r="A500" t="s">
        <v>34462</v>
      </c>
      <c r="B500" t="s">
        <v>2642</v>
      </c>
      <c r="C500" t="s">
        <v>2645</v>
      </c>
      <c r="D500">
        <v>20.62</v>
      </c>
      <c r="E500">
        <v>20.62</v>
      </c>
      <c r="F500">
        <v>351265</v>
      </c>
      <c r="G500">
        <v>626518</v>
      </c>
      <c r="H500">
        <v>43.46</v>
      </c>
      <c r="I500">
        <v>50.99</v>
      </c>
      <c r="J500">
        <v>0</v>
      </c>
      <c r="K500">
        <v>0</v>
      </c>
      <c r="L500">
        <v>2</v>
      </c>
      <c r="M500">
        <v>2</v>
      </c>
      <c r="N500">
        <v>4.7</v>
      </c>
      <c r="O500">
        <v>0</v>
      </c>
      <c r="P500">
        <v>388</v>
      </c>
      <c r="Q500">
        <v>7</v>
      </c>
      <c r="R500">
        <v>19</v>
      </c>
      <c r="S500" t="s">
        <v>35695</v>
      </c>
      <c r="U500">
        <v>2.8439597999999999</v>
      </c>
      <c r="V500">
        <v>8.0399999999999991</v>
      </c>
      <c r="W500">
        <v>3.09</v>
      </c>
      <c r="X500" t="s">
        <v>2641</v>
      </c>
      <c r="Y500" t="s">
        <v>35696</v>
      </c>
      <c r="Z500" t="s">
        <v>2646</v>
      </c>
      <c r="AA500" t="s">
        <v>2647</v>
      </c>
      <c r="AB500" t="s">
        <v>35697</v>
      </c>
      <c r="AC500" t="s">
        <v>34493</v>
      </c>
      <c r="AD500" t="s">
        <v>8331</v>
      </c>
      <c r="AE500" t="s">
        <v>35698</v>
      </c>
      <c r="AF500" t="s">
        <v>35699</v>
      </c>
      <c r="AG500" t="s">
        <v>35700</v>
      </c>
    </row>
    <row r="501" spans="1:33" x14ac:dyDescent="0.25">
      <c r="A501" t="s">
        <v>34462</v>
      </c>
      <c r="B501" t="s">
        <v>2649</v>
      </c>
      <c r="C501" t="s">
        <v>2651</v>
      </c>
      <c r="D501">
        <v>20.62</v>
      </c>
      <c r="E501">
        <v>20.62</v>
      </c>
      <c r="F501">
        <v>351265</v>
      </c>
      <c r="G501">
        <v>628405</v>
      </c>
      <c r="H501">
        <v>45.67</v>
      </c>
      <c r="I501">
        <v>52.09</v>
      </c>
      <c r="J501">
        <v>0</v>
      </c>
      <c r="K501">
        <v>0</v>
      </c>
      <c r="L501">
        <v>2</v>
      </c>
      <c r="M501">
        <v>2</v>
      </c>
      <c r="N501">
        <v>4.7</v>
      </c>
      <c r="O501">
        <v>0</v>
      </c>
      <c r="P501">
        <v>388</v>
      </c>
      <c r="Q501">
        <v>11</v>
      </c>
      <c r="R501">
        <v>20</v>
      </c>
      <c r="S501" t="s">
        <v>35695</v>
      </c>
      <c r="U501">
        <v>3.0137155400000002</v>
      </c>
      <c r="V501">
        <v>8.44</v>
      </c>
      <c r="W501">
        <v>3.09</v>
      </c>
      <c r="X501" t="s">
        <v>2648</v>
      </c>
      <c r="Y501" t="s">
        <v>35696</v>
      </c>
      <c r="Z501" t="s">
        <v>2646</v>
      </c>
      <c r="AA501" t="s">
        <v>2647</v>
      </c>
      <c r="AB501" t="s">
        <v>35701</v>
      </c>
      <c r="AC501" t="s">
        <v>34493</v>
      </c>
      <c r="AD501" t="s">
        <v>8331</v>
      </c>
      <c r="AE501" t="s">
        <v>35702</v>
      </c>
      <c r="AF501" t="s">
        <v>35699</v>
      </c>
      <c r="AG501" t="s">
        <v>35700</v>
      </c>
    </row>
    <row r="502" spans="1:33" x14ac:dyDescent="0.25">
      <c r="A502" t="s">
        <v>34462</v>
      </c>
      <c r="B502" t="s">
        <v>2654</v>
      </c>
      <c r="C502" t="s">
        <v>2656</v>
      </c>
      <c r="D502">
        <v>20.62</v>
      </c>
      <c r="E502">
        <v>20.62</v>
      </c>
      <c r="F502">
        <v>351265</v>
      </c>
      <c r="G502">
        <v>635369</v>
      </c>
      <c r="H502">
        <v>45.59</v>
      </c>
      <c r="I502">
        <v>52.43</v>
      </c>
      <c r="J502">
        <v>0</v>
      </c>
      <c r="K502">
        <v>0</v>
      </c>
      <c r="L502">
        <v>2</v>
      </c>
      <c r="M502">
        <v>2</v>
      </c>
      <c r="N502">
        <v>4.7</v>
      </c>
      <c r="O502">
        <v>1</v>
      </c>
      <c r="P502">
        <v>388</v>
      </c>
      <c r="Q502">
        <v>7</v>
      </c>
      <c r="R502">
        <v>16</v>
      </c>
      <c r="S502" t="s">
        <v>35695</v>
      </c>
      <c r="U502">
        <v>3.0908772400000002</v>
      </c>
      <c r="V502">
        <v>8.44</v>
      </c>
      <c r="W502">
        <v>3.09</v>
      </c>
      <c r="X502" t="s">
        <v>2653</v>
      </c>
      <c r="Y502" t="s">
        <v>35696</v>
      </c>
      <c r="Z502" t="s">
        <v>2646</v>
      </c>
      <c r="AA502" t="s">
        <v>2647</v>
      </c>
      <c r="AB502" t="s">
        <v>35703</v>
      </c>
      <c r="AC502" t="s">
        <v>34493</v>
      </c>
      <c r="AD502" t="s">
        <v>8331</v>
      </c>
      <c r="AE502" t="s">
        <v>35704</v>
      </c>
      <c r="AF502" t="s">
        <v>35699</v>
      </c>
      <c r="AG502" t="s">
        <v>35700</v>
      </c>
    </row>
    <row r="503" spans="1:33" x14ac:dyDescent="0.25">
      <c r="A503" t="s">
        <v>34462</v>
      </c>
      <c r="B503" t="s">
        <v>2658</v>
      </c>
      <c r="C503" t="s">
        <v>2661</v>
      </c>
      <c r="D503">
        <v>275.55</v>
      </c>
      <c r="E503">
        <v>255.55</v>
      </c>
      <c r="F503">
        <v>5575248</v>
      </c>
      <c r="G503">
        <v>3313161</v>
      </c>
      <c r="H503">
        <v>269.06</v>
      </c>
      <c r="I503">
        <v>269.06</v>
      </c>
      <c r="J503">
        <v>0</v>
      </c>
      <c r="K503">
        <v>1</v>
      </c>
      <c r="L503">
        <v>2</v>
      </c>
      <c r="M503">
        <v>1</v>
      </c>
      <c r="Q503">
        <v>0</v>
      </c>
      <c r="R503">
        <v>3</v>
      </c>
      <c r="S503" t="s">
        <v>35705</v>
      </c>
      <c r="X503" t="s">
        <v>2657</v>
      </c>
      <c r="AA503" t="s">
        <v>2662</v>
      </c>
      <c r="AB503" t="s">
        <v>35706</v>
      </c>
      <c r="AC503" t="s">
        <v>34465</v>
      </c>
      <c r="AD503" t="s">
        <v>7947</v>
      </c>
      <c r="AE503" t="s">
        <v>255</v>
      </c>
      <c r="AF503" t="s">
        <v>35707</v>
      </c>
      <c r="AG503" t="s">
        <v>35708</v>
      </c>
    </row>
    <row r="504" spans="1:33" x14ac:dyDescent="0.25">
      <c r="A504" t="s">
        <v>34462</v>
      </c>
      <c r="B504" t="s">
        <v>2664</v>
      </c>
      <c r="C504" t="s">
        <v>2667</v>
      </c>
      <c r="D504">
        <v>16.29</v>
      </c>
      <c r="E504">
        <v>16.29</v>
      </c>
      <c r="F504">
        <v>871129</v>
      </c>
      <c r="G504">
        <v>868969</v>
      </c>
      <c r="H504">
        <v>20.28</v>
      </c>
      <c r="I504">
        <v>20.28</v>
      </c>
      <c r="J504">
        <v>0</v>
      </c>
      <c r="K504">
        <v>1</v>
      </c>
      <c r="L504">
        <v>1</v>
      </c>
      <c r="M504">
        <v>1</v>
      </c>
      <c r="Q504">
        <v>0</v>
      </c>
      <c r="R504">
        <v>0</v>
      </c>
      <c r="U504">
        <v>0.26014515999999999</v>
      </c>
      <c r="V504">
        <v>3.24</v>
      </c>
      <c r="X504" t="s">
        <v>2663</v>
      </c>
      <c r="AB504" t="s">
        <v>35709</v>
      </c>
      <c r="AC504" t="s">
        <v>34465</v>
      </c>
      <c r="AD504" t="s">
        <v>35710</v>
      </c>
      <c r="AF504" t="s">
        <v>35711</v>
      </c>
    </row>
    <row r="505" spans="1:33" x14ac:dyDescent="0.25">
      <c r="A505" t="s">
        <v>34462</v>
      </c>
      <c r="B505" t="s">
        <v>2669</v>
      </c>
      <c r="C505" t="s">
        <v>2672</v>
      </c>
      <c r="J505">
        <v>1</v>
      </c>
      <c r="K505">
        <v>1</v>
      </c>
      <c r="Q505">
        <v>-1</v>
      </c>
      <c r="R505">
        <v>-1</v>
      </c>
      <c r="S505" t="s">
        <v>35712</v>
      </c>
      <c r="X505" t="s">
        <v>2668</v>
      </c>
      <c r="Z505" t="s">
        <v>2673</v>
      </c>
      <c r="AA505" t="s">
        <v>2674</v>
      </c>
      <c r="AB505" t="s">
        <v>35713</v>
      </c>
      <c r="AC505" t="s">
        <v>34465</v>
      </c>
      <c r="AD505" t="s">
        <v>7954</v>
      </c>
      <c r="AE505" t="s">
        <v>34649</v>
      </c>
    </row>
    <row r="506" spans="1:33" x14ac:dyDescent="0.25">
      <c r="A506" t="s">
        <v>34462</v>
      </c>
      <c r="B506" t="s">
        <v>2676</v>
      </c>
      <c r="C506" t="s">
        <v>2679</v>
      </c>
      <c r="D506">
        <v>64.66</v>
      </c>
      <c r="E506">
        <v>56.71</v>
      </c>
      <c r="F506">
        <v>8084768</v>
      </c>
      <c r="G506">
        <v>4226707</v>
      </c>
      <c r="H506">
        <v>98.68</v>
      </c>
      <c r="I506">
        <v>98.68</v>
      </c>
      <c r="J506">
        <v>0</v>
      </c>
      <c r="K506">
        <v>1</v>
      </c>
      <c r="L506">
        <v>3</v>
      </c>
      <c r="M506">
        <v>3</v>
      </c>
      <c r="Q506">
        <v>0</v>
      </c>
      <c r="R506">
        <v>0</v>
      </c>
      <c r="U506">
        <v>0.55997348000000002</v>
      </c>
      <c r="V506">
        <v>5.9</v>
      </c>
      <c r="W506">
        <v>10.99</v>
      </c>
      <c r="X506" t="s">
        <v>2675</v>
      </c>
      <c r="Z506" t="s">
        <v>2680</v>
      </c>
      <c r="AA506" t="s">
        <v>2681</v>
      </c>
      <c r="AB506" t="s">
        <v>35714</v>
      </c>
      <c r="AC506" t="s">
        <v>34465</v>
      </c>
      <c r="AD506" t="s">
        <v>7947</v>
      </c>
      <c r="AE506" t="s">
        <v>14701</v>
      </c>
      <c r="AF506" t="s">
        <v>35715</v>
      </c>
      <c r="AG506" t="s">
        <v>35716</v>
      </c>
    </row>
    <row r="507" spans="1:33" x14ac:dyDescent="0.25">
      <c r="A507" t="s">
        <v>34462</v>
      </c>
      <c r="B507" t="s">
        <v>2683</v>
      </c>
      <c r="C507" t="s">
        <v>2686</v>
      </c>
      <c r="D507">
        <v>156</v>
      </c>
      <c r="E507">
        <v>156</v>
      </c>
      <c r="F507">
        <v>634466</v>
      </c>
      <c r="G507">
        <v>236254</v>
      </c>
      <c r="H507">
        <v>123.85</v>
      </c>
      <c r="I507">
        <v>121.82</v>
      </c>
      <c r="J507">
        <v>0</v>
      </c>
      <c r="K507">
        <v>0</v>
      </c>
      <c r="L507">
        <v>1</v>
      </c>
      <c r="M507">
        <v>1</v>
      </c>
      <c r="N507">
        <v>4.7</v>
      </c>
      <c r="O507">
        <v>0</v>
      </c>
      <c r="P507">
        <v>32</v>
      </c>
      <c r="Q507">
        <v>24</v>
      </c>
      <c r="R507">
        <v>62</v>
      </c>
      <c r="S507" t="s">
        <v>35717</v>
      </c>
      <c r="U507">
        <v>2.3104417599999998</v>
      </c>
      <c r="V507">
        <v>15.69</v>
      </c>
      <c r="W507">
        <v>26.52</v>
      </c>
      <c r="X507" t="s">
        <v>2682</v>
      </c>
      <c r="Y507" t="s">
        <v>2687</v>
      </c>
      <c r="Z507" t="s">
        <v>2687</v>
      </c>
      <c r="AA507" t="s">
        <v>2688</v>
      </c>
      <c r="AB507" t="s">
        <v>35718</v>
      </c>
      <c r="AC507" t="s">
        <v>34493</v>
      </c>
      <c r="AD507" t="s">
        <v>9232</v>
      </c>
      <c r="AE507" t="s">
        <v>34533</v>
      </c>
      <c r="AF507" t="s">
        <v>35719</v>
      </c>
      <c r="AG507" t="s">
        <v>35720</v>
      </c>
    </row>
    <row r="508" spans="1:33" x14ac:dyDescent="0.25">
      <c r="A508" t="s">
        <v>34462</v>
      </c>
      <c r="B508" t="s">
        <v>2690</v>
      </c>
      <c r="C508" t="s">
        <v>2692</v>
      </c>
      <c r="D508">
        <v>117.03</v>
      </c>
      <c r="E508">
        <v>108.04</v>
      </c>
      <c r="F508">
        <v>402236</v>
      </c>
      <c r="G508">
        <v>228178</v>
      </c>
      <c r="H508">
        <v>105.1</v>
      </c>
      <c r="I508">
        <v>121.46</v>
      </c>
      <c r="J508">
        <v>0</v>
      </c>
      <c r="K508">
        <v>0</v>
      </c>
      <c r="L508">
        <v>4</v>
      </c>
      <c r="M508">
        <v>3</v>
      </c>
      <c r="N508">
        <v>4.7</v>
      </c>
      <c r="O508">
        <v>0</v>
      </c>
      <c r="P508">
        <v>32</v>
      </c>
      <c r="Q508">
        <v>23</v>
      </c>
      <c r="R508">
        <v>70</v>
      </c>
      <c r="S508" t="s">
        <v>35717</v>
      </c>
      <c r="U508">
        <v>2.3809895999999999</v>
      </c>
      <c r="V508">
        <v>15.31</v>
      </c>
      <c r="W508">
        <v>19.899999999999999</v>
      </c>
      <c r="X508" t="s">
        <v>2689</v>
      </c>
      <c r="Y508" t="s">
        <v>2687</v>
      </c>
      <c r="Z508" t="s">
        <v>2687</v>
      </c>
      <c r="AA508" t="s">
        <v>2213</v>
      </c>
      <c r="AB508" t="s">
        <v>35721</v>
      </c>
      <c r="AC508" t="s">
        <v>34493</v>
      </c>
      <c r="AD508" t="s">
        <v>9232</v>
      </c>
      <c r="AE508" t="s">
        <v>34533</v>
      </c>
      <c r="AF508" t="s">
        <v>35722</v>
      </c>
      <c r="AG508" t="s">
        <v>35720</v>
      </c>
    </row>
    <row r="509" spans="1:33" x14ac:dyDescent="0.25">
      <c r="A509" t="s">
        <v>34462</v>
      </c>
      <c r="B509" t="s">
        <v>2694</v>
      </c>
      <c r="C509" t="s">
        <v>2696</v>
      </c>
      <c r="D509">
        <v>112.89</v>
      </c>
      <c r="F509">
        <v>402236</v>
      </c>
      <c r="G509">
        <v>238395</v>
      </c>
      <c r="H509">
        <v>112.89</v>
      </c>
      <c r="I509">
        <v>132.66</v>
      </c>
      <c r="J509">
        <v>0.33</v>
      </c>
      <c r="K509">
        <v>0.33</v>
      </c>
      <c r="L509">
        <v>1</v>
      </c>
      <c r="M509">
        <v>1</v>
      </c>
      <c r="N509">
        <v>4.7</v>
      </c>
      <c r="O509">
        <v>0</v>
      </c>
      <c r="P509">
        <v>32</v>
      </c>
      <c r="Q509">
        <v>9</v>
      </c>
      <c r="R509">
        <v>41</v>
      </c>
      <c r="S509" t="s">
        <v>35717</v>
      </c>
      <c r="U509">
        <v>2.40083118</v>
      </c>
      <c r="V509">
        <v>13.79</v>
      </c>
      <c r="X509" t="s">
        <v>2693</v>
      </c>
      <c r="Y509" t="s">
        <v>2687</v>
      </c>
      <c r="Z509" t="s">
        <v>2687</v>
      </c>
      <c r="AA509" t="s">
        <v>2688</v>
      </c>
      <c r="AB509" t="s">
        <v>35723</v>
      </c>
      <c r="AC509" t="s">
        <v>34465</v>
      </c>
      <c r="AD509" t="s">
        <v>9232</v>
      </c>
      <c r="AE509" t="s">
        <v>14701</v>
      </c>
      <c r="AF509" t="s">
        <v>35719</v>
      </c>
      <c r="AG509" t="s">
        <v>35720</v>
      </c>
    </row>
    <row r="510" spans="1:33" x14ac:dyDescent="0.25">
      <c r="A510" t="s">
        <v>34462</v>
      </c>
      <c r="B510" t="s">
        <v>2699</v>
      </c>
      <c r="C510" t="s">
        <v>2701</v>
      </c>
      <c r="D510">
        <v>140.08000000000001</v>
      </c>
      <c r="E510">
        <v>129.61000000000001</v>
      </c>
      <c r="F510">
        <v>402236</v>
      </c>
      <c r="G510">
        <v>230657</v>
      </c>
      <c r="H510">
        <v>138.22</v>
      </c>
      <c r="I510">
        <v>138.34</v>
      </c>
      <c r="J510">
        <v>0.35</v>
      </c>
      <c r="K510">
        <v>0.73</v>
      </c>
      <c r="L510">
        <v>2</v>
      </c>
      <c r="M510">
        <v>2</v>
      </c>
      <c r="N510">
        <v>4.7</v>
      </c>
      <c r="O510">
        <v>0</v>
      </c>
      <c r="P510">
        <v>32</v>
      </c>
      <c r="Q510">
        <v>7</v>
      </c>
      <c r="R510">
        <v>37</v>
      </c>
      <c r="S510" t="s">
        <v>35717</v>
      </c>
      <c r="U510">
        <v>2.5992469800000002</v>
      </c>
      <c r="V510">
        <v>14.93</v>
      </c>
      <c r="W510">
        <v>23.81</v>
      </c>
      <c r="X510" t="s">
        <v>2698</v>
      </c>
      <c r="Y510" t="s">
        <v>2687</v>
      </c>
      <c r="Z510" t="s">
        <v>2687</v>
      </c>
      <c r="AA510" t="s">
        <v>2688</v>
      </c>
      <c r="AB510" t="s">
        <v>35724</v>
      </c>
      <c r="AC510" t="s">
        <v>34493</v>
      </c>
      <c r="AD510" t="s">
        <v>9232</v>
      </c>
      <c r="AE510" t="s">
        <v>34525</v>
      </c>
      <c r="AF510" t="s">
        <v>35719</v>
      </c>
      <c r="AG510" t="s">
        <v>35720</v>
      </c>
    </row>
    <row r="511" spans="1:33" x14ac:dyDescent="0.25">
      <c r="A511" t="s">
        <v>34462</v>
      </c>
      <c r="B511" t="s">
        <v>2703</v>
      </c>
      <c r="C511" t="s">
        <v>2706</v>
      </c>
      <c r="D511">
        <v>34.799999999999997</v>
      </c>
      <c r="E511">
        <v>34.799999999999997</v>
      </c>
      <c r="F511">
        <v>97930</v>
      </c>
      <c r="G511">
        <v>1016092</v>
      </c>
      <c r="H511">
        <v>42.07</v>
      </c>
      <c r="I511">
        <v>42.27</v>
      </c>
      <c r="J511">
        <v>0</v>
      </c>
      <c r="K511">
        <v>0</v>
      </c>
      <c r="L511">
        <v>2</v>
      </c>
      <c r="M511">
        <v>2</v>
      </c>
      <c r="N511">
        <v>4.5999999999999996</v>
      </c>
      <c r="O511">
        <v>0</v>
      </c>
      <c r="P511">
        <v>58</v>
      </c>
      <c r="Q511">
        <v>12</v>
      </c>
      <c r="R511">
        <v>13</v>
      </c>
      <c r="S511" t="s">
        <v>35725</v>
      </c>
      <c r="U511">
        <v>0.74957079999999998</v>
      </c>
      <c r="V511">
        <v>6.14</v>
      </c>
      <c r="W511">
        <v>5.92</v>
      </c>
      <c r="X511" t="s">
        <v>2702</v>
      </c>
      <c r="Y511" t="s">
        <v>2707</v>
      </c>
      <c r="Z511" t="s">
        <v>2707</v>
      </c>
      <c r="AA511" t="s">
        <v>278</v>
      </c>
      <c r="AB511" t="s">
        <v>35726</v>
      </c>
      <c r="AC511" t="s">
        <v>34493</v>
      </c>
      <c r="AD511" t="s">
        <v>11834</v>
      </c>
      <c r="AE511" t="s">
        <v>35727</v>
      </c>
      <c r="AF511" t="s">
        <v>35728</v>
      </c>
      <c r="AG511" t="s">
        <v>35729</v>
      </c>
    </row>
    <row r="512" spans="1:33" x14ac:dyDescent="0.25">
      <c r="A512" t="s">
        <v>34462</v>
      </c>
      <c r="B512" t="s">
        <v>2709</v>
      </c>
      <c r="C512" t="s">
        <v>2711</v>
      </c>
      <c r="D512">
        <v>42.71</v>
      </c>
      <c r="E512">
        <v>42.71</v>
      </c>
      <c r="H512">
        <v>26.65</v>
      </c>
      <c r="I512">
        <v>22.69</v>
      </c>
      <c r="J512">
        <v>0.44</v>
      </c>
      <c r="K512">
        <v>0.5</v>
      </c>
      <c r="L512">
        <v>2</v>
      </c>
      <c r="N512">
        <v>5</v>
      </c>
      <c r="P512">
        <v>2</v>
      </c>
      <c r="Q512">
        <v>-1</v>
      </c>
      <c r="R512">
        <v>-1</v>
      </c>
      <c r="S512" t="s">
        <v>35730</v>
      </c>
      <c r="U512">
        <v>0.88184799999999997</v>
      </c>
      <c r="V512">
        <v>6.83</v>
      </c>
      <c r="W512">
        <v>2.15</v>
      </c>
      <c r="X512" t="s">
        <v>2708</v>
      </c>
      <c r="Y512" t="s">
        <v>2712</v>
      </c>
      <c r="Z512" t="s">
        <v>2712</v>
      </c>
      <c r="AA512" t="s">
        <v>2713</v>
      </c>
      <c r="AB512" t="s">
        <v>35731</v>
      </c>
      <c r="AC512" t="s">
        <v>34465</v>
      </c>
      <c r="AD512" t="s">
        <v>11834</v>
      </c>
      <c r="AE512" t="s">
        <v>35727</v>
      </c>
      <c r="AF512" t="s">
        <v>35732</v>
      </c>
      <c r="AG512" t="s">
        <v>35733</v>
      </c>
    </row>
    <row r="513" spans="1:33" x14ac:dyDescent="0.25">
      <c r="A513" t="s">
        <v>34462</v>
      </c>
      <c r="B513" t="s">
        <v>2715</v>
      </c>
      <c r="C513" t="s">
        <v>2717</v>
      </c>
      <c r="D513">
        <v>55</v>
      </c>
      <c r="E513">
        <v>42.71</v>
      </c>
      <c r="H513">
        <v>31.96</v>
      </c>
      <c r="I513">
        <v>24.98</v>
      </c>
      <c r="J513">
        <v>0</v>
      </c>
      <c r="K513">
        <v>0</v>
      </c>
      <c r="L513">
        <v>2</v>
      </c>
      <c r="M513">
        <v>1</v>
      </c>
      <c r="N513">
        <v>4.4000000000000004</v>
      </c>
      <c r="O513">
        <v>0</v>
      </c>
      <c r="P513">
        <v>4</v>
      </c>
      <c r="Q513">
        <v>-1</v>
      </c>
      <c r="R513">
        <v>-1</v>
      </c>
      <c r="S513" t="s">
        <v>35730</v>
      </c>
      <c r="U513">
        <v>0.88184799999999997</v>
      </c>
      <c r="V513">
        <v>6.83</v>
      </c>
      <c r="W513">
        <v>2.77</v>
      </c>
      <c r="X513" t="s">
        <v>2714</v>
      </c>
      <c r="Y513" t="s">
        <v>2718</v>
      </c>
      <c r="Z513" t="s">
        <v>2718</v>
      </c>
      <c r="AA513" t="s">
        <v>2719</v>
      </c>
      <c r="AB513" t="s">
        <v>35734</v>
      </c>
      <c r="AC513" t="s">
        <v>34493</v>
      </c>
      <c r="AD513" t="s">
        <v>11834</v>
      </c>
      <c r="AE513" t="s">
        <v>35727</v>
      </c>
      <c r="AF513" t="s">
        <v>35735</v>
      </c>
      <c r="AG513" t="s">
        <v>35733</v>
      </c>
    </row>
    <row r="514" spans="1:33" x14ac:dyDescent="0.25">
      <c r="A514" t="s">
        <v>34462</v>
      </c>
      <c r="B514" t="s">
        <v>2721</v>
      </c>
      <c r="C514" t="s">
        <v>2723</v>
      </c>
      <c r="D514">
        <v>30.52</v>
      </c>
      <c r="E514">
        <v>30.52</v>
      </c>
      <c r="H514">
        <v>33.67</v>
      </c>
      <c r="I514">
        <v>25.89</v>
      </c>
      <c r="J514">
        <v>0.27</v>
      </c>
      <c r="K514">
        <v>0.34</v>
      </c>
      <c r="L514">
        <v>1</v>
      </c>
      <c r="M514">
        <v>1</v>
      </c>
      <c r="N514">
        <v>5</v>
      </c>
      <c r="P514">
        <v>2</v>
      </c>
      <c r="Q514">
        <v>-1</v>
      </c>
      <c r="R514">
        <v>-1</v>
      </c>
      <c r="S514" t="s">
        <v>35730</v>
      </c>
      <c r="U514">
        <v>0.79366320000000001</v>
      </c>
      <c r="V514">
        <v>6.83</v>
      </c>
      <c r="X514" t="s">
        <v>2720</v>
      </c>
      <c r="Y514" t="s">
        <v>2724</v>
      </c>
      <c r="Z514" t="s">
        <v>2724</v>
      </c>
      <c r="AA514" t="s">
        <v>2725</v>
      </c>
      <c r="AB514" t="s">
        <v>35736</v>
      </c>
      <c r="AC514" t="s">
        <v>34465</v>
      </c>
      <c r="AD514" t="s">
        <v>11834</v>
      </c>
      <c r="AE514" t="s">
        <v>35727</v>
      </c>
      <c r="AF514" t="s">
        <v>35737</v>
      </c>
      <c r="AG514" t="s">
        <v>35733</v>
      </c>
    </row>
    <row r="515" spans="1:33" x14ac:dyDescent="0.25">
      <c r="A515" t="s">
        <v>34462</v>
      </c>
      <c r="B515" t="s">
        <v>2727</v>
      </c>
      <c r="C515" t="s">
        <v>2729</v>
      </c>
      <c r="D515">
        <v>23.51</v>
      </c>
      <c r="E515">
        <v>23.51</v>
      </c>
      <c r="F515">
        <v>6297349</v>
      </c>
      <c r="G515">
        <v>5297485</v>
      </c>
      <c r="H515">
        <v>23.78</v>
      </c>
      <c r="I515">
        <v>23.84</v>
      </c>
      <c r="J515">
        <v>0</v>
      </c>
      <c r="K515">
        <v>0</v>
      </c>
      <c r="L515">
        <v>2</v>
      </c>
      <c r="M515">
        <v>2</v>
      </c>
      <c r="Q515">
        <v>1</v>
      </c>
      <c r="R515">
        <v>2</v>
      </c>
      <c r="S515" t="s">
        <v>35738</v>
      </c>
      <c r="U515">
        <v>0.78264010000000006</v>
      </c>
      <c r="V515">
        <v>6.6</v>
      </c>
      <c r="W515">
        <v>3.99</v>
      </c>
      <c r="X515" t="s">
        <v>2726</v>
      </c>
      <c r="Y515" t="s">
        <v>2730</v>
      </c>
      <c r="Z515" t="s">
        <v>2730</v>
      </c>
      <c r="AA515" t="s">
        <v>2731</v>
      </c>
      <c r="AB515" t="s">
        <v>35739</v>
      </c>
      <c r="AC515" t="s">
        <v>34493</v>
      </c>
      <c r="AD515" t="s">
        <v>11834</v>
      </c>
      <c r="AE515" t="s">
        <v>35740</v>
      </c>
      <c r="AF515" t="s">
        <v>35741</v>
      </c>
    </row>
    <row r="516" spans="1:33" x14ac:dyDescent="0.25">
      <c r="A516" t="s">
        <v>34462</v>
      </c>
      <c r="B516" t="s">
        <v>2733</v>
      </c>
      <c r="C516" t="s">
        <v>2735</v>
      </c>
      <c r="D516">
        <v>39.200000000000003</v>
      </c>
      <c r="E516">
        <v>31.25</v>
      </c>
      <c r="H516">
        <v>35.880000000000003</v>
      </c>
      <c r="I516">
        <v>32.32</v>
      </c>
      <c r="J516">
        <v>0.16</v>
      </c>
      <c r="K516">
        <v>0.22</v>
      </c>
      <c r="L516">
        <v>1</v>
      </c>
      <c r="M516">
        <v>1</v>
      </c>
      <c r="N516">
        <v>5</v>
      </c>
      <c r="P516">
        <v>2</v>
      </c>
      <c r="Q516">
        <v>-1</v>
      </c>
      <c r="R516">
        <v>-1</v>
      </c>
      <c r="S516" t="s">
        <v>35730</v>
      </c>
      <c r="U516">
        <v>0.88184799999999997</v>
      </c>
      <c r="V516">
        <v>6.83</v>
      </c>
      <c r="W516">
        <v>6.66</v>
      </c>
      <c r="X516" t="s">
        <v>2732</v>
      </c>
      <c r="Y516" t="s">
        <v>2737</v>
      </c>
      <c r="Z516" t="s">
        <v>2737</v>
      </c>
      <c r="AA516" t="s">
        <v>2738</v>
      </c>
      <c r="AB516" t="s">
        <v>35742</v>
      </c>
      <c r="AC516" t="s">
        <v>34465</v>
      </c>
      <c r="AD516" t="s">
        <v>11834</v>
      </c>
      <c r="AE516" t="s">
        <v>35743</v>
      </c>
      <c r="AF516" t="s">
        <v>35744</v>
      </c>
      <c r="AG516" t="s">
        <v>35733</v>
      </c>
    </row>
    <row r="517" spans="1:33" x14ac:dyDescent="0.25">
      <c r="A517" t="s">
        <v>34462</v>
      </c>
      <c r="B517" t="s">
        <v>2740</v>
      </c>
      <c r="C517" t="s">
        <v>2742</v>
      </c>
      <c r="D517">
        <v>32.549999999999997</v>
      </c>
      <c r="E517">
        <v>32.549999999999997</v>
      </c>
      <c r="H517">
        <v>34.71</v>
      </c>
      <c r="I517">
        <v>30.91</v>
      </c>
      <c r="J517">
        <v>0</v>
      </c>
      <c r="K517">
        <v>0</v>
      </c>
      <c r="L517">
        <v>1</v>
      </c>
      <c r="M517">
        <v>1</v>
      </c>
      <c r="N517">
        <v>5</v>
      </c>
      <c r="P517">
        <v>2</v>
      </c>
      <c r="Q517">
        <v>-1</v>
      </c>
      <c r="R517">
        <v>-1</v>
      </c>
      <c r="S517" t="s">
        <v>35730</v>
      </c>
      <c r="U517">
        <v>0.88184799999999997</v>
      </c>
      <c r="V517">
        <v>6.83</v>
      </c>
      <c r="W517">
        <v>5.53</v>
      </c>
      <c r="X517" t="s">
        <v>2739</v>
      </c>
      <c r="Y517" t="s">
        <v>2743</v>
      </c>
      <c r="Z517" t="s">
        <v>2743</v>
      </c>
      <c r="AA517" t="s">
        <v>2725</v>
      </c>
      <c r="AB517" t="s">
        <v>35745</v>
      </c>
      <c r="AC517" t="s">
        <v>34493</v>
      </c>
      <c r="AD517" t="s">
        <v>11834</v>
      </c>
      <c r="AE517" t="s">
        <v>35743</v>
      </c>
      <c r="AF517" t="s">
        <v>35737</v>
      </c>
      <c r="AG517" t="s">
        <v>35733</v>
      </c>
    </row>
    <row r="518" spans="1:33" x14ac:dyDescent="0.25">
      <c r="A518" t="s">
        <v>34462</v>
      </c>
      <c r="B518" t="s">
        <v>2745</v>
      </c>
      <c r="C518" t="s">
        <v>2711</v>
      </c>
      <c r="D518">
        <v>36.99</v>
      </c>
      <c r="E518">
        <v>36.99</v>
      </c>
      <c r="H518">
        <v>31.26</v>
      </c>
      <c r="I518">
        <v>32.450000000000003</v>
      </c>
      <c r="J518">
        <v>0</v>
      </c>
      <c r="K518">
        <v>0</v>
      </c>
      <c r="L518">
        <v>1</v>
      </c>
      <c r="M518">
        <v>1</v>
      </c>
      <c r="N518">
        <v>5</v>
      </c>
      <c r="P518">
        <v>2</v>
      </c>
      <c r="Q518">
        <v>-1</v>
      </c>
      <c r="R518">
        <v>-1</v>
      </c>
      <c r="S518" t="s">
        <v>35730</v>
      </c>
      <c r="U518">
        <v>0.88184799999999997</v>
      </c>
      <c r="V518">
        <v>6.83</v>
      </c>
      <c r="W518">
        <v>6.29</v>
      </c>
      <c r="X518" t="s">
        <v>2744</v>
      </c>
      <c r="Y518" t="s">
        <v>2748</v>
      </c>
      <c r="Z518" t="s">
        <v>2748</v>
      </c>
      <c r="AA518" t="s">
        <v>2713</v>
      </c>
      <c r="AB518" t="s">
        <v>35746</v>
      </c>
      <c r="AC518" t="s">
        <v>34493</v>
      </c>
      <c r="AD518" t="s">
        <v>11834</v>
      </c>
      <c r="AE518" t="s">
        <v>35743</v>
      </c>
      <c r="AF518" t="s">
        <v>35732</v>
      </c>
      <c r="AG518" t="s">
        <v>35733</v>
      </c>
    </row>
    <row r="519" spans="1:33" x14ac:dyDescent="0.25">
      <c r="A519" t="s">
        <v>34462</v>
      </c>
      <c r="B519" t="s">
        <v>2750</v>
      </c>
      <c r="C519" t="s">
        <v>2752</v>
      </c>
      <c r="D519">
        <v>34.950000000000003</v>
      </c>
      <c r="E519">
        <v>34.950000000000003</v>
      </c>
      <c r="H519">
        <v>32.880000000000003</v>
      </c>
      <c r="I519">
        <v>30.03</v>
      </c>
      <c r="J519">
        <v>0</v>
      </c>
      <c r="K519">
        <v>0</v>
      </c>
      <c r="L519">
        <v>2</v>
      </c>
      <c r="M519">
        <v>1</v>
      </c>
      <c r="N519">
        <v>5</v>
      </c>
      <c r="P519">
        <v>2</v>
      </c>
      <c r="Q519">
        <v>-1</v>
      </c>
      <c r="R519">
        <v>-1</v>
      </c>
      <c r="S519" t="s">
        <v>35730</v>
      </c>
      <c r="U519">
        <v>0.88184799999999997</v>
      </c>
      <c r="V519">
        <v>6.83</v>
      </c>
      <c r="W519">
        <v>3.5</v>
      </c>
      <c r="X519" t="s">
        <v>2749</v>
      </c>
      <c r="Y519" t="s">
        <v>2754</v>
      </c>
      <c r="Z519" t="s">
        <v>2754</v>
      </c>
      <c r="AA519" t="s">
        <v>2719</v>
      </c>
      <c r="AB519" t="s">
        <v>35747</v>
      </c>
      <c r="AC519" t="s">
        <v>34493</v>
      </c>
      <c r="AD519" t="s">
        <v>11834</v>
      </c>
      <c r="AE519" t="s">
        <v>35743</v>
      </c>
      <c r="AF519" t="s">
        <v>35735</v>
      </c>
      <c r="AG519" t="s">
        <v>35733</v>
      </c>
    </row>
    <row r="520" spans="1:33" x14ac:dyDescent="0.25">
      <c r="A520" t="s">
        <v>34462</v>
      </c>
      <c r="B520" t="s">
        <v>2756</v>
      </c>
      <c r="C520" t="s">
        <v>2758</v>
      </c>
      <c r="D520">
        <v>36.99</v>
      </c>
      <c r="E520">
        <v>36.99</v>
      </c>
      <c r="H520">
        <v>24.84</v>
      </c>
      <c r="I520">
        <v>27.16</v>
      </c>
      <c r="J520">
        <v>0</v>
      </c>
      <c r="K520">
        <v>0</v>
      </c>
      <c r="L520">
        <v>2</v>
      </c>
      <c r="M520">
        <v>1</v>
      </c>
      <c r="N520">
        <v>4.4000000000000004</v>
      </c>
      <c r="O520">
        <v>0</v>
      </c>
      <c r="P520">
        <v>4</v>
      </c>
      <c r="Q520">
        <v>-1</v>
      </c>
      <c r="R520">
        <v>-1</v>
      </c>
      <c r="S520" t="s">
        <v>35730</v>
      </c>
      <c r="U520">
        <v>0.88184799999999997</v>
      </c>
      <c r="V520">
        <v>6.83</v>
      </c>
      <c r="W520">
        <v>6.29</v>
      </c>
      <c r="X520" t="s">
        <v>2755</v>
      </c>
      <c r="Y520" t="s">
        <v>2712</v>
      </c>
      <c r="Z520" t="s">
        <v>2712</v>
      </c>
      <c r="AA520" t="s">
        <v>2713</v>
      </c>
      <c r="AB520" t="s">
        <v>35748</v>
      </c>
      <c r="AC520" t="s">
        <v>34493</v>
      </c>
      <c r="AD520" t="s">
        <v>11834</v>
      </c>
      <c r="AE520" t="s">
        <v>35749</v>
      </c>
      <c r="AF520" t="s">
        <v>35732</v>
      </c>
      <c r="AG520" t="s">
        <v>35733</v>
      </c>
    </row>
    <row r="521" spans="1:33" x14ac:dyDescent="0.25">
      <c r="A521" t="s">
        <v>34462</v>
      </c>
      <c r="B521" t="s">
        <v>2760</v>
      </c>
      <c r="C521" t="s">
        <v>2717</v>
      </c>
      <c r="D521">
        <v>41.8</v>
      </c>
      <c r="E521">
        <v>41.8</v>
      </c>
      <c r="H521">
        <v>36.1</v>
      </c>
      <c r="I521">
        <v>28.62</v>
      </c>
      <c r="J521">
        <v>0</v>
      </c>
      <c r="K521">
        <v>0</v>
      </c>
      <c r="L521">
        <v>2</v>
      </c>
      <c r="M521">
        <v>2</v>
      </c>
      <c r="N521">
        <v>5</v>
      </c>
      <c r="P521">
        <v>2</v>
      </c>
      <c r="Q521">
        <v>-1</v>
      </c>
      <c r="R521">
        <v>-1</v>
      </c>
      <c r="S521" t="s">
        <v>35730</v>
      </c>
      <c r="U521">
        <v>0.8487787</v>
      </c>
      <c r="V521">
        <v>6.83</v>
      </c>
      <c r="W521">
        <v>7.11</v>
      </c>
      <c r="X521" t="s">
        <v>2759</v>
      </c>
      <c r="Y521" t="s">
        <v>2718</v>
      </c>
      <c r="Z521" t="s">
        <v>2718</v>
      </c>
      <c r="AA521" t="s">
        <v>2719</v>
      </c>
      <c r="AB521" t="s">
        <v>35750</v>
      </c>
      <c r="AC521" t="s">
        <v>34493</v>
      </c>
      <c r="AD521" t="s">
        <v>11834</v>
      </c>
      <c r="AE521" t="s">
        <v>35749</v>
      </c>
      <c r="AF521" t="s">
        <v>35735</v>
      </c>
      <c r="AG521" t="s">
        <v>35733</v>
      </c>
    </row>
    <row r="522" spans="1:33" x14ac:dyDescent="0.25">
      <c r="A522" t="s">
        <v>34462</v>
      </c>
      <c r="B522" t="s">
        <v>2764</v>
      </c>
      <c r="C522" t="s">
        <v>2742</v>
      </c>
      <c r="D522">
        <v>22.61</v>
      </c>
      <c r="E522">
        <v>22.61</v>
      </c>
      <c r="H522">
        <v>19.309999999999999</v>
      </c>
      <c r="I522">
        <v>19.2</v>
      </c>
      <c r="J522">
        <v>0</v>
      </c>
      <c r="K522">
        <v>0</v>
      </c>
      <c r="L522">
        <v>2</v>
      </c>
      <c r="M522">
        <v>1</v>
      </c>
      <c r="N522">
        <v>5</v>
      </c>
      <c r="P522">
        <v>2</v>
      </c>
      <c r="Q522">
        <v>-1</v>
      </c>
      <c r="R522">
        <v>-1</v>
      </c>
      <c r="S522" t="s">
        <v>35730</v>
      </c>
      <c r="U522">
        <v>0.82673249999999998</v>
      </c>
      <c r="V522">
        <v>6.83</v>
      </c>
      <c r="W522">
        <v>1.1399999999999999</v>
      </c>
      <c r="X522" t="s">
        <v>2763</v>
      </c>
      <c r="Y522" t="s">
        <v>2724</v>
      </c>
      <c r="Z522" t="s">
        <v>2724</v>
      </c>
      <c r="AA522" t="s">
        <v>2725</v>
      </c>
      <c r="AB522" t="s">
        <v>35751</v>
      </c>
      <c r="AC522" t="s">
        <v>34493</v>
      </c>
      <c r="AD522" t="s">
        <v>11834</v>
      </c>
      <c r="AE522" t="s">
        <v>35749</v>
      </c>
      <c r="AF522" t="s">
        <v>35737</v>
      </c>
      <c r="AG522" t="s">
        <v>35733</v>
      </c>
    </row>
    <row r="523" spans="1:33" x14ac:dyDescent="0.25">
      <c r="A523" t="s">
        <v>34462</v>
      </c>
      <c r="B523" t="s">
        <v>2767</v>
      </c>
      <c r="C523" t="s">
        <v>2769</v>
      </c>
      <c r="D523">
        <v>36.99</v>
      </c>
      <c r="E523">
        <v>36.99</v>
      </c>
      <c r="H523">
        <v>34.54</v>
      </c>
      <c r="I523">
        <v>30.89</v>
      </c>
      <c r="J523">
        <v>0</v>
      </c>
      <c r="K523">
        <v>0</v>
      </c>
      <c r="L523">
        <v>1</v>
      </c>
      <c r="M523">
        <v>1</v>
      </c>
      <c r="N523">
        <v>5</v>
      </c>
      <c r="P523">
        <v>2</v>
      </c>
      <c r="Q523">
        <v>-1</v>
      </c>
      <c r="R523">
        <v>-1</v>
      </c>
      <c r="S523" t="s">
        <v>35730</v>
      </c>
      <c r="U523">
        <v>0.88184799999999997</v>
      </c>
      <c r="V523">
        <v>6.83</v>
      </c>
      <c r="W523">
        <v>6.29</v>
      </c>
      <c r="X523" t="s">
        <v>2766</v>
      </c>
      <c r="Y523" t="s">
        <v>2737</v>
      </c>
      <c r="Z523" t="s">
        <v>2737</v>
      </c>
      <c r="AA523" t="s">
        <v>2738</v>
      </c>
      <c r="AB523" t="s">
        <v>35752</v>
      </c>
      <c r="AC523" t="s">
        <v>34493</v>
      </c>
      <c r="AD523" t="s">
        <v>11834</v>
      </c>
      <c r="AE523" t="s">
        <v>35753</v>
      </c>
      <c r="AF523" t="s">
        <v>35744</v>
      </c>
      <c r="AG523" t="s">
        <v>35733</v>
      </c>
    </row>
    <row r="524" spans="1:33" x14ac:dyDescent="0.25">
      <c r="A524" t="s">
        <v>34462</v>
      </c>
      <c r="B524" t="s">
        <v>2771</v>
      </c>
      <c r="C524" t="s">
        <v>2773</v>
      </c>
      <c r="D524">
        <v>39.03</v>
      </c>
      <c r="E524">
        <v>39.03</v>
      </c>
      <c r="F524">
        <v>6297349</v>
      </c>
      <c r="G524">
        <v>5381512</v>
      </c>
      <c r="H524">
        <v>41.13</v>
      </c>
      <c r="I524">
        <v>41.39</v>
      </c>
      <c r="J524">
        <v>0</v>
      </c>
      <c r="K524">
        <v>0</v>
      </c>
      <c r="L524">
        <v>2</v>
      </c>
      <c r="M524">
        <v>1</v>
      </c>
      <c r="Q524">
        <v>1</v>
      </c>
      <c r="R524">
        <v>2</v>
      </c>
      <c r="S524" t="s">
        <v>35738</v>
      </c>
      <c r="U524">
        <v>0.95900969999999996</v>
      </c>
      <c r="V524">
        <v>6.6</v>
      </c>
      <c r="W524">
        <v>6.64</v>
      </c>
      <c r="X524" t="s">
        <v>2770</v>
      </c>
      <c r="Y524" t="s">
        <v>2748</v>
      </c>
      <c r="Z524" t="s">
        <v>2748</v>
      </c>
      <c r="AA524" t="s">
        <v>2713</v>
      </c>
      <c r="AB524" t="s">
        <v>35754</v>
      </c>
      <c r="AC524" t="s">
        <v>34493</v>
      </c>
      <c r="AD524" t="s">
        <v>11834</v>
      </c>
      <c r="AE524" t="s">
        <v>35753</v>
      </c>
      <c r="AF524" t="s">
        <v>35755</v>
      </c>
      <c r="AG524" t="s">
        <v>35733</v>
      </c>
    </row>
    <row r="525" spans="1:33" x14ac:dyDescent="0.25">
      <c r="A525" t="s">
        <v>34462</v>
      </c>
      <c r="B525" t="s">
        <v>2775</v>
      </c>
      <c r="C525" t="s">
        <v>2717</v>
      </c>
      <c r="D525">
        <v>55</v>
      </c>
      <c r="E525">
        <v>42.71</v>
      </c>
      <c r="H525">
        <v>33.92</v>
      </c>
      <c r="I525">
        <v>29.71</v>
      </c>
      <c r="J525">
        <v>0</v>
      </c>
      <c r="K525">
        <v>0</v>
      </c>
      <c r="L525">
        <v>2</v>
      </c>
      <c r="M525">
        <v>1</v>
      </c>
      <c r="N525">
        <v>4.2</v>
      </c>
      <c r="O525">
        <v>0</v>
      </c>
      <c r="P525">
        <v>3</v>
      </c>
      <c r="Q525">
        <v>-1</v>
      </c>
      <c r="R525">
        <v>-1</v>
      </c>
      <c r="S525" t="s">
        <v>35730</v>
      </c>
      <c r="U525">
        <v>0.95900969999999996</v>
      </c>
      <c r="V525">
        <v>6.83</v>
      </c>
      <c r="W525">
        <v>9.35</v>
      </c>
      <c r="X525" t="s">
        <v>2774</v>
      </c>
      <c r="Y525" t="s">
        <v>2754</v>
      </c>
      <c r="Z525" t="s">
        <v>2754</v>
      </c>
      <c r="AA525" t="s">
        <v>2719</v>
      </c>
      <c r="AB525" t="s">
        <v>35756</v>
      </c>
      <c r="AC525" t="s">
        <v>34493</v>
      </c>
      <c r="AD525" t="s">
        <v>11834</v>
      </c>
      <c r="AE525" t="s">
        <v>35753</v>
      </c>
      <c r="AF525" t="s">
        <v>35735</v>
      </c>
      <c r="AG525" t="s">
        <v>35733</v>
      </c>
    </row>
    <row r="526" spans="1:33" x14ac:dyDescent="0.25">
      <c r="A526" t="s">
        <v>34462</v>
      </c>
      <c r="B526" t="s">
        <v>2778</v>
      </c>
      <c r="C526" t="s">
        <v>2711</v>
      </c>
      <c r="D526">
        <v>36.99</v>
      </c>
      <c r="E526">
        <v>36.99</v>
      </c>
      <c r="H526">
        <v>29.94</v>
      </c>
      <c r="I526">
        <v>29.04</v>
      </c>
      <c r="J526">
        <v>0</v>
      </c>
      <c r="K526">
        <v>0</v>
      </c>
      <c r="L526">
        <v>1</v>
      </c>
      <c r="M526">
        <v>1</v>
      </c>
      <c r="N526">
        <v>4.2</v>
      </c>
      <c r="P526">
        <v>3</v>
      </c>
      <c r="Q526">
        <v>-1</v>
      </c>
      <c r="R526">
        <v>-1</v>
      </c>
      <c r="S526" t="s">
        <v>35730</v>
      </c>
      <c r="U526">
        <v>0.88184799999999997</v>
      </c>
      <c r="V526">
        <v>6.83</v>
      </c>
      <c r="W526">
        <v>6.29</v>
      </c>
      <c r="X526" t="s">
        <v>2777</v>
      </c>
      <c r="Y526" t="s">
        <v>2712</v>
      </c>
      <c r="Z526" t="s">
        <v>2712</v>
      </c>
      <c r="AA526" t="s">
        <v>2713</v>
      </c>
      <c r="AB526" t="s">
        <v>35757</v>
      </c>
      <c r="AC526" t="s">
        <v>34493</v>
      </c>
      <c r="AD526" t="s">
        <v>11834</v>
      </c>
      <c r="AE526" t="s">
        <v>35758</v>
      </c>
      <c r="AF526" t="s">
        <v>35732</v>
      </c>
      <c r="AG526" t="s">
        <v>35733</v>
      </c>
    </row>
    <row r="527" spans="1:33" x14ac:dyDescent="0.25">
      <c r="A527" t="s">
        <v>34462</v>
      </c>
      <c r="B527" t="s">
        <v>2781</v>
      </c>
      <c r="C527" t="s">
        <v>2752</v>
      </c>
      <c r="D527">
        <v>11.65</v>
      </c>
      <c r="E527">
        <v>11.65</v>
      </c>
      <c r="H527">
        <v>17.64</v>
      </c>
      <c r="I527">
        <v>21.05</v>
      </c>
      <c r="J527">
        <v>0</v>
      </c>
      <c r="K527">
        <v>0</v>
      </c>
      <c r="L527">
        <v>2</v>
      </c>
      <c r="M527">
        <v>2</v>
      </c>
      <c r="Q527">
        <v>-1</v>
      </c>
      <c r="R527">
        <v>-1</v>
      </c>
      <c r="S527" t="s">
        <v>35759</v>
      </c>
      <c r="U527">
        <v>0.88184799999999997</v>
      </c>
      <c r="V527">
        <v>6.83</v>
      </c>
      <c r="W527">
        <v>1.98</v>
      </c>
      <c r="X527" t="s">
        <v>2780</v>
      </c>
      <c r="Y527" t="s">
        <v>2718</v>
      </c>
      <c r="Z527" t="s">
        <v>2718</v>
      </c>
      <c r="AA527" t="s">
        <v>2719</v>
      </c>
      <c r="AB527" t="s">
        <v>35760</v>
      </c>
      <c r="AC527" t="s">
        <v>34493</v>
      </c>
      <c r="AD527" t="s">
        <v>11834</v>
      </c>
      <c r="AE527" t="s">
        <v>35758</v>
      </c>
      <c r="AF527" t="s">
        <v>35761</v>
      </c>
    </row>
    <row r="528" spans="1:33" x14ac:dyDescent="0.25">
      <c r="A528" t="s">
        <v>34462</v>
      </c>
      <c r="B528" t="s">
        <v>2785</v>
      </c>
      <c r="C528" t="s">
        <v>2723</v>
      </c>
      <c r="D528">
        <v>14.32</v>
      </c>
      <c r="E528">
        <v>14.32</v>
      </c>
      <c r="H528">
        <v>26.53</v>
      </c>
      <c r="I528">
        <v>27.14</v>
      </c>
      <c r="J528">
        <v>0</v>
      </c>
      <c r="K528">
        <v>0</v>
      </c>
      <c r="L528">
        <v>2</v>
      </c>
      <c r="M528">
        <v>1</v>
      </c>
      <c r="N528">
        <v>4.4000000000000004</v>
      </c>
      <c r="O528">
        <v>0</v>
      </c>
      <c r="P528">
        <v>4</v>
      </c>
      <c r="Q528">
        <v>-1</v>
      </c>
      <c r="R528">
        <v>-1</v>
      </c>
      <c r="S528" t="s">
        <v>35730</v>
      </c>
      <c r="U528">
        <v>0.88184799999999997</v>
      </c>
      <c r="V528">
        <v>6.83</v>
      </c>
      <c r="W528">
        <v>2.4300000000000002</v>
      </c>
      <c r="X528" t="s">
        <v>2784</v>
      </c>
      <c r="Y528" t="s">
        <v>2724</v>
      </c>
      <c r="Z528" t="s">
        <v>2724</v>
      </c>
      <c r="AA528" t="s">
        <v>2725</v>
      </c>
      <c r="AB528" t="s">
        <v>35762</v>
      </c>
      <c r="AC528" t="s">
        <v>34493</v>
      </c>
      <c r="AD528" t="s">
        <v>11834</v>
      </c>
      <c r="AE528" t="s">
        <v>35758</v>
      </c>
      <c r="AF528" t="s">
        <v>35737</v>
      </c>
      <c r="AG528" t="s">
        <v>35733</v>
      </c>
    </row>
    <row r="529" spans="1:33" x14ac:dyDescent="0.25">
      <c r="A529" t="s">
        <v>34462</v>
      </c>
      <c r="B529" t="s">
        <v>2789</v>
      </c>
      <c r="C529" t="s">
        <v>2752</v>
      </c>
      <c r="D529">
        <v>27.4</v>
      </c>
      <c r="E529">
        <v>27.4</v>
      </c>
      <c r="H529">
        <v>26.4</v>
      </c>
      <c r="I529">
        <v>30.39</v>
      </c>
      <c r="J529">
        <v>0</v>
      </c>
      <c r="K529">
        <v>0</v>
      </c>
      <c r="L529">
        <v>2</v>
      </c>
      <c r="M529">
        <v>1</v>
      </c>
      <c r="Q529">
        <v>-1</v>
      </c>
      <c r="R529">
        <v>-1</v>
      </c>
      <c r="S529" t="s">
        <v>35759</v>
      </c>
      <c r="U529">
        <v>0.90389419999999998</v>
      </c>
      <c r="V529">
        <v>6.83</v>
      </c>
      <c r="W529">
        <v>4.66</v>
      </c>
      <c r="X529" t="s">
        <v>2788</v>
      </c>
      <c r="Y529" t="s">
        <v>2718</v>
      </c>
      <c r="Z529" t="s">
        <v>2718</v>
      </c>
      <c r="AA529" t="s">
        <v>2719</v>
      </c>
      <c r="AB529" t="s">
        <v>35763</v>
      </c>
      <c r="AC529" t="s">
        <v>34493</v>
      </c>
      <c r="AD529" t="s">
        <v>11834</v>
      </c>
      <c r="AE529" t="s">
        <v>35764</v>
      </c>
      <c r="AF529" t="s">
        <v>35761</v>
      </c>
    </row>
    <row r="530" spans="1:33" x14ac:dyDescent="0.25">
      <c r="A530" t="s">
        <v>34462</v>
      </c>
      <c r="B530" t="s">
        <v>2792</v>
      </c>
      <c r="C530" t="s">
        <v>2769</v>
      </c>
      <c r="D530">
        <v>36.99</v>
      </c>
      <c r="E530">
        <v>36.99</v>
      </c>
      <c r="H530">
        <v>35.17</v>
      </c>
      <c r="I530">
        <v>31.44</v>
      </c>
      <c r="J530">
        <v>0</v>
      </c>
      <c r="K530">
        <v>0</v>
      </c>
      <c r="L530">
        <v>1</v>
      </c>
      <c r="M530">
        <v>1</v>
      </c>
      <c r="N530">
        <v>5</v>
      </c>
      <c r="P530">
        <v>2</v>
      </c>
      <c r="Q530">
        <v>-1</v>
      </c>
      <c r="R530">
        <v>-1</v>
      </c>
      <c r="S530" t="s">
        <v>35730</v>
      </c>
      <c r="U530">
        <v>0.88184799999999997</v>
      </c>
      <c r="V530">
        <v>6.83</v>
      </c>
      <c r="W530">
        <v>3.7</v>
      </c>
      <c r="X530" t="s">
        <v>2791</v>
      </c>
      <c r="Y530" t="s">
        <v>2737</v>
      </c>
      <c r="Z530" t="s">
        <v>2737</v>
      </c>
      <c r="AA530" t="s">
        <v>2738</v>
      </c>
      <c r="AB530" t="s">
        <v>35765</v>
      </c>
      <c r="AC530" t="s">
        <v>34493</v>
      </c>
      <c r="AD530" t="s">
        <v>11834</v>
      </c>
      <c r="AE530" t="s">
        <v>35766</v>
      </c>
      <c r="AF530" t="s">
        <v>35744</v>
      </c>
      <c r="AG530" t="s">
        <v>35733</v>
      </c>
    </row>
    <row r="531" spans="1:33" x14ac:dyDescent="0.25">
      <c r="A531" t="s">
        <v>34462</v>
      </c>
      <c r="B531" t="s">
        <v>2795</v>
      </c>
      <c r="C531" t="s">
        <v>2758</v>
      </c>
      <c r="D531">
        <v>22</v>
      </c>
      <c r="E531">
        <v>22</v>
      </c>
      <c r="H531">
        <v>21.84</v>
      </c>
      <c r="I531">
        <v>25.77</v>
      </c>
      <c r="J531">
        <v>0</v>
      </c>
      <c r="K531">
        <v>0</v>
      </c>
      <c r="L531">
        <v>2</v>
      </c>
      <c r="M531">
        <v>2</v>
      </c>
      <c r="Q531">
        <v>-1</v>
      </c>
      <c r="R531">
        <v>-1</v>
      </c>
      <c r="S531" t="s">
        <v>35759</v>
      </c>
      <c r="U531">
        <v>0.88184799999999997</v>
      </c>
      <c r="V531">
        <v>6.83</v>
      </c>
      <c r="W531">
        <v>3.74</v>
      </c>
      <c r="X531" t="s">
        <v>2794</v>
      </c>
      <c r="Y531" t="s">
        <v>2748</v>
      </c>
      <c r="Z531" t="s">
        <v>2748</v>
      </c>
      <c r="AA531" t="s">
        <v>2713</v>
      </c>
      <c r="AB531" t="s">
        <v>35767</v>
      </c>
      <c r="AC531" t="s">
        <v>34493</v>
      </c>
      <c r="AD531" t="s">
        <v>11834</v>
      </c>
      <c r="AE531" t="s">
        <v>35766</v>
      </c>
      <c r="AF531" t="s">
        <v>35755</v>
      </c>
    </row>
    <row r="532" spans="1:33" x14ac:dyDescent="0.25">
      <c r="A532" t="s">
        <v>34462</v>
      </c>
      <c r="B532" t="s">
        <v>2799</v>
      </c>
      <c r="C532" t="s">
        <v>2752</v>
      </c>
      <c r="D532">
        <v>51.7</v>
      </c>
      <c r="E532">
        <v>42.71</v>
      </c>
      <c r="H532">
        <v>33.93</v>
      </c>
      <c r="I532">
        <v>28.36</v>
      </c>
      <c r="J532">
        <v>0</v>
      </c>
      <c r="K532">
        <v>0</v>
      </c>
      <c r="L532">
        <v>2</v>
      </c>
      <c r="M532">
        <v>1</v>
      </c>
      <c r="N532">
        <v>4.2</v>
      </c>
      <c r="O532">
        <v>0</v>
      </c>
      <c r="P532">
        <v>3</v>
      </c>
      <c r="Q532">
        <v>-1</v>
      </c>
      <c r="R532">
        <v>-1</v>
      </c>
      <c r="S532" t="s">
        <v>35730</v>
      </c>
      <c r="U532">
        <v>0.88184799999999997</v>
      </c>
      <c r="V532">
        <v>6.83</v>
      </c>
      <c r="W532">
        <v>8.7899999999999991</v>
      </c>
      <c r="X532" t="s">
        <v>2798</v>
      </c>
      <c r="Y532" t="s">
        <v>2754</v>
      </c>
      <c r="Z532" t="s">
        <v>2754</v>
      </c>
      <c r="AA532" t="s">
        <v>2719</v>
      </c>
      <c r="AB532" t="s">
        <v>35768</v>
      </c>
      <c r="AC532" t="s">
        <v>34493</v>
      </c>
      <c r="AD532" t="s">
        <v>11834</v>
      </c>
      <c r="AE532" t="s">
        <v>35766</v>
      </c>
      <c r="AF532" t="s">
        <v>35735</v>
      </c>
      <c r="AG532" t="s">
        <v>35733</v>
      </c>
    </row>
    <row r="533" spans="1:33" x14ac:dyDescent="0.25">
      <c r="A533" t="s">
        <v>34462</v>
      </c>
      <c r="B533" t="s">
        <v>2802</v>
      </c>
      <c r="C533" t="s">
        <v>2752</v>
      </c>
      <c r="D533">
        <v>55</v>
      </c>
      <c r="E533">
        <v>42.71</v>
      </c>
      <c r="H533">
        <v>43.61</v>
      </c>
      <c r="I533">
        <v>37.75</v>
      </c>
      <c r="J533">
        <v>0</v>
      </c>
      <c r="K533">
        <v>0</v>
      </c>
      <c r="L533">
        <v>1</v>
      </c>
      <c r="M533">
        <v>1</v>
      </c>
      <c r="N533">
        <v>5</v>
      </c>
      <c r="P533">
        <v>2</v>
      </c>
      <c r="Q533">
        <v>-1</v>
      </c>
      <c r="R533">
        <v>-1</v>
      </c>
      <c r="S533" t="s">
        <v>35730</v>
      </c>
      <c r="U533">
        <v>0.95900969999999996</v>
      </c>
      <c r="V533">
        <v>6.83</v>
      </c>
      <c r="W533">
        <v>9.35</v>
      </c>
      <c r="X533" t="s">
        <v>2801</v>
      </c>
      <c r="Y533" t="s">
        <v>2718</v>
      </c>
      <c r="Z533" t="s">
        <v>2718</v>
      </c>
      <c r="AA533" t="s">
        <v>2719</v>
      </c>
      <c r="AB533" t="s">
        <v>35769</v>
      </c>
      <c r="AC533" t="s">
        <v>34493</v>
      </c>
      <c r="AD533" t="s">
        <v>11834</v>
      </c>
      <c r="AE533" t="s">
        <v>35770</v>
      </c>
      <c r="AF533" t="s">
        <v>35735</v>
      </c>
      <c r="AG533" t="s">
        <v>35733</v>
      </c>
    </row>
    <row r="534" spans="1:33" x14ac:dyDescent="0.25">
      <c r="A534" t="s">
        <v>34462</v>
      </c>
      <c r="B534" t="s">
        <v>2806</v>
      </c>
      <c r="C534" t="s">
        <v>2711</v>
      </c>
      <c r="D534">
        <v>16.36</v>
      </c>
      <c r="E534">
        <v>16.36</v>
      </c>
      <c r="H534">
        <v>25.61</v>
      </c>
      <c r="I534">
        <v>24.91</v>
      </c>
      <c r="J534">
        <v>0</v>
      </c>
      <c r="K534">
        <v>0</v>
      </c>
      <c r="L534">
        <v>2</v>
      </c>
      <c r="M534">
        <v>2</v>
      </c>
      <c r="N534">
        <v>4.4000000000000004</v>
      </c>
      <c r="P534">
        <v>4</v>
      </c>
      <c r="Q534">
        <v>-1</v>
      </c>
      <c r="R534">
        <v>-1</v>
      </c>
      <c r="S534" t="s">
        <v>35730</v>
      </c>
      <c r="U534">
        <v>0.88184799999999997</v>
      </c>
      <c r="V534">
        <v>6.83</v>
      </c>
      <c r="W534">
        <v>2.78</v>
      </c>
      <c r="X534" t="s">
        <v>2805</v>
      </c>
      <c r="Y534" t="s">
        <v>2712</v>
      </c>
      <c r="Z534" t="s">
        <v>2712</v>
      </c>
      <c r="AA534" t="s">
        <v>2713</v>
      </c>
      <c r="AB534" t="s">
        <v>35771</v>
      </c>
      <c r="AC534" t="s">
        <v>34493</v>
      </c>
      <c r="AD534" t="s">
        <v>11834</v>
      </c>
      <c r="AE534" t="s">
        <v>35770</v>
      </c>
      <c r="AF534" t="s">
        <v>35732</v>
      </c>
      <c r="AG534" t="s">
        <v>35733</v>
      </c>
    </row>
    <row r="535" spans="1:33" x14ac:dyDescent="0.25">
      <c r="A535" t="s">
        <v>34462</v>
      </c>
      <c r="B535" t="s">
        <v>2809</v>
      </c>
      <c r="C535" t="s">
        <v>2742</v>
      </c>
      <c r="D535">
        <v>36.99</v>
      </c>
      <c r="E535">
        <v>36.99</v>
      </c>
      <c r="H535">
        <v>30.02</v>
      </c>
      <c r="I535">
        <v>30.76</v>
      </c>
      <c r="J535">
        <v>0</v>
      </c>
      <c r="K535">
        <v>0</v>
      </c>
      <c r="L535">
        <v>2</v>
      </c>
      <c r="M535">
        <v>1</v>
      </c>
      <c r="N535">
        <v>5</v>
      </c>
      <c r="P535">
        <v>2</v>
      </c>
      <c r="Q535">
        <v>-1</v>
      </c>
      <c r="R535">
        <v>-1</v>
      </c>
      <c r="S535" t="s">
        <v>35730</v>
      </c>
      <c r="U535">
        <v>0.88184799999999997</v>
      </c>
      <c r="V535">
        <v>6.83</v>
      </c>
      <c r="W535">
        <v>6.28</v>
      </c>
      <c r="X535" t="s">
        <v>2808</v>
      </c>
      <c r="Y535" t="s">
        <v>2724</v>
      </c>
      <c r="Z535" t="s">
        <v>2724</v>
      </c>
      <c r="AA535" t="s">
        <v>2725</v>
      </c>
      <c r="AB535" t="s">
        <v>35772</v>
      </c>
      <c r="AC535" t="s">
        <v>34493</v>
      </c>
      <c r="AD535" t="s">
        <v>11834</v>
      </c>
      <c r="AE535" t="s">
        <v>35770</v>
      </c>
      <c r="AF535" t="s">
        <v>35737</v>
      </c>
      <c r="AG535" t="s">
        <v>35733</v>
      </c>
    </row>
    <row r="536" spans="1:33" x14ac:dyDescent="0.25">
      <c r="A536" t="s">
        <v>34462</v>
      </c>
      <c r="B536" t="s">
        <v>2812</v>
      </c>
      <c r="C536" t="s">
        <v>2723</v>
      </c>
      <c r="D536">
        <v>16.71</v>
      </c>
      <c r="E536">
        <v>16.71</v>
      </c>
      <c r="H536">
        <v>24</v>
      </c>
      <c r="I536">
        <v>25.41</v>
      </c>
      <c r="J536">
        <v>0</v>
      </c>
      <c r="K536">
        <v>0</v>
      </c>
      <c r="L536">
        <v>2</v>
      </c>
      <c r="M536">
        <v>2</v>
      </c>
      <c r="N536">
        <v>5</v>
      </c>
      <c r="P536">
        <v>2</v>
      </c>
      <c r="Q536">
        <v>-1</v>
      </c>
      <c r="R536">
        <v>-1</v>
      </c>
      <c r="S536" t="s">
        <v>35730</v>
      </c>
      <c r="U536">
        <v>0.95900969999999996</v>
      </c>
      <c r="V536">
        <v>6.83</v>
      </c>
      <c r="W536">
        <v>2.84</v>
      </c>
      <c r="X536" t="s">
        <v>2811</v>
      </c>
      <c r="Y536" t="s">
        <v>2743</v>
      </c>
      <c r="Z536" t="s">
        <v>2743</v>
      </c>
      <c r="AA536" t="s">
        <v>2725</v>
      </c>
      <c r="AB536" t="s">
        <v>35773</v>
      </c>
      <c r="AC536" t="s">
        <v>34493</v>
      </c>
      <c r="AD536" t="s">
        <v>11834</v>
      </c>
      <c r="AE536" t="s">
        <v>35774</v>
      </c>
      <c r="AF536" t="s">
        <v>35737</v>
      </c>
      <c r="AG536" t="s">
        <v>35733</v>
      </c>
    </row>
    <row r="537" spans="1:33" x14ac:dyDescent="0.25">
      <c r="A537" t="s">
        <v>34462</v>
      </c>
      <c r="B537" t="s">
        <v>2815</v>
      </c>
      <c r="C537" t="s">
        <v>2717</v>
      </c>
      <c r="D537">
        <v>50.05</v>
      </c>
      <c r="E537">
        <v>42.71</v>
      </c>
      <c r="H537">
        <v>40.22</v>
      </c>
      <c r="I537">
        <v>33.58</v>
      </c>
      <c r="J537">
        <v>0</v>
      </c>
      <c r="K537">
        <v>0</v>
      </c>
      <c r="L537">
        <v>2</v>
      </c>
      <c r="M537">
        <v>1</v>
      </c>
      <c r="N537">
        <v>4.4000000000000004</v>
      </c>
      <c r="P537">
        <v>4</v>
      </c>
      <c r="Q537">
        <v>-1</v>
      </c>
      <c r="R537">
        <v>-1</v>
      </c>
      <c r="S537" t="s">
        <v>35730</v>
      </c>
      <c r="U537">
        <v>0.95900969999999996</v>
      </c>
      <c r="V537">
        <v>6.83</v>
      </c>
      <c r="W537">
        <v>8.51</v>
      </c>
      <c r="X537" t="s">
        <v>2814</v>
      </c>
      <c r="Y537" t="s">
        <v>2754</v>
      </c>
      <c r="Z537" t="s">
        <v>2754</v>
      </c>
      <c r="AA537" t="s">
        <v>2719</v>
      </c>
      <c r="AB537" t="s">
        <v>35775</v>
      </c>
      <c r="AC537" t="s">
        <v>34493</v>
      </c>
      <c r="AD537" t="s">
        <v>11834</v>
      </c>
      <c r="AE537" t="s">
        <v>35774</v>
      </c>
      <c r="AF537" t="s">
        <v>35735</v>
      </c>
      <c r="AG537" t="s">
        <v>35733</v>
      </c>
    </row>
    <row r="538" spans="1:33" x14ac:dyDescent="0.25">
      <c r="A538" t="s">
        <v>34462</v>
      </c>
      <c r="B538" t="s">
        <v>2818</v>
      </c>
      <c r="C538" t="s">
        <v>2711</v>
      </c>
      <c r="D538">
        <v>13.94</v>
      </c>
      <c r="E538">
        <v>13.94</v>
      </c>
      <c r="H538">
        <v>19.66</v>
      </c>
      <c r="I538">
        <v>25.83</v>
      </c>
      <c r="J538">
        <v>0</v>
      </c>
      <c r="K538">
        <v>0</v>
      </c>
      <c r="L538">
        <v>2</v>
      </c>
      <c r="M538">
        <v>1</v>
      </c>
      <c r="N538">
        <v>5</v>
      </c>
      <c r="P538">
        <v>2</v>
      </c>
      <c r="Q538">
        <v>-1</v>
      </c>
      <c r="R538">
        <v>-1</v>
      </c>
      <c r="S538" t="s">
        <v>35730</v>
      </c>
      <c r="U538">
        <v>0.88184799999999997</v>
      </c>
      <c r="V538">
        <v>6.83</v>
      </c>
      <c r="W538">
        <v>1.4</v>
      </c>
      <c r="X538" t="s">
        <v>2817</v>
      </c>
      <c r="Y538" t="s">
        <v>2748</v>
      </c>
      <c r="Z538" t="s">
        <v>2748</v>
      </c>
      <c r="AA538" t="s">
        <v>2713</v>
      </c>
      <c r="AB538" t="s">
        <v>35776</v>
      </c>
      <c r="AC538" t="s">
        <v>34493</v>
      </c>
      <c r="AD538" t="s">
        <v>11834</v>
      </c>
      <c r="AE538" t="s">
        <v>35774</v>
      </c>
      <c r="AF538" t="s">
        <v>35732</v>
      </c>
      <c r="AG538" t="s">
        <v>35733</v>
      </c>
    </row>
    <row r="539" spans="1:33" x14ac:dyDescent="0.25">
      <c r="A539" t="s">
        <v>34462</v>
      </c>
      <c r="B539" t="s">
        <v>2821</v>
      </c>
      <c r="C539" t="s">
        <v>2735</v>
      </c>
      <c r="D539">
        <v>42.71</v>
      </c>
      <c r="E539">
        <v>42.71</v>
      </c>
      <c r="H539">
        <v>32.28</v>
      </c>
      <c r="I539">
        <v>34.85</v>
      </c>
      <c r="J539">
        <v>0.24</v>
      </c>
      <c r="K539">
        <v>0.31</v>
      </c>
      <c r="L539">
        <v>1</v>
      </c>
      <c r="M539">
        <v>1</v>
      </c>
      <c r="N539">
        <v>4.5999999999999996</v>
      </c>
      <c r="P539">
        <v>58</v>
      </c>
      <c r="Q539">
        <v>-1</v>
      </c>
      <c r="R539">
        <v>-1</v>
      </c>
      <c r="S539" t="s">
        <v>35725</v>
      </c>
      <c r="U539">
        <v>0.88184799999999997</v>
      </c>
      <c r="V539">
        <v>6.83</v>
      </c>
      <c r="X539" t="s">
        <v>2820</v>
      </c>
      <c r="Y539" t="s">
        <v>2707</v>
      </c>
      <c r="Z539" t="s">
        <v>2707</v>
      </c>
      <c r="AA539" t="s">
        <v>2738</v>
      </c>
      <c r="AB539" t="s">
        <v>35777</v>
      </c>
      <c r="AC539" t="s">
        <v>34465</v>
      </c>
      <c r="AD539" t="s">
        <v>11834</v>
      </c>
      <c r="AE539" t="s">
        <v>35778</v>
      </c>
      <c r="AF539" t="s">
        <v>35744</v>
      </c>
      <c r="AG539" t="s">
        <v>35733</v>
      </c>
    </row>
    <row r="540" spans="1:33" x14ac:dyDescent="0.25">
      <c r="A540" t="s">
        <v>34462</v>
      </c>
      <c r="B540" t="s">
        <v>2824</v>
      </c>
      <c r="C540" t="s">
        <v>2711</v>
      </c>
      <c r="D540">
        <v>26.46</v>
      </c>
      <c r="E540">
        <v>26.46</v>
      </c>
      <c r="H540">
        <v>30.67</v>
      </c>
      <c r="I540">
        <v>33.979999999999997</v>
      </c>
      <c r="J540">
        <v>0</v>
      </c>
      <c r="K540">
        <v>0</v>
      </c>
      <c r="L540">
        <v>1</v>
      </c>
      <c r="M540">
        <v>2</v>
      </c>
      <c r="N540">
        <v>5</v>
      </c>
      <c r="P540">
        <v>2</v>
      </c>
      <c r="Q540">
        <v>-1</v>
      </c>
      <c r="R540">
        <v>-1</v>
      </c>
      <c r="S540" t="s">
        <v>35730</v>
      </c>
      <c r="U540">
        <v>0.97003280000000003</v>
      </c>
      <c r="V540">
        <v>6.83</v>
      </c>
      <c r="W540">
        <v>4.5</v>
      </c>
      <c r="X540" t="s">
        <v>2823</v>
      </c>
      <c r="Y540" t="s">
        <v>2712</v>
      </c>
      <c r="Z540" t="s">
        <v>2712</v>
      </c>
      <c r="AA540" t="s">
        <v>2713</v>
      </c>
      <c r="AB540" t="s">
        <v>35779</v>
      </c>
      <c r="AC540" t="s">
        <v>34493</v>
      </c>
      <c r="AD540" t="s">
        <v>11834</v>
      </c>
      <c r="AE540" t="s">
        <v>35778</v>
      </c>
      <c r="AF540" t="s">
        <v>35732</v>
      </c>
      <c r="AG540" t="s">
        <v>35733</v>
      </c>
    </row>
    <row r="541" spans="1:33" x14ac:dyDescent="0.25">
      <c r="A541" t="s">
        <v>34462</v>
      </c>
      <c r="B541" t="s">
        <v>2827</v>
      </c>
      <c r="C541" t="s">
        <v>2742</v>
      </c>
      <c r="D541">
        <v>11.27</v>
      </c>
      <c r="E541">
        <v>11.27</v>
      </c>
      <c r="H541">
        <v>14.94</v>
      </c>
      <c r="I541">
        <v>21.12</v>
      </c>
      <c r="J541">
        <v>0</v>
      </c>
      <c r="K541">
        <v>0</v>
      </c>
      <c r="L541">
        <v>2</v>
      </c>
      <c r="M541">
        <v>2</v>
      </c>
      <c r="Q541">
        <v>-1</v>
      </c>
      <c r="R541">
        <v>-1</v>
      </c>
      <c r="S541" t="s">
        <v>35759</v>
      </c>
      <c r="U541">
        <v>0.95900969999999996</v>
      </c>
      <c r="V541">
        <v>6.83</v>
      </c>
      <c r="W541">
        <v>1.1299999999999999</v>
      </c>
      <c r="X541" t="s">
        <v>2826</v>
      </c>
      <c r="Y541" t="s">
        <v>2724</v>
      </c>
      <c r="Z541" t="s">
        <v>2724</v>
      </c>
      <c r="AA541" t="s">
        <v>2725</v>
      </c>
      <c r="AB541" t="s">
        <v>35780</v>
      </c>
      <c r="AC541" t="s">
        <v>34493</v>
      </c>
      <c r="AD541" t="s">
        <v>11834</v>
      </c>
      <c r="AE541" t="s">
        <v>35778</v>
      </c>
      <c r="AF541" t="s">
        <v>35737</v>
      </c>
      <c r="AG541" t="s">
        <v>35733</v>
      </c>
    </row>
    <row r="542" spans="1:33" x14ac:dyDescent="0.25">
      <c r="A542" t="s">
        <v>34462</v>
      </c>
      <c r="B542" t="s">
        <v>2830</v>
      </c>
      <c r="C542" t="s">
        <v>2833</v>
      </c>
      <c r="D542">
        <v>40.97</v>
      </c>
      <c r="E542">
        <v>40.97</v>
      </c>
      <c r="F542">
        <v>48330</v>
      </c>
      <c r="G542">
        <v>40372</v>
      </c>
      <c r="H542">
        <v>51.42</v>
      </c>
      <c r="I542">
        <v>48.36</v>
      </c>
      <c r="J542">
        <v>0</v>
      </c>
      <c r="K542">
        <v>0</v>
      </c>
      <c r="L542">
        <v>5</v>
      </c>
      <c r="M542">
        <v>4</v>
      </c>
      <c r="N542">
        <v>4.3</v>
      </c>
      <c r="O542">
        <v>0</v>
      </c>
      <c r="P542">
        <v>1032</v>
      </c>
      <c r="Q542">
        <v>28</v>
      </c>
      <c r="R542">
        <v>75</v>
      </c>
      <c r="S542" t="s">
        <v>35781</v>
      </c>
      <c r="U542">
        <v>0.49603950000000002</v>
      </c>
      <c r="V542">
        <v>5.82</v>
      </c>
      <c r="W542">
        <v>6.96</v>
      </c>
      <c r="X542" t="s">
        <v>2829</v>
      </c>
      <c r="Y542" t="s">
        <v>2834</v>
      </c>
      <c r="Z542" t="s">
        <v>2834</v>
      </c>
      <c r="AA542" t="s">
        <v>2835</v>
      </c>
      <c r="AB542" t="s">
        <v>35782</v>
      </c>
      <c r="AC542" t="s">
        <v>34493</v>
      </c>
      <c r="AD542" t="s">
        <v>8078</v>
      </c>
      <c r="AE542" t="s">
        <v>8427</v>
      </c>
      <c r="AF542" t="s">
        <v>35783</v>
      </c>
      <c r="AG542" t="s">
        <v>35784</v>
      </c>
    </row>
    <row r="543" spans="1:33" x14ac:dyDescent="0.25">
      <c r="A543" t="s">
        <v>34462</v>
      </c>
      <c r="B543" t="s">
        <v>2837</v>
      </c>
      <c r="C543" t="s">
        <v>2839</v>
      </c>
      <c r="D543">
        <v>40.97</v>
      </c>
      <c r="E543">
        <v>40.97</v>
      </c>
      <c r="F543">
        <v>48330</v>
      </c>
      <c r="G543">
        <v>39907</v>
      </c>
      <c r="H543">
        <v>41.78</v>
      </c>
      <c r="I543">
        <v>43.34</v>
      </c>
      <c r="J543">
        <v>0</v>
      </c>
      <c r="K543">
        <v>0</v>
      </c>
      <c r="L543">
        <v>4</v>
      </c>
      <c r="M543">
        <v>4</v>
      </c>
      <c r="N543">
        <v>4.3</v>
      </c>
      <c r="O543">
        <v>0</v>
      </c>
      <c r="P543">
        <v>1032</v>
      </c>
      <c r="Q543">
        <v>36</v>
      </c>
      <c r="R543">
        <v>85</v>
      </c>
      <c r="S543" t="s">
        <v>35781</v>
      </c>
      <c r="U543">
        <v>0.52910880000000005</v>
      </c>
      <c r="V543">
        <v>6.14</v>
      </c>
      <c r="W543">
        <v>6.96</v>
      </c>
      <c r="X543" t="s">
        <v>2836</v>
      </c>
      <c r="Y543" t="s">
        <v>2834</v>
      </c>
      <c r="Z543" t="s">
        <v>2834</v>
      </c>
      <c r="AA543" t="s">
        <v>2840</v>
      </c>
      <c r="AB543" t="s">
        <v>35785</v>
      </c>
      <c r="AC543" t="s">
        <v>34493</v>
      </c>
      <c r="AD543" t="s">
        <v>8078</v>
      </c>
      <c r="AE543" t="s">
        <v>8427</v>
      </c>
      <c r="AF543" t="s">
        <v>35786</v>
      </c>
      <c r="AG543" t="s">
        <v>35784</v>
      </c>
    </row>
    <row r="544" spans="1:33" x14ac:dyDescent="0.25">
      <c r="A544" t="s">
        <v>34462</v>
      </c>
      <c r="B544" t="s">
        <v>2842</v>
      </c>
      <c r="C544" t="s">
        <v>2844</v>
      </c>
      <c r="D544">
        <v>40.97</v>
      </c>
      <c r="E544">
        <v>40.97</v>
      </c>
      <c r="F544">
        <v>48330</v>
      </c>
      <c r="G544">
        <v>40190</v>
      </c>
      <c r="H544">
        <v>51.75</v>
      </c>
      <c r="I544">
        <v>48.84</v>
      </c>
      <c r="J544">
        <v>0</v>
      </c>
      <c r="K544">
        <v>0</v>
      </c>
      <c r="L544">
        <v>4</v>
      </c>
      <c r="M544">
        <v>2</v>
      </c>
      <c r="N544">
        <v>4.3</v>
      </c>
      <c r="O544">
        <v>0</v>
      </c>
      <c r="P544">
        <v>1032</v>
      </c>
      <c r="Q544">
        <v>24</v>
      </c>
      <c r="R544">
        <v>74</v>
      </c>
      <c r="S544" t="s">
        <v>35781</v>
      </c>
      <c r="U544">
        <v>0.55115499999999995</v>
      </c>
      <c r="V544">
        <v>6.05</v>
      </c>
      <c r="W544">
        <v>6.96</v>
      </c>
      <c r="X544" t="s">
        <v>2841</v>
      </c>
      <c r="Y544" t="s">
        <v>2834</v>
      </c>
      <c r="Z544" t="s">
        <v>2834</v>
      </c>
      <c r="AA544" t="s">
        <v>2835</v>
      </c>
      <c r="AB544" t="s">
        <v>35787</v>
      </c>
      <c r="AC544" t="s">
        <v>34493</v>
      </c>
      <c r="AD544" t="s">
        <v>8078</v>
      </c>
      <c r="AE544" t="s">
        <v>8439</v>
      </c>
      <c r="AF544" t="s">
        <v>35783</v>
      </c>
      <c r="AG544" t="s">
        <v>35784</v>
      </c>
    </row>
    <row r="545" spans="1:33" x14ac:dyDescent="0.25">
      <c r="A545" t="s">
        <v>34462</v>
      </c>
      <c r="B545" t="s">
        <v>2847</v>
      </c>
      <c r="C545" t="s">
        <v>2849</v>
      </c>
      <c r="D545">
        <v>40.97</v>
      </c>
      <c r="E545">
        <v>40.97</v>
      </c>
      <c r="F545">
        <v>50398</v>
      </c>
      <c r="G545">
        <v>40301</v>
      </c>
      <c r="H545">
        <v>48.05</v>
      </c>
      <c r="I545">
        <v>46.95</v>
      </c>
      <c r="J545">
        <v>0</v>
      </c>
      <c r="K545">
        <v>0</v>
      </c>
      <c r="L545">
        <v>4</v>
      </c>
      <c r="M545">
        <v>3</v>
      </c>
      <c r="N545">
        <v>4.3</v>
      </c>
      <c r="O545">
        <v>0</v>
      </c>
      <c r="P545">
        <v>1032</v>
      </c>
      <c r="Q545">
        <v>22</v>
      </c>
      <c r="R545">
        <v>74</v>
      </c>
      <c r="S545" t="s">
        <v>35781</v>
      </c>
      <c r="U545">
        <v>0.59965663999999996</v>
      </c>
      <c r="V545">
        <v>6.14</v>
      </c>
      <c r="W545">
        <v>6.96</v>
      </c>
      <c r="X545" t="s">
        <v>2846</v>
      </c>
      <c r="Y545" t="s">
        <v>2834</v>
      </c>
      <c r="Z545" t="s">
        <v>2834</v>
      </c>
      <c r="AA545" t="s">
        <v>2840</v>
      </c>
      <c r="AB545" t="s">
        <v>35788</v>
      </c>
      <c r="AC545" t="s">
        <v>34493</v>
      </c>
      <c r="AD545" t="s">
        <v>8078</v>
      </c>
      <c r="AE545" t="s">
        <v>8439</v>
      </c>
      <c r="AF545" t="s">
        <v>35786</v>
      </c>
      <c r="AG545" t="s">
        <v>35784</v>
      </c>
    </row>
    <row r="546" spans="1:33" x14ac:dyDescent="0.25">
      <c r="A546" t="s">
        <v>34462</v>
      </c>
      <c r="B546" t="s">
        <v>2852</v>
      </c>
      <c r="C546" t="s">
        <v>2854</v>
      </c>
      <c r="D546">
        <v>40.97</v>
      </c>
      <c r="E546">
        <v>40.97</v>
      </c>
      <c r="F546">
        <v>48330</v>
      </c>
      <c r="G546">
        <v>39844</v>
      </c>
      <c r="H546">
        <v>51.49</v>
      </c>
      <c r="I546">
        <v>43.04</v>
      </c>
      <c r="J546">
        <v>0</v>
      </c>
      <c r="K546">
        <v>0</v>
      </c>
      <c r="L546">
        <v>4</v>
      </c>
      <c r="M546">
        <v>3</v>
      </c>
      <c r="N546">
        <v>4.3</v>
      </c>
      <c r="O546">
        <v>0</v>
      </c>
      <c r="P546">
        <v>1032</v>
      </c>
      <c r="Q546">
        <v>26</v>
      </c>
      <c r="R546">
        <v>63</v>
      </c>
      <c r="S546" t="s">
        <v>35781</v>
      </c>
      <c r="U546">
        <v>0.59524739999999998</v>
      </c>
      <c r="V546">
        <v>5.82</v>
      </c>
      <c r="W546">
        <v>6.96</v>
      </c>
      <c r="X546" t="s">
        <v>2851</v>
      </c>
      <c r="Y546" t="s">
        <v>2834</v>
      </c>
      <c r="Z546" t="s">
        <v>2834</v>
      </c>
      <c r="AA546" t="s">
        <v>2835</v>
      </c>
      <c r="AB546" t="s">
        <v>35789</v>
      </c>
      <c r="AC546" t="s">
        <v>34493</v>
      </c>
      <c r="AD546" t="s">
        <v>8078</v>
      </c>
      <c r="AE546" t="s">
        <v>8451</v>
      </c>
      <c r="AF546" t="s">
        <v>35790</v>
      </c>
      <c r="AG546" t="s">
        <v>35784</v>
      </c>
    </row>
    <row r="547" spans="1:33" x14ac:dyDescent="0.25">
      <c r="A547" t="s">
        <v>34462</v>
      </c>
      <c r="B547" t="s">
        <v>2857</v>
      </c>
      <c r="C547" t="s">
        <v>2859</v>
      </c>
      <c r="D547">
        <v>40.97</v>
      </c>
      <c r="E547">
        <v>40.97</v>
      </c>
      <c r="F547">
        <v>50398</v>
      </c>
      <c r="G547">
        <v>40259</v>
      </c>
      <c r="H547">
        <v>49.15</v>
      </c>
      <c r="I547">
        <v>47.86</v>
      </c>
      <c r="J547">
        <v>0</v>
      </c>
      <c r="K547">
        <v>0</v>
      </c>
      <c r="L547">
        <v>4</v>
      </c>
      <c r="M547">
        <v>3</v>
      </c>
      <c r="N547">
        <v>4.3</v>
      </c>
      <c r="O547">
        <v>0</v>
      </c>
      <c r="P547">
        <v>1032</v>
      </c>
      <c r="Q547">
        <v>36</v>
      </c>
      <c r="R547">
        <v>85</v>
      </c>
      <c r="S547" t="s">
        <v>35781</v>
      </c>
      <c r="U547">
        <v>0.58422430000000003</v>
      </c>
      <c r="V547">
        <v>6.81</v>
      </c>
      <c r="W547">
        <v>6.96</v>
      </c>
      <c r="X547" t="s">
        <v>2856</v>
      </c>
      <c r="Y547" t="s">
        <v>2834</v>
      </c>
      <c r="Z547" t="s">
        <v>2834</v>
      </c>
      <c r="AA547" t="s">
        <v>2840</v>
      </c>
      <c r="AB547" t="s">
        <v>35791</v>
      </c>
      <c r="AC547" t="s">
        <v>34493</v>
      </c>
      <c r="AD547" t="s">
        <v>8078</v>
      </c>
      <c r="AE547" t="s">
        <v>8451</v>
      </c>
      <c r="AF547" t="s">
        <v>35786</v>
      </c>
      <c r="AG547" t="s">
        <v>35784</v>
      </c>
    </row>
    <row r="548" spans="1:33" x14ac:dyDescent="0.25">
      <c r="A548" t="s">
        <v>34462</v>
      </c>
      <c r="B548" t="s">
        <v>2861</v>
      </c>
      <c r="C548" t="s">
        <v>2864</v>
      </c>
      <c r="D548">
        <v>49.5</v>
      </c>
      <c r="E548">
        <v>48.8</v>
      </c>
      <c r="F548">
        <v>748350</v>
      </c>
      <c r="G548">
        <v>498094</v>
      </c>
      <c r="H548">
        <v>57.8</v>
      </c>
      <c r="I548">
        <v>73.680000000000007</v>
      </c>
      <c r="J548">
        <v>0</v>
      </c>
      <c r="K548">
        <v>0</v>
      </c>
      <c r="L548">
        <v>4</v>
      </c>
      <c r="M548">
        <v>4</v>
      </c>
      <c r="N548">
        <v>4.4000000000000004</v>
      </c>
      <c r="O548">
        <v>0</v>
      </c>
      <c r="P548">
        <v>63</v>
      </c>
      <c r="Q548">
        <v>10</v>
      </c>
      <c r="R548">
        <v>54</v>
      </c>
      <c r="S548" t="s">
        <v>35792</v>
      </c>
      <c r="U548">
        <v>2.6124746999999999</v>
      </c>
      <c r="V548">
        <v>13.03</v>
      </c>
      <c r="W548">
        <v>8.42</v>
      </c>
      <c r="X548" t="s">
        <v>2860</v>
      </c>
      <c r="Y548" t="s">
        <v>2865</v>
      </c>
      <c r="Z548" t="s">
        <v>2865</v>
      </c>
      <c r="AA548" t="s">
        <v>2866</v>
      </c>
      <c r="AB548" t="s">
        <v>35793</v>
      </c>
      <c r="AC548" t="s">
        <v>34493</v>
      </c>
      <c r="AD548" t="s">
        <v>9232</v>
      </c>
      <c r="AE548" t="s">
        <v>34533</v>
      </c>
      <c r="AF548" t="s">
        <v>35794</v>
      </c>
      <c r="AG548" t="s">
        <v>35795</v>
      </c>
    </row>
    <row r="549" spans="1:33" x14ac:dyDescent="0.25">
      <c r="A549" t="s">
        <v>34462</v>
      </c>
      <c r="B549" t="s">
        <v>2868</v>
      </c>
      <c r="C549" t="s">
        <v>2870</v>
      </c>
      <c r="D549">
        <v>49.5</v>
      </c>
      <c r="E549">
        <v>49.5</v>
      </c>
      <c r="F549">
        <v>725085</v>
      </c>
      <c r="G549">
        <v>494081</v>
      </c>
      <c r="H549">
        <v>69.52</v>
      </c>
      <c r="I549">
        <v>79.88</v>
      </c>
      <c r="J549">
        <v>0</v>
      </c>
      <c r="K549">
        <v>0</v>
      </c>
      <c r="L549">
        <v>3</v>
      </c>
      <c r="M549">
        <v>1</v>
      </c>
      <c r="N549">
        <v>4.4000000000000004</v>
      </c>
      <c r="O549">
        <v>3</v>
      </c>
      <c r="P549">
        <v>63</v>
      </c>
      <c r="Q549">
        <v>11</v>
      </c>
      <c r="R549">
        <v>77</v>
      </c>
      <c r="S549" t="s">
        <v>35792</v>
      </c>
      <c r="U549">
        <v>2.7601842400000001</v>
      </c>
      <c r="V549">
        <v>13.41</v>
      </c>
      <c r="W549">
        <v>8.42</v>
      </c>
      <c r="X549" t="s">
        <v>2867</v>
      </c>
      <c r="Y549" t="s">
        <v>2865</v>
      </c>
      <c r="Z549" t="s">
        <v>2865</v>
      </c>
      <c r="AA549" t="s">
        <v>1211</v>
      </c>
      <c r="AB549" t="s">
        <v>35796</v>
      </c>
      <c r="AC549" t="s">
        <v>34493</v>
      </c>
      <c r="AD549" t="s">
        <v>9232</v>
      </c>
      <c r="AE549" t="s">
        <v>34533</v>
      </c>
      <c r="AF549" t="s">
        <v>35797</v>
      </c>
      <c r="AG549" t="s">
        <v>35795</v>
      </c>
    </row>
    <row r="550" spans="1:33" x14ac:dyDescent="0.25">
      <c r="A550" t="s">
        <v>34462</v>
      </c>
      <c r="B550" t="s">
        <v>2872</v>
      </c>
      <c r="C550" t="s">
        <v>2874</v>
      </c>
      <c r="D550">
        <v>72.13</v>
      </c>
      <c r="E550">
        <v>72.13</v>
      </c>
      <c r="F550">
        <v>748350</v>
      </c>
      <c r="G550">
        <v>494335</v>
      </c>
      <c r="H550">
        <v>61.13</v>
      </c>
      <c r="I550">
        <v>73.099999999999994</v>
      </c>
      <c r="J550">
        <v>0</v>
      </c>
      <c r="K550">
        <v>0</v>
      </c>
      <c r="L550">
        <v>2</v>
      </c>
      <c r="M550">
        <v>2</v>
      </c>
      <c r="N550">
        <v>4.4000000000000004</v>
      </c>
      <c r="O550">
        <v>0</v>
      </c>
      <c r="P550">
        <v>63</v>
      </c>
      <c r="Q550">
        <v>10</v>
      </c>
      <c r="R550">
        <v>66</v>
      </c>
      <c r="S550" t="s">
        <v>35792</v>
      </c>
      <c r="U550">
        <v>2.6190885599999998</v>
      </c>
      <c r="V550">
        <v>12.27</v>
      </c>
      <c r="W550">
        <v>12.25</v>
      </c>
      <c r="X550" t="s">
        <v>2871</v>
      </c>
      <c r="Y550" t="s">
        <v>2865</v>
      </c>
      <c r="Z550" t="s">
        <v>2865</v>
      </c>
      <c r="AA550" t="s">
        <v>2213</v>
      </c>
      <c r="AB550" t="s">
        <v>35798</v>
      </c>
      <c r="AC550" t="s">
        <v>34493</v>
      </c>
      <c r="AD550" t="s">
        <v>9232</v>
      </c>
      <c r="AE550" t="s">
        <v>34533</v>
      </c>
      <c r="AF550" t="s">
        <v>35799</v>
      </c>
      <c r="AG550" t="s">
        <v>35795</v>
      </c>
    </row>
    <row r="551" spans="1:33" x14ac:dyDescent="0.25">
      <c r="A551" t="s">
        <v>34462</v>
      </c>
      <c r="B551" t="s">
        <v>2876</v>
      </c>
      <c r="C551" t="s">
        <v>2878</v>
      </c>
      <c r="D551">
        <v>105.13</v>
      </c>
      <c r="E551">
        <v>105.13</v>
      </c>
      <c r="F551">
        <v>748350</v>
      </c>
      <c r="G551">
        <v>488451</v>
      </c>
      <c r="H551">
        <v>59.67</v>
      </c>
      <c r="I551">
        <v>82.52</v>
      </c>
      <c r="J551">
        <v>0.01</v>
      </c>
      <c r="K551">
        <v>0.86</v>
      </c>
      <c r="L551">
        <v>2</v>
      </c>
      <c r="M551">
        <v>2</v>
      </c>
      <c r="N551">
        <v>4.4000000000000004</v>
      </c>
      <c r="O551">
        <v>0</v>
      </c>
      <c r="P551">
        <v>62</v>
      </c>
      <c r="Q551">
        <v>10</v>
      </c>
      <c r="R551">
        <v>48</v>
      </c>
      <c r="S551" t="s">
        <v>35792</v>
      </c>
      <c r="U551">
        <v>2.70947798</v>
      </c>
      <c r="V551">
        <v>12.27</v>
      </c>
      <c r="X551" t="s">
        <v>2875</v>
      </c>
      <c r="Y551" t="s">
        <v>2865</v>
      </c>
      <c r="Z551" t="s">
        <v>2865</v>
      </c>
      <c r="AA551" t="s">
        <v>2213</v>
      </c>
      <c r="AB551" t="s">
        <v>35800</v>
      </c>
      <c r="AC551" t="s">
        <v>34465</v>
      </c>
      <c r="AD551" t="s">
        <v>9232</v>
      </c>
      <c r="AE551" t="s">
        <v>14701</v>
      </c>
      <c r="AF551" t="s">
        <v>35801</v>
      </c>
      <c r="AG551" t="s">
        <v>35795</v>
      </c>
    </row>
    <row r="552" spans="1:33" x14ac:dyDescent="0.25">
      <c r="A552" t="s">
        <v>34462</v>
      </c>
      <c r="B552" t="s">
        <v>2881</v>
      </c>
      <c r="C552" t="s">
        <v>2883</v>
      </c>
      <c r="D552">
        <v>111.85</v>
      </c>
      <c r="E552">
        <v>111.85</v>
      </c>
      <c r="F552">
        <v>647032</v>
      </c>
      <c r="G552">
        <v>491736</v>
      </c>
      <c r="H552">
        <v>106.06</v>
      </c>
      <c r="I552">
        <v>101.84</v>
      </c>
      <c r="J552">
        <v>0</v>
      </c>
      <c r="K552">
        <v>0.04</v>
      </c>
      <c r="L552">
        <v>2</v>
      </c>
      <c r="M552">
        <v>1</v>
      </c>
      <c r="O552">
        <v>0</v>
      </c>
      <c r="Q552">
        <v>10</v>
      </c>
      <c r="R552">
        <v>48</v>
      </c>
      <c r="S552" t="s">
        <v>35792</v>
      </c>
      <c r="U552">
        <v>2.7249103200000002</v>
      </c>
      <c r="V552">
        <v>13.03</v>
      </c>
      <c r="X552" t="s">
        <v>2880</v>
      </c>
      <c r="Y552" t="s">
        <v>2865</v>
      </c>
      <c r="Z552" t="s">
        <v>2865</v>
      </c>
      <c r="AA552" t="s">
        <v>2866</v>
      </c>
      <c r="AB552" t="s">
        <v>35802</v>
      </c>
      <c r="AC552" t="s">
        <v>34465</v>
      </c>
      <c r="AD552" t="s">
        <v>9232</v>
      </c>
      <c r="AE552" t="s">
        <v>14701</v>
      </c>
      <c r="AF552" t="s">
        <v>35794</v>
      </c>
      <c r="AG552" t="s">
        <v>35795</v>
      </c>
    </row>
    <row r="553" spans="1:33" x14ac:dyDescent="0.25">
      <c r="A553" t="s">
        <v>34462</v>
      </c>
      <c r="B553" t="s">
        <v>2886</v>
      </c>
      <c r="C553" t="s">
        <v>2888</v>
      </c>
      <c r="D553">
        <v>111.85</v>
      </c>
      <c r="E553">
        <v>111.85</v>
      </c>
      <c r="F553">
        <v>603154</v>
      </c>
      <c r="G553">
        <v>503440</v>
      </c>
      <c r="H553">
        <v>68.81</v>
      </c>
      <c r="I553">
        <v>84.13</v>
      </c>
      <c r="J553">
        <v>0.2</v>
      </c>
      <c r="K553">
        <v>1</v>
      </c>
      <c r="L553">
        <v>2</v>
      </c>
      <c r="M553">
        <v>1</v>
      </c>
      <c r="N553">
        <v>4.4000000000000004</v>
      </c>
      <c r="O553">
        <v>4</v>
      </c>
      <c r="P553">
        <v>62</v>
      </c>
      <c r="Q553">
        <v>9</v>
      </c>
      <c r="R553">
        <v>51</v>
      </c>
      <c r="S553" t="s">
        <v>35792</v>
      </c>
      <c r="U553">
        <v>2.6499532399999999</v>
      </c>
      <c r="V553">
        <v>8.68</v>
      </c>
      <c r="X553" t="s">
        <v>2885</v>
      </c>
      <c r="Y553" t="s">
        <v>2865</v>
      </c>
      <c r="Z553" t="s">
        <v>2865</v>
      </c>
      <c r="AA553" t="s">
        <v>1211</v>
      </c>
      <c r="AB553" t="s">
        <v>35803</v>
      </c>
      <c r="AC553" t="s">
        <v>34465</v>
      </c>
      <c r="AD553" t="s">
        <v>9232</v>
      </c>
      <c r="AE553" t="s">
        <v>14701</v>
      </c>
      <c r="AF553" t="s">
        <v>35797</v>
      </c>
      <c r="AG553" t="s">
        <v>35795</v>
      </c>
    </row>
    <row r="554" spans="1:33" x14ac:dyDescent="0.25">
      <c r="A554" t="s">
        <v>34462</v>
      </c>
      <c r="B554" t="s">
        <v>2890</v>
      </c>
      <c r="C554" t="s">
        <v>2892</v>
      </c>
      <c r="D554">
        <v>109.85</v>
      </c>
      <c r="E554">
        <v>109.85</v>
      </c>
      <c r="F554">
        <v>748350</v>
      </c>
      <c r="G554">
        <v>478536</v>
      </c>
      <c r="H554">
        <v>175.87</v>
      </c>
      <c r="I554">
        <v>106.23</v>
      </c>
      <c r="J554">
        <v>0.05</v>
      </c>
      <c r="K554">
        <v>1</v>
      </c>
      <c r="L554">
        <v>2</v>
      </c>
      <c r="M554">
        <v>1</v>
      </c>
      <c r="N554">
        <v>4.4000000000000004</v>
      </c>
      <c r="O554">
        <v>7</v>
      </c>
      <c r="P554">
        <v>62</v>
      </c>
      <c r="Q554">
        <v>10</v>
      </c>
      <c r="R554">
        <v>60</v>
      </c>
      <c r="S554" t="s">
        <v>35792</v>
      </c>
      <c r="U554">
        <v>3.00048782</v>
      </c>
      <c r="V554">
        <v>13.03</v>
      </c>
      <c r="X554" t="s">
        <v>2889</v>
      </c>
      <c r="Y554" t="s">
        <v>2865</v>
      </c>
      <c r="Z554" t="s">
        <v>2865</v>
      </c>
      <c r="AA554" t="s">
        <v>1211</v>
      </c>
      <c r="AB554" t="s">
        <v>35804</v>
      </c>
      <c r="AC554" t="s">
        <v>34465</v>
      </c>
      <c r="AD554" t="s">
        <v>9232</v>
      </c>
      <c r="AE554" t="s">
        <v>34525</v>
      </c>
      <c r="AF554" t="s">
        <v>35797</v>
      </c>
      <c r="AG554" t="s">
        <v>35795</v>
      </c>
    </row>
    <row r="555" spans="1:33" x14ac:dyDescent="0.25">
      <c r="A555" t="s">
        <v>34462</v>
      </c>
      <c r="B555" t="s">
        <v>2894</v>
      </c>
      <c r="C555" t="s">
        <v>2896</v>
      </c>
      <c r="D555">
        <v>111.85</v>
      </c>
      <c r="E555">
        <v>111.85</v>
      </c>
      <c r="F555">
        <v>748350</v>
      </c>
      <c r="G555">
        <v>493103</v>
      </c>
      <c r="H555">
        <v>104.35</v>
      </c>
      <c r="I555">
        <v>99.75</v>
      </c>
      <c r="J555">
        <v>0</v>
      </c>
      <c r="K555">
        <v>0.02</v>
      </c>
      <c r="L555">
        <v>3</v>
      </c>
      <c r="M555">
        <v>3</v>
      </c>
      <c r="N555">
        <v>4.4000000000000004</v>
      </c>
      <c r="O555">
        <v>3</v>
      </c>
      <c r="P555">
        <v>62</v>
      </c>
      <c r="Q555">
        <v>10</v>
      </c>
      <c r="R555">
        <v>44</v>
      </c>
      <c r="S555" t="s">
        <v>35792</v>
      </c>
      <c r="U555">
        <v>2.8704152399999998</v>
      </c>
      <c r="V555">
        <v>13.03</v>
      </c>
      <c r="X555" t="s">
        <v>2893</v>
      </c>
      <c r="Y555" t="s">
        <v>2865</v>
      </c>
      <c r="Z555" t="s">
        <v>2865</v>
      </c>
      <c r="AA555" t="s">
        <v>2866</v>
      </c>
      <c r="AB555" t="s">
        <v>35805</v>
      </c>
      <c r="AC555" t="s">
        <v>34465</v>
      </c>
      <c r="AD555" t="s">
        <v>9232</v>
      </c>
      <c r="AE555" t="s">
        <v>34525</v>
      </c>
      <c r="AF555" t="s">
        <v>35794</v>
      </c>
      <c r="AG555" t="s">
        <v>35795</v>
      </c>
    </row>
    <row r="556" spans="1:33" x14ac:dyDescent="0.25">
      <c r="A556" t="s">
        <v>34462</v>
      </c>
      <c r="B556" t="s">
        <v>2898</v>
      </c>
      <c r="C556" t="s">
        <v>2900</v>
      </c>
      <c r="D556">
        <v>78.989999999999995</v>
      </c>
      <c r="E556">
        <v>78.989999999999995</v>
      </c>
      <c r="F556">
        <v>682708</v>
      </c>
      <c r="G556">
        <v>493343</v>
      </c>
      <c r="H556">
        <v>79.37</v>
      </c>
      <c r="I556">
        <v>82.46</v>
      </c>
      <c r="J556">
        <v>0</v>
      </c>
      <c r="K556">
        <v>0.06</v>
      </c>
      <c r="L556">
        <v>2</v>
      </c>
      <c r="M556">
        <v>2</v>
      </c>
      <c r="N556">
        <v>4.4000000000000004</v>
      </c>
      <c r="O556">
        <v>3</v>
      </c>
      <c r="P556">
        <v>63</v>
      </c>
      <c r="Q556">
        <v>9</v>
      </c>
      <c r="R556">
        <v>62</v>
      </c>
      <c r="S556" t="s">
        <v>35792</v>
      </c>
      <c r="U556">
        <v>3.1746528000000001</v>
      </c>
      <c r="V556">
        <v>13.41</v>
      </c>
      <c r="W556">
        <v>13.43</v>
      </c>
      <c r="X556" t="s">
        <v>2897</v>
      </c>
      <c r="Y556" t="s">
        <v>2865</v>
      </c>
      <c r="Z556" t="s">
        <v>2865</v>
      </c>
      <c r="AA556" t="s">
        <v>2866</v>
      </c>
      <c r="AB556" t="s">
        <v>35806</v>
      </c>
      <c r="AC556" t="s">
        <v>34465</v>
      </c>
      <c r="AD556" t="s">
        <v>9232</v>
      </c>
      <c r="AE556" t="s">
        <v>34649</v>
      </c>
      <c r="AF556" t="s">
        <v>35794</v>
      </c>
      <c r="AG556" t="s">
        <v>35795</v>
      </c>
    </row>
    <row r="557" spans="1:33" x14ac:dyDescent="0.25">
      <c r="A557" t="s">
        <v>34462</v>
      </c>
      <c r="B557" t="s">
        <v>2902</v>
      </c>
      <c r="C557" t="s">
        <v>2904</v>
      </c>
      <c r="D557">
        <v>49.5</v>
      </c>
      <c r="E557">
        <v>49.5</v>
      </c>
      <c r="F557">
        <v>748350</v>
      </c>
      <c r="G557">
        <v>489629</v>
      </c>
      <c r="H557">
        <v>96.45</v>
      </c>
      <c r="I557">
        <v>96.07</v>
      </c>
      <c r="J557">
        <v>0</v>
      </c>
      <c r="K557">
        <v>0</v>
      </c>
      <c r="L557">
        <v>3</v>
      </c>
      <c r="M557">
        <v>2</v>
      </c>
      <c r="N557">
        <v>4.4000000000000004</v>
      </c>
      <c r="O557">
        <v>2</v>
      </c>
      <c r="P557">
        <v>62</v>
      </c>
      <c r="Q557">
        <v>9</v>
      </c>
      <c r="R557">
        <v>44</v>
      </c>
      <c r="S557" t="s">
        <v>35792</v>
      </c>
      <c r="U557">
        <v>3.3289762000000001</v>
      </c>
      <c r="V557">
        <v>13.41</v>
      </c>
      <c r="W557">
        <v>8.42</v>
      </c>
      <c r="X557" t="s">
        <v>2901</v>
      </c>
      <c r="Y557" t="s">
        <v>2865</v>
      </c>
      <c r="Z557" t="s">
        <v>2865</v>
      </c>
      <c r="AA557" t="s">
        <v>2866</v>
      </c>
      <c r="AB557" t="s">
        <v>35807</v>
      </c>
      <c r="AC557" t="s">
        <v>34493</v>
      </c>
      <c r="AD557" t="s">
        <v>9232</v>
      </c>
      <c r="AE557" t="s">
        <v>34469</v>
      </c>
      <c r="AF557" t="s">
        <v>35794</v>
      </c>
      <c r="AG557" t="s">
        <v>35795</v>
      </c>
    </row>
    <row r="558" spans="1:33" x14ac:dyDescent="0.25">
      <c r="A558" t="s">
        <v>34462</v>
      </c>
      <c r="B558" t="s">
        <v>2906</v>
      </c>
      <c r="C558" t="s">
        <v>2909</v>
      </c>
      <c r="D558">
        <v>71.5</v>
      </c>
      <c r="E558">
        <v>71.5</v>
      </c>
      <c r="F558">
        <v>792759</v>
      </c>
      <c r="G558">
        <v>2302778</v>
      </c>
      <c r="H558">
        <v>126.53</v>
      </c>
      <c r="I558">
        <v>126.75</v>
      </c>
      <c r="J558">
        <v>0</v>
      </c>
      <c r="K558">
        <v>0.06</v>
      </c>
      <c r="L558">
        <v>3</v>
      </c>
      <c r="M558">
        <v>2</v>
      </c>
      <c r="N558">
        <v>4.5</v>
      </c>
      <c r="O558">
        <v>1</v>
      </c>
      <c r="P558">
        <v>9</v>
      </c>
      <c r="Q558">
        <v>12</v>
      </c>
      <c r="R558">
        <v>33</v>
      </c>
      <c r="S558" t="s">
        <v>35808</v>
      </c>
      <c r="U558">
        <v>2.6896363999999999</v>
      </c>
      <c r="V558">
        <v>13.41</v>
      </c>
      <c r="W558">
        <v>12.16</v>
      </c>
      <c r="X558" t="s">
        <v>2905</v>
      </c>
      <c r="Y558" t="s">
        <v>2911</v>
      </c>
      <c r="Z558" t="s">
        <v>2911</v>
      </c>
      <c r="AA558" t="s">
        <v>76</v>
      </c>
      <c r="AB558" t="s">
        <v>35809</v>
      </c>
      <c r="AC558" t="s">
        <v>34493</v>
      </c>
      <c r="AD558" t="s">
        <v>9232</v>
      </c>
      <c r="AE558" t="s">
        <v>34533</v>
      </c>
      <c r="AF558" t="s">
        <v>35810</v>
      </c>
      <c r="AG558" t="s">
        <v>35811</v>
      </c>
    </row>
    <row r="559" spans="1:33" x14ac:dyDescent="0.25">
      <c r="A559" t="s">
        <v>34462</v>
      </c>
      <c r="B559" t="s">
        <v>2913</v>
      </c>
      <c r="C559" t="s">
        <v>2915</v>
      </c>
      <c r="D559">
        <v>144.69</v>
      </c>
      <c r="E559">
        <v>144.69</v>
      </c>
      <c r="F559">
        <v>824673</v>
      </c>
      <c r="G559">
        <v>2071381</v>
      </c>
      <c r="I559">
        <v>123.65</v>
      </c>
      <c r="J559">
        <v>0.78</v>
      </c>
      <c r="K559">
        <v>1</v>
      </c>
      <c r="L559">
        <v>1</v>
      </c>
      <c r="M559">
        <v>1</v>
      </c>
      <c r="N559">
        <v>4.5</v>
      </c>
      <c r="O559">
        <v>0</v>
      </c>
      <c r="P559">
        <v>9</v>
      </c>
      <c r="Q559">
        <v>14</v>
      </c>
      <c r="R559">
        <v>35</v>
      </c>
      <c r="S559" t="s">
        <v>35808</v>
      </c>
      <c r="U559">
        <v>2.72931956</v>
      </c>
      <c r="V559">
        <v>13.79</v>
      </c>
      <c r="X559" t="s">
        <v>2912</v>
      </c>
      <c r="Y559" t="s">
        <v>2911</v>
      </c>
      <c r="Z559" t="s">
        <v>2911</v>
      </c>
      <c r="AA559" t="s">
        <v>1211</v>
      </c>
      <c r="AB559" t="s">
        <v>35812</v>
      </c>
      <c r="AC559" t="s">
        <v>34465</v>
      </c>
      <c r="AD559" t="s">
        <v>9232</v>
      </c>
      <c r="AE559" t="s">
        <v>34533</v>
      </c>
      <c r="AF559" t="s">
        <v>35813</v>
      </c>
      <c r="AG559" t="s">
        <v>35811</v>
      </c>
    </row>
    <row r="560" spans="1:33" x14ac:dyDescent="0.25">
      <c r="A560" t="s">
        <v>34462</v>
      </c>
      <c r="B560" t="s">
        <v>2917</v>
      </c>
      <c r="C560" t="s">
        <v>2919</v>
      </c>
      <c r="D560">
        <v>137.99</v>
      </c>
      <c r="E560">
        <v>137.99</v>
      </c>
      <c r="F560">
        <v>693078</v>
      </c>
      <c r="G560">
        <v>905427</v>
      </c>
      <c r="H560">
        <v>90</v>
      </c>
      <c r="I560">
        <v>139.54</v>
      </c>
      <c r="J560">
        <v>0.2</v>
      </c>
      <c r="K560">
        <v>0.56999999999999995</v>
      </c>
      <c r="L560">
        <v>2</v>
      </c>
      <c r="M560">
        <v>1</v>
      </c>
      <c r="N560">
        <v>4.5</v>
      </c>
      <c r="O560">
        <v>0</v>
      </c>
      <c r="P560">
        <v>9</v>
      </c>
      <c r="Q560">
        <v>3</v>
      </c>
      <c r="R560">
        <v>18</v>
      </c>
      <c r="S560" t="s">
        <v>35808</v>
      </c>
      <c r="U560">
        <v>2.7800258200000001</v>
      </c>
      <c r="V560">
        <v>12.65</v>
      </c>
      <c r="X560" t="s">
        <v>2916</v>
      </c>
      <c r="Y560" t="s">
        <v>2911</v>
      </c>
      <c r="Z560" t="s">
        <v>2911</v>
      </c>
      <c r="AA560" t="s">
        <v>2213</v>
      </c>
      <c r="AB560" t="s">
        <v>35814</v>
      </c>
      <c r="AC560" t="s">
        <v>34465</v>
      </c>
      <c r="AD560" t="s">
        <v>9232</v>
      </c>
      <c r="AE560" t="s">
        <v>34533</v>
      </c>
      <c r="AF560" t="s">
        <v>35815</v>
      </c>
      <c r="AG560" t="s">
        <v>35811</v>
      </c>
    </row>
    <row r="561" spans="1:33" x14ac:dyDescent="0.25">
      <c r="A561" t="s">
        <v>34462</v>
      </c>
      <c r="B561" t="s">
        <v>2921</v>
      </c>
      <c r="C561" t="s">
        <v>2923</v>
      </c>
      <c r="D561">
        <v>108.97</v>
      </c>
      <c r="E561">
        <v>108.2</v>
      </c>
      <c r="F561">
        <v>792759</v>
      </c>
      <c r="G561">
        <v>888862</v>
      </c>
      <c r="H561">
        <v>128.26</v>
      </c>
      <c r="I561">
        <v>142.29</v>
      </c>
      <c r="J561">
        <v>0</v>
      </c>
      <c r="K561">
        <v>0</v>
      </c>
      <c r="L561">
        <v>4</v>
      </c>
      <c r="M561">
        <v>4</v>
      </c>
      <c r="N561">
        <v>4.5</v>
      </c>
      <c r="O561">
        <v>0</v>
      </c>
      <c r="P561">
        <v>9</v>
      </c>
      <c r="Q561">
        <v>11</v>
      </c>
      <c r="R561">
        <v>30</v>
      </c>
      <c r="S561" t="s">
        <v>35808</v>
      </c>
      <c r="U561">
        <v>2.7800258200000001</v>
      </c>
      <c r="V561">
        <v>12.65</v>
      </c>
      <c r="W561">
        <v>18.52</v>
      </c>
      <c r="X561" t="s">
        <v>2920</v>
      </c>
      <c r="Y561" t="s">
        <v>2911</v>
      </c>
      <c r="Z561" t="s">
        <v>2911</v>
      </c>
      <c r="AA561" t="s">
        <v>2924</v>
      </c>
      <c r="AB561" t="s">
        <v>35816</v>
      </c>
      <c r="AC561" t="s">
        <v>34493</v>
      </c>
      <c r="AD561" t="s">
        <v>9232</v>
      </c>
      <c r="AE561" t="s">
        <v>34533</v>
      </c>
      <c r="AF561" t="s">
        <v>35817</v>
      </c>
      <c r="AG561" t="s">
        <v>35811</v>
      </c>
    </row>
    <row r="562" spans="1:33" x14ac:dyDescent="0.25">
      <c r="A562" t="s">
        <v>34462</v>
      </c>
      <c r="B562" t="s">
        <v>2926</v>
      </c>
      <c r="C562" t="s">
        <v>2928</v>
      </c>
      <c r="D562">
        <v>107.36</v>
      </c>
      <c r="E562">
        <v>106.6</v>
      </c>
      <c r="F562">
        <v>693078</v>
      </c>
      <c r="G562">
        <v>931038</v>
      </c>
      <c r="H562">
        <v>124.78</v>
      </c>
      <c r="I562">
        <v>126.42</v>
      </c>
      <c r="J562">
        <v>0</v>
      </c>
      <c r="K562">
        <v>0.01</v>
      </c>
      <c r="L562">
        <v>3</v>
      </c>
      <c r="M562">
        <v>2</v>
      </c>
      <c r="N562">
        <v>4.5</v>
      </c>
      <c r="O562">
        <v>0</v>
      </c>
      <c r="P562">
        <v>9</v>
      </c>
      <c r="Q562">
        <v>10</v>
      </c>
      <c r="R562">
        <v>32</v>
      </c>
      <c r="S562" t="s">
        <v>35808</v>
      </c>
      <c r="U562">
        <v>2.7998674000000001</v>
      </c>
      <c r="V562">
        <v>12.65</v>
      </c>
      <c r="W562">
        <v>18.25</v>
      </c>
      <c r="X562" t="s">
        <v>2925</v>
      </c>
      <c r="Y562" t="s">
        <v>2911</v>
      </c>
      <c r="Z562" t="s">
        <v>2911</v>
      </c>
      <c r="AA562" t="s">
        <v>2929</v>
      </c>
      <c r="AB562" t="s">
        <v>35818</v>
      </c>
      <c r="AC562" t="s">
        <v>34493</v>
      </c>
      <c r="AD562" t="s">
        <v>9232</v>
      </c>
      <c r="AE562" t="s">
        <v>34533</v>
      </c>
      <c r="AF562" t="s">
        <v>35819</v>
      </c>
      <c r="AG562" t="s">
        <v>35811</v>
      </c>
    </row>
    <row r="563" spans="1:33" x14ac:dyDescent="0.25">
      <c r="A563" t="s">
        <v>34462</v>
      </c>
      <c r="B563" t="s">
        <v>2931</v>
      </c>
      <c r="C563" t="s">
        <v>2933</v>
      </c>
      <c r="D563">
        <v>144.69</v>
      </c>
      <c r="E563">
        <v>144.69</v>
      </c>
      <c r="F563">
        <v>824673</v>
      </c>
      <c r="G563">
        <v>2021439</v>
      </c>
      <c r="H563">
        <v>107.66</v>
      </c>
      <c r="I563">
        <v>116.35</v>
      </c>
      <c r="J563">
        <v>0.17</v>
      </c>
      <c r="K563">
        <v>0.52</v>
      </c>
      <c r="L563">
        <v>2</v>
      </c>
      <c r="M563">
        <v>1</v>
      </c>
      <c r="N563">
        <v>4.4000000000000004</v>
      </c>
      <c r="O563">
        <v>0</v>
      </c>
      <c r="P563">
        <v>8</v>
      </c>
      <c r="Q563">
        <v>7</v>
      </c>
      <c r="R563">
        <v>22</v>
      </c>
      <c r="S563" t="s">
        <v>35808</v>
      </c>
      <c r="U563">
        <v>3.1305603999999998</v>
      </c>
      <c r="V563">
        <v>13.03</v>
      </c>
      <c r="X563" t="s">
        <v>2930</v>
      </c>
      <c r="Y563" t="s">
        <v>2911</v>
      </c>
      <c r="Z563" t="s">
        <v>2911</v>
      </c>
      <c r="AA563" t="s">
        <v>1211</v>
      </c>
      <c r="AB563" t="s">
        <v>35820</v>
      </c>
      <c r="AC563" t="s">
        <v>34465</v>
      </c>
      <c r="AD563" t="s">
        <v>9232</v>
      </c>
      <c r="AE563" t="s">
        <v>14701</v>
      </c>
      <c r="AF563" t="s">
        <v>35821</v>
      </c>
      <c r="AG563" t="s">
        <v>35811</v>
      </c>
    </row>
    <row r="564" spans="1:33" x14ac:dyDescent="0.25">
      <c r="A564" t="s">
        <v>34462</v>
      </c>
      <c r="B564" t="s">
        <v>2935</v>
      </c>
      <c r="C564" t="s">
        <v>2937</v>
      </c>
      <c r="D564">
        <v>142.69</v>
      </c>
      <c r="E564">
        <v>142.69</v>
      </c>
      <c r="F564">
        <v>740362</v>
      </c>
      <c r="G564">
        <v>1122460</v>
      </c>
      <c r="H564">
        <v>144.22999999999999</v>
      </c>
      <c r="I564">
        <v>138.24</v>
      </c>
      <c r="J564">
        <v>0.15</v>
      </c>
      <c r="K564">
        <v>1</v>
      </c>
      <c r="L564">
        <v>3</v>
      </c>
      <c r="M564">
        <v>3</v>
      </c>
      <c r="N564">
        <v>4.5</v>
      </c>
      <c r="O564">
        <v>2</v>
      </c>
      <c r="P564">
        <v>9</v>
      </c>
      <c r="Q564">
        <v>12</v>
      </c>
      <c r="R564">
        <v>35</v>
      </c>
      <c r="S564" t="s">
        <v>35808</v>
      </c>
      <c r="U564">
        <v>2.9100983999999999</v>
      </c>
      <c r="V564">
        <v>13.03</v>
      </c>
      <c r="X564" t="s">
        <v>2934</v>
      </c>
      <c r="Y564" t="s">
        <v>2911</v>
      </c>
      <c r="Z564" t="s">
        <v>2911</v>
      </c>
      <c r="AA564" t="s">
        <v>76</v>
      </c>
      <c r="AB564" t="s">
        <v>35822</v>
      </c>
      <c r="AC564" t="s">
        <v>34465</v>
      </c>
      <c r="AD564" t="s">
        <v>9232</v>
      </c>
      <c r="AE564" t="s">
        <v>14701</v>
      </c>
      <c r="AF564" t="s">
        <v>35810</v>
      </c>
      <c r="AG564" t="s">
        <v>35811</v>
      </c>
    </row>
    <row r="565" spans="1:33" x14ac:dyDescent="0.25">
      <c r="A565" t="s">
        <v>34462</v>
      </c>
      <c r="B565" t="s">
        <v>2939</v>
      </c>
      <c r="C565" t="s">
        <v>2941</v>
      </c>
      <c r="D565">
        <v>137.99</v>
      </c>
      <c r="E565">
        <v>137.99</v>
      </c>
      <c r="F565">
        <v>824673</v>
      </c>
      <c r="G565">
        <v>2370701</v>
      </c>
      <c r="H565">
        <v>132.82</v>
      </c>
      <c r="I565">
        <v>141.59</v>
      </c>
      <c r="J565">
        <v>0.32</v>
      </c>
      <c r="K565">
        <v>0.41</v>
      </c>
      <c r="L565">
        <v>2</v>
      </c>
      <c r="M565">
        <v>2</v>
      </c>
      <c r="O565">
        <v>0</v>
      </c>
      <c r="Q565">
        <v>3</v>
      </c>
      <c r="R565">
        <v>13</v>
      </c>
      <c r="S565" t="s">
        <v>35808</v>
      </c>
      <c r="U565">
        <v>2.9299399799999999</v>
      </c>
      <c r="V565">
        <v>12.65</v>
      </c>
      <c r="X565" t="s">
        <v>2938</v>
      </c>
      <c r="Y565" t="s">
        <v>2911</v>
      </c>
      <c r="Z565" t="s">
        <v>2911</v>
      </c>
      <c r="AA565" t="s">
        <v>2213</v>
      </c>
      <c r="AB565" t="s">
        <v>35823</v>
      </c>
      <c r="AC565" t="s">
        <v>34465</v>
      </c>
      <c r="AD565" t="s">
        <v>9232</v>
      </c>
      <c r="AE565" t="s">
        <v>14701</v>
      </c>
      <c r="AF565" t="s">
        <v>35815</v>
      </c>
      <c r="AG565" t="s">
        <v>35811</v>
      </c>
    </row>
    <row r="566" spans="1:33" x14ac:dyDescent="0.25">
      <c r="A566" t="s">
        <v>34462</v>
      </c>
      <c r="B566" t="s">
        <v>2943</v>
      </c>
      <c r="C566" t="s">
        <v>2945</v>
      </c>
      <c r="D566">
        <v>108.97</v>
      </c>
      <c r="E566">
        <v>108.2</v>
      </c>
      <c r="F566">
        <v>824673</v>
      </c>
      <c r="G566">
        <v>925325</v>
      </c>
      <c r="H566">
        <v>130.07</v>
      </c>
      <c r="I566">
        <v>143.4</v>
      </c>
      <c r="J566">
        <v>0</v>
      </c>
      <c r="K566">
        <v>0.27</v>
      </c>
      <c r="L566">
        <v>5</v>
      </c>
      <c r="M566">
        <v>4</v>
      </c>
      <c r="N566">
        <v>4.5</v>
      </c>
      <c r="O566">
        <v>0</v>
      </c>
      <c r="P566">
        <v>9</v>
      </c>
      <c r="Q566">
        <v>12</v>
      </c>
      <c r="R566">
        <v>33</v>
      </c>
      <c r="S566" t="s">
        <v>35808</v>
      </c>
      <c r="U566">
        <v>2.9100983999999999</v>
      </c>
      <c r="V566">
        <v>12.65</v>
      </c>
      <c r="W566">
        <v>18.52</v>
      </c>
      <c r="X566" t="s">
        <v>2942</v>
      </c>
      <c r="Y566" t="s">
        <v>2911</v>
      </c>
      <c r="Z566" t="s">
        <v>2911</v>
      </c>
      <c r="AA566" t="s">
        <v>2924</v>
      </c>
      <c r="AB566" t="s">
        <v>35824</v>
      </c>
      <c r="AC566" t="s">
        <v>34493</v>
      </c>
      <c r="AD566" t="s">
        <v>9232</v>
      </c>
      <c r="AE566" t="s">
        <v>14701</v>
      </c>
      <c r="AF566" t="s">
        <v>35817</v>
      </c>
      <c r="AG566" t="s">
        <v>35811</v>
      </c>
    </row>
    <row r="567" spans="1:33" x14ac:dyDescent="0.25">
      <c r="A567" t="s">
        <v>34462</v>
      </c>
      <c r="B567" t="s">
        <v>2947</v>
      </c>
      <c r="C567" t="s">
        <v>2949</v>
      </c>
      <c r="D567">
        <v>137.99</v>
      </c>
      <c r="E567">
        <v>137.99</v>
      </c>
      <c r="F567">
        <v>824673</v>
      </c>
      <c r="G567">
        <v>902243</v>
      </c>
      <c r="H567">
        <v>130.1</v>
      </c>
      <c r="I567">
        <v>128.9</v>
      </c>
      <c r="J567">
        <v>0.22</v>
      </c>
      <c r="K567">
        <v>0.46</v>
      </c>
      <c r="L567">
        <v>2</v>
      </c>
      <c r="M567">
        <v>1</v>
      </c>
      <c r="N567">
        <v>4.4000000000000004</v>
      </c>
      <c r="O567">
        <v>0</v>
      </c>
      <c r="P567">
        <v>8</v>
      </c>
      <c r="Q567">
        <v>9</v>
      </c>
      <c r="R567">
        <v>27</v>
      </c>
      <c r="S567" t="s">
        <v>35808</v>
      </c>
      <c r="U567">
        <v>2.9497815599999999</v>
      </c>
      <c r="V567">
        <v>12.27</v>
      </c>
      <c r="X567" t="s">
        <v>2946</v>
      </c>
      <c r="Y567" t="s">
        <v>2911</v>
      </c>
      <c r="Z567" t="s">
        <v>2911</v>
      </c>
      <c r="AA567" t="s">
        <v>2929</v>
      </c>
      <c r="AB567" t="s">
        <v>35825</v>
      </c>
      <c r="AC567" t="s">
        <v>34465</v>
      </c>
      <c r="AD567" t="s">
        <v>9232</v>
      </c>
      <c r="AE567" t="s">
        <v>14701</v>
      </c>
      <c r="AF567" t="s">
        <v>35819</v>
      </c>
      <c r="AG567" t="s">
        <v>35811</v>
      </c>
    </row>
    <row r="568" spans="1:33" x14ac:dyDescent="0.25">
      <c r="A568" t="s">
        <v>34462</v>
      </c>
      <c r="B568" t="s">
        <v>2951</v>
      </c>
      <c r="C568" t="s">
        <v>2953</v>
      </c>
      <c r="D568">
        <v>115.95</v>
      </c>
      <c r="E568">
        <v>115.95</v>
      </c>
      <c r="F568">
        <v>824673</v>
      </c>
      <c r="G568">
        <v>1274958</v>
      </c>
      <c r="H568">
        <v>95.25</v>
      </c>
      <c r="I568">
        <v>107.22</v>
      </c>
      <c r="J568">
        <v>0</v>
      </c>
      <c r="K568">
        <v>0.18</v>
      </c>
      <c r="L568">
        <v>5</v>
      </c>
      <c r="M568">
        <v>5</v>
      </c>
      <c r="N568">
        <v>4.5</v>
      </c>
      <c r="O568">
        <v>0</v>
      </c>
      <c r="P568">
        <v>9</v>
      </c>
      <c r="Q568">
        <v>11</v>
      </c>
      <c r="R568">
        <v>34</v>
      </c>
      <c r="S568" t="s">
        <v>35808</v>
      </c>
      <c r="U568">
        <v>3.0401709800000001</v>
      </c>
      <c r="V568">
        <v>13.03</v>
      </c>
      <c r="W568">
        <v>19.71</v>
      </c>
      <c r="X568" t="s">
        <v>2950</v>
      </c>
      <c r="Y568" t="s">
        <v>2911</v>
      </c>
      <c r="Z568" t="s">
        <v>2911</v>
      </c>
      <c r="AA568" t="s">
        <v>1211</v>
      </c>
      <c r="AB568" t="s">
        <v>35826</v>
      </c>
      <c r="AC568" t="s">
        <v>34465</v>
      </c>
      <c r="AD568" t="s">
        <v>9232</v>
      </c>
      <c r="AE568" t="s">
        <v>34525</v>
      </c>
      <c r="AF568" t="s">
        <v>35821</v>
      </c>
      <c r="AG568" t="s">
        <v>35811</v>
      </c>
    </row>
    <row r="569" spans="1:33" x14ac:dyDescent="0.25">
      <c r="A569" t="s">
        <v>34462</v>
      </c>
      <c r="B569" t="s">
        <v>2955</v>
      </c>
      <c r="C569" t="s">
        <v>2957</v>
      </c>
      <c r="D569">
        <v>114.4</v>
      </c>
      <c r="E569">
        <v>114.4</v>
      </c>
      <c r="F569">
        <v>792759</v>
      </c>
      <c r="G569">
        <v>892544</v>
      </c>
      <c r="H569">
        <v>106.5</v>
      </c>
      <c r="I569">
        <v>108.69</v>
      </c>
      <c r="J569">
        <v>0</v>
      </c>
      <c r="K569">
        <v>0</v>
      </c>
      <c r="L569">
        <v>2</v>
      </c>
      <c r="M569">
        <v>1</v>
      </c>
      <c r="N569">
        <v>4.5</v>
      </c>
      <c r="O569">
        <v>0</v>
      </c>
      <c r="P569">
        <v>9</v>
      </c>
      <c r="Q569">
        <v>8</v>
      </c>
      <c r="R569">
        <v>22</v>
      </c>
      <c r="S569" t="s">
        <v>35808</v>
      </c>
      <c r="U569">
        <v>3.1305603999999998</v>
      </c>
      <c r="V569">
        <v>13.41</v>
      </c>
      <c r="W569">
        <v>19.45</v>
      </c>
      <c r="X569" t="s">
        <v>2954</v>
      </c>
      <c r="Y569" t="s">
        <v>2911</v>
      </c>
      <c r="Z569" t="s">
        <v>2911</v>
      </c>
      <c r="AA569" t="s">
        <v>2213</v>
      </c>
      <c r="AB569" t="s">
        <v>35827</v>
      </c>
      <c r="AC569" t="s">
        <v>34493</v>
      </c>
      <c r="AD569" t="s">
        <v>9232</v>
      </c>
      <c r="AE569" t="s">
        <v>34525</v>
      </c>
      <c r="AF569" t="s">
        <v>35815</v>
      </c>
      <c r="AG569" t="s">
        <v>35811</v>
      </c>
    </row>
    <row r="570" spans="1:33" x14ac:dyDescent="0.25">
      <c r="A570" t="s">
        <v>34462</v>
      </c>
      <c r="B570" t="s">
        <v>2959</v>
      </c>
      <c r="C570" t="s">
        <v>2961</v>
      </c>
      <c r="D570">
        <v>108.97</v>
      </c>
      <c r="E570">
        <v>108.2</v>
      </c>
      <c r="F570">
        <v>792759</v>
      </c>
      <c r="G570">
        <v>896459</v>
      </c>
      <c r="H570">
        <v>129.52000000000001</v>
      </c>
      <c r="I570">
        <v>139.69999999999999</v>
      </c>
      <c r="J570">
        <v>0</v>
      </c>
      <c r="K570">
        <v>0</v>
      </c>
      <c r="L570">
        <v>4</v>
      </c>
      <c r="M570">
        <v>4</v>
      </c>
      <c r="N570">
        <v>4.5</v>
      </c>
      <c r="O570">
        <v>0</v>
      </c>
      <c r="P570">
        <v>9</v>
      </c>
      <c r="Q570">
        <v>10</v>
      </c>
      <c r="R570">
        <v>31</v>
      </c>
      <c r="S570" t="s">
        <v>35808</v>
      </c>
      <c r="U570">
        <v>3.1504019799999998</v>
      </c>
      <c r="V570">
        <v>12.65</v>
      </c>
      <c r="W570">
        <v>18.52</v>
      </c>
      <c r="X570" t="s">
        <v>2958</v>
      </c>
      <c r="Y570" t="s">
        <v>2911</v>
      </c>
      <c r="Z570" t="s">
        <v>2911</v>
      </c>
      <c r="AA570" t="s">
        <v>2924</v>
      </c>
      <c r="AB570" t="s">
        <v>35828</v>
      </c>
      <c r="AC570" t="s">
        <v>34493</v>
      </c>
      <c r="AD570" t="s">
        <v>9232</v>
      </c>
      <c r="AE570" t="s">
        <v>34525</v>
      </c>
      <c r="AF570" t="s">
        <v>35817</v>
      </c>
      <c r="AG570" t="s">
        <v>35811</v>
      </c>
    </row>
    <row r="571" spans="1:33" x14ac:dyDescent="0.25">
      <c r="A571" t="s">
        <v>34462</v>
      </c>
      <c r="B571" t="s">
        <v>2963</v>
      </c>
      <c r="C571" t="s">
        <v>2965</v>
      </c>
      <c r="D571">
        <v>115.95</v>
      </c>
      <c r="E571">
        <v>115.95</v>
      </c>
      <c r="F571">
        <v>824673</v>
      </c>
      <c r="G571">
        <v>2364563</v>
      </c>
      <c r="H571">
        <v>111.99</v>
      </c>
      <c r="I571">
        <v>118.39</v>
      </c>
      <c r="J571">
        <v>0</v>
      </c>
      <c r="K571">
        <v>0.25</v>
      </c>
      <c r="L571">
        <v>3</v>
      </c>
      <c r="M571">
        <v>2</v>
      </c>
      <c r="N571">
        <v>4.5</v>
      </c>
      <c r="O571">
        <v>0</v>
      </c>
      <c r="P571">
        <v>9</v>
      </c>
      <c r="Q571">
        <v>7</v>
      </c>
      <c r="R571">
        <v>18</v>
      </c>
      <c r="S571" t="s">
        <v>35808</v>
      </c>
      <c r="U571">
        <v>3.30913462</v>
      </c>
      <c r="V571">
        <v>13.03</v>
      </c>
      <c r="W571">
        <v>19.71</v>
      </c>
      <c r="X571" t="s">
        <v>2962</v>
      </c>
      <c r="Y571" t="s">
        <v>2911</v>
      </c>
      <c r="Z571" t="s">
        <v>2911</v>
      </c>
      <c r="AA571" t="s">
        <v>1211</v>
      </c>
      <c r="AB571" t="s">
        <v>35829</v>
      </c>
      <c r="AC571" t="s">
        <v>34465</v>
      </c>
      <c r="AD571" t="s">
        <v>9232</v>
      </c>
      <c r="AE571" t="s">
        <v>34649</v>
      </c>
      <c r="AF571" t="s">
        <v>35821</v>
      </c>
      <c r="AG571" t="s">
        <v>35811</v>
      </c>
    </row>
    <row r="572" spans="1:33" x14ac:dyDescent="0.25">
      <c r="A572" t="s">
        <v>34462</v>
      </c>
      <c r="B572" t="s">
        <v>2967</v>
      </c>
      <c r="C572" t="s">
        <v>2969</v>
      </c>
      <c r="D572">
        <v>114.4</v>
      </c>
      <c r="E572">
        <v>114.4</v>
      </c>
      <c r="F572">
        <v>740362</v>
      </c>
      <c r="G572">
        <v>1129063</v>
      </c>
      <c r="H572">
        <v>102.35</v>
      </c>
      <c r="I572">
        <v>104.9</v>
      </c>
      <c r="J572">
        <v>0</v>
      </c>
      <c r="K572">
        <v>0</v>
      </c>
      <c r="L572">
        <v>2</v>
      </c>
      <c r="M572">
        <v>1</v>
      </c>
      <c r="N572">
        <v>4.5</v>
      </c>
      <c r="O572">
        <v>2</v>
      </c>
      <c r="P572">
        <v>9</v>
      </c>
      <c r="Q572">
        <v>9</v>
      </c>
      <c r="R572">
        <v>17</v>
      </c>
      <c r="S572" t="s">
        <v>35808</v>
      </c>
      <c r="U572">
        <v>3.26063298</v>
      </c>
      <c r="V572">
        <v>8.1999999999999993</v>
      </c>
      <c r="W572">
        <v>19.45</v>
      </c>
      <c r="X572" t="s">
        <v>2966</v>
      </c>
      <c r="Y572" t="s">
        <v>2911</v>
      </c>
      <c r="Z572" t="s">
        <v>2911</v>
      </c>
      <c r="AA572" t="s">
        <v>2213</v>
      </c>
      <c r="AB572" t="s">
        <v>35830</v>
      </c>
      <c r="AC572" t="s">
        <v>34493</v>
      </c>
      <c r="AD572" t="s">
        <v>9232</v>
      </c>
      <c r="AE572" t="s">
        <v>34649</v>
      </c>
      <c r="AF572" t="s">
        <v>35815</v>
      </c>
      <c r="AG572" t="s">
        <v>35811</v>
      </c>
    </row>
    <row r="573" spans="1:33" x14ac:dyDescent="0.25">
      <c r="A573" t="s">
        <v>34462</v>
      </c>
      <c r="B573" t="s">
        <v>2971</v>
      </c>
      <c r="C573" t="s">
        <v>2973</v>
      </c>
      <c r="D573">
        <v>108.97</v>
      </c>
      <c r="E573">
        <v>108.2</v>
      </c>
      <c r="F573">
        <v>740362</v>
      </c>
      <c r="G573">
        <v>903511</v>
      </c>
      <c r="H573">
        <v>125.43</v>
      </c>
      <c r="I573">
        <v>137.93</v>
      </c>
      <c r="J573">
        <v>0</v>
      </c>
      <c r="K573">
        <v>0</v>
      </c>
      <c r="L573">
        <v>4</v>
      </c>
      <c r="M573">
        <v>4</v>
      </c>
      <c r="N573">
        <v>4.5</v>
      </c>
      <c r="O573">
        <v>0</v>
      </c>
      <c r="P573">
        <v>9</v>
      </c>
      <c r="Q573">
        <v>8</v>
      </c>
      <c r="R573">
        <v>30</v>
      </c>
      <c r="S573" t="s">
        <v>35808</v>
      </c>
      <c r="U573">
        <v>3.2407914</v>
      </c>
      <c r="V573">
        <v>12.65</v>
      </c>
      <c r="W573">
        <v>18.52</v>
      </c>
      <c r="X573" t="s">
        <v>2970</v>
      </c>
      <c r="Y573" t="s">
        <v>2911</v>
      </c>
      <c r="Z573" t="s">
        <v>2911</v>
      </c>
      <c r="AA573" t="s">
        <v>2924</v>
      </c>
      <c r="AB573" t="s">
        <v>35831</v>
      </c>
      <c r="AC573" t="s">
        <v>34493</v>
      </c>
      <c r="AD573" t="s">
        <v>9232</v>
      </c>
      <c r="AE573" t="s">
        <v>34649</v>
      </c>
      <c r="AF573" t="s">
        <v>35817</v>
      </c>
      <c r="AG573" t="s">
        <v>35811</v>
      </c>
    </row>
    <row r="574" spans="1:33" x14ac:dyDescent="0.25">
      <c r="A574" t="s">
        <v>34462</v>
      </c>
      <c r="B574" t="s">
        <v>2975</v>
      </c>
      <c r="C574" t="s">
        <v>2977</v>
      </c>
      <c r="D574">
        <v>70.92</v>
      </c>
      <c r="E574">
        <v>70.92</v>
      </c>
      <c r="F574">
        <v>824673</v>
      </c>
      <c r="G574">
        <v>1936106</v>
      </c>
      <c r="H574">
        <v>90.21</v>
      </c>
      <c r="I574">
        <v>103.78</v>
      </c>
      <c r="J574">
        <v>0</v>
      </c>
      <c r="K574">
        <v>0</v>
      </c>
      <c r="L574">
        <v>3</v>
      </c>
      <c r="M574">
        <v>3</v>
      </c>
      <c r="N574">
        <v>4.5</v>
      </c>
      <c r="O574">
        <v>1</v>
      </c>
      <c r="P574">
        <v>9</v>
      </c>
      <c r="Q574">
        <v>8</v>
      </c>
      <c r="R574">
        <v>23</v>
      </c>
      <c r="S574" t="s">
        <v>35808</v>
      </c>
      <c r="U574">
        <v>3.4193656200000002</v>
      </c>
      <c r="V574">
        <v>13.79</v>
      </c>
      <c r="W574">
        <v>12.06</v>
      </c>
      <c r="X574" t="s">
        <v>2974</v>
      </c>
      <c r="Y574" t="s">
        <v>2911</v>
      </c>
      <c r="Z574" t="s">
        <v>2911</v>
      </c>
      <c r="AA574" t="s">
        <v>1211</v>
      </c>
      <c r="AB574" t="s">
        <v>35832</v>
      </c>
      <c r="AC574" t="s">
        <v>34493</v>
      </c>
      <c r="AD574" t="s">
        <v>9232</v>
      </c>
      <c r="AE574" t="s">
        <v>34469</v>
      </c>
      <c r="AF574" t="s">
        <v>35821</v>
      </c>
      <c r="AG574" t="s">
        <v>35811</v>
      </c>
    </row>
    <row r="575" spans="1:33" x14ac:dyDescent="0.25">
      <c r="A575" t="s">
        <v>34462</v>
      </c>
      <c r="B575" t="s">
        <v>2979</v>
      </c>
      <c r="C575" t="s">
        <v>2981</v>
      </c>
      <c r="D575">
        <v>71.52</v>
      </c>
      <c r="E575">
        <v>71.52</v>
      </c>
      <c r="F575">
        <v>824673</v>
      </c>
      <c r="G575">
        <v>926772</v>
      </c>
      <c r="H575">
        <v>102.31</v>
      </c>
      <c r="I575">
        <v>126.45</v>
      </c>
      <c r="J575">
        <v>0</v>
      </c>
      <c r="K575">
        <v>0</v>
      </c>
      <c r="L575">
        <v>3</v>
      </c>
      <c r="M575">
        <v>3</v>
      </c>
      <c r="N575">
        <v>4.4000000000000004</v>
      </c>
      <c r="O575">
        <v>0</v>
      </c>
      <c r="P575">
        <v>8</v>
      </c>
      <c r="Q575">
        <v>8</v>
      </c>
      <c r="R575">
        <v>24</v>
      </c>
      <c r="S575" t="s">
        <v>35808</v>
      </c>
      <c r="U575">
        <v>2.9872600999999999</v>
      </c>
      <c r="V575">
        <v>12.27</v>
      </c>
      <c r="W575">
        <v>12.16</v>
      </c>
      <c r="X575" t="s">
        <v>2978</v>
      </c>
      <c r="Y575" t="s">
        <v>2911</v>
      </c>
      <c r="Z575" t="s">
        <v>2911</v>
      </c>
      <c r="AA575" t="s">
        <v>2924</v>
      </c>
      <c r="AB575" t="s">
        <v>35833</v>
      </c>
      <c r="AC575" t="s">
        <v>34493</v>
      </c>
      <c r="AD575" t="s">
        <v>9232</v>
      </c>
      <c r="AE575" t="s">
        <v>34469</v>
      </c>
      <c r="AF575" t="s">
        <v>35817</v>
      </c>
      <c r="AG575" t="s">
        <v>35811</v>
      </c>
    </row>
    <row r="576" spans="1:33" x14ac:dyDescent="0.25">
      <c r="A576" t="s">
        <v>34462</v>
      </c>
      <c r="B576" t="s">
        <v>2983</v>
      </c>
      <c r="C576" t="s">
        <v>2985</v>
      </c>
      <c r="D576">
        <v>143</v>
      </c>
      <c r="E576">
        <v>137.99</v>
      </c>
      <c r="F576">
        <v>740362</v>
      </c>
      <c r="G576">
        <v>1180458</v>
      </c>
      <c r="H576">
        <v>114.28</v>
      </c>
      <c r="I576">
        <v>110.13</v>
      </c>
      <c r="J576">
        <v>0</v>
      </c>
      <c r="K576">
        <v>0</v>
      </c>
      <c r="L576">
        <v>1</v>
      </c>
      <c r="M576">
        <v>1</v>
      </c>
      <c r="N576">
        <v>4.5</v>
      </c>
      <c r="O576">
        <v>0</v>
      </c>
      <c r="P576">
        <v>9</v>
      </c>
      <c r="Q576">
        <v>9</v>
      </c>
      <c r="R576">
        <v>20</v>
      </c>
      <c r="S576" t="s">
        <v>35808</v>
      </c>
      <c r="U576">
        <v>2.9100983999999999</v>
      </c>
      <c r="V576">
        <v>13.03</v>
      </c>
      <c r="W576">
        <v>24.31</v>
      </c>
      <c r="X576" t="s">
        <v>2982</v>
      </c>
      <c r="Y576" t="s">
        <v>2911</v>
      </c>
      <c r="Z576" t="s">
        <v>2911</v>
      </c>
      <c r="AA576" t="s">
        <v>2213</v>
      </c>
      <c r="AB576" t="s">
        <v>35834</v>
      </c>
      <c r="AC576" t="s">
        <v>34493</v>
      </c>
      <c r="AD576" t="s">
        <v>9232</v>
      </c>
      <c r="AE576" t="s">
        <v>34469</v>
      </c>
      <c r="AF576" t="s">
        <v>35815</v>
      </c>
      <c r="AG576" t="s">
        <v>35811</v>
      </c>
    </row>
    <row r="577" spans="1:33" x14ac:dyDescent="0.25">
      <c r="A577" t="s">
        <v>34462</v>
      </c>
      <c r="B577" t="s">
        <v>2987</v>
      </c>
      <c r="C577" t="s">
        <v>2990</v>
      </c>
      <c r="D577">
        <v>32.06</v>
      </c>
      <c r="E577">
        <v>32.06</v>
      </c>
      <c r="F577">
        <v>99860</v>
      </c>
      <c r="G577">
        <v>84158</v>
      </c>
      <c r="H577">
        <v>31.54</v>
      </c>
      <c r="I577">
        <v>35.93</v>
      </c>
      <c r="J577">
        <v>0</v>
      </c>
      <c r="K577">
        <v>0</v>
      </c>
      <c r="L577">
        <v>2</v>
      </c>
      <c r="M577">
        <v>2</v>
      </c>
      <c r="N577">
        <v>4.3</v>
      </c>
      <c r="O577">
        <v>3</v>
      </c>
      <c r="P577">
        <v>823</v>
      </c>
      <c r="Q577">
        <v>32</v>
      </c>
      <c r="R577">
        <v>86</v>
      </c>
      <c r="S577" t="s">
        <v>35835</v>
      </c>
      <c r="U577">
        <v>1.1993132799999999</v>
      </c>
      <c r="V577">
        <v>5.82</v>
      </c>
      <c r="W577">
        <v>5.45</v>
      </c>
      <c r="X577" t="s">
        <v>2986</v>
      </c>
      <c r="Y577" t="s">
        <v>35836</v>
      </c>
      <c r="Z577" t="s">
        <v>2991</v>
      </c>
      <c r="AA577" t="s">
        <v>2992</v>
      </c>
      <c r="AB577" t="s">
        <v>35837</v>
      </c>
      <c r="AC577" t="s">
        <v>34493</v>
      </c>
      <c r="AD577" t="s">
        <v>8979</v>
      </c>
      <c r="AE577" t="s">
        <v>8980</v>
      </c>
      <c r="AF577" t="s">
        <v>35838</v>
      </c>
      <c r="AG577" t="s">
        <v>35839</v>
      </c>
    </row>
    <row r="578" spans="1:33" x14ac:dyDescent="0.25">
      <c r="A578" t="s">
        <v>34462</v>
      </c>
      <c r="B578" t="s">
        <v>2994</v>
      </c>
      <c r="C578" t="s">
        <v>2996</v>
      </c>
      <c r="D578">
        <v>36.79</v>
      </c>
      <c r="E578">
        <v>36.79</v>
      </c>
      <c r="F578">
        <v>109613</v>
      </c>
      <c r="G578">
        <v>84662</v>
      </c>
      <c r="H578">
        <v>46</v>
      </c>
      <c r="I578">
        <v>45.63</v>
      </c>
      <c r="J578">
        <v>0</v>
      </c>
      <c r="K578">
        <v>0</v>
      </c>
      <c r="L578">
        <v>1</v>
      </c>
      <c r="M578">
        <v>1</v>
      </c>
      <c r="N578">
        <v>4.3</v>
      </c>
      <c r="O578">
        <v>0</v>
      </c>
      <c r="P578">
        <v>823</v>
      </c>
      <c r="Q578">
        <v>29</v>
      </c>
      <c r="R578">
        <v>71</v>
      </c>
      <c r="S578" t="s">
        <v>35835</v>
      </c>
      <c r="U578">
        <v>1.1993132799999999</v>
      </c>
      <c r="V578">
        <v>5.82</v>
      </c>
      <c r="W578">
        <v>6.25</v>
      </c>
      <c r="X578" t="s">
        <v>2993</v>
      </c>
      <c r="Y578" t="s">
        <v>35840</v>
      </c>
      <c r="Z578" t="s">
        <v>2991</v>
      </c>
      <c r="AA578" t="s">
        <v>2997</v>
      </c>
      <c r="AB578" t="s">
        <v>35841</v>
      </c>
      <c r="AC578" t="s">
        <v>34493</v>
      </c>
      <c r="AD578" t="s">
        <v>8979</v>
      </c>
      <c r="AE578" t="s">
        <v>8980</v>
      </c>
      <c r="AF578" t="s">
        <v>35842</v>
      </c>
      <c r="AG578" t="s">
        <v>35839</v>
      </c>
    </row>
    <row r="579" spans="1:33" x14ac:dyDescent="0.25">
      <c r="A579" t="s">
        <v>34462</v>
      </c>
      <c r="B579" t="s">
        <v>2999</v>
      </c>
      <c r="C579" t="s">
        <v>2996</v>
      </c>
      <c r="D579">
        <v>37.28</v>
      </c>
      <c r="E579">
        <v>37.28</v>
      </c>
      <c r="F579">
        <v>109841</v>
      </c>
      <c r="G579">
        <v>83720</v>
      </c>
      <c r="H579">
        <v>44.94</v>
      </c>
      <c r="I579">
        <v>44.57</v>
      </c>
      <c r="J579">
        <v>0</v>
      </c>
      <c r="K579">
        <v>0</v>
      </c>
      <c r="L579">
        <v>1</v>
      </c>
      <c r="M579">
        <v>1</v>
      </c>
      <c r="N579">
        <v>4.3</v>
      </c>
      <c r="O579">
        <v>0</v>
      </c>
      <c r="P579">
        <v>823</v>
      </c>
      <c r="Q579">
        <v>29</v>
      </c>
      <c r="R579">
        <v>88</v>
      </c>
      <c r="S579" t="s">
        <v>35835</v>
      </c>
      <c r="U579">
        <v>1.1993132799999999</v>
      </c>
      <c r="V579">
        <v>5.82</v>
      </c>
      <c r="W579">
        <v>6.33</v>
      </c>
      <c r="X579" t="s">
        <v>2998</v>
      </c>
      <c r="Y579" t="s">
        <v>35843</v>
      </c>
      <c r="Z579" t="s">
        <v>2991</v>
      </c>
      <c r="AA579" t="s">
        <v>2997</v>
      </c>
      <c r="AB579" t="s">
        <v>35844</v>
      </c>
      <c r="AC579" t="s">
        <v>34493</v>
      </c>
      <c r="AD579" t="s">
        <v>8979</v>
      </c>
      <c r="AE579" t="s">
        <v>53</v>
      </c>
      <c r="AF579" t="s">
        <v>35842</v>
      </c>
      <c r="AG579" t="s">
        <v>35839</v>
      </c>
    </row>
    <row r="580" spans="1:33" x14ac:dyDescent="0.25">
      <c r="A580" t="s">
        <v>34462</v>
      </c>
      <c r="B580" t="s">
        <v>3002</v>
      </c>
      <c r="C580" t="s">
        <v>3004</v>
      </c>
      <c r="D580">
        <v>24.92</v>
      </c>
      <c r="E580">
        <v>24.92</v>
      </c>
      <c r="F580">
        <v>109841</v>
      </c>
      <c r="G580">
        <v>84326</v>
      </c>
      <c r="H580">
        <v>28.6</v>
      </c>
      <c r="I580">
        <v>32.700000000000003</v>
      </c>
      <c r="J580">
        <v>0</v>
      </c>
      <c r="K580">
        <v>0</v>
      </c>
      <c r="L580">
        <v>2</v>
      </c>
      <c r="M580">
        <v>2</v>
      </c>
      <c r="N580">
        <v>4.3</v>
      </c>
      <c r="O580">
        <v>5</v>
      </c>
      <c r="P580">
        <v>823</v>
      </c>
      <c r="Q580">
        <v>28</v>
      </c>
      <c r="R580">
        <v>87</v>
      </c>
      <c r="S580" t="s">
        <v>35835</v>
      </c>
      <c r="U580">
        <v>1.3889106</v>
      </c>
      <c r="V580">
        <v>7.5</v>
      </c>
      <c r="W580">
        <v>4.24</v>
      </c>
      <c r="X580" t="s">
        <v>3001</v>
      </c>
      <c r="Y580" t="s">
        <v>35845</v>
      </c>
      <c r="Z580" t="s">
        <v>2991</v>
      </c>
      <c r="AA580" t="s">
        <v>2992</v>
      </c>
      <c r="AB580" t="s">
        <v>35846</v>
      </c>
      <c r="AC580" t="s">
        <v>34493</v>
      </c>
      <c r="AD580" t="s">
        <v>8979</v>
      </c>
      <c r="AE580" t="s">
        <v>330</v>
      </c>
      <c r="AF580" t="s">
        <v>35847</v>
      </c>
      <c r="AG580" t="s">
        <v>35839</v>
      </c>
    </row>
    <row r="581" spans="1:33" x14ac:dyDescent="0.25">
      <c r="A581" t="s">
        <v>34462</v>
      </c>
      <c r="B581" t="s">
        <v>3006</v>
      </c>
      <c r="C581" t="s">
        <v>3008</v>
      </c>
      <c r="D581">
        <v>32.06</v>
      </c>
      <c r="E581">
        <v>32.06</v>
      </c>
      <c r="F581">
        <v>99860</v>
      </c>
      <c r="G581">
        <v>84052</v>
      </c>
      <c r="H581">
        <v>31.55</v>
      </c>
      <c r="I581">
        <v>36.130000000000003</v>
      </c>
      <c r="J581">
        <v>0</v>
      </c>
      <c r="K581">
        <v>0.02</v>
      </c>
      <c r="L581">
        <v>3</v>
      </c>
      <c r="M581">
        <v>2</v>
      </c>
      <c r="N581">
        <v>4.3</v>
      </c>
      <c r="O581">
        <v>4</v>
      </c>
      <c r="P581">
        <v>823</v>
      </c>
      <c r="Q581">
        <v>26</v>
      </c>
      <c r="R581">
        <v>95</v>
      </c>
      <c r="S581" t="s">
        <v>35835</v>
      </c>
      <c r="U581">
        <v>1.4307983799999999</v>
      </c>
      <c r="V581">
        <v>11.13</v>
      </c>
      <c r="W581">
        <v>5.45</v>
      </c>
      <c r="X581" t="s">
        <v>3005</v>
      </c>
      <c r="Y581" t="s">
        <v>35848</v>
      </c>
      <c r="Z581" t="s">
        <v>2991</v>
      </c>
      <c r="AA581" t="s">
        <v>2992</v>
      </c>
      <c r="AB581" t="s">
        <v>35849</v>
      </c>
      <c r="AC581" t="s">
        <v>34484</v>
      </c>
      <c r="AD581" t="s">
        <v>8979</v>
      </c>
      <c r="AE581" t="s">
        <v>352</v>
      </c>
      <c r="AF581" t="s">
        <v>35838</v>
      </c>
      <c r="AG581" t="s">
        <v>35839</v>
      </c>
    </row>
    <row r="582" spans="1:33" x14ac:dyDescent="0.25">
      <c r="A582" t="s">
        <v>34462</v>
      </c>
      <c r="B582" t="s">
        <v>3010</v>
      </c>
      <c r="C582" t="s">
        <v>3013</v>
      </c>
      <c r="D582">
        <v>27.91</v>
      </c>
      <c r="E582">
        <v>27.91</v>
      </c>
      <c r="F582">
        <v>254478</v>
      </c>
      <c r="G582">
        <v>327721</v>
      </c>
      <c r="H582">
        <v>22.36</v>
      </c>
      <c r="I582">
        <v>20.29</v>
      </c>
      <c r="J582">
        <v>0.02</v>
      </c>
      <c r="K582">
        <v>0.02</v>
      </c>
      <c r="L582">
        <v>2</v>
      </c>
      <c r="M582">
        <v>1</v>
      </c>
      <c r="N582">
        <v>4.3</v>
      </c>
      <c r="O582">
        <v>2</v>
      </c>
      <c r="P582">
        <v>248</v>
      </c>
      <c r="Q582">
        <v>24</v>
      </c>
      <c r="R582">
        <v>66</v>
      </c>
      <c r="S582" t="s">
        <v>35850</v>
      </c>
      <c r="U582">
        <v>0.70547840000000006</v>
      </c>
      <c r="V582">
        <v>6.05</v>
      </c>
      <c r="W582">
        <v>4.74</v>
      </c>
      <c r="X582" t="s">
        <v>3009</v>
      </c>
      <c r="Y582" t="s">
        <v>35851</v>
      </c>
      <c r="Z582" t="s">
        <v>3014</v>
      </c>
      <c r="AA582" t="s">
        <v>935</v>
      </c>
      <c r="AB582" t="s">
        <v>35852</v>
      </c>
      <c r="AC582" t="s">
        <v>34493</v>
      </c>
      <c r="AD582" t="s">
        <v>12612</v>
      </c>
      <c r="AE582" t="s">
        <v>35853</v>
      </c>
      <c r="AF582" t="s">
        <v>35854</v>
      </c>
      <c r="AG582" t="s">
        <v>35855</v>
      </c>
    </row>
    <row r="583" spans="1:33" x14ac:dyDescent="0.25">
      <c r="A583" t="s">
        <v>34462</v>
      </c>
      <c r="B583" t="s">
        <v>3016</v>
      </c>
      <c r="C583" t="s">
        <v>3018</v>
      </c>
      <c r="D583">
        <v>39.99</v>
      </c>
      <c r="E583">
        <v>39.99</v>
      </c>
      <c r="F583">
        <v>240895</v>
      </c>
      <c r="G583">
        <v>332238</v>
      </c>
      <c r="H583">
        <v>47.37</v>
      </c>
      <c r="I583">
        <v>53.01</v>
      </c>
      <c r="J583">
        <v>0</v>
      </c>
      <c r="K583">
        <v>0</v>
      </c>
      <c r="L583">
        <v>2</v>
      </c>
      <c r="M583">
        <v>2</v>
      </c>
      <c r="N583">
        <v>4.3</v>
      </c>
      <c r="O583">
        <v>11</v>
      </c>
      <c r="P583">
        <v>248</v>
      </c>
      <c r="Q583">
        <v>20</v>
      </c>
      <c r="R583">
        <v>58</v>
      </c>
      <c r="S583" t="s">
        <v>35850</v>
      </c>
      <c r="U583">
        <v>0.72752459999999997</v>
      </c>
      <c r="V583">
        <v>6.14</v>
      </c>
      <c r="W583">
        <v>6.8</v>
      </c>
      <c r="X583" t="s">
        <v>3015</v>
      </c>
      <c r="Y583" t="s">
        <v>35856</v>
      </c>
      <c r="Z583" t="s">
        <v>3014</v>
      </c>
      <c r="AA583" t="s">
        <v>935</v>
      </c>
      <c r="AB583" t="s">
        <v>35857</v>
      </c>
      <c r="AC583" t="s">
        <v>34493</v>
      </c>
      <c r="AD583" t="s">
        <v>12612</v>
      </c>
      <c r="AE583" t="s">
        <v>35558</v>
      </c>
      <c r="AF583" t="s">
        <v>35854</v>
      </c>
      <c r="AG583" t="s">
        <v>35855</v>
      </c>
    </row>
    <row r="584" spans="1:33" x14ac:dyDescent="0.25">
      <c r="A584" t="s">
        <v>34462</v>
      </c>
      <c r="B584" t="s">
        <v>3020</v>
      </c>
      <c r="C584" t="s">
        <v>3022</v>
      </c>
      <c r="D584">
        <v>38.35</v>
      </c>
      <c r="E584">
        <v>38.35</v>
      </c>
      <c r="F584">
        <v>254478</v>
      </c>
      <c r="G584">
        <v>326425</v>
      </c>
      <c r="H584">
        <v>40.1</v>
      </c>
      <c r="I584">
        <v>38.799999999999997</v>
      </c>
      <c r="J584">
        <v>0</v>
      </c>
      <c r="K584">
        <v>0</v>
      </c>
      <c r="L584">
        <v>1</v>
      </c>
      <c r="M584">
        <v>1</v>
      </c>
      <c r="N584">
        <v>4.3</v>
      </c>
      <c r="O584">
        <v>19</v>
      </c>
      <c r="P584">
        <v>248</v>
      </c>
      <c r="Q584">
        <v>13</v>
      </c>
      <c r="R584">
        <v>56</v>
      </c>
      <c r="S584" t="s">
        <v>35850</v>
      </c>
      <c r="U584">
        <v>0.74957079999999998</v>
      </c>
      <c r="V584">
        <v>6.14</v>
      </c>
      <c r="W584">
        <v>6.52</v>
      </c>
      <c r="X584" t="s">
        <v>3019</v>
      </c>
      <c r="Y584" t="s">
        <v>35858</v>
      </c>
      <c r="Z584" t="s">
        <v>3014</v>
      </c>
      <c r="AA584" t="s">
        <v>935</v>
      </c>
      <c r="AB584" t="s">
        <v>35859</v>
      </c>
      <c r="AC584" t="s">
        <v>34493</v>
      </c>
      <c r="AD584" t="s">
        <v>12612</v>
      </c>
      <c r="AE584" t="s">
        <v>35566</v>
      </c>
      <c r="AF584" t="s">
        <v>35854</v>
      </c>
      <c r="AG584" t="s">
        <v>35855</v>
      </c>
    </row>
    <row r="585" spans="1:33" x14ac:dyDescent="0.25">
      <c r="A585" t="s">
        <v>34462</v>
      </c>
      <c r="B585" t="s">
        <v>3025</v>
      </c>
      <c r="C585" t="s">
        <v>3028</v>
      </c>
      <c r="D585">
        <v>23.9</v>
      </c>
      <c r="E585">
        <v>23.9</v>
      </c>
      <c r="F585">
        <v>61277</v>
      </c>
      <c r="G585">
        <v>105983</v>
      </c>
      <c r="H585">
        <v>34.67</v>
      </c>
      <c r="I585">
        <v>36.630000000000003</v>
      </c>
      <c r="J585">
        <v>0</v>
      </c>
      <c r="K585">
        <v>0.03</v>
      </c>
      <c r="L585">
        <v>5</v>
      </c>
      <c r="M585">
        <v>5</v>
      </c>
      <c r="N585">
        <v>4.2</v>
      </c>
      <c r="O585">
        <v>3</v>
      </c>
      <c r="P585">
        <v>149</v>
      </c>
      <c r="Q585">
        <v>24</v>
      </c>
      <c r="R585">
        <v>86</v>
      </c>
      <c r="S585" t="s">
        <v>35860</v>
      </c>
      <c r="U585">
        <v>1.0361714</v>
      </c>
      <c r="V585">
        <v>6.48</v>
      </c>
      <c r="X585" t="s">
        <v>3024</v>
      </c>
      <c r="Y585" t="s">
        <v>3029</v>
      </c>
      <c r="Z585" t="s">
        <v>3029</v>
      </c>
      <c r="AA585" t="s">
        <v>3030</v>
      </c>
      <c r="AB585" t="s">
        <v>35861</v>
      </c>
      <c r="AC585" t="s">
        <v>34465</v>
      </c>
      <c r="AD585" t="s">
        <v>11335</v>
      </c>
      <c r="AE585" t="s">
        <v>34533</v>
      </c>
      <c r="AF585" t="s">
        <v>35862</v>
      </c>
      <c r="AG585" t="s">
        <v>35863</v>
      </c>
    </row>
    <row r="586" spans="1:33" x14ac:dyDescent="0.25">
      <c r="A586" t="s">
        <v>34462</v>
      </c>
      <c r="B586" t="s">
        <v>3032</v>
      </c>
      <c r="C586" t="s">
        <v>3034</v>
      </c>
      <c r="D586">
        <v>13.27</v>
      </c>
      <c r="E586">
        <v>13.27</v>
      </c>
      <c r="F586">
        <v>65792</v>
      </c>
      <c r="G586">
        <v>105309</v>
      </c>
      <c r="H586">
        <v>36.11</v>
      </c>
      <c r="I586">
        <v>34.36</v>
      </c>
      <c r="J586">
        <v>0</v>
      </c>
      <c r="K586">
        <v>0.01</v>
      </c>
      <c r="L586">
        <v>4</v>
      </c>
      <c r="M586">
        <v>5</v>
      </c>
      <c r="N586">
        <v>4.2</v>
      </c>
      <c r="O586">
        <v>1</v>
      </c>
      <c r="P586">
        <v>149</v>
      </c>
      <c r="Q586">
        <v>34</v>
      </c>
      <c r="R586">
        <v>81</v>
      </c>
      <c r="S586" t="s">
        <v>35860</v>
      </c>
      <c r="U586">
        <v>1.0383760200000001</v>
      </c>
      <c r="V586">
        <v>6.48</v>
      </c>
      <c r="W586">
        <v>0.66</v>
      </c>
      <c r="X586" t="s">
        <v>3031</v>
      </c>
      <c r="Y586" t="s">
        <v>3029</v>
      </c>
      <c r="Z586" t="s">
        <v>3029</v>
      </c>
      <c r="AA586" t="s">
        <v>3035</v>
      </c>
      <c r="AB586" t="s">
        <v>35864</v>
      </c>
      <c r="AC586" t="s">
        <v>34493</v>
      </c>
      <c r="AD586" t="s">
        <v>11335</v>
      </c>
      <c r="AE586" t="s">
        <v>34533</v>
      </c>
      <c r="AF586" t="s">
        <v>35865</v>
      </c>
      <c r="AG586" t="s">
        <v>35863</v>
      </c>
    </row>
    <row r="587" spans="1:33" x14ac:dyDescent="0.25">
      <c r="A587" t="s">
        <v>34462</v>
      </c>
      <c r="B587" t="s">
        <v>3037</v>
      </c>
      <c r="C587" t="s">
        <v>3039</v>
      </c>
      <c r="D587">
        <v>13.27</v>
      </c>
      <c r="E587">
        <v>13.27</v>
      </c>
      <c r="F587">
        <v>65792</v>
      </c>
      <c r="G587">
        <v>104940</v>
      </c>
      <c r="H587">
        <v>32.08</v>
      </c>
      <c r="I587">
        <v>31.85</v>
      </c>
      <c r="J587">
        <v>0</v>
      </c>
      <c r="K587">
        <v>0</v>
      </c>
      <c r="L587">
        <v>4</v>
      </c>
      <c r="M587">
        <v>5</v>
      </c>
      <c r="N587">
        <v>4.2</v>
      </c>
      <c r="O587">
        <v>3</v>
      </c>
      <c r="P587">
        <v>149</v>
      </c>
      <c r="Q587">
        <v>27</v>
      </c>
      <c r="R587">
        <v>71</v>
      </c>
      <c r="S587" t="s">
        <v>35860</v>
      </c>
      <c r="U587">
        <v>1.1574255</v>
      </c>
      <c r="V587">
        <v>6.86</v>
      </c>
      <c r="W587">
        <v>1.33</v>
      </c>
      <c r="X587" t="s">
        <v>3036</v>
      </c>
      <c r="Y587" t="s">
        <v>3029</v>
      </c>
      <c r="Z587" t="s">
        <v>3029</v>
      </c>
      <c r="AA587" t="s">
        <v>3035</v>
      </c>
      <c r="AB587" t="s">
        <v>35866</v>
      </c>
      <c r="AC587" t="s">
        <v>34493</v>
      </c>
      <c r="AD587" t="s">
        <v>11335</v>
      </c>
      <c r="AE587" t="s">
        <v>34525</v>
      </c>
      <c r="AF587" t="s">
        <v>35865</v>
      </c>
      <c r="AG587" t="s">
        <v>35863</v>
      </c>
    </row>
    <row r="588" spans="1:33" x14ac:dyDescent="0.25">
      <c r="A588" t="s">
        <v>34462</v>
      </c>
      <c r="B588" t="s">
        <v>3041</v>
      </c>
      <c r="C588" t="s">
        <v>3043</v>
      </c>
      <c r="D588">
        <v>13.27</v>
      </c>
      <c r="E588">
        <v>13.27</v>
      </c>
      <c r="F588">
        <v>65792</v>
      </c>
      <c r="G588">
        <v>103935</v>
      </c>
      <c r="H588">
        <v>36.619999999999997</v>
      </c>
      <c r="I588">
        <v>35.46</v>
      </c>
      <c r="J588">
        <v>0</v>
      </c>
      <c r="K588">
        <v>0</v>
      </c>
      <c r="L588">
        <v>4</v>
      </c>
      <c r="M588">
        <v>5</v>
      </c>
      <c r="N588">
        <v>4.2</v>
      </c>
      <c r="O588">
        <v>1</v>
      </c>
      <c r="P588">
        <v>149</v>
      </c>
      <c r="Q588">
        <v>26</v>
      </c>
      <c r="R588">
        <v>62</v>
      </c>
      <c r="S588" t="s">
        <v>35860</v>
      </c>
      <c r="U588">
        <v>1.23899644</v>
      </c>
      <c r="V588">
        <v>7.02</v>
      </c>
      <c r="W588">
        <v>0.66</v>
      </c>
      <c r="X588" t="s">
        <v>3040</v>
      </c>
      <c r="Y588" t="s">
        <v>3029</v>
      </c>
      <c r="Z588" t="s">
        <v>3029</v>
      </c>
      <c r="AA588" t="s">
        <v>3035</v>
      </c>
      <c r="AB588" t="s">
        <v>35867</v>
      </c>
      <c r="AC588" t="s">
        <v>34493</v>
      </c>
      <c r="AD588" t="s">
        <v>11335</v>
      </c>
      <c r="AE588" t="s">
        <v>34649</v>
      </c>
      <c r="AF588" t="s">
        <v>35868</v>
      </c>
      <c r="AG588" t="s">
        <v>35869</v>
      </c>
    </row>
    <row r="589" spans="1:33" x14ac:dyDescent="0.25">
      <c r="A589" t="s">
        <v>34462</v>
      </c>
      <c r="B589" t="s">
        <v>3045</v>
      </c>
      <c r="C589" t="s">
        <v>3048</v>
      </c>
      <c r="D589">
        <v>17.940000000000001</v>
      </c>
      <c r="E589">
        <v>17.940000000000001</v>
      </c>
      <c r="F589">
        <v>1737431</v>
      </c>
      <c r="G589">
        <v>1864907</v>
      </c>
      <c r="H589">
        <v>19.73</v>
      </c>
      <c r="I589">
        <v>19.78</v>
      </c>
      <c r="J589">
        <v>0</v>
      </c>
      <c r="K589">
        <v>1</v>
      </c>
      <c r="L589">
        <v>5</v>
      </c>
      <c r="M589">
        <v>4</v>
      </c>
      <c r="O589">
        <v>0</v>
      </c>
      <c r="Q589">
        <v>5</v>
      </c>
      <c r="R589">
        <v>9</v>
      </c>
      <c r="U589">
        <v>0.48942564</v>
      </c>
      <c r="V589">
        <v>6.48</v>
      </c>
      <c r="X589" t="s">
        <v>3044</v>
      </c>
      <c r="Z589" t="s">
        <v>3049</v>
      </c>
      <c r="AA589" t="s">
        <v>235</v>
      </c>
      <c r="AB589" t="s">
        <v>35870</v>
      </c>
      <c r="AC589" t="s">
        <v>34465</v>
      </c>
      <c r="AD589" t="s">
        <v>11496</v>
      </c>
      <c r="AF589" t="s">
        <v>35871</v>
      </c>
      <c r="AG589" t="s">
        <v>35872</v>
      </c>
    </row>
    <row r="590" spans="1:33" x14ac:dyDescent="0.25">
      <c r="A590" t="s">
        <v>34462</v>
      </c>
      <c r="B590" t="s">
        <v>3051</v>
      </c>
      <c r="C590" t="s">
        <v>3053</v>
      </c>
      <c r="D590">
        <v>22.33</v>
      </c>
      <c r="E590">
        <v>21.99</v>
      </c>
      <c r="F590">
        <v>1306299</v>
      </c>
      <c r="G590">
        <v>2610419</v>
      </c>
      <c r="H590">
        <v>25.99</v>
      </c>
      <c r="I590">
        <v>29.78</v>
      </c>
      <c r="J590">
        <v>0</v>
      </c>
      <c r="K590">
        <v>1</v>
      </c>
      <c r="L590">
        <v>9</v>
      </c>
      <c r="M590">
        <v>8</v>
      </c>
      <c r="O590">
        <v>0</v>
      </c>
      <c r="Q590">
        <v>1</v>
      </c>
      <c r="R590">
        <v>4</v>
      </c>
      <c r="U590">
        <v>0.46076558000000001</v>
      </c>
      <c r="V590">
        <v>6.67</v>
      </c>
      <c r="W590">
        <v>3.8</v>
      </c>
      <c r="X590" t="s">
        <v>3050</v>
      </c>
      <c r="Z590" t="s">
        <v>3054</v>
      </c>
      <c r="AA590" t="s">
        <v>3055</v>
      </c>
      <c r="AB590" t="s">
        <v>35873</v>
      </c>
      <c r="AC590" t="s">
        <v>34465</v>
      </c>
      <c r="AD590" t="s">
        <v>11496</v>
      </c>
      <c r="AF590" t="s">
        <v>35874</v>
      </c>
      <c r="AG590" t="s">
        <v>35872</v>
      </c>
    </row>
    <row r="591" spans="1:33" x14ac:dyDescent="0.25">
      <c r="A591" t="s">
        <v>34462</v>
      </c>
      <c r="B591" t="s">
        <v>3057</v>
      </c>
      <c r="C591" t="s">
        <v>3059</v>
      </c>
      <c r="D591">
        <v>22.93</v>
      </c>
      <c r="E591">
        <v>22.93</v>
      </c>
      <c r="G591">
        <v>2163164</v>
      </c>
      <c r="H591">
        <v>26.02</v>
      </c>
      <c r="I591">
        <v>28.43</v>
      </c>
      <c r="J591">
        <v>0</v>
      </c>
      <c r="K591">
        <v>1</v>
      </c>
      <c r="L591">
        <v>8</v>
      </c>
      <c r="M591">
        <v>7</v>
      </c>
      <c r="O591">
        <v>0</v>
      </c>
      <c r="Q591">
        <v>0</v>
      </c>
      <c r="R591">
        <v>1</v>
      </c>
      <c r="U591">
        <v>0.47399330000000001</v>
      </c>
      <c r="V591">
        <v>6.6</v>
      </c>
      <c r="W591">
        <v>3.9</v>
      </c>
      <c r="X591" t="s">
        <v>3056</v>
      </c>
      <c r="Z591" t="s">
        <v>3061</v>
      </c>
      <c r="AA591" t="s">
        <v>1243</v>
      </c>
      <c r="AB591" t="s">
        <v>35875</v>
      </c>
      <c r="AC591" t="s">
        <v>34465</v>
      </c>
      <c r="AD591" t="s">
        <v>11496</v>
      </c>
      <c r="AF591" t="s">
        <v>35876</v>
      </c>
      <c r="AG591" t="s">
        <v>35872</v>
      </c>
    </row>
    <row r="592" spans="1:33" x14ac:dyDescent="0.25">
      <c r="A592" t="s">
        <v>34462</v>
      </c>
      <c r="B592" t="s">
        <v>3063</v>
      </c>
      <c r="C592" t="s">
        <v>3065</v>
      </c>
      <c r="D592">
        <v>19.989999999999998</v>
      </c>
      <c r="E592">
        <v>19.989999999999998</v>
      </c>
      <c r="F592">
        <v>382300</v>
      </c>
      <c r="G592">
        <v>2298600</v>
      </c>
      <c r="H592">
        <v>19.989999999999998</v>
      </c>
      <c r="I592">
        <v>19.989999999999998</v>
      </c>
      <c r="J592">
        <v>0</v>
      </c>
      <c r="K592">
        <v>1</v>
      </c>
      <c r="L592">
        <v>9</v>
      </c>
      <c r="M592">
        <v>8</v>
      </c>
      <c r="N592">
        <v>4.8</v>
      </c>
      <c r="O592">
        <v>0</v>
      </c>
      <c r="P592">
        <v>238</v>
      </c>
      <c r="Q592">
        <v>11</v>
      </c>
      <c r="R592">
        <v>12</v>
      </c>
      <c r="S592" t="s">
        <v>35877</v>
      </c>
      <c r="U592">
        <v>0.54895037999999996</v>
      </c>
      <c r="V592">
        <v>7.02</v>
      </c>
      <c r="X592" t="s">
        <v>3062</v>
      </c>
      <c r="Z592" t="s">
        <v>3049</v>
      </c>
      <c r="AA592" t="s">
        <v>235</v>
      </c>
      <c r="AB592" t="s">
        <v>35878</v>
      </c>
      <c r="AC592" t="s">
        <v>34465</v>
      </c>
      <c r="AD592" t="s">
        <v>11496</v>
      </c>
      <c r="AE592" t="s">
        <v>34510</v>
      </c>
      <c r="AF592" t="s">
        <v>35879</v>
      </c>
      <c r="AG592" t="s">
        <v>35872</v>
      </c>
    </row>
    <row r="593" spans="1:33" x14ac:dyDescent="0.25">
      <c r="A593" t="s">
        <v>34462</v>
      </c>
      <c r="B593" t="s">
        <v>3067</v>
      </c>
      <c r="C593" t="s">
        <v>3069</v>
      </c>
      <c r="D593">
        <v>23.99</v>
      </c>
      <c r="E593">
        <v>20.99</v>
      </c>
      <c r="F593">
        <v>1741282</v>
      </c>
      <c r="G593">
        <v>1955028</v>
      </c>
      <c r="H593">
        <v>23.7</v>
      </c>
      <c r="I593">
        <v>25.88</v>
      </c>
      <c r="J593">
        <v>0</v>
      </c>
      <c r="K593">
        <v>1</v>
      </c>
      <c r="L593">
        <v>12</v>
      </c>
      <c r="M593">
        <v>11</v>
      </c>
      <c r="N593">
        <v>5</v>
      </c>
      <c r="O593">
        <v>1</v>
      </c>
      <c r="P593">
        <v>1</v>
      </c>
      <c r="Q593">
        <v>1</v>
      </c>
      <c r="R593">
        <v>4</v>
      </c>
      <c r="U593">
        <v>0.55115499999999995</v>
      </c>
      <c r="V593">
        <v>6.48</v>
      </c>
      <c r="W593">
        <v>4.08</v>
      </c>
      <c r="X593" t="s">
        <v>3066</v>
      </c>
      <c r="Y593" t="s">
        <v>35880</v>
      </c>
      <c r="Z593" t="s">
        <v>3054</v>
      </c>
      <c r="AA593" t="s">
        <v>3071</v>
      </c>
      <c r="AB593" t="s">
        <v>35881</v>
      </c>
      <c r="AC593" t="s">
        <v>34465</v>
      </c>
      <c r="AD593" t="s">
        <v>11496</v>
      </c>
      <c r="AF593" t="s">
        <v>35882</v>
      </c>
      <c r="AG593" t="s">
        <v>35883</v>
      </c>
    </row>
    <row r="594" spans="1:33" x14ac:dyDescent="0.25">
      <c r="A594" t="s">
        <v>34462</v>
      </c>
      <c r="B594" t="s">
        <v>3073</v>
      </c>
      <c r="C594" t="s">
        <v>3075</v>
      </c>
      <c r="D594">
        <v>16</v>
      </c>
      <c r="E594">
        <v>16</v>
      </c>
      <c r="H594">
        <v>16</v>
      </c>
      <c r="I594">
        <v>17.16</v>
      </c>
      <c r="J594">
        <v>0</v>
      </c>
      <c r="K594">
        <v>1</v>
      </c>
      <c r="L594">
        <v>9</v>
      </c>
      <c r="M594">
        <v>8</v>
      </c>
      <c r="N594">
        <v>4.8</v>
      </c>
      <c r="O594">
        <v>1</v>
      </c>
      <c r="P594">
        <v>238</v>
      </c>
      <c r="Q594">
        <v>-1</v>
      </c>
      <c r="R594">
        <v>-1</v>
      </c>
      <c r="S594" t="s">
        <v>35877</v>
      </c>
      <c r="U594">
        <v>0.54895037999999996</v>
      </c>
      <c r="V594">
        <v>7.27</v>
      </c>
      <c r="X594" t="s">
        <v>3072</v>
      </c>
      <c r="Z594" t="s">
        <v>3049</v>
      </c>
      <c r="AA594" t="s">
        <v>3077</v>
      </c>
      <c r="AB594" t="s">
        <v>35884</v>
      </c>
      <c r="AC594" t="s">
        <v>34465</v>
      </c>
      <c r="AD594" t="s">
        <v>11496</v>
      </c>
      <c r="AE594" t="s">
        <v>34506</v>
      </c>
      <c r="AF594" t="s">
        <v>35879</v>
      </c>
      <c r="AG594" t="s">
        <v>35885</v>
      </c>
    </row>
    <row r="595" spans="1:33" x14ac:dyDescent="0.25">
      <c r="A595" t="s">
        <v>34462</v>
      </c>
      <c r="B595" t="s">
        <v>3079</v>
      </c>
      <c r="C595" t="s">
        <v>3081</v>
      </c>
      <c r="D595">
        <v>20</v>
      </c>
      <c r="E595">
        <v>19.93</v>
      </c>
      <c r="F595">
        <v>1527387</v>
      </c>
      <c r="G595">
        <v>1631869</v>
      </c>
      <c r="H595">
        <v>23.17</v>
      </c>
      <c r="I595">
        <v>26.68</v>
      </c>
      <c r="J595">
        <v>0</v>
      </c>
      <c r="K595">
        <v>1</v>
      </c>
      <c r="L595">
        <v>13</v>
      </c>
      <c r="M595">
        <v>12</v>
      </c>
      <c r="N595">
        <v>5</v>
      </c>
      <c r="O595">
        <v>2</v>
      </c>
      <c r="P595">
        <v>2</v>
      </c>
      <c r="Q595">
        <v>1</v>
      </c>
      <c r="R595">
        <v>6</v>
      </c>
      <c r="U595">
        <v>0.52910880000000005</v>
      </c>
      <c r="V595">
        <v>6.48</v>
      </c>
      <c r="W595">
        <v>2</v>
      </c>
      <c r="X595" t="s">
        <v>3078</v>
      </c>
      <c r="Z595" t="s">
        <v>3061</v>
      </c>
      <c r="AA595" t="s">
        <v>1243</v>
      </c>
      <c r="AB595" t="s">
        <v>35886</v>
      </c>
      <c r="AC595" t="s">
        <v>34465</v>
      </c>
      <c r="AD595" t="s">
        <v>11496</v>
      </c>
      <c r="AF595" t="s">
        <v>35887</v>
      </c>
      <c r="AG595" t="s">
        <v>35872</v>
      </c>
    </row>
    <row r="596" spans="1:33" x14ac:dyDescent="0.25">
      <c r="A596" t="s">
        <v>34462</v>
      </c>
      <c r="B596" t="s">
        <v>3083</v>
      </c>
      <c r="C596" t="s">
        <v>3085</v>
      </c>
      <c r="D596">
        <v>21.99</v>
      </c>
      <c r="E596">
        <v>21.99</v>
      </c>
      <c r="F596">
        <v>382300</v>
      </c>
      <c r="G596">
        <v>3306142</v>
      </c>
      <c r="J596">
        <v>0</v>
      </c>
      <c r="K596">
        <v>1</v>
      </c>
      <c r="L596">
        <v>5</v>
      </c>
      <c r="M596">
        <v>5</v>
      </c>
      <c r="N596">
        <v>4.8</v>
      </c>
      <c r="O596">
        <v>0</v>
      </c>
      <c r="P596">
        <v>238</v>
      </c>
      <c r="Q596">
        <v>5</v>
      </c>
      <c r="R596">
        <v>6</v>
      </c>
      <c r="S596" t="s">
        <v>35877</v>
      </c>
      <c r="U596">
        <v>0.54895037999999996</v>
      </c>
      <c r="V596">
        <v>7.24</v>
      </c>
      <c r="X596" t="s">
        <v>3082</v>
      </c>
      <c r="Z596" t="s">
        <v>3049</v>
      </c>
      <c r="AA596" t="s">
        <v>235</v>
      </c>
      <c r="AB596" t="s">
        <v>35888</v>
      </c>
      <c r="AC596" t="s">
        <v>34465</v>
      </c>
      <c r="AD596" t="s">
        <v>11496</v>
      </c>
      <c r="AE596" t="s">
        <v>34512</v>
      </c>
      <c r="AF596" t="s">
        <v>35879</v>
      </c>
      <c r="AG596" t="s">
        <v>35872</v>
      </c>
    </row>
    <row r="597" spans="1:33" x14ac:dyDescent="0.25">
      <c r="A597" t="s">
        <v>34462</v>
      </c>
      <c r="B597" t="s">
        <v>3088</v>
      </c>
      <c r="C597" t="s">
        <v>3091</v>
      </c>
      <c r="D597">
        <v>50</v>
      </c>
      <c r="E597">
        <v>50</v>
      </c>
      <c r="F597">
        <v>397142</v>
      </c>
      <c r="G597">
        <v>231748</v>
      </c>
      <c r="H597">
        <v>91.25</v>
      </c>
      <c r="I597">
        <v>92.69</v>
      </c>
      <c r="J597">
        <v>0</v>
      </c>
      <c r="K597">
        <v>0</v>
      </c>
      <c r="L597">
        <v>1</v>
      </c>
      <c r="M597">
        <v>1</v>
      </c>
      <c r="N597">
        <v>4.7</v>
      </c>
      <c r="O597">
        <v>0</v>
      </c>
      <c r="P597">
        <v>1935</v>
      </c>
      <c r="Q597">
        <v>18</v>
      </c>
      <c r="R597">
        <v>54</v>
      </c>
      <c r="S597" t="s">
        <v>35889</v>
      </c>
      <c r="U597">
        <v>2.9211214999999999</v>
      </c>
      <c r="V597">
        <v>19.11</v>
      </c>
      <c r="W597">
        <v>8.5</v>
      </c>
      <c r="X597" t="s">
        <v>3087</v>
      </c>
      <c r="Y597" t="s">
        <v>3092</v>
      </c>
      <c r="Z597" t="s">
        <v>3092</v>
      </c>
      <c r="AA597" t="s">
        <v>3093</v>
      </c>
      <c r="AB597" t="s">
        <v>35890</v>
      </c>
      <c r="AC597" t="s">
        <v>34493</v>
      </c>
      <c r="AD597" t="s">
        <v>12423</v>
      </c>
      <c r="AE597" t="s">
        <v>34533</v>
      </c>
      <c r="AF597" t="s">
        <v>35891</v>
      </c>
      <c r="AG597" t="s">
        <v>35892</v>
      </c>
    </row>
    <row r="598" spans="1:33" x14ac:dyDescent="0.25">
      <c r="A598" t="s">
        <v>34462</v>
      </c>
      <c r="B598" t="s">
        <v>3095</v>
      </c>
      <c r="C598" t="s">
        <v>3097</v>
      </c>
      <c r="D598">
        <v>96</v>
      </c>
      <c r="E598">
        <v>88.05</v>
      </c>
      <c r="F598">
        <v>356748</v>
      </c>
      <c r="G598">
        <v>346356</v>
      </c>
      <c r="H598">
        <v>113.02</v>
      </c>
      <c r="I598">
        <v>115.4</v>
      </c>
      <c r="J598">
        <v>0</v>
      </c>
      <c r="K598">
        <v>1</v>
      </c>
      <c r="L598">
        <v>1</v>
      </c>
      <c r="M598">
        <v>1</v>
      </c>
      <c r="N598">
        <v>4.7</v>
      </c>
      <c r="O598">
        <v>0</v>
      </c>
      <c r="P598">
        <v>1932</v>
      </c>
      <c r="Q598">
        <v>20</v>
      </c>
      <c r="R598">
        <v>60</v>
      </c>
      <c r="S598" t="s">
        <v>35889</v>
      </c>
      <c r="U598">
        <v>3.2628376000000001</v>
      </c>
      <c r="V598">
        <v>19.489999999999998</v>
      </c>
      <c r="W598">
        <v>16.32</v>
      </c>
      <c r="X598" t="s">
        <v>3094</v>
      </c>
      <c r="Y598" t="s">
        <v>3098</v>
      </c>
      <c r="Z598" t="s">
        <v>3098</v>
      </c>
      <c r="AA598" t="s">
        <v>3099</v>
      </c>
      <c r="AB598" t="s">
        <v>35893</v>
      </c>
      <c r="AC598" t="s">
        <v>34465</v>
      </c>
      <c r="AD598" t="s">
        <v>12423</v>
      </c>
      <c r="AE598" t="s">
        <v>34533</v>
      </c>
      <c r="AF598" t="s">
        <v>35894</v>
      </c>
      <c r="AG598" t="s">
        <v>35892</v>
      </c>
    </row>
    <row r="599" spans="1:33" x14ac:dyDescent="0.25">
      <c r="A599" t="s">
        <v>34462</v>
      </c>
      <c r="B599" t="s">
        <v>3101</v>
      </c>
      <c r="C599" t="s">
        <v>3103</v>
      </c>
      <c r="D599">
        <v>50</v>
      </c>
      <c r="E599">
        <v>50</v>
      </c>
      <c r="F599">
        <v>397142</v>
      </c>
      <c r="G599">
        <v>347099</v>
      </c>
      <c r="H599">
        <v>91.77</v>
      </c>
      <c r="I599">
        <v>98.52</v>
      </c>
      <c r="J599">
        <v>0</v>
      </c>
      <c r="K599">
        <v>0</v>
      </c>
      <c r="L599">
        <v>1</v>
      </c>
      <c r="M599">
        <v>1</v>
      </c>
      <c r="N599">
        <v>4.7</v>
      </c>
      <c r="O599">
        <v>1</v>
      </c>
      <c r="P599">
        <v>1935</v>
      </c>
      <c r="Q599">
        <v>23</v>
      </c>
      <c r="R599">
        <v>80</v>
      </c>
      <c r="S599" t="s">
        <v>35889</v>
      </c>
      <c r="U599">
        <v>2.8219135999999998</v>
      </c>
      <c r="V599">
        <v>14.55</v>
      </c>
      <c r="W599">
        <v>8.5</v>
      </c>
      <c r="X599" t="s">
        <v>3100</v>
      </c>
      <c r="Y599" t="s">
        <v>3104</v>
      </c>
      <c r="Z599" t="s">
        <v>3104</v>
      </c>
      <c r="AA599" t="s">
        <v>3105</v>
      </c>
      <c r="AB599" t="s">
        <v>35895</v>
      </c>
      <c r="AC599" t="s">
        <v>34493</v>
      </c>
      <c r="AD599" t="s">
        <v>12423</v>
      </c>
      <c r="AE599" t="s">
        <v>34533</v>
      </c>
      <c r="AF599" t="s">
        <v>35896</v>
      </c>
      <c r="AG599" t="s">
        <v>35892</v>
      </c>
    </row>
    <row r="600" spans="1:33" x14ac:dyDescent="0.25">
      <c r="A600" t="s">
        <v>34462</v>
      </c>
      <c r="B600" t="s">
        <v>3107</v>
      </c>
      <c r="C600" t="s">
        <v>3109</v>
      </c>
      <c r="D600">
        <v>96</v>
      </c>
      <c r="E600">
        <v>88.05</v>
      </c>
      <c r="F600">
        <v>397142</v>
      </c>
      <c r="G600">
        <v>341378</v>
      </c>
      <c r="H600">
        <v>98.22</v>
      </c>
      <c r="I600">
        <v>106.28</v>
      </c>
      <c r="J600">
        <v>0</v>
      </c>
      <c r="K600">
        <v>1</v>
      </c>
      <c r="L600">
        <v>1</v>
      </c>
      <c r="M600">
        <v>1</v>
      </c>
      <c r="N600">
        <v>4.7</v>
      </c>
      <c r="O600">
        <v>0</v>
      </c>
      <c r="P600">
        <v>1932</v>
      </c>
      <c r="Q600">
        <v>15</v>
      </c>
      <c r="R600">
        <v>45</v>
      </c>
      <c r="S600" t="s">
        <v>35889</v>
      </c>
      <c r="U600">
        <v>3.2628376000000001</v>
      </c>
      <c r="V600">
        <v>18.91</v>
      </c>
      <c r="W600">
        <v>16.32</v>
      </c>
      <c r="X600" t="s">
        <v>3106</v>
      </c>
      <c r="Y600" t="s">
        <v>3111</v>
      </c>
      <c r="Z600" t="s">
        <v>3111</v>
      </c>
      <c r="AA600" t="s">
        <v>3093</v>
      </c>
      <c r="AB600" t="s">
        <v>35897</v>
      </c>
      <c r="AC600" t="s">
        <v>34465</v>
      </c>
      <c r="AD600" t="s">
        <v>12423</v>
      </c>
      <c r="AE600" t="s">
        <v>14701</v>
      </c>
      <c r="AF600" t="s">
        <v>35898</v>
      </c>
      <c r="AG600" t="s">
        <v>35892</v>
      </c>
    </row>
    <row r="601" spans="1:33" x14ac:dyDescent="0.25">
      <c r="A601" t="s">
        <v>34462</v>
      </c>
      <c r="B601" t="s">
        <v>3113</v>
      </c>
      <c r="C601" t="s">
        <v>3115</v>
      </c>
      <c r="D601">
        <v>81.93</v>
      </c>
      <c r="E601">
        <v>73.98</v>
      </c>
      <c r="F601">
        <v>397142</v>
      </c>
      <c r="G601">
        <v>193106</v>
      </c>
      <c r="H601">
        <v>82.36</v>
      </c>
      <c r="I601">
        <v>116.07</v>
      </c>
      <c r="J601">
        <v>0</v>
      </c>
      <c r="K601">
        <v>1</v>
      </c>
      <c r="L601">
        <v>1</v>
      </c>
      <c r="M601">
        <v>1</v>
      </c>
      <c r="N601">
        <v>4.7</v>
      </c>
      <c r="O601">
        <v>0</v>
      </c>
      <c r="P601">
        <v>1932</v>
      </c>
      <c r="Q601">
        <v>20</v>
      </c>
      <c r="R601">
        <v>55</v>
      </c>
      <c r="S601" t="s">
        <v>35889</v>
      </c>
      <c r="U601">
        <v>3.2628376000000001</v>
      </c>
      <c r="V601">
        <v>19.489999999999998</v>
      </c>
      <c r="W601">
        <v>13.93</v>
      </c>
      <c r="X601" t="s">
        <v>3112</v>
      </c>
      <c r="Y601" t="s">
        <v>3116</v>
      </c>
      <c r="Z601" t="s">
        <v>3116</v>
      </c>
      <c r="AA601" t="s">
        <v>3117</v>
      </c>
      <c r="AB601" t="s">
        <v>35899</v>
      </c>
      <c r="AC601" t="s">
        <v>34465</v>
      </c>
      <c r="AD601" t="s">
        <v>12423</v>
      </c>
      <c r="AE601" t="s">
        <v>14701</v>
      </c>
      <c r="AF601" t="s">
        <v>35900</v>
      </c>
      <c r="AG601" t="s">
        <v>35892</v>
      </c>
    </row>
    <row r="602" spans="1:33" x14ac:dyDescent="0.25">
      <c r="A602" t="s">
        <v>34462</v>
      </c>
      <c r="B602" t="s">
        <v>3119</v>
      </c>
      <c r="C602" t="s">
        <v>3121</v>
      </c>
      <c r="D602">
        <v>88.05</v>
      </c>
      <c r="E602">
        <v>88.05</v>
      </c>
      <c r="F602">
        <v>397142</v>
      </c>
      <c r="G602">
        <v>202688</v>
      </c>
      <c r="H602">
        <v>95.17</v>
      </c>
      <c r="I602">
        <v>95.17</v>
      </c>
      <c r="J602">
        <v>0</v>
      </c>
      <c r="K602">
        <v>1</v>
      </c>
      <c r="L602">
        <v>1</v>
      </c>
      <c r="M602">
        <v>1</v>
      </c>
      <c r="N602">
        <v>4.7</v>
      </c>
      <c r="O602">
        <v>0</v>
      </c>
      <c r="P602">
        <v>1932</v>
      </c>
      <c r="Q602">
        <v>20</v>
      </c>
      <c r="R602">
        <v>54</v>
      </c>
      <c r="S602" t="s">
        <v>35889</v>
      </c>
      <c r="U602">
        <v>3.2628376000000001</v>
      </c>
      <c r="V602">
        <v>19.489999999999998</v>
      </c>
      <c r="X602" t="s">
        <v>3118</v>
      </c>
      <c r="Y602" t="s">
        <v>3122</v>
      </c>
      <c r="Z602" t="s">
        <v>3122</v>
      </c>
      <c r="AA602" t="s">
        <v>3099</v>
      </c>
      <c r="AB602" t="s">
        <v>35901</v>
      </c>
      <c r="AC602" t="s">
        <v>34465</v>
      </c>
      <c r="AD602" t="s">
        <v>12423</v>
      </c>
      <c r="AE602" t="s">
        <v>14701</v>
      </c>
      <c r="AF602" t="s">
        <v>35894</v>
      </c>
      <c r="AG602" t="s">
        <v>35892</v>
      </c>
    </row>
    <row r="603" spans="1:33" x14ac:dyDescent="0.25">
      <c r="A603" t="s">
        <v>34462</v>
      </c>
      <c r="B603" t="s">
        <v>3124</v>
      </c>
      <c r="C603" t="s">
        <v>3126</v>
      </c>
      <c r="D603">
        <v>96</v>
      </c>
      <c r="E603">
        <v>96</v>
      </c>
      <c r="F603">
        <v>393221</v>
      </c>
      <c r="G603">
        <v>300321</v>
      </c>
      <c r="H603">
        <v>91.19</v>
      </c>
      <c r="I603">
        <v>97.74</v>
      </c>
      <c r="J603">
        <v>0</v>
      </c>
      <c r="K603">
        <v>0</v>
      </c>
      <c r="L603">
        <v>1</v>
      </c>
      <c r="M603">
        <v>1</v>
      </c>
      <c r="N603">
        <v>4.7</v>
      </c>
      <c r="O603">
        <v>2</v>
      </c>
      <c r="P603">
        <v>1935</v>
      </c>
      <c r="Q603">
        <v>20</v>
      </c>
      <c r="R603">
        <v>73</v>
      </c>
      <c r="S603" t="s">
        <v>35889</v>
      </c>
      <c r="U603">
        <v>2.9762369999999998</v>
      </c>
      <c r="V603">
        <v>21.39</v>
      </c>
      <c r="W603">
        <v>16.32</v>
      </c>
      <c r="X603" t="s">
        <v>3123</v>
      </c>
      <c r="Y603" t="s">
        <v>3127</v>
      </c>
      <c r="Z603" t="s">
        <v>3127</v>
      </c>
      <c r="AA603" t="s">
        <v>3105</v>
      </c>
      <c r="AB603" t="s">
        <v>35902</v>
      </c>
      <c r="AC603" t="s">
        <v>34493</v>
      </c>
      <c r="AD603" t="s">
        <v>12423</v>
      </c>
      <c r="AE603" t="s">
        <v>14701</v>
      </c>
      <c r="AF603" t="s">
        <v>35903</v>
      </c>
      <c r="AG603" t="s">
        <v>35892</v>
      </c>
    </row>
    <row r="604" spans="1:33" x14ac:dyDescent="0.25">
      <c r="A604" t="s">
        <v>34462</v>
      </c>
      <c r="B604" t="s">
        <v>3129</v>
      </c>
      <c r="C604" t="s">
        <v>3131</v>
      </c>
      <c r="D604">
        <v>96</v>
      </c>
      <c r="E604">
        <v>88.05</v>
      </c>
      <c r="F604">
        <v>356748</v>
      </c>
      <c r="G604">
        <v>458416</v>
      </c>
      <c r="H604">
        <v>121.84</v>
      </c>
      <c r="I604">
        <v>122.06</v>
      </c>
      <c r="J604">
        <v>0</v>
      </c>
      <c r="K604">
        <v>0</v>
      </c>
      <c r="L604">
        <v>2</v>
      </c>
      <c r="M604">
        <v>2</v>
      </c>
      <c r="N604">
        <v>4.7</v>
      </c>
      <c r="O604">
        <v>0</v>
      </c>
      <c r="P604">
        <v>1932</v>
      </c>
      <c r="Q604">
        <v>17</v>
      </c>
      <c r="R604">
        <v>49</v>
      </c>
      <c r="S604" t="s">
        <v>35889</v>
      </c>
      <c r="U604">
        <v>3.2628376000000001</v>
      </c>
      <c r="V604">
        <v>19.489999999999998</v>
      </c>
      <c r="W604">
        <v>16.32</v>
      </c>
      <c r="X604" t="s">
        <v>3128</v>
      </c>
      <c r="Y604" t="s">
        <v>3132</v>
      </c>
      <c r="Z604" t="s">
        <v>3132</v>
      </c>
      <c r="AA604" t="s">
        <v>3133</v>
      </c>
      <c r="AB604" t="s">
        <v>35904</v>
      </c>
      <c r="AC604" t="s">
        <v>34493</v>
      </c>
      <c r="AD604" t="s">
        <v>12423</v>
      </c>
      <c r="AE604" t="s">
        <v>14701</v>
      </c>
      <c r="AF604" t="s">
        <v>35905</v>
      </c>
      <c r="AG604" t="s">
        <v>35892</v>
      </c>
    </row>
    <row r="605" spans="1:33" x14ac:dyDescent="0.25">
      <c r="A605" t="s">
        <v>34462</v>
      </c>
      <c r="B605" t="s">
        <v>3135</v>
      </c>
      <c r="C605" t="s">
        <v>3137</v>
      </c>
      <c r="D605">
        <v>50</v>
      </c>
      <c r="E605">
        <v>50</v>
      </c>
      <c r="F605">
        <v>397142</v>
      </c>
      <c r="G605">
        <v>2000505</v>
      </c>
      <c r="H605">
        <v>121.68</v>
      </c>
      <c r="I605">
        <v>121.68</v>
      </c>
      <c r="J605">
        <v>0.03</v>
      </c>
      <c r="K605">
        <v>0.14000000000000001</v>
      </c>
      <c r="L605">
        <v>2</v>
      </c>
      <c r="M605">
        <v>2</v>
      </c>
      <c r="N605">
        <v>4.7</v>
      </c>
      <c r="O605">
        <v>0</v>
      </c>
      <c r="P605">
        <v>1935</v>
      </c>
      <c r="Q605">
        <v>16</v>
      </c>
      <c r="R605">
        <v>19</v>
      </c>
      <c r="S605" t="s">
        <v>35889</v>
      </c>
      <c r="U605">
        <v>3.2628376000000001</v>
      </c>
      <c r="V605">
        <v>19.489999999999998</v>
      </c>
      <c r="W605">
        <v>8.5</v>
      </c>
      <c r="X605" t="s">
        <v>3134</v>
      </c>
      <c r="Y605" t="s">
        <v>35906</v>
      </c>
      <c r="Z605" t="s">
        <v>3138</v>
      </c>
      <c r="AA605" t="s">
        <v>3105</v>
      </c>
      <c r="AB605" t="s">
        <v>35907</v>
      </c>
      <c r="AC605" t="s">
        <v>34493</v>
      </c>
      <c r="AD605" t="s">
        <v>12423</v>
      </c>
      <c r="AE605" t="s">
        <v>34525</v>
      </c>
      <c r="AF605" t="s">
        <v>35896</v>
      </c>
      <c r="AG605" t="s">
        <v>35892</v>
      </c>
    </row>
    <row r="606" spans="1:33" x14ac:dyDescent="0.25">
      <c r="A606" t="s">
        <v>34462</v>
      </c>
      <c r="B606" t="s">
        <v>3140</v>
      </c>
      <c r="C606" t="s">
        <v>3142</v>
      </c>
      <c r="D606">
        <v>78.3</v>
      </c>
      <c r="E606">
        <v>78.3</v>
      </c>
      <c r="F606">
        <v>356748</v>
      </c>
      <c r="G606">
        <v>477913</v>
      </c>
      <c r="H606">
        <v>96</v>
      </c>
      <c r="I606">
        <v>108.57</v>
      </c>
      <c r="J606">
        <v>0.16</v>
      </c>
      <c r="K606">
        <v>1</v>
      </c>
      <c r="L606">
        <v>1</v>
      </c>
      <c r="M606">
        <v>1</v>
      </c>
      <c r="N606">
        <v>4.7</v>
      </c>
      <c r="O606">
        <v>0</v>
      </c>
      <c r="P606">
        <v>1930</v>
      </c>
      <c r="Q606">
        <v>16</v>
      </c>
      <c r="R606">
        <v>40</v>
      </c>
      <c r="S606" t="s">
        <v>35889</v>
      </c>
      <c r="U606">
        <v>3.2628376000000001</v>
      </c>
      <c r="V606">
        <v>19.489999999999998</v>
      </c>
      <c r="X606" t="s">
        <v>3139</v>
      </c>
      <c r="Y606" t="s">
        <v>3143</v>
      </c>
      <c r="Z606" t="s">
        <v>3143</v>
      </c>
      <c r="AA606" t="s">
        <v>3117</v>
      </c>
      <c r="AB606" t="s">
        <v>35908</v>
      </c>
      <c r="AC606" t="s">
        <v>34465</v>
      </c>
      <c r="AD606" t="s">
        <v>12423</v>
      </c>
      <c r="AE606" t="s">
        <v>34649</v>
      </c>
      <c r="AF606" t="s">
        <v>35900</v>
      </c>
      <c r="AG606" t="s">
        <v>35892</v>
      </c>
    </row>
    <row r="607" spans="1:33" x14ac:dyDescent="0.25">
      <c r="A607" t="s">
        <v>34462</v>
      </c>
      <c r="B607" t="s">
        <v>3145</v>
      </c>
      <c r="C607" t="s">
        <v>3147</v>
      </c>
      <c r="D607">
        <v>50</v>
      </c>
      <c r="E607">
        <v>50</v>
      </c>
      <c r="F607">
        <v>397142</v>
      </c>
      <c r="G607">
        <v>249103</v>
      </c>
      <c r="H607">
        <v>90.23</v>
      </c>
      <c r="I607">
        <v>91.25</v>
      </c>
      <c r="J607">
        <v>0</v>
      </c>
      <c r="K607">
        <v>0</v>
      </c>
      <c r="L607">
        <v>1</v>
      </c>
      <c r="M607">
        <v>1</v>
      </c>
      <c r="N607">
        <v>4.7</v>
      </c>
      <c r="O607">
        <v>1</v>
      </c>
      <c r="P607">
        <v>1932</v>
      </c>
      <c r="Q607">
        <v>19</v>
      </c>
      <c r="R607">
        <v>68</v>
      </c>
      <c r="S607" t="s">
        <v>35889</v>
      </c>
      <c r="U607">
        <v>3.24960988</v>
      </c>
      <c r="V607">
        <v>17.21</v>
      </c>
      <c r="W607">
        <v>8.5</v>
      </c>
      <c r="X607" t="s">
        <v>3144</v>
      </c>
      <c r="Y607" t="s">
        <v>3148</v>
      </c>
      <c r="Z607" t="s">
        <v>3148</v>
      </c>
      <c r="AA607" t="s">
        <v>3093</v>
      </c>
      <c r="AB607" t="s">
        <v>35909</v>
      </c>
      <c r="AC607" t="s">
        <v>34493</v>
      </c>
      <c r="AD607" t="s">
        <v>12423</v>
      </c>
      <c r="AE607" t="s">
        <v>34649</v>
      </c>
      <c r="AF607" t="s">
        <v>35898</v>
      </c>
      <c r="AG607" t="s">
        <v>35892</v>
      </c>
    </row>
    <row r="608" spans="1:33" x14ac:dyDescent="0.25">
      <c r="A608" t="s">
        <v>34462</v>
      </c>
      <c r="B608" t="s">
        <v>3150</v>
      </c>
      <c r="C608" t="s">
        <v>3152</v>
      </c>
      <c r="D608">
        <v>96</v>
      </c>
      <c r="E608">
        <v>88.05</v>
      </c>
      <c r="F608">
        <v>393221</v>
      </c>
      <c r="G608">
        <v>321078</v>
      </c>
      <c r="H608">
        <v>119.66</v>
      </c>
      <c r="I608">
        <v>120.54</v>
      </c>
      <c r="J608">
        <v>0</v>
      </c>
      <c r="K608">
        <v>0</v>
      </c>
      <c r="L608">
        <v>3</v>
      </c>
      <c r="M608">
        <v>3</v>
      </c>
      <c r="N608">
        <v>4.7</v>
      </c>
      <c r="O608">
        <v>0</v>
      </c>
      <c r="P608">
        <v>1935</v>
      </c>
      <c r="Q608">
        <v>27</v>
      </c>
      <c r="R608">
        <v>78</v>
      </c>
      <c r="S608" t="s">
        <v>35889</v>
      </c>
      <c r="U608">
        <v>3.2628376000000001</v>
      </c>
      <c r="V608">
        <v>19.489999999999998</v>
      </c>
      <c r="W608">
        <v>16.32</v>
      </c>
      <c r="X608" t="s">
        <v>3149</v>
      </c>
      <c r="Y608" t="s">
        <v>3154</v>
      </c>
      <c r="Z608" t="s">
        <v>3154</v>
      </c>
      <c r="AA608" t="s">
        <v>3133</v>
      </c>
      <c r="AB608" t="s">
        <v>35910</v>
      </c>
      <c r="AC608" t="s">
        <v>34493</v>
      </c>
      <c r="AD608" t="s">
        <v>12423</v>
      </c>
      <c r="AE608" t="s">
        <v>34649</v>
      </c>
      <c r="AF608" t="s">
        <v>35905</v>
      </c>
      <c r="AG608" t="s">
        <v>35892</v>
      </c>
    </row>
    <row r="609" spans="1:33" x14ac:dyDescent="0.25">
      <c r="A609" t="s">
        <v>34462</v>
      </c>
      <c r="B609" t="s">
        <v>3156</v>
      </c>
      <c r="C609" t="s">
        <v>3158</v>
      </c>
      <c r="D609">
        <v>100</v>
      </c>
      <c r="E609">
        <v>100</v>
      </c>
      <c r="F609">
        <v>393221</v>
      </c>
      <c r="G609">
        <v>276696</v>
      </c>
      <c r="H609">
        <v>92</v>
      </c>
      <c r="I609">
        <v>97.37</v>
      </c>
      <c r="J609">
        <v>0</v>
      </c>
      <c r="K609">
        <v>0</v>
      </c>
      <c r="L609">
        <v>1</v>
      </c>
      <c r="M609">
        <v>1</v>
      </c>
      <c r="N609">
        <v>4.7</v>
      </c>
      <c r="O609">
        <v>0</v>
      </c>
      <c r="P609">
        <v>1932</v>
      </c>
      <c r="Q609">
        <v>32</v>
      </c>
      <c r="R609">
        <v>79</v>
      </c>
      <c r="S609" t="s">
        <v>35889</v>
      </c>
      <c r="U609">
        <v>3.2297682999999999</v>
      </c>
      <c r="V609">
        <v>19.87</v>
      </c>
      <c r="W609">
        <v>17</v>
      </c>
      <c r="X609" t="s">
        <v>3155</v>
      </c>
      <c r="Y609" t="s">
        <v>3159</v>
      </c>
      <c r="Z609" t="s">
        <v>3159</v>
      </c>
      <c r="AA609" t="s">
        <v>3105</v>
      </c>
      <c r="AB609" t="s">
        <v>35911</v>
      </c>
      <c r="AC609" t="s">
        <v>34493</v>
      </c>
      <c r="AD609" t="s">
        <v>12423</v>
      </c>
      <c r="AE609" t="s">
        <v>34649</v>
      </c>
      <c r="AF609" t="s">
        <v>35903</v>
      </c>
      <c r="AG609" t="s">
        <v>35892</v>
      </c>
    </row>
    <row r="610" spans="1:33" x14ac:dyDescent="0.25">
      <c r="A610" t="s">
        <v>34462</v>
      </c>
      <c r="B610" t="s">
        <v>3161</v>
      </c>
      <c r="C610" t="s">
        <v>3163</v>
      </c>
      <c r="D610">
        <v>98.59</v>
      </c>
      <c r="E610">
        <v>88.05</v>
      </c>
      <c r="F610">
        <v>397142</v>
      </c>
      <c r="G610">
        <v>445682</v>
      </c>
      <c r="H610">
        <v>106.64</v>
      </c>
      <c r="I610">
        <v>114.21</v>
      </c>
      <c r="J610">
        <v>0</v>
      </c>
      <c r="K610">
        <v>0</v>
      </c>
      <c r="L610">
        <v>2</v>
      </c>
      <c r="M610">
        <v>2</v>
      </c>
      <c r="N610">
        <v>4.7</v>
      </c>
      <c r="O610">
        <v>0</v>
      </c>
      <c r="P610">
        <v>1935</v>
      </c>
      <c r="Q610">
        <v>15</v>
      </c>
      <c r="R610">
        <v>43</v>
      </c>
      <c r="S610" t="s">
        <v>35889</v>
      </c>
      <c r="U610">
        <v>3.4943227000000001</v>
      </c>
      <c r="V610">
        <v>16.07</v>
      </c>
      <c r="W610">
        <v>16.760000000000002</v>
      </c>
      <c r="X610" t="s">
        <v>3160</v>
      </c>
      <c r="Y610" t="s">
        <v>3164</v>
      </c>
      <c r="Z610" t="s">
        <v>3164</v>
      </c>
      <c r="AA610" t="s">
        <v>3133</v>
      </c>
      <c r="AB610" t="s">
        <v>35912</v>
      </c>
      <c r="AC610" t="s">
        <v>34493</v>
      </c>
      <c r="AD610" t="s">
        <v>12423</v>
      </c>
      <c r="AE610" t="s">
        <v>34469</v>
      </c>
      <c r="AF610" t="s">
        <v>35905</v>
      </c>
      <c r="AG610" t="s">
        <v>35892</v>
      </c>
    </row>
    <row r="611" spans="1:33" x14ac:dyDescent="0.25">
      <c r="A611" t="s">
        <v>34462</v>
      </c>
      <c r="B611" t="s">
        <v>3166</v>
      </c>
      <c r="C611" t="s">
        <v>3168</v>
      </c>
      <c r="D611">
        <v>50</v>
      </c>
      <c r="E611">
        <v>50</v>
      </c>
      <c r="F611">
        <v>397142</v>
      </c>
      <c r="G611">
        <v>311703</v>
      </c>
      <c r="H611">
        <v>91.34</v>
      </c>
      <c r="I611">
        <v>98.36</v>
      </c>
      <c r="J611">
        <v>0</v>
      </c>
      <c r="K611">
        <v>0</v>
      </c>
      <c r="L611">
        <v>1</v>
      </c>
      <c r="M611">
        <v>1</v>
      </c>
      <c r="N611">
        <v>4.7</v>
      </c>
      <c r="O611">
        <v>0</v>
      </c>
      <c r="P611">
        <v>1935</v>
      </c>
      <c r="Q611">
        <v>16</v>
      </c>
      <c r="R611">
        <v>55</v>
      </c>
      <c r="S611" t="s">
        <v>35889</v>
      </c>
      <c r="U611">
        <v>3.4612533999999999</v>
      </c>
      <c r="V611">
        <v>21.39</v>
      </c>
      <c r="W611">
        <v>8.5</v>
      </c>
      <c r="X611" t="s">
        <v>3165</v>
      </c>
      <c r="Y611" t="s">
        <v>3169</v>
      </c>
      <c r="Z611" t="s">
        <v>3169</v>
      </c>
      <c r="AA611" t="s">
        <v>3105</v>
      </c>
      <c r="AB611" t="s">
        <v>35913</v>
      </c>
      <c r="AC611" t="s">
        <v>34493</v>
      </c>
      <c r="AD611" t="s">
        <v>12423</v>
      </c>
      <c r="AE611" t="s">
        <v>34469</v>
      </c>
      <c r="AF611" t="s">
        <v>35896</v>
      </c>
      <c r="AG611" t="s">
        <v>35892</v>
      </c>
    </row>
    <row r="612" spans="1:33" x14ac:dyDescent="0.25">
      <c r="A612" t="s">
        <v>34462</v>
      </c>
      <c r="B612" t="s">
        <v>3171</v>
      </c>
      <c r="C612" t="s">
        <v>3174</v>
      </c>
      <c r="D612">
        <v>37.119999999999997</v>
      </c>
      <c r="G612">
        <v>483361</v>
      </c>
      <c r="I612">
        <v>37.119999999999997</v>
      </c>
      <c r="J612">
        <v>0.88</v>
      </c>
      <c r="K612">
        <v>1</v>
      </c>
      <c r="L612">
        <v>1</v>
      </c>
      <c r="O612">
        <v>0</v>
      </c>
      <c r="Q612">
        <v>0</v>
      </c>
      <c r="R612">
        <v>12</v>
      </c>
      <c r="X612" t="s">
        <v>3170</v>
      </c>
      <c r="AB612" t="s">
        <v>35914</v>
      </c>
      <c r="AC612" t="s">
        <v>34465</v>
      </c>
      <c r="AD612" t="s">
        <v>11496</v>
      </c>
      <c r="AF612" t="s">
        <v>35915</v>
      </c>
      <c r="AG612" t="s">
        <v>35916</v>
      </c>
    </row>
    <row r="613" spans="1:33" x14ac:dyDescent="0.25">
      <c r="A613" t="s">
        <v>34462</v>
      </c>
      <c r="B613" t="s">
        <v>3177</v>
      </c>
      <c r="C613" t="s">
        <v>3179</v>
      </c>
      <c r="D613">
        <v>37.119999999999997</v>
      </c>
      <c r="G613">
        <v>525361</v>
      </c>
      <c r="I613">
        <v>37.119999999999997</v>
      </c>
      <c r="J613">
        <v>0.86</v>
      </c>
      <c r="K613">
        <v>1</v>
      </c>
      <c r="L613">
        <v>1</v>
      </c>
      <c r="O613">
        <v>0</v>
      </c>
      <c r="Q613">
        <v>0</v>
      </c>
      <c r="R613">
        <v>6</v>
      </c>
      <c r="X613" t="s">
        <v>3176</v>
      </c>
      <c r="AB613" t="s">
        <v>35917</v>
      </c>
      <c r="AC613" t="s">
        <v>34465</v>
      </c>
      <c r="AD613" t="s">
        <v>11496</v>
      </c>
    </row>
    <row r="614" spans="1:33" x14ac:dyDescent="0.25">
      <c r="A614" t="s">
        <v>34462</v>
      </c>
      <c r="B614" t="s">
        <v>3181</v>
      </c>
      <c r="C614" t="s">
        <v>3183</v>
      </c>
      <c r="D614">
        <v>37.119999999999997</v>
      </c>
      <c r="G614">
        <v>531507</v>
      </c>
      <c r="H614">
        <v>37.119999999999997</v>
      </c>
      <c r="I614">
        <v>37.119999999999997</v>
      </c>
      <c r="J614">
        <v>0.89</v>
      </c>
      <c r="K614">
        <v>1</v>
      </c>
      <c r="L614">
        <v>1</v>
      </c>
      <c r="O614">
        <v>0</v>
      </c>
      <c r="Q614">
        <v>0</v>
      </c>
      <c r="R614">
        <v>7</v>
      </c>
      <c r="X614" t="s">
        <v>3180</v>
      </c>
      <c r="AB614" t="s">
        <v>35918</v>
      </c>
      <c r="AC614" t="s">
        <v>34465</v>
      </c>
      <c r="AD614" t="s">
        <v>11496</v>
      </c>
    </row>
    <row r="615" spans="1:33" x14ac:dyDescent="0.25">
      <c r="A615" t="s">
        <v>34462</v>
      </c>
      <c r="B615" t="s">
        <v>3186</v>
      </c>
      <c r="C615" t="s">
        <v>3189</v>
      </c>
      <c r="D615">
        <v>13</v>
      </c>
      <c r="E615">
        <v>13</v>
      </c>
      <c r="G615">
        <v>6429972</v>
      </c>
      <c r="H615">
        <v>21.07</v>
      </c>
      <c r="I615">
        <v>26.92</v>
      </c>
      <c r="J615">
        <v>0</v>
      </c>
      <c r="K615">
        <v>1</v>
      </c>
      <c r="L615">
        <v>4</v>
      </c>
      <c r="M615">
        <v>4</v>
      </c>
      <c r="O615">
        <v>0</v>
      </c>
      <c r="Q615">
        <v>0</v>
      </c>
      <c r="R615">
        <v>0</v>
      </c>
      <c r="U615">
        <v>0.39903622</v>
      </c>
      <c r="V615">
        <v>3.35</v>
      </c>
      <c r="X615" t="s">
        <v>3185</v>
      </c>
      <c r="AA615" t="s">
        <v>3190</v>
      </c>
      <c r="AB615" t="s">
        <v>35919</v>
      </c>
      <c r="AC615" t="s">
        <v>34465</v>
      </c>
      <c r="AD615" t="s">
        <v>11496</v>
      </c>
      <c r="AE615" t="s">
        <v>34826</v>
      </c>
      <c r="AF615" t="s">
        <v>35920</v>
      </c>
      <c r="AG615" t="s">
        <v>35921</v>
      </c>
    </row>
    <row r="616" spans="1:33" x14ac:dyDescent="0.25">
      <c r="A616" t="s">
        <v>34462</v>
      </c>
      <c r="B616" t="s">
        <v>3192</v>
      </c>
      <c r="C616" t="s">
        <v>3194</v>
      </c>
      <c r="D616">
        <v>24.02</v>
      </c>
      <c r="E616">
        <v>24.02</v>
      </c>
      <c r="F616">
        <v>53837</v>
      </c>
      <c r="G616">
        <v>485761</v>
      </c>
      <c r="H616">
        <v>22.38</v>
      </c>
      <c r="I616">
        <v>23.06</v>
      </c>
      <c r="J616">
        <v>0</v>
      </c>
      <c r="K616">
        <v>1</v>
      </c>
      <c r="L616">
        <v>6</v>
      </c>
      <c r="M616">
        <v>6</v>
      </c>
      <c r="N616">
        <v>4.8</v>
      </c>
      <c r="O616">
        <v>0</v>
      </c>
      <c r="P616">
        <v>560</v>
      </c>
      <c r="Q616">
        <v>8</v>
      </c>
      <c r="R616">
        <v>44</v>
      </c>
      <c r="S616" t="s">
        <v>35922</v>
      </c>
      <c r="U616">
        <v>0.39903622</v>
      </c>
      <c r="V616">
        <v>3.35</v>
      </c>
      <c r="W616">
        <v>4.08</v>
      </c>
      <c r="X616" t="s">
        <v>3191</v>
      </c>
      <c r="Z616" t="s">
        <v>1452</v>
      </c>
      <c r="AA616" t="s">
        <v>3190</v>
      </c>
      <c r="AB616" t="s">
        <v>35923</v>
      </c>
      <c r="AC616" t="s">
        <v>34465</v>
      </c>
      <c r="AD616" t="s">
        <v>11496</v>
      </c>
      <c r="AE616" t="s">
        <v>34510</v>
      </c>
      <c r="AF616" t="s">
        <v>35920</v>
      </c>
    </row>
    <row r="617" spans="1:33" x14ac:dyDescent="0.25">
      <c r="A617" t="s">
        <v>34462</v>
      </c>
      <c r="B617" t="s">
        <v>3196</v>
      </c>
      <c r="C617" t="s">
        <v>3198</v>
      </c>
      <c r="D617">
        <v>14.95</v>
      </c>
      <c r="E617">
        <v>14.95</v>
      </c>
      <c r="F617">
        <v>53837</v>
      </c>
      <c r="G617">
        <v>504902</v>
      </c>
      <c r="H617">
        <v>15.02</v>
      </c>
      <c r="I617">
        <v>17.78</v>
      </c>
      <c r="J617">
        <v>0</v>
      </c>
      <c r="K617">
        <v>1</v>
      </c>
      <c r="L617">
        <v>8</v>
      </c>
      <c r="M617">
        <v>6</v>
      </c>
      <c r="N617">
        <v>4.8</v>
      </c>
      <c r="O617">
        <v>1</v>
      </c>
      <c r="P617">
        <v>560</v>
      </c>
      <c r="Q617">
        <v>12</v>
      </c>
      <c r="R617">
        <v>75</v>
      </c>
      <c r="S617" t="s">
        <v>35922</v>
      </c>
      <c r="U617">
        <v>0.39903622</v>
      </c>
      <c r="V617">
        <v>3.35</v>
      </c>
      <c r="W617">
        <v>0.75</v>
      </c>
      <c r="X617" t="s">
        <v>3195</v>
      </c>
      <c r="Z617" t="s">
        <v>1452</v>
      </c>
      <c r="AA617" t="s">
        <v>3190</v>
      </c>
      <c r="AB617" t="s">
        <v>35924</v>
      </c>
      <c r="AC617" t="s">
        <v>34465</v>
      </c>
      <c r="AD617" t="s">
        <v>11496</v>
      </c>
      <c r="AE617" t="s">
        <v>34506</v>
      </c>
      <c r="AF617" t="s">
        <v>35920</v>
      </c>
    </row>
    <row r="618" spans="1:33" x14ac:dyDescent="0.25">
      <c r="A618" t="s">
        <v>34462</v>
      </c>
      <c r="B618" t="s">
        <v>3200</v>
      </c>
      <c r="C618" t="s">
        <v>3202</v>
      </c>
      <c r="D618">
        <v>20.04</v>
      </c>
      <c r="E618">
        <v>20.04</v>
      </c>
      <c r="F618">
        <v>70317</v>
      </c>
      <c r="G618">
        <v>440818</v>
      </c>
      <c r="H618">
        <v>20.399999999999999</v>
      </c>
      <c r="I618">
        <v>22.12</v>
      </c>
      <c r="J618">
        <v>0</v>
      </c>
      <c r="K618">
        <v>1</v>
      </c>
      <c r="L618">
        <v>7</v>
      </c>
      <c r="M618">
        <v>6</v>
      </c>
      <c r="N618">
        <v>4.8</v>
      </c>
      <c r="O618">
        <v>0</v>
      </c>
      <c r="P618">
        <v>569</v>
      </c>
      <c r="Q618">
        <v>13</v>
      </c>
      <c r="R618">
        <v>80</v>
      </c>
      <c r="S618" t="s">
        <v>35922</v>
      </c>
      <c r="U618">
        <v>0.39903622</v>
      </c>
      <c r="V618">
        <v>3.35</v>
      </c>
      <c r="W618">
        <v>3.41</v>
      </c>
      <c r="X618" t="s">
        <v>3199</v>
      </c>
      <c r="Z618" t="s">
        <v>1452</v>
      </c>
      <c r="AA618" t="s">
        <v>3190</v>
      </c>
      <c r="AB618" t="s">
        <v>35925</v>
      </c>
      <c r="AC618" t="s">
        <v>34465</v>
      </c>
      <c r="AD618" t="s">
        <v>11496</v>
      </c>
      <c r="AE618" t="s">
        <v>34512</v>
      </c>
      <c r="AF618" t="s">
        <v>35920</v>
      </c>
    </row>
    <row r="619" spans="1:33" x14ac:dyDescent="0.25">
      <c r="A619" t="s">
        <v>34462</v>
      </c>
      <c r="B619" t="s">
        <v>3205</v>
      </c>
      <c r="C619" t="s">
        <v>3207</v>
      </c>
      <c r="D619">
        <v>22.23</v>
      </c>
      <c r="E619">
        <v>22.23</v>
      </c>
      <c r="F619">
        <v>70317</v>
      </c>
      <c r="G619">
        <v>66515</v>
      </c>
      <c r="H619">
        <v>22.62</v>
      </c>
      <c r="I619">
        <v>24.61</v>
      </c>
      <c r="J619">
        <v>0</v>
      </c>
      <c r="K619">
        <v>1</v>
      </c>
      <c r="L619">
        <v>5</v>
      </c>
      <c r="M619">
        <v>4</v>
      </c>
      <c r="N619">
        <v>4.8</v>
      </c>
      <c r="O619">
        <v>1</v>
      </c>
      <c r="P619">
        <v>562</v>
      </c>
      <c r="Q619">
        <v>8</v>
      </c>
      <c r="R619">
        <v>77</v>
      </c>
      <c r="S619" t="s">
        <v>35922</v>
      </c>
      <c r="U619">
        <v>0.39903622</v>
      </c>
      <c r="V619">
        <v>3.35</v>
      </c>
      <c r="W619">
        <v>3.78</v>
      </c>
      <c r="X619" t="s">
        <v>3204</v>
      </c>
      <c r="Z619" t="s">
        <v>1452</v>
      </c>
      <c r="AA619" t="s">
        <v>3190</v>
      </c>
      <c r="AB619" t="s">
        <v>35926</v>
      </c>
      <c r="AC619" t="s">
        <v>34465</v>
      </c>
      <c r="AD619" t="s">
        <v>11496</v>
      </c>
      <c r="AE619" t="s">
        <v>34832</v>
      </c>
      <c r="AF619" t="s">
        <v>35920</v>
      </c>
    </row>
    <row r="620" spans="1:33" x14ac:dyDescent="0.25">
      <c r="A620" t="s">
        <v>34462</v>
      </c>
      <c r="B620" t="s">
        <v>3210</v>
      </c>
      <c r="C620" t="s">
        <v>3212</v>
      </c>
      <c r="D620">
        <v>20</v>
      </c>
      <c r="E620">
        <v>20</v>
      </c>
      <c r="F620">
        <v>53837</v>
      </c>
      <c r="G620">
        <v>597485</v>
      </c>
      <c r="H620">
        <v>25.39</v>
      </c>
      <c r="I620">
        <v>28.23</v>
      </c>
      <c r="J620">
        <v>0</v>
      </c>
      <c r="K620">
        <v>1</v>
      </c>
      <c r="L620">
        <v>4</v>
      </c>
      <c r="M620">
        <v>4</v>
      </c>
      <c r="N620">
        <v>4.8</v>
      </c>
      <c r="O620">
        <v>2</v>
      </c>
      <c r="P620">
        <v>569</v>
      </c>
      <c r="Q620">
        <v>12</v>
      </c>
      <c r="R620">
        <v>78</v>
      </c>
      <c r="S620" t="s">
        <v>35922</v>
      </c>
      <c r="U620">
        <v>0.39903622</v>
      </c>
      <c r="V620">
        <v>3.35</v>
      </c>
      <c r="W620">
        <v>2</v>
      </c>
      <c r="X620" t="s">
        <v>3209</v>
      </c>
      <c r="Z620" t="s">
        <v>1452</v>
      </c>
      <c r="AA620" t="s">
        <v>3190</v>
      </c>
      <c r="AB620" t="s">
        <v>35927</v>
      </c>
      <c r="AC620" t="s">
        <v>34465</v>
      </c>
      <c r="AD620" t="s">
        <v>11496</v>
      </c>
      <c r="AE620" t="s">
        <v>34835</v>
      </c>
      <c r="AF620" t="s">
        <v>35928</v>
      </c>
    </row>
    <row r="621" spans="1:33" x14ac:dyDescent="0.25">
      <c r="A621" t="s">
        <v>34462</v>
      </c>
      <c r="B621" t="s">
        <v>3214</v>
      </c>
      <c r="C621" t="s">
        <v>3217</v>
      </c>
      <c r="D621">
        <v>53.03</v>
      </c>
      <c r="E621">
        <v>53.03</v>
      </c>
      <c r="F621">
        <v>611270</v>
      </c>
      <c r="G621">
        <v>642344</v>
      </c>
      <c r="H621">
        <v>53.15</v>
      </c>
      <c r="I621">
        <v>41.7</v>
      </c>
      <c r="J621">
        <v>0</v>
      </c>
      <c r="K621">
        <v>1</v>
      </c>
      <c r="L621">
        <v>3</v>
      </c>
      <c r="M621">
        <v>3</v>
      </c>
      <c r="N621">
        <v>3.5</v>
      </c>
      <c r="O621">
        <v>8</v>
      </c>
      <c r="P621">
        <v>8</v>
      </c>
      <c r="Q621">
        <v>18</v>
      </c>
      <c r="R621">
        <v>44</v>
      </c>
      <c r="S621" t="s">
        <v>35929</v>
      </c>
      <c r="U621">
        <v>0.98105589999999998</v>
      </c>
      <c r="V621">
        <v>6.81</v>
      </c>
      <c r="X621" t="s">
        <v>3213</v>
      </c>
      <c r="Y621" t="s">
        <v>3218</v>
      </c>
      <c r="Z621" t="s">
        <v>3218</v>
      </c>
      <c r="AA621" t="s">
        <v>3219</v>
      </c>
      <c r="AB621" t="s">
        <v>35930</v>
      </c>
      <c r="AC621" t="s">
        <v>34465</v>
      </c>
      <c r="AD621" t="s">
        <v>9232</v>
      </c>
      <c r="AE621" t="s">
        <v>34533</v>
      </c>
      <c r="AF621" t="s">
        <v>35931</v>
      </c>
      <c r="AG621" t="s">
        <v>35932</v>
      </c>
    </row>
    <row r="622" spans="1:33" x14ac:dyDescent="0.25">
      <c r="A622" t="s">
        <v>34462</v>
      </c>
      <c r="B622" t="s">
        <v>3221</v>
      </c>
      <c r="C622" t="s">
        <v>3223</v>
      </c>
      <c r="D622">
        <v>59.99</v>
      </c>
      <c r="E622">
        <v>59.99</v>
      </c>
      <c r="F622">
        <v>585330</v>
      </c>
      <c r="G622">
        <v>667673</v>
      </c>
      <c r="H622">
        <v>25</v>
      </c>
      <c r="I622">
        <v>34.21</v>
      </c>
      <c r="J622">
        <v>0.78</v>
      </c>
      <c r="K622">
        <v>1</v>
      </c>
      <c r="L622">
        <v>1</v>
      </c>
      <c r="N622">
        <v>4.9000000000000004</v>
      </c>
      <c r="O622">
        <v>23</v>
      </c>
      <c r="P622">
        <v>23</v>
      </c>
      <c r="Q622">
        <v>15</v>
      </c>
      <c r="R622">
        <v>31</v>
      </c>
      <c r="S622" t="s">
        <v>35929</v>
      </c>
      <c r="U622">
        <v>1.0141252000000001</v>
      </c>
      <c r="V622">
        <v>11.51</v>
      </c>
      <c r="X622" t="s">
        <v>3220</v>
      </c>
      <c r="Y622" t="s">
        <v>3218</v>
      </c>
      <c r="Z622" t="s">
        <v>3218</v>
      </c>
      <c r="AA622" t="s">
        <v>3219</v>
      </c>
      <c r="AB622" t="s">
        <v>35933</v>
      </c>
      <c r="AC622" t="s">
        <v>34465</v>
      </c>
      <c r="AD622" t="s">
        <v>9232</v>
      </c>
      <c r="AE622" t="s">
        <v>14701</v>
      </c>
      <c r="AF622" t="s">
        <v>35931</v>
      </c>
      <c r="AG622" t="s">
        <v>35932</v>
      </c>
    </row>
    <row r="623" spans="1:33" x14ac:dyDescent="0.25">
      <c r="A623" t="s">
        <v>34462</v>
      </c>
      <c r="B623" t="s">
        <v>3226</v>
      </c>
      <c r="C623" t="s">
        <v>3228</v>
      </c>
      <c r="D623">
        <v>36.5</v>
      </c>
      <c r="E623">
        <v>36.5</v>
      </c>
      <c r="F623">
        <v>527597</v>
      </c>
      <c r="G623">
        <v>684485</v>
      </c>
      <c r="H623">
        <v>34.409999999999997</v>
      </c>
      <c r="I623">
        <v>38.21</v>
      </c>
      <c r="J623">
        <v>0.26</v>
      </c>
      <c r="K623">
        <v>0.97</v>
      </c>
      <c r="L623">
        <v>1</v>
      </c>
      <c r="M623">
        <v>1</v>
      </c>
      <c r="N623">
        <v>5</v>
      </c>
      <c r="O623">
        <v>10</v>
      </c>
      <c r="P623">
        <v>10</v>
      </c>
      <c r="Q623">
        <v>12</v>
      </c>
      <c r="R623">
        <v>32</v>
      </c>
      <c r="S623" t="s">
        <v>35929</v>
      </c>
      <c r="U623">
        <v>1.0141252000000001</v>
      </c>
      <c r="V623">
        <v>7.72</v>
      </c>
      <c r="W623">
        <v>6.21</v>
      </c>
      <c r="X623" t="s">
        <v>3225</v>
      </c>
      <c r="Y623" t="s">
        <v>3218</v>
      </c>
      <c r="Z623" t="s">
        <v>3218</v>
      </c>
      <c r="AA623" t="s">
        <v>3229</v>
      </c>
      <c r="AB623" t="s">
        <v>35934</v>
      </c>
      <c r="AC623" t="s">
        <v>34493</v>
      </c>
      <c r="AD623" t="s">
        <v>9232</v>
      </c>
      <c r="AE623" t="s">
        <v>14701</v>
      </c>
      <c r="AF623" t="s">
        <v>35935</v>
      </c>
      <c r="AG623" t="s">
        <v>35932</v>
      </c>
    </row>
    <row r="624" spans="1:33" x14ac:dyDescent="0.25">
      <c r="A624" t="s">
        <v>34462</v>
      </c>
      <c r="B624" t="s">
        <v>3231</v>
      </c>
      <c r="C624" t="s">
        <v>3233</v>
      </c>
      <c r="D624">
        <v>48.99</v>
      </c>
      <c r="E624">
        <v>48.99</v>
      </c>
      <c r="F624">
        <v>611270</v>
      </c>
      <c r="G624">
        <v>652642</v>
      </c>
      <c r="H624">
        <v>32.49</v>
      </c>
      <c r="I624">
        <v>35.729999999999997</v>
      </c>
      <c r="J624">
        <v>0</v>
      </c>
      <c r="K624">
        <v>1</v>
      </c>
      <c r="L624">
        <v>2</v>
      </c>
      <c r="M624">
        <v>2</v>
      </c>
      <c r="N624">
        <v>4.5999999999999996</v>
      </c>
      <c r="O624">
        <v>29</v>
      </c>
      <c r="P624">
        <v>29</v>
      </c>
      <c r="Q624">
        <v>10</v>
      </c>
      <c r="R624">
        <v>27</v>
      </c>
      <c r="S624" t="s">
        <v>35929</v>
      </c>
      <c r="U624">
        <v>0.81570940000000003</v>
      </c>
      <c r="V624">
        <v>11.51</v>
      </c>
      <c r="X624" t="s">
        <v>3230</v>
      </c>
      <c r="Y624" t="s">
        <v>3218</v>
      </c>
      <c r="Z624" t="s">
        <v>3218</v>
      </c>
      <c r="AA624" t="s">
        <v>3219</v>
      </c>
      <c r="AB624" t="s">
        <v>35936</v>
      </c>
      <c r="AC624" t="s">
        <v>34465</v>
      </c>
      <c r="AD624" t="s">
        <v>9232</v>
      </c>
      <c r="AE624" t="s">
        <v>34525</v>
      </c>
      <c r="AF624" t="s">
        <v>35937</v>
      </c>
      <c r="AG624" t="s">
        <v>35932</v>
      </c>
    </row>
    <row r="625" spans="1:33" x14ac:dyDescent="0.25">
      <c r="A625" t="s">
        <v>34462</v>
      </c>
      <c r="B625" t="s">
        <v>3236</v>
      </c>
      <c r="C625" t="s">
        <v>3238</v>
      </c>
      <c r="D625">
        <v>51.43</v>
      </c>
      <c r="E625">
        <v>51.43</v>
      </c>
      <c r="F625">
        <v>611270</v>
      </c>
      <c r="G625">
        <v>661651</v>
      </c>
      <c r="H625">
        <v>25</v>
      </c>
      <c r="I625">
        <v>38.450000000000003</v>
      </c>
      <c r="J625">
        <v>0.22</v>
      </c>
      <c r="K625">
        <v>1</v>
      </c>
      <c r="L625">
        <v>2</v>
      </c>
      <c r="M625">
        <v>2</v>
      </c>
      <c r="N625">
        <v>4.4000000000000004</v>
      </c>
      <c r="O625">
        <v>11</v>
      </c>
      <c r="P625">
        <v>11</v>
      </c>
      <c r="Q625">
        <v>21</v>
      </c>
      <c r="R625">
        <v>42</v>
      </c>
      <c r="S625" t="s">
        <v>35929</v>
      </c>
      <c r="U625">
        <v>1.10010538</v>
      </c>
      <c r="V625">
        <v>7.4</v>
      </c>
      <c r="X625" t="s">
        <v>3235</v>
      </c>
      <c r="Y625" t="s">
        <v>3218</v>
      </c>
      <c r="Z625" t="s">
        <v>3218</v>
      </c>
      <c r="AA625" t="s">
        <v>3229</v>
      </c>
      <c r="AB625" t="s">
        <v>35938</v>
      </c>
      <c r="AC625" t="s">
        <v>34465</v>
      </c>
      <c r="AD625" t="s">
        <v>9232</v>
      </c>
      <c r="AE625" t="s">
        <v>34525</v>
      </c>
      <c r="AF625" t="s">
        <v>35939</v>
      </c>
      <c r="AG625" t="s">
        <v>35932</v>
      </c>
    </row>
    <row r="626" spans="1:33" x14ac:dyDescent="0.25">
      <c r="A626" t="s">
        <v>34462</v>
      </c>
      <c r="B626" t="s">
        <v>3241</v>
      </c>
      <c r="C626" t="s">
        <v>3243</v>
      </c>
      <c r="D626">
        <v>36.5</v>
      </c>
      <c r="E626">
        <v>36.5</v>
      </c>
      <c r="F626">
        <v>611270</v>
      </c>
      <c r="G626">
        <v>635766</v>
      </c>
      <c r="H626">
        <v>34.130000000000003</v>
      </c>
      <c r="I626">
        <v>35.61</v>
      </c>
      <c r="J626">
        <v>0</v>
      </c>
      <c r="K626">
        <v>1</v>
      </c>
      <c r="L626">
        <v>5</v>
      </c>
      <c r="M626">
        <v>6</v>
      </c>
      <c r="N626">
        <v>4.5999999999999996</v>
      </c>
      <c r="O626">
        <v>29</v>
      </c>
      <c r="P626">
        <v>29</v>
      </c>
      <c r="Q626">
        <v>14</v>
      </c>
      <c r="R626">
        <v>44</v>
      </c>
      <c r="S626" t="s">
        <v>35929</v>
      </c>
      <c r="U626">
        <v>1.1904948</v>
      </c>
      <c r="V626">
        <v>7.4</v>
      </c>
      <c r="W626">
        <v>6.21</v>
      </c>
      <c r="X626" t="s">
        <v>3240</v>
      </c>
      <c r="Y626" t="s">
        <v>3218</v>
      </c>
      <c r="Z626" t="s">
        <v>3218</v>
      </c>
      <c r="AA626" t="s">
        <v>3219</v>
      </c>
      <c r="AB626" t="s">
        <v>35940</v>
      </c>
      <c r="AC626" t="s">
        <v>34465</v>
      </c>
      <c r="AD626" t="s">
        <v>9232</v>
      </c>
      <c r="AE626" t="s">
        <v>34649</v>
      </c>
      <c r="AF626" t="s">
        <v>35931</v>
      </c>
      <c r="AG626" t="s">
        <v>35932</v>
      </c>
    </row>
    <row r="627" spans="1:33" x14ac:dyDescent="0.25">
      <c r="A627" t="s">
        <v>34462</v>
      </c>
      <c r="B627" t="s">
        <v>3246</v>
      </c>
      <c r="C627" t="s">
        <v>3248</v>
      </c>
      <c r="D627">
        <v>51.43</v>
      </c>
      <c r="E627">
        <v>51.43</v>
      </c>
      <c r="F627">
        <v>467782</v>
      </c>
      <c r="G627">
        <v>672324</v>
      </c>
      <c r="H627">
        <v>50.7</v>
      </c>
      <c r="I627">
        <v>48.78</v>
      </c>
      <c r="J627">
        <v>0.02</v>
      </c>
      <c r="K627">
        <v>1</v>
      </c>
      <c r="L627">
        <v>2</v>
      </c>
      <c r="M627">
        <v>1</v>
      </c>
      <c r="N627">
        <v>5</v>
      </c>
      <c r="O627">
        <v>6</v>
      </c>
      <c r="P627">
        <v>6</v>
      </c>
      <c r="Q627">
        <v>15</v>
      </c>
      <c r="R627">
        <v>36</v>
      </c>
      <c r="S627" t="s">
        <v>35929</v>
      </c>
      <c r="U627">
        <v>1.2125410000000001</v>
      </c>
      <c r="V627">
        <v>7.56</v>
      </c>
      <c r="X627" t="s">
        <v>3245</v>
      </c>
      <c r="Y627" t="s">
        <v>3218</v>
      </c>
      <c r="Z627" t="s">
        <v>3218</v>
      </c>
      <c r="AA627" t="s">
        <v>3229</v>
      </c>
      <c r="AB627" t="s">
        <v>35941</v>
      </c>
      <c r="AC627" t="s">
        <v>34465</v>
      </c>
      <c r="AD627" t="s">
        <v>9232</v>
      </c>
      <c r="AE627" t="s">
        <v>34649</v>
      </c>
      <c r="AF627" t="s">
        <v>35935</v>
      </c>
      <c r="AG627" t="s">
        <v>35932</v>
      </c>
    </row>
    <row r="628" spans="1:33" x14ac:dyDescent="0.25">
      <c r="A628" t="s">
        <v>34462</v>
      </c>
      <c r="B628" t="s">
        <v>3250</v>
      </c>
      <c r="C628" t="s">
        <v>3252</v>
      </c>
      <c r="D628">
        <v>34.17</v>
      </c>
      <c r="F628">
        <v>611270</v>
      </c>
      <c r="G628">
        <v>656471</v>
      </c>
      <c r="I628">
        <v>34.17</v>
      </c>
      <c r="J628">
        <v>1</v>
      </c>
      <c r="K628">
        <v>1</v>
      </c>
      <c r="N628">
        <v>4.0999999999999996</v>
      </c>
      <c r="O628">
        <v>14</v>
      </c>
      <c r="P628">
        <v>13</v>
      </c>
      <c r="Q628">
        <v>5</v>
      </c>
      <c r="R628">
        <v>14</v>
      </c>
      <c r="S628" t="s">
        <v>35929</v>
      </c>
      <c r="U628">
        <v>1.2566333999999999</v>
      </c>
      <c r="V628">
        <v>7.72</v>
      </c>
      <c r="X628" t="s">
        <v>3249</v>
      </c>
      <c r="Y628" t="s">
        <v>3218</v>
      </c>
      <c r="Z628" t="s">
        <v>3218</v>
      </c>
      <c r="AA628" t="s">
        <v>3219</v>
      </c>
      <c r="AB628" t="s">
        <v>35942</v>
      </c>
      <c r="AC628" t="s">
        <v>34465</v>
      </c>
      <c r="AD628" t="s">
        <v>9232</v>
      </c>
      <c r="AE628" t="s">
        <v>34469</v>
      </c>
      <c r="AF628" t="s">
        <v>35931</v>
      </c>
      <c r="AG628" t="s">
        <v>35932</v>
      </c>
    </row>
    <row r="629" spans="1:33" x14ac:dyDescent="0.25">
      <c r="A629" t="s">
        <v>34462</v>
      </c>
      <c r="B629" t="s">
        <v>3255</v>
      </c>
      <c r="C629" t="s">
        <v>3257</v>
      </c>
      <c r="D629">
        <v>52.88</v>
      </c>
      <c r="E629">
        <v>51.43</v>
      </c>
      <c r="F629">
        <v>527597</v>
      </c>
      <c r="G629">
        <v>645469</v>
      </c>
      <c r="H629">
        <v>43.61</v>
      </c>
      <c r="I629">
        <v>39.090000000000003</v>
      </c>
      <c r="J629">
        <v>0.02</v>
      </c>
      <c r="K629">
        <v>1</v>
      </c>
      <c r="L629">
        <v>2</v>
      </c>
      <c r="M629">
        <v>1</v>
      </c>
      <c r="N629">
        <v>4.7</v>
      </c>
      <c r="O629">
        <v>4</v>
      </c>
      <c r="P629">
        <v>4</v>
      </c>
      <c r="Q629">
        <v>15</v>
      </c>
      <c r="R629">
        <v>39</v>
      </c>
      <c r="S629" t="s">
        <v>35929</v>
      </c>
      <c r="U629">
        <v>1.3227720000000001</v>
      </c>
      <c r="V629">
        <v>7.72</v>
      </c>
      <c r="W629">
        <v>8.99</v>
      </c>
      <c r="X629" t="s">
        <v>3254</v>
      </c>
      <c r="Y629" t="s">
        <v>3218</v>
      </c>
      <c r="Z629" t="s">
        <v>3218</v>
      </c>
      <c r="AA629" t="s">
        <v>3229</v>
      </c>
      <c r="AB629" t="s">
        <v>35943</v>
      </c>
      <c r="AC629" t="s">
        <v>34465</v>
      </c>
      <c r="AD629" t="s">
        <v>9232</v>
      </c>
      <c r="AE629" t="s">
        <v>34469</v>
      </c>
      <c r="AF629" t="s">
        <v>35944</v>
      </c>
      <c r="AG629" t="s">
        <v>35932</v>
      </c>
    </row>
    <row r="630" spans="1:33" x14ac:dyDescent="0.25">
      <c r="A630" t="s">
        <v>34462</v>
      </c>
      <c r="B630" t="s">
        <v>3260</v>
      </c>
      <c r="C630" t="s">
        <v>3263</v>
      </c>
      <c r="D630">
        <v>34</v>
      </c>
      <c r="E630">
        <v>34</v>
      </c>
      <c r="F630">
        <v>29984</v>
      </c>
      <c r="G630">
        <v>38933</v>
      </c>
      <c r="H630">
        <v>15.81</v>
      </c>
      <c r="I630">
        <v>16.22</v>
      </c>
      <c r="J630">
        <v>0</v>
      </c>
      <c r="K630">
        <v>0.91</v>
      </c>
      <c r="L630">
        <v>3</v>
      </c>
      <c r="M630">
        <v>3</v>
      </c>
      <c r="N630">
        <v>4.5</v>
      </c>
      <c r="O630">
        <v>8</v>
      </c>
      <c r="P630">
        <v>826</v>
      </c>
      <c r="Q630">
        <v>97</v>
      </c>
      <c r="R630">
        <v>183</v>
      </c>
      <c r="S630" t="s">
        <v>35945</v>
      </c>
      <c r="U630">
        <v>0.28660059999999998</v>
      </c>
      <c r="V630">
        <v>3.35</v>
      </c>
      <c r="X630" t="s">
        <v>3259</v>
      </c>
      <c r="Y630" t="s">
        <v>35946</v>
      </c>
      <c r="Z630" t="s">
        <v>3264</v>
      </c>
      <c r="AA630" t="s">
        <v>2681</v>
      </c>
      <c r="AB630" t="s">
        <v>35947</v>
      </c>
      <c r="AC630" t="s">
        <v>34465</v>
      </c>
      <c r="AD630" t="s">
        <v>7954</v>
      </c>
      <c r="AE630" t="s">
        <v>34474</v>
      </c>
      <c r="AF630" t="s">
        <v>35948</v>
      </c>
      <c r="AG630" t="s">
        <v>35949</v>
      </c>
    </row>
    <row r="631" spans="1:33" x14ac:dyDescent="0.25">
      <c r="A631" t="s">
        <v>34462</v>
      </c>
      <c r="B631" t="s">
        <v>3266</v>
      </c>
      <c r="C631" t="s">
        <v>3268</v>
      </c>
      <c r="D631">
        <v>15.89</v>
      </c>
      <c r="E631">
        <v>15</v>
      </c>
      <c r="F631">
        <v>29984</v>
      </c>
      <c r="G631">
        <v>38782</v>
      </c>
      <c r="H631">
        <v>16.36</v>
      </c>
      <c r="I631">
        <v>16.32</v>
      </c>
      <c r="J631">
        <v>0</v>
      </c>
      <c r="K631">
        <v>0</v>
      </c>
      <c r="L631">
        <v>4</v>
      </c>
      <c r="M631">
        <v>7</v>
      </c>
      <c r="N631">
        <v>4.5</v>
      </c>
      <c r="O631">
        <v>17</v>
      </c>
      <c r="P631">
        <v>826</v>
      </c>
      <c r="Q631">
        <v>50</v>
      </c>
      <c r="R631">
        <v>128</v>
      </c>
      <c r="S631" t="s">
        <v>35945</v>
      </c>
      <c r="U631">
        <v>0.28660059999999998</v>
      </c>
      <c r="V631">
        <v>3.35</v>
      </c>
      <c r="W631">
        <v>1.59</v>
      </c>
      <c r="X631" t="s">
        <v>3265</v>
      </c>
      <c r="Y631" t="s">
        <v>35950</v>
      </c>
      <c r="Z631" t="s">
        <v>3264</v>
      </c>
      <c r="AA631" t="s">
        <v>3269</v>
      </c>
      <c r="AB631" t="s">
        <v>35951</v>
      </c>
      <c r="AC631" t="s">
        <v>34493</v>
      </c>
      <c r="AD631" t="s">
        <v>7954</v>
      </c>
      <c r="AE631" t="s">
        <v>34474</v>
      </c>
      <c r="AF631" t="s">
        <v>35952</v>
      </c>
      <c r="AG631" t="s">
        <v>35949</v>
      </c>
    </row>
    <row r="632" spans="1:33" x14ac:dyDescent="0.25">
      <c r="A632" t="s">
        <v>34462</v>
      </c>
      <c r="B632" t="s">
        <v>3271</v>
      </c>
      <c r="C632" t="s">
        <v>3273</v>
      </c>
      <c r="D632">
        <v>15.89</v>
      </c>
      <c r="E632">
        <v>15.89</v>
      </c>
      <c r="F632">
        <v>29984</v>
      </c>
      <c r="G632">
        <v>39115</v>
      </c>
      <c r="H632">
        <v>17.2</v>
      </c>
      <c r="I632">
        <v>19.23</v>
      </c>
      <c r="J632">
        <v>0</v>
      </c>
      <c r="K632">
        <v>0.39</v>
      </c>
      <c r="L632">
        <v>8</v>
      </c>
      <c r="M632">
        <v>8</v>
      </c>
      <c r="N632">
        <v>4.5</v>
      </c>
      <c r="O632">
        <v>24</v>
      </c>
      <c r="P632">
        <v>826</v>
      </c>
      <c r="Q632">
        <v>48</v>
      </c>
      <c r="R632">
        <v>134</v>
      </c>
      <c r="S632" t="s">
        <v>35945</v>
      </c>
      <c r="U632">
        <v>0.30644218000000001</v>
      </c>
      <c r="V632">
        <v>3.35</v>
      </c>
      <c r="W632">
        <v>1.59</v>
      </c>
      <c r="X632" t="s">
        <v>3270</v>
      </c>
      <c r="Y632" t="s">
        <v>3264</v>
      </c>
      <c r="Z632" t="s">
        <v>3264</v>
      </c>
      <c r="AA632" t="s">
        <v>2681</v>
      </c>
      <c r="AB632" t="s">
        <v>35953</v>
      </c>
      <c r="AC632" t="s">
        <v>34493</v>
      </c>
      <c r="AD632" t="s">
        <v>7954</v>
      </c>
      <c r="AE632" t="s">
        <v>34533</v>
      </c>
      <c r="AF632" t="s">
        <v>35948</v>
      </c>
      <c r="AG632" t="s">
        <v>35949</v>
      </c>
    </row>
    <row r="633" spans="1:33" x14ac:dyDescent="0.25">
      <c r="A633" t="s">
        <v>34462</v>
      </c>
      <c r="B633" t="s">
        <v>3275</v>
      </c>
      <c r="C633" t="s">
        <v>3277</v>
      </c>
      <c r="D633">
        <v>19.670000000000002</v>
      </c>
      <c r="E633">
        <v>19.670000000000002</v>
      </c>
      <c r="F633">
        <v>29984</v>
      </c>
      <c r="G633">
        <v>38954</v>
      </c>
      <c r="H633">
        <v>17.309999999999999</v>
      </c>
      <c r="I633">
        <v>16.97</v>
      </c>
      <c r="J633">
        <v>0</v>
      </c>
      <c r="K633">
        <v>0.89</v>
      </c>
      <c r="L633">
        <v>9</v>
      </c>
      <c r="M633">
        <v>13</v>
      </c>
      <c r="N633">
        <v>4.5</v>
      </c>
      <c r="O633">
        <v>17</v>
      </c>
      <c r="P633">
        <v>826</v>
      </c>
      <c r="Q633">
        <v>59</v>
      </c>
      <c r="R633">
        <v>136</v>
      </c>
      <c r="S633" t="s">
        <v>35945</v>
      </c>
      <c r="U633">
        <v>0.42108242000000001</v>
      </c>
      <c r="V633">
        <v>5.82</v>
      </c>
      <c r="X633" t="s">
        <v>3274</v>
      </c>
      <c r="Y633" t="s">
        <v>3264</v>
      </c>
      <c r="Z633" t="s">
        <v>3264</v>
      </c>
      <c r="AA633" t="s">
        <v>3269</v>
      </c>
      <c r="AB633" t="s">
        <v>35954</v>
      </c>
      <c r="AC633" t="s">
        <v>34465</v>
      </c>
      <c r="AD633" t="s">
        <v>7954</v>
      </c>
      <c r="AE633" t="s">
        <v>34533</v>
      </c>
      <c r="AF633" t="s">
        <v>35952</v>
      </c>
      <c r="AG633" t="s">
        <v>35949</v>
      </c>
    </row>
    <row r="634" spans="1:33" x14ac:dyDescent="0.25">
      <c r="A634" t="s">
        <v>34462</v>
      </c>
      <c r="B634" t="s">
        <v>3279</v>
      </c>
      <c r="C634" t="s">
        <v>3282</v>
      </c>
      <c r="D634">
        <v>19.420000000000002</v>
      </c>
      <c r="F634">
        <v>57922</v>
      </c>
      <c r="G634">
        <v>11260</v>
      </c>
      <c r="I634">
        <v>19.420000000000002</v>
      </c>
      <c r="J634">
        <v>1</v>
      </c>
      <c r="K634">
        <v>1</v>
      </c>
      <c r="N634">
        <v>4.5</v>
      </c>
      <c r="O634">
        <v>0</v>
      </c>
      <c r="P634">
        <v>121</v>
      </c>
      <c r="Q634">
        <v>0</v>
      </c>
      <c r="R634">
        <v>6</v>
      </c>
      <c r="S634" t="s">
        <v>35955</v>
      </c>
      <c r="U634">
        <v>0.31305603999999998</v>
      </c>
      <c r="V634">
        <v>5.52</v>
      </c>
      <c r="X634" t="s">
        <v>3278</v>
      </c>
      <c r="Y634" t="s">
        <v>3283</v>
      </c>
      <c r="Z634" t="s">
        <v>3283</v>
      </c>
      <c r="AA634" t="s">
        <v>3284</v>
      </c>
      <c r="AB634" t="s">
        <v>35956</v>
      </c>
      <c r="AC634" t="s">
        <v>34465</v>
      </c>
      <c r="AD634" t="s">
        <v>35957</v>
      </c>
      <c r="AE634" t="s">
        <v>35958</v>
      </c>
      <c r="AF634" t="s">
        <v>35959</v>
      </c>
      <c r="AG634" t="s">
        <v>35960</v>
      </c>
    </row>
    <row r="635" spans="1:33" x14ac:dyDescent="0.25">
      <c r="A635" t="s">
        <v>34462</v>
      </c>
      <c r="B635" t="s">
        <v>3286</v>
      </c>
      <c r="C635" t="s">
        <v>3288</v>
      </c>
      <c r="F635">
        <v>57922</v>
      </c>
      <c r="G635">
        <v>17443</v>
      </c>
      <c r="J635">
        <v>1</v>
      </c>
      <c r="K635">
        <v>1</v>
      </c>
      <c r="N635">
        <v>4.5</v>
      </c>
      <c r="O635">
        <v>0</v>
      </c>
      <c r="P635">
        <v>45</v>
      </c>
      <c r="Q635">
        <v>3</v>
      </c>
      <c r="R635">
        <v>7</v>
      </c>
      <c r="S635" t="s">
        <v>35955</v>
      </c>
      <c r="U635">
        <v>0.3086468</v>
      </c>
      <c r="V635">
        <v>5.37</v>
      </c>
      <c r="X635" t="s">
        <v>3285</v>
      </c>
      <c r="Y635" t="s">
        <v>3283</v>
      </c>
      <c r="Z635" t="s">
        <v>3283</v>
      </c>
      <c r="AA635" t="s">
        <v>3284</v>
      </c>
      <c r="AB635" t="s">
        <v>35961</v>
      </c>
      <c r="AC635" t="s">
        <v>34465</v>
      </c>
      <c r="AD635" t="s">
        <v>35957</v>
      </c>
      <c r="AE635" t="s">
        <v>34673</v>
      </c>
      <c r="AF635" t="s">
        <v>35962</v>
      </c>
      <c r="AG635" t="s">
        <v>35960</v>
      </c>
    </row>
    <row r="636" spans="1:33" x14ac:dyDescent="0.25">
      <c r="A636" t="s">
        <v>34462</v>
      </c>
      <c r="B636" t="s">
        <v>3291</v>
      </c>
      <c r="C636" t="s">
        <v>3293</v>
      </c>
      <c r="F636">
        <v>57922</v>
      </c>
      <c r="G636">
        <v>21971</v>
      </c>
      <c r="J636">
        <v>1</v>
      </c>
      <c r="K636">
        <v>1</v>
      </c>
      <c r="N636">
        <v>4.5</v>
      </c>
      <c r="O636">
        <v>0</v>
      </c>
      <c r="P636">
        <v>74</v>
      </c>
      <c r="Q636">
        <v>2</v>
      </c>
      <c r="R636">
        <v>6</v>
      </c>
      <c r="S636" t="s">
        <v>35955</v>
      </c>
      <c r="U636">
        <v>0.32187452</v>
      </c>
      <c r="V636">
        <v>5.37</v>
      </c>
      <c r="X636" t="s">
        <v>3290</v>
      </c>
      <c r="Y636" t="s">
        <v>3294</v>
      </c>
      <c r="Z636" t="s">
        <v>3294</v>
      </c>
      <c r="AA636" t="s">
        <v>3295</v>
      </c>
      <c r="AB636" t="s">
        <v>35963</v>
      </c>
      <c r="AC636" t="s">
        <v>34465</v>
      </c>
      <c r="AD636" t="s">
        <v>35957</v>
      </c>
      <c r="AE636" t="s">
        <v>34673</v>
      </c>
      <c r="AF636" t="s">
        <v>35964</v>
      </c>
      <c r="AG636" t="s">
        <v>35960</v>
      </c>
    </row>
    <row r="637" spans="1:33" x14ac:dyDescent="0.25">
      <c r="A637" t="s">
        <v>34462</v>
      </c>
      <c r="B637" t="s">
        <v>3297</v>
      </c>
      <c r="C637" t="s">
        <v>3299</v>
      </c>
      <c r="D637">
        <v>20.77</v>
      </c>
      <c r="F637">
        <v>57922</v>
      </c>
      <c r="G637">
        <v>20479</v>
      </c>
      <c r="H637">
        <v>20.77</v>
      </c>
      <c r="I637">
        <v>22.9</v>
      </c>
      <c r="J637">
        <v>0.98</v>
      </c>
      <c r="K637">
        <v>0.98</v>
      </c>
      <c r="L637">
        <v>1</v>
      </c>
      <c r="N637">
        <v>4.5</v>
      </c>
      <c r="O637">
        <v>0</v>
      </c>
      <c r="P637">
        <v>121</v>
      </c>
      <c r="Q637">
        <v>3</v>
      </c>
      <c r="R637">
        <v>15</v>
      </c>
      <c r="S637" t="s">
        <v>35955</v>
      </c>
      <c r="U637">
        <v>0.28660059999999998</v>
      </c>
      <c r="V637">
        <v>5.37</v>
      </c>
      <c r="X637" t="s">
        <v>3296</v>
      </c>
      <c r="Y637" t="s">
        <v>3283</v>
      </c>
      <c r="Z637" t="s">
        <v>3283</v>
      </c>
      <c r="AA637" t="s">
        <v>3284</v>
      </c>
      <c r="AB637" t="s">
        <v>35965</v>
      </c>
      <c r="AC637" t="s">
        <v>34465</v>
      </c>
      <c r="AD637" t="s">
        <v>35957</v>
      </c>
      <c r="AE637" t="s">
        <v>34676</v>
      </c>
      <c r="AF637" t="s">
        <v>35959</v>
      </c>
      <c r="AG637" t="s">
        <v>35960</v>
      </c>
    </row>
    <row r="638" spans="1:33" x14ac:dyDescent="0.25">
      <c r="A638" t="s">
        <v>34462</v>
      </c>
      <c r="B638" t="s">
        <v>3301</v>
      </c>
      <c r="C638" t="s">
        <v>3303</v>
      </c>
      <c r="D638">
        <v>24.19</v>
      </c>
      <c r="F638">
        <v>57922</v>
      </c>
      <c r="G638">
        <v>18455</v>
      </c>
      <c r="H638">
        <v>24.19</v>
      </c>
      <c r="I638">
        <v>23.34</v>
      </c>
      <c r="J638">
        <v>0.99</v>
      </c>
      <c r="K638">
        <v>0.99</v>
      </c>
      <c r="L638">
        <v>1</v>
      </c>
      <c r="N638">
        <v>4.5</v>
      </c>
      <c r="O638">
        <v>0</v>
      </c>
      <c r="P638">
        <v>120</v>
      </c>
      <c r="Q638">
        <v>1</v>
      </c>
      <c r="R638">
        <v>7</v>
      </c>
      <c r="S638" t="s">
        <v>35955</v>
      </c>
      <c r="U638">
        <v>0.33951147999999998</v>
      </c>
      <c r="V638">
        <v>5.52</v>
      </c>
      <c r="X638" t="s">
        <v>3300</v>
      </c>
      <c r="Y638" t="s">
        <v>3294</v>
      </c>
      <c r="Z638" t="s">
        <v>3294</v>
      </c>
      <c r="AA638" t="s">
        <v>3295</v>
      </c>
      <c r="AB638" t="s">
        <v>35966</v>
      </c>
      <c r="AC638" t="s">
        <v>34465</v>
      </c>
      <c r="AD638" t="s">
        <v>35957</v>
      </c>
      <c r="AE638" t="s">
        <v>34676</v>
      </c>
      <c r="AF638" t="s">
        <v>35967</v>
      </c>
      <c r="AG638" t="s">
        <v>35960</v>
      </c>
    </row>
    <row r="639" spans="1:33" x14ac:dyDescent="0.25">
      <c r="A639" t="s">
        <v>34462</v>
      </c>
      <c r="B639" t="s">
        <v>3305</v>
      </c>
      <c r="C639" t="s">
        <v>3308</v>
      </c>
      <c r="D639">
        <v>18.989999999999998</v>
      </c>
      <c r="E639">
        <v>18.989999999999998</v>
      </c>
      <c r="F639">
        <v>1551</v>
      </c>
      <c r="G639">
        <v>6002</v>
      </c>
      <c r="H639">
        <v>20.94</v>
      </c>
      <c r="I639">
        <v>24.1</v>
      </c>
      <c r="J639">
        <v>0</v>
      </c>
      <c r="K639">
        <v>0</v>
      </c>
      <c r="L639">
        <v>12</v>
      </c>
      <c r="M639">
        <v>12</v>
      </c>
      <c r="N639">
        <v>4.4000000000000004</v>
      </c>
      <c r="O639">
        <v>55</v>
      </c>
      <c r="P639">
        <v>55</v>
      </c>
      <c r="Q639">
        <v>64</v>
      </c>
      <c r="R639">
        <v>158</v>
      </c>
      <c r="S639" t="s">
        <v>35968</v>
      </c>
      <c r="T639">
        <v>200</v>
      </c>
      <c r="U639">
        <v>0.37037616000000001</v>
      </c>
      <c r="V639">
        <v>5.05</v>
      </c>
      <c r="W639">
        <v>1.9</v>
      </c>
      <c r="X639" t="s">
        <v>3304</v>
      </c>
      <c r="Y639" t="s">
        <v>35969</v>
      </c>
      <c r="Z639" t="s">
        <v>3309</v>
      </c>
      <c r="AA639" t="s">
        <v>2017</v>
      </c>
      <c r="AB639" t="s">
        <v>35970</v>
      </c>
      <c r="AC639" t="s">
        <v>34493</v>
      </c>
      <c r="AD639" t="s">
        <v>8078</v>
      </c>
      <c r="AE639" t="s">
        <v>34474</v>
      </c>
      <c r="AF639" t="s">
        <v>35971</v>
      </c>
      <c r="AG639" t="s">
        <v>35972</v>
      </c>
    </row>
    <row r="640" spans="1:33" x14ac:dyDescent="0.25">
      <c r="A640" t="s">
        <v>34462</v>
      </c>
      <c r="B640" t="s">
        <v>3311</v>
      </c>
      <c r="C640" t="s">
        <v>3313</v>
      </c>
      <c r="D640">
        <v>15.75</v>
      </c>
      <c r="E640">
        <v>15.75</v>
      </c>
      <c r="F640">
        <v>1551</v>
      </c>
      <c r="G640">
        <v>1092</v>
      </c>
      <c r="H640">
        <v>24.48</v>
      </c>
      <c r="I640">
        <v>25.1</v>
      </c>
      <c r="J640">
        <v>0</v>
      </c>
      <c r="K640">
        <v>0</v>
      </c>
      <c r="L640">
        <v>9</v>
      </c>
      <c r="M640">
        <v>9</v>
      </c>
      <c r="N640">
        <v>4.5999999999999996</v>
      </c>
      <c r="O640">
        <v>12</v>
      </c>
      <c r="P640">
        <v>12</v>
      </c>
      <c r="Q640">
        <v>59</v>
      </c>
      <c r="R640">
        <v>133</v>
      </c>
      <c r="S640" t="s">
        <v>35968</v>
      </c>
      <c r="U640">
        <v>0.37037616000000001</v>
      </c>
      <c r="V640">
        <v>5.9</v>
      </c>
      <c r="W640">
        <v>1.58</v>
      </c>
      <c r="X640" t="s">
        <v>3310</v>
      </c>
      <c r="Y640" t="s">
        <v>35973</v>
      </c>
      <c r="Z640" t="s">
        <v>3309</v>
      </c>
      <c r="AA640" t="s">
        <v>3314</v>
      </c>
      <c r="AB640" t="s">
        <v>35974</v>
      </c>
      <c r="AC640" t="s">
        <v>34493</v>
      </c>
      <c r="AD640" t="s">
        <v>8078</v>
      </c>
      <c r="AE640" t="s">
        <v>34474</v>
      </c>
      <c r="AF640" t="s">
        <v>35975</v>
      </c>
      <c r="AG640" t="s">
        <v>35972</v>
      </c>
    </row>
    <row r="641" spans="1:33" x14ac:dyDescent="0.25">
      <c r="A641" t="s">
        <v>34462</v>
      </c>
      <c r="B641" t="s">
        <v>3316</v>
      </c>
      <c r="C641" t="s">
        <v>3319</v>
      </c>
      <c r="D641">
        <v>118.99</v>
      </c>
      <c r="E641">
        <v>105.15</v>
      </c>
      <c r="F641">
        <v>546738</v>
      </c>
      <c r="G641">
        <v>509127</v>
      </c>
      <c r="H641">
        <v>115.13</v>
      </c>
      <c r="I641">
        <v>110.76</v>
      </c>
      <c r="J641">
        <v>0</v>
      </c>
      <c r="K641">
        <v>0.69</v>
      </c>
      <c r="L641">
        <v>2</v>
      </c>
      <c r="M641">
        <v>3</v>
      </c>
      <c r="N641">
        <v>4.7</v>
      </c>
      <c r="O641">
        <v>0</v>
      </c>
      <c r="P641">
        <v>14</v>
      </c>
      <c r="Q641">
        <v>16</v>
      </c>
      <c r="R641">
        <v>51</v>
      </c>
      <c r="S641" t="s">
        <v>35976</v>
      </c>
      <c r="U641">
        <v>2.0701381799999998</v>
      </c>
      <c r="V641">
        <v>14.55</v>
      </c>
      <c r="W641">
        <v>20.23</v>
      </c>
      <c r="X641" t="s">
        <v>3315</v>
      </c>
      <c r="Y641" t="s">
        <v>3320</v>
      </c>
      <c r="Z641" t="s">
        <v>3320</v>
      </c>
      <c r="AA641" t="s">
        <v>1406</v>
      </c>
      <c r="AB641" t="s">
        <v>35977</v>
      </c>
      <c r="AC641" t="s">
        <v>34465</v>
      </c>
      <c r="AD641" t="s">
        <v>9232</v>
      </c>
      <c r="AE641" t="s">
        <v>34533</v>
      </c>
      <c r="AF641" t="s">
        <v>35978</v>
      </c>
      <c r="AG641" t="s">
        <v>35979</v>
      </c>
    </row>
    <row r="642" spans="1:33" x14ac:dyDescent="0.25">
      <c r="A642" t="s">
        <v>34462</v>
      </c>
      <c r="B642" t="s">
        <v>3322</v>
      </c>
      <c r="C642" t="s">
        <v>3324</v>
      </c>
      <c r="D642">
        <v>49.5</v>
      </c>
      <c r="E642">
        <v>49.5</v>
      </c>
      <c r="F642">
        <v>546738</v>
      </c>
      <c r="G642">
        <v>514394</v>
      </c>
      <c r="H642">
        <v>77.05</v>
      </c>
      <c r="I642">
        <v>85.06</v>
      </c>
      <c r="J642">
        <v>0</v>
      </c>
      <c r="K642">
        <v>0</v>
      </c>
      <c r="L642">
        <v>4</v>
      </c>
      <c r="M642">
        <v>3</v>
      </c>
      <c r="N642">
        <v>4.7</v>
      </c>
      <c r="O642">
        <v>0</v>
      </c>
      <c r="P642">
        <v>15</v>
      </c>
      <c r="Q642">
        <v>15</v>
      </c>
      <c r="R642">
        <v>57</v>
      </c>
      <c r="S642" t="s">
        <v>35976</v>
      </c>
      <c r="U642">
        <v>2.0701381799999998</v>
      </c>
      <c r="V642">
        <v>14.55</v>
      </c>
      <c r="W642">
        <v>8.42</v>
      </c>
      <c r="X642" t="s">
        <v>3321</v>
      </c>
      <c r="Y642" t="s">
        <v>3320</v>
      </c>
      <c r="Z642" t="s">
        <v>3320</v>
      </c>
      <c r="AA642" t="s">
        <v>2213</v>
      </c>
      <c r="AB642" t="s">
        <v>35980</v>
      </c>
      <c r="AC642" t="s">
        <v>34493</v>
      </c>
      <c r="AD642" t="s">
        <v>9232</v>
      </c>
      <c r="AE642" t="s">
        <v>34533</v>
      </c>
      <c r="AF642" t="s">
        <v>35981</v>
      </c>
      <c r="AG642" t="s">
        <v>35979</v>
      </c>
    </row>
    <row r="643" spans="1:33" x14ac:dyDescent="0.25">
      <c r="A643" t="s">
        <v>34462</v>
      </c>
      <c r="B643" t="s">
        <v>3326</v>
      </c>
      <c r="C643" t="s">
        <v>3328</v>
      </c>
      <c r="D643">
        <v>79.3</v>
      </c>
      <c r="E643">
        <v>79.3</v>
      </c>
      <c r="F643">
        <v>546738</v>
      </c>
      <c r="G643">
        <v>491505</v>
      </c>
      <c r="H643">
        <v>97.52</v>
      </c>
      <c r="I643">
        <v>95.36</v>
      </c>
      <c r="J643">
        <v>0</v>
      </c>
      <c r="K643">
        <v>0</v>
      </c>
      <c r="L643">
        <v>1</v>
      </c>
      <c r="M643">
        <v>1</v>
      </c>
      <c r="N643">
        <v>4.7</v>
      </c>
      <c r="O643">
        <v>0</v>
      </c>
      <c r="P643">
        <v>15</v>
      </c>
      <c r="Q643">
        <v>9</v>
      </c>
      <c r="R643">
        <v>40</v>
      </c>
      <c r="S643" t="s">
        <v>35976</v>
      </c>
      <c r="U643">
        <v>2.0502965999999998</v>
      </c>
      <c r="V643">
        <v>14.17</v>
      </c>
      <c r="W643">
        <v>13.48</v>
      </c>
      <c r="X643" t="s">
        <v>3325</v>
      </c>
      <c r="Y643" t="s">
        <v>3320</v>
      </c>
      <c r="Z643" t="s">
        <v>3320</v>
      </c>
      <c r="AA643" t="s">
        <v>3329</v>
      </c>
      <c r="AB643" t="s">
        <v>35982</v>
      </c>
      <c r="AC643" t="s">
        <v>34493</v>
      </c>
      <c r="AD643" t="s">
        <v>9232</v>
      </c>
      <c r="AE643" t="s">
        <v>34533</v>
      </c>
      <c r="AF643" t="s">
        <v>35983</v>
      </c>
      <c r="AG643" t="s">
        <v>35979</v>
      </c>
    </row>
    <row r="644" spans="1:33" x14ac:dyDescent="0.25">
      <c r="A644" t="s">
        <v>34462</v>
      </c>
      <c r="B644" t="s">
        <v>3331</v>
      </c>
      <c r="C644" t="s">
        <v>3333</v>
      </c>
      <c r="D644">
        <v>117.99</v>
      </c>
      <c r="E644">
        <v>105.15</v>
      </c>
      <c r="F644">
        <v>546738</v>
      </c>
      <c r="G644">
        <v>548363</v>
      </c>
      <c r="H644">
        <v>108.71</v>
      </c>
      <c r="I644">
        <v>96.15</v>
      </c>
      <c r="J644">
        <v>0.17</v>
      </c>
      <c r="K644">
        <v>0.85</v>
      </c>
      <c r="L644">
        <v>1</v>
      </c>
      <c r="M644">
        <v>1</v>
      </c>
      <c r="N644">
        <v>4.7</v>
      </c>
      <c r="O644">
        <v>0</v>
      </c>
      <c r="P644">
        <v>15</v>
      </c>
      <c r="Q644">
        <v>12</v>
      </c>
      <c r="R644">
        <v>37</v>
      </c>
      <c r="S644" t="s">
        <v>35976</v>
      </c>
      <c r="U644">
        <v>2.1605276</v>
      </c>
      <c r="V644">
        <v>15.31</v>
      </c>
      <c r="W644">
        <v>20.059999999999999</v>
      </c>
      <c r="X644" t="s">
        <v>3330</v>
      </c>
      <c r="Y644" t="s">
        <v>3320</v>
      </c>
      <c r="Z644" t="s">
        <v>3320</v>
      </c>
      <c r="AA644" t="s">
        <v>2213</v>
      </c>
      <c r="AB644" t="s">
        <v>35984</v>
      </c>
      <c r="AC644" t="s">
        <v>34465</v>
      </c>
      <c r="AD644" t="s">
        <v>9232</v>
      </c>
      <c r="AE644" t="s">
        <v>14701</v>
      </c>
      <c r="AF644" t="s">
        <v>35985</v>
      </c>
      <c r="AG644" t="s">
        <v>35979</v>
      </c>
    </row>
    <row r="645" spans="1:33" x14ac:dyDescent="0.25">
      <c r="A645" t="s">
        <v>34462</v>
      </c>
      <c r="B645" t="s">
        <v>3335</v>
      </c>
      <c r="C645" t="s">
        <v>3337</v>
      </c>
      <c r="D645">
        <v>83.25</v>
      </c>
      <c r="E645">
        <v>72.89</v>
      </c>
      <c r="F645">
        <v>517001</v>
      </c>
      <c r="G645">
        <v>515296</v>
      </c>
      <c r="H645">
        <v>111.8</v>
      </c>
      <c r="I645">
        <v>101.44</v>
      </c>
      <c r="J645">
        <v>0.05</v>
      </c>
      <c r="K645">
        <v>0.64</v>
      </c>
      <c r="L645">
        <v>2</v>
      </c>
      <c r="M645">
        <v>3</v>
      </c>
      <c r="N645">
        <v>4.7</v>
      </c>
      <c r="O645">
        <v>0</v>
      </c>
      <c r="P645">
        <v>15</v>
      </c>
      <c r="Q645">
        <v>13</v>
      </c>
      <c r="R645">
        <v>50</v>
      </c>
      <c r="S645" t="s">
        <v>35976</v>
      </c>
      <c r="U645">
        <v>2.2310754400000001</v>
      </c>
      <c r="V645">
        <v>16.829999999999998</v>
      </c>
      <c r="W645">
        <v>14.14</v>
      </c>
      <c r="X645" t="s">
        <v>3334</v>
      </c>
      <c r="Y645" t="s">
        <v>3320</v>
      </c>
      <c r="Z645" t="s">
        <v>3320</v>
      </c>
      <c r="AA645" t="s">
        <v>3329</v>
      </c>
      <c r="AB645" t="s">
        <v>35986</v>
      </c>
      <c r="AC645" t="s">
        <v>34493</v>
      </c>
      <c r="AD645" t="s">
        <v>9232</v>
      </c>
      <c r="AE645" t="s">
        <v>14701</v>
      </c>
      <c r="AF645" t="s">
        <v>35987</v>
      </c>
      <c r="AG645" t="s">
        <v>35979</v>
      </c>
    </row>
    <row r="646" spans="1:33" x14ac:dyDescent="0.25">
      <c r="A646" t="s">
        <v>34462</v>
      </c>
      <c r="B646" t="s">
        <v>3339</v>
      </c>
      <c r="C646" t="s">
        <v>3341</v>
      </c>
      <c r="D646">
        <v>104.99</v>
      </c>
      <c r="E646">
        <v>104.99</v>
      </c>
      <c r="F646">
        <v>452401</v>
      </c>
      <c r="G646">
        <v>501448</v>
      </c>
      <c r="H646">
        <v>104.8</v>
      </c>
      <c r="I646">
        <v>100.82</v>
      </c>
      <c r="J646">
        <v>0</v>
      </c>
      <c r="K646">
        <v>1</v>
      </c>
      <c r="L646">
        <v>1</v>
      </c>
      <c r="M646">
        <v>1</v>
      </c>
      <c r="O646">
        <v>0</v>
      </c>
      <c r="Q646">
        <v>7</v>
      </c>
      <c r="R646">
        <v>33</v>
      </c>
      <c r="S646" t="s">
        <v>35976</v>
      </c>
      <c r="U646">
        <v>2.2707586000000002</v>
      </c>
      <c r="V646">
        <v>15.31</v>
      </c>
      <c r="W646">
        <v>17.850000000000001</v>
      </c>
      <c r="X646" t="s">
        <v>3338</v>
      </c>
      <c r="Y646" t="s">
        <v>3320</v>
      </c>
      <c r="Z646" t="s">
        <v>3320</v>
      </c>
      <c r="AA646" t="s">
        <v>2213</v>
      </c>
      <c r="AB646" t="s">
        <v>35988</v>
      </c>
      <c r="AC646" t="s">
        <v>34465</v>
      </c>
      <c r="AD646" t="s">
        <v>9232</v>
      </c>
      <c r="AE646" t="s">
        <v>34525</v>
      </c>
      <c r="AF646" t="s">
        <v>35981</v>
      </c>
      <c r="AG646" t="s">
        <v>35979</v>
      </c>
    </row>
    <row r="647" spans="1:33" x14ac:dyDescent="0.25">
      <c r="A647" t="s">
        <v>34462</v>
      </c>
      <c r="B647" t="s">
        <v>3343</v>
      </c>
      <c r="C647" t="s">
        <v>3345</v>
      </c>
      <c r="D647">
        <v>104.99</v>
      </c>
      <c r="E647">
        <v>104.99</v>
      </c>
      <c r="F647">
        <v>517001</v>
      </c>
      <c r="G647">
        <v>506680</v>
      </c>
      <c r="H647">
        <v>104.43</v>
      </c>
      <c r="I647">
        <v>100.09</v>
      </c>
      <c r="J647">
        <v>0</v>
      </c>
      <c r="K647">
        <v>1</v>
      </c>
      <c r="L647">
        <v>1</v>
      </c>
      <c r="M647">
        <v>1</v>
      </c>
      <c r="O647">
        <v>0</v>
      </c>
      <c r="Q647">
        <v>9</v>
      </c>
      <c r="R647">
        <v>35</v>
      </c>
      <c r="S647" t="s">
        <v>35976</v>
      </c>
      <c r="U647">
        <v>6.1729359999999997E-2</v>
      </c>
      <c r="V647">
        <v>4.25</v>
      </c>
      <c r="W647">
        <v>17.850000000000001</v>
      </c>
      <c r="X647" t="s">
        <v>3342</v>
      </c>
      <c r="Y647" t="s">
        <v>3320</v>
      </c>
      <c r="Z647" t="s">
        <v>3320</v>
      </c>
      <c r="AA647" t="s">
        <v>2213</v>
      </c>
      <c r="AB647" t="s">
        <v>35989</v>
      </c>
      <c r="AC647" t="s">
        <v>34465</v>
      </c>
      <c r="AD647" t="s">
        <v>9232</v>
      </c>
      <c r="AE647" t="s">
        <v>34649</v>
      </c>
      <c r="AF647" t="s">
        <v>35981</v>
      </c>
      <c r="AG647" t="s">
        <v>35979</v>
      </c>
    </row>
    <row r="648" spans="1:33" x14ac:dyDescent="0.25">
      <c r="A648" t="s">
        <v>34462</v>
      </c>
      <c r="B648" t="s">
        <v>3347</v>
      </c>
      <c r="C648" t="s">
        <v>3349</v>
      </c>
      <c r="D648">
        <v>74.849999999999994</v>
      </c>
      <c r="E648">
        <v>74.849999999999994</v>
      </c>
      <c r="F648">
        <v>546738</v>
      </c>
      <c r="G648">
        <v>517511</v>
      </c>
      <c r="H648">
        <v>71.819999999999993</v>
      </c>
      <c r="I648">
        <v>81.16</v>
      </c>
      <c r="J648">
        <v>0.12</v>
      </c>
      <c r="K648">
        <v>1</v>
      </c>
      <c r="L648">
        <v>2</v>
      </c>
      <c r="M648">
        <v>1</v>
      </c>
      <c r="N648">
        <v>4.7</v>
      </c>
      <c r="O648">
        <v>2</v>
      </c>
      <c r="P648">
        <v>15</v>
      </c>
      <c r="Q648">
        <v>14</v>
      </c>
      <c r="R648">
        <v>50</v>
      </c>
      <c r="S648" t="s">
        <v>35976</v>
      </c>
      <c r="U648">
        <v>2.44933282</v>
      </c>
      <c r="V648">
        <v>14.55</v>
      </c>
      <c r="W648">
        <v>12.72</v>
      </c>
      <c r="X648" t="s">
        <v>3346</v>
      </c>
      <c r="Y648" t="s">
        <v>3320</v>
      </c>
      <c r="Z648" t="s">
        <v>3320</v>
      </c>
      <c r="AA648" t="s">
        <v>3329</v>
      </c>
      <c r="AB648" t="s">
        <v>35990</v>
      </c>
      <c r="AC648" t="s">
        <v>34465</v>
      </c>
      <c r="AD648" t="s">
        <v>9232</v>
      </c>
      <c r="AE648" t="s">
        <v>34649</v>
      </c>
      <c r="AF648" t="s">
        <v>35987</v>
      </c>
      <c r="AG648" t="s">
        <v>35979</v>
      </c>
    </row>
    <row r="649" spans="1:33" x14ac:dyDescent="0.25">
      <c r="A649" t="s">
        <v>34462</v>
      </c>
      <c r="B649" t="s">
        <v>3351</v>
      </c>
      <c r="C649" t="s">
        <v>3353</v>
      </c>
      <c r="D649">
        <v>80.81</v>
      </c>
      <c r="E649">
        <v>69.31</v>
      </c>
      <c r="F649">
        <v>546738</v>
      </c>
      <c r="G649">
        <v>524065</v>
      </c>
      <c r="H649">
        <v>79.900000000000006</v>
      </c>
      <c r="I649">
        <v>91.39</v>
      </c>
      <c r="J649">
        <v>0</v>
      </c>
      <c r="K649">
        <v>0</v>
      </c>
      <c r="L649">
        <v>4</v>
      </c>
      <c r="M649">
        <v>4</v>
      </c>
      <c r="N649">
        <v>4.7</v>
      </c>
      <c r="O649">
        <v>0</v>
      </c>
      <c r="P649">
        <v>15</v>
      </c>
      <c r="Q649">
        <v>15</v>
      </c>
      <c r="R649">
        <v>58</v>
      </c>
      <c r="S649" t="s">
        <v>35976</v>
      </c>
      <c r="U649">
        <v>2.44933282</v>
      </c>
      <c r="V649">
        <v>14.55</v>
      </c>
      <c r="W649">
        <v>13.74</v>
      </c>
      <c r="X649" t="s">
        <v>3350</v>
      </c>
      <c r="Y649" t="s">
        <v>3320</v>
      </c>
      <c r="Z649" t="s">
        <v>3320</v>
      </c>
      <c r="AA649" t="s">
        <v>76</v>
      </c>
      <c r="AB649" t="s">
        <v>35991</v>
      </c>
      <c r="AC649" t="s">
        <v>34493</v>
      </c>
      <c r="AD649" t="s">
        <v>9232</v>
      </c>
      <c r="AE649" t="s">
        <v>34649</v>
      </c>
      <c r="AF649" t="s">
        <v>35992</v>
      </c>
      <c r="AG649" t="s">
        <v>35979</v>
      </c>
    </row>
    <row r="650" spans="1:33" x14ac:dyDescent="0.25">
      <c r="A650" t="s">
        <v>34462</v>
      </c>
      <c r="B650" t="s">
        <v>3355</v>
      </c>
      <c r="C650" t="s">
        <v>3357</v>
      </c>
      <c r="D650">
        <v>118.57</v>
      </c>
      <c r="E650">
        <v>105.15</v>
      </c>
      <c r="F650">
        <v>517001</v>
      </c>
      <c r="G650">
        <v>497609</v>
      </c>
      <c r="H650">
        <v>117.21</v>
      </c>
      <c r="I650">
        <v>110.97</v>
      </c>
      <c r="J650">
        <v>0</v>
      </c>
      <c r="K650">
        <v>0</v>
      </c>
      <c r="L650">
        <v>3</v>
      </c>
      <c r="M650">
        <v>3</v>
      </c>
      <c r="N650">
        <v>4.7</v>
      </c>
      <c r="O650">
        <v>0</v>
      </c>
      <c r="P650">
        <v>15</v>
      </c>
      <c r="Q650">
        <v>12</v>
      </c>
      <c r="R650">
        <v>37</v>
      </c>
      <c r="S650" t="s">
        <v>35976</v>
      </c>
      <c r="U650">
        <v>2.6499532399999999</v>
      </c>
      <c r="V650">
        <v>14.93</v>
      </c>
      <c r="W650">
        <v>20.16</v>
      </c>
      <c r="X650" t="s">
        <v>3354</v>
      </c>
      <c r="Y650" t="s">
        <v>3320</v>
      </c>
      <c r="Z650" t="s">
        <v>3320</v>
      </c>
      <c r="AA650" t="s">
        <v>2213</v>
      </c>
      <c r="AB650" t="s">
        <v>35993</v>
      </c>
      <c r="AC650" t="s">
        <v>34493</v>
      </c>
      <c r="AD650" t="s">
        <v>9232</v>
      </c>
      <c r="AE650" t="s">
        <v>34469</v>
      </c>
      <c r="AF650" t="s">
        <v>35985</v>
      </c>
      <c r="AG650" t="s">
        <v>35979</v>
      </c>
    </row>
    <row r="651" spans="1:33" x14ac:dyDescent="0.25">
      <c r="A651" t="s">
        <v>34462</v>
      </c>
      <c r="B651" t="s">
        <v>3359</v>
      </c>
      <c r="C651" t="s">
        <v>3361</v>
      </c>
      <c r="D651">
        <v>80.7</v>
      </c>
      <c r="E651">
        <v>80.7</v>
      </c>
      <c r="F651">
        <v>546738</v>
      </c>
      <c r="G651">
        <v>507039</v>
      </c>
      <c r="H651">
        <v>96.35</v>
      </c>
      <c r="I651">
        <v>93.5</v>
      </c>
      <c r="J651">
        <v>0</v>
      </c>
      <c r="K651">
        <v>0</v>
      </c>
      <c r="L651">
        <v>2</v>
      </c>
      <c r="M651">
        <v>2</v>
      </c>
      <c r="N651">
        <v>4.7</v>
      </c>
      <c r="O651">
        <v>0</v>
      </c>
      <c r="P651">
        <v>15</v>
      </c>
      <c r="Q651">
        <v>11</v>
      </c>
      <c r="R651">
        <v>38</v>
      </c>
      <c r="S651" t="s">
        <v>35976</v>
      </c>
      <c r="U651">
        <v>2.5992469800000002</v>
      </c>
      <c r="V651">
        <v>14.93</v>
      </c>
      <c r="W651">
        <v>13.72</v>
      </c>
      <c r="X651" t="s">
        <v>3358</v>
      </c>
      <c r="Y651" t="s">
        <v>3320</v>
      </c>
      <c r="Z651" t="s">
        <v>3320</v>
      </c>
      <c r="AA651" t="s">
        <v>3329</v>
      </c>
      <c r="AB651" t="s">
        <v>35994</v>
      </c>
      <c r="AC651" t="s">
        <v>34493</v>
      </c>
      <c r="AD651" t="s">
        <v>9232</v>
      </c>
      <c r="AE651" t="s">
        <v>34469</v>
      </c>
      <c r="AF651" t="s">
        <v>35983</v>
      </c>
      <c r="AG651" t="s">
        <v>35979</v>
      </c>
    </row>
    <row r="652" spans="1:33" x14ac:dyDescent="0.25">
      <c r="A652" t="s">
        <v>34462</v>
      </c>
      <c r="B652" t="s">
        <v>3363</v>
      </c>
      <c r="C652" t="s">
        <v>3365</v>
      </c>
      <c r="D652">
        <v>60</v>
      </c>
      <c r="E652">
        <v>60</v>
      </c>
      <c r="F652">
        <v>546738</v>
      </c>
      <c r="G652">
        <v>527905</v>
      </c>
      <c r="H652">
        <v>83.55</v>
      </c>
      <c r="I652">
        <v>91.25</v>
      </c>
      <c r="J652">
        <v>0</v>
      </c>
      <c r="K652">
        <v>0</v>
      </c>
      <c r="L652">
        <v>5</v>
      </c>
      <c r="M652">
        <v>6</v>
      </c>
      <c r="N652">
        <v>4.7</v>
      </c>
      <c r="O652">
        <v>0</v>
      </c>
      <c r="P652">
        <v>15</v>
      </c>
      <c r="Q652">
        <v>11</v>
      </c>
      <c r="R652">
        <v>50</v>
      </c>
      <c r="S652" t="s">
        <v>35976</v>
      </c>
      <c r="U652">
        <v>2.6697948199999999</v>
      </c>
      <c r="V652">
        <v>14.55</v>
      </c>
      <c r="W652">
        <v>10.199999999999999</v>
      </c>
      <c r="X652" t="s">
        <v>3362</v>
      </c>
      <c r="Y652" t="s">
        <v>3320</v>
      </c>
      <c r="Z652" t="s">
        <v>3320</v>
      </c>
      <c r="AA652" t="s">
        <v>76</v>
      </c>
      <c r="AB652" t="s">
        <v>35995</v>
      </c>
      <c r="AC652" t="s">
        <v>34493</v>
      </c>
      <c r="AD652" t="s">
        <v>9232</v>
      </c>
      <c r="AE652" t="s">
        <v>34469</v>
      </c>
      <c r="AF652" t="s">
        <v>35992</v>
      </c>
      <c r="AG652" t="s">
        <v>35979</v>
      </c>
    </row>
    <row r="653" spans="1:33" x14ac:dyDescent="0.25">
      <c r="A653" t="s">
        <v>34462</v>
      </c>
      <c r="B653" t="s">
        <v>3367</v>
      </c>
      <c r="C653" t="s">
        <v>3370</v>
      </c>
      <c r="D653">
        <v>60</v>
      </c>
      <c r="E653">
        <v>60</v>
      </c>
      <c r="F653">
        <v>20062</v>
      </c>
      <c r="G653">
        <v>14308</v>
      </c>
      <c r="H653">
        <v>56.06</v>
      </c>
      <c r="I653">
        <v>55.82</v>
      </c>
      <c r="J653">
        <v>0.15</v>
      </c>
      <c r="K653">
        <v>1</v>
      </c>
      <c r="L653">
        <v>3</v>
      </c>
      <c r="M653">
        <v>2</v>
      </c>
      <c r="N653">
        <v>4.5999999999999996</v>
      </c>
      <c r="O653">
        <v>21</v>
      </c>
      <c r="P653">
        <v>381</v>
      </c>
      <c r="Q653">
        <v>41</v>
      </c>
      <c r="R653">
        <v>130</v>
      </c>
      <c r="S653" t="s">
        <v>35996</v>
      </c>
      <c r="U653">
        <v>1.4307983799999999</v>
      </c>
      <c r="V653">
        <v>7.16</v>
      </c>
      <c r="W653">
        <v>9</v>
      </c>
      <c r="X653" t="s">
        <v>3366</v>
      </c>
      <c r="Y653" t="s">
        <v>35997</v>
      </c>
      <c r="Z653" t="s">
        <v>3371</v>
      </c>
      <c r="AA653" t="s">
        <v>3372</v>
      </c>
      <c r="AB653" t="s">
        <v>35998</v>
      </c>
      <c r="AC653" t="s">
        <v>34465</v>
      </c>
      <c r="AD653" t="s">
        <v>7954</v>
      </c>
      <c r="AE653" t="s">
        <v>35704</v>
      </c>
      <c r="AF653" t="s">
        <v>35999</v>
      </c>
      <c r="AG653" t="s">
        <v>36000</v>
      </c>
    </row>
    <row r="654" spans="1:33" x14ac:dyDescent="0.25">
      <c r="A654" t="s">
        <v>34462</v>
      </c>
      <c r="B654" t="s">
        <v>3374</v>
      </c>
      <c r="C654" t="s">
        <v>3377</v>
      </c>
      <c r="D654">
        <v>7.25</v>
      </c>
      <c r="E654">
        <v>7.25</v>
      </c>
      <c r="G654">
        <v>46417</v>
      </c>
      <c r="H654">
        <v>9.91</v>
      </c>
      <c r="I654">
        <v>16.59</v>
      </c>
      <c r="J654">
        <v>0</v>
      </c>
      <c r="K654">
        <v>1</v>
      </c>
      <c r="L654">
        <v>10</v>
      </c>
      <c r="M654">
        <v>8</v>
      </c>
      <c r="O654">
        <v>0</v>
      </c>
      <c r="Q654">
        <v>0</v>
      </c>
      <c r="R654">
        <v>84</v>
      </c>
      <c r="U654">
        <v>0.33069300000000001</v>
      </c>
      <c r="V654">
        <v>4.6100000000000003</v>
      </c>
      <c r="W654">
        <v>1.23</v>
      </c>
      <c r="X654" t="s">
        <v>3373</v>
      </c>
      <c r="Z654" t="s">
        <v>3379</v>
      </c>
      <c r="AA654" t="s">
        <v>3380</v>
      </c>
      <c r="AB654" t="s">
        <v>36001</v>
      </c>
      <c r="AC654" t="s">
        <v>34465</v>
      </c>
      <c r="AD654" t="s">
        <v>11496</v>
      </c>
      <c r="AF654" t="s">
        <v>36002</v>
      </c>
      <c r="AG654" t="s">
        <v>36003</v>
      </c>
    </row>
    <row r="655" spans="1:33" x14ac:dyDescent="0.25">
      <c r="A655" t="s">
        <v>34462</v>
      </c>
      <c r="B655" t="s">
        <v>3382</v>
      </c>
      <c r="C655" t="s">
        <v>3384</v>
      </c>
      <c r="D655">
        <v>12.99</v>
      </c>
      <c r="E655">
        <v>12.99</v>
      </c>
      <c r="G655">
        <v>55159</v>
      </c>
      <c r="H655">
        <v>14.67</v>
      </c>
      <c r="I655">
        <v>19.52</v>
      </c>
      <c r="J655">
        <v>0</v>
      </c>
      <c r="K655">
        <v>1</v>
      </c>
      <c r="L655">
        <v>16</v>
      </c>
      <c r="M655">
        <v>13</v>
      </c>
      <c r="O655">
        <v>0</v>
      </c>
      <c r="Q655">
        <v>4</v>
      </c>
      <c r="R655">
        <v>62</v>
      </c>
      <c r="U655">
        <v>0.33069300000000001</v>
      </c>
      <c r="V655">
        <v>4.6100000000000003</v>
      </c>
      <c r="W655">
        <v>2.21</v>
      </c>
      <c r="X655" t="s">
        <v>3381</v>
      </c>
      <c r="Z655" t="s">
        <v>1452</v>
      </c>
      <c r="AA655" t="s">
        <v>3380</v>
      </c>
      <c r="AB655" t="s">
        <v>36004</v>
      </c>
      <c r="AC655" t="s">
        <v>34465</v>
      </c>
      <c r="AD655" t="s">
        <v>11496</v>
      </c>
      <c r="AF655" t="s">
        <v>36005</v>
      </c>
      <c r="AG655" t="s">
        <v>36003</v>
      </c>
    </row>
    <row r="656" spans="1:33" x14ac:dyDescent="0.25">
      <c r="A656" t="s">
        <v>34462</v>
      </c>
      <c r="B656" t="s">
        <v>3386</v>
      </c>
      <c r="C656" t="s">
        <v>3388</v>
      </c>
      <c r="D656">
        <v>12.49</v>
      </c>
      <c r="E656">
        <v>12.49</v>
      </c>
      <c r="G656">
        <v>46536</v>
      </c>
      <c r="H656">
        <v>13.86</v>
      </c>
      <c r="I656">
        <v>19.29</v>
      </c>
      <c r="J656">
        <v>0</v>
      </c>
      <c r="K656">
        <v>1</v>
      </c>
      <c r="L656">
        <v>19</v>
      </c>
      <c r="M656">
        <v>16</v>
      </c>
      <c r="O656">
        <v>0</v>
      </c>
      <c r="Q656">
        <v>0</v>
      </c>
      <c r="R656">
        <v>76</v>
      </c>
      <c r="U656">
        <v>0.33069300000000001</v>
      </c>
      <c r="V656">
        <v>4.6100000000000003</v>
      </c>
      <c r="W656">
        <v>0.63</v>
      </c>
      <c r="X656" t="s">
        <v>3385</v>
      </c>
      <c r="AA656" t="s">
        <v>3380</v>
      </c>
      <c r="AB656" t="s">
        <v>36006</v>
      </c>
      <c r="AC656" t="s">
        <v>34465</v>
      </c>
      <c r="AD656" t="s">
        <v>11496</v>
      </c>
      <c r="AF656" t="s">
        <v>36007</v>
      </c>
      <c r="AG656" t="s">
        <v>36003</v>
      </c>
    </row>
    <row r="657" spans="1:33" x14ac:dyDescent="0.25">
      <c r="A657" t="s">
        <v>34462</v>
      </c>
      <c r="B657" t="s">
        <v>3391</v>
      </c>
      <c r="C657" t="s">
        <v>3393</v>
      </c>
      <c r="D657">
        <v>16.46</v>
      </c>
      <c r="E657">
        <v>16.46</v>
      </c>
      <c r="H657">
        <v>16.940000000000001</v>
      </c>
      <c r="I657">
        <v>20.52</v>
      </c>
      <c r="J657">
        <v>0</v>
      </c>
      <c r="K657">
        <v>1</v>
      </c>
      <c r="L657">
        <v>17</v>
      </c>
      <c r="M657">
        <v>15</v>
      </c>
      <c r="O657">
        <v>0</v>
      </c>
      <c r="Q657">
        <v>0</v>
      </c>
      <c r="R657">
        <v>0</v>
      </c>
      <c r="U657">
        <v>0.33069300000000001</v>
      </c>
      <c r="V657">
        <v>4.6100000000000003</v>
      </c>
      <c r="W657">
        <v>1.65</v>
      </c>
      <c r="X657" t="s">
        <v>3390</v>
      </c>
      <c r="AA657" t="s">
        <v>3380</v>
      </c>
      <c r="AB657" t="s">
        <v>36008</v>
      </c>
      <c r="AC657" t="s">
        <v>34465</v>
      </c>
      <c r="AD657" t="s">
        <v>11496</v>
      </c>
      <c r="AF657" t="s">
        <v>36009</v>
      </c>
      <c r="AG657" t="s">
        <v>36003</v>
      </c>
    </row>
    <row r="658" spans="1:33" x14ac:dyDescent="0.25">
      <c r="A658" t="s">
        <v>34462</v>
      </c>
      <c r="B658" t="s">
        <v>3396</v>
      </c>
      <c r="C658" t="s">
        <v>3398</v>
      </c>
      <c r="D658">
        <v>15.97</v>
      </c>
      <c r="E658">
        <v>15.97</v>
      </c>
      <c r="G658">
        <v>53871</v>
      </c>
      <c r="H658">
        <v>16.27</v>
      </c>
      <c r="I658">
        <v>21.36</v>
      </c>
      <c r="J658">
        <v>0</v>
      </c>
      <c r="K658">
        <v>1</v>
      </c>
      <c r="L658">
        <v>16</v>
      </c>
      <c r="M658">
        <v>14</v>
      </c>
      <c r="O658">
        <v>0</v>
      </c>
      <c r="Q658">
        <v>2</v>
      </c>
      <c r="R658">
        <v>72</v>
      </c>
      <c r="U658">
        <v>0.33069300000000001</v>
      </c>
      <c r="V658">
        <v>4.6100000000000003</v>
      </c>
      <c r="W658">
        <v>1.59</v>
      </c>
      <c r="X658" t="s">
        <v>3395</v>
      </c>
      <c r="Z658" t="s">
        <v>1452</v>
      </c>
      <c r="AA658" t="s">
        <v>3380</v>
      </c>
      <c r="AB658" t="s">
        <v>36010</v>
      </c>
      <c r="AC658" t="s">
        <v>34465</v>
      </c>
      <c r="AD658" t="s">
        <v>11496</v>
      </c>
      <c r="AF658" t="s">
        <v>36005</v>
      </c>
      <c r="AG658" t="s">
        <v>36003</v>
      </c>
    </row>
    <row r="659" spans="1:33" x14ac:dyDescent="0.25">
      <c r="A659" t="s">
        <v>34462</v>
      </c>
      <c r="B659" t="s">
        <v>3401</v>
      </c>
      <c r="C659" t="s">
        <v>3403</v>
      </c>
      <c r="D659">
        <v>17.98</v>
      </c>
      <c r="E659">
        <v>17.98</v>
      </c>
      <c r="F659">
        <v>2153964</v>
      </c>
      <c r="G659">
        <v>597750</v>
      </c>
      <c r="H659">
        <v>18.100000000000001</v>
      </c>
      <c r="I659">
        <v>21.41</v>
      </c>
      <c r="J659">
        <v>0</v>
      </c>
      <c r="K659">
        <v>1</v>
      </c>
      <c r="L659">
        <v>10</v>
      </c>
      <c r="M659">
        <v>9</v>
      </c>
      <c r="N659">
        <v>4</v>
      </c>
      <c r="O659">
        <v>1</v>
      </c>
      <c r="P659">
        <v>1</v>
      </c>
      <c r="Q659">
        <v>3</v>
      </c>
      <c r="R659">
        <v>65</v>
      </c>
      <c r="U659">
        <v>0.33069300000000001</v>
      </c>
      <c r="V659">
        <v>4.6100000000000003</v>
      </c>
      <c r="W659">
        <v>1.8</v>
      </c>
      <c r="X659" t="s">
        <v>3400</v>
      </c>
      <c r="AA659" t="s">
        <v>3380</v>
      </c>
      <c r="AB659" t="s">
        <v>36011</v>
      </c>
      <c r="AC659" t="s">
        <v>34465</v>
      </c>
      <c r="AD659" t="s">
        <v>11496</v>
      </c>
      <c r="AF659" t="s">
        <v>36005</v>
      </c>
      <c r="AG659" t="s">
        <v>36003</v>
      </c>
    </row>
    <row r="660" spans="1:33" x14ac:dyDescent="0.25">
      <c r="A660" t="s">
        <v>34462</v>
      </c>
      <c r="B660" t="s">
        <v>3406</v>
      </c>
      <c r="C660" t="s">
        <v>3408</v>
      </c>
      <c r="D660">
        <v>17.989999999999998</v>
      </c>
      <c r="E660">
        <v>17.989999999999998</v>
      </c>
      <c r="F660">
        <v>2715959</v>
      </c>
      <c r="G660">
        <v>2147935</v>
      </c>
      <c r="H660">
        <v>17.97</v>
      </c>
      <c r="I660">
        <v>20.91</v>
      </c>
      <c r="J660">
        <v>0</v>
      </c>
      <c r="K660">
        <v>1</v>
      </c>
      <c r="L660">
        <v>10</v>
      </c>
      <c r="M660">
        <v>9</v>
      </c>
      <c r="O660">
        <v>0</v>
      </c>
      <c r="Q660">
        <v>4</v>
      </c>
      <c r="R660">
        <v>4</v>
      </c>
      <c r="U660">
        <v>0.33069300000000001</v>
      </c>
      <c r="V660">
        <v>4.6100000000000003</v>
      </c>
      <c r="W660">
        <v>1.8</v>
      </c>
      <c r="X660" t="s">
        <v>3405</v>
      </c>
      <c r="AA660" t="s">
        <v>3380</v>
      </c>
      <c r="AB660" t="s">
        <v>36012</v>
      </c>
      <c r="AC660" t="s">
        <v>34465</v>
      </c>
      <c r="AD660" t="s">
        <v>11496</v>
      </c>
      <c r="AF660" t="s">
        <v>36005</v>
      </c>
      <c r="AG660" t="s">
        <v>36003</v>
      </c>
    </row>
    <row r="661" spans="1:33" x14ac:dyDescent="0.25">
      <c r="A661" t="s">
        <v>34462</v>
      </c>
      <c r="B661" t="s">
        <v>3411</v>
      </c>
      <c r="C661" t="s">
        <v>3414</v>
      </c>
      <c r="D661">
        <v>36.71</v>
      </c>
      <c r="F661">
        <v>95891</v>
      </c>
      <c r="G661">
        <v>76095</v>
      </c>
      <c r="H661">
        <v>36.71</v>
      </c>
      <c r="I661">
        <v>36.69</v>
      </c>
      <c r="J661">
        <v>0.18</v>
      </c>
      <c r="K661">
        <v>0.18</v>
      </c>
      <c r="L661">
        <v>1</v>
      </c>
      <c r="M661">
        <v>1</v>
      </c>
      <c r="N661">
        <v>4.5</v>
      </c>
      <c r="O661">
        <v>19</v>
      </c>
      <c r="P661">
        <v>3498</v>
      </c>
      <c r="Q661">
        <v>27</v>
      </c>
      <c r="R661">
        <v>86</v>
      </c>
      <c r="S661" t="s">
        <v>34955</v>
      </c>
      <c r="U661">
        <v>1.0824684200000001</v>
      </c>
      <c r="V661">
        <v>6.05</v>
      </c>
      <c r="X661" t="s">
        <v>3410</v>
      </c>
      <c r="Y661" t="s">
        <v>36013</v>
      </c>
      <c r="Z661" t="s">
        <v>1037</v>
      </c>
      <c r="AA661" t="s">
        <v>3416</v>
      </c>
      <c r="AB661" t="s">
        <v>36014</v>
      </c>
      <c r="AC661" t="s">
        <v>34465</v>
      </c>
      <c r="AD661" t="s">
        <v>8979</v>
      </c>
      <c r="AE661" t="s">
        <v>36015</v>
      </c>
      <c r="AF661" t="s">
        <v>36016</v>
      </c>
      <c r="AG661" t="s">
        <v>34959</v>
      </c>
    </row>
    <row r="662" spans="1:33" x14ac:dyDescent="0.25">
      <c r="A662" t="s">
        <v>34462</v>
      </c>
      <c r="B662" t="s">
        <v>3418</v>
      </c>
      <c r="C662" t="s">
        <v>3420</v>
      </c>
      <c r="D662">
        <v>42.99</v>
      </c>
      <c r="E662">
        <v>42.99</v>
      </c>
      <c r="F662">
        <v>87409</v>
      </c>
      <c r="G662">
        <v>75342</v>
      </c>
      <c r="H662">
        <v>41.79</v>
      </c>
      <c r="I662">
        <v>41.52</v>
      </c>
      <c r="J662">
        <v>0</v>
      </c>
      <c r="K662">
        <v>0</v>
      </c>
      <c r="L662">
        <v>1</v>
      </c>
      <c r="M662">
        <v>1</v>
      </c>
      <c r="N662">
        <v>4.5</v>
      </c>
      <c r="O662">
        <v>1</v>
      </c>
      <c r="P662">
        <v>3500</v>
      </c>
      <c r="Q662">
        <v>26</v>
      </c>
      <c r="R662">
        <v>77</v>
      </c>
      <c r="S662" t="s">
        <v>34955</v>
      </c>
      <c r="U662">
        <v>1.2345872</v>
      </c>
      <c r="V662">
        <v>7.34</v>
      </c>
      <c r="W662">
        <v>7.31</v>
      </c>
      <c r="X662" t="s">
        <v>3417</v>
      </c>
      <c r="Y662" t="s">
        <v>36017</v>
      </c>
      <c r="Z662" t="s">
        <v>1037</v>
      </c>
      <c r="AA662" t="s">
        <v>3421</v>
      </c>
      <c r="AB662" t="s">
        <v>36018</v>
      </c>
      <c r="AC662" t="s">
        <v>34493</v>
      </c>
      <c r="AD662" t="s">
        <v>8979</v>
      </c>
      <c r="AE662" t="s">
        <v>36015</v>
      </c>
      <c r="AF662" t="s">
        <v>36019</v>
      </c>
      <c r="AG662" t="s">
        <v>34959</v>
      </c>
    </row>
    <row r="663" spans="1:33" x14ac:dyDescent="0.25">
      <c r="A663" t="s">
        <v>34462</v>
      </c>
      <c r="B663" t="s">
        <v>3423</v>
      </c>
      <c r="C663" t="s">
        <v>3425</v>
      </c>
      <c r="D663">
        <v>42.99</v>
      </c>
      <c r="E663">
        <v>42.99</v>
      </c>
      <c r="F663">
        <v>95891</v>
      </c>
      <c r="G663">
        <v>74969</v>
      </c>
      <c r="H663">
        <v>36.11</v>
      </c>
      <c r="I663">
        <v>37.19</v>
      </c>
      <c r="J663">
        <v>0</v>
      </c>
      <c r="K663">
        <v>0</v>
      </c>
      <c r="L663">
        <v>1</v>
      </c>
      <c r="M663">
        <v>1</v>
      </c>
      <c r="N663">
        <v>4.5</v>
      </c>
      <c r="O663">
        <v>5</v>
      </c>
      <c r="P663">
        <v>3500</v>
      </c>
      <c r="Q663">
        <v>26</v>
      </c>
      <c r="R663">
        <v>70</v>
      </c>
      <c r="S663" t="s">
        <v>34955</v>
      </c>
      <c r="U663">
        <v>1.2786796</v>
      </c>
      <c r="V663">
        <v>7.18</v>
      </c>
      <c r="W663">
        <v>7.31</v>
      </c>
      <c r="X663" t="s">
        <v>3422</v>
      </c>
      <c r="Y663" t="s">
        <v>36020</v>
      </c>
      <c r="Z663" t="s">
        <v>1037</v>
      </c>
      <c r="AA663" t="s">
        <v>2089</v>
      </c>
      <c r="AB663" t="s">
        <v>36021</v>
      </c>
      <c r="AC663" t="s">
        <v>34493</v>
      </c>
      <c r="AD663" t="s">
        <v>8979</v>
      </c>
      <c r="AE663" t="s">
        <v>36015</v>
      </c>
      <c r="AF663" t="s">
        <v>36022</v>
      </c>
      <c r="AG663" t="s">
        <v>34959</v>
      </c>
    </row>
    <row r="664" spans="1:33" x14ac:dyDescent="0.25">
      <c r="A664" t="s">
        <v>34462</v>
      </c>
      <c r="B664" t="s">
        <v>3427</v>
      </c>
      <c r="C664" t="s">
        <v>3429</v>
      </c>
      <c r="D664">
        <v>33.340000000000003</v>
      </c>
      <c r="E664">
        <v>33.340000000000003</v>
      </c>
      <c r="F664">
        <v>95891</v>
      </c>
      <c r="G664">
        <v>76446</v>
      </c>
      <c r="H664">
        <v>33.11</v>
      </c>
      <c r="I664">
        <v>35.44</v>
      </c>
      <c r="J664">
        <v>0</v>
      </c>
      <c r="K664">
        <v>0</v>
      </c>
      <c r="L664">
        <v>1</v>
      </c>
      <c r="M664">
        <v>1</v>
      </c>
      <c r="N664">
        <v>4.5</v>
      </c>
      <c r="O664">
        <v>2</v>
      </c>
      <c r="P664">
        <v>3500</v>
      </c>
      <c r="Q664">
        <v>27</v>
      </c>
      <c r="R664">
        <v>82</v>
      </c>
      <c r="S664" t="s">
        <v>34955</v>
      </c>
      <c r="U664">
        <v>1.3227720000000001</v>
      </c>
      <c r="V664">
        <v>7.02</v>
      </c>
      <c r="W664">
        <v>5.67</v>
      </c>
      <c r="X664" t="s">
        <v>3426</v>
      </c>
      <c r="Y664" t="s">
        <v>36023</v>
      </c>
      <c r="Z664" t="s">
        <v>1037</v>
      </c>
      <c r="AA664" t="s">
        <v>2089</v>
      </c>
      <c r="AB664" t="s">
        <v>36024</v>
      </c>
      <c r="AC664" t="s">
        <v>34493</v>
      </c>
      <c r="AD664" t="s">
        <v>8979</v>
      </c>
      <c r="AE664" t="s">
        <v>36025</v>
      </c>
      <c r="AF664" t="s">
        <v>36022</v>
      </c>
      <c r="AG664" t="s">
        <v>34959</v>
      </c>
    </row>
    <row r="665" spans="1:33" x14ac:dyDescent="0.25">
      <c r="A665" t="s">
        <v>34462</v>
      </c>
      <c r="B665" t="s">
        <v>3432</v>
      </c>
      <c r="C665" t="s">
        <v>3434</v>
      </c>
      <c r="D665">
        <v>38.69</v>
      </c>
      <c r="E665">
        <v>38.69</v>
      </c>
      <c r="F665">
        <v>95891</v>
      </c>
      <c r="G665">
        <v>76342</v>
      </c>
      <c r="H665">
        <v>37.479999999999997</v>
      </c>
      <c r="I665">
        <v>37.07</v>
      </c>
      <c r="J665">
        <v>0</v>
      </c>
      <c r="K665">
        <v>0</v>
      </c>
      <c r="L665">
        <v>1</v>
      </c>
      <c r="M665">
        <v>1</v>
      </c>
      <c r="N665">
        <v>4.5</v>
      </c>
      <c r="O665">
        <v>16</v>
      </c>
      <c r="P665">
        <v>3500</v>
      </c>
      <c r="Q665">
        <v>29</v>
      </c>
      <c r="R665">
        <v>83</v>
      </c>
      <c r="S665" t="s">
        <v>34955</v>
      </c>
      <c r="U665">
        <v>1.3492274399999999</v>
      </c>
      <c r="V665">
        <v>6.67</v>
      </c>
      <c r="W665">
        <v>6.58</v>
      </c>
      <c r="X665" t="s">
        <v>3431</v>
      </c>
      <c r="Y665" t="s">
        <v>36026</v>
      </c>
      <c r="Z665" t="s">
        <v>1037</v>
      </c>
      <c r="AA665" t="s">
        <v>3416</v>
      </c>
      <c r="AB665" t="s">
        <v>36027</v>
      </c>
      <c r="AC665" t="s">
        <v>34493</v>
      </c>
      <c r="AD665" t="s">
        <v>8979</v>
      </c>
      <c r="AE665" t="s">
        <v>36025</v>
      </c>
      <c r="AF665" t="s">
        <v>36028</v>
      </c>
      <c r="AG665" t="s">
        <v>34959</v>
      </c>
    </row>
    <row r="666" spans="1:33" x14ac:dyDescent="0.25">
      <c r="A666" t="s">
        <v>34462</v>
      </c>
      <c r="B666" t="s">
        <v>3437</v>
      </c>
      <c r="C666" t="s">
        <v>3439</v>
      </c>
      <c r="D666">
        <v>42.99</v>
      </c>
      <c r="E666">
        <v>42.99</v>
      </c>
      <c r="F666">
        <v>87409</v>
      </c>
      <c r="G666">
        <v>76633</v>
      </c>
      <c r="H666">
        <v>39.18</v>
      </c>
      <c r="I666">
        <v>40.21</v>
      </c>
      <c r="J666">
        <v>0</v>
      </c>
      <c r="K666">
        <v>0</v>
      </c>
      <c r="L666">
        <v>1</v>
      </c>
      <c r="M666">
        <v>1</v>
      </c>
      <c r="N666">
        <v>4.5</v>
      </c>
      <c r="O666">
        <v>0</v>
      </c>
      <c r="P666">
        <v>3500</v>
      </c>
      <c r="Q666">
        <v>29</v>
      </c>
      <c r="R666">
        <v>85</v>
      </c>
      <c r="S666" t="s">
        <v>34955</v>
      </c>
      <c r="U666">
        <v>1.3007257999999999</v>
      </c>
      <c r="V666">
        <v>6.67</v>
      </c>
      <c r="W666">
        <v>7.31</v>
      </c>
      <c r="X666" t="s">
        <v>3436</v>
      </c>
      <c r="Y666" t="s">
        <v>36029</v>
      </c>
      <c r="Z666" t="s">
        <v>1037</v>
      </c>
      <c r="AA666" t="s">
        <v>3421</v>
      </c>
      <c r="AB666" t="s">
        <v>36030</v>
      </c>
      <c r="AC666" t="s">
        <v>34493</v>
      </c>
      <c r="AD666" t="s">
        <v>8979</v>
      </c>
      <c r="AE666" t="s">
        <v>36025</v>
      </c>
      <c r="AF666" t="s">
        <v>36019</v>
      </c>
      <c r="AG666" t="s">
        <v>34959</v>
      </c>
    </row>
    <row r="667" spans="1:33" x14ac:dyDescent="0.25">
      <c r="A667" t="s">
        <v>34462</v>
      </c>
      <c r="B667" t="s">
        <v>3441</v>
      </c>
      <c r="C667" t="s">
        <v>3443</v>
      </c>
      <c r="D667">
        <v>42.99</v>
      </c>
      <c r="E667">
        <v>42.99</v>
      </c>
      <c r="F667">
        <v>95891</v>
      </c>
      <c r="G667">
        <v>75253</v>
      </c>
      <c r="H667">
        <v>36.11</v>
      </c>
      <c r="I667">
        <v>37.17</v>
      </c>
      <c r="J667">
        <v>0</v>
      </c>
      <c r="K667">
        <v>0</v>
      </c>
      <c r="L667">
        <v>1</v>
      </c>
      <c r="M667">
        <v>1</v>
      </c>
      <c r="N667">
        <v>4.5</v>
      </c>
      <c r="O667">
        <v>1</v>
      </c>
      <c r="P667">
        <v>3500</v>
      </c>
      <c r="Q667">
        <v>28</v>
      </c>
      <c r="R667">
        <v>68</v>
      </c>
      <c r="S667" t="s">
        <v>34955</v>
      </c>
      <c r="U667">
        <v>1.36906902</v>
      </c>
      <c r="V667">
        <v>10.75</v>
      </c>
      <c r="W667">
        <v>7.31</v>
      </c>
      <c r="X667" t="s">
        <v>3440</v>
      </c>
      <c r="Y667" t="s">
        <v>36031</v>
      </c>
      <c r="Z667" t="s">
        <v>1037</v>
      </c>
      <c r="AA667" t="s">
        <v>2089</v>
      </c>
      <c r="AB667" t="s">
        <v>36032</v>
      </c>
      <c r="AC667" t="s">
        <v>34493</v>
      </c>
      <c r="AD667" t="s">
        <v>8979</v>
      </c>
      <c r="AE667" t="s">
        <v>36033</v>
      </c>
      <c r="AF667" t="s">
        <v>36022</v>
      </c>
      <c r="AG667" t="s">
        <v>34959</v>
      </c>
    </row>
    <row r="668" spans="1:33" x14ac:dyDescent="0.25">
      <c r="A668" t="s">
        <v>34462</v>
      </c>
      <c r="B668" t="s">
        <v>3446</v>
      </c>
      <c r="C668" t="s">
        <v>3448</v>
      </c>
      <c r="D668">
        <v>31.28</v>
      </c>
      <c r="E668">
        <v>31.28</v>
      </c>
      <c r="F668">
        <v>95891</v>
      </c>
      <c r="G668">
        <v>74971</v>
      </c>
      <c r="H668">
        <v>34.020000000000003</v>
      </c>
      <c r="I668">
        <v>35.21</v>
      </c>
      <c r="J668">
        <v>0</v>
      </c>
      <c r="K668">
        <v>0</v>
      </c>
      <c r="L668">
        <v>1</v>
      </c>
      <c r="M668">
        <v>1</v>
      </c>
      <c r="N668">
        <v>4.5</v>
      </c>
      <c r="O668">
        <v>3</v>
      </c>
      <c r="P668">
        <v>3500</v>
      </c>
      <c r="Q668">
        <v>20</v>
      </c>
      <c r="R668">
        <v>68</v>
      </c>
      <c r="S668" t="s">
        <v>34955</v>
      </c>
      <c r="U668">
        <v>1.4770954000000001</v>
      </c>
      <c r="V668">
        <v>7.5</v>
      </c>
      <c r="W668">
        <v>5.32</v>
      </c>
      <c r="X668" t="s">
        <v>3445</v>
      </c>
      <c r="Y668" t="s">
        <v>36034</v>
      </c>
      <c r="Z668" t="s">
        <v>1037</v>
      </c>
      <c r="AA668" t="s">
        <v>1622</v>
      </c>
      <c r="AB668" t="s">
        <v>36035</v>
      </c>
      <c r="AC668" t="s">
        <v>34493</v>
      </c>
      <c r="AD668" t="s">
        <v>8979</v>
      </c>
      <c r="AE668" t="s">
        <v>36033</v>
      </c>
      <c r="AF668" t="s">
        <v>36036</v>
      </c>
      <c r="AG668" t="s">
        <v>34959</v>
      </c>
    </row>
    <row r="669" spans="1:33" x14ac:dyDescent="0.25">
      <c r="A669" t="s">
        <v>34462</v>
      </c>
      <c r="B669" t="s">
        <v>3450</v>
      </c>
      <c r="C669" t="s">
        <v>3452</v>
      </c>
      <c r="D669">
        <v>42.99</v>
      </c>
      <c r="E669">
        <v>42.99</v>
      </c>
      <c r="F669">
        <v>95891</v>
      </c>
      <c r="G669">
        <v>76184</v>
      </c>
      <c r="H669">
        <v>41.18</v>
      </c>
      <c r="I669">
        <v>41.05</v>
      </c>
      <c r="J669">
        <v>0</v>
      </c>
      <c r="K669">
        <v>0</v>
      </c>
      <c r="L669">
        <v>1</v>
      </c>
      <c r="M669">
        <v>1</v>
      </c>
      <c r="N669">
        <v>4.5</v>
      </c>
      <c r="O669">
        <v>2</v>
      </c>
      <c r="P669">
        <v>3500</v>
      </c>
      <c r="Q669">
        <v>21</v>
      </c>
      <c r="R669">
        <v>70</v>
      </c>
      <c r="S669" t="s">
        <v>34955</v>
      </c>
      <c r="U669">
        <v>1.35143206</v>
      </c>
      <c r="V669">
        <v>7.08</v>
      </c>
      <c r="W669">
        <v>7.31</v>
      </c>
      <c r="X669" t="s">
        <v>3449</v>
      </c>
      <c r="Y669" t="s">
        <v>36037</v>
      </c>
      <c r="Z669" t="s">
        <v>1037</v>
      </c>
      <c r="AA669" t="s">
        <v>3421</v>
      </c>
      <c r="AB669" t="s">
        <v>36038</v>
      </c>
      <c r="AC669" t="s">
        <v>34493</v>
      </c>
      <c r="AD669" t="s">
        <v>8979</v>
      </c>
      <c r="AE669" t="s">
        <v>36033</v>
      </c>
      <c r="AF669" t="s">
        <v>36019</v>
      </c>
      <c r="AG669" t="s">
        <v>34959</v>
      </c>
    </row>
    <row r="670" spans="1:33" x14ac:dyDescent="0.25">
      <c r="A670" t="s">
        <v>34462</v>
      </c>
      <c r="B670" t="s">
        <v>3454</v>
      </c>
      <c r="C670" t="s">
        <v>3456</v>
      </c>
      <c r="D670">
        <v>38.69</v>
      </c>
      <c r="E670">
        <v>38.69</v>
      </c>
      <c r="F670">
        <v>95891</v>
      </c>
      <c r="G670">
        <v>76466</v>
      </c>
      <c r="H670">
        <v>37.590000000000003</v>
      </c>
      <c r="I670">
        <v>37.5</v>
      </c>
      <c r="J670">
        <v>0</v>
      </c>
      <c r="K670">
        <v>0</v>
      </c>
      <c r="L670">
        <v>1</v>
      </c>
      <c r="M670">
        <v>1</v>
      </c>
      <c r="N670">
        <v>4.5</v>
      </c>
      <c r="O670">
        <v>16</v>
      </c>
      <c r="P670">
        <v>3500</v>
      </c>
      <c r="Q670">
        <v>20</v>
      </c>
      <c r="R670">
        <v>72</v>
      </c>
      <c r="S670" t="s">
        <v>34955</v>
      </c>
      <c r="U670">
        <v>1.433003</v>
      </c>
      <c r="V670">
        <v>10.17</v>
      </c>
      <c r="W670">
        <v>6.58</v>
      </c>
      <c r="X670" t="s">
        <v>3453</v>
      </c>
      <c r="Y670" t="s">
        <v>36039</v>
      </c>
      <c r="Z670" t="s">
        <v>1037</v>
      </c>
      <c r="AA670" t="s">
        <v>3416</v>
      </c>
      <c r="AB670" t="s">
        <v>36040</v>
      </c>
      <c r="AC670" t="s">
        <v>34493</v>
      </c>
      <c r="AD670" t="s">
        <v>8979</v>
      </c>
      <c r="AE670" t="s">
        <v>36033</v>
      </c>
      <c r="AF670" t="s">
        <v>36028</v>
      </c>
      <c r="AG670" t="s">
        <v>34959</v>
      </c>
    </row>
    <row r="671" spans="1:33" x14ac:dyDescent="0.25">
      <c r="A671" t="s">
        <v>34462</v>
      </c>
      <c r="B671" t="s">
        <v>3459</v>
      </c>
      <c r="C671" t="s">
        <v>3461</v>
      </c>
      <c r="D671">
        <v>38.69</v>
      </c>
      <c r="E671">
        <v>38.69</v>
      </c>
      <c r="F671">
        <v>95891</v>
      </c>
      <c r="G671">
        <v>76569</v>
      </c>
      <c r="H671">
        <v>37.880000000000003</v>
      </c>
      <c r="I671">
        <v>37.11</v>
      </c>
      <c r="J671">
        <v>0</v>
      </c>
      <c r="K671">
        <v>0</v>
      </c>
      <c r="L671">
        <v>1</v>
      </c>
      <c r="M671">
        <v>1</v>
      </c>
      <c r="N671">
        <v>4.5</v>
      </c>
      <c r="O671">
        <v>6</v>
      </c>
      <c r="P671">
        <v>3500</v>
      </c>
      <c r="Q671">
        <v>28</v>
      </c>
      <c r="R671">
        <v>95</v>
      </c>
      <c r="S671" t="s">
        <v>34955</v>
      </c>
      <c r="U671">
        <v>1.51898318</v>
      </c>
      <c r="V671">
        <v>10.55</v>
      </c>
      <c r="W671">
        <v>6.58</v>
      </c>
      <c r="X671" t="s">
        <v>3458</v>
      </c>
      <c r="Y671" t="s">
        <v>36041</v>
      </c>
      <c r="Z671" t="s">
        <v>1037</v>
      </c>
      <c r="AA671" t="s">
        <v>3416</v>
      </c>
      <c r="AB671" t="s">
        <v>36042</v>
      </c>
      <c r="AC671" t="s">
        <v>34493</v>
      </c>
      <c r="AD671" t="s">
        <v>8979</v>
      </c>
      <c r="AE671" t="s">
        <v>36043</v>
      </c>
      <c r="AF671" t="s">
        <v>36028</v>
      </c>
      <c r="AG671" t="s">
        <v>34959</v>
      </c>
    </row>
    <row r="672" spans="1:33" x14ac:dyDescent="0.25">
      <c r="A672" t="s">
        <v>34462</v>
      </c>
      <c r="B672" t="s">
        <v>3463</v>
      </c>
      <c r="C672" t="s">
        <v>3465</v>
      </c>
      <c r="D672">
        <v>42.99</v>
      </c>
      <c r="E672">
        <v>42.99</v>
      </c>
      <c r="F672">
        <v>87409</v>
      </c>
      <c r="G672">
        <v>77130</v>
      </c>
      <c r="H672">
        <v>40.659999999999997</v>
      </c>
      <c r="I672">
        <v>40.97</v>
      </c>
      <c r="J672">
        <v>0</v>
      </c>
      <c r="K672">
        <v>0</v>
      </c>
      <c r="L672">
        <v>1</v>
      </c>
      <c r="M672">
        <v>1</v>
      </c>
      <c r="N672">
        <v>4.5</v>
      </c>
      <c r="O672">
        <v>0</v>
      </c>
      <c r="P672">
        <v>3500</v>
      </c>
      <c r="Q672">
        <v>31</v>
      </c>
      <c r="R672">
        <v>97</v>
      </c>
      <c r="S672" t="s">
        <v>34955</v>
      </c>
      <c r="U672">
        <v>1.3756828800000001</v>
      </c>
      <c r="V672">
        <v>6.48</v>
      </c>
      <c r="W672">
        <v>7.31</v>
      </c>
      <c r="X672" t="s">
        <v>3462</v>
      </c>
      <c r="Y672" t="s">
        <v>36044</v>
      </c>
      <c r="Z672" t="s">
        <v>1037</v>
      </c>
      <c r="AA672" t="s">
        <v>3421</v>
      </c>
      <c r="AB672" t="s">
        <v>36045</v>
      </c>
      <c r="AC672" t="s">
        <v>34493</v>
      </c>
      <c r="AD672" t="s">
        <v>8979</v>
      </c>
      <c r="AE672" t="s">
        <v>36043</v>
      </c>
      <c r="AF672" t="s">
        <v>36019</v>
      </c>
      <c r="AG672" t="s">
        <v>34959</v>
      </c>
    </row>
    <row r="673" spans="1:33" x14ac:dyDescent="0.25">
      <c r="A673" t="s">
        <v>34462</v>
      </c>
      <c r="B673" t="s">
        <v>3467</v>
      </c>
      <c r="C673" t="s">
        <v>3469</v>
      </c>
      <c r="D673">
        <v>42.99</v>
      </c>
      <c r="E673">
        <v>42.99</v>
      </c>
      <c r="F673">
        <v>95891</v>
      </c>
      <c r="G673">
        <v>74479</v>
      </c>
      <c r="H673">
        <v>36.08</v>
      </c>
      <c r="I673">
        <v>36.630000000000003</v>
      </c>
      <c r="J673">
        <v>0</v>
      </c>
      <c r="K673">
        <v>0</v>
      </c>
      <c r="L673">
        <v>1</v>
      </c>
      <c r="M673">
        <v>1</v>
      </c>
      <c r="N673">
        <v>4.5</v>
      </c>
      <c r="O673">
        <v>2</v>
      </c>
      <c r="P673">
        <v>3500</v>
      </c>
      <c r="Q673">
        <v>32</v>
      </c>
      <c r="R673">
        <v>97</v>
      </c>
      <c r="S673" t="s">
        <v>34955</v>
      </c>
      <c r="U673">
        <v>1.4594584399999999</v>
      </c>
      <c r="V673">
        <v>10.75</v>
      </c>
      <c r="W673">
        <v>7.31</v>
      </c>
      <c r="X673" t="s">
        <v>3466</v>
      </c>
      <c r="Y673" t="s">
        <v>36046</v>
      </c>
      <c r="Z673" t="s">
        <v>1037</v>
      </c>
      <c r="AA673" t="s">
        <v>2089</v>
      </c>
      <c r="AB673" t="s">
        <v>36047</v>
      </c>
      <c r="AC673" t="s">
        <v>34493</v>
      </c>
      <c r="AD673" t="s">
        <v>8979</v>
      </c>
      <c r="AE673" t="s">
        <v>36043</v>
      </c>
      <c r="AF673" t="s">
        <v>36022</v>
      </c>
      <c r="AG673" t="s">
        <v>34959</v>
      </c>
    </row>
    <row r="674" spans="1:33" x14ac:dyDescent="0.25">
      <c r="A674" t="s">
        <v>34462</v>
      </c>
      <c r="B674" t="s">
        <v>3472</v>
      </c>
      <c r="C674" t="s">
        <v>3474</v>
      </c>
      <c r="D674">
        <v>38.69</v>
      </c>
      <c r="E674">
        <v>38.69</v>
      </c>
      <c r="F674">
        <v>95891</v>
      </c>
      <c r="G674">
        <v>76196</v>
      </c>
      <c r="H674">
        <v>39.979999999999997</v>
      </c>
      <c r="I674">
        <v>38.46</v>
      </c>
      <c r="J674">
        <v>0</v>
      </c>
      <c r="K674">
        <v>0</v>
      </c>
      <c r="L674">
        <v>1</v>
      </c>
      <c r="M674">
        <v>1</v>
      </c>
      <c r="N674">
        <v>4.5</v>
      </c>
      <c r="O674">
        <v>6</v>
      </c>
      <c r="P674">
        <v>3500</v>
      </c>
      <c r="Q674">
        <v>21</v>
      </c>
      <c r="R674">
        <v>68</v>
      </c>
      <c r="S674" t="s">
        <v>34955</v>
      </c>
      <c r="U674">
        <v>1.5410293799999999</v>
      </c>
      <c r="V674">
        <v>10.55</v>
      </c>
      <c r="W674">
        <v>6.58</v>
      </c>
      <c r="X674" t="s">
        <v>3471</v>
      </c>
      <c r="Y674" t="s">
        <v>36048</v>
      </c>
      <c r="Z674" t="s">
        <v>1037</v>
      </c>
      <c r="AA674" t="s">
        <v>3416</v>
      </c>
      <c r="AB674" t="s">
        <v>36049</v>
      </c>
      <c r="AC674" t="s">
        <v>34493</v>
      </c>
      <c r="AD674" t="s">
        <v>8979</v>
      </c>
      <c r="AE674" t="s">
        <v>34839</v>
      </c>
      <c r="AF674" t="s">
        <v>36028</v>
      </c>
      <c r="AG674" t="s">
        <v>34959</v>
      </c>
    </row>
    <row r="675" spans="1:33" x14ac:dyDescent="0.25">
      <c r="A675" t="s">
        <v>34462</v>
      </c>
      <c r="B675" t="s">
        <v>3476</v>
      </c>
      <c r="C675" t="s">
        <v>3478</v>
      </c>
      <c r="D675">
        <v>31.28</v>
      </c>
      <c r="E675">
        <v>31.28</v>
      </c>
      <c r="F675">
        <v>95891</v>
      </c>
      <c r="G675">
        <v>76201</v>
      </c>
      <c r="H675">
        <v>33.9</v>
      </c>
      <c r="I675">
        <v>36.35</v>
      </c>
      <c r="J675">
        <v>0</v>
      </c>
      <c r="K675">
        <v>0</v>
      </c>
      <c r="L675">
        <v>1</v>
      </c>
      <c r="M675">
        <v>1</v>
      </c>
      <c r="N675">
        <v>4.5</v>
      </c>
      <c r="O675">
        <v>0</v>
      </c>
      <c r="P675">
        <v>3500</v>
      </c>
      <c r="Q675">
        <v>24</v>
      </c>
      <c r="R675">
        <v>66</v>
      </c>
      <c r="S675" t="s">
        <v>34955</v>
      </c>
      <c r="U675">
        <v>1.5696894400000001</v>
      </c>
      <c r="V675">
        <v>7.02</v>
      </c>
      <c r="W675">
        <v>5.32</v>
      </c>
      <c r="X675" t="s">
        <v>3475</v>
      </c>
      <c r="Y675" t="s">
        <v>36050</v>
      </c>
      <c r="Z675" t="s">
        <v>1037</v>
      </c>
      <c r="AA675" t="s">
        <v>1622</v>
      </c>
      <c r="AB675" t="s">
        <v>36051</v>
      </c>
      <c r="AC675" t="s">
        <v>34493</v>
      </c>
      <c r="AD675" t="s">
        <v>8979</v>
      </c>
      <c r="AE675" t="s">
        <v>34839</v>
      </c>
      <c r="AF675" t="s">
        <v>36036</v>
      </c>
      <c r="AG675" t="s">
        <v>34959</v>
      </c>
    </row>
    <row r="676" spans="1:33" x14ac:dyDescent="0.25">
      <c r="A676" t="s">
        <v>34462</v>
      </c>
      <c r="B676" t="s">
        <v>3480</v>
      </c>
      <c r="C676" t="s">
        <v>3482</v>
      </c>
      <c r="D676">
        <v>42.99</v>
      </c>
      <c r="E676">
        <v>42.99</v>
      </c>
      <c r="F676">
        <v>95891</v>
      </c>
      <c r="G676">
        <v>77184</v>
      </c>
      <c r="H676">
        <v>40.630000000000003</v>
      </c>
      <c r="I676">
        <v>40.92</v>
      </c>
      <c r="J676">
        <v>0</v>
      </c>
      <c r="K676">
        <v>0</v>
      </c>
      <c r="L676">
        <v>1</v>
      </c>
      <c r="M676">
        <v>1</v>
      </c>
      <c r="N676">
        <v>4.5</v>
      </c>
      <c r="O676">
        <v>0</v>
      </c>
      <c r="P676">
        <v>3500</v>
      </c>
      <c r="Q676">
        <v>37</v>
      </c>
      <c r="R676">
        <v>101</v>
      </c>
      <c r="S676" t="s">
        <v>34955</v>
      </c>
      <c r="U676">
        <v>1.4109567999999999</v>
      </c>
      <c r="V676">
        <v>10.17</v>
      </c>
      <c r="W676">
        <v>7.31</v>
      </c>
      <c r="X676" t="s">
        <v>3479</v>
      </c>
      <c r="Y676" t="s">
        <v>36052</v>
      </c>
      <c r="Z676" t="s">
        <v>1037</v>
      </c>
      <c r="AA676" t="s">
        <v>3421</v>
      </c>
      <c r="AB676" t="s">
        <v>36053</v>
      </c>
      <c r="AC676" t="s">
        <v>34493</v>
      </c>
      <c r="AD676" t="s">
        <v>8979</v>
      </c>
      <c r="AE676" t="s">
        <v>34839</v>
      </c>
      <c r="AF676" t="s">
        <v>36019</v>
      </c>
      <c r="AG676" t="s">
        <v>34959</v>
      </c>
    </row>
    <row r="677" spans="1:33" x14ac:dyDescent="0.25">
      <c r="A677" t="s">
        <v>34462</v>
      </c>
      <c r="B677" t="s">
        <v>3484</v>
      </c>
      <c r="C677" t="s">
        <v>3486</v>
      </c>
      <c r="D677">
        <v>42.99</v>
      </c>
      <c r="E677">
        <v>42.99</v>
      </c>
      <c r="F677">
        <v>95891</v>
      </c>
      <c r="G677">
        <v>73656</v>
      </c>
      <c r="H677">
        <v>36.090000000000003</v>
      </c>
      <c r="I677">
        <v>37.04</v>
      </c>
      <c r="J677">
        <v>0</v>
      </c>
      <c r="K677">
        <v>0</v>
      </c>
      <c r="L677">
        <v>1</v>
      </c>
      <c r="M677">
        <v>1</v>
      </c>
      <c r="N677">
        <v>4.5</v>
      </c>
      <c r="O677">
        <v>1</v>
      </c>
      <c r="P677">
        <v>3500</v>
      </c>
      <c r="Q677">
        <v>26</v>
      </c>
      <c r="R677">
        <v>74</v>
      </c>
      <c r="S677" t="s">
        <v>34955</v>
      </c>
      <c r="U677">
        <v>1.4991416</v>
      </c>
      <c r="V677">
        <v>10.17</v>
      </c>
      <c r="W677">
        <v>7.31</v>
      </c>
      <c r="X677" t="s">
        <v>3483</v>
      </c>
      <c r="Y677" t="s">
        <v>36054</v>
      </c>
      <c r="Z677" t="s">
        <v>1037</v>
      </c>
      <c r="AA677" t="s">
        <v>2089</v>
      </c>
      <c r="AB677" t="s">
        <v>36055</v>
      </c>
      <c r="AC677" t="s">
        <v>34493</v>
      </c>
      <c r="AD677" t="s">
        <v>8979</v>
      </c>
      <c r="AE677" t="s">
        <v>34839</v>
      </c>
      <c r="AF677" t="s">
        <v>36022</v>
      </c>
      <c r="AG677" t="s">
        <v>34959</v>
      </c>
    </row>
    <row r="678" spans="1:33" x14ac:dyDescent="0.25">
      <c r="A678" t="s">
        <v>34462</v>
      </c>
      <c r="B678" t="s">
        <v>3488</v>
      </c>
      <c r="C678" t="s">
        <v>3491</v>
      </c>
      <c r="D678">
        <v>10.119999999999999</v>
      </c>
      <c r="E678">
        <v>10.119999999999999</v>
      </c>
      <c r="F678">
        <v>334931</v>
      </c>
      <c r="G678">
        <v>734068</v>
      </c>
      <c r="H678">
        <v>34.799999999999997</v>
      </c>
      <c r="I678">
        <v>35.99</v>
      </c>
      <c r="J678">
        <v>0</v>
      </c>
      <c r="K678">
        <v>0</v>
      </c>
      <c r="L678">
        <v>1</v>
      </c>
      <c r="M678">
        <v>1</v>
      </c>
      <c r="N678">
        <v>4.5</v>
      </c>
      <c r="O678">
        <v>1</v>
      </c>
      <c r="P678">
        <v>47</v>
      </c>
      <c r="Q678">
        <v>5</v>
      </c>
      <c r="R678">
        <v>17</v>
      </c>
      <c r="S678" t="s">
        <v>36056</v>
      </c>
      <c r="U678">
        <v>0.98987438000000005</v>
      </c>
      <c r="V678">
        <v>6.48</v>
      </c>
      <c r="W678">
        <v>0.51</v>
      </c>
      <c r="X678" t="s">
        <v>3487</v>
      </c>
      <c r="Y678" t="s">
        <v>3492</v>
      </c>
      <c r="Z678" t="s">
        <v>3492</v>
      </c>
      <c r="AA678" t="s">
        <v>3493</v>
      </c>
      <c r="AB678" t="s">
        <v>36057</v>
      </c>
      <c r="AC678" t="s">
        <v>34493</v>
      </c>
      <c r="AD678" t="s">
        <v>14756</v>
      </c>
      <c r="AE678" t="s">
        <v>34469</v>
      </c>
      <c r="AF678" t="s">
        <v>36058</v>
      </c>
      <c r="AG678" t="s">
        <v>36059</v>
      </c>
    </row>
    <row r="679" spans="1:33" x14ac:dyDescent="0.25">
      <c r="A679" t="s">
        <v>34462</v>
      </c>
      <c r="B679" t="s">
        <v>3495</v>
      </c>
      <c r="C679" t="s">
        <v>3498</v>
      </c>
      <c r="D679">
        <v>50.07</v>
      </c>
      <c r="E679">
        <v>50.07</v>
      </c>
      <c r="F679">
        <v>826894</v>
      </c>
      <c r="G679">
        <v>445455</v>
      </c>
      <c r="H679">
        <v>39.39</v>
      </c>
      <c r="I679">
        <v>43.33</v>
      </c>
      <c r="J679">
        <v>0.05</v>
      </c>
      <c r="K679">
        <v>0.05</v>
      </c>
      <c r="L679">
        <v>1</v>
      </c>
      <c r="M679">
        <v>1</v>
      </c>
      <c r="N679">
        <v>4.5</v>
      </c>
      <c r="O679">
        <v>0</v>
      </c>
      <c r="P679">
        <v>9</v>
      </c>
      <c r="Q679">
        <v>12</v>
      </c>
      <c r="R679">
        <v>41</v>
      </c>
      <c r="S679" t="s">
        <v>36060</v>
      </c>
      <c r="U679">
        <v>0.79366320000000001</v>
      </c>
      <c r="V679">
        <v>8.84</v>
      </c>
      <c r="W679">
        <v>8.52</v>
      </c>
      <c r="X679" t="s">
        <v>3494</v>
      </c>
      <c r="Y679" t="s">
        <v>3499</v>
      </c>
      <c r="Z679" t="s">
        <v>3499</v>
      </c>
      <c r="AA679" t="s">
        <v>3500</v>
      </c>
      <c r="AB679" t="s">
        <v>36061</v>
      </c>
      <c r="AC679" t="s">
        <v>34493</v>
      </c>
      <c r="AD679" t="s">
        <v>9232</v>
      </c>
      <c r="AE679" t="s">
        <v>34533</v>
      </c>
      <c r="AF679" t="s">
        <v>36062</v>
      </c>
      <c r="AG679" t="s">
        <v>36063</v>
      </c>
    </row>
    <row r="680" spans="1:33" x14ac:dyDescent="0.25">
      <c r="A680" t="s">
        <v>34462</v>
      </c>
      <c r="B680" t="s">
        <v>3502</v>
      </c>
      <c r="C680" t="s">
        <v>3504</v>
      </c>
      <c r="D680">
        <v>31.5</v>
      </c>
      <c r="E680">
        <v>31.5</v>
      </c>
      <c r="F680">
        <v>826894</v>
      </c>
      <c r="G680">
        <v>440946</v>
      </c>
      <c r="H680">
        <v>40.06</v>
      </c>
      <c r="I680">
        <v>50.45</v>
      </c>
      <c r="J680">
        <v>0</v>
      </c>
      <c r="K680">
        <v>0</v>
      </c>
      <c r="L680">
        <v>1</v>
      </c>
      <c r="M680">
        <v>1</v>
      </c>
      <c r="O680">
        <v>0</v>
      </c>
      <c r="Q680">
        <v>5</v>
      </c>
      <c r="R680">
        <v>25</v>
      </c>
      <c r="S680" t="s">
        <v>36060</v>
      </c>
      <c r="U680">
        <v>0.78925396000000003</v>
      </c>
      <c r="V680">
        <v>12.65</v>
      </c>
      <c r="W680">
        <v>5.36</v>
      </c>
      <c r="X680" t="s">
        <v>3501</v>
      </c>
      <c r="Y680" t="s">
        <v>3499</v>
      </c>
      <c r="Z680" t="s">
        <v>3499</v>
      </c>
      <c r="AA680" t="s">
        <v>3505</v>
      </c>
      <c r="AB680" t="s">
        <v>36064</v>
      </c>
      <c r="AC680" t="s">
        <v>34493</v>
      </c>
      <c r="AD680" t="s">
        <v>9232</v>
      </c>
      <c r="AE680" t="s">
        <v>34533</v>
      </c>
      <c r="AF680" t="s">
        <v>36065</v>
      </c>
      <c r="AG680" t="s">
        <v>36063</v>
      </c>
    </row>
    <row r="681" spans="1:33" x14ac:dyDescent="0.25">
      <c r="A681" t="s">
        <v>34462</v>
      </c>
      <c r="B681" t="s">
        <v>3507</v>
      </c>
      <c r="C681" t="s">
        <v>3509</v>
      </c>
      <c r="D681">
        <v>31.5</v>
      </c>
      <c r="E681">
        <v>31.5</v>
      </c>
      <c r="F681">
        <v>826894</v>
      </c>
      <c r="G681">
        <v>503948</v>
      </c>
      <c r="H681">
        <v>33.08</v>
      </c>
      <c r="I681">
        <v>40.340000000000003</v>
      </c>
      <c r="J681">
        <v>0</v>
      </c>
      <c r="K681">
        <v>0</v>
      </c>
      <c r="L681">
        <v>1</v>
      </c>
      <c r="M681">
        <v>1</v>
      </c>
      <c r="N681">
        <v>4.5</v>
      </c>
      <c r="O681">
        <v>0</v>
      </c>
      <c r="P681">
        <v>9</v>
      </c>
      <c r="Q681">
        <v>8</v>
      </c>
      <c r="R681">
        <v>32</v>
      </c>
      <c r="S681" t="s">
        <v>36060</v>
      </c>
      <c r="U681">
        <v>0.87964337999999997</v>
      </c>
      <c r="V681">
        <v>12.65</v>
      </c>
      <c r="W681">
        <v>5.36</v>
      </c>
      <c r="X681" t="s">
        <v>3506</v>
      </c>
      <c r="Y681" t="s">
        <v>3499</v>
      </c>
      <c r="Z681" t="s">
        <v>3499</v>
      </c>
      <c r="AA681" t="s">
        <v>3505</v>
      </c>
      <c r="AB681" t="s">
        <v>36066</v>
      </c>
      <c r="AC681" t="s">
        <v>34493</v>
      </c>
      <c r="AD681" t="s">
        <v>9232</v>
      </c>
      <c r="AE681" t="s">
        <v>14701</v>
      </c>
      <c r="AF681" t="s">
        <v>36067</v>
      </c>
      <c r="AG681" t="s">
        <v>36063</v>
      </c>
    </row>
    <row r="682" spans="1:33" x14ac:dyDescent="0.25">
      <c r="A682" t="s">
        <v>34462</v>
      </c>
      <c r="B682" t="s">
        <v>3511</v>
      </c>
      <c r="C682" t="s">
        <v>3513</v>
      </c>
      <c r="D682">
        <v>31.5</v>
      </c>
      <c r="E682">
        <v>31.5</v>
      </c>
      <c r="F682">
        <v>826894</v>
      </c>
      <c r="G682">
        <v>445137</v>
      </c>
      <c r="H682">
        <v>33.46</v>
      </c>
      <c r="I682">
        <v>41.34</v>
      </c>
      <c r="J682">
        <v>0</v>
      </c>
      <c r="K682">
        <v>0</v>
      </c>
      <c r="L682">
        <v>1</v>
      </c>
      <c r="M682">
        <v>1</v>
      </c>
      <c r="O682">
        <v>0</v>
      </c>
      <c r="Q682">
        <v>10</v>
      </c>
      <c r="R682">
        <v>24</v>
      </c>
      <c r="S682" t="s">
        <v>36060</v>
      </c>
      <c r="U682">
        <v>0.93034963999999998</v>
      </c>
      <c r="V682">
        <v>12.65</v>
      </c>
      <c r="W682">
        <v>5.36</v>
      </c>
      <c r="X682" t="s">
        <v>3510</v>
      </c>
      <c r="Y682" t="s">
        <v>3499</v>
      </c>
      <c r="Z682" t="s">
        <v>3499</v>
      </c>
      <c r="AA682" t="s">
        <v>3505</v>
      </c>
      <c r="AB682" t="s">
        <v>36068</v>
      </c>
      <c r="AC682" t="s">
        <v>34493</v>
      </c>
      <c r="AD682" t="s">
        <v>9232</v>
      </c>
      <c r="AE682" t="s">
        <v>34525</v>
      </c>
      <c r="AF682" t="s">
        <v>36067</v>
      </c>
      <c r="AG682" t="s">
        <v>36063</v>
      </c>
    </row>
    <row r="683" spans="1:33" x14ac:dyDescent="0.25">
      <c r="A683" t="s">
        <v>34462</v>
      </c>
      <c r="B683" t="s">
        <v>3515</v>
      </c>
      <c r="C683" t="s">
        <v>3517</v>
      </c>
      <c r="D683">
        <v>58.8</v>
      </c>
      <c r="E683">
        <v>50.81</v>
      </c>
      <c r="F683">
        <v>761254</v>
      </c>
      <c r="G683">
        <v>452473</v>
      </c>
      <c r="H683">
        <v>57.63</v>
      </c>
      <c r="I683">
        <v>52.71</v>
      </c>
      <c r="J683">
        <v>0.13</v>
      </c>
      <c r="K683">
        <v>0.81</v>
      </c>
      <c r="L683">
        <v>2</v>
      </c>
      <c r="M683">
        <v>1</v>
      </c>
      <c r="N683">
        <v>4.5</v>
      </c>
      <c r="O683">
        <v>1</v>
      </c>
      <c r="P683">
        <v>9</v>
      </c>
      <c r="Q683">
        <v>13</v>
      </c>
      <c r="R683">
        <v>39</v>
      </c>
      <c r="S683" t="s">
        <v>36060</v>
      </c>
      <c r="U683">
        <v>0.85980180000000006</v>
      </c>
      <c r="V683">
        <v>12.65</v>
      </c>
      <c r="W683">
        <v>10</v>
      </c>
      <c r="X683" t="s">
        <v>3514</v>
      </c>
      <c r="Y683" t="s">
        <v>3499</v>
      </c>
      <c r="Z683" t="s">
        <v>3499</v>
      </c>
      <c r="AA683" t="s">
        <v>3500</v>
      </c>
      <c r="AB683" t="s">
        <v>36069</v>
      </c>
      <c r="AC683" t="s">
        <v>34465</v>
      </c>
      <c r="AD683" t="s">
        <v>9232</v>
      </c>
      <c r="AE683" t="s">
        <v>34525</v>
      </c>
      <c r="AF683" t="s">
        <v>36070</v>
      </c>
      <c r="AG683" t="s">
        <v>36063</v>
      </c>
    </row>
    <row r="684" spans="1:33" x14ac:dyDescent="0.25">
      <c r="A684" t="s">
        <v>34462</v>
      </c>
      <c r="B684" t="s">
        <v>3519</v>
      </c>
      <c r="C684" t="s">
        <v>3521</v>
      </c>
      <c r="D684">
        <v>33.520000000000003</v>
      </c>
      <c r="F684">
        <v>826894</v>
      </c>
      <c r="G684">
        <v>529739</v>
      </c>
      <c r="H684">
        <v>33.520000000000003</v>
      </c>
      <c r="I684">
        <v>42.42</v>
      </c>
      <c r="J684">
        <v>0.24</v>
      </c>
      <c r="K684">
        <v>0.24</v>
      </c>
      <c r="L684">
        <v>1</v>
      </c>
      <c r="M684">
        <v>1</v>
      </c>
      <c r="N684">
        <v>5</v>
      </c>
      <c r="O684">
        <v>1</v>
      </c>
      <c r="P684">
        <v>7</v>
      </c>
      <c r="Q684">
        <v>6</v>
      </c>
      <c r="R684">
        <v>24</v>
      </c>
      <c r="S684" t="s">
        <v>36060</v>
      </c>
      <c r="U684">
        <v>0.97003280000000003</v>
      </c>
      <c r="V684">
        <v>12.65</v>
      </c>
      <c r="X684" t="s">
        <v>3518</v>
      </c>
      <c r="Y684" t="s">
        <v>3499</v>
      </c>
      <c r="Z684" t="s">
        <v>3499</v>
      </c>
      <c r="AA684" t="s">
        <v>3505</v>
      </c>
      <c r="AB684" t="s">
        <v>36071</v>
      </c>
      <c r="AC684" t="s">
        <v>34465</v>
      </c>
      <c r="AD684" t="s">
        <v>9232</v>
      </c>
      <c r="AE684" t="s">
        <v>34649</v>
      </c>
      <c r="AF684" t="s">
        <v>36067</v>
      </c>
      <c r="AG684" t="s">
        <v>36063</v>
      </c>
    </row>
    <row r="685" spans="1:33" x14ac:dyDescent="0.25">
      <c r="A685" t="s">
        <v>34462</v>
      </c>
      <c r="B685" t="s">
        <v>3523</v>
      </c>
      <c r="C685" t="s">
        <v>3525</v>
      </c>
      <c r="D685">
        <v>67.5</v>
      </c>
      <c r="E685">
        <v>67.5</v>
      </c>
      <c r="F685">
        <v>815706</v>
      </c>
      <c r="G685">
        <v>455160</v>
      </c>
      <c r="H685">
        <v>35</v>
      </c>
      <c r="I685">
        <v>48.26</v>
      </c>
      <c r="J685">
        <v>0</v>
      </c>
      <c r="K685">
        <v>0.75</v>
      </c>
      <c r="L685">
        <v>1</v>
      </c>
      <c r="M685">
        <v>1</v>
      </c>
      <c r="N685">
        <v>4.7</v>
      </c>
      <c r="O685">
        <v>0</v>
      </c>
      <c r="P685">
        <v>8</v>
      </c>
      <c r="Q685">
        <v>7</v>
      </c>
      <c r="R685">
        <v>29</v>
      </c>
      <c r="S685" t="s">
        <v>36060</v>
      </c>
      <c r="U685">
        <v>1.2808842199999999</v>
      </c>
      <c r="V685">
        <v>13.03</v>
      </c>
      <c r="X685" t="s">
        <v>3522</v>
      </c>
      <c r="Y685" t="s">
        <v>3499</v>
      </c>
      <c r="Z685" t="s">
        <v>3499</v>
      </c>
      <c r="AA685" t="s">
        <v>3500</v>
      </c>
      <c r="AB685" t="s">
        <v>36072</v>
      </c>
      <c r="AC685" t="s">
        <v>34465</v>
      </c>
      <c r="AD685" t="s">
        <v>9232</v>
      </c>
      <c r="AE685" t="s">
        <v>34649</v>
      </c>
      <c r="AF685" t="s">
        <v>36070</v>
      </c>
      <c r="AG685" t="s">
        <v>36063</v>
      </c>
    </row>
    <row r="686" spans="1:33" x14ac:dyDescent="0.25">
      <c r="A686" t="s">
        <v>34462</v>
      </c>
      <c r="B686" t="s">
        <v>3527</v>
      </c>
      <c r="C686" t="s">
        <v>3529</v>
      </c>
      <c r="D686">
        <v>76.040000000000006</v>
      </c>
      <c r="E686">
        <v>76.040000000000006</v>
      </c>
      <c r="F686">
        <v>826894</v>
      </c>
      <c r="G686">
        <v>455183</v>
      </c>
      <c r="H686">
        <v>34.520000000000003</v>
      </c>
      <c r="I686">
        <v>34.520000000000003</v>
      </c>
      <c r="J686">
        <v>0.02</v>
      </c>
      <c r="K686">
        <v>0.33</v>
      </c>
      <c r="L686">
        <v>2</v>
      </c>
      <c r="M686">
        <v>1</v>
      </c>
      <c r="N686">
        <v>5</v>
      </c>
      <c r="O686">
        <v>0</v>
      </c>
      <c r="P686">
        <v>7</v>
      </c>
      <c r="Q686">
        <v>11</v>
      </c>
      <c r="R686">
        <v>41</v>
      </c>
      <c r="S686" t="s">
        <v>36060</v>
      </c>
      <c r="U686">
        <v>0.81570940000000003</v>
      </c>
      <c r="V686">
        <v>12.65</v>
      </c>
      <c r="X686" t="s">
        <v>3526</v>
      </c>
      <c r="Y686" t="s">
        <v>3499</v>
      </c>
      <c r="Z686" t="s">
        <v>3499</v>
      </c>
      <c r="AA686" t="s">
        <v>3530</v>
      </c>
      <c r="AB686" t="s">
        <v>36073</v>
      </c>
      <c r="AC686" t="s">
        <v>34465</v>
      </c>
      <c r="AD686" t="s">
        <v>9232</v>
      </c>
      <c r="AE686" t="s">
        <v>34649</v>
      </c>
      <c r="AF686" t="s">
        <v>36074</v>
      </c>
      <c r="AG686" t="s">
        <v>36063</v>
      </c>
    </row>
    <row r="687" spans="1:33" x14ac:dyDescent="0.25">
      <c r="A687" t="s">
        <v>34462</v>
      </c>
      <c r="B687" t="s">
        <v>3532</v>
      </c>
      <c r="C687" t="s">
        <v>3534</v>
      </c>
      <c r="D687">
        <v>55.03</v>
      </c>
      <c r="E687">
        <v>55.03</v>
      </c>
      <c r="F687">
        <v>826894</v>
      </c>
      <c r="G687">
        <v>450185</v>
      </c>
      <c r="H687">
        <v>47.11</v>
      </c>
      <c r="I687">
        <v>53.12</v>
      </c>
      <c r="J687">
        <v>0.12</v>
      </c>
      <c r="K687">
        <v>0.18</v>
      </c>
      <c r="L687">
        <v>2</v>
      </c>
      <c r="M687">
        <v>2</v>
      </c>
      <c r="N687">
        <v>4.7</v>
      </c>
      <c r="O687">
        <v>0</v>
      </c>
      <c r="P687">
        <v>8</v>
      </c>
      <c r="Q687">
        <v>12</v>
      </c>
      <c r="R687">
        <v>36</v>
      </c>
      <c r="S687" t="s">
        <v>36060</v>
      </c>
      <c r="U687">
        <v>0.24030357999999999</v>
      </c>
      <c r="V687">
        <v>4.45</v>
      </c>
      <c r="W687">
        <v>9.36</v>
      </c>
      <c r="X687" t="s">
        <v>3531</v>
      </c>
      <c r="Y687" t="s">
        <v>3499</v>
      </c>
      <c r="Z687" t="s">
        <v>3499</v>
      </c>
      <c r="AA687" t="s">
        <v>3535</v>
      </c>
      <c r="AB687" t="s">
        <v>36075</v>
      </c>
      <c r="AC687" t="s">
        <v>34493</v>
      </c>
      <c r="AD687" t="s">
        <v>9232</v>
      </c>
      <c r="AE687" t="s">
        <v>34649</v>
      </c>
      <c r="AF687" t="s">
        <v>36076</v>
      </c>
      <c r="AG687" t="s">
        <v>36063</v>
      </c>
    </row>
    <row r="688" spans="1:33" x14ac:dyDescent="0.25">
      <c r="A688" t="s">
        <v>34462</v>
      </c>
      <c r="B688" t="s">
        <v>3537</v>
      </c>
      <c r="C688" t="s">
        <v>3539</v>
      </c>
      <c r="D688">
        <v>31.5</v>
      </c>
      <c r="E688">
        <v>31.5</v>
      </c>
      <c r="F688">
        <v>826894</v>
      </c>
      <c r="G688">
        <v>498857</v>
      </c>
      <c r="H688">
        <v>32.93</v>
      </c>
      <c r="I688">
        <v>42.53</v>
      </c>
      <c r="J688">
        <v>0</v>
      </c>
      <c r="K688">
        <v>0</v>
      </c>
      <c r="L688">
        <v>2</v>
      </c>
      <c r="M688">
        <v>1</v>
      </c>
      <c r="N688">
        <v>5</v>
      </c>
      <c r="O688">
        <v>0</v>
      </c>
      <c r="P688">
        <v>7</v>
      </c>
      <c r="Q688">
        <v>7</v>
      </c>
      <c r="R688">
        <v>16</v>
      </c>
      <c r="S688" t="s">
        <v>36060</v>
      </c>
      <c r="U688">
        <v>1.0802638</v>
      </c>
      <c r="V688">
        <v>12.65</v>
      </c>
      <c r="W688">
        <v>5.36</v>
      </c>
      <c r="X688" t="s">
        <v>3536</v>
      </c>
      <c r="Y688" t="s">
        <v>3499</v>
      </c>
      <c r="Z688" t="s">
        <v>3499</v>
      </c>
      <c r="AA688" t="s">
        <v>3530</v>
      </c>
      <c r="AB688" t="s">
        <v>36077</v>
      </c>
      <c r="AC688" t="s">
        <v>34493</v>
      </c>
      <c r="AD688" t="s">
        <v>9232</v>
      </c>
      <c r="AE688" t="s">
        <v>34469</v>
      </c>
      <c r="AF688" t="s">
        <v>36074</v>
      </c>
      <c r="AG688" t="s">
        <v>36063</v>
      </c>
    </row>
    <row r="689" spans="1:33" x14ac:dyDescent="0.25">
      <c r="A689" t="s">
        <v>34462</v>
      </c>
      <c r="B689" t="s">
        <v>3541</v>
      </c>
      <c r="C689" t="s">
        <v>3543</v>
      </c>
      <c r="D689">
        <v>47.94</v>
      </c>
      <c r="E689">
        <v>39.950000000000003</v>
      </c>
      <c r="F689">
        <v>826894</v>
      </c>
      <c r="G689">
        <v>492774</v>
      </c>
      <c r="H689">
        <v>47.94</v>
      </c>
      <c r="I689">
        <v>49.88</v>
      </c>
      <c r="J689">
        <v>0.28999999999999998</v>
      </c>
      <c r="K689">
        <v>1</v>
      </c>
      <c r="L689">
        <v>3</v>
      </c>
      <c r="M689">
        <v>3</v>
      </c>
      <c r="N689">
        <v>5</v>
      </c>
      <c r="O689">
        <v>0</v>
      </c>
      <c r="P689">
        <v>7</v>
      </c>
      <c r="Q689">
        <v>11</v>
      </c>
      <c r="R689">
        <v>27</v>
      </c>
      <c r="S689" t="s">
        <v>36060</v>
      </c>
      <c r="U689">
        <v>0.81570940000000003</v>
      </c>
      <c r="V689">
        <v>12.65</v>
      </c>
      <c r="W689">
        <v>8.15</v>
      </c>
      <c r="X689" t="s">
        <v>3540</v>
      </c>
      <c r="Y689" t="s">
        <v>3499</v>
      </c>
      <c r="Z689" t="s">
        <v>3499</v>
      </c>
      <c r="AA689" t="s">
        <v>3535</v>
      </c>
      <c r="AB689" t="s">
        <v>36078</v>
      </c>
      <c r="AC689" t="s">
        <v>34465</v>
      </c>
      <c r="AD689" t="s">
        <v>9232</v>
      </c>
      <c r="AE689" t="s">
        <v>34469</v>
      </c>
      <c r="AF689" t="s">
        <v>36079</v>
      </c>
      <c r="AG689" t="s">
        <v>36063</v>
      </c>
    </row>
    <row r="690" spans="1:33" x14ac:dyDescent="0.25">
      <c r="A690" t="s">
        <v>34462</v>
      </c>
      <c r="B690" t="s">
        <v>3545</v>
      </c>
      <c r="C690" t="s">
        <v>3547</v>
      </c>
      <c r="D690">
        <v>67.94</v>
      </c>
      <c r="E690">
        <v>67.94</v>
      </c>
      <c r="F690">
        <v>826894</v>
      </c>
      <c r="G690">
        <v>474507</v>
      </c>
      <c r="H690">
        <v>35</v>
      </c>
      <c r="I690">
        <v>46.1</v>
      </c>
      <c r="J690">
        <v>0.08</v>
      </c>
      <c r="K690">
        <v>0.77</v>
      </c>
      <c r="L690">
        <v>1</v>
      </c>
      <c r="M690">
        <v>1</v>
      </c>
      <c r="O690">
        <v>0</v>
      </c>
      <c r="Q690">
        <v>7</v>
      </c>
      <c r="R690">
        <v>24</v>
      </c>
      <c r="S690" t="s">
        <v>36060</v>
      </c>
      <c r="U690">
        <v>1.06042222</v>
      </c>
      <c r="V690">
        <v>12.65</v>
      </c>
      <c r="X690" t="s">
        <v>3544</v>
      </c>
      <c r="Y690" t="s">
        <v>3499</v>
      </c>
      <c r="Z690" t="s">
        <v>3499</v>
      </c>
      <c r="AA690" t="s">
        <v>3500</v>
      </c>
      <c r="AB690" t="s">
        <v>36080</v>
      </c>
      <c r="AC690" t="s">
        <v>34465</v>
      </c>
      <c r="AD690" t="s">
        <v>9232</v>
      </c>
      <c r="AE690" t="s">
        <v>34469</v>
      </c>
      <c r="AF690" t="s">
        <v>36070</v>
      </c>
    </row>
    <row r="691" spans="1:33" x14ac:dyDescent="0.25">
      <c r="A691" t="s">
        <v>34462</v>
      </c>
      <c r="B691" t="s">
        <v>3549</v>
      </c>
      <c r="C691" t="s">
        <v>3551</v>
      </c>
      <c r="D691">
        <v>31.5</v>
      </c>
      <c r="E691">
        <v>31.5</v>
      </c>
      <c r="F691">
        <v>826894</v>
      </c>
      <c r="G691">
        <v>489465</v>
      </c>
      <c r="H691">
        <v>33.1</v>
      </c>
      <c r="I691">
        <v>41.3</v>
      </c>
      <c r="J691">
        <v>0</v>
      </c>
      <c r="K691">
        <v>0</v>
      </c>
      <c r="L691">
        <v>1</v>
      </c>
      <c r="M691">
        <v>1</v>
      </c>
      <c r="N691">
        <v>4.7</v>
      </c>
      <c r="O691">
        <v>0</v>
      </c>
      <c r="P691">
        <v>8</v>
      </c>
      <c r="Q691">
        <v>8</v>
      </c>
      <c r="R691">
        <v>30</v>
      </c>
      <c r="S691" t="s">
        <v>36060</v>
      </c>
      <c r="U691">
        <v>1.06042222</v>
      </c>
      <c r="V691">
        <v>12.65</v>
      </c>
      <c r="W691">
        <v>5.36</v>
      </c>
      <c r="X691" t="s">
        <v>3548</v>
      </c>
      <c r="Y691" t="s">
        <v>3499</v>
      </c>
      <c r="Z691" t="s">
        <v>3499</v>
      </c>
      <c r="AA691" t="s">
        <v>3505</v>
      </c>
      <c r="AB691" t="s">
        <v>36081</v>
      </c>
      <c r="AC691" t="s">
        <v>34493</v>
      </c>
      <c r="AD691" t="s">
        <v>9232</v>
      </c>
      <c r="AE691" t="s">
        <v>34469</v>
      </c>
      <c r="AF691" t="s">
        <v>36065</v>
      </c>
      <c r="AG691" t="s">
        <v>36063</v>
      </c>
    </row>
    <row r="692" spans="1:33" x14ac:dyDescent="0.25">
      <c r="A692" t="s">
        <v>34462</v>
      </c>
      <c r="B692" t="s">
        <v>3553</v>
      </c>
      <c r="C692" t="s">
        <v>3556</v>
      </c>
      <c r="D692">
        <v>38.729999999999997</v>
      </c>
      <c r="E692">
        <v>38.729999999999997</v>
      </c>
      <c r="F692">
        <v>1859453</v>
      </c>
      <c r="G692">
        <v>1444881</v>
      </c>
      <c r="H692">
        <v>35.14</v>
      </c>
      <c r="I692">
        <v>31.46</v>
      </c>
      <c r="J692">
        <v>0.52</v>
      </c>
      <c r="K692">
        <v>1</v>
      </c>
      <c r="L692">
        <v>1</v>
      </c>
      <c r="M692">
        <v>1</v>
      </c>
      <c r="N692">
        <v>4.0999999999999996</v>
      </c>
      <c r="O692">
        <v>2</v>
      </c>
      <c r="P692">
        <v>95</v>
      </c>
      <c r="Q692">
        <v>3</v>
      </c>
      <c r="R692">
        <v>6</v>
      </c>
      <c r="S692" t="s">
        <v>36082</v>
      </c>
      <c r="U692">
        <v>0.74957079999999998</v>
      </c>
      <c r="V692">
        <v>6.6</v>
      </c>
      <c r="X692" t="s">
        <v>3552</v>
      </c>
      <c r="Y692" t="s">
        <v>3557</v>
      </c>
      <c r="Z692" t="s">
        <v>3557</v>
      </c>
      <c r="AA692" t="s">
        <v>76</v>
      </c>
      <c r="AB692" t="s">
        <v>36083</v>
      </c>
      <c r="AC692" t="s">
        <v>34465</v>
      </c>
      <c r="AD692" t="s">
        <v>34787</v>
      </c>
      <c r="AE692" t="s">
        <v>8980</v>
      </c>
      <c r="AF692" t="s">
        <v>36084</v>
      </c>
      <c r="AG692" t="s">
        <v>36085</v>
      </c>
    </row>
    <row r="693" spans="1:33" x14ac:dyDescent="0.25">
      <c r="A693" t="s">
        <v>34462</v>
      </c>
      <c r="B693" t="s">
        <v>3559</v>
      </c>
      <c r="C693" t="s">
        <v>3561</v>
      </c>
      <c r="D693">
        <v>38.729999999999997</v>
      </c>
      <c r="E693">
        <v>38.729999999999997</v>
      </c>
      <c r="F693">
        <v>1870043</v>
      </c>
      <c r="G693">
        <v>2644871</v>
      </c>
      <c r="H693">
        <v>42.59</v>
      </c>
      <c r="I693">
        <v>42.59</v>
      </c>
      <c r="J693">
        <v>0.85</v>
      </c>
      <c r="K693">
        <v>1</v>
      </c>
      <c r="L693">
        <v>1</v>
      </c>
      <c r="M693">
        <v>1</v>
      </c>
      <c r="O693">
        <v>0</v>
      </c>
      <c r="Q693">
        <v>2</v>
      </c>
      <c r="R693">
        <v>4</v>
      </c>
      <c r="S693" t="s">
        <v>36082</v>
      </c>
      <c r="U693">
        <v>0.74957079999999998</v>
      </c>
      <c r="V693">
        <v>6.6</v>
      </c>
      <c r="X693" t="s">
        <v>3558</v>
      </c>
      <c r="Y693" t="s">
        <v>3557</v>
      </c>
      <c r="Z693" t="s">
        <v>3557</v>
      </c>
      <c r="AA693" t="s">
        <v>3562</v>
      </c>
      <c r="AB693" t="s">
        <v>36086</v>
      </c>
      <c r="AC693" t="s">
        <v>34465</v>
      </c>
      <c r="AD693" t="s">
        <v>34787</v>
      </c>
      <c r="AE693" t="s">
        <v>8980</v>
      </c>
      <c r="AF693" t="s">
        <v>36087</v>
      </c>
      <c r="AG693" t="s">
        <v>36085</v>
      </c>
    </row>
    <row r="694" spans="1:33" x14ac:dyDescent="0.25">
      <c r="A694" t="s">
        <v>34462</v>
      </c>
      <c r="B694" t="s">
        <v>3564</v>
      </c>
      <c r="C694" t="s">
        <v>3566</v>
      </c>
      <c r="D694">
        <v>39.979999999999997</v>
      </c>
      <c r="E694">
        <v>38.729999999999997</v>
      </c>
      <c r="F694">
        <v>1878941</v>
      </c>
      <c r="G694">
        <v>1400734</v>
      </c>
      <c r="H694">
        <v>39.700000000000003</v>
      </c>
      <c r="I694">
        <v>37.83</v>
      </c>
      <c r="J694">
        <v>0</v>
      </c>
      <c r="K694">
        <v>1</v>
      </c>
      <c r="L694">
        <v>2</v>
      </c>
      <c r="M694">
        <v>1</v>
      </c>
      <c r="N694">
        <v>4.0999999999999996</v>
      </c>
      <c r="O694">
        <v>1</v>
      </c>
      <c r="P694">
        <v>95</v>
      </c>
      <c r="Q694">
        <v>2</v>
      </c>
      <c r="R694">
        <v>8</v>
      </c>
      <c r="S694" t="s">
        <v>36082</v>
      </c>
      <c r="U694">
        <v>0.74957079999999998</v>
      </c>
      <c r="V694">
        <v>6.6</v>
      </c>
      <c r="W694">
        <v>6.8</v>
      </c>
      <c r="X694" t="s">
        <v>3563</v>
      </c>
      <c r="Y694" t="s">
        <v>3557</v>
      </c>
      <c r="Z694" t="s">
        <v>3557</v>
      </c>
      <c r="AA694" t="s">
        <v>3567</v>
      </c>
      <c r="AB694" t="s">
        <v>36088</v>
      </c>
      <c r="AC694" t="s">
        <v>34465</v>
      </c>
      <c r="AD694" t="s">
        <v>34787</v>
      </c>
      <c r="AE694" t="s">
        <v>8980</v>
      </c>
      <c r="AF694" t="s">
        <v>36089</v>
      </c>
      <c r="AG694" t="s">
        <v>36085</v>
      </c>
    </row>
    <row r="695" spans="1:33" x14ac:dyDescent="0.25">
      <c r="A695" t="s">
        <v>34462</v>
      </c>
      <c r="B695" t="s">
        <v>3569</v>
      </c>
      <c r="C695" t="s">
        <v>3571</v>
      </c>
      <c r="D695">
        <v>38.729999999999997</v>
      </c>
      <c r="E695">
        <v>38.729999999999997</v>
      </c>
      <c r="F695">
        <v>1889145</v>
      </c>
      <c r="G695">
        <v>2671483</v>
      </c>
      <c r="H695">
        <v>38.85</v>
      </c>
      <c r="I695">
        <v>41.93</v>
      </c>
      <c r="J695">
        <v>0.26</v>
      </c>
      <c r="K695">
        <v>1</v>
      </c>
      <c r="L695">
        <v>1</v>
      </c>
      <c r="M695">
        <v>1</v>
      </c>
      <c r="N695">
        <v>4.0999999999999996</v>
      </c>
      <c r="O695">
        <v>3</v>
      </c>
      <c r="P695">
        <v>95</v>
      </c>
      <c r="Q695">
        <v>1</v>
      </c>
      <c r="R695">
        <v>4</v>
      </c>
      <c r="S695" t="s">
        <v>36082</v>
      </c>
      <c r="U695">
        <v>0.74957079999999998</v>
      </c>
      <c r="V695">
        <v>6.6</v>
      </c>
      <c r="W695">
        <v>6.58</v>
      </c>
      <c r="X695" t="s">
        <v>3568</v>
      </c>
      <c r="Y695" t="s">
        <v>3557</v>
      </c>
      <c r="Z695" t="s">
        <v>3557</v>
      </c>
      <c r="AA695" t="s">
        <v>76</v>
      </c>
      <c r="AB695" t="s">
        <v>36090</v>
      </c>
      <c r="AC695" t="s">
        <v>34465</v>
      </c>
      <c r="AD695" t="s">
        <v>34787</v>
      </c>
      <c r="AE695" t="s">
        <v>53</v>
      </c>
      <c r="AF695" t="s">
        <v>36084</v>
      </c>
      <c r="AG695" t="s">
        <v>36085</v>
      </c>
    </row>
    <row r="696" spans="1:33" x14ac:dyDescent="0.25">
      <c r="A696" t="s">
        <v>34462</v>
      </c>
      <c r="B696" t="s">
        <v>3574</v>
      </c>
      <c r="C696" t="s">
        <v>3576</v>
      </c>
      <c r="D696">
        <v>45.99</v>
      </c>
      <c r="E696">
        <v>38.729999999999997</v>
      </c>
      <c r="F696">
        <v>1889145</v>
      </c>
      <c r="G696">
        <v>1445142</v>
      </c>
      <c r="H696">
        <v>39.99</v>
      </c>
      <c r="I696">
        <v>39.71</v>
      </c>
      <c r="J696">
        <v>0</v>
      </c>
      <c r="K696">
        <v>1</v>
      </c>
      <c r="L696">
        <v>2</v>
      </c>
      <c r="M696">
        <v>2</v>
      </c>
      <c r="N696">
        <v>4.0999999999999996</v>
      </c>
      <c r="O696">
        <v>6</v>
      </c>
      <c r="P696">
        <v>95</v>
      </c>
      <c r="Q696">
        <v>3</v>
      </c>
      <c r="R696">
        <v>10</v>
      </c>
      <c r="S696" t="s">
        <v>36082</v>
      </c>
      <c r="U696">
        <v>0.74957079999999998</v>
      </c>
      <c r="V696">
        <v>6.6</v>
      </c>
      <c r="W696">
        <v>7.82</v>
      </c>
      <c r="X696" t="s">
        <v>3573</v>
      </c>
      <c r="Y696" t="s">
        <v>3557</v>
      </c>
      <c r="Z696" t="s">
        <v>3557</v>
      </c>
      <c r="AA696" t="s">
        <v>3562</v>
      </c>
      <c r="AB696" t="s">
        <v>36091</v>
      </c>
      <c r="AC696" t="s">
        <v>34465</v>
      </c>
      <c r="AD696" t="s">
        <v>34787</v>
      </c>
      <c r="AE696" t="s">
        <v>53</v>
      </c>
      <c r="AF696" t="s">
        <v>36087</v>
      </c>
      <c r="AG696" t="s">
        <v>36085</v>
      </c>
    </row>
    <row r="697" spans="1:33" x14ac:dyDescent="0.25">
      <c r="A697" t="s">
        <v>34462</v>
      </c>
      <c r="B697" t="s">
        <v>3579</v>
      </c>
      <c r="C697" t="s">
        <v>3581</v>
      </c>
      <c r="D697">
        <v>39.479999999999997</v>
      </c>
      <c r="E697">
        <v>38.729999999999997</v>
      </c>
      <c r="F697">
        <v>1889145</v>
      </c>
      <c r="G697">
        <v>1394880</v>
      </c>
      <c r="H697">
        <v>44.98</v>
      </c>
      <c r="I697">
        <v>44.98</v>
      </c>
      <c r="J697">
        <v>0.16</v>
      </c>
      <c r="K697">
        <v>1</v>
      </c>
      <c r="L697">
        <v>1</v>
      </c>
      <c r="M697">
        <v>1</v>
      </c>
      <c r="N697">
        <v>4.0999999999999996</v>
      </c>
      <c r="O697">
        <v>1</v>
      </c>
      <c r="P697">
        <v>95</v>
      </c>
      <c r="Q697">
        <v>2</v>
      </c>
      <c r="R697">
        <v>8</v>
      </c>
      <c r="S697" t="s">
        <v>36082</v>
      </c>
      <c r="U697">
        <v>0.74957079999999998</v>
      </c>
      <c r="V697">
        <v>6.6</v>
      </c>
      <c r="W697">
        <v>6.72</v>
      </c>
      <c r="X697" t="s">
        <v>3578</v>
      </c>
      <c r="Y697" t="s">
        <v>3557</v>
      </c>
      <c r="Z697" t="s">
        <v>3557</v>
      </c>
      <c r="AA697" t="s">
        <v>3567</v>
      </c>
      <c r="AB697" t="s">
        <v>36092</v>
      </c>
      <c r="AC697" t="s">
        <v>34465</v>
      </c>
      <c r="AD697" t="s">
        <v>34787</v>
      </c>
      <c r="AE697" t="s">
        <v>53</v>
      </c>
      <c r="AF697" t="s">
        <v>36089</v>
      </c>
      <c r="AG697" t="s">
        <v>36085</v>
      </c>
    </row>
    <row r="698" spans="1:33" x14ac:dyDescent="0.25">
      <c r="A698" t="s">
        <v>34462</v>
      </c>
      <c r="B698" t="s">
        <v>3583</v>
      </c>
      <c r="C698" t="s">
        <v>3585</v>
      </c>
      <c r="D698">
        <v>13.2</v>
      </c>
      <c r="E698">
        <v>13.2</v>
      </c>
      <c r="F698">
        <v>1891609</v>
      </c>
      <c r="G698">
        <v>1298257</v>
      </c>
      <c r="H698">
        <v>38.49</v>
      </c>
      <c r="I698">
        <v>37.01</v>
      </c>
      <c r="J698">
        <v>0.38</v>
      </c>
      <c r="K698">
        <v>0.63</v>
      </c>
      <c r="L698">
        <v>2</v>
      </c>
      <c r="M698">
        <v>1</v>
      </c>
      <c r="N698">
        <v>4.0999999999999996</v>
      </c>
      <c r="O698">
        <v>4</v>
      </c>
      <c r="P698">
        <v>95</v>
      </c>
      <c r="Q698">
        <v>4</v>
      </c>
      <c r="R698">
        <v>8</v>
      </c>
      <c r="S698" t="s">
        <v>36082</v>
      </c>
      <c r="U698">
        <v>0.74957079999999998</v>
      </c>
      <c r="V698">
        <v>6.6</v>
      </c>
      <c r="W698">
        <v>2.2400000000000002</v>
      </c>
      <c r="X698" t="s">
        <v>3582</v>
      </c>
      <c r="Y698" t="s">
        <v>3557</v>
      </c>
      <c r="Z698" t="s">
        <v>3557</v>
      </c>
      <c r="AA698" t="s">
        <v>76</v>
      </c>
      <c r="AB698" t="s">
        <v>36093</v>
      </c>
      <c r="AC698" t="s">
        <v>34484</v>
      </c>
      <c r="AD698" t="s">
        <v>34787</v>
      </c>
      <c r="AE698" t="s">
        <v>342</v>
      </c>
      <c r="AF698" t="s">
        <v>36084</v>
      </c>
      <c r="AG698" t="s">
        <v>36085</v>
      </c>
    </row>
    <row r="699" spans="1:33" x14ac:dyDescent="0.25">
      <c r="A699" t="s">
        <v>34462</v>
      </c>
      <c r="B699" t="s">
        <v>3587</v>
      </c>
      <c r="C699" t="s">
        <v>3589</v>
      </c>
      <c r="D699">
        <v>38.729999999999997</v>
      </c>
      <c r="E699">
        <v>38.729999999999997</v>
      </c>
      <c r="F699">
        <v>1889145</v>
      </c>
      <c r="G699">
        <v>1202165</v>
      </c>
      <c r="H699">
        <v>40.299999999999997</v>
      </c>
      <c r="I699">
        <v>40.299999999999997</v>
      </c>
      <c r="J699">
        <v>0.75</v>
      </c>
      <c r="K699">
        <v>1</v>
      </c>
      <c r="L699">
        <v>1</v>
      </c>
      <c r="M699">
        <v>1</v>
      </c>
      <c r="N699">
        <v>4.0999999999999996</v>
      </c>
      <c r="O699">
        <v>4</v>
      </c>
      <c r="P699">
        <v>95</v>
      </c>
      <c r="Q699">
        <v>3</v>
      </c>
      <c r="R699">
        <v>8</v>
      </c>
      <c r="S699" t="s">
        <v>36082</v>
      </c>
      <c r="U699">
        <v>0.74957079999999998</v>
      </c>
      <c r="V699">
        <v>6.6</v>
      </c>
      <c r="W699">
        <v>6.58</v>
      </c>
      <c r="X699" t="s">
        <v>3586</v>
      </c>
      <c r="Y699" t="s">
        <v>3557</v>
      </c>
      <c r="Z699" t="s">
        <v>3557</v>
      </c>
      <c r="AA699" t="s">
        <v>3567</v>
      </c>
      <c r="AB699" t="s">
        <v>36094</v>
      </c>
      <c r="AC699" t="s">
        <v>34465</v>
      </c>
      <c r="AD699" t="s">
        <v>34787</v>
      </c>
      <c r="AE699" t="s">
        <v>342</v>
      </c>
      <c r="AF699" t="s">
        <v>36089</v>
      </c>
      <c r="AG699" t="s">
        <v>36085</v>
      </c>
    </row>
    <row r="700" spans="1:33" x14ac:dyDescent="0.25">
      <c r="A700" t="s">
        <v>34462</v>
      </c>
      <c r="B700" t="s">
        <v>3592</v>
      </c>
      <c r="C700" t="s">
        <v>3594</v>
      </c>
      <c r="D700">
        <v>46.54</v>
      </c>
      <c r="E700">
        <v>38.729999999999997</v>
      </c>
      <c r="F700">
        <v>1889145</v>
      </c>
      <c r="G700">
        <v>1377686</v>
      </c>
      <c r="H700">
        <v>38</v>
      </c>
      <c r="I700">
        <v>38.090000000000003</v>
      </c>
      <c r="J700">
        <v>0</v>
      </c>
      <c r="K700">
        <v>1</v>
      </c>
      <c r="L700">
        <v>2</v>
      </c>
      <c r="M700">
        <v>2</v>
      </c>
      <c r="N700">
        <v>4.0999999999999996</v>
      </c>
      <c r="O700">
        <v>6</v>
      </c>
      <c r="P700">
        <v>95</v>
      </c>
      <c r="Q700">
        <v>2</v>
      </c>
      <c r="R700">
        <v>10</v>
      </c>
      <c r="S700" t="s">
        <v>36082</v>
      </c>
      <c r="U700">
        <v>0.74957079999999998</v>
      </c>
      <c r="V700">
        <v>6.6</v>
      </c>
      <c r="W700">
        <v>7.91</v>
      </c>
      <c r="X700" t="s">
        <v>3591</v>
      </c>
      <c r="Y700" t="s">
        <v>3557</v>
      </c>
      <c r="Z700" t="s">
        <v>3557</v>
      </c>
      <c r="AA700" t="s">
        <v>76</v>
      </c>
      <c r="AB700" t="s">
        <v>36095</v>
      </c>
      <c r="AC700" t="s">
        <v>34465</v>
      </c>
      <c r="AD700" t="s">
        <v>34787</v>
      </c>
      <c r="AE700" t="s">
        <v>106</v>
      </c>
      <c r="AF700" t="s">
        <v>36084</v>
      </c>
      <c r="AG700" t="s">
        <v>36085</v>
      </c>
    </row>
    <row r="701" spans="1:33" x14ac:dyDescent="0.25">
      <c r="A701" t="s">
        <v>34462</v>
      </c>
      <c r="B701" t="s">
        <v>3596</v>
      </c>
      <c r="C701" t="s">
        <v>3598</v>
      </c>
      <c r="D701">
        <v>38.729999999999997</v>
      </c>
      <c r="E701">
        <v>38.729999999999997</v>
      </c>
      <c r="F701">
        <v>1889145</v>
      </c>
      <c r="G701">
        <v>1501458</v>
      </c>
      <c r="H701">
        <v>40.15</v>
      </c>
      <c r="I701">
        <v>35.020000000000003</v>
      </c>
      <c r="J701">
        <v>0.7</v>
      </c>
      <c r="K701">
        <v>1</v>
      </c>
      <c r="L701">
        <v>1</v>
      </c>
      <c r="M701">
        <v>1</v>
      </c>
      <c r="N701">
        <v>4.0999999999999996</v>
      </c>
      <c r="O701">
        <v>2</v>
      </c>
      <c r="P701">
        <v>95</v>
      </c>
      <c r="Q701">
        <v>3</v>
      </c>
      <c r="R701">
        <v>7</v>
      </c>
      <c r="S701" t="s">
        <v>36082</v>
      </c>
      <c r="U701">
        <v>0.74957079999999998</v>
      </c>
      <c r="V701">
        <v>6.6</v>
      </c>
      <c r="W701">
        <v>6.58</v>
      </c>
      <c r="X701" t="s">
        <v>3595</v>
      </c>
      <c r="Y701" t="s">
        <v>3557</v>
      </c>
      <c r="Z701" t="s">
        <v>3557</v>
      </c>
      <c r="AA701" t="s">
        <v>3567</v>
      </c>
      <c r="AB701" t="s">
        <v>36096</v>
      </c>
      <c r="AC701" t="s">
        <v>34465</v>
      </c>
      <c r="AD701" t="s">
        <v>34787</v>
      </c>
      <c r="AE701" t="s">
        <v>106</v>
      </c>
      <c r="AF701" t="s">
        <v>36089</v>
      </c>
      <c r="AG701" t="s">
        <v>36085</v>
      </c>
    </row>
    <row r="702" spans="1:33" x14ac:dyDescent="0.25">
      <c r="A702" t="s">
        <v>34462</v>
      </c>
      <c r="B702" t="s">
        <v>3601</v>
      </c>
      <c r="C702" t="s">
        <v>3603</v>
      </c>
      <c r="D702">
        <v>27.9</v>
      </c>
      <c r="E702">
        <v>27.9</v>
      </c>
      <c r="F702">
        <v>1878941</v>
      </c>
      <c r="G702">
        <v>1225236</v>
      </c>
      <c r="H702">
        <v>28.65</v>
      </c>
      <c r="I702">
        <v>37.01</v>
      </c>
      <c r="J702">
        <v>0.27</v>
      </c>
      <c r="K702">
        <v>0.64</v>
      </c>
      <c r="L702">
        <v>3</v>
      </c>
      <c r="M702">
        <v>3</v>
      </c>
      <c r="N702">
        <v>4.0999999999999996</v>
      </c>
      <c r="O702">
        <v>4</v>
      </c>
      <c r="P702">
        <v>95</v>
      </c>
      <c r="Q702">
        <v>2</v>
      </c>
      <c r="R702">
        <v>8</v>
      </c>
      <c r="S702" t="s">
        <v>36082</v>
      </c>
      <c r="U702">
        <v>0.74957079999999998</v>
      </c>
      <c r="V702">
        <v>6.6</v>
      </c>
      <c r="W702">
        <v>4.74</v>
      </c>
      <c r="X702" t="s">
        <v>3600</v>
      </c>
      <c r="Y702" t="s">
        <v>3557</v>
      </c>
      <c r="Z702" t="s">
        <v>3557</v>
      </c>
      <c r="AA702" t="s">
        <v>3567</v>
      </c>
      <c r="AB702" t="s">
        <v>36097</v>
      </c>
      <c r="AC702" t="s">
        <v>34484</v>
      </c>
      <c r="AD702" t="s">
        <v>34787</v>
      </c>
      <c r="AE702" t="s">
        <v>131</v>
      </c>
      <c r="AF702" t="s">
        <v>36089</v>
      </c>
      <c r="AG702" t="s">
        <v>36085</v>
      </c>
    </row>
    <row r="703" spans="1:33" x14ac:dyDescent="0.25">
      <c r="A703" t="s">
        <v>34462</v>
      </c>
      <c r="B703" t="s">
        <v>3606</v>
      </c>
      <c r="C703" t="s">
        <v>3608</v>
      </c>
      <c r="D703">
        <v>44.98</v>
      </c>
      <c r="E703">
        <v>38.729999999999997</v>
      </c>
      <c r="F703">
        <v>1891609</v>
      </c>
      <c r="G703">
        <v>1389499</v>
      </c>
      <c r="H703">
        <v>45.31</v>
      </c>
      <c r="I703">
        <v>45.31</v>
      </c>
      <c r="J703">
        <v>0</v>
      </c>
      <c r="K703">
        <v>1</v>
      </c>
      <c r="L703">
        <v>1</v>
      </c>
      <c r="M703">
        <v>1</v>
      </c>
      <c r="N703">
        <v>4.0999999999999996</v>
      </c>
      <c r="O703">
        <v>2</v>
      </c>
      <c r="P703">
        <v>95</v>
      </c>
      <c r="Q703">
        <v>4</v>
      </c>
      <c r="R703">
        <v>10</v>
      </c>
      <c r="S703" t="s">
        <v>36082</v>
      </c>
      <c r="U703">
        <v>0.74957079999999998</v>
      </c>
      <c r="V703">
        <v>6.6</v>
      </c>
      <c r="W703">
        <v>7.65</v>
      </c>
      <c r="X703" t="s">
        <v>3605</v>
      </c>
      <c r="Y703" t="s">
        <v>3557</v>
      </c>
      <c r="Z703" t="s">
        <v>3557</v>
      </c>
      <c r="AA703" t="s">
        <v>3567</v>
      </c>
      <c r="AB703" t="s">
        <v>36098</v>
      </c>
      <c r="AC703" t="s">
        <v>34465</v>
      </c>
      <c r="AD703" t="s">
        <v>34787</v>
      </c>
      <c r="AE703" t="s">
        <v>576</v>
      </c>
      <c r="AF703" t="s">
        <v>36089</v>
      </c>
      <c r="AG703" t="s">
        <v>36085</v>
      </c>
    </row>
    <row r="704" spans="1:33" x14ac:dyDescent="0.25">
      <c r="A704" t="s">
        <v>34462</v>
      </c>
      <c r="B704" t="s">
        <v>3610</v>
      </c>
      <c r="C704" t="s">
        <v>3612</v>
      </c>
      <c r="D704">
        <v>38.729999999999997</v>
      </c>
      <c r="E704">
        <v>38.729999999999997</v>
      </c>
      <c r="F704">
        <v>1870043</v>
      </c>
      <c r="G704">
        <v>1358735</v>
      </c>
      <c r="H704">
        <v>43.25</v>
      </c>
      <c r="I704">
        <v>43.58</v>
      </c>
      <c r="J704">
        <v>0</v>
      </c>
      <c r="K704">
        <v>1</v>
      </c>
      <c r="L704">
        <v>2</v>
      </c>
      <c r="M704">
        <v>1</v>
      </c>
      <c r="N704">
        <v>4.0999999999999996</v>
      </c>
      <c r="O704">
        <v>2</v>
      </c>
      <c r="P704">
        <v>95</v>
      </c>
      <c r="Q704">
        <v>3</v>
      </c>
      <c r="R704">
        <v>9</v>
      </c>
      <c r="S704" t="s">
        <v>36082</v>
      </c>
      <c r="U704">
        <v>0.74957079999999998</v>
      </c>
      <c r="V704">
        <v>6.6</v>
      </c>
      <c r="X704" t="s">
        <v>3609</v>
      </c>
      <c r="Y704" t="s">
        <v>3557</v>
      </c>
      <c r="Z704" t="s">
        <v>3557</v>
      </c>
      <c r="AA704" t="s">
        <v>3567</v>
      </c>
      <c r="AB704" t="s">
        <v>36099</v>
      </c>
      <c r="AC704" t="s">
        <v>34465</v>
      </c>
      <c r="AD704" t="s">
        <v>34787</v>
      </c>
      <c r="AE704" t="s">
        <v>282</v>
      </c>
      <c r="AF704" t="s">
        <v>36089</v>
      </c>
      <c r="AG704" t="s">
        <v>36085</v>
      </c>
    </row>
    <row r="705" spans="1:33" x14ac:dyDescent="0.25">
      <c r="A705" t="s">
        <v>34462</v>
      </c>
      <c r="B705" t="s">
        <v>3615</v>
      </c>
      <c r="C705" t="s">
        <v>3617</v>
      </c>
      <c r="D705">
        <v>29.9</v>
      </c>
      <c r="E705">
        <v>29</v>
      </c>
      <c r="F705">
        <v>1878941</v>
      </c>
      <c r="G705">
        <v>1356212</v>
      </c>
      <c r="H705">
        <v>32.1</v>
      </c>
      <c r="I705">
        <v>39.43</v>
      </c>
      <c r="J705">
        <v>7.0000000000000007E-2</v>
      </c>
      <c r="K705">
        <v>1</v>
      </c>
      <c r="L705">
        <v>3</v>
      </c>
      <c r="M705">
        <v>3</v>
      </c>
      <c r="N705">
        <v>4.0999999999999996</v>
      </c>
      <c r="O705">
        <v>1</v>
      </c>
      <c r="P705">
        <v>95</v>
      </c>
      <c r="Q705">
        <v>5</v>
      </c>
      <c r="R705">
        <v>10</v>
      </c>
      <c r="S705" t="s">
        <v>36082</v>
      </c>
      <c r="U705">
        <v>0.74957079999999998</v>
      </c>
      <c r="V705">
        <v>6.6</v>
      </c>
      <c r="W705">
        <v>5.09</v>
      </c>
      <c r="X705" t="s">
        <v>3614</v>
      </c>
      <c r="Y705" t="s">
        <v>3557</v>
      </c>
      <c r="Z705" t="s">
        <v>3557</v>
      </c>
      <c r="AA705" t="s">
        <v>3567</v>
      </c>
      <c r="AB705" t="s">
        <v>36100</v>
      </c>
      <c r="AC705" t="s">
        <v>34465</v>
      </c>
      <c r="AD705" t="s">
        <v>34787</v>
      </c>
      <c r="AE705" t="s">
        <v>436</v>
      </c>
      <c r="AF705" t="s">
        <v>36101</v>
      </c>
      <c r="AG705" t="s">
        <v>36085</v>
      </c>
    </row>
    <row r="706" spans="1:33" x14ac:dyDescent="0.25">
      <c r="A706" t="s">
        <v>34462</v>
      </c>
      <c r="B706" t="s">
        <v>3619</v>
      </c>
      <c r="C706" t="s">
        <v>3621</v>
      </c>
      <c r="D706">
        <v>38.729999999999997</v>
      </c>
      <c r="E706">
        <v>38.729999999999997</v>
      </c>
      <c r="F706">
        <v>1889145</v>
      </c>
      <c r="G706">
        <v>1517336</v>
      </c>
      <c r="H706">
        <v>62.11</v>
      </c>
      <c r="I706">
        <v>62.11</v>
      </c>
      <c r="J706">
        <v>0.83</v>
      </c>
      <c r="K706">
        <v>1</v>
      </c>
      <c r="L706">
        <v>1</v>
      </c>
      <c r="M706">
        <v>1</v>
      </c>
      <c r="N706">
        <v>4.3</v>
      </c>
      <c r="O706">
        <v>0</v>
      </c>
      <c r="P706">
        <v>89</v>
      </c>
      <c r="Q706">
        <v>2</v>
      </c>
      <c r="R706">
        <v>4</v>
      </c>
      <c r="S706" t="s">
        <v>36082</v>
      </c>
      <c r="U706">
        <v>0.74957079999999998</v>
      </c>
      <c r="V706">
        <v>6.6</v>
      </c>
      <c r="X706" t="s">
        <v>3618</v>
      </c>
      <c r="Y706" t="s">
        <v>3557</v>
      </c>
      <c r="Z706" t="s">
        <v>3557</v>
      </c>
      <c r="AA706" t="s">
        <v>3567</v>
      </c>
      <c r="AB706" t="s">
        <v>36102</v>
      </c>
      <c r="AC706" t="s">
        <v>34465</v>
      </c>
      <c r="AD706" t="s">
        <v>34787</v>
      </c>
      <c r="AE706" t="s">
        <v>36103</v>
      </c>
      <c r="AF706" t="s">
        <v>36089</v>
      </c>
      <c r="AG706" t="s">
        <v>36085</v>
      </c>
    </row>
    <row r="707" spans="1:33" x14ac:dyDescent="0.25">
      <c r="A707" t="s">
        <v>34462</v>
      </c>
      <c r="B707" t="s">
        <v>3623</v>
      </c>
      <c r="C707" t="s">
        <v>3625</v>
      </c>
      <c r="D707">
        <v>38.729999999999997</v>
      </c>
      <c r="E707">
        <v>38.729999999999997</v>
      </c>
      <c r="F707">
        <v>15109436</v>
      </c>
      <c r="G707">
        <v>10452440</v>
      </c>
      <c r="J707">
        <v>0.93</v>
      </c>
      <c r="K707">
        <v>1</v>
      </c>
      <c r="L707">
        <v>2</v>
      </c>
      <c r="M707">
        <v>2</v>
      </c>
      <c r="N707">
        <v>4.2</v>
      </c>
      <c r="O707">
        <v>0</v>
      </c>
      <c r="P707">
        <v>94</v>
      </c>
      <c r="Q707">
        <v>0</v>
      </c>
      <c r="R707">
        <v>0</v>
      </c>
      <c r="U707">
        <v>0.74957079999999998</v>
      </c>
      <c r="V707">
        <v>6.6</v>
      </c>
      <c r="X707" t="s">
        <v>3622</v>
      </c>
      <c r="Y707" t="s">
        <v>3557</v>
      </c>
      <c r="Z707" t="s">
        <v>3557</v>
      </c>
      <c r="AA707" t="s">
        <v>76</v>
      </c>
      <c r="AB707" t="s">
        <v>36104</v>
      </c>
      <c r="AC707" t="s">
        <v>34465</v>
      </c>
      <c r="AD707" t="s">
        <v>34787</v>
      </c>
      <c r="AE707" t="s">
        <v>36103</v>
      </c>
      <c r="AF707" t="s">
        <v>36084</v>
      </c>
      <c r="AG707" t="s">
        <v>36085</v>
      </c>
    </row>
    <row r="708" spans="1:33" x14ac:dyDescent="0.25">
      <c r="A708" t="s">
        <v>34462</v>
      </c>
      <c r="B708" t="s">
        <v>3627</v>
      </c>
      <c r="C708" t="s">
        <v>3629</v>
      </c>
      <c r="D708">
        <v>38.729999999999997</v>
      </c>
      <c r="E708">
        <v>38.729999999999997</v>
      </c>
      <c r="F708">
        <v>1878941</v>
      </c>
      <c r="G708">
        <v>2697919</v>
      </c>
      <c r="H708">
        <v>38.729999999999997</v>
      </c>
      <c r="I708">
        <v>38.729999999999997</v>
      </c>
      <c r="J708">
        <v>0.75</v>
      </c>
      <c r="K708">
        <v>1</v>
      </c>
      <c r="L708">
        <v>2</v>
      </c>
      <c r="M708">
        <v>1</v>
      </c>
      <c r="N708">
        <v>4.0999999999999996</v>
      </c>
      <c r="O708">
        <v>1</v>
      </c>
      <c r="P708">
        <v>95</v>
      </c>
      <c r="Q708">
        <v>2</v>
      </c>
      <c r="R708">
        <v>3</v>
      </c>
      <c r="S708" t="s">
        <v>36082</v>
      </c>
      <c r="U708">
        <v>1.0780591799999999</v>
      </c>
      <c r="V708">
        <v>5.9</v>
      </c>
      <c r="W708">
        <v>6.58</v>
      </c>
      <c r="X708" t="s">
        <v>3626</v>
      </c>
      <c r="Y708" t="s">
        <v>3557</v>
      </c>
      <c r="Z708" t="s">
        <v>3557</v>
      </c>
      <c r="AA708" t="s">
        <v>76</v>
      </c>
      <c r="AB708" t="s">
        <v>36105</v>
      </c>
      <c r="AC708" t="s">
        <v>34465</v>
      </c>
      <c r="AD708" t="s">
        <v>34787</v>
      </c>
      <c r="AE708" t="s">
        <v>36106</v>
      </c>
      <c r="AF708" t="s">
        <v>36084</v>
      </c>
      <c r="AG708" t="s">
        <v>36085</v>
      </c>
    </row>
    <row r="709" spans="1:33" x14ac:dyDescent="0.25">
      <c r="A709" t="s">
        <v>34462</v>
      </c>
      <c r="B709" t="s">
        <v>3631</v>
      </c>
      <c r="C709" t="s">
        <v>3634</v>
      </c>
      <c r="D709">
        <v>33.75</v>
      </c>
      <c r="E709">
        <v>25.8</v>
      </c>
      <c r="F709">
        <v>1479263</v>
      </c>
      <c r="G709">
        <v>852384</v>
      </c>
      <c r="H709">
        <v>27.86</v>
      </c>
      <c r="I709">
        <v>30.17</v>
      </c>
      <c r="J709">
        <v>0</v>
      </c>
      <c r="K709">
        <v>0</v>
      </c>
      <c r="L709">
        <v>6</v>
      </c>
      <c r="M709">
        <v>5</v>
      </c>
      <c r="N709">
        <v>4</v>
      </c>
      <c r="O709">
        <v>0</v>
      </c>
      <c r="P709">
        <v>2</v>
      </c>
      <c r="Q709">
        <v>6</v>
      </c>
      <c r="R709">
        <v>22</v>
      </c>
      <c r="S709" t="s">
        <v>36107</v>
      </c>
      <c r="U709">
        <v>0.46076558000000001</v>
      </c>
      <c r="V709">
        <v>7.88</v>
      </c>
      <c r="W709">
        <v>5.74</v>
      </c>
      <c r="X709" t="s">
        <v>3630</v>
      </c>
      <c r="Y709" t="s">
        <v>3635</v>
      </c>
      <c r="Z709" t="s">
        <v>3635</v>
      </c>
      <c r="AA709" t="s">
        <v>3636</v>
      </c>
      <c r="AB709" t="s">
        <v>36108</v>
      </c>
      <c r="AC709" t="s">
        <v>34493</v>
      </c>
      <c r="AD709" t="s">
        <v>8078</v>
      </c>
      <c r="AE709" t="s">
        <v>34533</v>
      </c>
      <c r="AF709" t="s">
        <v>36109</v>
      </c>
      <c r="AG709" t="s">
        <v>36110</v>
      </c>
    </row>
    <row r="710" spans="1:33" x14ac:dyDescent="0.25">
      <c r="A710" t="s">
        <v>34462</v>
      </c>
      <c r="B710" t="s">
        <v>3638</v>
      </c>
      <c r="C710" t="s">
        <v>3634</v>
      </c>
      <c r="D710">
        <v>33.75</v>
      </c>
      <c r="E710">
        <v>25.8</v>
      </c>
      <c r="F710">
        <v>1471945</v>
      </c>
      <c r="G710">
        <v>883351</v>
      </c>
      <c r="H710">
        <v>33.130000000000003</v>
      </c>
      <c r="I710">
        <v>35.229999999999997</v>
      </c>
      <c r="J710">
        <v>0</v>
      </c>
      <c r="K710">
        <v>0</v>
      </c>
      <c r="L710">
        <v>4</v>
      </c>
      <c r="M710">
        <v>5</v>
      </c>
      <c r="N710">
        <v>4</v>
      </c>
      <c r="O710">
        <v>0</v>
      </c>
      <c r="P710">
        <v>2</v>
      </c>
      <c r="Q710">
        <v>5</v>
      </c>
      <c r="R710">
        <v>18</v>
      </c>
      <c r="S710" t="s">
        <v>36107</v>
      </c>
      <c r="U710">
        <v>0.57099657999999998</v>
      </c>
      <c r="V710">
        <v>10.75</v>
      </c>
      <c r="W710">
        <v>5.74</v>
      </c>
      <c r="X710" t="s">
        <v>3637</v>
      </c>
      <c r="Y710" t="s">
        <v>3635</v>
      </c>
      <c r="Z710" t="s">
        <v>3635</v>
      </c>
      <c r="AA710" t="s">
        <v>3636</v>
      </c>
      <c r="AB710" t="s">
        <v>36111</v>
      </c>
      <c r="AC710" t="s">
        <v>34493</v>
      </c>
      <c r="AD710" t="s">
        <v>8078</v>
      </c>
      <c r="AE710" t="s">
        <v>14701</v>
      </c>
      <c r="AF710" t="s">
        <v>36112</v>
      </c>
      <c r="AG710" t="s">
        <v>36110</v>
      </c>
    </row>
    <row r="711" spans="1:33" x14ac:dyDescent="0.25">
      <c r="A711" t="s">
        <v>34462</v>
      </c>
      <c r="B711" t="s">
        <v>3642</v>
      </c>
      <c r="C711" t="s">
        <v>3634</v>
      </c>
      <c r="D711">
        <v>28.89</v>
      </c>
      <c r="E711">
        <v>24.1</v>
      </c>
      <c r="F711">
        <v>1479263</v>
      </c>
      <c r="G711">
        <v>859830</v>
      </c>
      <c r="H711">
        <v>28.64</v>
      </c>
      <c r="I711">
        <v>31.84</v>
      </c>
      <c r="J711">
        <v>0</v>
      </c>
      <c r="K711">
        <v>0</v>
      </c>
      <c r="L711">
        <v>6</v>
      </c>
      <c r="M711">
        <v>4</v>
      </c>
      <c r="N711">
        <v>4</v>
      </c>
      <c r="O711">
        <v>0</v>
      </c>
      <c r="P711">
        <v>2</v>
      </c>
      <c r="Q711">
        <v>6</v>
      </c>
      <c r="R711">
        <v>21</v>
      </c>
      <c r="S711" t="s">
        <v>36107</v>
      </c>
      <c r="U711">
        <v>0.63933980000000001</v>
      </c>
      <c r="V711">
        <v>7.72</v>
      </c>
      <c r="W711">
        <v>4.91</v>
      </c>
      <c r="X711" t="s">
        <v>3641</v>
      </c>
      <c r="Y711" t="s">
        <v>3635</v>
      </c>
      <c r="Z711" t="s">
        <v>3635</v>
      </c>
      <c r="AA711" t="s">
        <v>3636</v>
      </c>
      <c r="AB711" t="s">
        <v>36113</v>
      </c>
      <c r="AC711" t="s">
        <v>34493</v>
      </c>
      <c r="AD711" t="s">
        <v>8078</v>
      </c>
      <c r="AE711" t="s">
        <v>34525</v>
      </c>
      <c r="AF711" t="s">
        <v>36109</v>
      </c>
      <c r="AG711" t="s">
        <v>36110</v>
      </c>
    </row>
    <row r="712" spans="1:33" x14ac:dyDescent="0.25">
      <c r="A712" t="s">
        <v>34462</v>
      </c>
      <c r="B712" t="s">
        <v>3646</v>
      </c>
      <c r="C712" t="s">
        <v>3634</v>
      </c>
      <c r="D712">
        <v>17.73</v>
      </c>
      <c r="E712">
        <v>17.73</v>
      </c>
      <c r="F712">
        <v>1478300</v>
      </c>
      <c r="G712">
        <v>870932</v>
      </c>
      <c r="H712">
        <v>25.34</v>
      </c>
      <c r="I712">
        <v>30.99</v>
      </c>
      <c r="J712">
        <v>0</v>
      </c>
      <c r="K712">
        <v>0</v>
      </c>
      <c r="L712">
        <v>6</v>
      </c>
      <c r="M712">
        <v>5</v>
      </c>
      <c r="N712">
        <v>4</v>
      </c>
      <c r="O712">
        <v>1</v>
      </c>
      <c r="P712">
        <v>2</v>
      </c>
      <c r="Q712">
        <v>5</v>
      </c>
      <c r="R712">
        <v>20</v>
      </c>
      <c r="S712" t="s">
        <v>36107</v>
      </c>
      <c r="U712">
        <v>0.71650150000000001</v>
      </c>
      <c r="V712">
        <v>11.51</v>
      </c>
      <c r="W712">
        <v>1.77</v>
      </c>
      <c r="X712" t="s">
        <v>3645</v>
      </c>
      <c r="Y712" t="s">
        <v>3635</v>
      </c>
      <c r="Z712" t="s">
        <v>3635</v>
      </c>
      <c r="AA712" t="s">
        <v>3636</v>
      </c>
      <c r="AB712" t="s">
        <v>36114</v>
      </c>
      <c r="AC712" t="s">
        <v>34493</v>
      </c>
      <c r="AD712" t="s">
        <v>8078</v>
      </c>
      <c r="AE712" t="s">
        <v>34649</v>
      </c>
      <c r="AF712" t="s">
        <v>36109</v>
      </c>
      <c r="AG712" t="s">
        <v>36110</v>
      </c>
    </row>
    <row r="713" spans="1:33" x14ac:dyDescent="0.25">
      <c r="A713" t="s">
        <v>34462</v>
      </c>
      <c r="B713" t="s">
        <v>3649</v>
      </c>
      <c r="C713" t="s">
        <v>3652</v>
      </c>
      <c r="D713">
        <v>26.11</v>
      </c>
      <c r="E713">
        <v>26.11</v>
      </c>
      <c r="F713">
        <v>286137</v>
      </c>
      <c r="G713">
        <v>324455</v>
      </c>
      <c r="H713">
        <v>28.56</v>
      </c>
      <c r="I713">
        <v>28.73</v>
      </c>
      <c r="J713">
        <v>0</v>
      </c>
      <c r="K713">
        <v>0.94</v>
      </c>
      <c r="L713">
        <v>8</v>
      </c>
      <c r="M713">
        <v>9</v>
      </c>
      <c r="N713">
        <v>4.3</v>
      </c>
      <c r="O713">
        <v>1</v>
      </c>
      <c r="P713">
        <v>34</v>
      </c>
      <c r="Q713">
        <v>17</v>
      </c>
      <c r="R713">
        <v>68</v>
      </c>
      <c r="S713" t="s">
        <v>36115</v>
      </c>
      <c r="U713">
        <v>0.42108242000000001</v>
      </c>
      <c r="V713">
        <v>5.05</v>
      </c>
      <c r="W713">
        <v>4.4400000000000004</v>
      </c>
      <c r="X713" t="s">
        <v>3648</v>
      </c>
      <c r="Y713" t="s">
        <v>3654</v>
      </c>
      <c r="Z713" t="s">
        <v>3654</v>
      </c>
      <c r="AA713" t="s">
        <v>3655</v>
      </c>
      <c r="AB713" t="s">
        <v>36116</v>
      </c>
      <c r="AC713" t="s">
        <v>34484</v>
      </c>
      <c r="AD713" t="s">
        <v>12519</v>
      </c>
      <c r="AE713" t="s">
        <v>34533</v>
      </c>
      <c r="AF713" t="s">
        <v>36117</v>
      </c>
      <c r="AG713" t="s">
        <v>36118</v>
      </c>
    </row>
    <row r="714" spans="1:33" x14ac:dyDescent="0.25">
      <c r="A714" t="s">
        <v>34462</v>
      </c>
      <c r="B714" t="s">
        <v>3657</v>
      </c>
      <c r="C714" t="s">
        <v>3659</v>
      </c>
      <c r="D714">
        <v>26.06</v>
      </c>
      <c r="E714">
        <v>20</v>
      </c>
      <c r="F714">
        <v>286137</v>
      </c>
      <c r="G714">
        <v>334102</v>
      </c>
      <c r="H714">
        <v>28.22</v>
      </c>
      <c r="I714">
        <v>28.96</v>
      </c>
      <c r="J714">
        <v>0</v>
      </c>
      <c r="K714">
        <v>0.89</v>
      </c>
      <c r="L714">
        <v>13</v>
      </c>
      <c r="M714">
        <v>12</v>
      </c>
      <c r="N714">
        <v>4.3</v>
      </c>
      <c r="O714">
        <v>4</v>
      </c>
      <c r="P714">
        <v>34</v>
      </c>
      <c r="Q714">
        <v>21</v>
      </c>
      <c r="R714">
        <v>79</v>
      </c>
      <c r="S714" t="s">
        <v>36115</v>
      </c>
      <c r="U714">
        <v>0.70327377999999996</v>
      </c>
      <c r="V714">
        <v>5.82</v>
      </c>
      <c r="W714">
        <v>4.43</v>
      </c>
      <c r="X714" t="s">
        <v>3656</v>
      </c>
      <c r="Y714" t="s">
        <v>3654</v>
      </c>
      <c r="Z714" t="s">
        <v>3654</v>
      </c>
      <c r="AA714" t="s">
        <v>3655</v>
      </c>
      <c r="AB714" t="s">
        <v>36119</v>
      </c>
      <c r="AC714" t="s">
        <v>34493</v>
      </c>
      <c r="AD714" t="s">
        <v>12519</v>
      </c>
      <c r="AE714" t="s">
        <v>14701</v>
      </c>
      <c r="AF714" t="s">
        <v>36120</v>
      </c>
      <c r="AG714" t="s">
        <v>36118</v>
      </c>
    </row>
    <row r="715" spans="1:33" x14ac:dyDescent="0.25">
      <c r="A715" t="s">
        <v>34462</v>
      </c>
      <c r="B715" t="s">
        <v>3662</v>
      </c>
      <c r="C715" t="s">
        <v>3664</v>
      </c>
      <c r="D715">
        <v>28.6</v>
      </c>
      <c r="E715">
        <v>28.6</v>
      </c>
      <c r="F715">
        <v>243857</v>
      </c>
      <c r="G715">
        <v>326805</v>
      </c>
      <c r="H715">
        <v>31.87</v>
      </c>
      <c r="I715">
        <v>31.88</v>
      </c>
      <c r="J715">
        <v>0</v>
      </c>
      <c r="K715">
        <v>0.99</v>
      </c>
      <c r="L715">
        <v>5</v>
      </c>
      <c r="M715">
        <v>3</v>
      </c>
      <c r="N715">
        <v>4.3</v>
      </c>
      <c r="O715">
        <v>4</v>
      </c>
      <c r="P715">
        <v>34</v>
      </c>
      <c r="Q715">
        <v>23</v>
      </c>
      <c r="R715">
        <v>77</v>
      </c>
      <c r="S715" t="s">
        <v>36115</v>
      </c>
      <c r="U715">
        <v>0.52910880000000005</v>
      </c>
      <c r="V715">
        <v>5.05</v>
      </c>
      <c r="W715">
        <v>4.8600000000000003</v>
      </c>
      <c r="X715" t="s">
        <v>3661</v>
      </c>
      <c r="Y715" t="s">
        <v>3654</v>
      </c>
      <c r="Z715" t="s">
        <v>3654</v>
      </c>
      <c r="AA715" t="s">
        <v>3655</v>
      </c>
      <c r="AB715" t="s">
        <v>36121</v>
      </c>
      <c r="AC715" t="s">
        <v>34484</v>
      </c>
      <c r="AD715" t="s">
        <v>12519</v>
      </c>
      <c r="AE715" t="s">
        <v>34525</v>
      </c>
      <c r="AF715" t="s">
        <v>36120</v>
      </c>
      <c r="AG715" t="s">
        <v>36118</v>
      </c>
    </row>
    <row r="716" spans="1:33" x14ac:dyDescent="0.25">
      <c r="A716" t="s">
        <v>34462</v>
      </c>
      <c r="B716" t="s">
        <v>3667</v>
      </c>
      <c r="C716" t="s">
        <v>3670</v>
      </c>
      <c r="D716">
        <v>89.46</v>
      </c>
      <c r="E716">
        <v>56.25</v>
      </c>
      <c r="F716">
        <v>3885274</v>
      </c>
      <c r="G716">
        <v>2620658</v>
      </c>
      <c r="H716">
        <v>105.29</v>
      </c>
      <c r="I716">
        <v>99.69</v>
      </c>
      <c r="J716">
        <v>0</v>
      </c>
      <c r="K716">
        <v>0.83</v>
      </c>
      <c r="L716">
        <v>2</v>
      </c>
      <c r="M716">
        <v>1</v>
      </c>
      <c r="N716">
        <v>5</v>
      </c>
      <c r="O716">
        <v>0</v>
      </c>
      <c r="P716">
        <v>1</v>
      </c>
      <c r="Q716">
        <v>2</v>
      </c>
      <c r="R716">
        <v>5</v>
      </c>
      <c r="S716" t="s">
        <v>36122</v>
      </c>
      <c r="U716">
        <v>1.9599071800000001</v>
      </c>
      <c r="V716">
        <v>15.31</v>
      </c>
      <c r="W716">
        <v>15.21</v>
      </c>
      <c r="X716" t="s">
        <v>3666</v>
      </c>
      <c r="Y716" t="s">
        <v>36123</v>
      </c>
      <c r="Z716" t="s">
        <v>3671</v>
      </c>
      <c r="AA716" t="s">
        <v>1490</v>
      </c>
      <c r="AB716" t="s">
        <v>36124</v>
      </c>
      <c r="AC716" t="s">
        <v>34484</v>
      </c>
      <c r="AD716" t="s">
        <v>12423</v>
      </c>
      <c r="AE716" t="s">
        <v>34533</v>
      </c>
      <c r="AF716" t="s">
        <v>36125</v>
      </c>
    </row>
    <row r="717" spans="1:33" x14ac:dyDescent="0.25">
      <c r="A717" t="s">
        <v>34462</v>
      </c>
      <c r="B717" t="s">
        <v>3673</v>
      </c>
      <c r="C717" t="s">
        <v>3675</v>
      </c>
      <c r="D717">
        <v>106</v>
      </c>
      <c r="E717">
        <v>98.05</v>
      </c>
      <c r="F717">
        <v>3883540</v>
      </c>
      <c r="G717">
        <v>2603282</v>
      </c>
      <c r="H717">
        <v>106.89</v>
      </c>
      <c r="I717">
        <v>106.89</v>
      </c>
      <c r="J717">
        <v>0</v>
      </c>
      <c r="K717">
        <v>1</v>
      </c>
      <c r="L717">
        <v>2</v>
      </c>
      <c r="M717">
        <v>1</v>
      </c>
      <c r="N717">
        <v>5</v>
      </c>
      <c r="O717">
        <v>0</v>
      </c>
      <c r="P717">
        <v>1</v>
      </c>
      <c r="Q717">
        <v>0</v>
      </c>
      <c r="R717">
        <v>6</v>
      </c>
      <c r="S717" t="s">
        <v>36122</v>
      </c>
      <c r="U717">
        <v>1.9599071800000001</v>
      </c>
      <c r="V717">
        <v>14.93</v>
      </c>
      <c r="W717">
        <v>18.02</v>
      </c>
      <c r="X717" t="s">
        <v>3672</v>
      </c>
      <c r="Y717" t="s">
        <v>36126</v>
      </c>
      <c r="AA717" t="s">
        <v>3676</v>
      </c>
      <c r="AB717" t="s">
        <v>36127</v>
      </c>
      <c r="AC717" t="s">
        <v>34465</v>
      </c>
      <c r="AD717" t="s">
        <v>12423</v>
      </c>
      <c r="AE717" t="s">
        <v>34533</v>
      </c>
      <c r="AF717" t="s">
        <v>36128</v>
      </c>
      <c r="AG717" t="s">
        <v>36129</v>
      </c>
    </row>
    <row r="718" spans="1:33" x14ac:dyDescent="0.25">
      <c r="A718" t="s">
        <v>34462</v>
      </c>
      <c r="B718" t="s">
        <v>3678</v>
      </c>
      <c r="C718" t="s">
        <v>3680</v>
      </c>
      <c r="D718">
        <v>56.25</v>
      </c>
      <c r="E718">
        <v>56.25</v>
      </c>
      <c r="F718">
        <v>3883540</v>
      </c>
      <c r="G718">
        <v>2882614</v>
      </c>
      <c r="H718">
        <v>110.88</v>
      </c>
      <c r="I718">
        <v>110.88</v>
      </c>
      <c r="J718">
        <v>0</v>
      </c>
      <c r="K718">
        <v>0.83</v>
      </c>
      <c r="L718">
        <v>2</v>
      </c>
      <c r="M718">
        <v>1</v>
      </c>
      <c r="N718">
        <v>5</v>
      </c>
      <c r="O718">
        <v>0</v>
      </c>
      <c r="P718">
        <v>1</v>
      </c>
      <c r="Q718">
        <v>1</v>
      </c>
      <c r="R718">
        <v>4</v>
      </c>
      <c r="S718" t="s">
        <v>36122</v>
      </c>
      <c r="U718">
        <v>1.9797487600000001</v>
      </c>
      <c r="V718">
        <v>17.21</v>
      </c>
      <c r="W718">
        <v>9.56</v>
      </c>
      <c r="X718" t="s">
        <v>3677</v>
      </c>
      <c r="Y718" t="s">
        <v>36130</v>
      </c>
      <c r="Z718" t="s">
        <v>3681</v>
      </c>
      <c r="AA718" t="s">
        <v>76</v>
      </c>
      <c r="AB718" t="s">
        <v>36131</v>
      </c>
      <c r="AC718" t="s">
        <v>34484</v>
      </c>
      <c r="AD718" t="s">
        <v>12423</v>
      </c>
      <c r="AE718" t="s">
        <v>34533</v>
      </c>
      <c r="AF718" t="s">
        <v>36132</v>
      </c>
    </row>
    <row r="719" spans="1:33" x14ac:dyDescent="0.25">
      <c r="A719" t="s">
        <v>34462</v>
      </c>
      <c r="B719" t="s">
        <v>3683</v>
      </c>
      <c r="C719" t="s">
        <v>3685</v>
      </c>
      <c r="D719">
        <v>120.13</v>
      </c>
      <c r="E719">
        <v>98.05</v>
      </c>
      <c r="F719">
        <v>3885274</v>
      </c>
      <c r="G719">
        <v>2614657</v>
      </c>
      <c r="H719">
        <v>129.76</v>
      </c>
      <c r="I719">
        <v>174.84</v>
      </c>
      <c r="J719">
        <v>0</v>
      </c>
      <c r="K719">
        <v>1</v>
      </c>
      <c r="L719">
        <v>3</v>
      </c>
      <c r="M719">
        <v>2</v>
      </c>
      <c r="N719">
        <v>5</v>
      </c>
      <c r="O719">
        <v>0</v>
      </c>
      <c r="P719">
        <v>1</v>
      </c>
      <c r="Q719">
        <v>0</v>
      </c>
      <c r="R719">
        <v>3</v>
      </c>
      <c r="S719" t="s">
        <v>36122</v>
      </c>
      <c r="U719">
        <v>2.0106134400000002</v>
      </c>
      <c r="V719">
        <v>16.829999999999998</v>
      </c>
      <c r="W719">
        <v>20.420000000000002</v>
      </c>
      <c r="X719" t="s">
        <v>3682</v>
      </c>
      <c r="Y719" t="s">
        <v>36126</v>
      </c>
      <c r="AA719" t="s">
        <v>3676</v>
      </c>
      <c r="AB719" t="s">
        <v>36133</v>
      </c>
      <c r="AC719" t="s">
        <v>34465</v>
      </c>
      <c r="AD719" t="s">
        <v>12423</v>
      </c>
      <c r="AE719" t="s">
        <v>14701</v>
      </c>
      <c r="AF719" t="s">
        <v>36128</v>
      </c>
    </row>
    <row r="720" spans="1:33" x14ac:dyDescent="0.25">
      <c r="A720" t="s">
        <v>34462</v>
      </c>
      <c r="B720" t="s">
        <v>3687</v>
      </c>
      <c r="C720" t="s">
        <v>3670</v>
      </c>
      <c r="D720">
        <v>56.25</v>
      </c>
      <c r="E720">
        <v>56.25</v>
      </c>
      <c r="F720">
        <v>3883540</v>
      </c>
      <c r="G720">
        <v>2673751</v>
      </c>
      <c r="H720">
        <v>93.07</v>
      </c>
      <c r="I720">
        <v>90.58</v>
      </c>
      <c r="J720">
        <v>0</v>
      </c>
      <c r="K720">
        <v>0.98</v>
      </c>
      <c r="L720">
        <v>2</v>
      </c>
      <c r="M720">
        <v>2</v>
      </c>
      <c r="N720">
        <v>5</v>
      </c>
      <c r="O720">
        <v>0</v>
      </c>
      <c r="P720">
        <v>1</v>
      </c>
      <c r="Q720">
        <v>1</v>
      </c>
      <c r="R720">
        <v>4</v>
      </c>
      <c r="S720" t="s">
        <v>36122</v>
      </c>
      <c r="U720">
        <v>1.9797487600000001</v>
      </c>
      <c r="V720">
        <v>17.97</v>
      </c>
      <c r="W720">
        <v>9.56</v>
      </c>
      <c r="X720" t="s">
        <v>3686</v>
      </c>
      <c r="Y720" t="s">
        <v>36123</v>
      </c>
      <c r="Z720" t="s">
        <v>3689</v>
      </c>
      <c r="AA720" t="s">
        <v>1490</v>
      </c>
      <c r="AB720" t="s">
        <v>36134</v>
      </c>
      <c r="AC720" t="s">
        <v>34484</v>
      </c>
      <c r="AD720" t="s">
        <v>12423</v>
      </c>
      <c r="AE720" t="s">
        <v>14701</v>
      </c>
      <c r="AF720" t="s">
        <v>36125</v>
      </c>
    </row>
    <row r="721" spans="1:33" x14ac:dyDescent="0.25">
      <c r="A721" t="s">
        <v>34462</v>
      </c>
      <c r="B721" t="s">
        <v>3691</v>
      </c>
      <c r="C721" t="s">
        <v>3680</v>
      </c>
      <c r="D721">
        <v>56.25</v>
      </c>
      <c r="E721">
        <v>56.25</v>
      </c>
      <c r="F721">
        <v>3883540</v>
      </c>
      <c r="G721">
        <v>2967177</v>
      </c>
      <c r="H721">
        <v>84.37</v>
      </c>
      <c r="I721">
        <v>86.32</v>
      </c>
      <c r="J721">
        <v>0</v>
      </c>
      <c r="K721">
        <v>0.99</v>
      </c>
      <c r="L721">
        <v>2</v>
      </c>
      <c r="M721">
        <v>2</v>
      </c>
      <c r="N721">
        <v>5</v>
      </c>
      <c r="O721">
        <v>0</v>
      </c>
      <c r="P721">
        <v>1</v>
      </c>
      <c r="Q721">
        <v>1</v>
      </c>
      <c r="R721">
        <v>4</v>
      </c>
      <c r="S721" t="s">
        <v>36122</v>
      </c>
      <c r="U721">
        <v>2.0304550200000002</v>
      </c>
      <c r="V721">
        <v>17.21</v>
      </c>
      <c r="W721">
        <v>9.56</v>
      </c>
      <c r="X721" t="s">
        <v>3690</v>
      </c>
      <c r="Y721" t="s">
        <v>36130</v>
      </c>
      <c r="Z721" t="s">
        <v>3693</v>
      </c>
      <c r="AA721" t="s">
        <v>76</v>
      </c>
      <c r="AB721" t="s">
        <v>36135</v>
      </c>
      <c r="AC721" t="s">
        <v>34484</v>
      </c>
      <c r="AD721" t="s">
        <v>12423</v>
      </c>
      <c r="AE721" t="s">
        <v>14701</v>
      </c>
      <c r="AF721" t="s">
        <v>36132</v>
      </c>
      <c r="AG721" t="s">
        <v>36129</v>
      </c>
    </row>
    <row r="722" spans="1:33" x14ac:dyDescent="0.25">
      <c r="A722" t="s">
        <v>34462</v>
      </c>
      <c r="B722" t="s">
        <v>3695</v>
      </c>
      <c r="C722" t="s">
        <v>3697</v>
      </c>
      <c r="D722">
        <v>106</v>
      </c>
      <c r="E722">
        <v>98.05</v>
      </c>
      <c r="F722">
        <v>3885274</v>
      </c>
      <c r="G722">
        <v>2786044</v>
      </c>
      <c r="H722">
        <v>190.78</v>
      </c>
      <c r="I722">
        <v>171.97</v>
      </c>
      <c r="J722">
        <v>0</v>
      </c>
      <c r="K722">
        <v>1</v>
      </c>
      <c r="L722">
        <v>3</v>
      </c>
      <c r="M722">
        <v>2</v>
      </c>
      <c r="N722">
        <v>5</v>
      </c>
      <c r="O722">
        <v>0</v>
      </c>
      <c r="P722">
        <v>1</v>
      </c>
      <c r="Q722">
        <v>1</v>
      </c>
      <c r="R722">
        <v>4</v>
      </c>
      <c r="S722" t="s">
        <v>36122</v>
      </c>
      <c r="U722">
        <v>2.0899797599999999</v>
      </c>
      <c r="V722">
        <v>17.97</v>
      </c>
      <c r="W722">
        <v>18.02</v>
      </c>
      <c r="X722" t="s">
        <v>3694</v>
      </c>
      <c r="Y722" t="s">
        <v>36126</v>
      </c>
      <c r="AA722" t="s">
        <v>3676</v>
      </c>
      <c r="AB722" t="s">
        <v>36136</v>
      </c>
      <c r="AC722" t="s">
        <v>34465</v>
      </c>
      <c r="AD722" t="s">
        <v>12423</v>
      </c>
      <c r="AE722" t="s">
        <v>34525</v>
      </c>
      <c r="AF722" t="s">
        <v>36128</v>
      </c>
    </row>
    <row r="723" spans="1:33" x14ac:dyDescent="0.25">
      <c r="A723" t="s">
        <v>34462</v>
      </c>
      <c r="B723" t="s">
        <v>3699</v>
      </c>
      <c r="C723" t="s">
        <v>3702</v>
      </c>
      <c r="D723">
        <v>3.44</v>
      </c>
      <c r="E723">
        <v>3.44</v>
      </c>
      <c r="F723">
        <v>1648229</v>
      </c>
      <c r="G723">
        <v>1063147</v>
      </c>
      <c r="H723">
        <v>3.44</v>
      </c>
      <c r="I723">
        <v>3.44</v>
      </c>
      <c r="J723">
        <v>0</v>
      </c>
      <c r="K723">
        <v>0</v>
      </c>
      <c r="L723">
        <v>5</v>
      </c>
      <c r="M723">
        <v>5</v>
      </c>
      <c r="N723">
        <v>5</v>
      </c>
      <c r="P723">
        <v>3</v>
      </c>
      <c r="Q723">
        <v>0</v>
      </c>
      <c r="R723">
        <v>5</v>
      </c>
      <c r="U723">
        <v>4.1887779999999999E-2</v>
      </c>
      <c r="V723">
        <v>2.91</v>
      </c>
      <c r="W723">
        <v>0.41</v>
      </c>
      <c r="X723" t="s">
        <v>3698</v>
      </c>
      <c r="Y723" t="s">
        <v>3703</v>
      </c>
      <c r="Z723" t="s">
        <v>3703</v>
      </c>
      <c r="AB723" t="s">
        <v>36137</v>
      </c>
      <c r="AC723" t="s">
        <v>34493</v>
      </c>
      <c r="AD723" t="s">
        <v>35597</v>
      </c>
      <c r="AF723" t="s">
        <v>36138</v>
      </c>
      <c r="AG723" t="s">
        <v>36139</v>
      </c>
    </row>
    <row r="724" spans="1:33" x14ac:dyDescent="0.25">
      <c r="A724" t="s">
        <v>34462</v>
      </c>
      <c r="B724" t="s">
        <v>3705</v>
      </c>
      <c r="C724" t="s">
        <v>3707</v>
      </c>
      <c r="D724">
        <v>2.52</v>
      </c>
      <c r="E724">
        <v>2.52</v>
      </c>
      <c r="H724">
        <v>2.52</v>
      </c>
      <c r="I724">
        <v>2.79</v>
      </c>
      <c r="J724">
        <v>0</v>
      </c>
      <c r="K724">
        <v>0</v>
      </c>
      <c r="L724">
        <v>5</v>
      </c>
      <c r="M724">
        <v>4</v>
      </c>
      <c r="N724">
        <v>5</v>
      </c>
      <c r="P724">
        <v>5</v>
      </c>
      <c r="Q724">
        <v>0</v>
      </c>
      <c r="R724">
        <v>0</v>
      </c>
      <c r="U724">
        <v>4.6297020000000001E-2</v>
      </c>
      <c r="V724">
        <v>2.91</v>
      </c>
      <c r="W724">
        <v>0.3</v>
      </c>
      <c r="X724" t="s">
        <v>3704</v>
      </c>
      <c r="Y724" t="s">
        <v>3708</v>
      </c>
      <c r="Z724" t="s">
        <v>3708</v>
      </c>
      <c r="AB724" t="s">
        <v>36140</v>
      </c>
      <c r="AC724" t="s">
        <v>34493</v>
      </c>
      <c r="AD724" t="s">
        <v>35597</v>
      </c>
      <c r="AF724" t="s">
        <v>36141</v>
      </c>
      <c r="AG724" t="s">
        <v>36142</v>
      </c>
    </row>
    <row r="725" spans="1:33" x14ac:dyDescent="0.25">
      <c r="A725" t="s">
        <v>34462</v>
      </c>
      <c r="B725" t="s">
        <v>3710</v>
      </c>
      <c r="C725" t="s">
        <v>3712</v>
      </c>
      <c r="D725">
        <v>14.1</v>
      </c>
      <c r="E725">
        <v>14.1</v>
      </c>
      <c r="F725">
        <v>3422726</v>
      </c>
      <c r="G725">
        <v>2669176</v>
      </c>
      <c r="H725">
        <v>13.95</v>
      </c>
      <c r="I725">
        <v>12.47</v>
      </c>
      <c r="J725">
        <v>0</v>
      </c>
      <c r="K725">
        <v>0.97</v>
      </c>
      <c r="L725">
        <v>1</v>
      </c>
      <c r="M725">
        <v>1</v>
      </c>
      <c r="Q725">
        <v>0</v>
      </c>
      <c r="R725">
        <v>0</v>
      </c>
      <c r="U725">
        <v>1.3095442799999999</v>
      </c>
      <c r="V725">
        <v>27.85</v>
      </c>
      <c r="W725">
        <v>1.69</v>
      </c>
      <c r="X725" t="s">
        <v>3709</v>
      </c>
      <c r="Y725" t="s">
        <v>3713</v>
      </c>
      <c r="Z725" t="s">
        <v>3713</v>
      </c>
      <c r="AB725" t="s">
        <v>36143</v>
      </c>
      <c r="AC725" t="s">
        <v>34465</v>
      </c>
      <c r="AD725" t="s">
        <v>36144</v>
      </c>
      <c r="AF725" t="s">
        <v>36145</v>
      </c>
      <c r="AG725" t="s">
        <v>36146</v>
      </c>
    </row>
    <row r="726" spans="1:33" x14ac:dyDescent="0.25">
      <c r="A726" t="s">
        <v>34462</v>
      </c>
      <c r="B726" t="s">
        <v>3715</v>
      </c>
      <c r="C726" t="s">
        <v>3717</v>
      </c>
      <c r="J726">
        <v>1</v>
      </c>
      <c r="K726">
        <v>1</v>
      </c>
      <c r="Q726">
        <v>-1</v>
      </c>
      <c r="R726">
        <v>-1</v>
      </c>
      <c r="X726" t="s">
        <v>3714</v>
      </c>
      <c r="AB726" t="s">
        <v>36147</v>
      </c>
      <c r="AC726" t="s">
        <v>34465</v>
      </c>
      <c r="AD726" t="s">
        <v>35597</v>
      </c>
      <c r="AF726" t="s">
        <v>35617</v>
      </c>
    </row>
    <row r="727" spans="1:33" x14ac:dyDescent="0.25">
      <c r="A727" t="s">
        <v>34462</v>
      </c>
      <c r="B727" t="s">
        <v>3719</v>
      </c>
      <c r="C727" t="s">
        <v>3721</v>
      </c>
      <c r="D727">
        <v>8.94</v>
      </c>
      <c r="E727">
        <v>5.88</v>
      </c>
      <c r="H727">
        <v>9.41</v>
      </c>
      <c r="I727">
        <v>9.66</v>
      </c>
      <c r="J727">
        <v>0</v>
      </c>
      <c r="K727">
        <v>1</v>
      </c>
      <c r="L727">
        <v>4</v>
      </c>
      <c r="M727">
        <v>4</v>
      </c>
      <c r="Q727">
        <v>0</v>
      </c>
      <c r="R727">
        <v>0</v>
      </c>
      <c r="U727">
        <v>0.13007257999999999</v>
      </c>
      <c r="V727">
        <v>2.54</v>
      </c>
      <c r="W727">
        <v>1.07</v>
      </c>
      <c r="X727" t="s">
        <v>3718</v>
      </c>
      <c r="Y727" t="s">
        <v>36148</v>
      </c>
      <c r="AB727" t="s">
        <v>36149</v>
      </c>
      <c r="AC727" t="s">
        <v>34465</v>
      </c>
      <c r="AD727" t="s">
        <v>35597</v>
      </c>
      <c r="AF727" t="s">
        <v>36150</v>
      </c>
      <c r="AG727" t="s">
        <v>36151</v>
      </c>
    </row>
    <row r="728" spans="1:33" x14ac:dyDescent="0.25">
      <c r="A728" t="s">
        <v>34462</v>
      </c>
      <c r="B728" t="s">
        <v>3723</v>
      </c>
      <c r="C728" t="s">
        <v>3725</v>
      </c>
      <c r="D728">
        <v>19.920000000000002</v>
      </c>
      <c r="E728">
        <v>19.920000000000002</v>
      </c>
      <c r="H728">
        <v>19.920000000000002</v>
      </c>
      <c r="I728">
        <v>20.059999999999999</v>
      </c>
      <c r="J728">
        <v>0</v>
      </c>
      <c r="K728">
        <v>1</v>
      </c>
      <c r="L728">
        <v>2</v>
      </c>
      <c r="M728">
        <v>2</v>
      </c>
      <c r="Q728">
        <v>0</v>
      </c>
      <c r="R728">
        <v>0</v>
      </c>
      <c r="U728">
        <v>4.1292532599999996</v>
      </c>
      <c r="V728">
        <v>27.85</v>
      </c>
      <c r="W728">
        <v>2.39</v>
      </c>
      <c r="X728" t="s">
        <v>3722</v>
      </c>
      <c r="Y728" t="s">
        <v>3726</v>
      </c>
      <c r="Z728" t="s">
        <v>3726</v>
      </c>
      <c r="AB728" t="s">
        <v>36152</v>
      </c>
      <c r="AC728" t="s">
        <v>34465</v>
      </c>
      <c r="AD728" t="s">
        <v>35095</v>
      </c>
      <c r="AF728" t="s">
        <v>36145</v>
      </c>
      <c r="AG728" t="s">
        <v>36153</v>
      </c>
    </row>
    <row r="729" spans="1:33" x14ac:dyDescent="0.25">
      <c r="A729" t="s">
        <v>34462</v>
      </c>
      <c r="B729" t="s">
        <v>3728</v>
      </c>
      <c r="C729" t="s">
        <v>3712</v>
      </c>
      <c r="D729">
        <v>13.95</v>
      </c>
      <c r="E729">
        <v>13.95</v>
      </c>
      <c r="F729">
        <v>2962628</v>
      </c>
      <c r="G729">
        <v>2282971</v>
      </c>
      <c r="H729">
        <v>15.75</v>
      </c>
      <c r="I729">
        <v>15.46</v>
      </c>
      <c r="J729">
        <v>0</v>
      </c>
      <c r="K729">
        <v>0</v>
      </c>
      <c r="L729">
        <v>7</v>
      </c>
      <c r="M729">
        <v>6</v>
      </c>
      <c r="N729">
        <v>5</v>
      </c>
      <c r="P729">
        <v>1</v>
      </c>
      <c r="Q729">
        <v>0</v>
      </c>
      <c r="R729">
        <v>1</v>
      </c>
      <c r="U729">
        <v>2.40083118</v>
      </c>
      <c r="V729">
        <v>27.85</v>
      </c>
      <c r="W729">
        <v>1.67</v>
      </c>
      <c r="X729" t="s">
        <v>3727</v>
      </c>
      <c r="Y729" t="s">
        <v>3730</v>
      </c>
      <c r="Z729" t="s">
        <v>3730</v>
      </c>
      <c r="AB729" t="s">
        <v>36154</v>
      </c>
      <c r="AC729" t="s">
        <v>34493</v>
      </c>
      <c r="AD729" t="s">
        <v>35095</v>
      </c>
      <c r="AF729" t="s">
        <v>36145</v>
      </c>
      <c r="AG729" t="s">
        <v>36155</v>
      </c>
    </row>
    <row r="730" spans="1:33" x14ac:dyDescent="0.25">
      <c r="A730" t="s">
        <v>34462</v>
      </c>
      <c r="B730" t="s">
        <v>3732</v>
      </c>
      <c r="C730" t="s">
        <v>3735</v>
      </c>
      <c r="D730">
        <v>36.86</v>
      </c>
      <c r="E730">
        <v>36.86</v>
      </c>
      <c r="F730">
        <v>140256</v>
      </c>
      <c r="G730">
        <v>152776</v>
      </c>
      <c r="H730">
        <v>34.25</v>
      </c>
      <c r="I730">
        <v>35.799999999999997</v>
      </c>
      <c r="J730">
        <v>0</v>
      </c>
      <c r="K730">
        <v>0.68</v>
      </c>
      <c r="L730">
        <v>3</v>
      </c>
      <c r="M730">
        <v>3</v>
      </c>
      <c r="N730">
        <v>4.5999999999999996</v>
      </c>
      <c r="O730">
        <v>1</v>
      </c>
      <c r="P730">
        <v>1146</v>
      </c>
      <c r="Q730">
        <v>34</v>
      </c>
      <c r="R730">
        <v>78</v>
      </c>
      <c r="S730" t="s">
        <v>36156</v>
      </c>
      <c r="U730">
        <v>0.9259404</v>
      </c>
      <c r="V730">
        <v>5.77</v>
      </c>
      <c r="W730">
        <v>5.53</v>
      </c>
      <c r="X730" t="s">
        <v>3731</v>
      </c>
      <c r="Y730" t="s">
        <v>3736</v>
      </c>
      <c r="Z730" t="s">
        <v>3736</v>
      </c>
      <c r="AA730" t="s">
        <v>3737</v>
      </c>
      <c r="AB730" t="s">
        <v>36157</v>
      </c>
      <c r="AC730" t="s">
        <v>34465</v>
      </c>
      <c r="AD730" t="s">
        <v>15490</v>
      </c>
      <c r="AE730" t="s">
        <v>34918</v>
      </c>
      <c r="AF730" t="s">
        <v>36158</v>
      </c>
      <c r="AG730" t="s">
        <v>36159</v>
      </c>
    </row>
    <row r="731" spans="1:33" x14ac:dyDescent="0.25">
      <c r="A731" t="s">
        <v>34462</v>
      </c>
      <c r="B731" t="s">
        <v>3739</v>
      </c>
      <c r="C731" t="s">
        <v>3742</v>
      </c>
      <c r="D731">
        <v>27.95</v>
      </c>
      <c r="E731">
        <v>27.95</v>
      </c>
      <c r="F731">
        <v>5266148</v>
      </c>
      <c r="G731">
        <v>2448567</v>
      </c>
      <c r="H731">
        <v>14.97</v>
      </c>
      <c r="I731">
        <v>21.64</v>
      </c>
      <c r="J731">
        <v>0</v>
      </c>
      <c r="K731">
        <v>1</v>
      </c>
      <c r="L731">
        <v>2</v>
      </c>
      <c r="M731">
        <v>1</v>
      </c>
      <c r="Q731">
        <v>1</v>
      </c>
      <c r="R731">
        <v>4</v>
      </c>
      <c r="U731">
        <v>1.4991416</v>
      </c>
      <c r="V731">
        <v>6.6</v>
      </c>
      <c r="W731">
        <v>4.75</v>
      </c>
      <c r="X731" t="s">
        <v>3738</v>
      </c>
      <c r="Y731" t="s">
        <v>36160</v>
      </c>
      <c r="AA731" t="s">
        <v>76</v>
      </c>
      <c r="AB731" t="s">
        <v>36161</v>
      </c>
      <c r="AC731" t="s">
        <v>34465</v>
      </c>
      <c r="AD731" t="s">
        <v>7947</v>
      </c>
      <c r="AE731" t="s">
        <v>34649</v>
      </c>
      <c r="AF731" t="s">
        <v>36162</v>
      </c>
    </row>
    <row r="732" spans="1:33" x14ac:dyDescent="0.25">
      <c r="A732" t="s">
        <v>34462</v>
      </c>
      <c r="B732" t="s">
        <v>3744</v>
      </c>
      <c r="C732" t="s">
        <v>3746</v>
      </c>
      <c r="D732">
        <v>24.95</v>
      </c>
      <c r="E732">
        <v>19.47</v>
      </c>
      <c r="F732">
        <v>8598018</v>
      </c>
      <c r="G732">
        <v>5940892</v>
      </c>
      <c r="H732">
        <v>25.55</v>
      </c>
      <c r="I732">
        <v>23.37</v>
      </c>
      <c r="J732">
        <v>0</v>
      </c>
      <c r="K732">
        <v>1</v>
      </c>
      <c r="L732">
        <v>3</v>
      </c>
      <c r="M732">
        <v>3</v>
      </c>
      <c r="Q732">
        <v>0</v>
      </c>
      <c r="R732">
        <v>1</v>
      </c>
      <c r="V732">
        <v>5.9</v>
      </c>
      <c r="W732">
        <v>4.24</v>
      </c>
      <c r="X732" t="s">
        <v>3743</v>
      </c>
      <c r="AA732" t="s">
        <v>3747</v>
      </c>
      <c r="AB732" t="s">
        <v>36163</v>
      </c>
      <c r="AC732" t="s">
        <v>34465</v>
      </c>
      <c r="AD732" t="s">
        <v>7947</v>
      </c>
      <c r="AE732" t="s">
        <v>34649</v>
      </c>
      <c r="AF732" t="s">
        <v>36164</v>
      </c>
    </row>
    <row r="733" spans="1:33" x14ac:dyDescent="0.25">
      <c r="A733" t="s">
        <v>34462</v>
      </c>
      <c r="B733" t="s">
        <v>3749</v>
      </c>
      <c r="C733" t="s">
        <v>3752</v>
      </c>
      <c r="D733">
        <v>40.29</v>
      </c>
      <c r="E733">
        <v>40.29</v>
      </c>
      <c r="F733">
        <v>276519</v>
      </c>
      <c r="G733">
        <v>170645</v>
      </c>
      <c r="H733">
        <v>48.1</v>
      </c>
      <c r="I733">
        <v>49</v>
      </c>
      <c r="J733">
        <v>0</v>
      </c>
      <c r="K733">
        <v>0</v>
      </c>
      <c r="L733">
        <v>2</v>
      </c>
      <c r="M733">
        <v>2</v>
      </c>
      <c r="N733">
        <v>4.5999999999999996</v>
      </c>
      <c r="O733">
        <v>0</v>
      </c>
      <c r="P733">
        <v>1019</v>
      </c>
      <c r="Q733">
        <v>27</v>
      </c>
      <c r="R733">
        <v>65</v>
      </c>
      <c r="S733" t="s">
        <v>36165</v>
      </c>
      <c r="U733">
        <v>2.20902924</v>
      </c>
      <c r="V733">
        <v>7.01</v>
      </c>
      <c r="W733">
        <v>6.04</v>
      </c>
      <c r="X733" t="s">
        <v>3748</v>
      </c>
      <c r="Y733" t="s">
        <v>36166</v>
      </c>
      <c r="Z733" t="s">
        <v>3753</v>
      </c>
      <c r="AA733" t="s">
        <v>3754</v>
      </c>
      <c r="AB733" t="s">
        <v>36167</v>
      </c>
      <c r="AC733" t="s">
        <v>34493</v>
      </c>
      <c r="AD733" t="s">
        <v>8331</v>
      </c>
      <c r="AE733" t="s">
        <v>35698</v>
      </c>
      <c r="AF733" t="s">
        <v>36168</v>
      </c>
      <c r="AG733" t="s">
        <v>36169</v>
      </c>
    </row>
    <row r="734" spans="1:33" x14ac:dyDescent="0.25">
      <c r="A734" t="s">
        <v>34462</v>
      </c>
      <c r="B734" t="s">
        <v>3756</v>
      </c>
      <c r="C734" t="s">
        <v>3758</v>
      </c>
      <c r="D734">
        <v>46.49</v>
      </c>
      <c r="E734">
        <v>46.49</v>
      </c>
      <c r="F734">
        <v>292106</v>
      </c>
      <c r="G734">
        <v>174039</v>
      </c>
      <c r="H734">
        <v>57.97</v>
      </c>
      <c r="I734">
        <v>54.05</v>
      </c>
      <c r="J734">
        <v>0</v>
      </c>
      <c r="K734">
        <v>0</v>
      </c>
      <c r="L734">
        <v>2</v>
      </c>
      <c r="M734">
        <v>2</v>
      </c>
      <c r="N734">
        <v>4.5999999999999996</v>
      </c>
      <c r="O734">
        <v>3</v>
      </c>
      <c r="P734">
        <v>1020</v>
      </c>
      <c r="Q734">
        <v>19</v>
      </c>
      <c r="R734">
        <v>44</v>
      </c>
      <c r="S734" t="s">
        <v>36165</v>
      </c>
      <c r="U734">
        <v>2.2266661999999999</v>
      </c>
      <c r="V734">
        <v>7.33</v>
      </c>
      <c r="W734">
        <v>6.97</v>
      </c>
      <c r="X734" t="s">
        <v>3755</v>
      </c>
      <c r="Y734" t="s">
        <v>36166</v>
      </c>
      <c r="Z734" t="s">
        <v>3753</v>
      </c>
      <c r="AA734" t="s">
        <v>3754</v>
      </c>
      <c r="AB734" t="s">
        <v>36170</v>
      </c>
      <c r="AC734" t="s">
        <v>34493</v>
      </c>
      <c r="AD734" t="s">
        <v>8331</v>
      </c>
      <c r="AE734" t="s">
        <v>35702</v>
      </c>
      <c r="AF734" t="s">
        <v>36168</v>
      </c>
      <c r="AG734" t="s">
        <v>36169</v>
      </c>
    </row>
    <row r="735" spans="1:33" x14ac:dyDescent="0.25">
      <c r="A735" t="s">
        <v>34462</v>
      </c>
      <c r="B735" t="s">
        <v>3760</v>
      </c>
      <c r="C735" t="s">
        <v>3762</v>
      </c>
      <c r="D735">
        <v>64.459999999999994</v>
      </c>
      <c r="E735">
        <v>64.459999999999994</v>
      </c>
      <c r="F735">
        <v>276519</v>
      </c>
      <c r="G735">
        <v>172052</v>
      </c>
      <c r="H735">
        <v>63.24</v>
      </c>
      <c r="I735">
        <v>56.75</v>
      </c>
      <c r="J735">
        <v>0</v>
      </c>
      <c r="K735">
        <v>0</v>
      </c>
      <c r="L735">
        <v>2</v>
      </c>
      <c r="M735">
        <v>2</v>
      </c>
      <c r="N735">
        <v>4.5999999999999996</v>
      </c>
      <c r="O735">
        <v>2</v>
      </c>
      <c r="P735">
        <v>1020</v>
      </c>
      <c r="Q735">
        <v>18</v>
      </c>
      <c r="R735">
        <v>52</v>
      </c>
      <c r="S735" t="s">
        <v>36165</v>
      </c>
      <c r="U735">
        <v>2.3391018200000002</v>
      </c>
      <c r="V735">
        <v>7.33</v>
      </c>
      <c r="W735">
        <v>9.67</v>
      </c>
      <c r="X735" t="s">
        <v>3759</v>
      </c>
      <c r="Y735" t="s">
        <v>36166</v>
      </c>
      <c r="Z735" t="s">
        <v>3753</v>
      </c>
      <c r="AA735" t="s">
        <v>3754</v>
      </c>
      <c r="AB735" t="s">
        <v>36171</v>
      </c>
      <c r="AC735" t="s">
        <v>34493</v>
      </c>
      <c r="AD735" t="s">
        <v>8331</v>
      </c>
      <c r="AE735" t="s">
        <v>35704</v>
      </c>
      <c r="AF735" t="s">
        <v>36168</v>
      </c>
      <c r="AG735" t="s">
        <v>36169</v>
      </c>
    </row>
    <row r="736" spans="1:33" x14ac:dyDescent="0.25">
      <c r="A736" t="s">
        <v>34462</v>
      </c>
      <c r="B736" t="s">
        <v>3764</v>
      </c>
      <c r="C736" t="s">
        <v>3767</v>
      </c>
      <c r="D736">
        <v>111.87</v>
      </c>
      <c r="E736">
        <v>111.87</v>
      </c>
      <c r="H736">
        <v>185.86</v>
      </c>
      <c r="I736">
        <v>170.02</v>
      </c>
      <c r="J736">
        <v>0.02</v>
      </c>
      <c r="K736">
        <v>1</v>
      </c>
      <c r="L736">
        <v>1</v>
      </c>
      <c r="M736">
        <v>1</v>
      </c>
      <c r="Q736">
        <v>-1</v>
      </c>
      <c r="R736">
        <v>-1</v>
      </c>
      <c r="U736">
        <v>0.9259404</v>
      </c>
      <c r="V736">
        <v>7.88</v>
      </c>
      <c r="X736" t="s">
        <v>3763</v>
      </c>
      <c r="Y736" t="s">
        <v>3768</v>
      </c>
      <c r="Z736" t="s">
        <v>3768</v>
      </c>
      <c r="AA736" t="s">
        <v>3769</v>
      </c>
      <c r="AB736" t="s">
        <v>36172</v>
      </c>
      <c r="AC736" t="s">
        <v>34465</v>
      </c>
      <c r="AD736" t="s">
        <v>9232</v>
      </c>
      <c r="AE736" t="s">
        <v>34533</v>
      </c>
      <c r="AF736" t="s">
        <v>36173</v>
      </c>
      <c r="AG736" t="s">
        <v>36174</v>
      </c>
    </row>
    <row r="737" spans="1:33" x14ac:dyDescent="0.25">
      <c r="A737" t="s">
        <v>34462</v>
      </c>
      <c r="B737" t="s">
        <v>3771</v>
      </c>
      <c r="C737" t="s">
        <v>3767</v>
      </c>
      <c r="D737">
        <v>104.72</v>
      </c>
      <c r="E737">
        <v>99.99</v>
      </c>
      <c r="H737">
        <v>104.82</v>
      </c>
      <c r="I737">
        <v>104.81</v>
      </c>
      <c r="J737">
        <v>0</v>
      </c>
      <c r="K737">
        <v>1</v>
      </c>
      <c r="L737">
        <v>3</v>
      </c>
      <c r="M737">
        <v>2</v>
      </c>
      <c r="Q737">
        <v>-1</v>
      </c>
      <c r="R737">
        <v>-1</v>
      </c>
      <c r="U737">
        <v>0.99207900000000004</v>
      </c>
      <c r="V737">
        <v>7.88</v>
      </c>
      <c r="W737">
        <v>17.8</v>
      </c>
      <c r="X737" t="s">
        <v>3770</v>
      </c>
      <c r="Y737" t="s">
        <v>3768</v>
      </c>
      <c r="Z737" t="s">
        <v>3768</v>
      </c>
      <c r="AA737" t="s">
        <v>3769</v>
      </c>
      <c r="AB737" t="s">
        <v>36175</v>
      </c>
      <c r="AC737" t="s">
        <v>34465</v>
      </c>
      <c r="AD737" t="s">
        <v>9232</v>
      </c>
      <c r="AE737" t="s">
        <v>14701</v>
      </c>
      <c r="AF737" t="s">
        <v>36173</v>
      </c>
      <c r="AG737" t="s">
        <v>36176</v>
      </c>
    </row>
    <row r="738" spans="1:33" x14ac:dyDescent="0.25">
      <c r="A738" t="s">
        <v>34462</v>
      </c>
      <c r="B738" t="s">
        <v>3774</v>
      </c>
      <c r="C738" t="s">
        <v>3767</v>
      </c>
      <c r="D738">
        <v>111.87</v>
      </c>
      <c r="E738">
        <v>111.87</v>
      </c>
      <c r="H738">
        <v>179.31</v>
      </c>
      <c r="I738">
        <v>167.1</v>
      </c>
      <c r="J738">
        <v>0.03</v>
      </c>
      <c r="K738">
        <v>1</v>
      </c>
      <c r="L738">
        <v>1</v>
      </c>
      <c r="M738">
        <v>1</v>
      </c>
      <c r="N738">
        <v>5</v>
      </c>
      <c r="P738">
        <v>1</v>
      </c>
      <c r="Q738">
        <v>-1</v>
      </c>
      <c r="R738">
        <v>-1</v>
      </c>
      <c r="U738">
        <v>1.1684486000000001</v>
      </c>
      <c r="V738">
        <v>13.03</v>
      </c>
      <c r="X738" t="s">
        <v>3773</v>
      </c>
      <c r="Y738" t="s">
        <v>3768</v>
      </c>
      <c r="Z738" t="s">
        <v>3768</v>
      </c>
      <c r="AA738" t="s">
        <v>3769</v>
      </c>
      <c r="AB738" t="s">
        <v>36177</v>
      </c>
      <c r="AC738" t="s">
        <v>34465</v>
      </c>
      <c r="AD738" t="s">
        <v>9232</v>
      </c>
      <c r="AE738" t="s">
        <v>34525</v>
      </c>
      <c r="AF738" t="s">
        <v>36178</v>
      </c>
    </row>
    <row r="739" spans="1:33" x14ac:dyDescent="0.25">
      <c r="A739" t="s">
        <v>34462</v>
      </c>
      <c r="B739" t="s">
        <v>3777</v>
      </c>
      <c r="C739" t="s">
        <v>3767</v>
      </c>
      <c r="D739">
        <v>159.99</v>
      </c>
      <c r="E739">
        <v>111.87</v>
      </c>
      <c r="H739">
        <v>133.85</v>
      </c>
      <c r="I739">
        <v>133.85</v>
      </c>
      <c r="J739">
        <v>0</v>
      </c>
      <c r="K739">
        <v>1</v>
      </c>
      <c r="L739">
        <v>2</v>
      </c>
      <c r="M739">
        <v>1</v>
      </c>
      <c r="Q739">
        <v>-1</v>
      </c>
      <c r="R739">
        <v>-1</v>
      </c>
      <c r="U739">
        <v>1.1023099999999999</v>
      </c>
      <c r="V739">
        <v>6.6</v>
      </c>
      <c r="W739">
        <v>27.2</v>
      </c>
      <c r="X739" t="s">
        <v>3776</v>
      </c>
      <c r="Y739" t="s">
        <v>3768</v>
      </c>
      <c r="Z739" t="s">
        <v>3768</v>
      </c>
      <c r="AA739" t="s">
        <v>3769</v>
      </c>
      <c r="AB739" t="s">
        <v>36179</v>
      </c>
      <c r="AC739" t="s">
        <v>34465</v>
      </c>
      <c r="AD739" t="s">
        <v>9232</v>
      </c>
      <c r="AE739" t="s">
        <v>34649</v>
      </c>
      <c r="AF739" t="s">
        <v>36178</v>
      </c>
    </row>
    <row r="740" spans="1:33" x14ac:dyDescent="0.25">
      <c r="A740" t="s">
        <v>34462</v>
      </c>
      <c r="B740" t="s">
        <v>3780</v>
      </c>
      <c r="C740" t="s">
        <v>3767</v>
      </c>
      <c r="D740">
        <v>111.87</v>
      </c>
      <c r="E740">
        <v>111.87</v>
      </c>
      <c r="J740">
        <v>0.02</v>
      </c>
      <c r="K740">
        <v>1</v>
      </c>
      <c r="L740">
        <v>1</v>
      </c>
      <c r="M740">
        <v>1</v>
      </c>
      <c r="Q740">
        <v>-1</v>
      </c>
      <c r="R740">
        <v>-1</v>
      </c>
      <c r="U740">
        <v>1.2125410000000001</v>
      </c>
      <c r="V740">
        <v>7.24</v>
      </c>
      <c r="X740" t="s">
        <v>3779</v>
      </c>
      <c r="Y740" t="s">
        <v>3768</v>
      </c>
      <c r="Z740" t="s">
        <v>3768</v>
      </c>
      <c r="AA740" t="s">
        <v>3769</v>
      </c>
      <c r="AB740" t="s">
        <v>36180</v>
      </c>
      <c r="AC740" t="s">
        <v>34465</v>
      </c>
      <c r="AD740" t="s">
        <v>9232</v>
      </c>
      <c r="AE740" t="s">
        <v>34469</v>
      </c>
      <c r="AF740" t="s">
        <v>36173</v>
      </c>
      <c r="AG740" t="s">
        <v>36176</v>
      </c>
    </row>
    <row r="741" spans="1:33" x14ac:dyDescent="0.25">
      <c r="A741" t="s">
        <v>34462</v>
      </c>
      <c r="B741" t="s">
        <v>3783</v>
      </c>
      <c r="C741" t="s">
        <v>3786</v>
      </c>
      <c r="D741">
        <v>19.239999999999998</v>
      </c>
      <c r="E741">
        <v>19.239999999999998</v>
      </c>
      <c r="F741">
        <v>504786</v>
      </c>
      <c r="G741">
        <v>397908</v>
      </c>
      <c r="H741">
        <v>19.47</v>
      </c>
      <c r="I741">
        <v>19.73</v>
      </c>
      <c r="J741">
        <v>0</v>
      </c>
      <c r="K741">
        <v>0</v>
      </c>
      <c r="L741">
        <v>2</v>
      </c>
      <c r="M741">
        <v>2</v>
      </c>
      <c r="N741">
        <v>4.5</v>
      </c>
      <c r="O741">
        <v>1</v>
      </c>
      <c r="P741">
        <v>149</v>
      </c>
      <c r="Q741">
        <v>11</v>
      </c>
      <c r="R741">
        <v>30</v>
      </c>
      <c r="S741" t="s">
        <v>36181</v>
      </c>
      <c r="U741">
        <v>0.76941238000000001</v>
      </c>
      <c r="V741">
        <v>7.24</v>
      </c>
      <c r="W741">
        <v>2.89</v>
      </c>
      <c r="X741" t="s">
        <v>3782</v>
      </c>
      <c r="Y741" t="s">
        <v>3787</v>
      </c>
      <c r="Z741" t="s">
        <v>3787</v>
      </c>
      <c r="AA741" t="s">
        <v>3788</v>
      </c>
      <c r="AB741" t="s">
        <v>36182</v>
      </c>
      <c r="AC741" t="s">
        <v>34493</v>
      </c>
      <c r="AD741" t="s">
        <v>15809</v>
      </c>
      <c r="AE741" t="s">
        <v>34533</v>
      </c>
      <c r="AF741" t="s">
        <v>36183</v>
      </c>
      <c r="AG741" t="s">
        <v>36184</v>
      </c>
    </row>
    <row r="742" spans="1:33" x14ac:dyDescent="0.25">
      <c r="A742" t="s">
        <v>34462</v>
      </c>
      <c r="B742" t="s">
        <v>3790</v>
      </c>
      <c r="C742" t="s">
        <v>3792</v>
      </c>
      <c r="D742">
        <v>22.57</v>
      </c>
      <c r="E742">
        <v>22.57</v>
      </c>
      <c r="F742">
        <v>504786</v>
      </c>
      <c r="G742">
        <v>418845</v>
      </c>
      <c r="H742">
        <v>19.86</v>
      </c>
      <c r="I742">
        <v>20.11</v>
      </c>
      <c r="J742">
        <v>0</v>
      </c>
      <c r="K742">
        <v>0</v>
      </c>
      <c r="L742">
        <v>2</v>
      </c>
      <c r="M742">
        <v>1</v>
      </c>
      <c r="N742">
        <v>4.5</v>
      </c>
      <c r="O742">
        <v>0</v>
      </c>
      <c r="P742">
        <v>149</v>
      </c>
      <c r="Q742">
        <v>13</v>
      </c>
      <c r="R742">
        <v>47</v>
      </c>
      <c r="S742" t="s">
        <v>36181</v>
      </c>
      <c r="U742">
        <v>0.83996022000000004</v>
      </c>
      <c r="V742">
        <v>7.88</v>
      </c>
      <c r="W742">
        <v>3.39</v>
      </c>
      <c r="X742" t="s">
        <v>3789</v>
      </c>
      <c r="Y742" t="s">
        <v>3793</v>
      </c>
      <c r="Z742" t="s">
        <v>3793</v>
      </c>
      <c r="AA742" t="s">
        <v>3788</v>
      </c>
      <c r="AB742" t="s">
        <v>36185</v>
      </c>
      <c r="AC742" t="s">
        <v>34493</v>
      </c>
      <c r="AD742" t="s">
        <v>15809</v>
      </c>
      <c r="AE742" t="s">
        <v>34649</v>
      </c>
      <c r="AF742" t="s">
        <v>36183</v>
      </c>
      <c r="AG742" t="s">
        <v>36184</v>
      </c>
    </row>
    <row r="743" spans="1:33" x14ac:dyDescent="0.25">
      <c r="A743" t="s">
        <v>34462</v>
      </c>
      <c r="B743" t="s">
        <v>3795</v>
      </c>
      <c r="C743" t="s">
        <v>3798</v>
      </c>
      <c r="D743">
        <v>52.9</v>
      </c>
      <c r="E743">
        <v>49.17</v>
      </c>
      <c r="F743">
        <v>179157</v>
      </c>
      <c r="G743">
        <v>208034</v>
      </c>
      <c r="H743">
        <v>51.35</v>
      </c>
      <c r="I743">
        <v>54.4</v>
      </c>
      <c r="J743">
        <v>0</v>
      </c>
      <c r="K743">
        <v>1</v>
      </c>
      <c r="L743">
        <v>5</v>
      </c>
      <c r="M743">
        <v>4</v>
      </c>
      <c r="N743">
        <v>4.2</v>
      </c>
      <c r="O743">
        <v>0</v>
      </c>
      <c r="P743">
        <v>28</v>
      </c>
      <c r="Q743">
        <v>24</v>
      </c>
      <c r="R743">
        <v>63</v>
      </c>
      <c r="S743" t="s">
        <v>36186</v>
      </c>
      <c r="U743">
        <v>0.81791402000000002</v>
      </c>
      <c r="V743">
        <v>5.12</v>
      </c>
      <c r="W743">
        <v>8.99</v>
      </c>
      <c r="X743" t="s">
        <v>3794</v>
      </c>
      <c r="AA743" t="s">
        <v>3799</v>
      </c>
      <c r="AB743" t="s">
        <v>36187</v>
      </c>
      <c r="AC743" t="s">
        <v>34465</v>
      </c>
      <c r="AD743" t="s">
        <v>36188</v>
      </c>
      <c r="AE743" t="s">
        <v>34469</v>
      </c>
      <c r="AF743" t="s">
        <v>36189</v>
      </c>
      <c r="AG743" t="s">
        <v>36190</v>
      </c>
    </row>
    <row r="744" spans="1:33" x14ac:dyDescent="0.25">
      <c r="A744" t="s">
        <v>34462</v>
      </c>
      <c r="B744" t="s">
        <v>3801</v>
      </c>
      <c r="C744" t="s">
        <v>3804</v>
      </c>
      <c r="D744">
        <v>13.04</v>
      </c>
      <c r="E744">
        <v>6.99</v>
      </c>
      <c r="H744">
        <v>14.11</v>
      </c>
      <c r="I744">
        <v>18.010000000000002</v>
      </c>
      <c r="J744">
        <v>0</v>
      </c>
      <c r="K744">
        <v>1</v>
      </c>
      <c r="L744">
        <v>1</v>
      </c>
      <c r="M744">
        <v>1</v>
      </c>
      <c r="Q744">
        <v>-1</v>
      </c>
      <c r="R744">
        <v>-1</v>
      </c>
      <c r="S744" t="s">
        <v>36191</v>
      </c>
      <c r="U744">
        <v>0.50044874000000006</v>
      </c>
      <c r="V744">
        <v>4.45</v>
      </c>
      <c r="W744">
        <v>0.65</v>
      </c>
      <c r="X744" t="s">
        <v>3800</v>
      </c>
      <c r="AA744" t="s">
        <v>3805</v>
      </c>
      <c r="AB744" t="s">
        <v>36192</v>
      </c>
      <c r="AC744" t="s">
        <v>34465</v>
      </c>
      <c r="AD744" t="s">
        <v>11496</v>
      </c>
      <c r="AE744" t="s">
        <v>34662</v>
      </c>
      <c r="AF744" t="s">
        <v>36193</v>
      </c>
      <c r="AG744" t="s">
        <v>36194</v>
      </c>
    </row>
    <row r="745" spans="1:33" x14ac:dyDescent="0.25">
      <c r="A745" t="s">
        <v>34462</v>
      </c>
      <c r="B745" t="s">
        <v>3807</v>
      </c>
      <c r="C745" t="s">
        <v>3809</v>
      </c>
      <c r="D745">
        <v>15.91</v>
      </c>
      <c r="F745">
        <v>9489510</v>
      </c>
      <c r="G745">
        <v>5184977</v>
      </c>
      <c r="H745">
        <v>15.91</v>
      </c>
      <c r="I745">
        <v>20.29</v>
      </c>
      <c r="J745">
        <v>0.63</v>
      </c>
      <c r="K745">
        <v>1</v>
      </c>
      <c r="L745">
        <v>1</v>
      </c>
      <c r="Q745">
        <v>0</v>
      </c>
      <c r="R745">
        <v>0</v>
      </c>
      <c r="U745">
        <v>0.50044874000000006</v>
      </c>
      <c r="V745">
        <v>4.45</v>
      </c>
      <c r="X745" t="s">
        <v>3806</v>
      </c>
      <c r="AA745" t="s">
        <v>3805</v>
      </c>
      <c r="AB745" t="s">
        <v>36195</v>
      </c>
      <c r="AC745" t="s">
        <v>34465</v>
      </c>
      <c r="AD745" t="s">
        <v>11496</v>
      </c>
      <c r="AE745" t="s">
        <v>36196</v>
      </c>
      <c r="AF745" t="s">
        <v>36197</v>
      </c>
      <c r="AG745" t="s">
        <v>36194</v>
      </c>
    </row>
    <row r="746" spans="1:33" x14ac:dyDescent="0.25">
      <c r="A746" t="s">
        <v>34462</v>
      </c>
      <c r="B746" t="s">
        <v>3811</v>
      </c>
      <c r="C746" t="s">
        <v>3814</v>
      </c>
      <c r="D746">
        <v>39.049999999999997</v>
      </c>
      <c r="E746">
        <v>30.05</v>
      </c>
      <c r="F746">
        <v>617311</v>
      </c>
      <c r="G746">
        <v>330768</v>
      </c>
      <c r="H746">
        <v>40.42</v>
      </c>
      <c r="I746">
        <v>37.58</v>
      </c>
      <c r="J746">
        <v>0</v>
      </c>
      <c r="K746">
        <v>0</v>
      </c>
      <c r="L746">
        <v>2</v>
      </c>
      <c r="M746">
        <v>2</v>
      </c>
      <c r="O746">
        <v>0</v>
      </c>
      <c r="Q746">
        <v>11</v>
      </c>
      <c r="R746">
        <v>35</v>
      </c>
      <c r="S746" t="s">
        <v>36198</v>
      </c>
      <c r="U746">
        <v>0.3086468</v>
      </c>
      <c r="V746">
        <v>5.9</v>
      </c>
      <c r="W746">
        <v>6.64</v>
      </c>
      <c r="X746" t="s">
        <v>3810</v>
      </c>
      <c r="Y746" t="s">
        <v>3816</v>
      </c>
      <c r="Z746" t="s">
        <v>3816</v>
      </c>
      <c r="AA746" t="s">
        <v>3817</v>
      </c>
      <c r="AB746" t="s">
        <v>36199</v>
      </c>
      <c r="AC746" t="s">
        <v>34493</v>
      </c>
      <c r="AD746" t="s">
        <v>8078</v>
      </c>
      <c r="AE746" t="s">
        <v>34474</v>
      </c>
      <c r="AF746" t="s">
        <v>36200</v>
      </c>
      <c r="AG746" t="s">
        <v>36201</v>
      </c>
    </row>
    <row r="747" spans="1:33" x14ac:dyDescent="0.25">
      <c r="A747" t="s">
        <v>34462</v>
      </c>
      <c r="B747" t="s">
        <v>3819</v>
      </c>
      <c r="C747" t="s">
        <v>3821</v>
      </c>
      <c r="D747">
        <v>39.049999999999997</v>
      </c>
      <c r="E747">
        <v>30.05</v>
      </c>
      <c r="F747">
        <v>508841</v>
      </c>
      <c r="G747">
        <v>355459</v>
      </c>
      <c r="H747">
        <v>43.16</v>
      </c>
      <c r="I747">
        <v>42.9</v>
      </c>
      <c r="J747">
        <v>0</v>
      </c>
      <c r="K747">
        <v>0</v>
      </c>
      <c r="L747">
        <v>5</v>
      </c>
      <c r="M747">
        <v>5</v>
      </c>
      <c r="O747">
        <v>0</v>
      </c>
      <c r="Q747">
        <v>13</v>
      </c>
      <c r="R747">
        <v>43</v>
      </c>
      <c r="S747" t="s">
        <v>36198</v>
      </c>
      <c r="U747">
        <v>0.91491730000000004</v>
      </c>
      <c r="V747">
        <v>6.14</v>
      </c>
      <c r="W747">
        <v>6.64</v>
      </c>
      <c r="X747" t="s">
        <v>3818</v>
      </c>
      <c r="Y747" t="s">
        <v>3816</v>
      </c>
      <c r="Z747" t="s">
        <v>3816</v>
      </c>
      <c r="AA747" t="s">
        <v>3822</v>
      </c>
      <c r="AB747" t="s">
        <v>36202</v>
      </c>
      <c r="AC747" t="s">
        <v>34493</v>
      </c>
      <c r="AD747" t="s">
        <v>8078</v>
      </c>
      <c r="AE747" t="s">
        <v>34474</v>
      </c>
      <c r="AF747" t="s">
        <v>36203</v>
      </c>
      <c r="AG747" t="s">
        <v>36201</v>
      </c>
    </row>
    <row r="748" spans="1:33" x14ac:dyDescent="0.25">
      <c r="A748" t="s">
        <v>34462</v>
      </c>
      <c r="B748" t="s">
        <v>3824</v>
      </c>
      <c r="C748" t="s">
        <v>3826</v>
      </c>
      <c r="D748">
        <v>37.35</v>
      </c>
      <c r="E748">
        <v>28.47</v>
      </c>
      <c r="F748">
        <v>617311</v>
      </c>
      <c r="G748">
        <v>360838</v>
      </c>
      <c r="H748">
        <v>43.24</v>
      </c>
      <c r="I748">
        <v>44.46</v>
      </c>
      <c r="J748">
        <v>0</v>
      </c>
      <c r="K748">
        <v>0</v>
      </c>
      <c r="L748">
        <v>6</v>
      </c>
      <c r="M748">
        <v>5</v>
      </c>
      <c r="O748">
        <v>0</v>
      </c>
      <c r="Q748">
        <v>18</v>
      </c>
      <c r="R748">
        <v>57</v>
      </c>
      <c r="S748" t="s">
        <v>36198</v>
      </c>
      <c r="U748">
        <v>0.33069300000000001</v>
      </c>
      <c r="V748">
        <v>5.82</v>
      </c>
      <c r="W748">
        <v>6.35</v>
      </c>
      <c r="X748" t="s">
        <v>3823</v>
      </c>
      <c r="Y748" t="s">
        <v>3816</v>
      </c>
      <c r="Z748" t="s">
        <v>3816</v>
      </c>
      <c r="AA748" t="s">
        <v>3822</v>
      </c>
      <c r="AB748" t="s">
        <v>36204</v>
      </c>
      <c r="AC748" t="s">
        <v>34493</v>
      </c>
      <c r="AD748" t="s">
        <v>8078</v>
      </c>
      <c r="AE748" t="s">
        <v>34533</v>
      </c>
      <c r="AF748" t="s">
        <v>36203</v>
      </c>
      <c r="AG748" t="s">
        <v>36201</v>
      </c>
    </row>
    <row r="749" spans="1:33" x14ac:dyDescent="0.25">
      <c r="A749" t="s">
        <v>34462</v>
      </c>
      <c r="B749" t="s">
        <v>3829</v>
      </c>
      <c r="C749" t="s">
        <v>3831</v>
      </c>
      <c r="D749">
        <v>39.17</v>
      </c>
      <c r="E749">
        <v>30.05</v>
      </c>
      <c r="F749">
        <v>617311</v>
      </c>
      <c r="G749">
        <v>359482</v>
      </c>
      <c r="H749">
        <v>40.96</v>
      </c>
      <c r="I749">
        <v>36.700000000000003</v>
      </c>
      <c r="J749">
        <v>0</v>
      </c>
      <c r="K749">
        <v>0</v>
      </c>
      <c r="L749">
        <v>2</v>
      </c>
      <c r="M749">
        <v>2</v>
      </c>
      <c r="O749">
        <v>0</v>
      </c>
      <c r="Q749">
        <v>13</v>
      </c>
      <c r="R749">
        <v>43</v>
      </c>
      <c r="S749" t="s">
        <v>36198</v>
      </c>
      <c r="U749">
        <v>0.33069300000000001</v>
      </c>
      <c r="V749">
        <v>5.05</v>
      </c>
      <c r="W749">
        <v>6.66</v>
      </c>
      <c r="X749" t="s">
        <v>3828</v>
      </c>
      <c r="Y749" t="s">
        <v>3816</v>
      </c>
      <c r="Z749" t="s">
        <v>3816</v>
      </c>
      <c r="AA749" t="s">
        <v>3817</v>
      </c>
      <c r="AB749" t="s">
        <v>36205</v>
      </c>
      <c r="AC749" t="s">
        <v>34493</v>
      </c>
      <c r="AD749" t="s">
        <v>8078</v>
      </c>
      <c r="AE749" t="s">
        <v>34533</v>
      </c>
      <c r="AF749" t="s">
        <v>36206</v>
      </c>
      <c r="AG749" t="s">
        <v>36201</v>
      </c>
    </row>
    <row r="750" spans="1:33" x14ac:dyDescent="0.25">
      <c r="A750" t="s">
        <v>34462</v>
      </c>
      <c r="B750" t="s">
        <v>3834</v>
      </c>
      <c r="C750" t="s">
        <v>3836</v>
      </c>
      <c r="D750">
        <v>35.130000000000003</v>
      </c>
      <c r="E750">
        <v>27.03</v>
      </c>
      <c r="F750">
        <v>508841</v>
      </c>
      <c r="G750">
        <v>368993</v>
      </c>
      <c r="H750">
        <v>43.01</v>
      </c>
      <c r="I750">
        <v>44.19</v>
      </c>
      <c r="J750">
        <v>0</v>
      </c>
      <c r="K750">
        <v>0</v>
      </c>
      <c r="L750">
        <v>7</v>
      </c>
      <c r="M750">
        <v>6</v>
      </c>
      <c r="N750">
        <v>4</v>
      </c>
      <c r="O750">
        <v>1</v>
      </c>
      <c r="P750">
        <v>1</v>
      </c>
      <c r="Q750">
        <v>14</v>
      </c>
      <c r="R750">
        <v>45</v>
      </c>
      <c r="S750" t="s">
        <v>36198</v>
      </c>
      <c r="U750">
        <v>0.35053457999999998</v>
      </c>
      <c r="V750">
        <v>5.82</v>
      </c>
      <c r="W750">
        <v>5.97</v>
      </c>
      <c r="X750" t="s">
        <v>3833</v>
      </c>
      <c r="Y750" t="s">
        <v>3816</v>
      </c>
      <c r="Z750" t="s">
        <v>3816</v>
      </c>
      <c r="AA750" t="s">
        <v>3822</v>
      </c>
      <c r="AB750" t="s">
        <v>36207</v>
      </c>
      <c r="AC750" t="s">
        <v>34493</v>
      </c>
      <c r="AD750" t="s">
        <v>8078</v>
      </c>
      <c r="AE750" t="s">
        <v>14701</v>
      </c>
      <c r="AF750" t="s">
        <v>36208</v>
      </c>
      <c r="AG750" t="s">
        <v>36201</v>
      </c>
    </row>
    <row r="751" spans="1:33" x14ac:dyDescent="0.25">
      <c r="A751" t="s">
        <v>34462</v>
      </c>
      <c r="B751" t="s">
        <v>3838</v>
      </c>
      <c r="C751" t="s">
        <v>3840</v>
      </c>
      <c r="D751">
        <v>39.17</v>
      </c>
      <c r="E751">
        <v>30.05</v>
      </c>
      <c r="F751">
        <v>617311</v>
      </c>
      <c r="G751">
        <v>350839</v>
      </c>
      <c r="H751">
        <v>39.729999999999997</v>
      </c>
      <c r="I751">
        <v>34.51</v>
      </c>
      <c r="J751">
        <v>0</v>
      </c>
      <c r="K751">
        <v>0</v>
      </c>
      <c r="L751">
        <v>3</v>
      </c>
      <c r="M751">
        <v>3</v>
      </c>
      <c r="O751">
        <v>0</v>
      </c>
      <c r="Q751">
        <v>12</v>
      </c>
      <c r="R751">
        <v>34</v>
      </c>
      <c r="S751" t="s">
        <v>36198</v>
      </c>
      <c r="U751">
        <v>0.35273919999999997</v>
      </c>
      <c r="V751">
        <v>5.9</v>
      </c>
      <c r="W751">
        <v>6.66</v>
      </c>
      <c r="X751" t="s">
        <v>3837</v>
      </c>
      <c r="Y751" t="s">
        <v>3816</v>
      </c>
      <c r="Z751" t="s">
        <v>3816</v>
      </c>
      <c r="AA751" t="s">
        <v>3817</v>
      </c>
      <c r="AB751" t="s">
        <v>36209</v>
      </c>
      <c r="AC751" t="s">
        <v>34493</v>
      </c>
      <c r="AD751" t="s">
        <v>8078</v>
      </c>
      <c r="AE751" t="s">
        <v>14701</v>
      </c>
      <c r="AF751" t="s">
        <v>36210</v>
      </c>
      <c r="AG751" t="s">
        <v>36201</v>
      </c>
    </row>
    <row r="752" spans="1:33" x14ac:dyDescent="0.25">
      <c r="A752" t="s">
        <v>34462</v>
      </c>
      <c r="B752" t="s">
        <v>3843</v>
      </c>
      <c r="C752" t="s">
        <v>3845</v>
      </c>
      <c r="D752">
        <v>38.33</v>
      </c>
      <c r="E752">
        <v>29.25</v>
      </c>
      <c r="F752">
        <v>508841</v>
      </c>
      <c r="G752">
        <v>357748</v>
      </c>
      <c r="H752">
        <v>43.11</v>
      </c>
      <c r="I752">
        <v>42.76</v>
      </c>
      <c r="J752">
        <v>0</v>
      </c>
      <c r="K752">
        <v>0</v>
      </c>
      <c r="L752">
        <v>6</v>
      </c>
      <c r="M752">
        <v>5</v>
      </c>
      <c r="O752">
        <v>0</v>
      </c>
      <c r="Q752">
        <v>13</v>
      </c>
      <c r="R752">
        <v>41</v>
      </c>
      <c r="S752" t="s">
        <v>36198</v>
      </c>
      <c r="U752">
        <v>0.38801311999999999</v>
      </c>
      <c r="V752">
        <v>6.05</v>
      </c>
      <c r="W752">
        <v>6.52</v>
      </c>
      <c r="X752" t="s">
        <v>3842</v>
      </c>
      <c r="Y752" t="s">
        <v>3816</v>
      </c>
      <c r="Z752" t="s">
        <v>3816</v>
      </c>
      <c r="AA752" t="s">
        <v>3822</v>
      </c>
      <c r="AB752" t="s">
        <v>36211</v>
      </c>
      <c r="AC752" t="s">
        <v>34493</v>
      </c>
      <c r="AD752" t="s">
        <v>8078</v>
      </c>
      <c r="AE752" t="s">
        <v>34525</v>
      </c>
      <c r="AF752" t="s">
        <v>36208</v>
      </c>
      <c r="AG752" t="s">
        <v>36201</v>
      </c>
    </row>
    <row r="753" spans="1:33" x14ac:dyDescent="0.25">
      <c r="A753" t="s">
        <v>34462</v>
      </c>
      <c r="B753" t="s">
        <v>3847</v>
      </c>
      <c r="C753" t="s">
        <v>3849</v>
      </c>
      <c r="D753">
        <v>39.17</v>
      </c>
      <c r="E753">
        <v>30.05</v>
      </c>
      <c r="F753">
        <v>617311</v>
      </c>
      <c r="G753">
        <v>339594</v>
      </c>
      <c r="H753">
        <v>42.38</v>
      </c>
      <c r="I753">
        <v>34.619999999999997</v>
      </c>
      <c r="J753">
        <v>0</v>
      </c>
      <c r="K753">
        <v>0</v>
      </c>
      <c r="L753">
        <v>3</v>
      </c>
      <c r="M753">
        <v>3</v>
      </c>
      <c r="O753">
        <v>0</v>
      </c>
      <c r="Q753">
        <v>12</v>
      </c>
      <c r="R753">
        <v>44</v>
      </c>
      <c r="S753" t="s">
        <v>36198</v>
      </c>
      <c r="U753">
        <v>0.36376229999999998</v>
      </c>
      <c r="V753">
        <v>5.82</v>
      </c>
      <c r="W753">
        <v>6.66</v>
      </c>
      <c r="X753" t="s">
        <v>3846</v>
      </c>
      <c r="Y753" t="s">
        <v>3816</v>
      </c>
      <c r="Z753" t="s">
        <v>3816</v>
      </c>
      <c r="AA753" t="s">
        <v>3817</v>
      </c>
      <c r="AB753" t="s">
        <v>36212</v>
      </c>
      <c r="AC753" t="s">
        <v>34493</v>
      </c>
      <c r="AD753" t="s">
        <v>8078</v>
      </c>
      <c r="AE753" t="s">
        <v>34525</v>
      </c>
      <c r="AF753" t="s">
        <v>36206</v>
      </c>
      <c r="AG753" t="s">
        <v>36201</v>
      </c>
    </row>
    <row r="754" spans="1:33" x14ac:dyDescent="0.25">
      <c r="A754" t="s">
        <v>34462</v>
      </c>
      <c r="B754" t="s">
        <v>3852</v>
      </c>
      <c r="C754" t="s">
        <v>3854</v>
      </c>
      <c r="D754">
        <v>39.229999999999997</v>
      </c>
      <c r="E754">
        <v>30.05</v>
      </c>
      <c r="F754">
        <v>617311</v>
      </c>
      <c r="G754">
        <v>368283</v>
      </c>
      <c r="H754">
        <v>43.13</v>
      </c>
      <c r="I754">
        <v>40.35</v>
      </c>
      <c r="J754">
        <v>0</v>
      </c>
      <c r="K754">
        <v>0</v>
      </c>
      <c r="L754">
        <v>4</v>
      </c>
      <c r="M754">
        <v>4</v>
      </c>
      <c r="O754">
        <v>0</v>
      </c>
      <c r="Q754">
        <v>12</v>
      </c>
      <c r="R754">
        <v>35</v>
      </c>
      <c r="S754" t="s">
        <v>36198</v>
      </c>
      <c r="U754">
        <v>0.39903622</v>
      </c>
      <c r="V754">
        <v>5.82</v>
      </c>
      <c r="W754">
        <v>6.67</v>
      </c>
      <c r="X754" t="s">
        <v>3851</v>
      </c>
      <c r="Y754" t="s">
        <v>36213</v>
      </c>
      <c r="Z754" t="s">
        <v>3816</v>
      </c>
      <c r="AA754" t="s">
        <v>3822</v>
      </c>
      <c r="AB754" t="s">
        <v>36214</v>
      </c>
      <c r="AC754" t="s">
        <v>34493</v>
      </c>
      <c r="AD754" t="s">
        <v>8078</v>
      </c>
      <c r="AE754" t="s">
        <v>34649</v>
      </c>
      <c r="AF754" t="s">
        <v>36215</v>
      </c>
      <c r="AG754" t="s">
        <v>36201</v>
      </c>
    </row>
    <row r="755" spans="1:33" x14ac:dyDescent="0.25">
      <c r="A755" t="s">
        <v>34462</v>
      </c>
      <c r="B755" t="s">
        <v>3856</v>
      </c>
      <c r="C755" t="s">
        <v>3858</v>
      </c>
      <c r="D755">
        <v>39.229999999999997</v>
      </c>
      <c r="E755">
        <v>30.05</v>
      </c>
      <c r="F755">
        <v>508841</v>
      </c>
      <c r="G755">
        <v>364678</v>
      </c>
      <c r="H755">
        <v>43.05</v>
      </c>
      <c r="I755">
        <v>36.43</v>
      </c>
      <c r="J755">
        <v>0</v>
      </c>
      <c r="K755">
        <v>0</v>
      </c>
      <c r="L755">
        <v>3</v>
      </c>
      <c r="M755">
        <v>4</v>
      </c>
      <c r="O755">
        <v>0</v>
      </c>
      <c r="Q755">
        <v>16</v>
      </c>
      <c r="R755">
        <v>53</v>
      </c>
      <c r="S755" t="s">
        <v>36198</v>
      </c>
      <c r="U755">
        <v>0.39683160000000001</v>
      </c>
      <c r="V755">
        <v>5.82</v>
      </c>
      <c r="W755">
        <v>6.67</v>
      </c>
      <c r="X755" t="s">
        <v>3855</v>
      </c>
      <c r="Y755" t="s">
        <v>3816</v>
      </c>
      <c r="Z755" t="s">
        <v>3816</v>
      </c>
      <c r="AA755" t="s">
        <v>3817</v>
      </c>
      <c r="AB755" t="s">
        <v>36216</v>
      </c>
      <c r="AC755" t="s">
        <v>34493</v>
      </c>
      <c r="AD755" t="s">
        <v>8078</v>
      </c>
      <c r="AE755" t="s">
        <v>34649</v>
      </c>
      <c r="AF755" t="s">
        <v>36217</v>
      </c>
      <c r="AG755" t="s">
        <v>36201</v>
      </c>
    </row>
    <row r="756" spans="1:33" x14ac:dyDescent="0.25">
      <c r="A756" t="s">
        <v>34462</v>
      </c>
      <c r="B756" t="s">
        <v>3860</v>
      </c>
      <c r="C756" t="s">
        <v>3862</v>
      </c>
      <c r="D756">
        <v>39.229999999999997</v>
      </c>
      <c r="E756">
        <v>30.05</v>
      </c>
      <c r="F756">
        <v>617311</v>
      </c>
      <c r="G756">
        <v>351605</v>
      </c>
      <c r="H756">
        <v>43.42</v>
      </c>
      <c r="I756">
        <v>40.15</v>
      </c>
      <c r="J756">
        <v>0</v>
      </c>
      <c r="K756">
        <v>0</v>
      </c>
      <c r="L756">
        <v>4</v>
      </c>
      <c r="M756">
        <v>4</v>
      </c>
      <c r="O756">
        <v>0</v>
      </c>
      <c r="Q756">
        <v>14</v>
      </c>
      <c r="R756">
        <v>44</v>
      </c>
      <c r="S756" t="s">
        <v>36198</v>
      </c>
      <c r="U756">
        <v>0.44092399999999998</v>
      </c>
      <c r="V756">
        <v>5.9</v>
      </c>
      <c r="W756">
        <v>6.67</v>
      </c>
      <c r="X756" t="s">
        <v>3859</v>
      </c>
      <c r="Y756" t="s">
        <v>3816</v>
      </c>
      <c r="Z756" t="s">
        <v>3816</v>
      </c>
      <c r="AA756" t="s">
        <v>3822</v>
      </c>
      <c r="AB756" t="s">
        <v>36218</v>
      </c>
      <c r="AC756" t="s">
        <v>34493</v>
      </c>
      <c r="AD756" t="s">
        <v>8078</v>
      </c>
      <c r="AE756" t="s">
        <v>34469</v>
      </c>
      <c r="AF756" t="s">
        <v>36219</v>
      </c>
      <c r="AG756" t="s">
        <v>36201</v>
      </c>
    </row>
    <row r="757" spans="1:33" x14ac:dyDescent="0.25">
      <c r="A757" t="s">
        <v>34462</v>
      </c>
      <c r="B757" t="s">
        <v>3864</v>
      </c>
      <c r="C757" t="s">
        <v>3866</v>
      </c>
      <c r="D757">
        <v>39.049999999999997</v>
      </c>
      <c r="E757">
        <v>30.05</v>
      </c>
      <c r="F757">
        <v>617311</v>
      </c>
      <c r="G757">
        <v>353508</v>
      </c>
      <c r="H757">
        <v>43.19</v>
      </c>
      <c r="I757">
        <v>38.94</v>
      </c>
      <c r="J757">
        <v>0</v>
      </c>
      <c r="K757">
        <v>0</v>
      </c>
      <c r="L757">
        <v>4</v>
      </c>
      <c r="M757">
        <v>4</v>
      </c>
      <c r="O757">
        <v>0</v>
      </c>
      <c r="Q757">
        <v>16</v>
      </c>
      <c r="R757">
        <v>48</v>
      </c>
      <c r="S757" t="s">
        <v>36198</v>
      </c>
      <c r="U757">
        <v>0.42990089999999997</v>
      </c>
      <c r="V757">
        <v>6.05</v>
      </c>
      <c r="W757">
        <v>6.64</v>
      </c>
      <c r="X757" t="s">
        <v>3863</v>
      </c>
      <c r="Y757" t="s">
        <v>3816</v>
      </c>
      <c r="Z757" t="s">
        <v>3816</v>
      </c>
      <c r="AA757" t="s">
        <v>3817</v>
      </c>
      <c r="AB757" t="s">
        <v>36220</v>
      </c>
      <c r="AC757" t="s">
        <v>34493</v>
      </c>
      <c r="AD757" t="s">
        <v>8078</v>
      </c>
      <c r="AE757" t="s">
        <v>34469</v>
      </c>
      <c r="AF757" t="s">
        <v>36221</v>
      </c>
      <c r="AG757" t="s">
        <v>36201</v>
      </c>
    </row>
    <row r="758" spans="1:33" x14ac:dyDescent="0.25">
      <c r="A758" t="s">
        <v>34462</v>
      </c>
      <c r="B758" t="s">
        <v>3868</v>
      </c>
      <c r="C758" t="s">
        <v>3871</v>
      </c>
      <c r="D758">
        <v>10.4</v>
      </c>
      <c r="E758">
        <v>10.4</v>
      </c>
      <c r="F758">
        <v>32385</v>
      </c>
      <c r="G758">
        <v>369269</v>
      </c>
      <c r="H758">
        <v>20.48</v>
      </c>
      <c r="I758">
        <v>19.48</v>
      </c>
      <c r="J758">
        <v>0</v>
      </c>
      <c r="K758">
        <v>0</v>
      </c>
      <c r="L758">
        <v>4</v>
      </c>
      <c r="M758">
        <v>3</v>
      </c>
      <c r="N758">
        <v>4.8</v>
      </c>
      <c r="O758">
        <v>2</v>
      </c>
      <c r="P758">
        <v>17</v>
      </c>
      <c r="Q758">
        <v>18</v>
      </c>
      <c r="R758">
        <v>56</v>
      </c>
      <c r="S758" t="s">
        <v>36222</v>
      </c>
      <c r="U758">
        <v>0.24250820000000001</v>
      </c>
      <c r="V758">
        <v>5.05</v>
      </c>
      <c r="W758">
        <v>1.77</v>
      </c>
      <c r="X758" t="s">
        <v>3867</v>
      </c>
      <c r="Y758" t="s">
        <v>3873</v>
      </c>
      <c r="Z758" t="s">
        <v>3873</v>
      </c>
      <c r="AA758" t="s">
        <v>3874</v>
      </c>
      <c r="AB758" t="s">
        <v>36223</v>
      </c>
      <c r="AC758" t="s">
        <v>34493</v>
      </c>
      <c r="AD758" t="s">
        <v>8078</v>
      </c>
      <c r="AE758" t="s">
        <v>34533</v>
      </c>
      <c r="AF758" t="s">
        <v>36224</v>
      </c>
      <c r="AG758" t="s">
        <v>36225</v>
      </c>
    </row>
    <row r="759" spans="1:33" x14ac:dyDescent="0.25">
      <c r="A759" t="s">
        <v>34462</v>
      </c>
      <c r="B759" t="s">
        <v>3876</v>
      </c>
      <c r="C759" t="s">
        <v>3878</v>
      </c>
      <c r="D759">
        <v>10.4</v>
      </c>
      <c r="E759">
        <v>10.4</v>
      </c>
      <c r="F759">
        <v>30800</v>
      </c>
      <c r="G759">
        <v>377384</v>
      </c>
      <c r="H759">
        <v>19.23</v>
      </c>
      <c r="I759">
        <v>19.920000000000002</v>
      </c>
      <c r="J759">
        <v>0</v>
      </c>
      <c r="K759">
        <v>0</v>
      </c>
      <c r="L759">
        <v>7</v>
      </c>
      <c r="M759">
        <v>7</v>
      </c>
      <c r="N759">
        <v>4.8</v>
      </c>
      <c r="O759">
        <v>2</v>
      </c>
      <c r="P759">
        <v>17</v>
      </c>
      <c r="Q759">
        <v>18</v>
      </c>
      <c r="R759">
        <v>64</v>
      </c>
      <c r="S759" t="s">
        <v>36222</v>
      </c>
      <c r="U759">
        <v>0.25353130000000001</v>
      </c>
      <c r="V759">
        <v>3.21</v>
      </c>
      <c r="W759">
        <v>0.52</v>
      </c>
      <c r="X759" t="s">
        <v>3875</v>
      </c>
      <c r="Y759" t="s">
        <v>3880</v>
      </c>
      <c r="Z759" t="s">
        <v>3880</v>
      </c>
      <c r="AA759" t="s">
        <v>3881</v>
      </c>
      <c r="AB759" t="s">
        <v>36226</v>
      </c>
      <c r="AC759" t="s">
        <v>34493</v>
      </c>
      <c r="AD759" t="s">
        <v>8078</v>
      </c>
      <c r="AE759" t="s">
        <v>34533</v>
      </c>
      <c r="AF759" t="s">
        <v>36227</v>
      </c>
      <c r="AG759" t="s">
        <v>36225</v>
      </c>
    </row>
    <row r="760" spans="1:33" x14ac:dyDescent="0.25">
      <c r="A760" t="s">
        <v>34462</v>
      </c>
      <c r="B760" t="s">
        <v>3883</v>
      </c>
      <c r="C760" t="s">
        <v>3885</v>
      </c>
      <c r="D760">
        <v>10.4</v>
      </c>
      <c r="E760">
        <v>10.4</v>
      </c>
      <c r="F760">
        <v>32740</v>
      </c>
      <c r="G760">
        <v>389987</v>
      </c>
      <c r="H760">
        <v>20.27</v>
      </c>
      <c r="I760">
        <v>20.09</v>
      </c>
      <c r="J760">
        <v>0</v>
      </c>
      <c r="K760">
        <v>0.33</v>
      </c>
      <c r="L760">
        <v>4</v>
      </c>
      <c r="M760">
        <v>4</v>
      </c>
      <c r="N760">
        <v>4.8</v>
      </c>
      <c r="O760">
        <v>3</v>
      </c>
      <c r="P760">
        <v>17</v>
      </c>
      <c r="Q760">
        <v>16</v>
      </c>
      <c r="R760">
        <v>57</v>
      </c>
      <c r="S760" t="s">
        <v>36222</v>
      </c>
      <c r="U760">
        <v>0.29762369999999999</v>
      </c>
      <c r="V760">
        <v>5.05</v>
      </c>
      <c r="W760">
        <v>1.77</v>
      </c>
      <c r="X760" t="s">
        <v>3882</v>
      </c>
      <c r="Y760" t="s">
        <v>3873</v>
      </c>
      <c r="Z760" t="s">
        <v>3873</v>
      </c>
      <c r="AA760" t="s">
        <v>3874</v>
      </c>
      <c r="AB760" t="s">
        <v>36228</v>
      </c>
      <c r="AC760" t="s">
        <v>34493</v>
      </c>
      <c r="AD760" t="s">
        <v>8078</v>
      </c>
      <c r="AE760" t="s">
        <v>14701</v>
      </c>
      <c r="AF760" t="s">
        <v>36224</v>
      </c>
      <c r="AG760" t="s">
        <v>36225</v>
      </c>
    </row>
    <row r="761" spans="1:33" x14ac:dyDescent="0.25">
      <c r="A761" t="s">
        <v>34462</v>
      </c>
      <c r="B761" t="s">
        <v>3888</v>
      </c>
      <c r="C761" t="s">
        <v>3890</v>
      </c>
      <c r="D761">
        <v>10.4</v>
      </c>
      <c r="E761">
        <v>10.4</v>
      </c>
      <c r="F761">
        <v>32740</v>
      </c>
      <c r="G761">
        <v>387282</v>
      </c>
      <c r="H761">
        <v>20.14</v>
      </c>
      <c r="I761">
        <v>22.12</v>
      </c>
      <c r="J761">
        <v>0</v>
      </c>
      <c r="K761">
        <v>0.12</v>
      </c>
      <c r="L761">
        <v>5</v>
      </c>
      <c r="M761">
        <v>5</v>
      </c>
      <c r="N761">
        <v>4.8</v>
      </c>
      <c r="O761">
        <v>1</v>
      </c>
      <c r="P761">
        <v>17</v>
      </c>
      <c r="Q761">
        <v>20</v>
      </c>
      <c r="R761">
        <v>63</v>
      </c>
      <c r="S761" t="s">
        <v>36222</v>
      </c>
      <c r="U761">
        <v>0.29762369999999999</v>
      </c>
      <c r="V761">
        <v>5.05</v>
      </c>
      <c r="W761">
        <v>0.52</v>
      </c>
      <c r="X761" t="s">
        <v>3887</v>
      </c>
      <c r="Y761" t="s">
        <v>3880</v>
      </c>
      <c r="Z761" t="s">
        <v>3880</v>
      </c>
      <c r="AA761" t="s">
        <v>3881</v>
      </c>
      <c r="AB761" t="s">
        <v>36229</v>
      </c>
      <c r="AC761" t="s">
        <v>34493</v>
      </c>
      <c r="AD761" t="s">
        <v>8078</v>
      </c>
      <c r="AE761" t="s">
        <v>14701</v>
      </c>
      <c r="AF761" t="s">
        <v>36230</v>
      </c>
      <c r="AG761" t="s">
        <v>36225</v>
      </c>
    </row>
    <row r="762" spans="1:33" x14ac:dyDescent="0.25">
      <c r="A762" t="s">
        <v>34462</v>
      </c>
      <c r="B762" t="s">
        <v>3893</v>
      </c>
      <c r="C762" t="s">
        <v>3895</v>
      </c>
      <c r="D762">
        <v>22.44</v>
      </c>
      <c r="E762">
        <v>17.579999999999998</v>
      </c>
      <c r="F762">
        <v>30800</v>
      </c>
      <c r="G762">
        <v>377833</v>
      </c>
      <c r="H762">
        <v>22.58</v>
      </c>
      <c r="I762">
        <v>24.14</v>
      </c>
      <c r="J762">
        <v>0</v>
      </c>
      <c r="K762">
        <v>0.06</v>
      </c>
      <c r="L762">
        <v>9</v>
      </c>
      <c r="M762">
        <v>9</v>
      </c>
      <c r="N762">
        <v>4.8</v>
      </c>
      <c r="O762">
        <v>1</v>
      </c>
      <c r="P762">
        <v>17</v>
      </c>
      <c r="Q762">
        <v>19</v>
      </c>
      <c r="R762">
        <v>77</v>
      </c>
      <c r="S762" t="s">
        <v>36222</v>
      </c>
      <c r="U762">
        <v>0.33069300000000001</v>
      </c>
      <c r="V762">
        <v>5.05</v>
      </c>
      <c r="W762">
        <v>2.25</v>
      </c>
      <c r="X762" t="s">
        <v>3892</v>
      </c>
      <c r="Y762" t="s">
        <v>3880</v>
      </c>
      <c r="Z762" t="s">
        <v>3880</v>
      </c>
      <c r="AA762" t="s">
        <v>3881</v>
      </c>
      <c r="AB762" t="s">
        <v>36231</v>
      </c>
      <c r="AC762" t="s">
        <v>34465</v>
      </c>
      <c r="AD762" t="s">
        <v>8078</v>
      </c>
      <c r="AE762" t="s">
        <v>34525</v>
      </c>
      <c r="AF762" t="s">
        <v>36227</v>
      </c>
      <c r="AG762" t="s">
        <v>36225</v>
      </c>
    </row>
    <row r="763" spans="1:33" x14ac:dyDescent="0.25">
      <c r="A763" t="s">
        <v>34462</v>
      </c>
      <c r="B763" t="s">
        <v>3898</v>
      </c>
      <c r="C763" t="s">
        <v>3900</v>
      </c>
      <c r="D763">
        <v>10.4</v>
      </c>
      <c r="E763">
        <v>10.4</v>
      </c>
      <c r="F763">
        <v>32740</v>
      </c>
      <c r="G763">
        <v>394639</v>
      </c>
      <c r="H763">
        <v>20.58</v>
      </c>
      <c r="I763">
        <v>23.32</v>
      </c>
      <c r="J763">
        <v>0</v>
      </c>
      <c r="K763">
        <v>0</v>
      </c>
      <c r="L763">
        <v>5</v>
      </c>
      <c r="M763">
        <v>5</v>
      </c>
      <c r="N763">
        <v>4.8</v>
      </c>
      <c r="O763">
        <v>1</v>
      </c>
      <c r="P763">
        <v>17</v>
      </c>
      <c r="Q763">
        <v>19</v>
      </c>
      <c r="R763">
        <v>65</v>
      </c>
      <c r="S763" t="s">
        <v>36222</v>
      </c>
      <c r="U763">
        <v>0.33069300000000001</v>
      </c>
      <c r="V763">
        <v>4.6100000000000003</v>
      </c>
      <c r="W763">
        <v>1.77</v>
      </c>
      <c r="X763" t="s">
        <v>3897</v>
      </c>
      <c r="Y763" t="s">
        <v>3873</v>
      </c>
      <c r="Z763" t="s">
        <v>3873</v>
      </c>
      <c r="AA763" t="s">
        <v>3874</v>
      </c>
      <c r="AB763" t="s">
        <v>36232</v>
      </c>
      <c r="AC763" t="s">
        <v>34493</v>
      </c>
      <c r="AD763" t="s">
        <v>8078</v>
      </c>
      <c r="AE763" t="s">
        <v>34525</v>
      </c>
      <c r="AF763" t="s">
        <v>36224</v>
      </c>
      <c r="AG763" t="s">
        <v>36225</v>
      </c>
    </row>
    <row r="764" spans="1:33" x14ac:dyDescent="0.25">
      <c r="A764" t="s">
        <v>34462</v>
      </c>
      <c r="B764" t="s">
        <v>3902</v>
      </c>
      <c r="C764" t="s">
        <v>3904</v>
      </c>
      <c r="D764">
        <v>10.4</v>
      </c>
      <c r="E764">
        <v>10.4</v>
      </c>
      <c r="F764">
        <v>32385</v>
      </c>
      <c r="G764">
        <v>385920</v>
      </c>
      <c r="H764">
        <v>18.38</v>
      </c>
      <c r="I764">
        <v>18.149999999999999</v>
      </c>
      <c r="J764">
        <v>0</v>
      </c>
      <c r="K764">
        <v>0</v>
      </c>
      <c r="L764">
        <v>5</v>
      </c>
      <c r="M764">
        <v>5</v>
      </c>
      <c r="N764">
        <v>4.8</v>
      </c>
      <c r="O764">
        <v>2</v>
      </c>
      <c r="P764">
        <v>17</v>
      </c>
      <c r="Q764">
        <v>19</v>
      </c>
      <c r="R764">
        <v>68</v>
      </c>
      <c r="S764" t="s">
        <v>36222</v>
      </c>
      <c r="U764">
        <v>0.37478539999999999</v>
      </c>
      <c r="V764">
        <v>5.05</v>
      </c>
      <c r="W764">
        <v>0.52</v>
      </c>
      <c r="X764" t="s">
        <v>3901</v>
      </c>
      <c r="Y764" t="s">
        <v>3880</v>
      </c>
      <c r="Z764" t="s">
        <v>3880</v>
      </c>
      <c r="AA764" t="s">
        <v>3881</v>
      </c>
      <c r="AB764" t="s">
        <v>36233</v>
      </c>
      <c r="AC764" t="s">
        <v>34493</v>
      </c>
      <c r="AD764" t="s">
        <v>8078</v>
      </c>
      <c r="AE764" t="s">
        <v>34649</v>
      </c>
      <c r="AF764" t="s">
        <v>36230</v>
      </c>
      <c r="AG764" t="s">
        <v>36225</v>
      </c>
    </row>
    <row r="765" spans="1:33" x14ac:dyDescent="0.25">
      <c r="A765" t="s">
        <v>34462</v>
      </c>
      <c r="B765" t="s">
        <v>3907</v>
      </c>
      <c r="C765" t="s">
        <v>3909</v>
      </c>
      <c r="D765">
        <v>10.4</v>
      </c>
      <c r="E765">
        <v>10.4</v>
      </c>
      <c r="F765">
        <v>32385</v>
      </c>
      <c r="G765">
        <v>379306</v>
      </c>
      <c r="H765">
        <v>20.420000000000002</v>
      </c>
      <c r="I765">
        <v>18.97</v>
      </c>
      <c r="J765">
        <v>0</v>
      </c>
      <c r="K765">
        <v>0</v>
      </c>
      <c r="L765">
        <v>4</v>
      </c>
      <c r="M765">
        <v>3</v>
      </c>
      <c r="N765">
        <v>4.8</v>
      </c>
      <c r="O765">
        <v>2</v>
      </c>
      <c r="P765">
        <v>17</v>
      </c>
      <c r="Q765">
        <v>18</v>
      </c>
      <c r="R765">
        <v>57</v>
      </c>
      <c r="S765" t="s">
        <v>36222</v>
      </c>
      <c r="U765">
        <v>0.3858085</v>
      </c>
      <c r="V765">
        <v>5.05</v>
      </c>
      <c r="W765">
        <v>1.77</v>
      </c>
      <c r="X765" t="s">
        <v>3906</v>
      </c>
      <c r="Y765" t="s">
        <v>3873</v>
      </c>
      <c r="Z765" t="s">
        <v>3873</v>
      </c>
      <c r="AA765" t="s">
        <v>3874</v>
      </c>
      <c r="AB765" t="s">
        <v>36234</v>
      </c>
      <c r="AC765" t="s">
        <v>34493</v>
      </c>
      <c r="AD765" t="s">
        <v>8078</v>
      </c>
      <c r="AE765" t="s">
        <v>34649</v>
      </c>
      <c r="AF765" t="s">
        <v>36235</v>
      </c>
      <c r="AG765" t="s">
        <v>36225</v>
      </c>
    </row>
    <row r="766" spans="1:33" x14ac:dyDescent="0.25">
      <c r="A766" t="s">
        <v>34462</v>
      </c>
      <c r="B766" t="s">
        <v>3911</v>
      </c>
      <c r="C766" t="s">
        <v>3914</v>
      </c>
      <c r="D766">
        <v>22.82</v>
      </c>
      <c r="E766">
        <v>22.82</v>
      </c>
      <c r="F766">
        <v>5412</v>
      </c>
      <c r="G766">
        <v>129974</v>
      </c>
      <c r="H766">
        <v>20.54</v>
      </c>
      <c r="I766">
        <v>20.54</v>
      </c>
      <c r="J766">
        <v>0.61</v>
      </c>
      <c r="K766">
        <v>0.61</v>
      </c>
      <c r="L766">
        <v>1</v>
      </c>
      <c r="M766">
        <v>1</v>
      </c>
      <c r="N766">
        <v>4.5999999999999996</v>
      </c>
      <c r="O766">
        <v>0</v>
      </c>
      <c r="P766">
        <v>38224</v>
      </c>
      <c r="Q766">
        <v>64</v>
      </c>
      <c r="R766">
        <v>84</v>
      </c>
      <c r="S766" t="s">
        <v>36236</v>
      </c>
      <c r="U766">
        <v>0.44092399999999998</v>
      </c>
      <c r="V766">
        <v>5.12</v>
      </c>
      <c r="W766">
        <v>1.1499999999999999</v>
      </c>
      <c r="X766" t="s">
        <v>3910</v>
      </c>
      <c r="Y766" t="s">
        <v>3915</v>
      </c>
      <c r="Z766" t="s">
        <v>3915</v>
      </c>
      <c r="AA766" t="s">
        <v>3916</v>
      </c>
      <c r="AB766" t="s">
        <v>36237</v>
      </c>
      <c r="AC766" t="s">
        <v>34493</v>
      </c>
      <c r="AD766" t="s">
        <v>15980</v>
      </c>
      <c r="AE766" t="s">
        <v>36238</v>
      </c>
      <c r="AF766" t="s">
        <v>36239</v>
      </c>
      <c r="AG766" t="s">
        <v>36240</v>
      </c>
    </row>
    <row r="767" spans="1:33" x14ac:dyDescent="0.25">
      <c r="A767" t="s">
        <v>34462</v>
      </c>
      <c r="B767" t="s">
        <v>3918</v>
      </c>
      <c r="C767" t="s">
        <v>3920</v>
      </c>
      <c r="D767">
        <v>20.190000000000001</v>
      </c>
      <c r="F767">
        <v>5210</v>
      </c>
      <c r="G767">
        <v>263955</v>
      </c>
      <c r="H767">
        <v>20.190000000000001</v>
      </c>
      <c r="I767">
        <v>22.3</v>
      </c>
      <c r="J767">
        <v>0.63</v>
      </c>
      <c r="K767">
        <v>0.63</v>
      </c>
      <c r="L767">
        <v>1</v>
      </c>
      <c r="M767">
        <v>1</v>
      </c>
      <c r="N767">
        <v>4.5999999999999996</v>
      </c>
      <c r="O767">
        <v>7</v>
      </c>
      <c r="P767">
        <v>38206</v>
      </c>
      <c r="Q767">
        <v>54</v>
      </c>
      <c r="R767">
        <v>67</v>
      </c>
      <c r="S767" t="s">
        <v>36236</v>
      </c>
      <c r="U767">
        <v>0.44092399999999998</v>
      </c>
      <c r="V767">
        <v>3.84</v>
      </c>
      <c r="X767" t="s">
        <v>3917</v>
      </c>
      <c r="Y767" t="s">
        <v>3921</v>
      </c>
      <c r="Z767" t="s">
        <v>3921</v>
      </c>
      <c r="AA767" t="s">
        <v>3916</v>
      </c>
      <c r="AB767" t="s">
        <v>36241</v>
      </c>
      <c r="AC767" t="s">
        <v>34465</v>
      </c>
      <c r="AD767" t="s">
        <v>15980</v>
      </c>
      <c r="AE767" t="s">
        <v>36242</v>
      </c>
      <c r="AF767" t="s">
        <v>36239</v>
      </c>
      <c r="AG767" t="s">
        <v>36240</v>
      </c>
    </row>
    <row r="768" spans="1:33" x14ac:dyDescent="0.25">
      <c r="A768" t="s">
        <v>34462</v>
      </c>
      <c r="B768" t="s">
        <v>3923</v>
      </c>
      <c r="C768" t="s">
        <v>3926</v>
      </c>
      <c r="D768">
        <v>32.06</v>
      </c>
      <c r="E768">
        <v>32.06</v>
      </c>
      <c r="F768">
        <v>48330</v>
      </c>
      <c r="G768">
        <v>39820</v>
      </c>
      <c r="H768">
        <v>37.81</v>
      </c>
      <c r="I768">
        <v>44.07</v>
      </c>
      <c r="J768">
        <v>0</v>
      </c>
      <c r="K768">
        <v>0</v>
      </c>
      <c r="L768">
        <v>5</v>
      </c>
      <c r="M768">
        <v>4</v>
      </c>
      <c r="N768">
        <v>4.3</v>
      </c>
      <c r="O768">
        <v>0</v>
      </c>
      <c r="P768">
        <v>1032</v>
      </c>
      <c r="Q768">
        <v>26</v>
      </c>
      <c r="R768">
        <v>78</v>
      </c>
      <c r="S768" t="s">
        <v>35781</v>
      </c>
      <c r="U768">
        <v>0.3858085</v>
      </c>
      <c r="V768">
        <v>4.6100000000000003</v>
      </c>
      <c r="W768">
        <v>5.45</v>
      </c>
      <c r="X768" t="s">
        <v>3922</v>
      </c>
      <c r="Y768" t="s">
        <v>2834</v>
      </c>
      <c r="Z768" t="s">
        <v>2834</v>
      </c>
      <c r="AA768" t="s">
        <v>3927</v>
      </c>
      <c r="AB768" t="s">
        <v>36243</v>
      </c>
      <c r="AC768" t="s">
        <v>34493</v>
      </c>
      <c r="AD768" t="s">
        <v>8078</v>
      </c>
      <c r="AE768" t="s">
        <v>34533</v>
      </c>
      <c r="AF768" t="s">
        <v>36244</v>
      </c>
      <c r="AG768" t="s">
        <v>35784</v>
      </c>
    </row>
    <row r="769" spans="1:33" x14ac:dyDescent="0.25">
      <c r="A769" t="s">
        <v>34462</v>
      </c>
      <c r="B769" t="s">
        <v>3929</v>
      </c>
      <c r="C769" t="s">
        <v>3932</v>
      </c>
      <c r="D769">
        <v>75</v>
      </c>
      <c r="E769">
        <v>75</v>
      </c>
      <c r="F769">
        <v>5960518</v>
      </c>
      <c r="G769">
        <v>4687704</v>
      </c>
      <c r="H769">
        <v>66.010000000000005</v>
      </c>
      <c r="I769">
        <v>65.19</v>
      </c>
      <c r="J769">
        <v>0.06</v>
      </c>
      <c r="K769">
        <v>1</v>
      </c>
      <c r="L769">
        <v>1</v>
      </c>
      <c r="M769">
        <v>1</v>
      </c>
      <c r="O769">
        <v>0</v>
      </c>
      <c r="Q769">
        <v>0</v>
      </c>
      <c r="R769">
        <v>1</v>
      </c>
      <c r="U769">
        <v>0.48722102</v>
      </c>
      <c r="V769">
        <v>3.42</v>
      </c>
      <c r="W769">
        <v>12.75</v>
      </c>
      <c r="X769" t="s">
        <v>3928</v>
      </c>
      <c r="Z769" t="s">
        <v>3933</v>
      </c>
      <c r="AA769" t="s">
        <v>1490</v>
      </c>
      <c r="AB769" t="s">
        <v>36245</v>
      </c>
      <c r="AC769" t="s">
        <v>34465</v>
      </c>
      <c r="AD769" t="s">
        <v>16164</v>
      </c>
      <c r="AE769" t="s">
        <v>34525</v>
      </c>
      <c r="AF769" t="s">
        <v>36246</v>
      </c>
      <c r="AG769" t="s">
        <v>36247</v>
      </c>
    </row>
    <row r="770" spans="1:33" x14ac:dyDescent="0.25">
      <c r="A770" t="s">
        <v>34462</v>
      </c>
      <c r="B770" t="s">
        <v>3935</v>
      </c>
      <c r="C770" t="s">
        <v>3937</v>
      </c>
      <c r="D770">
        <v>75</v>
      </c>
      <c r="E770">
        <v>75</v>
      </c>
      <c r="F770">
        <v>9507039</v>
      </c>
      <c r="G770">
        <v>9005551</v>
      </c>
      <c r="H770">
        <v>68.64</v>
      </c>
      <c r="I770">
        <v>67.72</v>
      </c>
      <c r="J770">
        <v>0</v>
      </c>
      <c r="K770">
        <v>1</v>
      </c>
      <c r="L770">
        <v>1</v>
      </c>
      <c r="M770">
        <v>1</v>
      </c>
      <c r="N770">
        <v>5</v>
      </c>
      <c r="O770">
        <v>0</v>
      </c>
      <c r="P770">
        <v>1</v>
      </c>
      <c r="Q770">
        <v>0</v>
      </c>
      <c r="R770">
        <v>0</v>
      </c>
      <c r="U770">
        <v>0.54454113999999998</v>
      </c>
      <c r="V770">
        <v>4.67</v>
      </c>
      <c r="W770">
        <v>12.75</v>
      </c>
      <c r="X770" t="s">
        <v>3934</v>
      </c>
      <c r="Z770" t="s">
        <v>3938</v>
      </c>
      <c r="AA770" t="s">
        <v>1490</v>
      </c>
      <c r="AB770" t="s">
        <v>36248</v>
      </c>
      <c r="AC770" t="s">
        <v>34465</v>
      </c>
      <c r="AD770" t="s">
        <v>16164</v>
      </c>
      <c r="AE770" t="s">
        <v>34469</v>
      </c>
      <c r="AF770" t="s">
        <v>36249</v>
      </c>
      <c r="AG770" t="s">
        <v>36247</v>
      </c>
    </row>
    <row r="771" spans="1:33" x14ac:dyDescent="0.25">
      <c r="A771" t="s">
        <v>34462</v>
      </c>
      <c r="B771" t="s">
        <v>3940</v>
      </c>
      <c r="C771" t="s">
        <v>3943</v>
      </c>
      <c r="D771">
        <v>33.07</v>
      </c>
      <c r="E771">
        <v>33.07</v>
      </c>
      <c r="F771">
        <v>95891</v>
      </c>
      <c r="G771">
        <v>1229659</v>
      </c>
      <c r="H771">
        <v>40.76</v>
      </c>
      <c r="I771">
        <v>42.12</v>
      </c>
      <c r="J771">
        <v>0</v>
      </c>
      <c r="K771">
        <v>0</v>
      </c>
      <c r="L771">
        <v>1</v>
      </c>
      <c r="M771">
        <v>1</v>
      </c>
      <c r="N771">
        <v>4.5</v>
      </c>
      <c r="O771">
        <v>1</v>
      </c>
      <c r="P771">
        <v>3500</v>
      </c>
      <c r="Q771">
        <v>29</v>
      </c>
      <c r="R771">
        <v>34</v>
      </c>
      <c r="S771" t="s">
        <v>34955</v>
      </c>
      <c r="U771">
        <v>1.433003</v>
      </c>
      <c r="V771">
        <v>6.48</v>
      </c>
      <c r="W771">
        <v>5.62</v>
      </c>
      <c r="X771" t="s">
        <v>3939</v>
      </c>
      <c r="Y771" t="s">
        <v>36250</v>
      </c>
      <c r="Z771" t="s">
        <v>1037</v>
      </c>
      <c r="AA771" t="s">
        <v>1038</v>
      </c>
      <c r="AB771" t="s">
        <v>36251</v>
      </c>
      <c r="AC771" t="s">
        <v>34493</v>
      </c>
      <c r="AD771" t="s">
        <v>8979</v>
      </c>
      <c r="AE771" t="s">
        <v>36015</v>
      </c>
      <c r="AF771" t="s">
        <v>36252</v>
      </c>
      <c r="AG771" t="s">
        <v>34959</v>
      </c>
    </row>
    <row r="772" spans="1:33" x14ac:dyDescent="0.25">
      <c r="A772" t="s">
        <v>34462</v>
      </c>
      <c r="B772" t="s">
        <v>3946</v>
      </c>
      <c r="C772" t="s">
        <v>3948</v>
      </c>
      <c r="D772">
        <v>38.619999999999997</v>
      </c>
      <c r="E772">
        <v>38.619999999999997</v>
      </c>
      <c r="F772">
        <v>99860</v>
      </c>
      <c r="G772">
        <v>84004</v>
      </c>
      <c r="H772">
        <v>40.130000000000003</v>
      </c>
      <c r="I772">
        <v>41.52</v>
      </c>
      <c r="J772">
        <v>0</v>
      </c>
      <c r="K772">
        <v>0</v>
      </c>
      <c r="L772">
        <v>1</v>
      </c>
      <c r="M772">
        <v>1</v>
      </c>
      <c r="N772">
        <v>4.3</v>
      </c>
      <c r="O772">
        <v>0</v>
      </c>
      <c r="P772">
        <v>823</v>
      </c>
      <c r="Q772">
        <v>27</v>
      </c>
      <c r="R772">
        <v>83</v>
      </c>
      <c r="S772" t="s">
        <v>35835</v>
      </c>
      <c r="U772">
        <v>1.4793000199999999</v>
      </c>
      <c r="V772">
        <v>10.93</v>
      </c>
      <c r="W772">
        <v>6.57</v>
      </c>
      <c r="X772" t="s">
        <v>3945</v>
      </c>
      <c r="Y772" t="s">
        <v>36253</v>
      </c>
      <c r="Z772" t="s">
        <v>2991</v>
      </c>
      <c r="AA772" t="s">
        <v>3949</v>
      </c>
      <c r="AB772" t="s">
        <v>36254</v>
      </c>
      <c r="AC772" t="s">
        <v>34493</v>
      </c>
      <c r="AD772" t="s">
        <v>8979</v>
      </c>
      <c r="AE772" t="s">
        <v>36015</v>
      </c>
      <c r="AF772" t="s">
        <v>36255</v>
      </c>
      <c r="AG772" t="s">
        <v>35839</v>
      </c>
    </row>
    <row r="773" spans="1:33" x14ac:dyDescent="0.25">
      <c r="A773" t="s">
        <v>34462</v>
      </c>
      <c r="B773" t="s">
        <v>3951</v>
      </c>
      <c r="C773" t="s">
        <v>3953</v>
      </c>
      <c r="D773">
        <v>32.06</v>
      </c>
      <c r="E773">
        <v>32.06</v>
      </c>
      <c r="F773">
        <v>109613</v>
      </c>
      <c r="G773">
        <v>84540</v>
      </c>
      <c r="H773">
        <v>31.56</v>
      </c>
      <c r="I773">
        <v>35.93</v>
      </c>
      <c r="J773">
        <v>0</v>
      </c>
      <c r="K773">
        <v>0</v>
      </c>
      <c r="L773">
        <v>2</v>
      </c>
      <c r="M773">
        <v>2</v>
      </c>
      <c r="N773">
        <v>4.3</v>
      </c>
      <c r="O773">
        <v>6</v>
      </c>
      <c r="P773">
        <v>823</v>
      </c>
      <c r="Q773">
        <v>30</v>
      </c>
      <c r="R773">
        <v>87</v>
      </c>
      <c r="S773" t="s">
        <v>35835</v>
      </c>
      <c r="U773">
        <v>1.1993132799999999</v>
      </c>
      <c r="V773">
        <v>5.9</v>
      </c>
      <c r="W773">
        <v>5.45</v>
      </c>
      <c r="X773" t="s">
        <v>3950</v>
      </c>
      <c r="Y773" t="s">
        <v>36256</v>
      </c>
      <c r="Z773" t="s">
        <v>2991</v>
      </c>
      <c r="AA773" t="s">
        <v>2992</v>
      </c>
      <c r="AB773" t="s">
        <v>36257</v>
      </c>
      <c r="AC773" t="s">
        <v>34493</v>
      </c>
      <c r="AD773" t="s">
        <v>8979</v>
      </c>
      <c r="AE773" t="s">
        <v>36015</v>
      </c>
      <c r="AF773" t="s">
        <v>35838</v>
      </c>
      <c r="AG773" t="s">
        <v>35839</v>
      </c>
    </row>
    <row r="774" spans="1:33" x14ac:dyDescent="0.25">
      <c r="A774" t="s">
        <v>34462</v>
      </c>
      <c r="B774" t="s">
        <v>3956</v>
      </c>
      <c r="C774" t="s">
        <v>3958</v>
      </c>
      <c r="D774">
        <v>33.07</v>
      </c>
      <c r="E774">
        <v>33.07</v>
      </c>
      <c r="F774">
        <v>72126</v>
      </c>
      <c r="G774">
        <v>76826</v>
      </c>
      <c r="H774">
        <v>39.6</v>
      </c>
      <c r="I774">
        <v>41.38</v>
      </c>
      <c r="J774">
        <v>0</v>
      </c>
      <c r="K774">
        <v>0</v>
      </c>
      <c r="L774">
        <v>1</v>
      </c>
      <c r="M774">
        <v>1</v>
      </c>
      <c r="N774">
        <v>4.5</v>
      </c>
      <c r="O774">
        <v>0</v>
      </c>
      <c r="P774">
        <v>3500</v>
      </c>
      <c r="Q774">
        <v>27</v>
      </c>
      <c r="R774">
        <v>72</v>
      </c>
      <c r="S774" t="s">
        <v>34955</v>
      </c>
      <c r="U774">
        <v>1.4793000199999999</v>
      </c>
      <c r="V774">
        <v>10.75</v>
      </c>
      <c r="W774">
        <v>5.62</v>
      </c>
      <c r="X774" t="s">
        <v>3955</v>
      </c>
      <c r="Y774" t="s">
        <v>36258</v>
      </c>
      <c r="Z774" t="s">
        <v>1037</v>
      </c>
      <c r="AA774" t="s">
        <v>1038</v>
      </c>
      <c r="AB774" t="s">
        <v>36259</v>
      </c>
      <c r="AC774" t="s">
        <v>34493</v>
      </c>
      <c r="AD774" t="s">
        <v>8979</v>
      </c>
      <c r="AE774" t="s">
        <v>36025</v>
      </c>
      <c r="AF774" t="s">
        <v>36252</v>
      </c>
      <c r="AG774" t="s">
        <v>34959</v>
      </c>
    </row>
    <row r="775" spans="1:33" x14ac:dyDescent="0.25">
      <c r="A775" t="s">
        <v>34462</v>
      </c>
      <c r="B775" t="s">
        <v>3960</v>
      </c>
      <c r="C775" t="s">
        <v>3948</v>
      </c>
      <c r="D775">
        <v>38.69</v>
      </c>
      <c r="E775">
        <v>38.69</v>
      </c>
      <c r="F775">
        <v>109841</v>
      </c>
      <c r="G775">
        <v>83151</v>
      </c>
      <c r="H775">
        <v>45.24</v>
      </c>
      <c r="I775">
        <v>44.42</v>
      </c>
      <c r="J775">
        <v>0</v>
      </c>
      <c r="K775">
        <v>0</v>
      </c>
      <c r="L775">
        <v>1</v>
      </c>
      <c r="M775">
        <v>1</v>
      </c>
      <c r="N775">
        <v>4.3</v>
      </c>
      <c r="O775">
        <v>1</v>
      </c>
      <c r="P775">
        <v>823</v>
      </c>
      <c r="Q775">
        <v>32</v>
      </c>
      <c r="R775">
        <v>94</v>
      </c>
      <c r="S775" t="s">
        <v>35835</v>
      </c>
      <c r="U775">
        <v>1.5696894400000001</v>
      </c>
      <c r="V775">
        <v>7.34</v>
      </c>
      <c r="W775">
        <v>6.58</v>
      </c>
      <c r="X775" t="s">
        <v>3959</v>
      </c>
      <c r="Y775" t="s">
        <v>36260</v>
      </c>
      <c r="Z775" t="s">
        <v>2991</v>
      </c>
      <c r="AA775" t="s">
        <v>3949</v>
      </c>
      <c r="AB775" t="s">
        <v>36261</v>
      </c>
      <c r="AC775" t="s">
        <v>34493</v>
      </c>
      <c r="AD775" t="s">
        <v>8979</v>
      </c>
      <c r="AE775" t="s">
        <v>36025</v>
      </c>
      <c r="AF775" t="s">
        <v>36255</v>
      </c>
      <c r="AG775" t="s">
        <v>35839</v>
      </c>
    </row>
    <row r="776" spans="1:33" x14ac:dyDescent="0.25">
      <c r="A776" t="s">
        <v>34462</v>
      </c>
      <c r="B776" t="s">
        <v>3964</v>
      </c>
      <c r="C776" t="s">
        <v>3966</v>
      </c>
      <c r="D776">
        <v>30.43</v>
      </c>
      <c r="E776">
        <v>30.43</v>
      </c>
      <c r="F776">
        <v>109841</v>
      </c>
      <c r="G776">
        <v>84136</v>
      </c>
      <c r="H776">
        <v>29.86</v>
      </c>
      <c r="I776">
        <v>33.54</v>
      </c>
      <c r="J776">
        <v>0</v>
      </c>
      <c r="K776">
        <v>0</v>
      </c>
      <c r="L776">
        <v>2</v>
      </c>
      <c r="M776">
        <v>2</v>
      </c>
      <c r="N776">
        <v>4.3</v>
      </c>
      <c r="O776">
        <v>7</v>
      </c>
      <c r="P776">
        <v>823</v>
      </c>
      <c r="Q776">
        <v>30</v>
      </c>
      <c r="R776">
        <v>88</v>
      </c>
      <c r="S776" t="s">
        <v>35835</v>
      </c>
      <c r="U776">
        <v>1.6622834799999999</v>
      </c>
      <c r="V776">
        <v>8.52</v>
      </c>
      <c r="W776">
        <v>5.17</v>
      </c>
      <c r="X776" t="s">
        <v>3963</v>
      </c>
      <c r="Y776" t="s">
        <v>36262</v>
      </c>
      <c r="Z776" t="s">
        <v>2991</v>
      </c>
      <c r="AA776" t="s">
        <v>2992</v>
      </c>
      <c r="AB776" t="s">
        <v>36263</v>
      </c>
      <c r="AC776" t="s">
        <v>34493</v>
      </c>
      <c r="AD776" t="s">
        <v>8979</v>
      </c>
      <c r="AE776" t="s">
        <v>36025</v>
      </c>
      <c r="AF776" t="s">
        <v>35838</v>
      </c>
      <c r="AG776" t="s">
        <v>35839</v>
      </c>
    </row>
    <row r="777" spans="1:33" x14ac:dyDescent="0.25">
      <c r="A777" t="s">
        <v>34462</v>
      </c>
      <c r="B777" t="s">
        <v>3968</v>
      </c>
      <c r="C777" t="s">
        <v>3970</v>
      </c>
      <c r="D777">
        <v>33.07</v>
      </c>
      <c r="E777">
        <v>32.99</v>
      </c>
      <c r="F777">
        <v>95891</v>
      </c>
      <c r="G777">
        <v>76052</v>
      </c>
      <c r="H777">
        <v>39.880000000000003</v>
      </c>
      <c r="I777">
        <v>41.4</v>
      </c>
      <c r="J777">
        <v>0</v>
      </c>
      <c r="K777">
        <v>0</v>
      </c>
      <c r="L777">
        <v>1</v>
      </c>
      <c r="M777">
        <v>1</v>
      </c>
      <c r="N777">
        <v>4.5</v>
      </c>
      <c r="O777">
        <v>0</v>
      </c>
      <c r="P777">
        <v>3500</v>
      </c>
      <c r="Q777">
        <v>25</v>
      </c>
      <c r="R777">
        <v>83</v>
      </c>
      <c r="S777" t="s">
        <v>34955</v>
      </c>
      <c r="U777">
        <v>1.543234</v>
      </c>
      <c r="V777">
        <v>6.6</v>
      </c>
      <c r="W777">
        <v>5.62</v>
      </c>
      <c r="X777" t="s">
        <v>3967</v>
      </c>
      <c r="Y777" t="s">
        <v>36264</v>
      </c>
      <c r="Z777" t="s">
        <v>1037</v>
      </c>
      <c r="AA777" t="s">
        <v>1038</v>
      </c>
      <c r="AB777" t="s">
        <v>36265</v>
      </c>
      <c r="AC777" t="s">
        <v>34493</v>
      </c>
      <c r="AD777" t="s">
        <v>8979</v>
      </c>
      <c r="AE777" t="s">
        <v>36033</v>
      </c>
      <c r="AF777" t="s">
        <v>36252</v>
      </c>
      <c r="AG777" t="s">
        <v>34959</v>
      </c>
    </row>
    <row r="778" spans="1:33" x14ac:dyDescent="0.25">
      <c r="A778" t="s">
        <v>34462</v>
      </c>
      <c r="B778" t="s">
        <v>3972</v>
      </c>
      <c r="C778" t="s">
        <v>3948</v>
      </c>
      <c r="D778">
        <v>39.450000000000003</v>
      </c>
      <c r="E778">
        <v>39.450000000000003</v>
      </c>
      <c r="F778">
        <v>109841</v>
      </c>
      <c r="G778">
        <v>84857</v>
      </c>
      <c r="H778">
        <v>46.14</v>
      </c>
      <c r="I778">
        <v>44.72</v>
      </c>
      <c r="J778">
        <v>0</v>
      </c>
      <c r="K778">
        <v>0</v>
      </c>
      <c r="L778">
        <v>1</v>
      </c>
      <c r="M778">
        <v>1</v>
      </c>
      <c r="N778">
        <v>4.3</v>
      </c>
      <c r="O778">
        <v>0</v>
      </c>
      <c r="P778">
        <v>823</v>
      </c>
      <c r="Q778">
        <v>25</v>
      </c>
      <c r="R778">
        <v>80</v>
      </c>
      <c r="S778" t="s">
        <v>35835</v>
      </c>
      <c r="U778">
        <v>1.5895310199999999</v>
      </c>
      <c r="V778">
        <v>7.5</v>
      </c>
      <c r="W778">
        <v>6.71</v>
      </c>
      <c r="X778" t="s">
        <v>3971</v>
      </c>
      <c r="Y778" t="s">
        <v>36266</v>
      </c>
      <c r="Z778" t="s">
        <v>2991</v>
      </c>
      <c r="AA778" t="s">
        <v>3949</v>
      </c>
      <c r="AB778" t="s">
        <v>36267</v>
      </c>
      <c r="AC778" t="s">
        <v>34493</v>
      </c>
      <c r="AD778" t="s">
        <v>8979</v>
      </c>
      <c r="AE778" t="s">
        <v>36033</v>
      </c>
      <c r="AF778" t="s">
        <v>36268</v>
      </c>
      <c r="AG778" t="s">
        <v>35839</v>
      </c>
    </row>
    <row r="779" spans="1:33" x14ac:dyDescent="0.25">
      <c r="A779" t="s">
        <v>34462</v>
      </c>
      <c r="B779" t="s">
        <v>3976</v>
      </c>
      <c r="C779" t="s">
        <v>3978</v>
      </c>
      <c r="D779">
        <v>27.23</v>
      </c>
      <c r="E779">
        <v>27.23</v>
      </c>
      <c r="F779">
        <v>109613</v>
      </c>
      <c r="G779">
        <v>84594</v>
      </c>
      <c r="H779">
        <v>31.1</v>
      </c>
      <c r="I779">
        <v>35.74</v>
      </c>
      <c r="J779">
        <v>0</v>
      </c>
      <c r="K779">
        <v>0</v>
      </c>
      <c r="L779">
        <v>2</v>
      </c>
      <c r="M779">
        <v>2</v>
      </c>
      <c r="N779">
        <v>4.3</v>
      </c>
      <c r="O779">
        <v>4</v>
      </c>
      <c r="P779">
        <v>823</v>
      </c>
      <c r="Q779">
        <v>22</v>
      </c>
      <c r="R779">
        <v>83</v>
      </c>
      <c r="S779" t="s">
        <v>35835</v>
      </c>
      <c r="U779">
        <v>1.6799204400000001</v>
      </c>
      <c r="V779">
        <v>10.93</v>
      </c>
      <c r="W779">
        <v>4.63</v>
      </c>
      <c r="X779" t="s">
        <v>3975</v>
      </c>
      <c r="Y779" t="s">
        <v>36269</v>
      </c>
      <c r="Z779" t="s">
        <v>2991</v>
      </c>
      <c r="AA779" t="s">
        <v>2992</v>
      </c>
      <c r="AB779" t="s">
        <v>36270</v>
      </c>
      <c r="AC779" t="s">
        <v>34493</v>
      </c>
      <c r="AD779" t="s">
        <v>8979</v>
      </c>
      <c r="AE779" t="s">
        <v>36033</v>
      </c>
      <c r="AF779" t="s">
        <v>35838</v>
      </c>
      <c r="AG779" t="s">
        <v>35839</v>
      </c>
    </row>
    <row r="780" spans="1:33" x14ac:dyDescent="0.25">
      <c r="A780" t="s">
        <v>34462</v>
      </c>
      <c r="B780" t="s">
        <v>3981</v>
      </c>
      <c r="C780" t="s">
        <v>3983</v>
      </c>
      <c r="D780">
        <v>33.07</v>
      </c>
      <c r="E780">
        <v>33.07</v>
      </c>
      <c r="F780">
        <v>95891</v>
      </c>
      <c r="G780">
        <v>75861</v>
      </c>
      <c r="H780">
        <v>35.659999999999997</v>
      </c>
      <c r="I780">
        <v>38.43</v>
      </c>
      <c r="J780">
        <v>0</v>
      </c>
      <c r="K780">
        <v>0</v>
      </c>
      <c r="L780">
        <v>1</v>
      </c>
      <c r="M780">
        <v>1</v>
      </c>
      <c r="N780">
        <v>4.5</v>
      </c>
      <c r="O780">
        <v>0</v>
      </c>
      <c r="P780">
        <v>3500</v>
      </c>
      <c r="Q780">
        <v>24</v>
      </c>
      <c r="R780">
        <v>72</v>
      </c>
      <c r="S780" t="s">
        <v>34955</v>
      </c>
      <c r="U780">
        <v>1.5873264</v>
      </c>
      <c r="V780">
        <v>6.81</v>
      </c>
      <c r="W780">
        <v>5.62</v>
      </c>
      <c r="X780" t="s">
        <v>3980</v>
      </c>
      <c r="Y780" t="s">
        <v>36271</v>
      </c>
      <c r="Z780" t="s">
        <v>1037</v>
      </c>
      <c r="AA780" t="s">
        <v>1038</v>
      </c>
      <c r="AB780" t="s">
        <v>36272</v>
      </c>
      <c r="AC780" t="s">
        <v>34493</v>
      </c>
      <c r="AD780" t="s">
        <v>8979</v>
      </c>
      <c r="AE780" t="s">
        <v>36043</v>
      </c>
      <c r="AF780" t="s">
        <v>36252</v>
      </c>
      <c r="AG780" t="s">
        <v>34959</v>
      </c>
    </row>
    <row r="781" spans="1:33" x14ac:dyDescent="0.25">
      <c r="A781" t="s">
        <v>34462</v>
      </c>
      <c r="B781" t="s">
        <v>3985</v>
      </c>
      <c r="C781" t="s">
        <v>3987</v>
      </c>
      <c r="D781">
        <v>32.06</v>
      </c>
      <c r="E781">
        <v>32.06</v>
      </c>
      <c r="F781">
        <v>109613</v>
      </c>
      <c r="G781">
        <v>84905</v>
      </c>
      <c r="H781">
        <v>31.41</v>
      </c>
      <c r="I781">
        <v>33.130000000000003</v>
      </c>
      <c r="J781">
        <v>0</v>
      </c>
      <c r="K781">
        <v>0</v>
      </c>
      <c r="L781">
        <v>2</v>
      </c>
      <c r="M781">
        <v>2</v>
      </c>
      <c r="N781">
        <v>4.3</v>
      </c>
      <c r="O781">
        <v>3</v>
      </c>
      <c r="P781">
        <v>823</v>
      </c>
      <c r="Q781">
        <v>21</v>
      </c>
      <c r="R781">
        <v>81</v>
      </c>
      <c r="S781" t="s">
        <v>35835</v>
      </c>
      <c r="U781">
        <v>1.1993132799999999</v>
      </c>
      <c r="V781">
        <v>5.82</v>
      </c>
      <c r="W781">
        <v>5.45</v>
      </c>
      <c r="X781" t="s">
        <v>3984</v>
      </c>
      <c r="Y781" t="s">
        <v>36273</v>
      </c>
      <c r="Z781" t="s">
        <v>2991</v>
      </c>
      <c r="AA781" t="s">
        <v>2992</v>
      </c>
      <c r="AB781" t="s">
        <v>36274</v>
      </c>
      <c r="AC781" t="s">
        <v>34493</v>
      </c>
      <c r="AD781" t="s">
        <v>8979</v>
      </c>
      <c r="AE781" t="s">
        <v>36043</v>
      </c>
      <c r="AF781" t="s">
        <v>35847</v>
      </c>
      <c r="AG781" t="s">
        <v>35839</v>
      </c>
    </row>
    <row r="782" spans="1:33" x14ac:dyDescent="0.25">
      <c r="A782" t="s">
        <v>34462</v>
      </c>
      <c r="B782" t="s">
        <v>3990</v>
      </c>
      <c r="C782" t="s">
        <v>3948</v>
      </c>
      <c r="D782">
        <v>40.31</v>
      </c>
      <c r="E782">
        <v>40.31</v>
      </c>
      <c r="F782">
        <v>109841</v>
      </c>
      <c r="G782">
        <v>83648</v>
      </c>
      <c r="H782">
        <v>45.93</v>
      </c>
      <c r="I782">
        <v>44.54</v>
      </c>
      <c r="J782">
        <v>0</v>
      </c>
      <c r="K782">
        <v>0</v>
      </c>
      <c r="L782">
        <v>1</v>
      </c>
      <c r="M782">
        <v>1</v>
      </c>
      <c r="N782">
        <v>4.3</v>
      </c>
      <c r="O782">
        <v>0</v>
      </c>
      <c r="P782">
        <v>823</v>
      </c>
      <c r="Q782">
        <v>30</v>
      </c>
      <c r="R782">
        <v>88</v>
      </c>
      <c r="S782" t="s">
        <v>35835</v>
      </c>
      <c r="U782">
        <v>1.6203957</v>
      </c>
      <c r="V782">
        <v>7.18</v>
      </c>
      <c r="W782">
        <v>6.85</v>
      </c>
      <c r="X782" t="s">
        <v>3989</v>
      </c>
      <c r="Y782" t="s">
        <v>36275</v>
      </c>
      <c r="Z782" t="s">
        <v>2991</v>
      </c>
      <c r="AA782" t="s">
        <v>3949</v>
      </c>
      <c r="AB782" t="s">
        <v>36276</v>
      </c>
      <c r="AC782" t="s">
        <v>34493</v>
      </c>
      <c r="AD782" t="s">
        <v>8979</v>
      </c>
      <c r="AE782" t="s">
        <v>36043</v>
      </c>
      <c r="AF782" t="s">
        <v>36255</v>
      </c>
      <c r="AG782" t="s">
        <v>35839</v>
      </c>
    </row>
    <row r="783" spans="1:33" x14ac:dyDescent="0.25">
      <c r="A783" t="s">
        <v>34462</v>
      </c>
      <c r="B783" t="s">
        <v>3993</v>
      </c>
      <c r="C783" t="s">
        <v>3948</v>
      </c>
      <c r="D783">
        <v>41.76</v>
      </c>
      <c r="E783">
        <v>41.76</v>
      </c>
      <c r="F783">
        <v>109841</v>
      </c>
      <c r="G783">
        <v>84503</v>
      </c>
      <c r="H783">
        <v>46.02</v>
      </c>
      <c r="I783">
        <v>45.41</v>
      </c>
      <c r="J783">
        <v>0.01</v>
      </c>
      <c r="K783">
        <v>0.01</v>
      </c>
      <c r="L783">
        <v>1</v>
      </c>
      <c r="M783">
        <v>1</v>
      </c>
      <c r="N783">
        <v>4.3</v>
      </c>
      <c r="O783">
        <v>0</v>
      </c>
      <c r="P783">
        <v>823</v>
      </c>
      <c r="Q783">
        <v>23</v>
      </c>
      <c r="R783">
        <v>82</v>
      </c>
      <c r="S783" t="s">
        <v>35835</v>
      </c>
      <c r="U783">
        <v>1.8695177599999999</v>
      </c>
      <c r="V783">
        <v>11.69</v>
      </c>
      <c r="W783">
        <v>7.1</v>
      </c>
      <c r="X783" t="s">
        <v>3992</v>
      </c>
      <c r="Y783" t="s">
        <v>36277</v>
      </c>
      <c r="Z783" t="s">
        <v>2991</v>
      </c>
      <c r="AA783" t="s">
        <v>3949</v>
      </c>
      <c r="AB783" t="s">
        <v>36278</v>
      </c>
      <c r="AC783" t="s">
        <v>34493</v>
      </c>
      <c r="AD783" t="s">
        <v>8979</v>
      </c>
      <c r="AE783" t="s">
        <v>34839</v>
      </c>
      <c r="AF783" t="s">
        <v>36255</v>
      </c>
      <c r="AG783" t="s">
        <v>35839</v>
      </c>
    </row>
    <row r="784" spans="1:33" x14ac:dyDescent="0.25">
      <c r="A784" t="s">
        <v>34462</v>
      </c>
      <c r="B784" t="s">
        <v>3996</v>
      </c>
      <c r="C784" t="s">
        <v>3998</v>
      </c>
      <c r="D784">
        <v>32.06</v>
      </c>
      <c r="E784">
        <v>32.06</v>
      </c>
      <c r="F784">
        <v>109613</v>
      </c>
      <c r="G784">
        <v>84489</v>
      </c>
      <c r="H784">
        <v>32.880000000000003</v>
      </c>
      <c r="I784">
        <v>39.700000000000003</v>
      </c>
      <c r="J784">
        <v>0</v>
      </c>
      <c r="K784">
        <v>0.61</v>
      </c>
      <c r="L784">
        <v>1</v>
      </c>
      <c r="M784">
        <v>1</v>
      </c>
      <c r="N784">
        <v>4.3</v>
      </c>
      <c r="O784">
        <v>1</v>
      </c>
      <c r="P784">
        <v>823</v>
      </c>
      <c r="Q784">
        <v>24</v>
      </c>
      <c r="R784">
        <v>82</v>
      </c>
      <c r="S784" t="s">
        <v>35835</v>
      </c>
      <c r="U784">
        <v>1.79015144</v>
      </c>
      <c r="V784">
        <v>12.45</v>
      </c>
      <c r="W784">
        <v>5.45</v>
      </c>
      <c r="X784" t="s">
        <v>3995</v>
      </c>
      <c r="Y784" t="s">
        <v>36279</v>
      </c>
      <c r="Z784" t="s">
        <v>2991</v>
      </c>
      <c r="AA784" t="s">
        <v>2992</v>
      </c>
      <c r="AB784" t="s">
        <v>36280</v>
      </c>
      <c r="AC784" t="s">
        <v>34484</v>
      </c>
      <c r="AD784" t="s">
        <v>8979</v>
      </c>
      <c r="AE784" t="s">
        <v>34839</v>
      </c>
      <c r="AF784" t="s">
        <v>35838</v>
      </c>
      <c r="AG784" t="s">
        <v>35839</v>
      </c>
    </row>
    <row r="785" spans="1:33" x14ac:dyDescent="0.25">
      <c r="A785" t="s">
        <v>34462</v>
      </c>
      <c r="B785" t="s">
        <v>4001</v>
      </c>
      <c r="C785" t="s">
        <v>4004</v>
      </c>
      <c r="D785">
        <v>18</v>
      </c>
      <c r="E785">
        <v>18</v>
      </c>
      <c r="F785">
        <v>489305</v>
      </c>
      <c r="G785">
        <v>706250</v>
      </c>
      <c r="H785">
        <v>21.8</v>
      </c>
      <c r="I785">
        <v>27.1</v>
      </c>
      <c r="J785">
        <v>0</v>
      </c>
      <c r="K785">
        <v>1</v>
      </c>
      <c r="L785">
        <v>4</v>
      </c>
      <c r="M785">
        <v>4</v>
      </c>
      <c r="N785">
        <v>5</v>
      </c>
      <c r="O785">
        <v>0</v>
      </c>
      <c r="P785">
        <v>1</v>
      </c>
      <c r="Q785">
        <v>10</v>
      </c>
      <c r="R785">
        <v>30</v>
      </c>
      <c r="S785" t="s">
        <v>36281</v>
      </c>
      <c r="U785">
        <v>0.63933980000000001</v>
      </c>
      <c r="V785">
        <v>7.56</v>
      </c>
      <c r="W785">
        <v>1.8</v>
      </c>
      <c r="X785" t="s">
        <v>4000</v>
      </c>
      <c r="Y785" t="s">
        <v>36282</v>
      </c>
      <c r="Z785" t="s">
        <v>4005</v>
      </c>
      <c r="AA785" t="s">
        <v>76</v>
      </c>
      <c r="AB785" t="s">
        <v>36283</v>
      </c>
      <c r="AC785" t="s">
        <v>34465</v>
      </c>
      <c r="AD785" t="s">
        <v>34870</v>
      </c>
      <c r="AE785" t="s">
        <v>34533</v>
      </c>
      <c r="AF785" t="s">
        <v>36284</v>
      </c>
    </row>
    <row r="786" spans="1:33" x14ac:dyDescent="0.25">
      <c r="A786" t="s">
        <v>34462</v>
      </c>
      <c r="B786" t="s">
        <v>4007</v>
      </c>
      <c r="C786" t="s">
        <v>4010</v>
      </c>
      <c r="F786">
        <v>758707</v>
      </c>
      <c r="G786">
        <v>701212</v>
      </c>
      <c r="J786">
        <v>0.99</v>
      </c>
      <c r="K786">
        <v>1</v>
      </c>
      <c r="L786">
        <v>1</v>
      </c>
      <c r="N786">
        <v>4</v>
      </c>
      <c r="O786">
        <v>0</v>
      </c>
      <c r="P786">
        <v>1</v>
      </c>
      <c r="Q786">
        <v>0</v>
      </c>
      <c r="R786">
        <v>1</v>
      </c>
      <c r="U786">
        <v>0.70106915999999997</v>
      </c>
      <c r="V786">
        <v>5.52</v>
      </c>
      <c r="X786" t="s">
        <v>4006</v>
      </c>
      <c r="Y786" t="s">
        <v>4012</v>
      </c>
      <c r="Z786" t="s">
        <v>4012</v>
      </c>
      <c r="AA786" t="s">
        <v>4013</v>
      </c>
      <c r="AB786" t="s">
        <v>36285</v>
      </c>
      <c r="AC786" t="s">
        <v>34465</v>
      </c>
      <c r="AD786" t="s">
        <v>16363</v>
      </c>
      <c r="AE786" t="s">
        <v>34533</v>
      </c>
      <c r="AF786" t="s">
        <v>36286</v>
      </c>
      <c r="AG786" t="s">
        <v>36287</v>
      </c>
    </row>
    <row r="787" spans="1:33" x14ac:dyDescent="0.25">
      <c r="A787" t="s">
        <v>34462</v>
      </c>
      <c r="B787" t="s">
        <v>4015</v>
      </c>
      <c r="C787" t="s">
        <v>4018</v>
      </c>
      <c r="D787">
        <v>35.130000000000003</v>
      </c>
      <c r="E787">
        <v>21.97</v>
      </c>
      <c r="H787">
        <v>34.659999999999997</v>
      </c>
      <c r="I787">
        <v>32.380000000000003</v>
      </c>
      <c r="J787">
        <v>0</v>
      </c>
      <c r="K787">
        <v>1</v>
      </c>
      <c r="L787">
        <v>4</v>
      </c>
      <c r="M787">
        <v>3</v>
      </c>
      <c r="O787">
        <v>0</v>
      </c>
      <c r="Q787">
        <v>0</v>
      </c>
      <c r="R787">
        <v>0</v>
      </c>
      <c r="U787">
        <v>2.44933282</v>
      </c>
      <c r="V787">
        <v>6.6</v>
      </c>
      <c r="W787">
        <v>5.98</v>
      </c>
      <c r="X787" t="s">
        <v>4014</v>
      </c>
      <c r="Y787" t="s">
        <v>4019</v>
      </c>
      <c r="Z787" t="s">
        <v>4019</v>
      </c>
      <c r="AA787" t="s">
        <v>4020</v>
      </c>
      <c r="AB787" t="s">
        <v>36288</v>
      </c>
      <c r="AC787" t="s">
        <v>34465</v>
      </c>
      <c r="AD787" t="s">
        <v>7954</v>
      </c>
      <c r="AE787" t="s">
        <v>35431</v>
      </c>
      <c r="AF787" t="s">
        <v>36289</v>
      </c>
      <c r="AG787" t="s">
        <v>36290</v>
      </c>
    </row>
    <row r="788" spans="1:33" x14ac:dyDescent="0.25">
      <c r="A788" t="s">
        <v>34462</v>
      </c>
      <c r="B788" t="s">
        <v>4022</v>
      </c>
      <c r="C788" t="s">
        <v>4025</v>
      </c>
      <c r="D788">
        <v>39.99</v>
      </c>
      <c r="E788">
        <v>39.99</v>
      </c>
      <c r="F788">
        <v>33368</v>
      </c>
      <c r="G788">
        <v>42835</v>
      </c>
      <c r="H788">
        <v>38.119999999999997</v>
      </c>
      <c r="I788">
        <v>43.05</v>
      </c>
      <c r="J788">
        <v>0</v>
      </c>
      <c r="K788">
        <v>0</v>
      </c>
      <c r="L788">
        <v>3</v>
      </c>
      <c r="M788">
        <v>2</v>
      </c>
      <c r="N788">
        <v>4.4000000000000004</v>
      </c>
      <c r="O788">
        <v>32</v>
      </c>
      <c r="P788">
        <v>1487</v>
      </c>
      <c r="Q788">
        <v>38</v>
      </c>
      <c r="R788">
        <v>101</v>
      </c>
      <c r="S788" t="s">
        <v>36291</v>
      </c>
      <c r="U788">
        <v>0.74957079999999998</v>
      </c>
      <c r="V788">
        <v>6.6</v>
      </c>
      <c r="W788">
        <v>6.8</v>
      </c>
      <c r="X788" t="s">
        <v>4021</v>
      </c>
      <c r="Y788" t="s">
        <v>36292</v>
      </c>
      <c r="Z788" t="s">
        <v>4026</v>
      </c>
      <c r="AA788" t="s">
        <v>4027</v>
      </c>
      <c r="AB788" t="s">
        <v>36293</v>
      </c>
      <c r="AC788" t="s">
        <v>34493</v>
      </c>
      <c r="AD788" t="s">
        <v>36294</v>
      </c>
      <c r="AE788" t="s">
        <v>36295</v>
      </c>
      <c r="AF788" t="s">
        <v>36296</v>
      </c>
      <c r="AG788" t="s">
        <v>36297</v>
      </c>
    </row>
    <row r="789" spans="1:33" x14ac:dyDescent="0.25">
      <c r="A789" t="s">
        <v>34462</v>
      </c>
      <c r="B789" t="s">
        <v>4029</v>
      </c>
      <c r="C789" t="s">
        <v>4031</v>
      </c>
      <c r="D789">
        <v>39.99</v>
      </c>
      <c r="E789">
        <v>39.99</v>
      </c>
      <c r="F789">
        <v>31695</v>
      </c>
      <c r="G789">
        <v>42248</v>
      </c>
      <c r="H789">
        <v>39.19</v>
      </c>
      <c r="I789">
        <v>43.11</v>
      </c>
      <c r="J789">
        <v>0.03</v>
      </c>
      <c r="K789">
        <v>0.04</v>
      </c>
      <c r="L789">
        <v>2</v>
      </c>
      <c r="M789">
        <v>1</v>
      </c>
      <c r="N789">
        <v>4.4000000000000004</v>
      </c>
      <c r="O789">
        <v>16</v>
      </c>
      <c r="P789">
        <v>1486</v>
      </c>
      <c r="Q789">
        <v>32</v>
      </c>
      <c r="R789">
        <v>81</v>
      </c>
      <c r="S789" t="s">
        <v>36291</v>
      </c>
      <c r="U789">
        <v>0.74516156</v>
      </c>
      <c r="V789">
        <v>7.08</v>
      </c>
      <c r="W789">
        <v>6.8</v>
      </c>
      <c r="X789" t="s">
        <v>4028</v>
      </c>
      <c r="Y789" t="s">
        <v>36298</v>
      </c>
      <c r="Z789" t="s">
        <v>4026</v>
      </c>
      <c r="AA789" t="s">
        <v>4027</v>
      </c>
      <c r="AB789" t="s">
        <v>36299</v>
      </c>
      <c r="AC789" t="s">
        <v>34493</v>
      </c>
      <c r="AD789" t="s">
        <v>36294</v>
      </c>
      <c r="AE789" t="s">
        <v>36300</v>
      </c>
      <c r="AF789" t="s">
        <v>36296</v>
      </c>
      <c r="AG789" t="s">
        <v>36297</v>
      </c>
    </row>
    <row r="790" spans="1:33" x14ac:dyDescent="0.25">
      <c r="A790" t="s">
        <v>34462</v>
      </c>
      <c r="B790" t="s">
        <v>4033</v>
      </c>
      <c r="C790" t="s">
        <v>4035</v>
      </c>
      <c r="D790">
        <v>39.99</v>
      </c>
      <c r="E790">
        <v>39.99</v>
      </c>
      <c r="F790">
        <v>33368</v>
      </c>
      <c r="G790">
        <v>42765</v>
      </c>
      <c r="H790">
        <v>40.090000000000003</v>
      </c>
      <c r="I790">
        <v>42.3</v>
      </c>
      <c r="J790">
        <v>0</v>
      </c>
      <c r="K790">
        <v>0</v>
      </c>
      <c r="L790">
        <v>2</v>
      </c>
      <c r="M790">
        <v>1</v>
      </c>
      <c r="N790">
        <v>4.4000000000000004</v>
      </c>
      <c r="O790">
        <v>22</v>
      </c>
      <c r="P790">
        <v>1486</v>
      </c>
      <c r="Q790">
        <v>41</v>
      </c>
      <c r="R790">
        <v>96</v>
      </c>
      <c r="S790" t="s">
        <v>36291</v>
      </c>
      <c r="U790">
        <v>0.83996022000000004</v>
      </c>
      <c r="V790">
        <v>6.6</v>
      </c>
      <c r="W790">
        <v>6.8</v>
      </c>
      <c r="X790" t="s">
        <v>4032</v>
      </c>
      <c r="Y790" t="s">
        <v>36301</v>
      </c>
      <c r="Z790" t="s">
        <v>4026</v>
      </c>
      <c r="AA790" t="s">
        <v>4027</v>
      </c>
      <c r="AB790" t="s">
        <v>36302</v>
      </c>
      <c r="AC790" t="s">
        <v>34493</v>
      </c>
      <c r="AD790" t="s">
        <v>36294</v>
      </c>
      <c r="AE790" t="s">
        <v>36303</v>
      </c>
      <c r="AF790" t="s">
        <v>36296</v>
      </c>
      <c r="AG790" t="s">
        <v>36297</v>
      </c>
    </row>
    <row r="791" spans="1:33" x14ac:dyDescent="0.25">
      <c r="A791" t="s">
        <v>34462</v>
      </c>
      <c r="B791" t="s">
        <v>4037</v>
      </c>
      <c r="C791" t="s">
        <v>4039</v>
      </c>
      <c r="D791">
        <v>39.99</v>
      </c>
      <c r="E791">
        <v>39.99</v>
      </c>
      <c r="F791">
        <v>31695</v>
      </c>
      <c r="G791">
        <v>42567</v>
      </c>
      <c r="H791">
        <v>38.99</v>
      </c>
      <c r="I791">
        <v>41.89</v>
      </c>
      <c r="J791">
        <v>0</v>
      </c>
      <c r="K791">
        <v>0</v>
      </c>
      <c r="L791">
        <v>2</v>
      </c>
      <c r="M791">
        <v>1</v>
      </c>
      <c r="N791">
        <v>4.4000000000000004</v>
      </c>
      <c r="O791">
        <v>11</v>
      </c>
      <c r="P791">
        <v>1486</v>
      </c>
      <c r="Q791">
        <v>33</v>
      </c>
      <c r="R791">
        <v>76</v>
      </c>
      <c r="S791" t="s">
        <v>36291</v>
      </c>
      <c r="U791">
        <v>0.85098331999999999</v>
      </c>
      <c r="V791">
        <v>6.14</v>
      </c>
      <c r="W791">
        <v>6.8</v>
      </c>
      <c r="X791" t="s">
        <v>4036</v>
      </c>
      <c r="Y791" t="s">
        <v>36304</v>
      </c>
      <c r="Z791" t="s">
        <v>4026</v>
      </c>
      <c r="AA791" t="s">
        <v>4027</v>
      </c>
      <c r="AB791" t="s">
        <v>36305</v>
      </c>
      <c r="AC791" t="s">
        <v>34493</v>
      </c>
      <c r="AD791" t="s">
        <v>36294</v>
      </c>
      <c r="AE791" t="s">
        <v>34561</v>
      </c>
      <c r="AF791" t="s">
        <v>36296</v>
      </c>
      <c r="AG791" t="s">
        <v>36297</v>
      </c>
    </row>
    <row r="792" spans="1:33" x14ac:dyDescent="0.25">
      <c r="A792" t="s">
        <v>34462</v>
      </c>
      <c r="B792" t="s">
        <v>4041</v>
      </c>
      <c r="C792" t="s">
        <v>4043</v>
      </c>
      <c r="D792">
        <v>25.49</v>
      </c>
      <c r="E792">
        <v>25.49</v>
      </c>
      <c r="F792">
        <v>31695</v>
      </c>
      <c r="G792">
        <v>134573</v>
      </c>
      <c r="H792">
        <v>30.81</v>
      </c>
      <c r="I792">
        <v>30.21</v>
      </c>
      <c r="J792">
        <v>0.59</v>
      </c>
      <c r="K792">
        <v>0.63</v>
      </c>
      <c r="L792">
        <v>1</v>
      </c>
      <c r="M792">
        <v>1</v>
      </c>
      <c r="N792">
        <v>4.4000000000000004</v>
      </c>
      <c r="O792">
        <v>48</v>
      </c>
      <c r="P792">
        <v>1486</v>
      </c>
      <c r="Q792">
        <v>16</v>
      </c>
      <c r="R792">
        <v>59</v>
      </c>
      <c r="S792" t="s">
        <v>36291</v>
      </c>
      <c r="U792">
        <v>0.74957079999999998</v>
      </c>
      <c r="V792">
        <v>7.56</v>
      </c>
      <c r="W792">
        <v>4.33</v>
      </c>
      <c r="X792" t="s">
        <v>4040</v>
      </c>
      <c r="Y792" t="s">
        <v>36306</v>
      </c>
      <c r="Z792" t="s">
        <v>4044</v>
      </c>
      <c r="AA792" t="s">
        <v>4045</v>
      </c>
      <c r="AB792" t="s">
        <v>36307</v>
      </c>
      <c r="AC792" t="s">
        <v>34484</v>
      </c>
      <c r="AD792" t="s">
        <v>36294</v>
      </c>
      <c r="AE792" t="s">
        <v>34561</v>
      </c>
      <c r="AF792" t="s">
        <v>36308</v>
      </c>
      <c r="AG792" t="s">
        <v>36297</v>
      </c>
    </row>
    <row r="793" spans="1:33" x14ac:dyDescent="0.25">
      <c r="A793" t="s">
        <v>34462</v>
      </c>
      <c r="B793" t="s">
        <v>4047</v>
      </c>
      <c r="C793" t="s">
        <v>4049</v>
      </c>
      <c r="D793">
        <v>39.99</v>
      </c>
      <c r="E793">
        <v>39.99</v>
      </c>
      <c r="F793">
        <v>31695</v>
      </c>
      <c r="G793">
        <v>103627</v>
      </c>
      <c r="H793">
        <v>38.06</v>
      </c>
      <c r="I793">
        <v>40.56</v>
      </c>
      <c r="J793">
        <v>0</v>
      </c>
      <c r="K793">
        <v>0</v>
      </c>
      <c r="L793">
        <v>2</v>
      </c>
      <c r="M793">
        <v>1</v>
      </c>
      <c r="N793">
        <v>4.4000000000000004</v>
      </c>
      <c r="O793">
        <v>10</v>
      </c>
      <c r="P793">
        <v>1486</v>
      </c>
      <c r="Q793">
        <v>26</v>
      </c>
      <c r="R793">
        <v>57</v>
      </c>
      <c r="S793" t="s">
        <v>36291</v>
      </c>
      <c r="U793">
        <v>0.76941238000000001</v>
      </c>
      <c r="V793">
        <v>6.48</v>
      </c>
      <c r="W793">
        <v>6.8</v>
      </c>
      <c r="X793" t="s">
        <v>4046</v>
      </c>
      <c r="Y793" t="s">
        <v>36309</v>
      </c>
      <c r="Z793" t="s">
        <v>4026</v>
      </c>
      <c r="AA793" t="s">
        <v>4027</v>
      </c>
      <c r="AB793" t="s">
        <v>36310</v>
      </c>
      <c r="AC793" t="s">
        <v>34493</v>
      </c>
      <c r="AD793" t="s">
        <v>36294</v>
      </c>
      <c r="AE793" t="s">
        <v>34564</v>
      </c>
      <c r="AF793" t="s">
        <v>36296</v>
      </c>
      <c r="AG793" t="s">
        <v>36297</v>
      </c>
    </row>
    <row r="794" spans="1:33" x14ac:dyDescent="0.25">
      <c r="A794" t="s">
        <v>34462</v>
      </c>
      <c r="B794" t="s">
        <v>4051</v>
      </c>
      <c r="C794" t="s">
        <v>4053</v>
      </c>
      <c r="D794">
        <v>25.49</v>
      </c>
      <c r="E794">
        <v>25.49</v>
      </c>
      <c r="F794">
        <v>31695</v>
      </c>
      <c r="G794">
        <v>41571</v>
      </c>
      <c r="H794">
        <v>30.52</v>
      </c>
      <c r="I794">
        <v>30.25</v>
      </c>
      <c r="J794">
        <v>0.11</v>
      </c>
      <c r="K794">
        <v>0.23</v>
      </c>
      <c r="L794">
        <v>1</v>
      </c>
      <c r="M794">
        <v>1</v>
      </c>
      <c r="N794">
        <v>4.4000000000000004</v>
      </c>
      <c r="O794">
        <v>27</v>
      </c>
      <c r="P794">
        <v>1486</v>
      </c>
      <c r="Q794">
        <v>25</v>
      </c>
      <c r="R794">
        <v>74</v>
      </c>
      <c r="S794" t="s">
        <v>36291</v>
      </c>
      <c r="U794">
        <v>0.66138600000000003</v>
      </c>
      <c r="V794">
        <v>6.67</v>
      </c>
      <c r="W794">
        <v>4.33</v>
      </c>
      <c r="X794" t="s">
        <v>4050</v>
      </c>
      <c r="Y794" t="s">
        <v>36311</v>
      </c>
      <c r="Z794" t="s">
        <v>4044</v>
      </c>
      <c r="AA794" t="s">
        <v>4045</v>
      </c>
      <c r="AB794" t="s">
        <v>36312</v>
      </c>
      <c r="AC794" t="s">
        <v>34484</v>
      </c>
      <c r="AD794" t="s">
        <v>36294</v>
      </c>
      <c r="AE794" t="s">
        <v>34564</v>
      </c>
      <c r="AF794" t="s">
        <v>36313</v>
      </c>
      <c r="AG794" t="s">
        <v>36297</v>
      </c>
    </row>
    <row r="795" spans="1:33" x14ac:dyDescent="0.25">
      <c r="A795" t="s">
        <v>34462</v>
      </c>
      <c r="B795" t="s">
        <v>4055</v>
      </c>
      <c r="C795" t="s">
        <v>4057</v>
      </c>
      <c r="D795">
        <v>39.99</v>
      </c>
      <c r="E795">
        <v>39.99</v>
      </c>
      <c r="F795">
        <v>33368</v>
      </c>
      <c r="G795">
        <v>42348</v>
      </c>
      <c r="H795">
        <v>39.06</v>
      </c>
      <c r="I795">
        <v>42.23</v>
      </c>
      <c r="J795">
        <v>0</v>
      </c>
      <c r="K795">
        <v>0</v>
      </c>
      <c r="L795">
        <v>2</v>
      </c>
      <c r="M795">
        <v>1</v>
      </c>
      <c r="N795">
        <v>4.4000000000000004</v>
      </c>
      <c r="O795">
        <v>14</v>
      </c>
      <c r="P795">
        <v>1486</v>
      </c>
      <c r="Q795">
        <v>28</v>
      </c>
      <c r="R795">
        <v>74</v>
      </c>
      <c r="S795" t="s">
        <v>36291</v>
      </c>
      <c r="U795">
        <v>0.79807243999999999</v>
      </c>
      <c r="V795">
        <v>6.48</v>
      </c>
      <c r="W795">
        <v>6.8</v>
      </c>
      <c r="X795" t="s">
        <v>4054</v>
      </c>
      <c r="Y795" t="s">
        <v>36314</v>
      </c>
      <c r="Z795" t="s">
        <v>4026</v>
      </c>
      <c r="AA795" t="s">
        <v>4027</v>
      </c>
      <c r="AB795" t="s">
        <v>36315</v>
      </c>
      <c r="AC795" t="s">
        <v>34493</v>
      </c>
      <c r="AD795" t="s">
        <v>36294</v>
      </c>
      <c r="AE795" t="s">
        <v>34566</v>
      </c>
      <c r="AF795" t="s">
        <v>36296</v>
      </c>
      <c r="AG795" t="s">
        <v>36297</v>
      </c>
    </row>
    <row r="796" spans="1:33" x14ac:dyDescent="0.25">
      <c r="A796" t="s">
        <v>34462</v>
      </c>
      <c r="B796" t="s">
        <v>4059</v>
      </c>
      <c r="C796" t="s">
        <v>4061</v>
      </c>
      <c r="D796">
        <v>25.49</v>
      </c>
      <c r="E796">
        <v>25.49</v>
      </c>
      <c r="F796">
        <v>31695</v>
      </c>
      <c r="G796">
        <v>177346</v>
      </c>
      <c r="H796">
        <v>33.54</v>
      </c>
      <c r="I796">
        <v>36.33</v>
      </c>
      <c r="J796">
        <v>0.51</v>
      </c>
      <c r="K796">
        <v>0.6</v>
      </c>
      <c r="L796">
        <v>1</v>
      </c>
      <c r="M796">
        <v>1</v>
      </c>
      <c r="N796">
        <v>4.4000000000000004</v>
      </c>
      <c r="O796">
        <v>25</v>
      </c>
      <c r="P796">
        <v>1487</v>
      </c>
      <c r="Q796">
        <v>25</v>
      </c>
      <c r="R796">
        <v>48</v>
      </c>
      <c r="S796" t="s">
        <v>36291</v>
      </c>
      <c r="U796">
        <v>0.85098331999999999</v>
      </c>
      <c r="V796">
        <v>6.05</v>
      </c>
      <c r="W796">
        <v>4.33</v>
      </c>
      <c r="X796" t="s">
        <v>4058</v>
      </c>
      <c r="Y796" t="s">
        <v>36316</v>
      </c>
      <c r="Z796" t="s">
        <v>4044</v>
      </c>
      <c r="AA796" t="s">
        <v>4045</v>
      </c>
      <c r="AB796" t="s">
        <v>36317</v>
      </c>
      <c r="AC796" t="s">
        <v>34484</v>
      </c>
      <c r="AD796" t="s">
        <v>36294</v>
      </c>
      <c r="AE796" t="s">
        <v>34694</v>
      </c>
      <c r="AF796" t="s">
        <v>36313</v>
      </c>
      <c r="AG796" t="s">
        <v>36297</v>
      </c>
    </row>
    <row r="797" spans="1:33" x14ac:dyDescent="0.25">
      <c r="A797" t="s">
        <v>34462</v>
      </c>
      <c r="B797" t="s">
        <v>4063</v>
      </c>
      <c r="C797" t="s">
        <v>4065</v>
      </c>
      <c r="D797">
        <v>39.99</v>
      </c>
      <c r="E797">
        <v>39.99</v>
      </c>
      <c r="F797">
        <v>31695</v>
      </c>
      <c r="G797">
        <v>42312</v>
      </c>
      <c r="H797">
        <v>39.28</v>
      </c>
      <c r="I797">
        <v>40.33</v>
      </c>
      <c r="J797">
        <v>0</v>
      </c>
      <c r="K797">
        <v>0</v>
      </c>
      <c r="L797">
        <v>2</v>
      </c>
      <c r="M797">
        <v>1</v>
      </c>
      <c r="N797">
        <v>4.4000000000000004</v>
      </c>
      <c r="O797">
        <v>11</v>
      </c>
      <c r="P797">
        <v>1486</v>
      </c>
      <c r="Q797">
        <v>20</v>
      </c>
      <c r="R797">
        <v>55</v>
      </c>
      <c r="S797" t="s">
        <v>36291</v>
      </c>
      <c r="U797">
        <v>0.55115499999999995</v>
      </c>
      <c r="V797">
        <v>6.86</v>
      </c>
      <c r="W797">
        <v>6.8</v>
      </c>
      <c r="X797" t="s">
        <v>4062</v>
      </c>
      <c r="Y797" t="s">
        <v>36318</v>
      </c>
      <c r="Z797" t="s">
        <v>4026</v>
      </c>
      <c r="AA797" t="s">
        <v>4027</v>
      </c>
      <c r="AB797" t="s">
        <v>36319</v>
      </c>
      <c r="AC797" t="s">
        <v>34493</v>
      </c>
      <c r="AD797" t="s">
        <v>36294</v>
      </c>
      <c r="AE797" t="s">
        <v>34694</v>
      </c>
      <c r="AF797" t="s">
        <v>36296</v>
      </c>
      <c r="AG797" t="s">
        <v>36297</v>
      </c>
    </row>
    <row r="798" spans="1:33" x14ac:dyDescent="0.25">
      <c r="A798" t="s">
        <v>34462</v>
      </c>
      <c r="B798" t="s">
        <v>4067</v>
      </c>
      <c r="C798" t="s">
        <v>4069</v>
      </c>
      <c r="D798">
        <v>33.64</v>
      </c>
      <c r="F798">
        <v>34777</v>
      </c>
      <c r="G798">
        <v>41994</v>
      </c>
      <c r="H798">
        <v>33.64</v>
      </c>
      <c r="I798">
        <v>41.55</v>
      </c>
      <c r="J798">
        <v>0.16</v>
      </c>
      <c r="K798">
        <v>0.28000000000000003</v>
      </c>
      <c r="L798">
        <v>2</v>
      </c>
      <c r="M798">
        <v>1</v>
      </c>
      <c r="N798">
        <v>4.4000000000000004</v>
      </c>
      <c r="O798">
        <v>3</v>
      </c>
      <c r="P798">
        <v>1485</v>
      </c>
      <c r="Q798">
        <v>28</v>
      </c>
      <c r="R798">
        <v>88</v>
      </c>
      <c r="S798" t="s">
        <v>36291</v>
      </c>
      <c r="U798">
        <v>0.82893711999999997</v>
      </c>
      <c r="V798">
        <v>11.69</v>
      </c>
      <c r="X798" t="s">
        <v>4066</v>
      </c>
      <c r="Y798" t="s">
        <v>36320</v>
      </c>
      <c r="Z798" t="s">
        <v>4026</v>
      </c>
      <c r="AA798" t="s">
        <v>4027</v>
      </c>
      <c r="AB798" t="s">
        <v>36321</v>
      </c>
      <c r="AC798" t="s">
        <v>34465</v>
      </c>
      <c r="AD798" t="s">
        <v>36294</v>
      </c>
      <c r="AE798" t="s">
        <v>34568</v>
      </c>
      <c r="AF798" t="s">
        <v>36296</v>
      </c>
      <c r="AG798" t="s">
        <v>36297</v>
      </c>
    </row>
    <row r="799" spans="1:33" x14ac:dyDescent="0.25">
      <c r="A799" t="s">
        <v>34462</v>
      </c>
      <c r="B799" t="s">
        <v>4071</v>
      </c>
      <c r="C799" t="s">
        <v>4073</v>
      </c>
      <c r="D799">
        <v>39.99</v>
      </c>
      <c r="E799">
        <v>39.99</v>
      </c>
      <c r="F799">
        <v>31695</v>
      </c>
      <c r="G799">
        <v>43319</v>
      </c>
      <c r="H799">
        <v>35.92</v>
      </c>
      <c r="I799">
        <v>39.85</v>
      </c>
      <c r="J799">
        <v>0</v>
      </c>
      <c r="K799">
        <v>0</v>
      </c>
      <c r="L799">
        <v>3</v>
      </c>
      <c r="M799">
        <v>3</v>
      </c>
      <c r="N799">
        <v>4.4000000000000004</v>
      </c>
      <c r="O799">
        <v>2</v>
      </c>
      <c r="P799">
        <v>1487</v>
      </c>
      <c r="Q799">
        <v>35</v>
      </c>
      <c r="R799">
        <v>80</v>
      </c>
      <c r="S799" t="s">
        <v>36291</v>
      </c>
      <c r="U799">
        <v>0.82452787999999999</v>
      </c>
      <c r="V799">
        <v>6.48</v>
      </c>
      <c r="W799">
        <v>6.79</v>
      </c>
      <c r="X799" t="s">
        <v>4070</v>
      </c>
      <c r="Y799" t="s">
        <v>36322</v>
      </c>
      <c r="Z799" t="s">
        <v>4026</v>
      </c>
      <c r="AA799" t="s">
        <v>4027</v>
      </c>
      <c r="AB799" t="s">
        <v>36323</v>
      </c>
      <c r="AC799" t="s">
        <v>34493</v>
      </c>
      <c r="AD799" t="s">
        <v>36294</v>
      </c>
      <c r="AE799" t="s">
        <v>35199</v>
      </c>
      <c r="AF799" t="s">
        <v>36296</v>
      </c>
      <c r="AG799" t="s">
        <v>36297</v>
      </c>
    </row>
    <row r="800" spans="1:33" x14ac:dyDescent="0.25">
      <c r="A800" t="s">
        <v>34462</v>
      </c>
      <c r="B800" t="s">
        <v>4075</v>
      </c>
      <c r="C800" t="s">
        <v>4077</v>
      </c>
      <c r="D800">
        <v>39.99</v>
      </c>
      <c r="E800">
        <v>38.79</v>
      </c>
      <c r="F800">
        <v>31695</v>
      </c>
      <c r="G800">
        <v>149198</v>
      </c>
      <c r="H800">
        <v>36.770000000000003</v>
      </c>
      <c r="I800">
        <v>40.299999999999997</v>
      </c>
      <c r="J800">
        <v>0</v>
      </c>
      <c r="K800">
        <v>0</v>
      </c>
      <c r="L800">
        <v>3</v>
      </c>
      <c r="M800">
        <v>2</v>
      </c>
      <c r="N800">
        <v>4.4000000000000004</v>
      </c>
      <c r="O800">
        <v>4</v>
      </c>
      <c r="P800">
        <v>1486</v>
      </c>
      <c r="Q800">
        <v>25</v>
      </c>
      <c r="R800">
        <v>89</v>
      </c>
      <c r="S800" t="s">
        <v>36291</v>
      </c>
      <c r="U800">
        <v>0.84216484000000003</v>
      </c>
      <c r="V800">
        <v>6.67</v>
      </c>
      <c r="W800">
        <v>6.8</v>
      </c>
      <c r="X800" t="s">
        <v>4074</v>
      </c>
      <c r="Y800" t="s">
        <v>36324</v>
      </c>
      <c r="Z800" t="s">
        <v>4026</v>
      </c>
      <c r="AA800" t="s">
        <v>4027</v>
      </c>
      <c r="AB800" t="s">
        <v>36325</v>
      </c>
      <c r="AC800" t="s">
        <v>34493</v>
      </c>
      <c r="AD800" t="s">
        <v>36294</v>
      </c>
      <c r="AE800" t="s">
        <v>36326</v>
      </c>
      <c r="AF800" t="s">
        <v>36296</v>
      </c>
      <c r="AG800" t="s">
        <v>36297</v>
      </c>
    </row>
    <row r="801" spans="1:33" x14ac:dyDescent="0.25">
      <c r="A801" t="s">
        <v>34462</v>
      </c>
      <c r="B801" t="s">
        <v>4079</v>
      </c>
      <c r="C801" t="s">
        <v>4081</v>
      </c>
      <c r="D801">
        <v>39.99</v>
      </c>
      <c r="E801">
        <v>39.99</v>
      </c>
      <c r="F801">
        <v>33368</v>
      </c>
      <c r="G801">
        <v>42072</v>
      </c>
      <c r="H801">
        <v>41.2</v>
      </c>
      <c r="I801">
        <v>43.62</v>
      </c>
      <c r="J801">
        <v>0</v>
      </c>
      <c r="K801">
        <v>0</v>
      </c>
      <c r="L801">
        <v>2</v>
      </c>
      <c r="M801">
        <v>1</v>
      </c>
      <c r="N801">
        <v>4.4000000000000004</v>
      </c>
      <c r="O801">
        <v>4</v>
      </c>
      <c r="P801">
        <v>1483</v>
      </c>
      <c r="Q801">
        <v>38</v>
      </c>
      <c r="R801">
        <v>83</v>
      </c>
      <c r="S801" t="s">
        <v>36291</v>
      </c>
      <c r="U801">
        <v>0.83996022000000004</v>
      </c>
      <c r="V801">
        <v>6.6</v>
      </c>
      <c r="W801">
        <v>6.8</v>
      </c>
      <c r="X801" t="s">
        <v>4078</v>
      </c>
      <c r="Y801" t="s">
        <v>36327</v>
      </c>
      <c r="Z801" t="s">
        <v>4026</v>
      </c>
      <c r="AA801" t="s">
        <v>4027</v>
      </c>
      <c r="AB801" t="s">
        <v>36328</v>
      </c>
      <c r="AC801" t="s">
        <v>34493</v>
      </c>
      <c r="AD801" t="s">
        <v>36294</v>
      </c>
      <c r="AE801" t="s">
        <v>34572</v>
      </c>
      <c r="AF801" t="s">
        <v>36296</v>
      </c>
      <c r="AG801" t="s">
        <v>36297</v>
      </c>
    </row>
    <row r="802" spans="1:33" x14ac:dyDescent="0.25">
      <c r="A802" t="s">
        <v>34462</v>
      </c>
      <c r="B802" t="s">
        <v>4083</v>
      </c>
      <c r="C802" t="s">
        <v>4085</v>
      </c>
      <c r="D802">
        <v>39.99</v>
      </c>
      <c r="E802">
        <v>39.99</v>
      </c>
      <c r="F802">
        <v>31695</v>
      </c>
      <c r="G802">
        <v>270000</v>
      </c>
      <c r="H802">
        <v>36.57</v>
      </c>
      <c r="I802">
        <v>42.42</v>
      </c>
      <c r="J802">
        <v>0</v>
      </c>
      <c r="K802">
        <v>0</v>
      </c>
      <c r="L802">
        <v>2</v>
      </c>
      <c r="M802">
        <v>1</v>
      </c>
      <c r="N802">
        <v>4.4000000000000004</v>
      </c>
      <c r="O802">
        <v>3</v>
      </c>
      <c r="P802">
        <v>1486</v>
      </c>
      <c r="Q802">
        <v>27</v>
      </c>
      <c r="R802">
        <v>75</v>
      </c>
      <c r="S802" t="s">
        <v>36291</v>
      </c>
      <c r="U802">
        <v>0.82673249999999998</v>
      </c>
      <c r="V802">
        <v>6.48</v>
      </c>
      <c r="W802">
        <v>6.8</v>
      </c>
      <c r="X802" t="s">
        <v>4082</v>
      </c>
      <c r="Y802" t="s">
        <v>36329</v>
      </c>
      <c r="Z802" t="s">
        <v>4026</v>
      </c>
      <c r="AA802" t="s">
        <v>4027</v>
      </c>
      <c r="AB802" t="s">
        <v>36330</v>
      </c>
      <c r="AC802" t="s">
        <v>34493</v>
      </c>
      <c r="AD802" t="s">
        <v>36294</v>
      </c>
      <c r="AE802" t="s">
        <v>35120</v>
      </c>
      <c r="AF802" t="s">
        <v>36296</v>
      </c>
      <c r="AG802" t="s">
        <v>36297</v>
      </c>
    </row>
    <row r="803" spans="1:33" x14ac:dyDescent="0.25">
      <c r="A803" t="s">
        <v>34462</v>
      </c>
      <c r="B803" t="s">
        <v>4087</v>
      </c>
      <c r="C803" t="s">
        <v>4090</v>
      </c>
      <c r="D803">
        <v>105.15</v>
      </c>
      <c r="E803">
        <v>105.15</v>
      </c>
      <c r="F803">
        <v>413931</v>
      </c>
      <c r="G803">
        <v>585404</v>
      </c>
      <c r="H803">
        <v>105.15</v>
      </c>
      <c r="I803">
        <v>105.15</v>
      </c>
      <c r="J803">
        <v>0.08</v>
      </c>
      <c r="K803">
        <v>1</v>
      </c>
      <c r="L803">
        <v>2</v>
      </c>
      <c r="M803">
        <v>2</v>
      </c>
      <c r="N803">
        <v>4.4000000000000004</v>
      </c>
      <c r="O803">
        <v>0</v>
      </c>
      <c r="P803">
        <v>15</v>
      </c>
      <c r="Q803">
        <v>14</v>
      </c>
      <c r="R803">
        <v>40</v>
      </c>
      <c r="S803" t="s">
        <v>36331</v>
      </c>
      <c r="U803">
        <v>1.0802638</v>
      </c>
      <c r="V803">
        <v>7.72</v>
      </c>
      <c r="W803">
        <v>17.88</v>
      </c>
      <c r="X803" t="s">
        <v>4086</v>
      </c>
      <c r="Y803" t="s">
        <v>4091</v>
      </c>
      <c r="Z803" t="s">
        <v>4091</v>
      </c>
      <c r="AA803" t="s">
        <v>1406</v>
      </c>
      <c r="AB803" t="s">
        <v>36332</v>
      </c>
      <c r="AC803" t="s">
        <v>34465</v>
      </c>
      <c r="AD803" t="s">
        <v>9232</v>
      </c>
      <c r="AE803" t="s">
        <v>34533</v>
      </c>
      <c r="AF803" t="s">
        <v>36333</v>
      </c>
      <c r="AG803" t="s">
        <v>36334</v>
      </c>
    </row>
    <row r="804" spans="1:33" x14ac:dyDescent="0.25">
      <c r="A804" t="s">
        <v>34462</v>
      </c>
      <c r="B804" t="s">
        <v>4093</v>
      </c>
      <c r="C804" t="s">
        <v>4095</v>
      </c>
      <c r="D804">
        <v>105.15</v>
      </c>
      <c r="E804">
        <v>105.15</v>
      </c>
      <c r="F804">
        <v>648044</v>
      </c>
      <c r="G804">
        <v>610167</v>
      </c>
      <c r="H804">
        <v>48</v>
      </c>
      <c r="I804">
        <v>54.86</v>
      </c>
      <c r="J804">
        <v>0.21</v>
      </c>
      <c r="K804">
        <v>1</v>
      </c>
      <c r="L804">
        <v>1</v>
      </c>
      <c r="M804">
        <v>1</v>
      </c>
      <c r="N804">
        <v>4.3</v>
      </c>
      <c r="O804">
        <v>0</v>
      </c>
      <c r="P804">
        <v>12</v>
      </c>
      <c r="Q804">
        <v>13</v>
      </c>
      <c r="R804">
        <v>31</v>
      </c>
      <c r="S804" t="s">
        <v>36331</v>
      </c>
      <c r="U804">
        <v>1.23017796</v>
      </c>
      <c r="V804">
        <v>11.89</v>
      </c>
      <c r="X804" t="s">
        <v>4092</v>
      </c>
      <c r="Y804" t="s">
        <v>4091</v>
      </c>
      <c r="Z804" t="s">
        <v>4091</v>
      </c>
      <c r="AA804" t="s">
        <v>2213</v>
      </c>
      <c r="AB804" t="s">
        <v>36335</v>
      </c>
      <c r="AC804" t="s">
        <v>34465</v>
      </c>
      <c r="AD804" t="s">
        <v>9232</v>
      </c>
      <c r="AE804" t="s">
        <v>34533</v>
      </c>
      <c r="AF804" t="s">
        <v>36336</v>
      </c>
      <c r="AG804" t="s">
        <v>36334</v>
      </c>
    </row>
    <row r="805" spans="1:33" x14ac:dyDescent="0.25">
      <c r="A805" t="s">
        <v>34462</v>
      </c>
      <c r="B805" t="s">
        <v>4097</v>
      </c>
      <c r="C805" t="s">
        <v>4099</v>
      </c>
      <c r="D805">
        <v>77.400000000000006</v>
      </c>
      <c r="E805">
        <v>77.400000000000006</v>
      </c>
      <c r="F805">
        <v>459362</v>
      </c>
      <c r="G805">
        <v>561390</v>
      </c>
      <c r="H805">
        <v>95.95</v>
      </c>
      <c r="I805">
        <v>88.3</v>
      </c>
      <c r="J805">
        <v>0</v>
      </c>
      <c r="K805">
        <v>0.01</v>
      </c>
      <c r="L805">
        <v>5</v>
      </c>
      <c r="M805">
        <v>6</v>
      </c>
      <c r="N805">
        <v>4.4000000000000004</v>
      </c>
      <c r="O805">
        <v>1</v>
      </c>
      <c r="P805">
        <v>15</v>
      </c>
      <c r="Q805">
        <v>14</v>
      </c>
      <c r="R805">
        <v>42</v>
      </c>
      <c r="S805" t="s">
        <v>36331</v>
      </c>
      <c r="U805">
        <v>1.0802638</v>
      </c>
      <c r="V805">
        <v>11.51</v>
      </c>
      <c r="W805">
        <v>13.16</v>
      </c>
      <c r="X805" t="s">
        <v>4096</v>
      </c>
      <c r="Y805" t="s">
        <v>4091</v>
      </c>
      <c r="Z805" t="s">
        <v>4091</v>
      </c>
      <c r="AA805" t="s">
        <v>76</v>
      </c>
      <c r="AB805" t="s">
        <v>36337</v>
      </c>
      <c r="AC805" t="s">
        <v>34493</v>
      </c>
      <c r="AD805" t="s">
        <v>9232</v>
      </c>
      <c r="AE805" t="s">
        <v>34533</v>
      </c>
      <c r="AF805" t="s">
        <v>36338</v>
      </c>
      <c r="AG805" t="s">
        <v>36334</v>
      </c>
    </row>
    <row r="806" spans="1:33" x14ac:dyDescent="0.25">
      <c r="A806" t="s">
        <v>34462</v>
      </c>
      <c r="B806" t="s">
        <v>4102</v>
      </c>
      <c r="C806" t="s">
        <v>4104</v>
      </c>
      <c r="D806">
        <v>105.15</v>
      </c>
      <c r="E806">
        <v>105.15</v>
      </c>
      <c r="F806">
        <v>459362</v>
      </c>
      <c r="G806">
        <v>571480</v>
      </c>
      <c r="H806">
        <v>83.53</v>
      </c>
      <c r="I806">
        <v>91.82</v>
      </c>
      <c r="J806">
        <v>0</v>
      </c>
      <c r="K806">
        <v>0.11</v>
      </c>
      <c r="L806">
        <v>2</v>
      </c>
      <c r="M806">
        <v>1</v>
      </c>
      <c r="N806">
        <v>4.4000000000000004</v>
      </c>
      <c r="O806">
        <v>1</v>
      </c>
      <c r="P806">
        <v>15</v>
      </c>
      <c r="Q806">
        <v>12</v>
      </c>
      <c r="R806">
        <v>38</v>
      </c>
      <c r="S806" t="s">
        <v>36331</v>
      </c>
      <c r="U806">
        <v>1.1353793000000001</v>
      </c>
      <c r="V806">
        <v>7.72</v>
      </c>
      <c r="X806" t="s">
        <v>4101</v>
      </c>
      <c r="Y806" t="s">
        <v>4091</v>
      </c>
      <c r="Z806" t="s">
        <v>4091</v>
      </c>
      <c r="AA806" t="s">
        <v>2213</v>
      </c>
      <c r="AB806" t="s">
        <v>36339</v>
      </c>
      <c r="AC806" t="s">
        <v>34465</v>
      </c>
      <c r="AD806" t="s">
        <v>9232</v>
      </c>
      <c r="AE806" t="s">
        <v>14701</v>
      </c>
      <c r="AF806" t="s">
        <v>36340</v>
      </c>
      <c r="AG806" t="s">
        <v>36334</v>
      </c>
    </row>
    <row r="807" spans="1:33" x14ac:dyDescent="0.25">
      <c r="A807" t="s">
        <v>34462</v>
      </c>
      <c r="B807" t="s">
        <v>4106</v>
      </c>
      <c r="C807" t="s">
        <v>4108</v>
      </c>
      <c r="D807">
        <v>115.73</v>
      </c>
      <c r="E807">
        <v>105.15</v>
      </c>
      <c r="F807">
        <v>413931</v>
      </c>
      <c r="G807">
        <v>544299</v>
      </c>
      <c r="H807">
        <v>104.27</v>
      </c>
      <c r="I807">
        <v>109.28</v>
      </c>
      <c r="J807">
        <v>0.14000000000000001</v>
      </c>
      <c r="K807">
        <v>0.36</v>
      </c>
      <c r="L807">
        <v>2</v>
      </c>
      <c r="M807">
        <v>2</v>
      </c>
      <c r="N807">
        <v>4.4000000000000004</v>
      </c>
      <c r="O807">
        <v>0</v>
      </c>
      <c r="P807">
        <v>15</v>
      </c>
      <c r="Q807">
        <v>9</v>
      </c>
      <c r="R807">
        <v>29</v>
      </c>
      <c r="S807" t="s">
        <v>36331</v>
      </c>
      <c r="U807">
        <v>1.1464023999999999</v>
      </c>
      <c r="V807">
        <v>7.4</v>
      </c>
      <c r="W807">
        <v>19.670000000000002</v>
      </c>
      <c r="X807" t="s">
        <v>4105</v>
      </c>
      <c r="Y807" t="s">
        <v>4091</v>
      </c>
      <c r="Z807" t="s">
        <v>4091</v>
      </c>
      <c r="AA807" t="s">
        <v>1406</v>
      </c>
      <c r="AB807" t="s">
        <v>36341</v>
      </c>
      <c r="AC807" t="s">
        <v>34493</v>
      </c>
      <c r="AD807" t="s">
        <v>9232</v>
      </c>
      <c r="AE807" t="s">
        <v>14701</v>
      </c>
      <c r="AF807" t="s">
        <v>36333</v>
      </c>
      <c r="AG807" t="s">
        <v>36334</v>
      </c>
    </row>
    <row r="808" spans="1:33" x14ac:dyDescent="0.25">
      <c r="A808" t="s">
        <v>34462</v>
      </c>
      <c r="B808" t="s">
        <v>4111</v>
      </c>
      <c r="C808" t="s">
        <v>4113</v>
      </c>
      <c r="D808">
        <v>77.400000000000006</v>
      </c>
      <c r="E808">
        <v>77.400000000000006</v>
      </c>
      <c r="F808">
        <v>648044</v>
      </c>
      <c r="G808">
        <v>551966</v>
      </c>
      <c r="H808">
        <v>94.84</v>
      </c>
      <c r="I808">
        <v>87.79</v>
      </c>
      <c r="J808">
        <v>0</v>
      </c>
      <c r="K808">
        <v>0</v>
      </c>
      <c r="L808">
        <v>5</v>
      </c>
      <c r="M808">
        <v>6</v>
      </c>
      <c r="N808">
        <v>4.2</v>
      </c>
      <c r="O808">
        <v>1</v>
      </c>
      <c r="P808">
        <v>10</v>
      </c>
      <c r="Q808">
        <v>12</v>
      </c>
      <c r="R808">
        <v>37</v>
      </c>
      <c r="S808" t="s">
        <v>36331</v>
      </c>
      <c r="U808">
        <v>1.1508116399999999</v>
      </c>
      <c r="V808">
        <v>7.56</v>
      </c>
      <c r="W808">
        <v>13.16</v>
      </c>
      <c r="X808" t="s">
        <v>4110</v>
      </c>
      <c r="Y808" t="s">
        <v>4091</v>
      </c>
      <c r="Z808" t="s">
        <v>4091</v>
      </c>
      <c r="AA808" t="s">
        <v>76</v>
      </c>
      <c r="AB808" t="s">
        <v>36342</v>
      </c>
      <c r="AC808" t="s">
        <v>34493</v>
      </c>
      <c r="AD808" t="s">
        <v>9232</v>
      </c>
      <c r="AE808" t="s">
        <v>14701</v>
      </c>
      <c r="AF808" t="s">
        <v>36343</v>
      </c>
      <c r="AG808" t="s">
        <v>36334</v>
      </c>
    </row>
    <row r="809" spans="1:33" x14ac:dyDescent="0.25">
      <c r="A809" t="s">
        <v>34462</v>
      </c>
      <c r="B809" t="s">
        <v>4116</v>
      </c>
      <c r="C809" t="s">
        <v>4118</v>
      </c>
      <c r="D809">
        <v>105.15</v>
      </c>
      <c r="E809">
        <v>105.15</v>
      </c>
      <c r="F809">
        <v>594490</v>
      </c>
      <c r="G809">
        <v>564899</v>
      </c>
      <c r="H809">
        <v>78.180000000000007</v>
      </c>
      <c r="I809">
        <v>89.48</v>
      </c>
      <c r="J809">
        <v>0.35</v>
      </c>
      <c r="K809">
        <v>0.92</v>
      </c>
      <c r="L809">
        <v>2</v>
      </c>
      <c r="M809">
        <v>1</v>
      </c>
      <c r="N809">
        <v>4.4000000000000004</v>
      </c>
      <c r="O809">
        <v>0</v>
      </c>
      <c r="P809">
        <v>15</v>
      </c>
      <c r="Q809">
        <v>5</v>
      </c>
      <c r="R809">
        <v>30</v>
      </c>
      <c r="S809" t="s">
        <v>36331</v>
      </c>
      <c r="U809">
        <v>1.2345872</v>
      </c>
      <c r="V809">
        <v>8.0399999999999991</v>
      </c>
      <c r="X809" t="s">
        <v>4115</v>
      </c>
      <c r="Y809" t="s">
        <v>4091</v>
      </c>
      <c r="Z809" t="s">
        <v>4091</v>
      </c>
      <c r="AA809" t="s">
        <v>2213</v>
      </c>
      <c r="AB809" t="s">
        <v>36344</v>
      </c>
      <c r="AC809" t="s">
        <v>34465</v>
      </c>
      <c r="AD809" t="s">
        <v>9232</v>
      </c>
      <c r="AE809" t="s">
        <v>34525</v>
      </c>
      <c r="AF809" t="s">
        <v>36340</v>
      </c>
      <c r="AG809" t="s">
        <v>36334</v>
      </c>
    </row>
    <row r="810" spans="1:33" x14ac:dyDescent="0.25">
      <c r="A810" t="s">
        <v>34462</v>
      </c>
      <c r="B810" t="s">
        <v>4120</v>
      </c>
      <c r="C810" t="s">
        <v>4122</v>
      </c>
      <c r="D810">
        <v>105.15</v>
      </c>
      <c r="E810">
        <v>105.15</v>
      </c>
      <c r="F810">
        <v>413931</v>
      </c>
      <c r="G810">
        <v>556933</v>
      </c>
      <c r="H810">
        <v>89.25</v>
      </c>
      <c r="I810">
        <v>97.8</v>
      </c>
      <c r="J810">
        <v>0.19</v>
      </c>
      <c r="K810">
        <v>0.74</v>
      </c>
      <c r="L810">
        <v>1</v>
      </c>
      <c r="M810">
        <v>1</v>
      </c>
      <c r="N810">
        <v>4.4000000000000004</v>
      </c>
      <c r="O810">
        <v>0</v>
      </c>
      <c r="P810">
        <v>15</v>
      </c>
      <c r="Q810">
        <v>17</v>
      </c>
      <c r="R810">
        <v>36</v>
      </c>
      <c r="S810" t="s">
        <v>36331</v>
      </c>
      <c r="U810">
        <v>1.1684486000000001</v>
      </c>
      <c r="V810">
        <v>11.89</v>
      </c>
      <c r="W810">
        <v>17.88</v>
      </c>
      <c r="X810" t="s">
        <v>4119</v>
      </c>
      <c r="Y810" t="s">
        <v>4091</v>
      </c>
      <c r="Z810" t="s">
        <v>4091</v>
      </c>
      <c r="AA810" t="s">
        <v>1406</v>
      </c>
      <c r="AB810" t="s">
        <v>36345</v>
      </c>
      <c r="AC810" t="s">
        <v>34465</v>
      </c>
      <c r="AD810" t="s">
        <v>9232</v>
      </c>
      <c r="AE810" t="s">
        <v>34525</v>
      </c>
      <c r="AF810" t="s">
        <v>36346</v>
      </c>
      <c r="AG810" t="s">
        <v>36334</v>
      </c>
    </row>
    <row r="811" spans="1:33" x14ac:dyDescent="0.25">
      <c r="A811" t="s">
        <v>34462</v>
      </c>
      <c r="B811" t="s">
        <v>4124</v>
      </c>
      <c r="C811" t="s">
        <v>4126</v>
      </c>
      <c r="D811">
        <v>77.400000000000006</v>
      </c>
      <c r="E811">
        <v>77.400000000000006</v>
      </c>
      <c r="F811">
        <v>337566</v>
      </c>
      <c r="G811">
        <v>561820</v>
      </c>
      <c r="H811">
        <v>96.88</v>
      </c>
      <c r="I811">
        <v>88.86</v>
      </c>
      <c r="J811">
        <v>7.0000000000000007E-2</v>
      </c>
      <c r="K811">
        <v>0.15</v>
      </c>
      <c r="L811">
        <v>4</v>
      </c>
      <c r="M811">
        <v>6</v>
      </c>
      <c r="N811">
        <v>4.4000000000000004</v>
      </c>
      <c r="O811">
        <v>0</v>
      </c>
      <c r="P811">
        <v>15</v>
      </c>
      <c r="Q811">
        <v>12</v>
      </c>
      <c r="R811">
        <v>40</v>
      </c>
      <c r="S811" t="s">
        <v>36331</v>
      </c>
      <c r="U811">
        <v>1.3007257999999999</v>
      </c>
      <c r="V811">
        <v>7.56</v>
      </c>
      <c r="W811">
        <v>13.16</v>
      </c>
      <c r="X811" t="s">
        <v>4123</v>
      </c>
      <c r="Y811" t="s">
        <v>4091</v>
      </c>
      <c r="Z811" t="s">
        <v>4091</v>
      </c>
      <c r="AA811" t="s">
        <v>76</v>
      </c>
      <c r="AB811" t="s">
        <v>36347</v>
      </c>
      <c r="AC811" t="s">
        <v>34465</v>
      </c>
      <c r="AD811" t="s">
        <v>9232</v>
      </c>
      <c r="AE811" t="s">
        <v>34525</v>
      </c>
      <c r="AF811" t="s">
        <v>36338</v>
      </c>
      <c r="AG811" t="s">
        <v>36334</v>
      </c>
    </row>
    <row r="812" spans="1:33" x14ac:dyDescent="0.25">
      <c r="A812" t="s">
        <v>34462</v>
      </c>
      <c r="B812" t="s">
        <v>4129</v>
      </c>
      <c r="C812" t="s">
        <v>4131</v>
      </c>
      <c r="D812">
        <v>105.15</v>
      </c>
      <c r="E812">
        <v>105.15</v>
      </c>
      <c r="F812">
        <v>594490</v>
      </c>
      <c r="G812">
        <v>558856</v>
      </c>
      <c r="H812">
        <v>77.11</v>
      </c>
      <c r="I812">
        <v>83.47</v>
      </c>
      <c r="J812">
        <v>0.11</v>
      </c>
      <c r="K812">
        <v>1</v>
      </c>
      <c r="L812">
        <v>2</v>
      </c>
      <c r="M812">
        <v>1</v>
      </c>
      <c r="N812">
        <v>4.3</v>
      </c>
      <c r="O812">
        <v>2</v>
      </c>
      <c r="P812">
        <v>14</v>
      </c>
      <c r="Q812">
        <v>8</v>
      </c>
      <c r="R812">
        <v>31</v>
      </c>
      <c r="S812" t="s">
        <v>36331</v>
      </c>
      <c r="U812">
        <v>1.3007257999999999</v>
      </c>
      <c r="V812">
        <v>13.41</v>
      </c>
      <c r="W812">
        <v>17.88</v>
      </c>
      <c r="X812" t="s">
        <v>4128</v>
      </c>
      <c r="Y812" t="s">
        <v>4091</v>
      </c>
      <c r="Z812" t="s">
        <v>4091</v>
      </c>
      <c r="AA812" t="s">
        <v>2213</v>
      </c>
      <c r="AB812" t="s">
        <v>36348</v>
      </c>
      <c r="AC812" t="s">
        <v>34465</v>
      </c>
      <c r="AD812" t="s">
        <v>9232</v>
      </c>
      <c r="AE812" t="s">
        <v>34649</v>
      </c>
      <c r="AF812" t="s">
        <v>36340</v>
      </c>
      <c r="AG812" t="s">
        <v>36334</v>
      </c>
    </row>
    <row r="813" spans="1:33" x14ac:dyDescent="0.25">
      <c r="A813" t="s">
        <v>34462</v>
      </c>
      <c r="B813" t="s">
        <v>4133</v>
      </c>
      <c r="C813" t="s">
        <v>4135</v>
      </c>
      <c r="D813">
        <v>105.15</v>
      </c>
      <c r="E813">
        <v>105.15</v>
      </c>
      <c r="F813">
        <v>459362</v>
      </c>
      <c r="G813">
        <v>574628</v>
      </c>
      <c r="H813">
        <v>94.45</v>
      </c>
      <c r="I813">
        <v>86.01</v>
      </c>
      <c r="J813">
        <v>0.23</v>
      </c>
      <c r="K813">
        <v>0.92</v>
      </c>
      <c r="L813">
        <v>2</v>
      </c>
      <c r="M813">
        <v>2</v>
      </c>
      <c r="N813">
        <v>4.4000000000000004</v>
      </c>
      <c r="O813">
        <v>0</v>
      </c>
      <c r="P813">
        <v>15</v>
      </c>
      <c r="Q813">
        <v>15</v>
      </c>
      <c r="R813">
        <v>45</v>
      </c>
      <c r="S813" t="s">
        <v>36331</v>
      </c>
      <c r="U813">
        <v>1.23017796</v>
      </c>
      <c r="V813">
        <v>7.4</v>
      </c>
      <c r="W813">
        <v>17.88</v>
      </c>
      <c r="X813" t="s">
        <v>4132</v>
      </c>
      <c r="Y813" t="s">
        <v>4091</v>
      </c>
      <c r="Z813" t="s">
        <v>4091</v>
      </c>
      <c r="AA813" t="s">
        <v>1406</v>
      </c>
      <c r="AB813" t="s">
        <v>36349</v>
      </c>
      <c r="AC813" t="s">
        <v>34465</v>
      </c>
      <c r="AD813" t="s">
        <v>9232</v>
      </c>
      <c r="AE813" t="s">
        <v>34649</v>
      </c>
      <c r="AF813" t="s">
        <v>36346</v>
      </c>
      <c r="AG813" t="s">
        <v>36334</v>
      </c>
    </row>
    <row r="814" spans="1:33" x14ac:dyDescent="0.25">
      <c r="A814" t="s">
        <v>34462</v>
      </c>
      <c r="B814" t="s">
        <v>4138</v>
      </c>
      <c r="C814" t="s">
        <v>4140</v>
      </c>
      <c r="D814">
        <v>77.400000000000006</v>
      </c>
      <c r="E814">
        <v>77.400000000000006</v>
      </c>
      <c r="F814">
        <v>459362</v>
      </c>
      <c r="G814">
        <v>577827</v>
      </c>
      <c r="H814">
        <v>98.19</v>
      </c>
      <c r="I814">
        <v>90.96</v>
      </c>
      <c r="J814">
        <v>0</v>
      </c>
      <c r="K814">
        <v>0.04</v>
      </c>
      <c r="L814">
        <v>3</v>
      </c>
      <c r="M814">
        <v>3</v>
      </c>
      <c r="N814">
        <v>4.3</v>
      </c>
      <c r="O814">
        <v>0</v>
      </c>
      <c r="P814">
        <v>12</v>
      </c>
      <c r="Q814">
        <v>12</v>
      </c>
      <c r="R814">
        <v>29</v>
      </c>
      <c r="S814" t="s">
        <v>36331</v>
      </c>
      <c r="U814">
        <v>1.3139535200000001</v>
      </c>
      <c r="V814">
        <v>13.03</v>
      </c>
      <c r="W814">
        <v>13.16</v>
      </c>
      <c r="X814" t="s">
        <v>4137</v>
      </c>
      <c r="Y814" t="s">
        <v>4091</v>
      </c>
      <c r="Z814" t="s">
        <v>4091</v>
      </c>
      <c r="AA814" t="s">
        <v>76</v>
      </c>
      <c r="AB814" t="s">
        <v>36350</v>
      </c>
      <c r="AC814" t="s">
        <v>34493</v>
      </c>
      <c r="AD814" t="s">
        <v>9232</v>
      </c>
      <c r="AE814" t="s">
        <v>34649</v>
      </c>
      <c r="AF814" t="s">
        <v>36343</v>
      </c>
      <c r="AG814" t="s">
        <v>36334</v>
      </c>
    </row>
    <row r="815" spans="1:33" x14ac:dyDescent="0.25">
      <c r="A815" t="s">
        <v>34462</v>
      </c>
      <c r="B815" t="s">
        <v>4143</v>
      </c>
      <c r="C815" t="s">
        <v>4145</v>
      </c>
      <c r="D815">
        <v>77.400000000000006</v>
      </c>
      <c r="E815">
        <v>77.400000000000006</v>
      </c>
      <c r="F815">
        <v>594490</v>
      </c>
      <c r="G815">
        <v>563064</v>
      </c>
      <c r="H815">
        <v>96.7</v>
      </c>
      <c r="I815">
        <v>88.89</v>
      </c>
      <c r="J815">
        <v>0</v>
      </c>
      <c r="K815">
        <v>0</v>
      </c>
      <c r="L815">
        <v>6</v>
      </c>
      <c r="M815">
        <v>6</v>
      </c>
      <c r="N815">
        <v>4.4000000000000004</v>
      </c>
      <c r="O815">
        <v>0</v>
      </c>
      <c r="P815">
        <v>15</v>
      </c>
      <c r="Q815">
        <v>12</v>
      </c>
      <c r="R815">
        <v>43</v>
      </c>
      <c r="S815" t="s">
        <v>36331</v>
      </c>
      <c r="U815">
        <v>1.4793000199999999</v>
      </c>
      <c r="V815">
        <v>11.89</v>
      </c>
      <c r="W815">
        <v>13.16</v>
      </c>
      <c r="X815" t="s">
        <v>4142</v>
      </c>
      <c r="Y815" t="s">
        <v>4091</v>
      </c>
      <c r="Z815" t="s">
        <v>4091</v>
      </c>
      <c r="AA815" t="s">
        <v>76</v>
      </c>
      <c r="AB815" t="s">
        <v>36351</v>
      </c>
      <c r="AC815" t="s">
        <v>34493</v>
      </c>
      <c r="AD815" t="s">
        <v>9232</v>
      </c>
      <c r="AE815" t="s">
        <v>34469</v>
      </c>
      <c r="AF815" t="s">
        <v>36343</v>
      </c>
      <c r="AG815" t="s">
        <v>36334</v>
      </c>
    </row>
    <row r="816" spans="1:33" x14ac:dyDescent="0.25">
      <c r="A816" t="s">
        <v>34462</v>
      </c>
      <c r="B816" t="s">
        <v>4147</v>
      </c>
      <c r="C816" t="s">
        <v>4149</v>
      </c>
      <c r="D816">
        <v>105.15</v>
      </c>
      <c r="E816">
        <v>105.15</v>
      </c>
      <c r="F816">
        <v>648044</v>
      </c>
      <c r="G816">
        <v>556273</v>
      </c>
      <c r="H816">
        <v>103.96</v>
      </c>
      <c r="I816">
        <v>103.96</v>
      </c>
      <c r="J816">
        <v>0</v>
      </c>
      <c r="K816">
        <v>1</v>
      </c>
      <c r="L816">
        <v>2</v>
      </c>
      <c r="M816">
        <v>1</v>
      </c>
      <c r="O816">
        <v>0</v>
      </c>
      <c r="Q816">
        <v>12</v>
      </c>
      <c r="R816">
        <v>44</v>
      </c>
      <c r="S816" t="s">
        <v>36331</v>
      </c>
      <c r="U816">
        <v>1.0802638</v>
      </c>
      <c r="V816">
        <v>11.51</v>
      </c>
      <c r="W816">
        <v>17.88</v>
      </c>
      <c r="X816" t="s">
        <v>4146</v>
      </c>
      <c r="Y816" t="s">
        <v>4091</v>
      </c>
      <c r="Z816" t="s">
        <v>4091</v>
      </c>
      <c r="AA816" t="s">
        <v>1406</v>
      </c>
      <c r="AB816" t="s">
        <v>36352</v>
      </c>
      <c r="AC816" t="s">
        <v>34465</v>
      </c>
      <c r="AD816" t="s">
        <v>9232</v>
      </c>
      <c r="AE816" t="s">
        <v>34469</v>
      </c>
      <c r="AF816" t="s">
        <v>36346</v>
      </c>
      <c r="AG816" t="s">
        <v>36334</v>
      </c>
    </row>
    <row r="817" spans="1:33" x14ac:dyDescent="0.25">
      <c r="A817" t="s">
        <v>34462</v>
      </c>
      <c r="B817" t="s">
        <v>4151</v>
      </c>
      <c r="C817" t="s">
        <v>4153</v>
      </c>
      <c r="D817">
        <v>120</v>
      </c>
      <c r="E817">
        <v>105.15</v>
      </c>
      <c r="F817">
        <v>648044</v>
      </c>
      <c r="G817">
        <v>553158</v>
      </c>
      <c r="H817">
        <v>99.77</v>
      </c>
      <c r="I817">
        <v>96.54</v>
      </c>
      <c r="J817">
        <v>0.24</v>
      </c>
      <c r="K817">
        <v>0.78</v>
      </c>
      <c r="L817">
        <v>2</v>
      </c>
      <c r="M817">
        <v>1</v>
      </c>
      <c r="N817">
        <v>4.4000000000000004</v>
      </c>
      <c r="O817">
        <v>1</v>
      </c>
      <c r="P817">
        <v>15</v>
      </c>
      <c r="Q817">
        <v>9</v>
      </c>
      <c r="R817">
        <v>30</v>
      </c>
      <c r="S817" t="s">
        <v>36331</v>
      </c>
      <c r="U817">
        <v>1.3889106</v>
      </c>
      <c r="V817">
        <v>12.65</v>
      </c>
      <c r="W817">
        <v>20.399999999999999</v>
      </c>
      <c r="X817" t="s">
        <v>4150</v>
      </c>
      <c r="Y817" t="s">
        <v>4091</v>
      </c>
      <c r="Z817" t="s">
        <v>4091</v>
      </c>
      <c r="AA817" t="s">
        <v>2213</v>
      </c>
      <c r="AB817" t="s">
        <v>36353</v>
      </c>
      <c r="AC817" t="s">
        <v>34465</v>
      </c>
      <c r="AD817" t="s">
        <v>9232</v>
      </c>
      <c r="AE817" t="s">
        <v>34469</v>
      </c>
      <c r="AF817" t="s">
        <v>36340</v>
      </c>
      <c r="AG817" t="s">
        <v>36334</v>
      </c>
    </row>
    <row r="818" spans="1:33" x14ac:dyDescent="0.25">
      <c r="A818" t="s">
        <v>34462</v>
      </c>
      <c r="B818" t="s">
        <v>4155</v>
      </c>
      <c r="C818" t="s">
        <v>4158</v>
      </c>
      <c r="D818">
        <v>19.5</v>
      </c>
      <c r="E818">
        <v>19.5</v>
      </c>
      <c r="F818">
        <v>59628</v>
      </c>
      <c r="G818">
        <v>133872</v>
      </c>
      <c r="H818">
        <v>30.73</v>
      </c>
      <c r="I818">
        <v>37.56</v>
      </c>
      <c r="J818">
        <v>0</v>
      </c>
      <c r="K818">
        <v>0</v>
      </c>
      <c r="L818">
        <v>28</v>
      </c>
      <c r="M818">
        <v>28</v>
      </c>
      <c r="N818">
        <v>4.7</v>
      </c>
      <c r="O818">
        <v>1</v>
      </c>
      <c r="P818">
        <v>188</v>
      </c>
      <c r="Q818">
        <v>31</v>
      </c>
      <c r="R818">
        <v>109</v>
      </c>
      <c r="S818" t="s">
        <v>36354</v>
      </c>
      <c r="U818">
        <v>0.67240909999999998</v>
      </c>
      <c r="V818">
        <v>7.66</v>
      </c>
      <c r="W818">
        <v>1.95</v>
      </c>
      <c r="X818" t="s">
        <v>4154</v>
      </c>
      <c r="Y818" t="s">
        <v>4160</v>
      </c>
      <c r="Z818" t="s">
        <v>4160</v>
      </c>
      <c r="AA818" t="s">
        <v>4161</v>
      </c>
      <c r="AB818" t="s">
        <v>36355</v>
      </c>
      <c r="AC818" t="s">
        <v>34493</v>
      </c>
      <c r="AD818" t="s">
        <v>8078</v>
      </c>
      <c r="AE818" t="s">
        <v>34533</v>
      </c>
      <c r="AF818" t="s">
        <v>36356</v>
      </c>
      <c r="AG818" t="s">
        <v>36357</v>
      </c>
    </row>
    <row r="819" spans="1:33" x14ac:dyDescent="0.25">
      <c r="A819" t="s">
        <v>34462</v>
      </c>
      <c r="B819" t="s">
        <v>4163</v>
      </c>
      <c r="C819" t="s">
        <v>4165</v>
      </c>
      <c r="D819">
        <v>35.909999999999997</v>
      </c>
      <c r="E819">
        <v>30.6</v>
      </c>
      <c r="F819">
        <v>59628</v>
      </c>
      <c r="G819">
        <v>131368</v>
      </c>
      <c r="H819">
        <v>38.42</v>
      </c>
      <c r="I819">
        <v>41.04</v>
      </c>
      <c r="J819">
        <v>0</v>
      </c>
      <c r="K819">
        <v>0</v>
      </c>
      <c r="L819">
        <v>21</v>
      </c>
      <c r="M819">
        <v>21</v>
      </c>
      <c r="N819">
        <v>4.7</v>
      </c>
      <c r="O819">
        <v>3</v>
      </c>
      <c r="P819">
        <v>188</v>
      </c>
      <c r="Q819">
        <v>22</v>
      </c>
      <c r="R819">
        <v>81</v>
      </c>
      <c r="S819" t="s">
        <v>36354</v>
      </c>
      <c r="U819">
        <v>0.67240909999999998</v>
      </c>
      <c r="V819">
        <v>6.67</v>
      </c>
      <c r="W819">
        <v>6.1</v>
      </c>
      <c r="X819" t="s">
        <v>4162</v>
      </c>
      <c r="Y819" t="s">
        <v>4160</v>
      </c>
      <c r="Z819" t="s">
        <v>4160</v>
      </c>
      <c r="AA819" t="s">
        <v>153</v>
      </c>
      <c r="AB819" t="s">
        <v>36358</v>
      </c>
      <c r="AC819" t="s">
        <v>34493</v>
      </c>
      <c r="AD819" t="s">
        <v>8078</v>
      </c>
      <c r="AE819" t="s">
        <v>34533</v>
      </c>
      <c r="AF819" t="s">
        <v>36359</v>
      </c>
      <c r="AG819" t="s">
        <v>36357</v>
      </c>
    </row>
    <row r="820" spans="1:33" x14ac:dyDescent="0.25">
      <c r="A820" t="s">
        <v>34462</v>
      </c>
      <c r="B820" t="s">
        <v>4167</v>
      </c>
      <c r="C820" t="s">
        <v>4169</v>
      </c>
      <c r="D820">
        <v>38.979999999999997</v>
      </c>
      <c r="E820">
        <v>30.6</v>
      </c>
      <c r="F820">
        <v>59628</v>
      </c>
      <c r="G820">
        <v>131644</v>
      </c>
      <c r="H820">
        <v>41.04</v>
      </c>
      <c r="I820">
        <v>42.28</v>
      </c>
      <c r="J820">
        <v>0</v>
      </c>
      <c r="K820">
        <v>0.03</v>
      </c>
      <c r="L820">
        <v>17</v>
      </c>
      <c r="M820">
        <v>17</v>
      </c>
      <c r="N820">
        <v>4.7</v>
      </c>
      <c r="O820">
        <v>3</v>
      </c>
      <c r="P820">
        <v>188</v>
      </c>
      <c r="Q820">
        <v>31</v>
      </c>
      <c r="R820">
        <v>89</v>
      </c>
      <c r="S820" t="s">
        <v>36354</v>
      </c>
      <c r="U820">
        <v>0.83775560000000004</v>
      </c>
      <c r="V820">
        <v>8.0399999999999991</v>
      </c>
      <c r="W820">
        <v>6.62</v>
      </c>
      <c r="X820" t="s">
        <v>4166</v>
      </c>
      <c r="Y820" t="s">
        <v>4160</v>
      </c>
      <c r="Z820" t="s">
        <v>4160</v>
      </c>
      <c r="AA820" t="s">
        <v>4161</v>
      </c>
      <c r="AB820" t="s">
        <v>36360</v>
      </c>
      <c r="AC820" t="s">
        <v>34493</v>
      </c>
      <c r="AD820" t="s">
        <v>8078</v>
      </c>
      <c r="AE820" t="s">
        <v>34469</v>
      </c>
      <c r="AF820" t="s">
        <v>36356</v>
      </c>
      <c r="AG820" t="s">
        <v>36357</v>
      </c>
    </row>
    <row r="821" spans="1:33" x14ac:dyDescent="0.25">
      <c r="A821" t="s">
        <v>34462</v>
      </c>
      <c r="B821" t="s">
        <v>4171</v>
      </c>
      <c r="C821" t="s">
        <v>4174</v>
      </c>
      <c r="D821">
        <v>17.579999999999998</v>
      </c>
      <c r="E821">
        <v>17.579999999999998</v>
      </c>
      <c r="F821">
        <v>166733</v>
      </c>
      <c r="G821">
        <v>115674</v>
      </c>
      <c r="H821">
        <v>24.92</v>
      </c>
      <c r="I821">
        <v>22.61</v>
      </c>
      <c r="J821">
        <v>0</v>
      </c>
      <c r="K821">
        <v>0.99</v>
      </c>
      <c r="L821">
        <v>11</v>
      </c>
      <c r="M821">
        <v>11</v>
      </c>
      <c r="N821">
        <v>4.7</v>
      </c>
      <c r="O821">
        <v>4</v>
      </c>
      <c r="P821">
        <v>650</v>
      </c>
      <c r="Q821">
        <v>34</v>
      </c>
      <c r="R821">
        <v>105</v>
      </c>
      <c r="S821" t="s">
        <v>36361</v>
      </c>
      <c r="U821">
        <v>0.31085141999999999</v>
      </c>
      <c r="V821">
        <v>5.05</v>
      </c>
      <c r="X821" t="s">
        <v>4170</v>
      </c>
      <c r="Y821" t="s">
        <v>4175</v>
      </c>
      <c r="Z821" t="s">
        <v>4175</v>
      </c>
      <c r="AA821" t="s">
        <v>4176</v>
      </c>
      <c r="AB821" t="s">
        <v>36362</v>
      </c>
      <c r="AC821" t="s">
        <v>34465</v>
      </c>
      <c r="AD821" t="s">
        <v>8078</v>
      </c>
      <c r="AE821" t="s">
        <v>34525</v>
      </c>
      <c r="AF821" t="s">
        <v>36363</v>
      </c>
      <c r="AG821" t="s">
        <v>36225</v>
      </c>
    </row>
    <row r="822" spans="1:33" x14ac:dyDescent="0.25">
      <c r="A822" t="s">
        <v>34462</v>
      </c>
      <c r="B822" t="s">
        <v>4178</v>
      </c>
      <c r="C822" t="s">
        <v>4181</v>
      </c>
      <c r="D822">
        <v>27.05</v>
      </c>
      <c r="E822">
        <v>19.100000000000001</v>
      </c>
      <c r="F822">
        <v>5776832</v>
      </c>
      <c r="G822">
        <v>5438747</v>
      </c>
      <c r="H822">
        <v>30.63</v>
      </c>
      <c r="I822">
        <v>30.63</v>
      </c>
      <c r="J822">
        <v>0</v>
      </c>
      <c r="K822">
        <v>1</v>
      </c>
      <c r="L822">
        <v>1</v>
      </c>
      <c r="M822">
        <v>1</v>
      </c>
      <c r="O822">
        <v>0</v>
      </c>
      <c r="Q822">
        <v>0</v>
      </c>
      <c r="R822">
        <v>0</v>
      </c>
      <c r="U822">
        <v>0.29100984000000002</v>
      </c>
      <c r="V822">
        <v>5.05</v>
      </c>
      <c r="W822">
        <v>4.5999999999999996</v>
      </c>
      <c r="X822" t="s">
        <v>4177</v>
      </c>
      <c r="Y822" t="s">
        <v>36364</v>
      </c>
      <c r="Z822" t="s">
        <v>4182</v>
      </c>
      <c r="AA822" t="s">
        <v>1085</v>
      </c>
      <c r="AB822" t="s">
        <v>36365</v>
      </c>
      <c r="AC822" t="s">
        <v>34465</v>
      </c>
      <c r="AD822" t="s">
        <v>12519</v>
      </c>
      <c r="AE822" t="s">
        <v>34533</v>
      </c>
      <c r="AF822" t="s">
        <v>36366</v>
      </c>
    </row>
    <row r="823" spans="1:33" x14ac:dyDescent="0.25">
      <c r="A823" t="s">
        <v>34462</v>
      </c>
      <c r="B823" t="s">
        <v>4184</v>
      </c>
      <c r="C823" t="s">
        <v>4186</v>
      </c>
      <c r="D823">
        <v>26.96</v>
      </c>
      <c r="E823">
        <v>19.100000000000001</v>
      </c>
      <c r="F823">
        <v>4507691</v>
      </c>
      <c r="G823">
        <v>4252000</v>
      </c>
      <c r="H823">
        <v>26.98</v>
      </c>
      <c r="I823">
        <v>27.85</v>
      </c>
      <c r="J823">
        <v>0</v>
      </c>
      <c r="K823">
        <v>1</v>
      </c>
      <c r="L823">
        <v>3</v>
      </c>
      <c r="M823">
        <v>3</v>
      </c>
      <c r="N823">
        <v>5</v>
      </c>
      <c r="O823">
        <v>1</v>
      </c>
      <c r="P823">
        <v>1</v>
      </c>
      <c r="Q823">
        <v>0</v>
      </c>
      <c r="R823">
        <v>0</v>
      </c>
      <c r="U823">
        <v>0.33069300000000001</v>
      </c>
      <c r="V823">
        <v>4.6100000000000003</v>
      </c>
      <c r="W823">
        <v>4.58</v>
      </c>
      <c r="X823" t="s">
        <v>4183</v>
      </c>
      <c r="Y823" t="s">
        <v>36364</v>
      </c>
      <c r="Z823" t="s">
        <v>4182</v>
      </c>
      <c r="AA823" t="s">
        <v>1085</v>
      </c>
      <c r="AB823" t="s">
        <v>36367</v>
      </c>
      <c r="AC823" t="s">
        <v>34465</v>
      </c>
      <c r="AD823" t="s">
        <v>12519</v>
      </c>
      <c r="AE823" t="s">
        <v>14701</v>
      </c>
      <c r="AF823" t="s">
        <v>36366</v>
      </c>
    </row>
    <row r="824" spans="1:33" x14ac:dyDescent="0.25">
      <c r="A824" t="s">
        <v>34462</v>
      </c>
      <c r="B824" t="s">
        <v>4189</v>
      </c>
      <c r="C824" t="s">
        <v>4191</v>
      </c>
      <c r="D824">
        <v>25.96</v>
      </c>
      <c r="E824">
        <v>19.100000000000001</v>
      </c>
      <c r="F824">
        <v>4069597</v>
      </c>
      <c r="G824">
        <v>3603856</v>
      </c>
      <c r="H824">
        <v>25.99</v>
      </c>
      <c r="I824">
        <v>26.06</v>
      </c>
      <c r="J824">
        <v>0</v>
      </c>
      <c r="K824">
        <v>1</v>
      </c>
      <c r="L824">
        <v>3</v>
      </c>
      <c r="M824">
        <v>3</v>
      </c>
      <c r="N824">
        <v>5</v>
      </c>
      <c r="O824">
        <v>3</v>
      </c>
      <c r="P824">
        <v>3</v>
      </c>
      <c r="Q824">
        <v>0</v>
      </c>
      <c r="R824">
        <v>1</v>
      </c>
      <c r="U824">
        <v>0.37037616000000001</v>
      </c>
      <c r="V824">
        <v>5.82</v>
      </c>
      <c r="W824">
        <v>4.42</v>
      </c>
      <c r="X824" t="s">
        <v>4188</v>
      </c>
      <c r="Y824" t="s">
        <v>36364</v>
      </c>
      <c r="Z824" t="s">
        <v>4182</v>
      </c>
      <c r="AA824" t="s">
        <v>1085</v>
      </c>
      <c r="AB824" t="s">
        <v>36368</v>
      </c>
      <c r="AC824" t="s">
        <v>34465</v>
      </c>
      <c r="AD824" t="s">
        <v>12519</v>
      </c>
      <c r="AE824" t="s">
        <v>34525</v>
      </c>
      <c r="AF824" t="s">
        <v>36366</v>
      </c>
    </row>
    <row r="825" spans="1:33" x14ac:dyDescent="0.25">
      <c r="A825" t="s">
        <v>34462</v>
      </c>
      <c r="B825" t="s">
        <v>4194</v>
      </c>
      <c r="C825" t="s">
        <v>4196</v>
      </c>
      <c r="D825">
        <v>27.05</v>
      </c>
      <c r="E825">
        <v>19.100000000000001</v>
      </c>
      <c r="F825">
        <v>5032085</v>
      </c>
      <c r="G825">
        <v>4739940</v>
      </c>
      <c r="H825">
        <v>27.51</v>
      </c>
      <c r="I825">
        <v>27.48</v>
      </c>
      <c r="J825">
        <v>0</v>
      </c>
      <c r="K825">
        <v>1</v>
      </c>
      <c r="L825">
        <v>1</v>
      </c>
      <c r="M825">
        <v>1</v>
      </c>
      <c r="N825">
        <v>3</v>
      </c>
      <c r="O825">
        <v>0</v>
      </c>
      <c r="P825">
        <v>1</v>
      </c>
      <c r="Q825">
        <v>0</v>
      </c>
      <c r="R825">
        <v>0</v>
      </c>
      <c r="U825">
        <v>0.39903622</v>
      </c>
      <c r="V825">
        <v>5.05</v>
      </c>
      <c r="W825">
        <v>4.5999999999999996</v>
      </c>
      <c r="X825" t="s">
        <v>4193</v>
      </c>
      <c r="Y825" t="s">
        <v>36364</v>
      </c>
      <c r="Z825" t="s">
        <v>4182</v>
      </c>
      <c r="AA825" t="s">
        <v>1085</v>
      </c>
      <c r="AB825" t="s">
        <v>36369</v>
      </c>
      <c r="AC825" t="s">
        <v>34465</v>
      </c>
      <c r="AD825" t="s">
        <v>12519</v>
      </c>
      <c r="AE825" t="s">
        <v>34649</v>
      </c>
      <c r="AF825" t="s">
        <v>36366</v>
      </c>
    </row>
    <row r="826" spans="1:33" x14ac:dyDescent="0.25">
      <c r="A826" t="s">
        <v>34462</v>
      </c>
      <c r="B826" t="s">
        <v>4198</v>
      </c>
      <c r="C826" t="s">
        <v>4201</v>
      </c>
      <c r="D826">
        <v>44.99</v>
      </c>
      <c r="E826">
        <v>44.99</v>
      </c>
      <c r="F826">
        <v>1492196</v>
      </c>
      <c r="G826">
        <v>5432934</v>
      </c>
      <c r="H826">
        <v>27.9</v>
      </c>
      <c r="I826">
        <v>34.68</v>
      </c>
      <c r="J826">
        <v>0</v>
      </c>
      <c r="K826">
        <v>1</v>
      </c>
      <c r="L826">
        <v>1</v>
      </c>
      <c r="M826">
        <v>1</v>
      </c>
      <c r="O826">
        <v>0</v>
      </c>
      <c r="Q826">
        <v>1</v>
      </c>
      <c r="R826">
        <v>1</v>
      </c>
      <c r="S826" t="s">
        <v>36370</v>
      </c>
      <c r="U826">
        <v>1.06042222</v>
      </c>
      <c r="V826">
        <v>5.77</v>
      </c>
      <c r="X826" t="s">
        <v>4197</v>
      </c>
      <c r="Y826" t="s">
        <v>36371</v>
      </c>
      <c r="AA826" t="s">
        <v>76</v>
      </c>
      <c r="AB826" t="s">
        <v>36372</v>
      </c>
      <c r="AC826" t="s">
        <v>34465</v>
      </c>
      <c r="AD826" t="s">
        <v>17415</v>
      </c>
      <c r="AE826" t="s">
        <v>36373</v>
      </c>
      <c r="AF826" t="s">
        <v>36374</v>
      </c>
    </row>
    <row r="827" spans="1:33" x14ac:dyDescent="0.25">
      <c r="A827" t="s">
        <v>34462</v>
      </c>
      <c r="B827" t="s">
        <v>4203</v>
      </c>
      <c r="C827" t="s">
        <v>4206</v>
      </c>
      <c r="D827">
        <v>10.99</v>
      </c>
      <c r="E827">
        <v>10.99</v>
      </c>
      <c r="F827">
        <v>1878420</v>
      </c>
      <c r="G827">
        <v>5015556</v>
      </c>
      <c r="H827">
        <v>13.67</v>
      </c>
      <c r="I827">
        <v>16.97</v>
      </c>
      <c r="J827">
        <v>0</v>
      </c>
      <c r="K827">
        <v>1</v>
      </c>
      <c r="L827">
        <v>10</v>
      </c>
      <c r="M827">
        <v>9</v>
      </c>
      <c r="O827">
        <v>0</v>
      </c>
      <c r="Q827">
        <v>3</v>
      </c>
      <c r="R827">
        <v>3</v>
      </c>
      <c r="S827" t="s">
        <v>36375</v>
      </c>
      <c r="U827">
        <v>0.44533324000000002</v>
      </c>
      <c r="V827">
        <v>5.05</v>
      </c>
      <c r="W827">
        <v>0.55000000000000004</v>
      </c>
      <c r="X827" t="s">
        <v>4202</v>
      </c>
      <c r="AA827" t="s">
        <v>4208</v>
      </c>
      <c r="AB827" t="s">
        <v>36376</v>
      </c>
      <c r="AC827" t="s">
        <v>34465</v>
      </c>
      <c r="AD827" t="s">
        <v>11496</v>
      </c>
      <c r="AE827" t="s">
        <v>34832</v>
      </c>
      <c r="AF827" t="s">
        <v>36377</v>
      </c>
      <c r="AG827" t="s">
        <v>36378</v>
      </c>
    </row>
    <row r="828" spans="1:33" x14ac:dyDescent="0.25">
      <c r="A828" t="s">
        <v>34462</v>
      </c>
      <c r="B828" t="s">
        <v>4210</v>
      </c>
      <c r="C828" t="s">
        <v>4212</v>
      </c>
      <c r="D828">
        <v>21.03</v>
      </c>
      <c r="E828">
        <v>21.03</v>
      </c>
      <c r="F828">
        <v>316879</v>
      </c>
      <c r="G828">
        <v>1627101</v>
      </c>
      <c r="H828">
        <v>27.96</v>
      </c>
      <c r="I828">
        <v>27.3</v>
      </c>
      <c r="J828">
        <v>0</v>
      </c>
      <c r="K828">
        <v>1</v>
      </c>
      <c r="L828">
        <v>3</v>
      </c>
      <c r="M828">
        <v>3</v>
      </c>
      <c r="N828">
        <v>5</v>
      </c>
      <c r="O828">
        <v>0</v>
      </c>
      <c r="P828">
        <v>3</v>
      </c>
      <c r="Q828">
        <v>19</v>
      </c>
      <c r="R828">
        <v>39</v>
      </c>
      <c r="S828" t="s">
        <v>36379</v>
      </c>
      <c r="U828">
        <v>0.44533324000000002</v>
      </c>
      <c r="V828">
        <v>5.05</v>
      </c>
      <c r="W828">
        <v>3.58</v>
      </c>
      <c r="X828" t="s">
        <v>4209</v>
      </c>
      <c r="AA828" t="s">
        <v>4208</v>
      </c>
      <c r="AB828" t="s">
        <v>36380</v>
      </c>
      <c r="AC828" t="s">
        <v>34465</v>
      </c>
      <c r="AD828" t="s">
        <v>11496</v>
      </c>
      <c r="AE828" t="s">
        <v>34835</v>
      </c>
      <c r="AF828" t="s">
        <v>36377</v>
      </c>
      <c r="AG828" t="s">
        <v>36381</v>
      </c>
    </row>
    <row r="829" spans="1:33" x14ac:dyDescent="0.25">
      <c r="A829" t="s">
        <v>34462</v>
      </c>
      <c r="B829" t="s">
        <v>4215</v>
      </c>
      <c r="C829" t="s">
        <v>4217</v>
      </c>
      <c r="D829">
        <v>29.68</v>
      </c>
      <c r="E829">
        <v>29.68</v>
      </c>
      <c r="F829">
        <v>241937</v>
      </c>
      <c r="G829">
        <v>966622</v>
      </c>
      <c r="H829">
        <v>26.46</v>
      </c>
      <c r="I829">
        <v>26.87</v>
      </c>
      <c r="J829">
        <v>0</v>
      </c>
      <c r="K829">
        <v>1</v>
      </c>
      <c r="L829">
        <v>5</v>
      </c>
      <c r="M829">
        <v>3</v>
      </c>
      <c r="N829">
        <v>5</v>
      </c>
      <c r="O829">
        <v>1</v>
      </c>
      <c r="P829">
        <v>3</v>
      </c>
      <c r="Q829">
        <v>13</v>
      </c>
      <c r="R829">
        <v>31</v>
      </c>
      <c r="S829" t="s">
        <v>36379</v>
      </c>
      <c r="U829">
        <v>0.44533324000000002</v>
      </c>
      <c r="V829">
        <v>5.05</v>
      </c>
      <c r="W829">
        <v>5.05</v>
      </c>
      <c r="X829" t="s">
        <v>4214</v>
      </c>
      <c r="AA829" t="s">
        <v>4208</v>
      </c>
      <c r="AB829" t="s">
        <v>36382</v>
      </c>
      <c r="AC829" t="s">
        <v>34465</v>
      </c>
      <c r="AD829" t="s">
        <v>11496</v>
      </c>
      <c r="AE829" t="s">
        <v>36383</v>
      </c>
      <c r="AF829" t="s">
        <v>36384</v>
      </c>
      <c r="AG829" t="s">
        <v>36381</v>
      </c>
    </row>
    <row r="830" spans="1:33" x14ac:dyDescent="0.25">
      <c r="A830" t="s">
        <v>34462</v>
      </c>
      <c r="B830" t="s">
        <v>4219</v>
      </c>
      <c r="C830" t="s">
        <v>4220</v>
      </c>
      <c r="D830">
        <v>32</v>
      </c>
      <c r="E830">
        <v>32</v>
      </c>
      <c r="G830">
        <v>655040</v>
      </c>
      <c r="H830">
        <v>29.62</v>
      </c>
      <c r="I830">
        <v>29.62</v>
      </c>
      <c r="J830">
        <v>0</v>
      </c>
      <c r="K830">
        <v>1</v>
      </c>
      <c r="L830">
        <v>1</v>
      </c>
      <c r="M830">
        <v>1</v>
      </c>
      <c r="N830">
        <v>5</v>
      </c>
      <c r="O830">
        <v>0</v>
      </c>
      <c r="P830">
        <v>5</v>
      </c>
      <c r="Q830">
        <v>0</v>
      </c>
      <c r="R830">
        <v>10</v>
      </c>
      <c r="X830" t="s">
        <v>4214</v>
      </c>
      <c r="AA830" t="s">
        <v>4221</v>
      </c>
      <c r="AB830" t="s">
        <v>36382</v>
      </c>
      <c r="AC830" t="s">
        <v>34465</v>
      </c>
      <c r="AD830" t="s">
        <v>11496</v>
      </c>
      <c r="AE830" t="s">
        <v>34512</v>
      </c>
      <c r="AG830" t="s">
        <v>36381</v>
      </c>
    </row>
    <row r="831" spans="1:33" x14ac:dyDescent="0.25">
      <c r="A831" t="s">
        <v>34462</v>
      </c>
      <c r="B831" t="s">
        <v>4223</v>
      </c>
      <c r="C831" t="s">
        <v>4226</v>
      </c>
      <c r="J831">
        <v>1</v>
      </c>
      <c r="K831">
        <v>1</v>
      </c>
      <c r="Q831">
        <v>-1</v>
      </c>
      <c r="R831">
        <v>-1</v>
      </c>
      <c r="X831" t="s">
        <v>4222</v>
      </c>
      <c r="AB831" t="s">
        <v>36385</v>
      </c>
      <c r="AC831" t="s">
        <v>34465</v>
      </c>
      <c r="AD831" t="s">
        <v>34997</v>
      </c>
      <c r="AF831" t="s">
        <v>36386</v>
      </c>
    </row>
    <row r="832" spans="1:33" x14ac:dyDescent="0.25">
      <c r="A832" t="s">
        <v>34462</v>
      </c>
      <c r="B832" t="s">
        <v>4229</v>
      </c>
      <c r="C832" t="s">
        <v>4232</v>
      </c>
      <c r="D832">
        <v>66</v>
      </c>
      <c r="E832">
        <v>66</v>
      </c>
      <c r="F832">
        <v>931412</v>
      </c>
      <c r="G832">
        <v>920363</v>
      </c>
      <c r="H832">
        <v>100.3</v>
      </c>
      <c r="I832">
        <v>115.1</v>
      </c>
      <c r="J832">
        <v>0</v>
      </c>
      <c r="K832">
        <v>0.03</v>
      </c>
      <c r="L832">
        <v>4</v>
      </c>
      <c r="M832">
        <v>3</v>
      </c>
      <c r="N832">
        <v>5</v>
      </c>
      <c r="O832">
        <v>0</v>
      </c>
      <c r="P832">
        <v>4</v>
      </c>
      <c r="Q832">
        <v>6</v>
      </c>
      <c r="R832">
        <v>30</v>
      </c>
      <c r="S832" t="s">
        <v>36387</v>
      </c>
      <c r="U832">
        <v>2.6499532399999999</v>
      </c>
      <c r="V832">
        <v>14.55</v>
      </c>
      <c r="W832">
        <v>11.22</v>
      </c>
      <c r="X832" t="s">
        <v>4228</v>
      </c>
      <c r="Y832" t="s">
        <v>4233</v>
      </c>
      <c r="Z832" t="s">
        <v>4233</v>
      </c>
      <c r="AA832" t="s">
        <v>4234</v>
      </c>
      <c r="AB832" t="s">
        <v>36388</v>
      </c>
      <c r="AC832" t="s">
        <v>34493</v>
      </c>
      <c r="AD832" t="s">
        <v>9232</v>
      </c>
      <c r="AE832" t="s">
        <v>34533</v>
      </c>
      <c r="AF832" t="s">
        <v>36389</v>
      </c>
      <c r="AG832" t="s">
        <v>35103</v>
      </c>
    </row>
    <row r="833" spans="1:33" x14ac:dyDescent="0.25">
      <c r="A833" t="s">
        <v>34462</v>
      </c>
      <c r="B833" t="s">
        <v>4236</v>
      </c>
      <c r="C833" t="s">
        <v>4238</v>
      </c>
      <c r="D833">
        <v>100.8</v>
      </c>
      <c r="E833">
        <v>100.8</v>
      </c>
      <c r="F833">
        <v>931412</v>
      </c>
      <c r="G833">
        <v>897265</v>
      </c>
      <c r="H833">
        <v>87.37</v>
      </c>
      <c r="I833">
        <v>98.71</v>
      </c>
      <c r="J833">
        <v>0</v>
      </c>
      <c r="K833">
        <v>0.74</v>
      </c>
      <c r="L833">
        <v>4</v>
      </c>
      <c r="M833">
        <v>5</v>
      </c>
      <c r="O833">
        <v>0</v>
      </c>
      <c r="Q833">
        <v>8</v>
      </c>
      <c r="R833">
        <v>33</v>
      </c>
      <c r="S833" t="s">
        <v>36387</v>
      </c>
      <c r="U833">
        <v>2.5992469800000002</v>
      </c>
      <c r="V833">
        <v>14.55</v>
      </c>
      <c r="W833">
        <v>17.14</v>
      </c>
      <c r="X833" t="s">
        <v>4235</v>
      </c>
      <c r="Y833" t="s">
        <v>4233</v>
      </c>
      <c r="Z833" t="s">
        <v>4233</v>
      </c>
      <c r="AA833" t="s">
        <v>4239</v>
      </c>
      <c r="AB833" t="s">
        <v>36390</v>
      </c>
      <c r="AC833" t="s">
        <v>34465</v>
      </c>
      <c r="AD833" t="s">
        <v>9232</v>
      </c>
      <c r="AE833" t="s">
        <v>34533</v>
      </c>
      <c r="AF833" t="s">
        <v>36391</v>
      </c>
      <c r="AG833" t="s">
        <v>35103</v>
      </c>
    </row>
    <row r="834" spans="1:33" x14ac:dyDescent="0.25">
      <c r="A834" t="s">
        <v>34462</v>
      </c>
      <c r="B834" t="s">
        <v>4241</v>
      </c>
      <c r="C834" t="s">
        <v>4243</v>
      </c>
      <c r="D834">
        <v>99.99</v>
      </c>
      <c r="E834">
        <v>99.99</v>
      </c>
      <c r="F834">
        <v>931412</v>
      </c>
      <c r="G834">
        <v>900367</v>
      </c>
      <c r="H834">
        <v>83.06</v>
      </c>
      <c r="I834">
        <v>96.48</v>
      </c>
      <c r="J834">
        <v>0</v>
      </c>
      <c r="K834">
        <v>0.04</v>
      </c>
      <c r="L834">
        <v>6</v>
      </c>
      <c r="M834">
        <v>7</v>
      </c>
      <c r="N834">
        <v>5</v>
      </c>
      <c r="O834">
        <v>0</v>
      </c>
      <c r="P834">
        <v>4</v>
      </c>
      <c r="Q834">
        <v>6</v>
      </c>
      <c r="R834">
        <v>29</v>
      </c>
      <c r="S834" t="s">
        <v>36387</v>
      </c>
      <c r="U834">
        <v>2.6896363999999999</v>
      </c>
      <c r="V834">
        <v>14.55</v>
      </c>
      <c r="W834">
        <v>17</v>
      </c>
      <c r="X834" t="s">
        <v>4240</v>
      </c>
      <c r="Y834" t="s">
        <v>4233</v>
      </c>
      <c r="Z834" t="s">
        <v>4233</v>
      </c>
      <c r="AA834" t="s">
        <v>4239</v>
      </c>
      <c r="AB834" t="s">
        <v>36392</v>
      </c>
      <c r="AC834" t="s">
        <v>34493</v>
      </c>
      <c r="AD834" t="s">
        <v>9232</v>
      </c>
      <c r="AE834" t="s">
        <v>14701</v>
      </c>
      <c r="AF834" t="s">
        <v>36391</v>
      </c>
      <c r="AG834" t="s">
        <v>35103</v>
      </c>
    </row>
    <row r="835" spans="1:33" x14ac:dyDescent="0.25">
      <c r="A835" t="s">
        <v>34462</v>
      </c>
      <c r="B835" t="s">
        <v>4245</v>
      </c>
      <c r="C835" t="s">
        <v>4247</v>
      </c>
      <c r="D835">
        <v>102.67</v>
      </c>
      <c r="E835">
        <v>102.67</v>
      </c>
      <c r="F835">
        <v>931412</v>
      </c>
      <c r="G835">
        <v>876186</v>
      </c>
      <c r="H835">
        <v>113.22</v>
      </c>
      <c r="I835">
        <v>135.22999999999999</v>
      </c>
      <c r="J835">
        <v>0</v>
      </c>
      <c r="K835">
        <v>0</v>
      </c>
      <c r="L835">
        <v>3</v>
      </c>
      <c r="M835">
        <v>3</v>
      </c>
      <c r="N835">
        <v>5</v>
      </c>
      <c r="O835">
        <v>0</v>
      </c>
      <c r="P835">
        <v>4</v>
      </c>
      <c r="Q835">
        <v>6</v>
      </c>
      <c r="R835">
        <v>29</v>
      </c>
      <c r="S835" t="s">
        <v>36387</v>
      </c>
      <c r="U835">
        <v>2.4691744</v>
      </c>
      <c r="V835">
        <v>14.55</v>
      </c>
      <c r="W835">
        <v>17.45</v>
      </c>
      <c r="X835" t="s">
        <v>4244</v>
      </c>
      <c r="Y835" t="s">
        <v>4233</v>
      </c>
      <c r="Z835" t="s">
        <v>4233</v>
      </c>
      <c r="AA835" t="s">
        <v>4248</v>
      </c>
      <c r="AB835" t="s">
        <v>36393</v>
      </c>
      <c r="AC835" t="s">
        <v>34493</v>
      </c>
      <c r="AD835" t="s">
        <v>9232</v>
      </c>
      <c r="AE835" t="s">
        <v>14701</v>
      </c>
      <c r="AF835" t="s">
        <v>36394</v>
      </c>
      <c r="AG835" t="s">
        <v>35103</v>
      </c>
    </row>
    <row r="836" spans="1:33" x14ac:dyDescent="0.25">
      <c r="A836" t="s">
        <v>34462</v>
      </c>
      <c r="B836" t="s">
        <v>4250</v>
      </c>
      <c r="C836" t="s">
        <v>4252</v>
      </c>
      <c r="D836">
        <v>119.95</v>
      </c>
      <c r="E836">
        <v>119.95</v>
      </c>
      <c r="F836">
        <v>931412</v>
      </c>
      <c r="G836">
        <v>892562</v>
      </c>
      <c r="H836">
        <v>101.15</v>
      </c>
      <c r="I836">
        <v>111.69</v>
      </c>
      <c r="J836">
        <v>0</v>
      </c>
      <c r="K836">
        <v>0.57999999999999996</v>
      </c>
      <c r="L836">
        <v>5</v>
      </c>
      <c r="M836">
        <v>4</v>
      </c>
      <c r="N836">
        <v>5</v>
      </c>
      <c r="O836">
        <v>1</v>
      </c>
      <c r="P836">
        <v>4</v>
      </c>
      <c r="Q836">
        <v>7</v>
      </c>
      <c r="R836">
        <v>29</v>
      </c>
      <c r="S836" t="s">
        <v>36387</v>
      </c>
      <c r="U836">
        <v>2.7601842400000001</v>
      </c>
      <c r="V836">
        <v>13.41</v>
      </c>
      <c r="X836" t="s">
        <v>4249</v>
      </c>
      <c r="Y836" t="s">
        <v>4233</v>
      </c>
      <c r="Z836" t="s">
        <v>4233</v>
      </c>
      <c r="AA836" t="s">
        <v>4234</v>
      </c>
      <c r="AB836" t="s">
        <v>36395</v>
      </c>
      <c r="AC836" t="s">
        <v>34465</v>
      </c>
      <c r="AD836" t="s">
        <v>9232</v>
      </c>
      <c r="AE836" t="s">
        <v>14701</v>
      </c>
      <c r="AF836" t="s">
        <v>36389</v>
      </c>
      <c r="AG836" t="s">
        <v>35103</v>
      </c>
    </row>
    <row r="837" spans="1:33" x14ac:dyDescent="0.25">
      <c r="A837" t="s">
        <v>34462</v>
      </c>
      <c r="B837" t="s">
        <v>4254</v>
      </c>
      <c r="C837" t="s">
        <v>4256</v>
      </c>
      <c r="D837">
        <v>66</v>
      </c>
      <c r="E837">
        <v>66</v>
      </c>
      <c r="F837">
        <v>931412</v>
      </c>
      <c r="G837">
        <v>898985</v>
      </c>
      <c r="H837">
        <v>84.88</v>
      </c>
      <c r="I837">
        <v>103.66</v>
      </c>
      <c r="J837">
        <v>0</v>
      </c>
      <c r="K837">
        <v>0</v>
      </c>
      <c r="L837">
        <v>6</v>
      </c>
      <c r="M837">
        <v>6</v>
      </c>
      <c r="N837">
        <v>5</v>
      </c>
      <c r="O837">
        <v>1</v>
      </c>
      <c r="P837">
        <v>4</v>
      </c>
      <c r="Q837">
        <v>5</v>
      </c>
      <c r="R837">
        <v>24</v>
      </c>
      <c r="S837" t="s">
        <v>36387</v>
      </c>
      <c r="U837">
        <v>2.6896363999999999</v>
      </c>
      <c r="V837">
        <v>15.31</v>
      </c>
      <c r="W837">
        <v>11.22</v>
      </c>
      <c r="X837" t="s">
        <v>4253</v>
      </c>
      <c r="Y837" t="s">
        <v>4233</v>
      </c>
      <c r="Z837" t="s">
        <v>4233</v>
      </c>
      <c r="AA837" t="s">
        <v>4257</v>
      </c>
      <c r="AB837" t="s">
        <v>36396</v>
      </c>
      <c r="AC837" t="s">
        <v>34493</v>
      </c>
      <c r="AD837" t="s">
        <v>9232</v>
      </c>
      <c r="AE837" t="s">
        <v>14701</v>
      </c>
      <c r="AF837" t="s">
        <v>36397</v>
      </c>
      <c r="AG837" t="s">
        <v>35103</v>
      </c>
    </row>
    <row r="838" spans="1:33" x14ac:dyDescent="0.25">
      <c r="A838" t="s">
        <v>34462</v>
      </c>
      <c r="B838" t="s">
        <v>4259</v>
      </c>
      <c r="C838" t="s">
        <v>4261</v>
      </c>
      <c r="D838">
        <v>84.99</v>
      </c>
      <c r="E838">
        <v>84.99</v>
      </c>
      <c r="F838">
        <v>931412</v>
      </c>
      <c r="G838">
        <v>902843</v>
      </c>
      <c r="H838">
        <v>82.18</v>
      </c>
      <c r="I838">
        <v>91.07</v>
      </c>
      <c r="J838">
        <v>0</v>
      </c>
      <c r="K838">
        <v>0</v>
      </c>
      <c r="L838">
        <v>8</v>
      </c>
      <c r="M838">
        <v>7</v>
      </c>
      <c r="N838">
        <v>5</v>
      </c>
      <c r="O838">
        <v>0</v>
      </c>
      <c r="P838">
        <v>4</v>
      </c>
      <c r="Q838">
        <v>6</v>
      </c>
      <c r="R838">
        <v>31</v>
      </c>
      <c r="S838" t="s">
        <v>36387</v>
      </c>
      <c r="U838">
        <v>2.8704152399999998</v>
      </c>
      <c r="V838">
        <v>16.45</v>
      </c>
      <c r="W838">
        <v>14.45</v>
      </c>
      <c r="X838" t="s">
        <v>4258</v>
      </c>
      <c r="Y838" t="s">
        <v>4233</v>
      </c>
      <c r="Z838" t="s">
        <v>4233</v>
      </c>
      <c r="AA838" t="s">
        <v>4239</v>
      </c>
      <c r="AB838" t="s">
        <v>36398</v>
      </c>
      <c r="AC838" t="s">
        <v>34493</v>
      </c>
      <c r="AD838" t="s">
        <v>9232</v>
      </c>
      <c r="AE838" t="s">
        <v>34525</v>
      </c>
      <c r="AF838" t="s">
        <v>36391</v>
      </c>
      <c r="AG838" t="s">
        <v>35103</v>
      </c>
    </row>
    <row r="839" spans="1:33" x14ac:dyDescent="0.25">
      <c r="A839" t="s">
        <v>34462</v>
      </c>
      <c r="B839" t="s">
        <v>4263</v>
      </c>
      <c r="C839" t="s">
        <v>4265</v>
      </c>
      <c r="D839">
        <v>66</v>
      </c>
      <c r="E839">
        <v>66</v>
      </c>
      <c r="F839">
        <v>931412</v>
      </c>
      <c r="G839">
        <v>910764</v>
      </c>
      <c r="H839">
        <v>93.1</v>
      </c>
      <c r="I839">
        <v>107.1</v>
      </c>
      <c r="J839">
        <v>0</v>
      </c>
      <c r="K839">
        <v>0</v>
      </c>
      <c r="L839">
        <v>8</v>
      </c>
      <c r="M839">
        <v>7</v>
      </c>
      <c r="N839">
        <v>5</v>
      </c>
      <c r="O839">
        <v>0</v>
      </c>
      <c r="P839">
        <v>4</v>
      </c>
      <c r="Q839">
        <v>6</v>
      </c>
      <c r="R839">
        <v>25</v>
      </c>
      <c r="S839" t="s">
        <v>36387</v>
      </c>
      <c r="U839">
        <v>2.9497815599999999</v>
      </c>
      <c r="V839">
        <v>14.55</v>
      </c>
      <c r="W839">
        <v>11.22</v>
      </c>
      <c r="X839" t="s">
        <v>4262</v>
      </c>
      <c r="Y839" t="s">
        <v>4233</v>
      </c>
      <c r="Z839" t="s">
        <v>4233</v>
      </c>
      <c r="AA839" t="s">
        <v>4234</v>
      </c>
      <c r="AB839" t="s">
        <v>36399</v>
      </c>
      <c r="AC839" t="s">
        <v>34493</v>
      </c>
      <c r="AD839" t="s">
        <v>9232</v>
      </c>
      <c r="AE839" t="s">
        <v>34525</v>
      </c>
      <c r="AF839" t="s">
        <v>36389</v>
      </c>
      <c r="AG839" t="s">
        <v>35103</v>
      </c>
    </row>
    <row r="840" spans="1:33" x14ac:dyDescent="0.25">
      <c r="A840" t="s">
        <v>34462</v>
      </c>
      <c r="B840" t="s">
        <v>4267</v>
      </c>
      <c r="C840" t="s">
        <v>4269</v>
      </c>
      <c r="D840">
        <v>99.91</v>
      </c>
      <c r="E840">
        <v>99.91</v>
      </c>
      <c r="F840">
        <v>931412</v>
      </c>
      <c r="G840">
        <v>905933</v>
      </c>
      <c r="H840">
        <v>109.02</v>
      </c>
      <c r="I840">
        <v>129.91</v>
      </c>
      <c r="J840">
        <v>0</v>
      </c>
      <c r="K840">
        <v>0</v>
      </c>
      <c r="L840">
        <v>3</v>
      </c>
      <c r="M840">
        <v>2</v>
      </c>
      <c r="N840">
        <v>5</v>
      </c>
      <c r="O840">
        <v>0</v>
      </c>
      <c r="P840">
        <v>4</v>
      </c>
      <c r="Q840">
        <v>4</v>
      </c>
      <c r="R840">
        <v>25</v>
      </c>
      <c r="S840" t="s">
        <v>36387</v>
      </c>
      <c r="U840">
        <v>3.00048782</v>
      </c>
      <c r="V840">
        <v>15.31</v>
      </c>
      <c r="W840">
        <v>16.98</v>
      </c>
      <c r="X840" t="s">
        <v>4266</v>
      </c>
      <c r="Y840" t="s">
        <v>4233</v>
      </c>
      <c r="Z840" t="s">
        <v>4233</v>
      </c>
      <c r="AA840" t="s">
        <v>4248</v>
      </c>
      <c r="AB840" t="s">
        <v>36400</v>
      </c>
      <c r="AC840" t="s">
        <v>34493</v>
      </c>
      <c r="AD840" t="s">
        <v>9232</v>
      </c>
      <c r="AE840" t="s">
        <v>34525</v>
      </c>
      <c r="AF840" t="s">
        <v>36401</v>
      </c>
      <c r="AG840" t="s">
        <v>35103</v>
      </c>
    </row>
    <row r="841" spans="1:33" x14ac:dyDescent="0.25">
      <c r="A841" t="s">
        <v>34462</v>
      </c>
      <c r="B841" t="s">
        <v>4272</v>
      </c>
      <c r="C841" t="s">
        <v>4274</v>
      </c>
      <c r="D841">
        <v>66</v>
      </c>
      <c r="E841">
        <v>66</v>
      </c>
      <c r="F841">
        <v>864930</v>
      </c>
      <c r="G841">
        <v>909017</v>
      </c>
      <c r="H841">
        <v>83.57</v>
      </c>
      <c r="I841">
        <v>95.83</v>
      </c>
      <c r="J841">
        <v>0</v>
      </c>
      <c r="K841">
        <v>0</v>
      </c>
      <c r="L841">
        <v>7</v>
      </c>
      <c r="M841">
        <v>7</v>
      </c>
      <c r="N841">
        <v>5</v>
      </c>
      <c r="O841">
        <v>0</v>
      </c>
      <c r="P841">
        <v>3</v>
      </c>
      <c r="Q841">
        <v>6</v>
      </c>
      <c r="R841">
        <v>23</v>
      </c>
      <c r="S841" t="s">
        <v>36387</v>
      </c>
      <c r="U841">
        <v>2.8902568199999998</v>
      </c>
      <c r="V841">
        <v>14.93</v>
      </c>
      <c r="W841">
        <v>11.22</v>
      </c>
      <c r="X841" t="s">
        <v>4271</v>
      </c>
      <c r="Y841" t="s">
        <v>4233</v>
      </c>
      <c r="Z841" t="s">
        <v>4233</v>
      </c>
      <c r="AA841" t="s">
        <v>4257</v>
      </c>
      <c r="AB841" t="s">
        <v>36402</v>
      </c>
      <c r="AC841" t="s">
        <v>34493</v>
      </c>
      <c r="AD841" t="s">
        <v>9232</v>
      </c>
      <c r="AE841" t="s">
        <v>34525</v>
      </c>
      <c r="AF841" t="s">
        <v>36403</v>
      </c>
      <c r="AG841" t="s">
        <v>35103</v>
      </c>
    </row>
    <row r="842" spans="1:33" x14ac:dyDescent="0.25">
      <c r="A842" t="s">
        <v>34462</v>
      </c>
      <c r="B842" t="s">
        <v>4276</v>
      </c>
      <c r="C842" t="s">
        <v>4278</v>
      </c>
      <c r="D842">
        <v>66</v>
      </c>
      <c r="E842">
        <v>66</v>
      </c>
      <c r="F842">
        <v>931412</v>
      </c>
      <c r="G842">
        <v>903000</v>
      </c>
      <c r="H842">
        <v>96.01</v>
      </c>
      <c r="I842">
        <v>107</v>
      </c>
      <c r="J842">
        <v>0</v>
      </c>
      <c r="K842">
        <v>0</v>
      </c>
      <c r="L842">
        <v>7</v>
      </c>
      <c r="M842">
        <v>6</v>
      </c>
      <c r="N842">
        <v>5</v>
      </c>
      <c r="O842">
        <v>0</v>
      </c>
      <c r="P842">
        <v>3</v>
      </c>
      <c r="Q842">
        <v>6</v>
      </c>
      <c r="R842">
        <v>24</v>
      </c>
      <c r="S842" t="s">
        <v>36387</v>
      </c>
      <c r="U842">
        <v>2.4294912399999999</v>
      </c>
      <c r="V842">
        <v>14.55</v>
      </c>
      <c r="W842">
        <v>11.22</v>
      </c>
      <c r="X842" t="s">
        <v>4275</v>
      </c>
      <c r="Y842" t="s">
        <v>4233</v>
      </c>
      <c r="Z842" t="s">
        <v>4233</v>
      </c>
      <c r="AA842" t="s">
        <v>4234</v>
      </c>
      <c r="AB842" t="s">
        <v>36404</v>
      </c>
      <c r="AC842" t="s">
        <v>34493</v>
      </c>
      <c r="AD842" t="s">
        <v>9232</v>
      </c>
      <c r="AE842" t="s">
        <v>34649</v>
      </c>
      <c r="AF842" t="s">
        <v>36389</v>
      </c>
      <c r="AG842" t="s">
        <v>35103</v>
      </c>
    </row>
    <row r="843" spans="1:33" x14ac:dyDescent="0.25">
      <c r="A843" t="s">
        <v>34462</v>
      </c>
      <c r="B843" t="s">
        <v>4280</v>
      </c>
      <c r="C843" t="s">
        <v>4282</v>
      </c>
      <c r="D843">
        <v>106.11</v>
      </c>
      <c r="E843">
        <v>106.11</v>
      </c>
      <c r="F843">
        <v>931412</v>
      </c>
      <c r="G843">
        <v>887858</v>
      </c>
      <c r="H843">
        <v>110.58</v>
      </c>
      <c r="I843">
        <v>121.41</v>
      </c>
      <c r="J843">
        <v>0</v>
      </c>
      <c r="K843">
        <v>0</v>
      </c>
      <c r="L843">
        <v>2</v>
      </c>
      <c r="M843">
        <v>1</v>
      </c>
      <c r="O843">
        <v>0</v>
      </c>
      <c r="Q843">
        <v>4</v>
      </c>
      <c r="R843">
        <v>26</v>
      </c>
      <c r="S843" t="s">
        <v>36387</v>
      </c>
      <c r="U843">
        <v>2.4691744</v>
      </c>
      <c r="V843">
        <v>14.55</v>
      </c>
      <c r="W843">
        <v>18.04</v>
      </c>
      <c r="X843" t="s">
        <v>4279</v>
      </c>
      <c r="Y843" t="s">
        <v>4233</v>
      </c>
      <c r="Z843" t="s">
        <v>4233</v>
      </c>
      <c r="AA843" t="s">
        <v>4248</v>
      </c>
      <c r="AB843" t="s">
        <v>36405</v>
      </c>
      <c r="AC843" t="s">
        <v>34493</v>
      </c>
      <c r="AD843" t="s">
        <v>9232</v>
      </c>
      <c r="AE843" t="s">
        <v>34649</v>
      </c>
      <c r="AF843" t="s">
        <v>36401</v>
      </c>
      <c r="AG843" t="s">
        <v>35103</v>
      </c>
    </row>
    <row r="844" spans="1:33" x14ac:dyDescent="0.25">
      <c r="A844" t="s">
        <v>34462</v>
      </c>
      <c r="B844" t="s">
        <v>4284</v>
      </c>
      <c r="C844" t="s">
        <v>4286</v>
      </c>
      <c r="D844">
        <v>66</v>
      </c>
      <c r="E844">
        <v>66</v>
      </c>
      <c r="F844">
        <v>931412</v>
      </c>
      <c r="G844">
        <v>927793</v>
      </c>
      <c r="H844">
        <v>84.83</v>
      </c>
      <c r="I844">
        <v>93.95</v>
      </c>
      <c r="J844">
        <v>0</v>
      </c>
      <c r="K844">
        <v>0</v>
      </c>
      <c r="L844">
        <v>9</v>
      </c>
      <c r="M844">
        <v>10</v>
      </c>
      <c r="N844">
        <v>5</v>
      </c>
      <c r="O844">
        <v>0</v>
      </c>
      <c r="P844">
        <v>3</v>
      </c>
      <c r="Q844">
        <v>6</v>
      </c>
      <c r="R844">
        <v>27</v>
      </c>
      <c r="S844" t="s">
        <v>36387</v>
      </c>
      <c r="U844">
        <v>3.0908772400000002</v>
      </c>
      <c r="V844">
        <v>17.21</v>
      </c>
      <c r="W844">
        <v>11.22</v>
      </c>
      <c r="X844" t="s">
        <v>4283</v>
      </c>
      <c r="Y844" t="s">
        <v>4233</v>
      </c>
      <c r="Z844" t="s">
        <v>4233</v>
      </c>
      <c r="AA844" t="s">
        <v>4257</v>
      </c>
      <c r="AB844" t="s">
        <v>36406</v>
      </c>
      <c r="AC844" t="s">
        <v>34493</v>
      </c>
      <c r="AD844" t="s">
        <v>9232</v>
      </c>
      <c r="AE844" t="s">
        <v>34649</v>
      </c>
      <c r="AF844" t="s">
        <v>36397</v>
      </c>
      <c r="AG844" t="s">
        <v>35103</v>
      </c>
    </row>
    <row r="845" spans="1:33" x14ac:dyDescent="0.25">
      <c r="A845" t="s">
        <v>34462</v>
      </c>
      <c r="B845" t="s">
        <v>4288</v>
      </c>
      <c r="C845" t="s">
        <v>4290</v>
      </c>
      <c r="D845">
        <v>99.99</v>
      </c>
      <c r="E845">
        <v>99.99</v>
      </c>
      <c r="F845">
        <v>778573</v>
      </c>
      <c r="G845">
        <v>917145</v>
      </c>
      <c r="H845">
        <v>83.61</v>
      </c>
      <c r="I845">
        <v>97.33</v>
      </c>
      <c r="J845">
        <v>0</v>
      </c>
      <c r="K845">
        <v>0</v>
      </c>
      <c r="L845">
        <v>7</v>
      </c>
      <c r="M845">
        <v>7</v>
      </c>
      <c r="O845">
        <v>0</v>
      </c>
      <c r="Q845">
        <v>5</v>
      </c>
      <c r="R845">
        <v>29</v>
      </c>
      <c r="S845" t="s">
        <v>36387</v>
      </c>
      <c r="U845">
        <v>3.00048782</v>
      </c>
      <c r="V845">
        <v>16.829999999999998</v>
      </c>
      <c r="W845">
        <v>17</v>
      </c>
      <c r="X845" t="s">
        <v>4287</v>
      </c>
      <c r="Y845" t="s">
        <v>4233</v>
      </c>
      <c r="Z845" t="s">
        <v>4233</v>
      </c>
      <c r="AA845" t="s">
        <v>4239</v>
      </c>
      <c r="AB845" t="s">
        <v>36407</v>
      </c>
      <c r="AC845" t="s">
        <v>34493</v>
      </c>
      <c r="AD845" t="s">
        <v>9232</v>
      </c>
      <c r="AE845" t="s">
        <v>34649</v>
      </c>
      <c r="AF845" t="s">
        <v>36391</v>
      </c>
      <c r="AG845" t="s">
        <v>35103</v>
      </c>
    </row>
    <row r="846" spans="1:33" x14ac:dyDescent="0.25">
      <c r="A846" t="s">
        <v>34462</v>
      </c>
      <c r="B846" t="s">
        <v>4292</v>
      </c>
      <c r="C846" t="s">
        <v>4294</v>
      </c>
      <c r="D846">
        <v>108.01</v>
      </c>
      <c r="E846">
        <v>108.01</v>
      </c>
      <c r="F846">
        <v>613274</v>
      </c>
      <c r="G846">
        <v>893779</v>
      </c>
      <c r="H846">
        <v>111.88</v>
      </c>
      <c r="I846">
        <v>115.02</v>
      </c>
      <c r="J846">
        <v>0</v>
      </c>
      <c r="K846">
        <v>0.08</v>
      </c>
      <c r="L846">
        <v>2</v>
      </c>
      <c r="M846">
        <v>1</v>
      </c>
      <c r="O846">
        <v>0</v>
      </c>
      <c r="Q846">
        <v>5</v>
      </c>
      <c r="R846">
        <v>24</v>
      </c>
      <c r="S846" t="s">
        <v>36387</v>
      </c>
      <c r="U846">
        <v>3.5494382</v>
      </c>
      <c r="V846">
        <v>15.69</v>
      </c>
      <c r="W846">
        <v>18.36</v>
      </c>
      <c r="X846" t="s">
        <v>4291</v>
      </c>
      <c r="Y846" t="s">
        <v>4233</v>
      </c>
      <c r="Z846" t="s">
        <v>4233</v>
      </c>
      <c r="AA846" t="s">
        <v>4248</v>
      </c>
      <c r="AB846" t="s">
        <v>36408</v>
      </c>
      <c r="AC846" t="s">
        <v>34493</v>
      </c>
      <c r="AD846" t="s">
        <v>9232</v>
      </c>
      <c r="AE846" t="s">
        <v>34469</v>
      </c>
      <c r="AF846" t="s">
        <v>36401</v>
      </c>
      <c r="AG846" t="s">
        <v>35103</v>
      </c>
    </row>
    <row r="847" spans="1:33" x14ac:dyDescent="0.25">
      <c r="A847" t="s">
        <v>34462</v>
      </c>
      <c r="B847" t="s">
        <v>4296</v>
      </c>
      <c r="C847" t="s">
        <v>4298</v>
      </c>
      <c r="D847">
        <v>66</v>
      </c>
      <c r="E847">
        <v>66</v>
      </c>
      <c r="F847">
        <v>931412</v>
      </c>
      <c r="G847">
        <v>892511</v>
      </c>
      <c r="H847">
        <v>81.040000000000006</v>
      </c>
      <c r="I847">
        <v>109.56</v>
      </c>
      <c r="J847">
        <v>0</v>
      </c>
      <c r="K847">
        <v>0</v>
      </c>
      <c r="L847">
        <v>6</v>
      </c>
      <c r="M847">
        <v>6</v>
      </c>
      <c r="N847">
        <v>5</v>
      </c>
      <c r="O847">
        <v>0</v>
      </c>
      <c r="P847">
        <v>3</v>
      </c>
      <c r="Q847">
        <v>7</v>
      </c>
      <c r="R847">
        <v>25</v>
      </c>
      <c r="S847" t="s">
        <v>36387</v>
      </c>
      <c r="U847">
        <v>2.4691744</v>
      </c>
      <c r="V847">
        <v>14.55</v>
      </c>
      <c r="W847">
        <v>11.22</v>
      </c>
      <c r="X847" t="s">
        <v>4295</v>
      </c>
      <c r="Y847" t="s">
        <v>4233</v>
      </c>
      <c r="Z847" t="s">
        <v>4233</v>
      </c>
      <c r="AA847" t="s">
        <v>4257</v>
      </c>
      <c r="AB847" t="s">
        <v>36409</v>
      </c>
      <c r="AC847" t="s">
        <v>34493</v>
      </c>
      <c r="AD847" t="s">
        <v>9232</v>
      </c>
      <c r="AE847" t="s">
        <v>34469</v>
      </c>
      <c r="AF847" t="s">
        <v>36397</v>
      </c>
      <c r="AG847" t="s">
        <v>35103</v>
      </c>
    </row>
    <row r="848" spans="1:33" x14ac:dyDescent="0.25">
      <c r="A848" t="s">
        <v>34462</v>
      </c>
      <c r="B848" t="s">
        <v>4300</v>
      </c>
      <c r="C848" t="s">
        <v>4302</v>
      </c>
      <c r="D848">
        <v>81.040000000000006</v>
      </c>
      <c r="E848">
        <v>81.040000000000006</v>
      </c>
      <c r="F848">
        <v>778573</v>
      </c>
      <c r="G848">
        <v>944921</v>
      </c>
      <c r="H848">
        <v>82.27</v>
      </c>
      <c r="I848">
        <v>93.04</v>
      </c>
      <c r="J848">
        <v>0</v>
      </c>
      <c r="K848">
        <v>0</v>
      </c>
      <c r="L848">
        <v>4</v>
      </c>
      <c r="M848">
        <v>4</v>
      </c>
      <c r="N848">
        <v>5</v>
      </c>
      <c r="O848">
        <v>1</v>
      </c>
      <c r="P848">
        <v>3</v>
      </c>
      <c r="Q848">
        <v>5</v>
      </c>
      <c r="R848">
        <v>24</v>
      </c>
      <c r="S848" t="s">
        <v>36387</v>
      </c>
      <c r="U848">
        <v>3.2407914</v>
      </c>
      <c r="V848">
        <v>16.45</v>
      </c>
      <c r="W848">
        <v>13.78</v>
      </c>
      <c r="X848" t="s">
        <v>4299</v>
      </c>
      <c r="Y848" t="s">
        <v>4233</v>
      </c>
      <c r="Z848" t="s">
        <v>4233</v>
      </c>
      <c r="AA848" t="s">
        <v>4239</v>
      </c>
      <c r="AB848" t="s">
        <v>36410</v>
      </c>
      <c r="AC848" t="s">
        <v>34493</v>
      </c>
      <c r="AD848" t="s">
        <v>9232</v>
      </c>
      <c r="AE848" t="s">
        <v>34469</v>
      </c>
      <c r="AF848" t="s">
        <v>36391</v>
      </c>
      <c r="AG848" t="s">
        <v>35103</v>
      </c>
    </row>
    <row r="849" spans="1:33" x14ac:dyDescent="0.25">
      <c r="A849" t="s">
        <v>34462</v>
      </c>
      <c r="B849" t="s">
        <v>4304</v>
      </c>
      <c r="C849" t="s">
        <v>4306</v>
      </c>
      <c r="D849">
        <v>66</v>
      </c>
      <c r="E849">
        <v>66</v>
      </c>
      <c r="F849">
        <v>931412</v>
      </c>
      <c r="G849">
        <v>904097</v>
      </c>
      <c r="H849">
        <v>117.77</v>
      </c>
      <c r="I849">
        <v>124.37</v>
      </c>
      <c r="J849">
        <v>0</v>
      </c>
      <c r="K849">
        <v>0</v>
      </c>
      <c r="L849">
        <v>2</v>
      </c>
      <c r="M849">
        <v>1</v>
      </c>
      <c r="N849">
        <v>5</v>
      </c>
      <c r="O849">
        <v>0</v>
      </c>
      <c r="P849">
        <v>3</v>
      </c>
      <c r="Q849">
        <v>5</v>
      </c>
      <c r="R849">
        <v>28</v>
      </c>
      <c r="S849" t="s">
        <v>36387</v>
      </c>
      <c r="U849">
        <v>2.4691744</v>
      </c>
      <c r="V849">
        <v>14.55</v>
      </c>
      <c r="W849">
        <v>11.22</v>
      </c>
      <c r="X849" t="s">
        <v>4303</v>
      </c>
      <c r="Y849" t="s">
        <v>4233</v>
      </c>
      <c r="Z849" t="s">
        <v>4233</v>
      </c>
      <c r="AA849" t="s">
        <v>4234</v>
      </c>
      <c r="AB849" t="s">
        <v>36411</v>
      </c>
      <c r="AC849" t="s">
        <v>34493</v>
      </c>
      <c r="AD849" t="s">
        <v>9232</v>
      </c>
      <c r="AE849" t="s">
        <v>34469</v>
      </c>
      <c r="AF849" t="s">
        <v>36389</v>
      </c>
      <c r="AG849" t="s">
        <v>35103</v>
      </c>
    </row>
    <row r="850" spans="1:33" x14ac:dyDescent="0.25">
      <c r="A850" t="s">
        <v>34462</v>
      </c>
      <c r="B850" t="s">
        <v>4308</v>
      </c>
      <c r="C850" t="s">
        <v>4311</v>
      </c>
      <c r="D850">
        <v>17.98</v>
      </c>
      <c r="E850">
        <v>17.98</v>
      </c>
      <c r="F850">
        <v>263538</v>
      </c>
      <c r="G850">
        <v>128823</v>
      </c>
      <c r="H850">
        <v>22.44</v>
      </c>
      <c r="I850">
        <v>21.67</v>
      </c>
      <c r="J850">
        <v>0.04</v>
      </c>
      <c r="K850">
        <v>0.96</v>
      </c>
      <c r="L850">
        <v>4</v>
      </c>
      <c r="M850">
        <v>7</v>
      </c>
      <c r="N850">
        <v>4.7</v>
      </c>
      <c r="O850">
        <v>4</v>
      </c>
      <c r="P850">
        <v>304</v>
      </c>
      <c r="Q850">
        <v>3</v>
      </c>
      <c r="R850">
        <v>57</v>
      </c>
      <c r="S850" t="s">
        <v>36412</v>
      </c>
      <c r="U850">
        <v>0.28660059999999998</v>
      </c>
      <c r="V850">
        <v>5.05</v>
      </c>
      <c r="W850">
        <v>1.8</v>
      </c>
      <c r="X850" t="s">
        <v>4307</v>
      </c>
      <c r="Y850" t="s">
        <v>4312</v>
      </c>
      <c r="Z850" t="s">
        <v>4312</v>
      </c>
      <c r="AA850" t="s">
        <v>4313</v>
      </c>
      <c r="AB850" t="s">
        <v>36413</v>
      </c>
      <c r="AC850" t="s">
        <v>34465</v>
      </c>
      <c r="AD850" t="s">
        <v>36414</v>
      </c>
      <c r="AE850" t="s">
        <v>34510</v>
      </c>
      <c r="AF850" t="s">
        <v>36415</v>
      </c>
      <c r="AG850" t="s">
        <v>36416</v>
      </c>
    </row>
    <row r="851" spans="1:33" x14ac:dyDescent="0.25">
      <c r="A851" t="s">
        <v>34462</v>
      </c>
      <c r="B851" t="s">
        <v>4315</v>
      </c>
      <c r="C851" t="s">
        <v>4317</v>
      </c>
      <c r="D851">
        <v>21.6</v>
      </c>
      <c r="F851">
        <v>299819</v>
      </c>
      <c r="G851">
        <v>127391</v>
      </c>
      <c r="I851">
        <v>21.6</v>
      </c>
      <c r="J851">
        <v>0.74</v>
      </c>
      <c r="K851">
        <v>1</v>
      </c>
      <c r="L851">
        <v>1</v>
      </c>
      <c r="N851">
        <v>4.7</v>
      </c>
      <c r="O851">
        <v>8</v>
      </c>
      <c r="P851">
        <v>302</v>
      </c>
      <c r="Q851">
        <v>1</v>
      </c>
      <c r="R851">
        <v>36</v>
      </c>
      <c r="S851" t="s">
        <v>36412</v>
      </c>
      <c r="U851">
        <v>0.25353130000000001</v>
      </c>
      <c r="V851">
        <v>4.6100000000000003</v>
      </c>
      <c r="X851" t="s">
        <v>4314</v>
      </c>
      <c r="Y851" t="s">
        <v>4312</v>
      </c>
      <c r="Z851" t="s">
        <v>4312</v>
      </c>
      <c r="AA851" t="s">
        <v>4313</v>
      </c>
      <c r="AB851" t="s">
        <v>36417</v>
      </c>
      <c r="AC851" t="s">
        <v>34465</v>
      </c>
      <c r="AD851" t="s">
        <v>36414</v>
      </c>
      <c r="AE851" t="s">
        <v>34506</v>
      </c>
      <c r="AF851" t="s">
        <v>36415</v>
      </c>
      <c r="AG851" t="s">
        <v>36416</v>
      </c>
    </row>
    <row r="852" spans="1:33" x14ac:dyDescent="0.25">
      <c r="A852" t="s">
        <v>34462</v>
      </c>
      <c r="B852" t="s">
        <v>4319</v>
      </c>
      <c r="C852" t="s">
        <v>4321</v>
      </c>
      <c r="D852">
        <v>14.99</v>
      </c>
      <c r="E852">
        <v>14.99</v>
      </c>
      <c r="F852">
        <v>299819</v>
      </c>
      <c r="G852">
        <v>102414</v>
      </c>
      <c r="H852">
        <v>17.14</v>
      </c>
      <c r="I852">
        <v>19.45</v>
      </c>
      <c r="J852">
        <v>0.79</v>
      </c>
      <c r="K852">
        <v>0.8</v>
      </c>
      <c r="L852">
        <v>1</v>
      </c>
      <c r="N852">
        <v>4.7</v>
      </c>
      <c r="O852">
        <v>4</v>
      </c>
      <c r="P852">
        <v>304</v>
      </c>
      <c r="Q852">
        <v>3</v>
      </c>
      <c r="R852">
        <v>16</v>
      </c>
      <c r="S852" t="s">
        <v>36412</v>
      </c>
      <c r="U852">
        <v>0.34171610000000002</v>
      </c>
      <c r="V852">
        <v>5.82</v>
      </c>
      <c r="W852">
        <v>1.5</v>
      </c>
      <c r="X852" t="s">
        <v>4318</v>
      </c>
      <c r="Y852" t="s">
        <v>4312</v>
      </c>
      <c r="Z852" t="s">
        <v>4312</v>
      </c>
      <c r="AA852" t="s">
        <v>4313</v>
      </c>
      <c r="AB852" t="s">
        <v>36418</v>
      </c>
      <c r="AC852" t="s">
        <v>34465</v>
      </c>
      <c r="AD852" t="s">
        <v>36414</v>
      </c>
      <c r="AE852" t="s">
        <v>34512</v>
      </c>
      <c r="AF852" t="s">
        <v>36419</v>
      </c>
      <c r="AG852" t="s">
        <v>36416</v>
      </c>
    </row>
    <row r="853" spans="1:33" x14ac:dyDescent="0.25">
      <c r="A853" t="s">
        <v>34462</v>
      </c>
      <c r="B853" t="s">
        <v>4324</v>
      </c>
      <c r="C853" t="s">
        <v>4326</v>
      </c>
      <c r="D853">
        <v>20.64</v>
      </c>
      <c r="F853">
        <v>263538</v>
      </c>
      <c r="G853">
        <v>128681</v>
      </c>
      <c r="H853">
        <v>20.64</v>
      </c>
      <c r="I853">
        <v>20.09</v>
      </c>
      <c r="J853">
        <v>0.62</v>
      </c>
      <c r="K853">
        <v>0.93</v>
      </c>
      <c r="L853">
        <v>1</v>
      </c>
      <c r="N853">
        <v>4.7</v>
      </c>
      <c r="O853">
        <v>6</v>
      </c>
      <c r="P853">
        <v>304</v>
      </c>
      <c r="Q853">
        <v>2</v>
      </c>
      <c r="R853">
        <v>30</v>
      </c>
      <c r="S853" t="s">
        <v>36412</v>
      </c>
      <c r="U853">
        <v>0.42328704</v>
      </c>
      <c r="V853">
        <v>5.05</v>
      </c>
      <c r="X853" t="s">
        <v>4323</v>
      </c>
      <c r="Y853" t="s">
        <v>4312</v>
      </c>
      <c r="Z853" t="s">
        <v>4312</v>
      </c>
      <c r="AA853" t="s">
        <v>4313</v>
      </c>
      <c r="AB853" t="s">
        <v>36420</v>
      </c>
      <c r="AC853" t="s">
        <v>34465</v>
      </c>
      <c r="AD853" t="s">
        <v>36414</v>
      </c>
      <c r="AE853" t="s">
        <v>34832</v>
      </c>
      <c r="AF853" t="s">
        <v>36415</v>
      </c>
      <c r="AG853" t="s">
        <v>36416</v>
      </c>
    </row>
    <row r="854" spans="1:33" x14ac:dyDescent="0.25">
      <c r="A854" t="s">
        <v>34462</v>
      </c>
      <c r="B854" t="s">
        <v>4329</v>
      </c>
      <c r="C854" t="s">
        <v>4331</v>
      </c>
      <c r="D854">
        <v>16.899999999999999</v>
      </c>
      <c r="F854">
        <v>292120</v>
      </c>
      <c r="G854">
        <v>129785</v>
      </c>
      <c r="H854">
        <v>16.899999999999999</v>
      </c>
      <c r="I854">
        <v>20.05</v>
      </c>
      <c r="J854">
        <v>0.99</v>
      </c>
      <c r="K854">
        <v>0.99</v>
      </c>
      <c r="L854">
        <v>1</v>
      </c>
      <c r="N854">
        <v>4.7</v>
      </c>
      <c r="O854">
        <v>7</v>
      </c>
      <c r="P854">
        <v>277</v>
      </c>
      <c r="Q854">
        <v>1</v>
      </c>
      <c r="R854">
        <v>8</v>
      </c>
      <c r="S854" t="s">
        <v>36412</v>
      </c>
      <c r="U854">
        <v>0.42328704</v>
      </c>
      <c r="V854">
        <v>5.05</v>
      </c>
      <c r="X854" t="s">
        <v>4328</v>
      </c>
      <c r="Y854" t="s">
        <v>4312</v>
      </c>
      <c r="Z854" t="s">
        <v>4312</v>
      </c>
      <c r="AA854" t="s">
        <v>4313</v>
      </c>
      <c r="AB854" t="s">
        <v>36421</v>
      </c>
      <c r="AC854" t="s">
        <v>34465</v>
      </c>
      <c r="AD854" t="s">
        <v>36414</v>
      </c>
      <c r="AE854" t="s">
        <v>34835</v>
      </c>
      <c r="AF854" t="s">
        <v>36419</v>
      </c>
      <c r="AG854" t="s">
        <v>36416</v>
      </c>
    </row>
    <row r="855" spans="1:33" x14ac:dyDescent="0.25">
      <c r="A855" t="s">
        <v>34462</v>
      </c>
      <c r="B855" t="s">
        <v>4333</v>
      </c>
      <c r="C855" t="s">
        <v>4335</v>
      </c>
      <c r="D855">
        <v>16.59</v>
      </c>
      <c r="F855">
        <v>237976</v>
      </c>
      <c r="G855">
        <v>133437</v>
      </c>
      <c r="H855">
        <v>16.59</v>
      </c>
      <c r="I855">
        <v>19.72</v>
      </c>
      <c r="J855">
        <v>0.97</v>
      </c>
      <c r="K855">
        <v>0.97</v>
      </c>
      <c r="L855">
        <v>1</v>
      </c>
      <c r="N855">
        <v>4.7</v>
      </c>
      <c r="O855">
        <v>2</v>
      </c>
      <c r="P855">
        <v>296</v>
      </c>
      <c r="Q855">
        <v>2</v>
      </c>
      <c r="R855">
        <v>12</v>
      </c>
      <c r="S855" t="s">
        <v>36412</v>
      </c>
      <c r="U855">
        <v>0.42990089999999997</v>
      </c>
      <c r="V855">
        <v>5.05</v>
      </c>
      <c r="X855" t="s">
        <v>4332</v>
      </c>
      <c r="Y855" t="s">
        <v>4312</v>
      </c>
      <c r="Z855" t="s">
        <v>4312</v>
      </c>
      <c r="AA855" t="s">
        <v>4313</v>
      </c>
      <c r="AB855" t="s">
        <v>36422</v>
      </c>
      <c r="AC855" t="s">
        <v>34465</v>
      </c>
      <c r="AD855" t="s">
        <v>36414</v>
      </c>
      <c r="AE855" t="s">
        <v>36383</v>
      </c>
      <c r="AF855" t="s">
        <v>36419</v>
      </c>
      <c r="AG855" t="s">
        <v>36416</v>
      </c>
    </row>
    <row r="856" spans="1:33" x14ac:dyDescent="0.25">
      <c r="A856" t="s">
        <v>34462</v>
      </c>
      <c r="B856" t="s">
        <v>4337</v>
      </c>
      <c r="C856" t="s">
        <v>4340</v>
      </c>
      <c r="D856">
        <v>11.25</v>
      </c>
      <c r="E856">
        <v>11.25</v>
      </c>
      <c r="F856">
        <v>1514</v>
      </c>
      <c r="G856">
        <v>22351</v>
      </c>
      <c r="H856">
        <v>13.97</v>
      </c>
      <c r="I856">
        <v>14.06</v>
      </c>
      <c r="J856">
        <v>0.17</v>
      </c>
      <c r="K856">
        <v>0.13</v>
      </c>
      <c r="L856">
        <v>6</v>
      </c>
      <c r="M856">
        <v>6</v>
      </c>
      <c r="N856">
        <v>4.5999999999999996</v>
      </c>
      <c r="O856">
        <v>739</v>
      </c>
      <c r="P856">
        <v>74246</v>
      </c>
      <c r="Q856">
        <v>91</v>
      </c>
      <c r="R856">
        <v>242</v>
      </c>
      <c r="S856" t="s">
        <v>36423</v>
      </c>
      <c r="T856">
        <v>200</v>
      </c>
      <c r="U856">
        <v>0.39683160000000001</v>
      </c>
      <c r="V856">
        <v>6.48</v>
      </c>
      <c r="W856">
        <v>0.56000000000000005</v>
      </c>
      <c r="X856" t="s">
        <v>4336</v>
      </c>
      <c r="Y856" t="s">
        <v>36424</v>
      </c>
      <c r="Z856" t="s">
        <v>4342</v>
      </c>
      <c r="AA856" t="s">
        <v>4343</v>
      </c>
      <c r="AB856" t="s">
        <v>36425</v>
      </c>
      <c r="AC856" t="s">
        <v>34493</v>
      </c>
      <c r="AD856" t="s">
        <v>8081</v>
      </c>
      <c r="AE856" t="s">
        <v>14701</v>
      </c>
      <c r="AF856" t="s">
        <v>36426</v>
      </c>
      <c r="AG856" t="s">
        <v>36427</v>
      </c>
    </row>
    <row r="857" spans="1:33" x14ac:dyDescent="0.25">
      <c r="A857" t="s">
        <v>34462</v>
      </c>
      <c r="B857" t="s">
        <v>4345</v>
      </c>
      <c r="C857" t="s">
        <v>4348</v>
      </c>
      <c r="D857">
        <v>69.5</v>
      </c>
      <c r="E857">
        <v>69.5</v>
      </c>
      <c r="F857">
        <v>798</v>
      </c>
      <c r="G857">
        <v>310</v>
      </c>
      <c r="H857">
        <v>59.13</v>
      </c>
      <c r="I857">
        <v>56.47</v>
      </c>
      <c r="J857">
        <v>0</v>
      </c>
      <c r="K857">
        <v>0</v>
      </c>
      <c r="L857">
        <v>1</v>
      </c>
      <c r="M857">
        <v>1</v>
      </c>
      <c r="N857">
        <v>4.5</v>
      </c>
      <c r="O857">
        <v>0</v>
      </c>
      <c r="P857">
        <v>47596</v>
      </c>
      <c r="Q857">
        <v>47</v>
      </c>
      <c r="R857">
        <v>125</v>
      </c>
      <c r="S857" t="s">
        <v>36428</v>
      </c>
      <c r="U857">
        <v>1.1882901800000001</v>
      </c>
      <c r="V857">
        <v>6.14</v>
      </c>
      <c r="W857">
        <v>11.82</v>
      </c>
      <c r="X857" t="s">
        <v>4344</v>
      </c>
      <c r="Y857" t="s">
        <v>4349</v>
      </c>
      <c r="Z857" t="s">
        <v>4349</v>
      </c>
      <c r="AA857" t="s">
        <v>4350</v>
      </c>
      <c r="AB857" t="s">
        <v>36429</v>
      </c>
      <c r="AC857" t="s">
        <v>34493</v>
      </c>
      <c r="AD857" t="s">
        <v>10970</v>
      </c>
      <c r="AE857" t="s">
        <v>34545</v>
      </c>
      <c r="AF857" t="s">
        <v>36430</v>
      </c>
      <c r="AG857" t="s">
        <v>36431</v>
      </c>
    </row>
    <row r="858" spans="1:33" x14ac:dyDescent="0.25">
      <c r="A858" t="s">
        <v>34462</v>
      </c>
      <c r="B858" t="s">
        <v>4352</v>
      </c>
      <c r="C858" t="s">
        <v>4354</v>
      </c>
      <c r="D858">
        <v>48.92</v>
      </c>
      <c r="E858">
        <v>48.92</v>
      </c>
      <c r="F858">
        <v>758</v>
      </c>
      <c r="G858">
        <v>308</v>
      </c>
      <c r="H858">
        <v>48.37</v>
      </c>
      <c r="I858">
        <v>49.9</v>
      </c>
      <c r="J858">
        <v>0</v>
      </c>
      <c r="K858">
        <v>0</v>
      </c>
      <c r="L858">
        <v>1</v>
      </c>
      <c r="M858">
        <v>1</v>
      </c>
      <c r="N858">
        <v>4.5</v>
      </c>
      <c r="O858">
        <v>0</v>
      </c>
      <c r="P858">
        <v>47577</v>
      </c>
      <c r="Q858">
        <v>55</v>
      </c>
      <c r="R858">
        <v>144</v>
      </c>
      <c r="S858" t="s">
        <v>36428</v>
      </c>
      <c r="U858">
        <v>1.2654518800000001</v>
      </c>
      <c r="V858">
        <v>6.81</v>
      </c>
      <c r="W858">
        <v>8.32</v>
      </c>
      <c r="X858" t="s">
        <v>4351</v>
      </c>
      <c r="Y858" t="s">
        <v>4355</v>
      </c>
      <c r="Z858" t="s">
        <v>4355</v>
      </c>
      <c r="AA858" t="s">
        <v>4356</v>
      </c>
      <c r="AB858" t="s">
        <v>36432</v>
      </c>
      <c r="AC858" t="s">
        <v>34493</v>
      </c>
      <c r="AD858" t="s">
        <v>10970</v>
      </c>
      <c r="AE858" t="s">
        <v>34545</v>
      </c>
      <c r="AF858" t="s">
        <v>36433</v>
      </c>
      <c r="AG858" t="s">
        <v>36431</v>
      </c>
    </row>
    <row r="859" spans="1:33" x14ac:dyDescent="0.25">
      <c r="A859" t="s">
        <v>34462</v>
      </c>
      <c r="B859" t="s">
        <v>4358</v>
      </c>
      <c r="C859" t="s">
        <v>4360</v>
      </c>
      <c r="D859">
        <v>56.68</v>
      </c>
      <c r="E859">
        <v>56.68</v>
      </c>
      <c r="F859">
        <v>798</v>
      </c>
      <c r="G859">
        <v>307</v>
      </c>
      <c r="H859">
        <v>57.86</v>
      </c>
      <c r="I859">
        <v>55.2</v>
      </c>
      <c r="J859">
        <v>0</v>
      </c>
      <c r="K859">
        <v>0</v>
      </c>
      <c r="L859">
        <v>1</v>
      </c>
      <c r="M859">
        <v>1</v>
      </c>
      <c r="N859">
        <v>4.5</v>
      </c>
      <c r="O859">
        <v>0</v>
      </c>
      <c r="P859">
        <v>47596</v>
      </c>
      <c r="Q859">
        <v>39</v>
      </c>
      <c r="R859">
        <v>111</v>
      </c>
      <c r="S859" t="s">
        <v>36428</v>
      </c>
      <c r="U859">
        <v>1.1949040399999999</v>
      </c>
      <c r="V859">
        <v>6.81</v>
      </c>
      <c r="W859">
        <v>9.64</v>
      </c>
      <c r="X859" t="s">
        <v>4357</v>
      </c>
      <c r="Y859" t="s">
        <v>4349</v>
      </c>
      <c r="Z859" t="s">
        <v>4349</v>
      </c>
      <c r="AA859" t="s">
        <v>4350</v>
      </c>
      <c r="AB859" t="s">
        <v>36434</v>
      </c>
      <c r="AC859" t="s">
        <v>34493</v>
      </c>
      <c r="AD859" t="s">
        <v>10970</v>
      </c>
      <c r="AE859" t="s">
        <v>34550</v>
      </c>
      <c r="AF859" t="s">
        <v>36430</v>
      </c>
      <c r="AG859" t="s">
        <v>36431</v>
      </c>
    </row>
    <row r="860" spans="1:33" x14ac:dyDescent="0.25">
      <c r="A860" t="s">
        <v>34462</v>
      </c>
      <c r="B860" t="s">
        <v>4362</v>
      </c>
      <c r="C860" t="s">
        <v>4364</v>
      </c>
      <c r="D860">
        <v>38.159999999999997</v>
      </c>
      <c r="E860">
        <v>38.159999999999997</v>
      </c>
      <c r="F860">
        <v>846</v>
      </c>
      <c r="G860">
        <v>312</v>
      </c>
      <c r="H860">
        <v>43.73</v>
      </c>
      <c r="I860">
        <v>46.52</v>
      </c>
      <c r="J860">
        <v>0</v>
      </c>
      <c r="K860">
        <v>0</v>
      </c>
      <c r="L860">
        <v>1</v>
      </c>
      <c r="M860">
        <v>1</v>
      </c>
      <c r="N860">
        <v>4.5</v>
      </c>
      <c r="O860">
        <v>0</v>
      </c>
      <c r="P860">
        <v>47534</v>
      </c>
      <c r="Q860">
        <v>26</v>
      </c>
      <c r="R860">
        <v>89</v>
      </c>
      <c r="S860" t="s">
        <v>36428</v>
      </c>
      <c r="U860">
        <v>1.33159048</v>
      </c>
      <c r="V860">
        <v>6.81</v>
      </c>
      <c r="W860">
        <v>6.49</v>
      </c>
      <c r="X860" t="s">
        <v>4361</v>
      </c>
      <c r="Y860" t="s">
        <v>4355</v>
      </c>
      <c r="Z860" t="s">
        <v>4355</v>
      </c>
      <c r="AA860" t="s">
        <v>4356</v>
      </c>
      <c r="AB860" t="s">
        <v>36435</v>
      </c>
      <c r="AC860" t="s">
        <v>34493</v>
      </c>
      <c r="AD860" t="s">
        <v>10970</v>
      </c>
      <c r="AE860" t="s">
        <v>34550</v>
      </c>
      <c r="AF860" t="s">
        <v>36433</v>
      </c>
      <c r="AG860" t="s">
        <v>36431</v>
      </c>
    </row>
    <row r="861" spans="1:33" x14ac:dyDescent="0.25">
      <c r="A861" t="s">
        <v>34462</v>
      </c>
      <c r="B861" t="s">
        <v>4366</v>
      </c>
      <c r="C861" t="s">
        <v>4368</v>
      </c>
      <c r="D861">
        <v>69.5</v>
      </c>
      <c r="E861">
        <v>69.5</v>
      </c>
      <c r="F861">
        <v>846</v>
      </c>
      <c r="G861">
        <v>311</v>
      </c>
      <c r="H861">
        <v>58.94</v>
      </c>
      <c r="I861">
        <v>54.95</v>
      </c>
      <c r="J861">
        <v>0</v>
      </c>
      <c r="K861">
        <v>0</v>
      </c>
      <c r="L861">
        <v>1</v>
      </c>
      <c r="M861">
        <v>1</v>
      </c>
      <c r="N861">
        <v>4.5</v>
      </c>
      <c r="O861">
        <v>1</v>
      </c>
      <c r="P861">
        <v>47596</v>
      </c>
      <c r="Q861">
        <v>48</v>
      </c>
      <c r="R861">
        <v>133</v>
      </c>
      <c r="S861" t="s">
        <v>36428</v>
      </c>
      <c r="U861">
        <v>1.2125410000000001</v>
      </c>
      <c r="V861">
        <v>6.81</v>
      </c>
      <c r="W861">
        <v>11.82</v>
      </c>
      <c r="X861" t="s">
        <v>4365</v>
      </c>
      <c r="Y861" t="s">
        <v>36436</v>
      </c>
      <c r="Z861" t="s">
        <v>4349</v>
      </c>
      <c r="AA861" t="s">
        <v>4350</v>
      </c>
      <c r="AB861" t="s">
        <v>36437</v>
      </c>
      <c r="AC861" t="s">
        <v>34493</v>
      </c>
      <c r="AD861" t="s">
        <v>10970</v>
      </c>
      <c r="AE861" t="s">
        <v>34691</v>
      </c>
      <c r="AF861" t="s">
        <v>36430</v>
      </c>
      <c r="AG861" t="s">
        <v>36431</v>
      </c>
    </row>
    <row r="862" spans="1:33" x14ac:dyDescent="0.25">
      <c r="A862" t="s">
        <v>34462</v>
      </c>
      <c r="B862" t="s">
        <v>4370</v>
      </c>
      <c r="C862" t="s">
        <v>4372</v>
      </c>
      <c r="D862">
        <v>41.93</v>
      </c>
      <c r="E862">
        <v>41.93</v>
      </c>
      <c r="F862">
        <v>846</v>
      </c>
      <c r="G862">
        <v>311</v>
      </c>
      <c r="H862">
        <v>44.62</v>
      </c>
      <c r="I862">
        <v>47.7</v>
      </c>
      <c r="J862">
        <v>0</v>
      </c>
      <c r="K862">
        <v>0</v>
      </c>
      <c r="L862">
        <v>1</v>
      </c>
      <c r="M862">
        <v>1</v>
      </c>
      <c r="N862">
        <v>4.5</v>
      </c>
      <c r="O862">
        <v>0</v>
      </c>
      <c r="P862">
        <v>47534</v>
      </c>
      <c r="Q862">
        <v>41</v>
      </c>
      <c r="R862">
        <v>113</v>
      </c>
      <c r="S862" t="s">
        <v>36428</v>
      </c>
      <c r="U862">
        <v>1.2897027000000001</v>
      </c>
      <c r="V862">
        <v>7.08</v>
      </c>
      <c r="W862">
        <v>7.13</v>
      </c>
      <c r="X862" t="s">
        <v>4369</v>
      </c>
      <c r="Y862" t="s">
        <v>4355</v>
      </c>
      <c r="Z862" t="s">
        <v>4355</v>
      </c>
      <c r="AA862" t="s">
        <v>4356</v>
      </c>
      <c r="AB862" t="s">
        <v>36438</v>
      </c>
      <c r="AC862" t="s">
        <v>34493</v>
      </c>
      <c r="AD862" t="s">
        <v>10970</v>
      </c>
      <c r="AE862" t="s">
        <v>34691</v>
      </c>
      <c r="AF862" t="s">
        <v>36433</v>
      </c>
      <c r="AG862" t="s">
        <v>36431</v>
      </c>
    </row>
    <row r="863" spans="1:33" x14ac:dyDescent="0.25">
      <c r="A863" t="s">
        <v>34462</v>
      </c>
      <c r="B863" t="s">
        <v>4374</v>
      </c>
      <c r="C863" t="s">
        <v>4376</v>
      </c>
      <c r="D863">
        <v>59.99</v>
      </c>
      <c r="E863">
        <v>59.99</v>
      </c>
      <c r="F863">
        <v>758</v>
      </c>
      <c r="G863">
        <v>310</v>
      </c>
      <c r="H863">
        <v>58.9</v>
      </c>
      <c r="I863">
        <v>55.05</v>
      </c>
      <c r="J863">
        <v>0</v>
      </c>
      <c r="K863">
        <v>0</v>
      </c>
      <c r="L863">
        <v>1</v>
      </c>
      <c r="M863">
        <v>1</v>
      </c>
      <c r="N863">
        <v>4.5</v>
      </c>
      <c r="O863">
        <v>0</v>
      </c>
      <c r="P863">
        <v>47596</v>
      </c>
      <c r="Q863">
        <v>54</v>
      </c>
      <c r="R863">
        <v>109</v>
      </c>
      <c r="S863" t="s">
        <v>36428</v>
      </c>
      <c r="U863">
        <v>1.2676565</v>
      </c>
      <c r="V863">
        <v>6.6</v>
      </c>
      <c r="W863">
        <v>10.199999999999999</v>
      </c>
      <c r="X863" t="s">
        <v>4373</v>
      </c>
      <c r="Y863" t="s">
        <v>36436</v>
      </c>
      <c r="Z863" t="s">
        <v>4349</v>
      </c>
      <c r="AA863" t="s">
        <v>4350</v>
      </c>
      <c r="AB863" t="s">
        <v>36439</v>
      </c>
      <c r="AC863" t="s">
        <v>34493</v>
      </c>
      <c r="AD863" t="s">
        <v>10970</v>
      </c>
      <c r="AE863" t="s">
        <v>36440</v>
      </c>
      <c r="AF863" t="s">
        <v>36430</v>
      </c>
      <c r="AG863" t="s">
        <v>36431</v>
      </c>
    </row>
    <row r="864" spans="1:33" x14ac:dyDescent="0.25">
      <c r="A864" t="s">
        <v>34462</v>
      </c>
      <c r="B864" t="s">
        <v>4378</v>
      </c>
      <c r="C864" t="s">
        <v>4380</v>
      </c>
      <c r="D864">
        <v>45.17</v>
      </c>
      <c r="E864">
        <v>45.17</v>
      </c>
      <c r="F864">
        <v>846</v>
      </c>
      <c r="G864">
        <v>310</v>
      </c>
      <c r="H864">
        <v>45.76</v>
      </c>
      <c r="I864">
        <v>48.11</v>
      </c>
      <c r="J864">
        <v>0</v>
      </c>
      <c r="K864">
        <v>0</v>
      </c>
      <c r="L864">
        <v>1</v>
      </c>
      <c r="M864">
        <v>1</v>
      </c>
      <c r="N864">
        <v>4.5</v>
      </c>
      <c r="O864">
        <v>0</v>
      </c>
      <c r="P864">
        <v>47534</v>
      </c>
      <c r="Q864">
        <v>39</v>
      </c>
      <c r="R864">
        <v>106</v>
      </c>
      <c r="S864" t="s">
        <v>36428</v>
      </c>
      <c r="U864">
        <v>1.3448182</v>
      </c>
      <c r="V864">
        <v>7.24</v>
      </c>
      <c r="W864">
        <v>7.68</v>
      </c>
      <c r="X864" t="s">
        <v>4377</v>
      </c>
      <c r="Y864" t="s">
        <v>4355</v>
      </c>
      <c r="Z864" t="s">
        <v>4355</v>
      </c>
      <c r="AA864" t="s">
        <v>4356</v>
      </c>
      <c r="AB864" t="s">
        <v>36441</v>
      </c>
      <c r="AC864" t="s">
        <v>34493</v>
      </c>
      <c r="AD864" t="s">
        <v>10970</v>
      </c>
      <c r="AE864" t="s">
        <v>36440</v>
      </c>
      <c r="AF864" t="s">
        <v>36433</v>
      </c>
      <c r="AG864" t="s">
        <v>36431</v>
      </c>
    </row>
    <row r="865" spans="1:33" x14ac:dyDescent="0.25">
      <c r="A865" t="s">
        <v>34462</v>
      </c>
      <c r="B865" t="s">
        <v>4382</v>
      </c>
      <c r="C865" t="s">
        <v>4384</v>
      </c>
      <c r="J865">
        <v>1</v>
      </c>
      <c r="K865">
        <v>1</v>
      </c>
      <c r="Q865">
        <v>-1</v>
      </c>
      <c r="R865">
        <v>-1</v>
      </c>
      <c r="U865">
        <v>1.2610426400000001</v>
      </c>
      <c r="V865">
        <v>7.24</v>
      </c>
      <c r="X865" t="s">
        <v>4381</v>
      </c>
      <c r="Y865" t="s">
        <v>4385</v>
      </c>
      <c r="Z865" t="s">
        <v>4385</v>
      </c>
      <c r="AA865" t="s">
        <v>4386</v>
      </c>
      <c r="AB865" t="s">
        <v>36442</v>
      </c>
      <c r="AC865" t="s">
        <v>34465</v>
      </c>
      <c r="AD865" t="s">
        <v>10970</v>
      </c>
      <c r="AF865" t="s">
        <v>36443</v>
      </c>
    </row>
    <row r="866" spans="1:33" x14ac:dyDescent="0.25">
      <c r="A866" t="s">
        <v>34462</v>
      </c>
      <c r="B866" t="s">
        <v>4388</v>
      </c>
      <c r="C866" t="s">
        <v>4390</v>
      </c>
      <c r="D866">
        <v>43.9</v>
      </c>
      <c r="F866">
        <v>846</v>
      </c>
      <c r="G866">
        <v>301</v>
      </c>
      <c r="H866">
        <v>43.9</v>
      </c>
      <c r="I866">
        <v>48</v>
      </c>
      <c r="J866">
        <v>0.38</v>
      </c>
      <c r="K866">
        <v>0.38</v>
      </c>
      <c r="L866">
        <v>1</v>
      </c>
      <c r="M866">
        <v>1</v>
      </c>
      <c r="N866">
        <v>4.5</v>
      </c>
      <c r="O866">
        <v>1</v>
      </c>
      <c r="P866">
        <v>47353</v>
      </c>
      <c r="Q866">
        <v>18</v>
      </c>
      <c r="R866">
        <v>71</v>
      </c>
      <c r="S866" t="s">
        <v>36428</v>
      </c>
      <c r="U866">
        <v>1.36465978</v>
      </c>
      <c r="V866">
        <v>6.81</v>
      </c>
      <c r="X866" t="s">
        <v>4387</v>
      </c>
      <c r="Y866" t="s">
        <v>4355</v>
      </c>
      <c r="Z866" t="s">
        <v>4355</v>
      </c>
      <c r="AA866" t="s">
        <v>4356</v>
      </c>
      <c r="AB866" t="s">
        <v>36444</v>
      </c>
      <c r="AC866" t="s">
        <v>34465</v>
      </c>
      <c r="AD866" t="s">
        <v>10970</v>
      </c>
      <c r="AE866" t="s">
        <v>36445</v>
      </c>
      <c r="AF866" t="s">
        <v>36446</v>
      </c>
      <c r="AG866" t="s">
        <v>36431</v>
      </c>
    </row>
    <row r="867" spans="1:33" x14ac:dyDescent="0.25">
      <c r="A867" t="s">
        <v>34462</v>
      </c>
      <c r="B867" t="s">
        <v>4392</v>
      </c>
      <c r="C867" t="s">
        <v>4394</v>
      </c>
      <c r="D867">
        <v>45.78</v>
      </c>
      <c r="E867">
        <v>45.78</v>
      </c>
      <c r="F867">
        <v>798</v>
      </c>
      <c r="G867">
        <v>304</v>
      </c>
      <c r="H867">
        <v>48.38</v>
      </c>
      <c r="I867">
        <v>49.43</v>
      </c>
      <c r="J867">
        <v>0</v>
      </c>
      <c r="K867">
        <v>0</v>
      </c>
      <c r="L867">
        <v>1</v>
      </c>
      <c r="M867">
        <v>1</v>
      </c>
      <c r="N867">
        <v>4.5</v>
      </c>
      <c r="O867">
        <v>0</v>
      </c>
      <c r="P867">
        <v>47550</v>
      </c>
      <c r="Q867">
        <v>40</v>
      </c>
      <c r="R867">
        <v>103</v>
      </c>
      <c r="S867" t="s">
        <v>36428</v>
      </c>
      <c r="U867">
        <v>1.3889106</v>
      </c>
      <c r="V867">
        <v>7.4</v>
      </c>
      <c r="W867">
        <v>7.78</v>
      </c>
      <c r="X867" t="s">
        <v>4391</v>
      </c>
      <c r="Y867" t="s">
        <v>4355</v>
      </c>
      <c r="Z867" t="s">
        <v>4355</v>
      </c>
      <c r="AA867" t="s">
        <v>4356</v>
      </c>
      <c r="AB867" t="s">
        <v>36447</v>
      </c>
      <c r="AC867" t="s">
        <v>34493</v>
      </c>
      <c r="AD867" t="s">
        <v>10970</v>
      </c>
      <c r="AE867" t="s">
        <v>34552</v>
      </c>
      <c r="AF867" t="s">
        <v>36433</v>
      </c>
      <c r="AG867" t="s">
        <v>36431</v>
      </c>
    </row>
    <row r="868" spans="1:33" x14ac:dyDescent="0.25">
      <c r="A868" t="s">
        <v>34462</v>
      </c>
      <c r="B868" t="s">
        <v>4396</v>
      </c>
      <c r="C868" t="s">
        <v>4398</v>
      </c>
      <c r="D868">
        <v>53.27</v>
      </c>
      <c r="F868">
        <v>846</v>
      </c>
      <c r="G868">
        <v>301</v>
      </c>
      <c r="I868">
        <v>53.27</v>
      </c>
      <c r="J868">
        <v>1</v>
      </c>
      <c r="K868">
        <v>1</v>
      </c>
      <c r="N868">
        <v>4.5</v>
      </c>
      <c r="O868">
        <v>0</v>
      </c>
      <c r="P868">
        <v>46279</v>
      </c>
      <c r="Q868">
        <v>8</v>
      </c>
      <c r="R868">
        <v>25</v>
      </c>
      <c r="S868" t="s">
        <v>36428</v>
      </c>
      <c r="U868">
        <v>1.2786796</v>
      </c>
      <c r="V868">
        <v>6.48</v>
      </c>
      <c r="X868" t="s">
        <v>4395</v>
      </c>
      <c r="Y868" t="s">
        <v>4355</v>
      </c>
      <c r="Z868" t="s">
        <v>4355</v>
      </c>
      <c r="AA868" t="s">
        <v>4356</v>
      </c>
      <c r="AB868" t="s">
        <v>36448</v>
      </c>
      <c r="AC868" t="s">
        <v>34465</v>
      </c>
      <c r="AD868" t="s">
        <v>10970</v>
      </c>
      <c r="AE868" t="s">
        <v>35113</v>
      </c>
      <c r="AF868" t="s">
        <v>36446</v>
      </c>
    </row>
    <row r="869" spans="1:33" x14ac:dyDescent="0.25">
      <c r="A869" t="s">
        <v>34462</v>
      </c>
      <c r="B869" t="s">
        <v>4400</v>
      </c>
      <c r="C869" t="s">
        <v>4402</v>
      </c>
      <c r="D869">
        <v>44.45</v>
      </c>
      <c r="E869">
        <v>44.45</v>
      </c>
      <c r="F869">
        <v>846</v>
      </c>
      <c r="G869">
        <v>310</v>
      </c>
      <c r="H869">
        <v>45.31</v>
      </c>
      <c r="I869">
        <v>47.57</v>
      </c>
      <c r="J869">
        <v>0</v>
      </c>
      <c r="K869">
        <v>0</v>
      </c>
      <c r="L869">
        <v>1</v>
      </c>
      <c r="M869">
        <v>1</v>
      </c>
      <c r="N869">
        <v>4.5</v>
      </c>
      <c r="O869">
        <v>0</v>
      </c>
      <c r="P869">
        <v>47603</v>
      </c>
      <c r="Q869">
        <v>44</v>
      </c>
      <c r="R869">
        <v>118</v>
      </c>
      <c r="S869" t="s">
        <v>36428</v>
      </c>
      <c r="U869">
        <v>1.40434294</v>
      </c>
      <c r="V869">
        <v>6.81</v>
      </c>
      <c r="W869">
        <v>7.56</v>
      </c>
      <c r="X869" t="s">
        <v>4399</v>
      </c>
      <c r="Y869" t="s">
        <v>4355</v>
      </c>
      <c r="Z869" t="s">
        <v>4355</v>
      </c>
      <c r="AA869" t="s">
        <v>4356</v>
      </c>
      <c r="AB869" t="s">
        <v>36449</v>
      </c>
      <c r="AC869" t="s">
        <v>34493</v>
      </c>
      <c r="AD869" t="s">
        <v>10970</v>
      </c>
      <c r="AE869" t="s">
        <v>34554</v>
      </c>
      <c r="AF869" t="s">
        <v>36433</v>
      </c>
      <c r="AG869" t="s">
        <v>36431</v>
      </c>
    </row>
    <row r="870" spans="1:33" x14ac:dyDescent="0.25">
      <c r="A870" t="s">
        <v>34462</v>
      </c>
      <c r="B870" t="s">
        <v>4404</v>
      </c>
      <c r="C870" t="s">
        <v>4406</v>
      </c>
      <c r="D870">
        <v>51.81</v>
      </c>
      <c r="F870">
        <v>846</v>
      </c>
      <c r="G870">
        <v>293</v>
      </c>
      <c r="H870">
        <v>51.81</v>
      </c>
      <c r="I870">
        <v>50.28</v>
      </c>
      <c r="J870">
        <v>0.95</v>
      </c>
      <c r="K870">
        <v>0.95</v>
      </c>
      <c r="L870">
        <v>1</v>
      </c>
      <c r="N870">
        <v>4.5</v>
      </c>
      <c r="O870">
        <v>0</v>
      </c>
      <c r="P870">
        <v>46465</v>
      </c>
      <c r="Q870">
        <v>10</v>
      </c>
      <c r="R870">
        <v>33</v>
      </c>
      <c r="S870" t="s">
        <v>36428</v>
      </c>
      <c r="U870">
        <v>1.42859376</v>
      </c>
      <c r="V870">
        <v>6.81</v>
      </c>
      <c r="X870" t="s">
        <v>4403</v>
      </c>
      <c r="Y870" t="s">
        <v>4355</v>
      </c>
      <c r="Z870" t="s">
        <v>4355</v>
      </c>
      <c r="AA870" t="s">
        <v>4356</v>
      </c>
      <c r="AB870" t="s">
        <v>36450</v>
      </c>
      <c r="AC870" t="s">
        <v>34465</v>
      </c>
      <c r="AD870" t="s">
        <v>10970</v>
      </c>
      <c r="AE870" t="s">
        <v>35116</v>
      </c>
      <c r="AF870" t="s">
        <v>36446</v>
      </c>
    </row>
    <row r="871" spans="1:33" x14ac:dyDescent="0.25">
      <c r="A871" t="s">
        <v>34462</v>
      </c>
      <c r="B871" t="s">
        <v>4408</v>
      </c>
      <c r="C871" t="s">
        <v>4410</v>
      </c>
      <c r="D871">
        <v>49.48</v>
      </c>
      <c r="F871">
        <v>846</v>
      </c>
      <c r="G871">
        <v>301</v>
      </c>
      <c r="H871">
        <v>49.48</v>
      </c>
      <c r="I871">
        <v>52.03</v>
      </c>
      <c r="J871">
        <v>0.81</v>
      </c>
      <c r="K871">
        <v>0.81</v>
      </c>
      <c r="L871">
        <v>1</v>
      </c>
      <c r="N871">
        <v>4.5</v>
      </c>
      <c r="O871">
        <v>1</v>
      </c>
      <c r="P871">
        <v>46740</v>
      </c>
      <c r="Q871">
        <v>8</v>
      </c>
      <c r="R871">
        <v>30</v>
      </c>
      <c r="S871" t="s">
        <v>36428</v>
      </c>
      <c r="U871">
        <v>1.41316142</v>
      </c>
      <c r="V871">
        <v>7.24</v>
      </c>
      <c r="X871" t="s">
        <v>4407</v>
      </c>
      <c r="Y871" t="s">
        <v>4355</v>
      </c>
      <c r="Z871" t="s">
        <v>4355</v>
      </c>
      <c r="AA871" t="s">
        <v>4356</v>
      </c>
      <c r="AB871" t="s">
        <v>36451</v>
      </c>
      <c r="AC871" t="s">
        <v>34465</v>
      </c>
      <c r="AD871" t="s">
        <v>10970</v>
      </c>
      <c r="AE871" t="s">
        <v>35118</v>
      </c>
      <c r="AF871" t="s">
        <v>36446</v>
      </c>
      <c r="AG871" t="s">
        <v>36452</v>
      </c>
    </row>
    <row r="872" spans="1:33" x14ac:dyDescent="0.25">
      <c r="A872" t="s">
        <v>34462</v>
      </c>
      <c r="B872" t="s">
        <v>4412</v>
      </c>
      <c r="C872" t="s">
        <v>4414</v>
      </c>
      <c r="D872">
        <v>44.28</v>
      </c>
      <c r="E872">
        <v>44.28</v>
      </c>
      <c r="F872">
        <v>846</v>
      </c>
      <c r="G872">
        <v>312</v>
      </c>
      <c r="H872">
        <v>46.45</v>
      </c>
      <c r="I872">
        <v>48.26</v>
      </c>
      <c r="J872">
        <v>0</v>
      </c>
      <c r="K872">
        <v>0</v>
      </c>
      <c r="L872">
        <v>1</v>
      </c>
      <c r="M872">
        <v>1</v>
      </c>
      <c r="N872">
        <v>4.5</v>
      </c>
      <c r="O872">
        <v>0</v>
      </c>
      <c r="P872">
        <v>47534</v>
      </c>
      <c r="Q872">
        <v>31</v>
      </c>
      <c r="R872">
        <v>100</v>
      </c>
      <c r="S872" t="s">
        <v>36428</v>
      </c>
      <c r="U872">
        <v>1.52339242</v>
      </c>
      <c r="V872">
        <v>6.6</v>
      </c>
      <c r="W872">
        <v>7.53</v>
      </c>
      <c r="X872" t="s">
        <v>4411</v>
      </c>
      <c r="Y872" t="s">
        <v>4355</v>
      </c>
      <c r="Z872" t="s">
        <v>4355</v>
      </c>
      <c r="AA872" t="s">
        <v>4356</v>
      </c>
      <c r="AB872" t="s">
        <v>36453</v>
      </c>
      <c r="AC872" t="s">
        <v>34493</v>
      </c>
      <c r="AD872" t="s">
        <v>10970</v>
      </c>
      <c r="AE872" t="s">
        <v>36454</v>
      </c>
      <c r="AF872" t="s">
        <v>36433</v>
      </c>
      <c r="AG872" t="s">
        <v>36431</v>
      </c>
    </row>
    <row r="873" spans="1:33" x14ac:dyDescent="0.25">
      <c r="A873" t="s">
        <v>34462</v>
      </c>
      <c r="B873" t="s">
        <v>4416</v>
      </c>
      <c r="C873" t="s">
        <v>4418</v>
      </c>
      <c r="D873">
        <v>59.99</v>
      </c>
      <c r="E873">
        <v>59.99</v>
      </c>
      <c r="F873">
        <v>846</v>
      </c>
      <c r="G873">
        <v>309</v>
      </c>
      <c r="H873">
        <v>58.77</v>
      </c>
      <c r="I873">
        <v>55.79</v>
      </c>
      <c r="J873">
        <v>0.02</v>
      </c>
      <c r="K873">
        <v>0.02</v>
      </c>
      <c r="L873">
        <v>1</v>
      </c>
      <c r="M873">
        <v>1</v>
      </c>
      <c r="N873">
        <v>4.5</v>
      </c>
      <c r="O873">
        <v>1</v>
      </c>
      <c r="P873">
        <v>47596</v>
      </c>
      <c r="Q873">
        <v>47</v>
      </c>
      <c r="R873">
        <v>119</v>
      </c>
      <c r="S873" t="s">
        <v>36428</v>
      </c>
      <c r="U873">
        <v>1.6997620200000001</v>
      </c>
      <c r="V873">
        <v>6.14</v>
      </c>
      <c r="W873">
        <v>10.199999999999999</v>
      </c>
      <c r="X873" t="s">
        <v>4415</v>
      </c>
      <c r="Y873" t="s">
        <v>4419</v>
      </c>
      <c r="Z873" t="s">
        <v>4419</v>
      </c>
      <c r="AA873" t="s">
        <v>4420</v>
      </c>
      <c r="AB873" t="s">
        <v>36455</v>
      </c>
      <c r="AC873" t="s">
        <v>34493</v>
      </c>
      <c r="AD873" t="s">
        <v>10970</v>
      </c>
      <c r="AE873" t="s">
        <v>36454</v>
      </c>
      <c r="AF873" t="s">
        <v>36456</v>
      </c>
      <c r="AG873" t="s">
        <v>36431</v>
      </c>
    </row>
    <row r="874" spans="1:33" x14ac:dyDescent="0.25">
      <c r="A874" t="s">
        <v>34462</v>
      </c>
      <c r="B874" t="s">
        <v>4422</v>
      </c>
      <c r="C874" t="s">
        <v>4424</v>
      </c>
      <c r="D874">
        <v>51.08</v>
      </c>
      <c r="F874">
        <v>846</v>
      </c>
      <c r="G874">
        <v>310</v>
      </c>
      <c r="H874">
        <v>51.08</v>
      </c>
      <c r="I874">
        <v>51.5</v>
      </c>
      <c r="J874">
        <v>0.83</v>
      </c>
      <c r="K874">
        <v>0.83</v>
      </c>
      <c r="L874">
        <v>1</v>
      </c>
      <c r="N874">
        <v>4.5</v>
      </c>
      <c r="O874">
        <v>0</v>
      </c>
      <c r="P874">
        <v>46728</v>
      </c>
      <c r="Q874">
        <v>8</v>
      </c>
      <c r="R874">
        <v>43</v>
      </c>
      <c r="S874" t="s">
        <v>36428</v>
      </c>
      <c r="U874">
        <v>1.44182148</v>
      </c>
      <c r="V874">
        <v>7.08</v>
      </c>
      <c r="X874" t="s">
        <v>4421</v>
      </c>
      <c r="Y874" t="s">
        <v>4355</v>
      </c>
      <c r="Z874" t="s">
        <v>4355</v>
      </c>
      <c r="AA874" t="s">
        <v>4356</v>
      </c>
      <c r="AB874" t="s">
        <v>36457</v>
      </c>
      <c r="AC874" t="s">
        <v>34465</v>
      </c>
      <c r="AD874" t="s">
        <v>10970</v>
      </c>
      <c r="AE874" t="s">
        <v>36458</v>
      </c>
      <c r="AF874" t="s">
        <v>36446</v>
      </c>
    </row>
    <row r="875" spans="1:33" x14ac:dyDescent="0.25">
      <c r="A875" t="s">
        <v>34462</v>
      </c>
      <c r="B875" t="s">
        <v>4426</v>
      </c>
      <c r="C875" t="s">
        <v>4428</v>
      </c>
      <c r="D875">
        <v>59.99</v>
      </c>
      <c r="F875">
        <v>846</v>
      </c>
      <c r="G875">
        <v>299</v>
      </c>
      <c r="H875">
        <v>59.99</v>
      </c>
      <c r="I875">
        <v>51.36</v>
      </c>
      <c r="J875">
        <v>1</v>
      </c>
      <c r="K875">
        <v>1</v>
      </c>
      <c r="L875">
        <v>1</v>
      </c>
      <c r="N875">
        <v>4.5</v>
      </c>
      <c r="O875">
        <v>0</v>
      </c>
      <c r="P875">
        <v>46149</v>
      </c>
      <c r="Q875">
        <v>8</v>
      </c>
      <c r="R875">
        <v>22</v>
      </c>
      <c r="S875" t="s">
        <v>36428</v>
      </c>
      <c r="U875">
        <v>1.4528445800000001</v>
      </c>
      <c r="V875">
        <v>6.81</v>
      </c>
      <c r="X875" t="s">
        <v>4425</v>
      </c>
      <c r="Y875" t="s">
        <v>4349</v>
      </c>
      <c r="Z875" t="s">
        <v>4349</v>
      </c>
      <c r="AA875" t="s">
        <v>4350</v>
      </c>
      <c r="AB875" t="s">
        <v>36459</v>
      </c>
      <c r="AC875" t="s">
        <v>34465</v>
      </c>
      <c r="AD875" t="s">
        <v>10970</v>
      </c>
      <c r="AE875" t="s">
        <v>34558</v>
      </c>
      <c r="AF875" t="s">
        <v>36460</v>
      </c>
    </row>
    <row r="876" spans="1:33" x14ac:dyDescent="0.25">
      <c r="A876" t="s">
        <v>34462</v>
      </c>
      <c r="B876" t="s">
        <v>4430</v>
      </c>
      <c r="C876" t="s">
        <v>4432</v>
      </c>
      <c r="D876">
        <v>40.549999999999997</v>
      </c>
      <c r="E876">
        <v>40.549999999999997</v>
      </c>
      <c r="F876">
        <v>758</v>
      </c>
      <c r="G876">
        <v>309</v>
      </c>
      <c r="H876">
        <v>43.42</v>
      </c>
      <c r="I876">
        <v>47.23</v>
      </c>
      <c r="J876">
        <v>0</v>
      </c>
      <c r="K876">
        <v>0</v>
      </c>
      <c r="L876">
        <v>1</v>
      </c>
      <c r="M876">
        <v>1</v>
      </c>
      <c r="N876">
        <v>4.5</v>
      </c>
      <c r="O876">
        <v>0</v>
      </c>
      <c r="P876">
        <v>47534</v>
      </c>
      <c r="Q876">
        <v>26</v>
      </c>
      <c r="R876">
        <v>87</v>
      </c>
      <c r="S876" t="s">
        <v>36428</v>
      </c>
      <c r="U876">
        <v>1.4991416</v>
      </c>
      <c r="V876">
        <v>7.08</v>
      </c>
      <c r="W876">
        <v>6.89</v>
      </c>
      <c r="X876" t="s">
        <v>4429</v>
      </c>
      <c r="Y876" t="s">
        <v>4355</v>
      </c>
      <c r="Z876" t="s">
        <v>4355</v>
      </c>
      <c r="AA876" t="s">
        <v>4356</v>
      </c>
      <c r="AB876" t="s">
        <v>36461</v>
      </c>
      <c r="AC876" t="s">
        <v>34493</v>
      </c>
      <c r="AD876" t="s">
        <v>10970</v>
      </c>
      <c r="AE876" t="s">
        <v>34558</v>
      </c>
      <c r="AF876" t="s">
        <v>36433</v>
      </c>
      <c r="AG876" t="s">
        <v>36431</v>
      </c>
    </row>
    <row r="877" spans="1:33" x14ac:dyDescent="0.25">
      <c r="A877" t="s">
        <v>34462</v>
      </c>
      <c r="B877" t="s">
        <v>4434</v>
      </c>
      <c r="C877" t="s">
        <v>4436</v>
      </c>
      <c r="D877">
        <v>52.12</v>
      </c>
      <c r="F877">
        <v>846</v>
      </c>
      <c r="G877">
        <v>292</v>
      </c>
      <c r="H877">
        <v>52.12</v>
      </c>
      <c r="I877">
        <v>51.2</v>
      </c>
      <c r="J877">
        <v>0.83</v>
      </c>
      <c r="K877">
        <v>0.83</v>
      </c>
      <c r="L877">
        <v>1</v>
      </c>
      <c r="N877">
        <v>4.5</v>
      </c>
      <c r="O877">
        <v>0</v>
      </c>
      <c r="P877">
        <v>46430</v>
      </c>
      <c r="Q877">
        <v>5</v>
      </c>
      <c r="R877">
        <v>34</v>
      </c>
      <c r="S877" t="s">
        <v>36428</v>
      </c>
      <c r="U877">
        <v>1.44623072</v>
      </c>
      <c r="V877">
        <v>6.6</v>
      </c>
      <c r="X877" t="s">
        <v>4433</v>
      </c>
      <c r="Y877" t="s">
        <v>4355</v>
      </c>
      <c r="Z877" t="s">
        <v>4355</v>
      </c>
      <c r="AA877" t="s">
        <v>4356</v>
      </c>
      <c r="AB877" t="s">
        <v>36462</v>
      </c>
      <c r="AC877" t="s">
        <v>34465</v>
      </c>
      <c r="AD877" t="s">
        <v>10970</v>
      </c>
      <c r="AE877" t="s">
        <v>36463</v>
      </c>
      <c r="AF877" t="s">
        <v>36446</v>
      </c>
    </row>
    <row r="878" spans="1:33" x14ac:dyDescent="0.25">
      <c r="A878" t="s">
        <v>34462</v>
      </c>
      <c r="B878" t="s">
        <v>4438</v>
      </c>
      <c r="C878" t="s">
        <v>4440</v>
      </c>
      <c r="D878">
        <v>42.24</v>
      </c>
      <c r="E878">
        <v>42.24</v>
      </c>
      <c r="F878">
        <v>846</v>
      </c>
      <c r="G878">
        <v>312</v>
      </c>
      <c r="H878">
        <v>45.1</v>
      </c>
      <c r="I878">
        <v>47.38</v>
      </c>
      <c r="J878">
        <v>0.11</v>
      </c>
      <c r="K878">
        <v>0.11</v>
      </c>
      <c r="L878">
        <v>1</v>
      </c>
      <c r="M878">
        <v>1</v>
      </c>
      <c r="N878">
        <v>4.5</v>
      </c>
      <c r="O878">
        <v>1</v>
      </c>
      <c r="P878">
        <v>47540</v>
      </c>
      <c r="Q878">
        <v>31</v>
      </c>
      <c r="R878">
        <v>117</v>
      </c>
      <c r="S878" t="s">
        <v>36428</v>
      </c>
      <c r="U878">
        <v>1.43741224</v>
      </c>
      <c r="V878">
        <v>6.81</v>
      </c>
      <c r="W878">
        <v>7.18</v>
      </c>
      <c r="X878" t="s">
        <v>4437</v>
      </c>
      <c r="Y878" t="s">
        <v>4355</v>
      </c>
      <c r="Z878" t="s">
        <v>4355</v>
      </c>
      <c r="AA878" t="s">
        <v>4356</v>
      </c>
      <c r="AB878" t="s">
        <v>36464</v>
      </c>
      <c r="AC878" t="s">
        <v>34493</v>
      </c>
      <c r="AD878" t="s">
        <v>10970</v>
      </c>
      <c r="AE878" t="s">
        <v>36465</v>
      </c>
      <c r="AF878" t="s">
        <v>36433</v>
      </c>
      <c r="AG878" t="s">
        <v>36431</v>
      </c>
    </row>
    <row r="879" spans="1:33" x14ac:dyDescent="0.25">
      <c r="A879" t="s">
        <v>34462</v>
      </c>
      <c r="B879" t="s">
        <v>4442</v>
      </c>
      <c r="C879" t="s">
        <v>4444</v>
      </c>
      <c r="D879">
        <v>40.31</v>
      </c>
      <c r="E879">
        <v>40.31</v>
      </c>
      <c r="F879">
        <v>846</v>
      </c>
      <c r="G879">
        <v>309</v>
      </c>
      <c r="H879">
        <v>43.68</v>
      </c>
      <c r="I879">
        <v>47.08</v>
      </c>
      <c r="J879">
        <v>0</v>
      </c>
      <c r="K879">
        <v>0</v>
      </c>
      <c r="L879">
        <v>1</v>
      </c>
      <c r="M879">
        <v>1</v>
      </c>
      <c r="N879">
        <v>4.5</v>
      </c>
      <c r="O879">
        <v>0</v>
      </c>
      <c r="P879">
        <v>47617</v>
      </c>
      <c r="Q879">
        <v>51</v>
      </c>
      <c r="R879">
        <v>139</v>
      </c>
      <c r="S879" t="s">
        <v>36428</v>
      </c>
      <c r="U879">
        <v>1.51898318</v>
      </c>
      <c r="V879">
        <v>6.81</v>
      </c>
      <c r="W879">
        <v>6.85</v>
      </c>
      <c r="X879" t="s">
        <v>4441</v>
      </c>
      <c r="Y879" t="s">
        <v>4355</v>
      </c>
      <c r="Z879" t="s">
        <v>4355</v>
      </c>
      <c r="AA879" t="s">
        <v>4356</v>
      </c>
      <c r="AB879" t="s">
        <v>36466</v>
      </c>
      <c r="AC879" t="s">
        <v>34493</v>
      </c>
      <c r="AD879" t="s">
        <v>10970</v>
      </c>
      <c r="AE879" t="s">
        <v>36295</v>
      </c>
      <c r="AF879" t="s">
        <v>36433</v>
      </c>
      <c r="AG879" t="s">
        <v>36431</v>
      </c>
    </row>
    <row r="880" spans="1:33" x14ac:dyDescent="0.25">
      <c r="A880" t="s">
        <v>34462</v>
      </c>
      <c r="B880" t="s">
        <v>4446</v>
      </c>
      <c r="C880" t="s">
        <v>4448</v>
      </c>
      <c r="D880">
        <v>48.33</v>
      </c>
      <c r="F880">
        <v>846</v>
      </c>
      <c r="G880">
        <v>299</v>
      </c>
      <c r="I880">
        <v>48.33</v>
      </c>
      <c r="J880">
        <v>1</v>
      </c>
      <c r="K880">
        <v>1</v>
      </c>
      <c r="N880">
        <v>4.5</v>
      </c>
      <c r="O880">
        <v>0</v>
      </c>
      <c r="P880">
        <v>47200</v>
      </c>
      <c r="Q880">
        <v>7</v>
      </c>
      <c r="R880">
        <v>25</v>
      </c>
      <c r="S880" t="s">
        <v>36428</v>
      </c>
      <c r="U880">
        <v>1.52780166</v>
      </c>
      <c r="V880">
        <v>6.6</v>
      </c>
      <c r="X880" t="s">
        <v>4445</v>
      </c>
      <c r="Y880" t="s">
        <v>4349</v>
      </c>
      <c r="Z880" t="s">
        <v>4349</v>
      </c>
      <c r="AA880" t="s">
        <v>4350</v>
      </c>
      <c r="AB880" t="s">
        <v>36467</v>
      </c>
      <c r="AC880" t="s">
        <v>34465</v>
      </c>
      <c r="AD880" t="s">
        <v>10970</v>
      </c>
      <c r="AE880" t="s">
        <v>36468</v>
      </c>
      <c r="AF880" t="s">
        <v>36460</v>
      </c>
      <c r="AG880" t="s">
        <v>36431</v>
      </c>
    </row>
    <row r="881" spans="1:33" x14ac:dyDescent="0.25">
      <c r="A881" t="s">
        <v>34462</v>
      </c>
      <c r="B881" t="s">
        <v>4450</v>
      </c>
      <c r="C881" t="s">
        <v>4452</v>
      </c>
      <c r="D881">
        <v>41.86</v>
      </c>
      <c r="E881">
        <v>41.86</v>
      </c>
      <c r="F881">
        <v>846</v>
      </c>
      <c r="G881">
        <v>301</v>
      </c>
      <c r="H881">
        <v>42.71</v>
      </c>
      <c r="I881">
        <v>47.08</v>
      </c>
      <c r="J881">
        <v>0.35</v>
      </c>
      <c r="K881">
        <v>0.35</v>
      </c>
      <c r="L881">
        <v>1</v>
      </c>
      <c r="M881">
        <v>1</v>
      </c>
      <c r="N881">
        <v>4.5</v>
      </c>
      <c r="O881">
        <v>0</v>
      </c>
      <c r="P881">
        <v>47534</v>
      </c>
      <c r="Q881">
        <v>33</v>
      </c>
      <c r="R881">
        <v>75</v>
      </c>
      <c r="S881" t="s">
        <v>36428</v>
      </c>
      <c r="U881">
        <v>1.6380326599999999</v>
      </c>
      <c r="V881">
        <v>6.81</v>
      </c>
      <c r="W881">
        <v>7.12</v>
      </c>
      <c r="X881" t="s">
        <v>4449</v>
      </c>
      <c r="Y881" t="s">
        <v>4355</v>
      </c>
      <c r="Z881" t="s">
        <v>4355</v>
      </c>
      <c r="AA881" t="s">
        <v>4356</v>
      </c>
      <c r="AB881" t="s">
        <v>36469</v>
      </c>
      <c r="AC881" t="s">
        <v>34493</v>
      </c>
      <c r="AD881" t="s">
        <v>10970</v>
      </c>
      <c r="AE881" t="s">
        <v>36468</v>
      </c>
      <c r="AF881" t="s">
        <v>36433</v>
      </c>
      <c r="AG881" t="s">
        <v>36431</v>
      </c>
    </row>
    <row r="882" spans="1:33" x14ac:dyDescent="0.25">
      <c r="A882" t="s">
        <v>34462</v>
      </c>
      <c r="B882" t="s">
        <v>4454</v>
      </c>
      <c r="C882" t="s">
        <v>4456</v>
      </c>
      <c r="D882">
        <v>48.32</v>
      </c>
      <c r="F882">
        <v>846</v>
      </c>
      <c r="G882">
        <v>303</v>
      </c>
      <c r="H882">
        <v>48.32</v>
      </c>
      <c r="I882">
        <v>52.29</v>
      </c>
      <c r="J882">
        <v>0.79</v>
      </c>
      <c r="K882">
        <v>0.79</v>
      </c>
      <c r="L882">
        <v>1</v>
      </c>
      <c r="N882">
        <v>4.5</v>
      </c>
      <c r="O882">
        <v>1</v>
      </c>
      <c r="P882">
        <v>46740</v>
      </c>
      <c r="Q882">
        <v>10</v>
      </c>
      <c r="R882">
        <v>48</v>
      </c>
      <c r="S882" t="s">
        <v>36428</v>
      </c>
      <c r="U882">
        <v>1.39331984</v>
      </c>
      <c r="V882">
        <v>6.81</v>
      </c>
      <c r="X882" t="s">
        <v>4453</v>
      </c>
      <c r="Y882" t="s">
        <v>4419</v>
      </c>
      <c r="Z882" t="s">
        <v>4419</v>
      </c>
      <c r="AA882" t="s">
        <v>4420</v>
      </c>
      <c r="AB882" t="s">
        <v>36470</v>
      </c>
      <c r="AC882" t="s">
        <v>34465</v>
      </c>
      <c r="AD882" t="s">
        <v>10970</v>
      </c>
      <c r="AE882" t="s">
        <v>36468</v>
      </c>
      <c r="AF882" t="s">
        <v>36471</v>
      </c>
    </row>
    <row r="883" spans="1:33" x14ac:dyDescent="0.25">
      <c r="A883" t="s">
        <v>34462</v>
      </c>
      <c r="B883" t="s">
        <v>4458</v>
      </c>
      <c r="C883" t="s">
        <v>4460</v>
      </c>
      <c r="D883">
        <v>39.869999999999997</v>
      </c>
      <c r="E883">
        <v>39.869999999999997</v>
      </c>
      <c r="F883">
        <v>846</v>
      </c>
      <c r="G883">
        <v>309</v>
      </c>
      <c r="H883">
        <v>44.11</v>
      </c>
      <c r="I883">
        <v>46.48</v>
      </c>
      <c r="J883">
        <v>0</v>
      </c>
      <c r="K883">
        <v>0</v>
      </c>
      <c r="L883">
        <v>1</v>
      </c>
      <c r="M883">
        <v>1</v>
      </c>
      <c r="N883">
        <v>4.5</v>
      </c>
      <c r="O883">
        <v>0</v>
      </c>
      <c r="P883">
        <v>47596</v>
      </c>
      <c r="Q883">
        <v>41</v>
      </c>
      <c r="R883">
        <v>121</v>
      </c>
      <c r="S883" t="s">
        <v>36428</v>
      </c>
      <c r="U883">
        <v>1.5983495000000001</v>
      </c>
      <c r="V883">
        <v>6.14</v>
      </c>
      <c r="W883">
        <v>6.78</v>
      </c>
      <c r="X883" t="s">
        <v>4457</v>
      </c>
      <c r="Y883" t="s">
        <v>4355</v>
      </c>
      <c r="Z883" t="s">
        <v>4355</v>
      </c>
      <c r="AA883" t="s">
        <v>4356</v>
      </c>
      <c r="AB883" t="s">
        <v>36472</v>
      </c>
      <c r="AC883" t="s">
        <v>34493</v>
      </c>
      <c r="AD883" t="s">
        <v>10970</v>
      </c>
      <c r="AE883" t="s">
        <v>34561</v>
      </c>
      <c r="AF883" t="s">
        <v>36433</v>
      </c>
      <c r="AG883" t="s">
        <v>36431</v>
      </c>
    </row>
    <row r="884" spans="1:33" x14ac:dyDescent="0.25">
      <c r="A884" t="s">
        <v>34462</v>
      </c>
      <c r="B884" t="s">
        <v>4462</v>
      </c>
      <c r="C884" t="s">
        <v>4464</v>
      </c>
      <c r="D884">
        <v>43.6</v>
      </c>
      <c r="E884">
        <v>43.6</v>
      </c>
      <c r="F884">
        <v>786</v>
      </c>
      <c r="G884">
        <v>306</v>
      </c>
      <c r="H884">
        <v>45.12</v>
      </c>
      <c r="I884">
        <v>47.88</v>
      </c>
      <c r="J884">
        <v>0</v>
      </c>
      <c r="K884">
        <v>0</v>
      </c>
      <c r="L884">
        <v>1</v>
      </c>
      <c r="M884">
        <v>1</v>
      </c>
      <c r="N884">
        <v>4.5</v>
      </c>
      <c r="O884">
        <v>0</v>
      </c>
      <c r="P884">
        <v>47534</v>
      </c>
      <c r="Q884">
        <v>32</v>
      </c>
      <c r="R884">
        <v>83</v>
      </c>
      <c r="S884" t="s">
        <v>36428</v>
      </c>
      <c r="U884">
        <v>1.6997620200000001</v>
      </c>
      <c r="V884">
        <v>6.14</v>
      </c>
      <c r="W884">
        <v>7.41</v>
      </c>
      <c r="X884" t="s">
        <v>4461</v>
      </c>
      <c r="Y884" t="s">
        <v>4355</v>
      </c>
      <c r="Z884" t="s">
        <v>4355</v>
      </c>
      <c r="AA884" t="s">
        <v>4356</v>
      </c>
      <c r="AB884" t="s">
        <v>36473</v>
      </c>
      <c r="AC884" t="s">
        <v>34493</v>
      </c>
      <c r="AD884" t="s">
        <v>10970</v>
      </c>
      <c r="AE884" t="s">
        <v>34564</v>
      </c>
      <c r="AF884" t="s">
        <v>36433</v>
      </c>
      <c r="AG884" t="s">
        <v>36431</v>
      </c>
    </row>
    <row r="885" spans="1:33" x14ac:dyDescent="0.25">
      <c r="A885" t="s">
        <v>34462</v>
      </c>
      <c r="B885" t="s">
        <v>4466</v>
      </c>
      <c r="C885" t="s">
        <v>4468</v>
      </c>
      <c r="D885">
        <v>48.57</v>
      </c>
      <c r="F885">
        <v>846</v>
      </c>
      <c r="G885">
        <v>299</v>
      </c>
      <c r="I885">
        <v>48.57</v>
      </c>
      <c r="J885">
        <v>1</v>
      </c>
      <c r="K885">
        <v>1</v>
      </c>
      <c r="N885">
        <v>4.5</v>
      </c>
      <c r="O885">
        <v>0</v>
      </c>
      <c r="P885">
        <v>46035</v>
      </c>
      <c r="Q885">
        <v>4</v>
      </c>
      <c r="R885">
        <v>18</v>
      </c>
      <c r="S885" t="s">
        <v>36428</v>
      </c>
      <c r="U885">
        <v>1.5498478600000001</v>
      </c>
      <c r="V885">
        <v>6.6</v>
      </c>
      <c r="X885" t="s">
        <v>4465</v>
      </c>
      <c r="Y885" t="s">
        <v>36436</v>
      </c>
      <c r="Z885" t="s">
        <v>4349</v>
      </c>
      <c r="AA885" t="s">
        <v>4350</v>
      </c>
      <c r="AB885" t="s">
        <v>36474</v>
      </c>
      <c r="AC885" t="s">
        <v>34465</v>
      </c>
      <c r="AD885" t="s">
        <v>10970</v>
      </c>
      <c r="AE885" t="s">
        <v>34564</v>
      </c>
      <c r="AF885" t="s">
        <v>36460</v>
      </c>
    </row>
    <row r="886" spans="1:33" x14ac:dyDescent="0.25">
      <c r="A886" t="s">
        <v>34462</v>
      </c>
      <c r="B886" t="s">
        <v>4470</v>
      </c>
      <c r="C886" t="s">
        <v>4472</v>
      </c>
      <c r="D886">
        <v>42.46</v>
      </c>
      <c r="E886">
        <v>42.46</v>
      </c>
      <c r="F886">
        <v>846</v>
      </c>
      <c r="G886">
        <v>309</v>
      </c>
      <c r="H886">
        <v>43.37</v>
      </c>
      <c r="I886">
        <v>47</v>
      </c>
      <c r="J886">
        <v>0</v>
      </c>
      <c r="K886">
        <v>0</v>
      </c>
      <c r="L886">
        <v>1</v>
      </c>
      <c r="M886">
        <v>1</v>
      </c>
      <c r="N886">
        <v>4.5</v>
      </c>
      <c r="O886">
        <v>0</v>
      </c>
      <c r="P886">
        <v>47534</v>
      </c>
      <c r="Q886">
        <v>60</v>
      </c>
      <c r="R886">
        <v>144</v>
      </c>
      <c r="S886" t="s">
        <v>36428</v>
      </c>
      <c r="U886">
        <v>1.6799204400000001</v>
      </c>
      <c r="V886">
        <v>6.81</v>
      </c>
      <c r="W886">
        <v>7.22</v>
      </c>
      <c r="X886" t="s">
        <v>4469</v>
      </c>
      <c r="Y886" t="s">
        <v>4355</v>
      </c>
      <c r="Z886" t="s">
        <v>4355</v>
      </c>
      <c r="AA886" t="s">
        <v>4356</v>
      </c>
      <c r="AB886" t="s">
        <v>36475</v>
      </c>
      <c r="AC886" t="s">
        <v>34493</v>
      </c>
      <c r="AD886" t="s">
        <v>10970</v>
      </c>
      <c r="AE886" t="s">
        <v>36476</v>
      </c>
      <c r="AF886" t="s">
        <v>36433</v>
      </c>
      <c r="AG886" t="s">
        <v>36431</v>
      </c>
    </row>
    <row r="887" spans="1:33" x14ac:dyDescent="0.25">
      <c r="A887" t="s">
        <v>34462</v>
      </c>
      <c r="B887" t="s">
        <v>4474</v>
      </c>
      <c r="C887" t="s">
        <v>4476</v>
      </c>
      <c r="D887">
        <v>48.54</v>
      </c>
      <c r="F887">
        <v>846</v>
      </c>
      <c r="G887">
        <v>294</v>
      </c>
      <c r="I887">
        <v>48.54</v>
      </c>
      <c r="J887">
        <v>1</v>
      </c>
      <c r="K887">
        <v>1</v>
      </c>
      <c r="N887">
        <v>4.5</v>
      </c>
      <c r="O887">
        <v>0</v>
      </c>
      <c r="P887">
        <v>45063</v>
      </c>
      <c r="Q887">
        <v>7</v>
      </c>
      <c r="R887">
        <v>22</v>
      </c>
      <c r="S887" t="s">
        <v>36428</v>
      </c>
      <c r="U887">
        <v>1.6027587400000001</v>
      </c>
      <c r="V887">
        <v>6.6</v>
      </c>
      <c r="X887" t="s">
        <v>4473</v>
      </c>
      <c r="Y887" t="s">
        <v>4349</v>
      </c>
      <c r="Z887" t="s">
        <v>4349</v>
      </c>
      <c r="AA887" t="s">
        <v>4350</v>
      </c>
      <c r="AB887" t="s">
        <v>36477</v>
      </c>
      <c r="AC887" t="s">
        <v>34465</v>
      </c>
      <c r="AD887" t="s">
        <v>10970</v>
      </c>
      <c r="AE887" t="s">
        <v>36476</v>
      </c>
      <c r="AF887" t="s">
        <v>36460</v>
      </c>
    </row>
    <row r="888" spans="1:33" x14ac:dyDescent="0.25">
      <c r="A888" t="s">
        <v>34462</v>
      </c>
      <c r="B888" t="s">
        <v>4478</v>
      </c>
      <c r="C888" t="s">
        <v>4480</v>
      </c>
      <c r="D888">
        <v>50.99</v>
      </c>
      <c r="E888">
        <v>50.99</v>
      </c>
      <c r="F888">
        <v>846</v>
      </c>
      <c r="G888">
        <v>311</v>
      </c>
      <c r="H888">
        <v>59.01</v>
      </c>
      <c r="I888">
        <v>56.16</v>
      </c>
      <c r="J888">
        <v>0</v>
      </c>
      <c r="K888">
        <v>0</v>
      </c>
      <c r="L888">
        <v>1</v>
      </c>
      <c r="M888">
        <v>1</v>
      </c>
      <c r="N888">
        <v>4.5</v>
      </c>
      <c r="O888">
        <v>0</v>
      </c>
      <c r="P888">
        <v>47534</v>
      </c>
      <c r="Q888">
        <v>47</v>
      </c>
      <c r="R888">
        <v>136</v>
      </c>
      <c r="S888" t="s">
        <v>36428</v>
      </c>
      <c r="U888">
        <v>1.4307983799999999</v>
      </c>
      <c r="V888">
        <v>7.08</v>
      </c>
      <c r="W888">
        <v>8.67</v>
      </c>
      <c r="X888" t="s">
        <v>4477</v>
      </c>
      <c r="Y888" t="s">
        <v>4419</v>
      </c>
      <c r="Z888" t="s">
        <v>4419</v>
      </c>
      <c r="AA888" t="s">
        <v>4420</v>
      </c>
      <c r="AB888" t="s">
        <v>36478</v>
      </c>
      <c r="AC888" t="s">
        <v>34493</v>
      </c>
      <c r="AD888" t="s">
        <v>10970</v>
      </c>
      <c r="AE888" t="s">
        <v>36476</v>
      </c>
      <c r="AF888" t="s">
        <v>36479</v>
      </c>
      <c r="AG888" t="s">
        <v>36431</v>
      </c>
    </row>
    <row r="889" spans="1:33" x14ac:dyDescent="0.25">
      <c r="A889" t="s">
        <v>34462</v>
      </c>
      <c r="B889" t="s">
        <v>4482</v>
      </c>
      <c r="C889" t="s">
        <v>4484</v>
      </c>
      <c r="D889">
        <v>41.77</v>
      </c>
      <c r="E889">
        <v>41.77</v>
      </c>
      <c r="F889">
        <v>846</v>
      </c>
      <c r="G889">
        <v>307</v>
      </c>
      <c r="H889">
        <v>43.91</v>
      </c>
      <c r="I889">
        <v>47.52</v>
      </c>
      <c r="J889">
        <v>0</v>
      </c>
      <c r="K889">
        <v>0</v>
      </c>
      <c r="L889">
        <v>1</v>
      </c>
      <c r="M889">
        <v>1</v>
      </c>
      <c r="N889">
        <v>4.5</v>
      </c>
      <c r="O889">
        <v>0</v>
      </c>
      <c r="P889">
        <v>47605</v>
      </c>
      <c r="Q889">
        <v>34</v>
      </c>
      <c r="R889">
        <v>107</v>
      </c>
      <c r="S889" t="s">
        <v>36428</v>
      </c>
      <c r="U889">
        <v>1.5807125399999999</v>
      </c>
      <c r="V889">
        <v>7.08</v>
      </c>
      <c r="W889">
        <v>7.1</v>
      </c>
      <c r="X889" t="s">
        <v>4481</v>
      </c>
      <c r="Y889" t="s">
        <v>4355</v>
      </c>
      <c r="Z889" t="s">
        <v>4355</v>
      </c>
      <c r="AA889" t="s">
        <v>4356</v>
      </c>
      <c r="AB889" t="s">
        <v>36480</v>
      </c>
      <c r="AC889" t="s">
        <v>34493</v>
      </c>
      <c r="AD889" t="s">
        <v>10970</v>
      </c>
      <c r="AE889" t="s">
        <v>34566</v>
      </c>
      <c r="AF889" t="s">
        <v>36433</v>
      </c>
      <c r="AG889" t="s">
        <v>36431</v>
      </c>
    </row>
    <row r="890" spans="1:33" x14ac:dyDescent="0.25">
      <c r="A890" t="s">
        <v>34462</v>
      </c>
      <c r="B890" t="s">
        <v>4486</v>
      </c>
      <c r="C890" t="s">
        <v>4488</v>
      </c>
      <c r="D890">
        <v>59.99</v>
      </c>
      <c r="E890">
        <v>59.99</v>
      </c>
      <c r="F890">
        <v>846</v>
      </c>
      <c r="G890">
        <v>313</v>
      </c>
      <c r="H890">
        <v>56.63</v>
      </c>
      <c r="I890">
        <v>52.25</v>
      </c>
      <c r="J890">
        <v>0</v>
      </c>
      <c r="K890">
        <v>0</v>
      </c>
      <c r="L890">
        <v>1</v>
      </c>
      <c r="M890">
        <v>1</v>
      </c>
      <c r="N890">
        <v>4.5</v>
      </c>
      <c r="O890">
        <v>4</v>
      </c>
      <c r="P890">
        <v>47534</v>
      </c>
      <c r="Q890">
        <v>50</v>
      </c>
      <c r="R890">
        <v>140</v>
      </c>
      <c r="S890" t="s">
        <v>36428</v>
      </c>
      <c r="U890">
        <v>1.40875218</v>
      </c>
      <c r="V890">
        <v>6.81</v>
      </c>
      <c r="W890">
        <v>10.199999999999999</v>
      </c>
      <c r="X890" t="s">
        <v>4485</v>
      </c>
      <c r="Y890" t="s">
        <v>36481</v>
      </c>
      <c r="Z890" t="s">
        <v>4419</v>
      </c>
      <c r="AA890" t="s">
        <v>4420</v>
      </c>
      <c r="AB890" t="s">
        <v>36482</v>
      </c>
      <c r="AC890" t="s">
        <v>34493</v>
      </c>
      <c r="AD890" t="s">
        <v>10970</v>
      </c>
      <c r="AE890" t="s">
        <v>34694</v>
      </c>
      <c r="AF890" t="s">
        <v>36456</v>
      </c>
      <c r="AG890" t="s">
        <v>36431</v>
      </c>
    </row>
    <row r="891" spans="1:33" x14ac:dyDescent="0.25">
      <c r="A891" t="s">
        <v>34462</v>
      </c>
      <c r="B891" t="s">
        <v>4490</v>
      </c>
      <c r="C891" t="s">
        <v>4492</v>
      </c>
      <c r="D891">
        <v>41.67</v>
      </c>
      <c r="E891">
        <v>41.67</v>
      </c>
      <c r="F891">
        <v>846</v>
      </c>
      <c r="G891">
        <v>310</v>
      </c>
      <c r="H891">
        <v>44.27</v>
      </c>
      <c r="I891">
        <v>47.16</v>
      </c>
      <c r="J891">
        <v>0</v>
      </c>
      <c r="K891">
        <v>0</v>
      </c>
      <c r="L891">
        <v>1</v>
      </c>
      <c r="M891">
        <v>1</v>
      </c>
      <c r="N891">
        <v>4.5</v>
      </c>
      <c r="O891">
        <v>0</v>
      </c>
      <c r="P891">
        <v>47534</v>
      </c>
      <c r="Q891">
        <v>35</v>
      </c>
      <c r="R891">
        <v>95</v>
      </c>
      <c r="S891" t="s">
        <v>36428</v>
      </c>
      <c r="U891">
        <v>1.7350359399999999</v>
      </c>
      <c r="V891">
        <v>6.81</v>
      </c>
      <c r="W891">
        <v>7.08</v>
      </c>
      <c r="X891" t="s">
        <v>4489</v>
      </c>
      <c r="Y891" t="s">
        <v>4355</v>
      </c>
      <c r="Z891" t="s">
        <v>4355</v>
      </c>
      <c r="AA891" t="s">
        <v>4356</v>
      </c>
      <c r="AB891" t="s">
        <v>36483</v>
      </c>
      <c r="AC891" t="s">
        <v>34493</v>
      </c>
      <c r="AD891" t="s">
        <v>10970</v>
      </c>
      <c r="AE891" t="s">
        <v>34568</v>
      </c>
      <c r="AF891" t="s">
        <v>36433</v>
      </c>
      <c r="AG891" t="s">
        <v>36431</v>
      </c>
    </row>
    <row r="892" spans="1:33" x14ac:dyDescent="0.25">
      <c r="A892" t="s">
        <v>34462</v>
      </c>
      <c r="B892" t="s">
        <v>4494</v>
      </c>
      <c r="C892" t="s">
        <v>4496</v>
      </c>
      <c r="D892">
        <v>59.99</v>
      </c>
      <c r="E892">
        <v>59.99</v>
      </c>
      <c r="F892">
        <v>846</v>
      </c>
      <c r="G892">
        <v>310</v>
      </c>
      <c r="H892">
        <v>58.98</v>
      </c>
      <c r="I892">
        <v>55.7</v>
      </c>
      <c r="J892">
        <v>0</v>
      </c>
      <c r="K892">
        <v>0</v>
      </c>
      <c r="L892">
        <v>1</v>
      </c>
      <c r="M892">
        <v>1</v>
      </c>
      <c r="N892">
        <v>4.5</v>
      </c>
      <c r="O892">
        <v>1</v>
      </c>
      <c r="P892">
        <v>47534</v>
      </c>
      <c r="Q892">
        <v>53</v>
      </c>
      <c r="R892">
        <v>145</v>
      </c>
      <c r="S892" t="s">
        <v>36428</v>
      </c>
      <c r="U892">
        <v>1.47048154</v>
      </c>
      <c r="V892">
        <v>7.24</v>
      </c>
      <c r="W892">
        <v>10.199999999999999</v>
      </c>
      <c r="X892" t="s">
        <v>4493</v>
      </c>
      <c r="Y892" t="s">
        <v>4419</v>
      </c>
      <c r="Z892" t="s">
        <v>4419</v>
      </c>
      <c r="AA892" t="s">
        <v>4420</v>
      </c>
      <c r="AB892" t="s">
        <v>36484</v>
      </c>
      <c r="AC892" t="s">
        <v>34493</v>
      </c>
      <c r="AD892" t="s">
        <v>10970</v>
      </c>
      <c r="AE892" t="s">
        <v>34568</v>
      </c>
      <c r="AF892" t="s">
        <v>36456</v>
      </c>
      <c r="AG892" t="s">
        <v>36431</v>
      </c>
    </row>
    <row r="893" spans="1:33" x14ac:dyDescent="0.25">
      <c r="A893" t="s">
        <v>34462</v>
      </c>
      <c r="B893" t="s">
        <v>4498</v>
      </c>
      <c r="C893" t="s">
        <v>4500</v>
      </c>
      <c r="D893">
        <v>49.05</v>
      </c>
      <c r="F893">
        <v>846</v>
      </c>
      <c r="G893">
        <v>295</v>
      </c>
      <c r="H893">
        <v>49.05</v>
      </c>
      <c r="I893">
        <v>50.21</v>
      </c>
      <c r="J893">
        <v>0.75</v>
      </c>
      <c r="K893">
        <v>0.75</v>
      </c>
      <c r="L893">
        <v>1</v>
      </c>
      <c r="N893">
        <v>4.5</v>
      </c>
      <c r="O893">
        <v>1</v>
      </c>
      <c r="P893">
        <v>46830</v>
      </c>
      <c r="Q893">
        <v>6</v>
      </c>
      <c r="R893">
        <v>47</v>
      </c>
      <c r="S893" t="s">
        <v>36428</v>
      </c>
      <c r="U893">
        <v>1.6644881</v>
      </c>
      <c r="V893">
        <v>7.08</v>
      </c>
      <c r="X893" t="s">
        <v>4497</v>
      </c>
      <c r="Z893" t="s">
        <v>4501</v>
      </c>
      <c r="AA893" t="s">
        <v>4502</v>
      </c>
      <c r="AB893" t="s">
        <v>36485</v>
      </c>
      <c r="AC893" t="s">
        <v>34465</v>
      </c>
      <c r="AD893" t="s">
        <v>10970</v>
      </c>
      <c r="AE893" t="s">
        <v>34570</v>
      </c>
      <c r="AF893" t="s">
        <v>36486</v>
      </c>
      <c r="AG893" t="s">
        <v>36431</v>
      </c>
    </row>
    <row r="894" spans="1:33" x14ac:dyDescent="0.25">
      <c r="A894" t="s">
        <v>34462</v>
      </c>
      <c r="B894" t="s">
        <v>4504</v>
      </c>
      <c r="C894" t="s">
        <v>4506</v>
      </c>
      <c r="D894">
        <v>40.67</v>
      </c>
      <c r="E894">
        <v>40.67</v>
      </c>
      <c r="F894">
        <v>846</v>
      </c>
      <c r="G894">
        <v>312</v>
      </c>
      <c r="H894">
        <v>44.49</v>
      </c>
      <c r="I894">
        <v>47.33</v>
      </c>
      <c r="J894">
        <v>0</v>
      </c>
      <c r="K894">
        <v>0</v>
      </c>
      <c r="L894">
        <v>1</v>
      </c>
      <c r="M894">
        <v>1</v>
      </c>
      <c r="N894">
        <v>4.5</v>
      </c>
      <c r="O894">
        <v>0</v>
      </c>
      <c r="P894">
        <v>47534</v>
      </c>
      <c r="Q894">
        <v>25</v>
      </c>
      <c r="R894">
        <v>84</v>
      </c>
      <c r="S894" t="s">
        <v>36428</v>
      </c>
      <c r="U894">
        <v>1.6622834799999999</v>
      </c>
      <c r="V894">
        <v>7.24</v>
      </c>
      <c r="W894">
        <v>6.91</v>
      </c>
      <c r="X894" t="s">
        <v>4503</v>
      </c>
      <c r="Y894" t="s">
        <v>4355</v>
      </c>
      <c r="Z894" t="s">
        <v>4355</v>
      </c>
      <c r="AA894" t="s">
        <v>4356</v>
      </c>
      <c r="AB894" t="s">
        <v>36487</v>
      </c>
      <c r="AC894" t="s">
        <v>34493</v>
      </c>
      <c r="AD894" t="s">
        <v>10970</v>
      </c>
      <c r="AE894" t="s">
        <v>34570</v>
      </c>
      <c r="AF894" t="s">
        <v>36433</v>
      </c>
      <c r="AG894" t="s">
        <v>36431</v>
      </c>
    </row>
    <row r="895" spans="1:33" x14ac:dyDescent="0.25">
      <c r="A895" t="s">
        <v>34462</v>
      </c>
      <c r="B895" t="s">
        <v>4508</v>
      </c>
      <c r="C895" t="s">
        <v>4510</v>
      </c>
      <c r="D895">
        <v>69.5</v>
      </c>
      <c r="E895">
        <v>69.5</v>
      </c>
      <c r="F895">
        <v>846</v>
      </c>
      <c r="G895">
        <v>309</v>
      </c>
      <c r="H895">
        <v>58.91</v>
      </c>
      <c r="I895">
        <v>55.7</v>
      </c>
      <c r="J895">
        <v>0</v>
      </c>
      <c r="K895">
        <v>0</v>
      </c>
      <c r="L895">
        <v>1</v>
      </c>
      <c r="M895">
        <v>1</v>
      </c>
      <c r="N895">
        <v>4.5</v>
      </c>
      <c r="O895">
        <v>0</v>
      </c>
      <c r="P895">
        <v>47596</v>
      </c>
      <c r="Q895">
        <v>42</v>
      </c>
      <c r="R895">
        <v>116</v>
      </c>
      <c r="S895" t="s">
        <v>36428</v>
      </c>
      <c r="U895">
        <v>1.5410293799999999</v>
      </c>
      <c r="V895">
        <v>6.67</v>
      </c>
      <c r="W895">
        <v>11.82</v>
      </c>
      <c r="X895" t="s">
        <v>4507</v>
      </c>
      <c r="Y895" t="s">
        <v>4349</v>
      </c>
      <c r="Z895" t="s">
        <v>4349</v>
      </c>
      <c r="AA895" t="s">
        <v>4350</v>
      </c>
      <c r="AB895" t="s">
        <v>36488</v>
      </c>
      <c r="AC895" t="s">
        <v>34493</v>
      </c>
      <c r="AD895" t="s">
        <v>10970</v>
      </c>
      <c r="AE895" t="s">
        <v>34570</v>
      </c>
      <c r="AF895" t="s">
        <v>36430</v>
      </c>
      <c r="AG895" t="s">
        <v>36431</v>
      </c>
    </row>
    <row r="896" spans="1:33" x14ac:dyDescent="0.25">
      <c r="A896" t="s">
        <v>34462</v>
      </c>
      <c r="B896" t="s">
        <v>4512</v>
      </c>
      <c r="C896" t="s">
        <v>4514</v>
      </c>
      <c r="D896">
        <v>59.99</v>
      </c>
      <c r="E896">
        <v>59.99</v>
      </c>
      <c r="F896">
        <v>846</v>
      </c>
      <c r="G896">
        <v>312</v>
      </c>
      <c r="H896">
        <v>59.39</v>
      </c>
      <c r="I896">
        <v>56.32</v>
      </c>
      <c r="J896">
        <v>0</v>
      </c>
      <c r="K896">
        <v>0</v>
      </c>
      <c r="L896">
        <v>1</v>
      </c>
      <c r="M896">
        <v>1</v>
      </c>
      <c r="N896">
        <v>4.5</v>
      </c>
      <c r="O896">
        <v>1</v>
      </c>
      <c r="P896">
        <v>47534</v>
      </c>
      <c r="Q896">
        <v>39</v>
      </c>
      <c r="R896">
        <v>102</v>
      </c>
      <c r="S896" t="s">
        <v>36428</v>
      </c>
      <c r="U896">
        <v>1.36906902</v>
      </c>
      <c r="V896">
        <v>7.08</v>
      </c>
      <c r="W896">
        <v>10.199999999999999</v>
      </c>
      <c r="X896" t="s">
        <v>4511</v>
      </c>
      <c r="Y896" t="s">
        <v>4419</v>
      </c>
      <c r="Z896" t="s">
        <v>4419</v>
      </c>
      <c r="AA896" t="s">
        <v>4420</v>
      </c>
      <c r="AB896" t="s">
        <v>36489</v>
      </c>
      <c r="AC896" t="s">
        <v>34493</v>
      </c>
      <c r="AD896" t="s">
        <v>10970</v>
      </c>
      <c r="AE896" t="s">
        <v>34570</v>
      </c>
      <c r="AF896" t="s">
        <v>36456</v>
      </c>
      <c r="AG896" t="s">
        <v>36431</v>
      </c>
    </row>
    <row r="897" spans="1:33" x14ac:dyDescent="0.25">
      <c r="A897" t="s">
        <v>34462</v>
      </c>
      <c r="B897" t="s">
        <v>4516</v>
      </c>
      <c r="C897" t="s">
        <v>4518</v>
      </c>
      <c r="D897">
        <v>40.82</v>
      </c>
      <c r="E897">
        <v>40.82</v>
      </c>
      <c r="F897">
        <v>846</v>
      </c>
      <c r="G897">
        <v>308</v>
      </c>
      <c r="H897">
        <v>43.76</v>
      </c>
      <c r="I897">
        <v>45.66</v>
      </c>
      <c r="J897">
        <v>0.01</v>
      </c>
      <c r="K897">
        <v>0.01</v>
      </c>
      <c r="L897">
        <v>1</v>
      </c>
      <c r="M897">
        <v>1</v>
      </c>
      <c r="N897">
        <v>4.5</v>
      </c>
      <c r="O897">
        <v>1</v>
      </c>
      <c r="P897">
        <v>47534</v>
      </c>
      <c r="Q897">
        <v>35</v>
      </c>
      <c r="R897">
        <v>108</v>
      </c>
      <c r="S897" t="s">
        <v>36428</v>
      </c>
      <c r="U897">
        <v>1.653465</v>
      </c>
      <c r="V897">
        <v>6.81</v>
      </c>
      <c r="W897">
        <v>6.94</v>
      </c>
      <c r="X897" t="s">
        <v>4515</v>
      </c>
      <c r="Y897" t="s">
        <v>4355</v>
      </c>
      <c r="Z897" t="s">
        <v>4355</v>
      </c>
      <c r="AA897" t="s">
        <v>4356</v>
      </c>
      <c r="AB897" t="s">
        <v>36490</v>
      </c>
      <c r="AC897" t="s">
        <v>34493</v>
      </c>
      <c r="AD897" t="s">
        <v>10970</v>
      </c>
      <c r="AE897" t="s">
        <v>35199</v>
      </c>
      <c r="AF897" t="s">
        <v>36433</v>
      </c>
      <c r="AG897" t="s">
        <v>36431</v>
      </c>
    </row>
    <row r="898" spans="1:33" x14ac:dyDescent="0.25">
      <c r="A898" t="s">
        <v>34462</v>
      </c>
      <c r="B898" t="s">
        <v>4520</v>
      </c>
      <c r="C898" t="s">
        <v>4522</v>
      </c>
      <c r="D898">
        <v>59.99</v>
      </c>
      <c r="E898">
        <v>59.99</v>
      </c>
      <c r="F898">
        <v>846</v>
      </c>
      <c r="G898">
        <v>309</v>
      </c>
      <c r="H898">
        <v>58.89</v>
      </c>
      <c r="I898">
        <v>56.03</v>
      </c>
      <c r="J898">
        <v>0</v>
      </c>
      <c r="K898">
        <v>0</v>
      </c>
      <c r="L898">
        <v>1</v>
      </c>
      <c r="M898">
        <v>1</v>
      </c>
      <c r="N898">
        <v>4.5</v>
      </c>
      <c r="O898">
        <v>0</v>
      </c>
      <c r="P898">
        <v>47534</v>
      </c>
      <c r="Q898">
        <v>55</v>
      </c>
      <c r="R898">
        <v>120</v>
      </c>
      <c r="S898" t="s">
        <v>36428</v>
      </c>
      <c r="U898">
        <v>1.4881184999999999</v>
      </c>
      <c r="V898">
        <v>6.81</v>
      </c>
      <c r="W898">
        <v>10.199999999999999</v>
      </c>
      <c r="X898" t="s">
        <v>4519</v>
      </c>
      <c r="Y898" t="s">
        <v>4419</v>
      </c>
      <c r="Z898" t="s">
        <v>4419</v>
      </c>
      <c r="AA898" t="s">
        <v>4420</v>
      </c>
      <c r="AB898" t="s">
        <v>36491</v>
      </c>
      <c r="AC898" t="s">
        <v>34493</v>
      </c>
      <c r="AD898" t="s">
        <v>10970</v>
      </c>
      <c r="AE898" t="s">
        <v>35199</v>
      </c>
      <c r="AF898" t="s">
        <v>36456</v>
      </c>
      <c r="AG898" t="s">
        <v>36431</v>
      </c>
    </row>
    <row r="899" spans="1:33" x14ac:dyDescent="0.25">
      <c r="A899" t="s">
        <v>34462</v>
      </c>
      <c r="B899" t="s">
        <v>4524</v>
      </c>
      <c r="C899" t="s">
        <v>4526</v>
      </c>
      <c r="D899">
        <v>50.46</v>
      </c>
      <c r="F899">
        <v>846</v>
      </c>
      <c r="G899">
        <v>304</v>
      </c>
      <c r="I899">
        <v>50.46</v>
      </c>
      <c r="J899">
        <v>1</v>
      </c>
      <c r="K899">
        <v>1</v>
      </c>
      <c r="N899">
        <v>4.5</v>
      </c>
      <c r="O899">
        <v>0</v>
      </c>
      <c r="P899">
        <v>46306</v>
      </c>
      <c r="Q899">
        <v>12</v>
      </c>
      <c r="R899">
        <v>31</v>
      </c>
      <c r="S899" t="s">
        <v>36428</v>
      </c>
      <c r="U899">
        <v>1.7636959999999999</v>
      </c>
      <c r="V899">
        <v>6.86</v>
      </c>
      <c r="X899" t="s">
        <v>4523</v>
      </c>
      <c r="Z899" t="s">
        <v>4501</v>
      </c>
      <c r="AA899" t="s">
        <v>4502</v>
      </c>
      <c r="AB899" t="s">
        <v>36492</v>
      </c>
      <c r="AC899" t="s">
        <v>34465</v>
      </c>
      <c r="AD899" t="s">
        <v>10970</v>
      </c>
      <c r="AE899" t="s">
        <v>35202</v>
      </c>
      <c r="AF899" t="s">
        <v>36486</v>
      </c>
      <c r="AG899" t="s">
        <v>36493</v>
      </c>
    </row>
    <row r="900" spans="1:33" x14ac:dyDescent="0.25">
      <c r="A900" t="s">
        <v>34462</v>
      </c>
      <c r="B900" t="s">
        <v>4528</v>
      </c>
      <c r="C900" t="s">
        <v>4530</v>
      </c>
      <c r="D900">
        <v>37.93</v>
      </c>
      <c r="E900">
        <v>37.93</v>
      </c>
      <c r="F900">
        <v>846</v>
      </c>
      <c r="G900">
        <v>312</v>
      </c>
      <c r="H900">
        <v>41.72</v>
      </c>
      <c r="I900">
        <v>46.19</v>
      </c>
      <c r="J900">
        <v>0</v>
      </c>
      <c r="K900">
        <v>0</v>
      </c>
      <c r="L900">
        <v>1</v>
      </c>
      <c r="M900">
        <v>1</v>
      </c>
      <c r="N900">
        <v>4.5</v>
      </c>
      <c r="O900">
        <v>0</v>
      </c>
      <c r="P900">
        <v>47604</v>
      </c>
      <c r="Q900">
        <v>44</v>
      </c>
      <c r="R900">
        <v>131</v>
      </c>
      <c r="S900" t="s">
        <v>36428</v>
      </c>
      <c r="U900">
        <v>1.6997620200000001</v>
      </c>
      <c r="V900">
        <v>7.24</v>
      </c>
      <c r="W900">
        <v>6.45</v>
      </c>
      <c r="X900" t="s">
        <v>4527</v>
      </c>
      <c r="Y900" t="s">
        <v>4355</v>
      </c>
      <c r="Z900" t="s">
        <v>4355</v>
      </c>
      <c r="AA900" t="s">
        <v>4356</v>
      </c>
      <c r="AB900" t="s">
        <v>36494</v>
      </c>
      <c r="AC900" t="s">
        <v>34493</v>
      </c>
      <c r="AD900" t="s">
        <v>10970</v>
      </c>
      <c r="AE900" t="s">
        <v>35202</v>
      </c>
      <c r="AF900" t="s">
        <v>36433</v>
      </c>
      <c r="AG900" t="s">
        <v>36431</v>
      </c>
    </row>
    <row r="901" spans="1:33" x14ac:dyDescent="0.25">
      <c r="A901" t="s">
        <v>34462</v>
      </c>
      <c r="B901" t="s">
        <v>4532</v>
      </c>
      <c r="C901" t="s">
        <v>4534</v>
      </c>
      <c r="D901">
        <v>59.99</v>
      </c>
      <c r="E901">
        <v>59.99</v>
      </c>
      <c r="F901">
        <v>846</v>
      </c>
      <c r="G901">
        <v>310</v>
      </c>
      <c r="H901">
        <v>58.97</v>
      </c>
      <c r="I901">
        <v>56.33</v>
      </c>
      <c r="J901">
        <v>0</v>
      </c>
      <c r="K901">
        <v>0</v>
      </c>
      <c r="L901">
        <v>1</v>
      </c>
      <c r="M901">
        <v>1</v>
      </c>
      <c r="N901">
        <v>4.5</v>
      </c>
      <c r="O901">
        <v>0</v>
      </c>
      <c r="P901">
        <v>47534</v>
      </c>
      <c r="Q901">
        <v>59</v>
      </c>
      <c r="R901">
        <v>142</v>
      </c>
      <c r="S901" t="s">
        <v>36428</v>
      </c>
      <c r="U901">
        <v>1.45725382</v>
      </c>
      <c r="V901">
        <v>7.24</v>
      </c>
      <c r="W901">
        <v>10.199999999999999</v>
      </c>
      <c r="X901" t="s">
        <v>4531</v>
      </c>
      <c r="Y901" t="s">
        <v>4419</v>
      </c>
      <c r="Z901" t="s">
        <v>4419</v>
      </c>
      <c r="AA901" t="s">
        <v>4420</v>
      </c>
      <c r="AB901" t="s">
        <v>36495</v>
      </c>
      <c r="AC901" t="s">
        <v>34493</v>
      </c>
      <c r="AD901" t="s">
        <v>10970</v>
      </c>
      <c r="AE901" t="s">
        <v>35202</v>
      </c>
      <c r="AF901" t="s">
        <v>36456</v>
      </c>
      <c r="AG901" t="s">
        <v>36431</v>
      </c>
    </row>
    <row r="902" spans="1:33" x14ac:dyDescent="0.25">
      <c r="A902" t="s">
        <v>34462</v>
      </c>
      <c r="B902" t="s">
        <v>4536</v>
      </c>
      <c r="C902" t="s">
        <v>4538</v>
      </c>
      <c r="D902">
        <v>69.5</v>
      </c>
      <c r="E902">
        <v>69.5</v>
      </c>
      <c r="F902">
        <v>846</v>
      </c>
      <c r="G902">
        <v>311</v>
      </c>
      <c r="H902">
        <v>57.9</v>
      </c>
      <c r="I902">
        <v>54.96</v>
      </c>
      <c r="J902">
        <v>0</v>
      </c>
      <c r="K902">
        <v>0</v>
      </c>
      <c r="L902">
        <v>1</v>
      </c>
      <c r="M902">
        <v>1</v>
      </c>
      <c r="N902">
        <v>4.5</v>
      </c>
      <c r="O902">
        <v>0</v>
      </c>
      <c r="P902">
        <v>47605</v>
      </c>
      <c r="Q902">
        <v>43</v>
      </c>
      <c r="R902">
        <v>111</v>
      </c>
      <c r="S902" t="s">
        <v>36428</v>
      </c>
      <c r="U902">
        <v>1.6997620200000001</v>
      </c>
      <c r="V902">
        <v>6.05</v>
      </c>
      <c r="W902">
        <v>11.82</v>
      </c>
      <c r="X902" t="s">
        <v>4535</v>
      </c>
      <c r="Y902" t="s">
        <v>4349</v>
      </c>
      <c r="Z902" t="s">
        <v>4349</v>
      </c>
      <c r="AA902" t="s">
        <v>4350</v>
      </c>
      <c r="AB902" t="s">
        <v>36496</v>
      </c>
      <c r="AC902" t="s">
        <v>34493</v>
      </c>
      <c r="AD902" t="s">
        <v>10970</v>
      </c>
      <c r="AE902" t="s">
        <v>34572</v>
      </c>
      <c r="AF902" t="s">
        <v>36430</v>
      </c>
      <c r="AG902" t="s">
        <v>36431</v>
      </c>
    </row>
    <row r="903" spans="1:33" x14ac:dyDescent="0.25">
      <c r="A903" t="s">
        <v>34462</v>
      </c>
      <c r="B903" t="s">
        <v>4540</v>
      </c>
      <c r="C903" t="s">
        <v>4542</v>
      </c>
      <c r="D903">
        <v>44.72</v>
      </c>
      <c r="E903">
        <v>44.72</v>
      </c>
      <c r="F903">
        <v>846</v>
      </c>
      <c r="G903">
        <v>307</v>
      </c>
      <c r="H903">
        <v>46.31</v>
      </c>
      <c r="I903">
        <v>47.9</v>
      </c>
      <c r="J903">
        <v>0</v>
      </c>
      <c r="K903">
        <v>0</v>
      </c>
      <c r="L903">
        <v>1</v>
      </c>
      <c r="M903">
        <v>1</v>
      </c>
      <c r="N903">
        <v>4.5</v>
      </c>
      <c r="O903">
        <v>0</v>
      </c>
      <c r="P903">
        <v>47534</v>
      </c>
      <c r="Q903">
        <v>26</v>
      </c>
      <c r="R903">
        <v>82</v>
      </c>
      <c r="S903" t="s">
        <v>36428</v>
      </c>
      <c r="U903">
        <v>1.7636959999999999</v>
      </c>
      <c r="V903">
        <v>7.56</v>
      </c>
      <c r="W903">
        <v>7.6</v>
      </c>
      <c r="X903" t="s">
        <v>4539</v>
      </c>
      <c r="Y903" t="s">
        <v>4355</v>
      </c>
      <c r="Z903" t="s">
        <v>4355</v>
      </c>
      <c r="AA903" t="s">
        <v>4356</v>
      </c>
      <c r="AB903" t="s">
        <v>36497</v>
      </c>
      <c r="AC903" t="s">
        <v>34493</v>
      </c>
      <c r="AD903" t="s">
        <v>10970</v>
      </c>
      <c r="AE903" t="s">
        <v>34572</v>
      </c>
      <c r="AF903" t="s">
        <v>36433</v>
      </c>
      <c r="AG903" t="s">
        <v>36431</v>
      </c>
    </row>
    <row r="904" spans="1:33" x14ac:dyDescent="0.25">
      <c r="A904" t="s">
        <v>34462</v>
      </c>
      <c r="B904" t="s">
        <v>4544</v>
      </c>
      <c r="C904" t="s">
        <v>4546</v>
      </c>
      <c r="D904">
        <v>53.39</v>
      </c>
      <c r="E904">
        <v>53.39</v>
      </c>
      <c r="F904">
        <v>846</v>
      </c>
      <c r="G904">
        <v>314</v>
      </c>
      <c r="H904">
        <v>58.18</v>
      </c>
      <c r="I904">
        <v>55.46</v>
      </c>
      <c r="J904">
        <v>0</v>
      </c>
      <c r="K904">
        <v>0</v>
      </c>
      <c r="L904">
        <v>1</v>
      </c>
      <c r="M904">
        <v>1</v>
      </c>
      <c r="N904">
        <v>4.5</v>
      </c>
      <c r="O904">
        <v>0</v>
      </c>
      <c r="P904">
        <v>47534</v>
      </c>
      <c r="Q904">
        <v>38</v>
      </c>
      <c r="R904">
        <v>116</v>
      </c>
      <c r="S904" t="s">
        <v>36428</v>
      </c>
      <c r="U904">
        <v>1.5410293799999999</v>
      </c>
      <c r="V904">
        <v>6.81</v>
      </c>
      <c r="W904">
        <v>9.08</v>
      </c>
      <c r="X904" t="s">
        <v>4543</v>
      </c>
      <c r="Y904" t="s">
        <v>4419</v>
      </c>
      <c r="Z904" t="s">
        <v>4419</v>
      </c>
      <c r="AA904" t="s">
        <v>4420</v>
      </c>
      <c r="AB904" t="s">
        <v>36498</v>
      </c>
      <c r="AC904" t="s">
        <v>34493</v>
      </c>
      <c r="AD904" t="s">
        <v>10970</v>
      </c>
      <c r="AE904" t="s">
        <v>34572</v>
      </c>
      <c r="AF904" t="s">
        <v>36456</v>
      </c>
      <c r="AG904" t="s">
        <v>36431</v>
      </c>
    </row>
    <row r="905" spans="1:33" x14ac:dyDescent="0.25">
      <c r="A905" t="s">
        <v>34462</v>
      </c>
      <c r="B905" t="s">
        <v>4548</v>
      </c>
      <c r="C905" t="s">
        <v>4551</v>
      </c>
      <c r="D905">
        <v>41.2</v>
      </c>
      <c r="E905">
        <v>41.2</v>
      </c>
      <c r="H905">
        <v>41.2</v>
      </c>
      <c r="I905">
        <v>38.880000000000003</v>
      </c>
      <c r="J905">
        <v>0.36</v>
      </c>
      <c r="K905">
        <v>1</v>
      </c>
      <c r="L905">
        <v>1</v>
      </c>
      <c r="M905">
        <v>1</v>
      </c>
      <c r="O905">
        <v>0</v>
      </c>
      <c r="Q905">
        <v>0</v>
      </c>
      <c r="R905">
        <v>0</v>
      </c>
      <c r="U905">
        <v>0.56217810000000001</v>
      </c>
      <c r="V905">
        <v>4.67</v>
      </c>
      <c r="X905" t="s">
        <v>4547</v>
      </c>
      <c r="AB905" t="s">
        <v>36499</v>
      </c>
      <c r="AC905" t="s">
        <v>34465</v>
      </c>
      <c r="AD905" t="s">
        <v>11496</v>
      </c>
      <c r="AF905" t="s">
        <v>36500</v>
      </c>
      <c r="AG905" t="s">
        <v>34709</v>
      </c>
    </row>
    <row r="906" spans="1:33" x14ac:dyDescent="0.25">
      <c r="A906" t="s">
        <v>34462</v>
      </c>
      <c r="B906" t="s">
        <v>4553</v>
      </c>
      <c r="C906" t="s">
        <v>4555</v>
      </c>
      <c r="D906">
        <v>18.260000000000002</v>
      </c>
      <c r="E906">
        <v>18.260000000000002</v>
      </c>
      <c r="H906">
        <v>24.96</v>
      </c>
      <c r="I906">
        <v>25.27</v>
      </c>
      <c r="J906">
        <v>0</v>
      </c>
      <c r="K906">
        <v>1</v>
      </c>
      <c r="L906">
        <v>2</v>
      </c>
      <c r="M906">
        <v>1</v>
      </c>
      <c r="Q906">
        <v>0</v>
      </c>
      <c r="R906">
        <v>0</v>
      </c>
      <c r="U906">
        <v>0.35273919999999997</v>
      </c>
      <c r="V906">
        <v>5.12</v>
      </c>
      <c r="W906">
        <v>3.1</v>
      </c>
      <c r="X906" t="s">
        <v>4552</v>
      </c>
      <c r="AA906" t="s">
        <v>497</v>
      </c>
      <c r="AB906" t="s">
        <v>36501</v>
      </c>
      <c r="AC906" t="s">
        <v>34465</v>
      </c>
      <c r="AD906" t="s">
        <v>11496</v>
      </c>
      <c r="AF906" t="s">
        <v>36500</v>
      </c>
      <c r="AG906" t="s">
        <v>34709</v>
      </c>
    </row>
    <row r="907" spans="1:33" x14ac:dyDescent="0.25">
      <c r="A907" t="s">
        <v>34462</v>
      </c>
      <c r="B907" t="s">
        <v>4557</v>
      </c>
      <c r="C907" t="s">
        <v>4559</v>
      </c>
      <c r="D907">
        <v>24.99</v>
      </c>
      <c r="E907">
        <v>24.99</v>
      </c>
      <c r="G907">
        <v>10587835</v>
      </c>
      <c r="H907">
        <v>28.07</v>
      </c>
      <c r="I907">
        <v>29.59</v>
      </c>
      <c r="J907">
        <v>0</v>
      </c>
      <c r="K907">
        <v>1</v>
      </c>
      <c r="L907">
        <v>2</v>
      </c>
      <c r="M907">
        <v>2</v>
      </c>
      <c r="O907">
        <v>0</v>
      </c>
      <c r="Q907">
        <v>0</v>
      </c>
      <c r="R907">
        <v>0</v>
      </c>
      <c r="U907">
        <v>0.22928048000000001</v>
      </c>
      <c r="V907">
        <v>4.6100000000000003</v>
      </c>
      <c r="W907">
        <v>4.25</v>
      </c>
      <c r="X907" t="s">
        <v>4556</v>
      </c>
      <c r="AA907" t="s">
        <v>4560</v>
      </c>
      <c r="AB907" t="s">
        <v>36502</v>
      </c>
      <c r="AC907" t="s">
        <v>34465</v>
      </c>
      <c r="AD907" t="s">
        <v>11496</v>
      </c>
      <c r="AF907" t="s">
        <v>36503</v>
      </c>
      <c r="AG907" t="s">
        <v>34709</v>
      </c>
    </row>
    <row r="908" spans="1:33" x14ac:dyDescent="0.25">
      <c r="A908" t="s">
        <v>34462</v>
      </c>
      <c r="B908" t="s">
        <v>4562</v>
      </c>
      <c r="C908" t="s">
        <v>4564</v>
      </c>
      <c r="D908">
        <v>24.99</v>
      </c>
      <c r="E908">
        <v>24.99</v>
      </c>
      <c r="F908">
        <v>5610927</v>
      </c>
      <c r="G908">
        <v>1519666</v>
      </c>
      <c r="H908">
        <v>27.87</v>
      </c>
      <c r="I908">
        <v>28.92</v>
      </c>
      <c r="J908">
        <v>0</v>
      </c>
      <c r="K908">
        <v>1</v>
      </c>
      <c r="L908">
        <v>4</v>
      </c>
      <c r="M908">
        <v>4</v>
      </c>
      <c r="O908">
        <v>0</v>
      </c>
      <c r="Q908">
        <v>1</v>
      </c>
      <c r="R908">
        <v>31</v>
      </c>
      <c r="U908">
        <v>0.22928048000000001</v>
      </c>
      <c r="V908">
        <v>4.6100000000000003</v>
      </c>
      <c r="W908">
        <v>4.25</v>
      </c>
      <c r="X908" t="s">
        <v>4561</v>
      </c>
      <c r="AA908" t="s">
        <v>4560</v>
      </c>
      <c r="AB908" t="s">
        <v>36504</v>
      </c>
      <c r="AC908" t="s">
        <v>34465</v>
      </c>
      <c r="AD908" t="s">
        <v>11496</v>
      </c>
      <c r="AE908" t="s">
        <v>34832</v>
      </c>
      <c r="AF908" t="s">
        <v>36505</v>
      </c>
      <c r="AG908" t="s">
        <v>36506</v>
      </c>
    </row>
    <row r="909" spans="1:33" x14ac:dyDescent="0.25">
      <c r="A909" t="s">
        <v>34462</v>
      </c>
      <c r="B909" t="s">
        <v>4566</v>
      </c>
      <c r="C909" t="s">
        <v>4569</v>
      </c>
      <c r="D909">
        <v>22.16</v>
      </c>
      <c r="E909">
        <v>14.17</v>
      </c>
      <c r="F909">
        <v>75220</v>
      </c>
      <c r="G909">
        <v>904501</v>
      </c>
      <c r="H909">
        <v>28.27</v>
      </c>
      <c r="I909">
        <v>28.86</v>
      </c>
      <c r="J909">
        <v>0.04</v>
      </c>
      <c r="K909">
        <v>1</v>
      </c>
      <c r="L909">
        <v>2</v>
      </c>
      <c r="M909">
        <v>1</v>
      </c>
      <c r="N909">
        <v>4.4000000000000004</v>
      </c>
      <c r="O909">
        <v>0</v>
      </c>
      <c r="P909">
        <v>980</v>
      </c>
      <c r="Q909">
        <v>24</v>
      </c>
      <c r="R909">
        <v>59</v>
      </c>
      <c r="S909" t="s">
        <v>34463</v>
      </c>
      <c r="U909">
        <v>0.35273919999999997</v>
      </c>
      <c r="V909">
        <v>6.6</v>
      </c>
      <c r="W909">
        <v>3.77</v>
      </c>
      <c r="X909" t="s">
        <v>4565</v>
      </c>
      <c r="AA909" t="s">
        <v>47</v>
      </c>
      <c r="AB909" t="s">
        <v>36507</v>
      </c>
      <c r="AC909" t="s">
        <v>34465</v>
      </c>
      <c r="AD909" t="s">
        <v>8081</v>
      </c>
      <c r="AE909" t="s">
        <v>14701</v>
      </c>
      <c r="AF909" t="s">
        <v>36508</v>
      </c>
      <c r="AG909" t="s">
        <v>34467</v>
      </c>
    </row>
    <row r="910" spans="1:33" x14ac:dyDescent="0.25">
      <c r="A910" t="s">
        <v>34462</v>
      </c>
      <c r="B910" t="s">
        <v>4571</v>
      </c>
      <c r="C910" t="s">
        <v>4573</v>
      </c>
      <c r="D910">
        <v>22.16</v>
      </c>
      <c r="E910">
        <v>14.17</v>
      </c>
      <c r="F910">
        <v>67337</v>
      </c>
      <c r="G910">
        <v>687341</v>
      </c>
      <c r="H910">
        <v>27.93</v>
      </c>
      <c r="I910">
        <v>28.46</v>
      </c>
      <c r="J910">
        <v>0</v>
      </c>
      <c r="K910">
        <v>1</v>
      </c>
      <c r="L910">
        <v>2</v>
      </c>
      <c r="M910">
        <v>2</v>
      </c>
      <c r="N910">
        <v>4.4000000000000004</v>
      </c>
      <c r="O910">
        <v>0</v>
      </c>
      <c r="P910">
        <v>1058</v>
      </c>
      <c r="Q910">
        <v>23</v>
      </c>
      <c r="R910">
        <v>61</v>
      </c>
      <c r="S910" t="s">
        <v>34463</v>
      </c>
      <c r="U910">
        <v>0.35273919999999997</v>
      </c>
      <c r="V910">
        <v>6.6</v>
      </c>
      <c r="W910">
        <v>3.77</v>
      </c>
      <c r="X910" t="s">
        <v>4570</v>
      </c>
      <c r="AA910" t="s">
        <v>4574</v>
      </c>
      <c r="AB910" t="s">
        <v>36509</v>
      </c>
      <c r="AC910" t="s">
        <v>34465</v>
      </c>
      <c r="AD910" t="s">
        <v>8081</v>
      </c>
      <c r="AE910" t="s">
        <v>34469</v>
      </c>
      <c r="AF910" t="s">
        <v>36510</v>
      </c>
      <c r="AG910" t="s">
        <v>34467</v>
      </c>
    </row>
    <row r="911" spans="1:33" x14ac:dyDescent="0.25">
      <c r="A911" t="s">
        <v>34462</v>
      </c>
      <c r="B911" t="s">
        <v>4576</v>
      </c>
      <c r="C911" t="s">
        <v>4578</v>
      </c>
      <c r="D911">
        <v>29.41</v>
      </c>
      <c r="F911">
        <v>75220</v>
      </c>
      <c r="G911">
        <v>392843</v>
      </c>
      <c r="H911">
        <v>29.41</v>
      </c>
      <c r="I911">
        <v>29.62</v>
      </c>
      <c r="J911">
        <v>0.12</v>
      </c>
      <c r="K911">
        <v>1</v>
      </c>
      <c r="L911">
        <v>1</v>
      </c>
      <c r="M911">
        <v>1</v>
      </c>
      <c r="N911">
        <v>4.4000000000000004</v>
      </c>
      <c r="O911">
        <v>0</v>
      </c>
      <c r="P911">
        <v>1330</v>
      </c>
      <c r="Q911">
        <v>20</v>
      </c>
      <c r="R911">
        <v>64</v>
      </c>
      <c r="S911" t="s">
        <v>34463</v>
      </c>
      <c r="U911">
        <v>0.35273919999999997</v>
      </c>
      <c r="V911">
        <v>6.6</v>
      </c>
      <c r="X911" t="s">
        <v>4575</v>
      </c>
      <c r="AA911" t="s">
        <v>47</v>
      </c>
      <c r="AB911" t="s">
        <v>36511</v>
      </c>
      <c r="AC911" t="s">
        <v>34465</v>
      </c>
      <c r="AD911" t="s">
        <v>8081</v>
      </c>
      <c r="AE911" t="s">
        <v>34525</v>
      </c>
      <c r="AF911" t="s">
        <v>36508</v>
      </c>
      <c r="AG911" t="s">
        <v>34467</v>
      </c>
    </row>
    <row r="912" spans="1:33" x14ac:dyDescent="0.25">
      <c r="A912" t="s">
        <v>34462</v>
      </c>
      <c r="B912" t="s">
        <v>4581</v>
      </c>
      <c r="C912" t="s">
        <v>4583</v>
      </c>
      <c r="D912">
        <v>22.16</v>
      </c>
      <c r="E912">
        <v>14.17</v>
      </c>
      <c r="F912">
        <v>67337</v>
      </c>
      <c r="G912">
        <v>587721</v>
      </c>
      <c r="H912">
        <v>28.89</v>
      </c>
      <c r="I912">
        <v>29.27</v>
      </c>
      <c r="J912">
        <v>0.03</v>
      </c>
      <c r="K912">
        <v>1</v>
      </c>
      <c r="L912">
        <v>2</v>
      </c>
      <c r="M912">
        <v>1</v>
      </c>
      <c r="N912">
        <v>4.4000000000000004</v>
      </c>
      <c r="O912">
        <v>0</v>
      </c>
      <c r="P912">
        <v>1058</v>
      </c>
      <c r="Q912">
        <v>22</v>
      </c>
      <c r="R912">
        <v>55</v>
      </c>
      <c r="S912" t="s">
        <v>34463</v>
      </c>
      <c r="U912">
        <v>0.35273919999999997</v>
      </c>
      <c r="V912">
        <v>6.6</v>
      </c>
      <c r="W912">
        <v>3.77</v>
      </c>
      <c r="X912" t="s">
        <v>4580</v>
      </c>
      <c r="AA912" t="s">
        <v>4585</v>
      </c>
      <c r="AB912" t="s">
        <v>36512</v>
      </c>
      <c r="AC912" t="s">
        <v>34465</v>
      </c>
      <c r="AD912" t="s">
        <v>8081</v>
      </c>
      <c r="AE912" t="s">
        <v>34533</v>
      </c>
      <c r="AF912" t="s">
        <v>36513</v>
      </c>
      <c r="AG912" t="s">
        <v>34467</v>
      </c>
    </row>
    <row r="913" spans="1:36" x14ac:dyDescent="0.25">
      <c r="A913" t="s">
        <v>34462</v>
      </c>
      <c r="B913" t="s">
        <v>4587</v>
      </c>
      <c r="C913" t="s">
        <v>4589</v>
      </c>
      <c r="D913">
        <v>22.16</v>
      </c>
      <c r="E913">
        <v>14.17</v>
      </c>
      <c r="F913">
        <v>67337</v>
      </c>
      <c r="G913">
        <v>1392690</v>
      </c>
      <c r="H913">
        <v>28.94</v>
      </c>
      <c r="I913">
        <v>29.29</v>
      </c>
      <c r="J913">
        <v>0</v>
      </c>
      <c r="K913">
        <v>1</v>
      </c>
      <c r="L913">
        <v>2</v>
      </c>
      <c r="M913">
        <v>2</v>
      </c>
      <c r="N913">
        <v>4.4000000000000004</v>
      </c>
      <c r="O913">
        <v>0</v>
      </c>
      <c r="P913">
        <v>981</v>
      </c>
      <c r="Q913">
        <v>23</v>
      </c>
      <c r="R913">
        <v>61</v>
      </c>
      <c r="S913" t="s">
        <v>34463</v>
      </c>
      <c r="U913">
        <v>0.35273919999999997</v>
      </c>
      <c r="V913">
        <v>6.6</v>
      </c>
      <c r="W913">
        <v>3.77</v>
      </c>
      <c r="X913" t="s">
        <v>4586</v>
      </c>
      <c r="AA913" t="s">
        <v>4585</v>
      </c>
      <c r="AB913" t="s">
        <v>36514</v>
      </c>
      <c r="AC913" t="s">
        <v>34465</v>
      </c>
      <c r="AD913" t="s">
        <v>8081</v>
      </c>
      <c r="AE913" t="s">
        <v>34649</v>
      </c>
      <c r="AF913" t="s">
        <v>36513</v>
      </c>
      <c r="AG913" t="s">
        <v>34467</v>
      </c>
    </row>
    <row r="914" spans="1:36" x14ac:dyDescent="0.25">
      <c r="A914" t="s">
        <v>34462</v>
      </c>
      <c r="B914" t="s">
        <v>4591</v>
      </c>
      <c r="C914" t="s">
        <v>4594</v>
      </c>
      <c r="D914">
        <v>26.25</v>
      </c>
      <c r="E914">
        <v>26.25</v>
      </c>
      <c r="F914">
        <v>715422</v>
      </c>
      <c r="G914">
        <v>834608</v>
      </c>
      <c r="H914">
        <v>38.56</v>
      </c>
      <c r="I914">
        <v>32.880000000000003</v>
      </c>
      <c r="J914">
        <v>0</v>
      </c>
      <c r="K914">
        <v>0</v>
      </c>
      <c r="L914">
        <v>3</v>
      </c>
      <c r="M914">
        <v>2</v>
      </c>
      <c r="N914">
        <v>5</v>
      </c>
      <c r="O914">
        <v>0</v>
      </c>
      <c r="P914">
        <v>3</v>
      </c>
      <c r="Q914">
        <v>11</v>
      </c>
      <c r="R914">
        <v>31</v>
      </c>
      <c r="S914" t="s">
        <v>36515</v>
      </c>
      <c r="U914">
        <v>0.37037616000000001</v>
      </c>
      <c r="V914">
        <v>6.14</v>
      </c>
      <c r="W914">
        <v>4.47</v>
      </c>
      <c r="X914" t="s">
        <v>4590</v>
      </c>
      <c r="Y914" t="s">
        <v>4595</v>
      </c>
      <c r="Z914" t="s">
        <v>4595</v>
      </c>
      <c r="AA914" t="s">
        <v>76</v>
      </c>
      <c r="AB914" t="s">
        <v>36516</v>
      </c>
      <c r="AC914" t="s">
        <v>34493</v>
      </c>
      <c r="AD914" t="s">
        <v>7954</v>
      </c>
      <c r="AE914" t="s">
        <v>34474</v>
      </c>
      <c r="AF914" t="s">
        <v>36517</v>
      </c>
      <c r="AG914" t="s">
        <v>36518</v>
      </c>
    </row>
    <row r="915" spans="1:36" x14ac:dyDescent="0.25">
      <c r="A915" t="s">
        <v>34462</v>
      </c>
      <c r="B915" t="s">
        <v>4597</v>
      </c>
      <c r="C915" t="s">
        <v>4599</v>
      </c>
      <c r="D915">
        <v>26.25</v>
      </c>
      <c r="E915">
        <v>26.25</v>
      </c>
      <c r="F915">
        <v>715422</v>
      </c>
      <c r="G915">
        <v>784364</v>
      </c>
      <c r="H915">
        <v>29.54</v>
      </c>
      <c r="I915">
        <v>27</v>
      </c>
      <c r="J915">
        <v>0</v>
      </c>
      <c r="K915">
        <v>0</v>
      </c>
      <c r="L915">
        <v>2</v>
      </c>
      <c r="M915">
        <v>1</v>
      </c>
      <c r="N915">
        <v>5</v>
      </c>
      <c r="O915">
        <v>1</v>
      </c>
      <c r="P915">
        <v>3</v>
      </c>
      <c r="Q915">
        <v>7</v>
      </c>
      <c r="R915">
        <v>22</v>
      </c>
      <c r="S915" t="s">
        <v>36515</v>
      </c>
      <c r="U915">
        <v>0.35053457999999998</v>
      </c>
      <c r="V915">
        <v>5.9</v>
      </c>
      <c r="W915">
        <v>4.46</v>
      </c>
      <c r="X915" t="s">
        <v>4596</v>
      </c>
      <c r="Y915" t="s">
        <v>4595</v>
      </c>
      <c r="Z915" t="s">
        <v>4595</v>
      </c>
      <c r="AA915" t="s">
        <v>4600</v>
      </c>
      <c r="AB915" t="s">
        <v>36519</v>
      </c>
      <c r="AC915" t="s">
        <v>34493</v>
      </c>
      <c r="AD915" t="s">
        <v>7954</v>
      </c>
      <c r="AE915" t="s">
        <v>34474</v>
      </c>
      <c r="AF915" t="s">
        <v>36520</v>
      </c>
      <c r="AG915" t="s">
        <v>36518</v>
      </c>
    </row>
    <row r="916" spans="1:36" x14ac:dyDescent="0.25">
      <c r="A916" t="s">
        <v>34462</v>
      </c>
      <c r="B916" t="s">
        <v>4602</v>
      </c>
      <c r="C916" t="s">
        <v>4604</v>
      </c>
      <c r="D916">
        <v>26.25</v>
      </c>
      <c r="E916">
        <v>26.25</v>
      </c>
      <c r="F916">
        <v>715422</v>
      </c>
      <c r="G916">
        <v>803292</v>
      </c>
      <c r="H916">
        <v>35.53</v>
      </c>
      <c r="I916">
        <v>33.97</v>
      </c>
      <c r="J916">
        <v>0</v>
      </c>
      <c r="K916">
        <v>0</v>
      </c>
      <c r="L916">
        <v>3</v>
      </c>
      <c r="M916">
        <v>2</v>
      </c>
      <c r="N916">
        <v>5</v>
      </c>
      <c r="O916">
        <v>0</v>
      </c>
      <c r="P916">
        <v>3</v>
      </c>
      <c r="Q916">
        <v>11</v>
      </c>
      <c r="R916">
        <v>33</v>
      </c>
      <c r="S916" t="s">
        <v>36515</v>
      </c>
      <c r="U916">
        <v>0.35053457999999998</v>
      </c>
      <c r="V916">
        <v>5.9</v>
      </c>
      <c r="W916">
        <v>4.46</v>
      </c>
      <c r="X916" t="s">
        <v>4601</v>
      </c>
      <c r="Y916" t="s">
        <v>4595</v>
      </c>
      <c r="Z916" t="s">
        <v>4595</v>
      </c>
      <c r="AA916" t="s">
        <v>856</v>
      </c>
      <c r="AB916" t="s">
        <v>36521</v>
      </c>
      <c r="AC916" t="s">
        <v>34493</v>
      </c>
      <c r="AD916" t="s">
        <v>7954</v>
      </c>
      <c r="AE916" t="s">
        <v>34474</v>
      </c>
      <c r="AF916" t="s">
        <v>36522</v>
      </c>
      <c r="AG916" t="s">
        <v>36518</v>
      </c>
    </row>
    <row r="917" spans="1:36" x14ac:dyDescent="0.25">
      <c r="A917" t="s">
        <v>34462</v>
      </c>
      <c r="B917" t="s">
        <v>4606</v>
      </c>
      <c r="C917" t="s">
        <v>4608</v>
      </c>
      <c r="D917">
        <v>26.25</v>
      </c>
      <c r="E917">
        <v>26.25</v>
      </c>
      <c r="F917">
        <v>715422</v>
      </c>
      <c r="G917">
        <v>832493</v>
      </c>
      <c r="H917">
        <v>45.32</v>
      </c>
      <c r="I917">
        <v>41.83</v>
      </c>
      <c r="J917">
        <v>0</v>
      </c>
      <c r="K917">
        <v>0</v>
      </c>
      <c r="L917">
        <v>5</v>
      </c>
      <c r="M917">
        <v>4</v>
      </c>
      <c r="N917">
        <v>5</v>
      </c>
      <c r="O917">
        <v>0</v>
      </c>
      <c r="P917">
        <v>3</v>
      </c>
      <c r="Q917">
        <v>10</v>
      </c>
      <c r="R917">
        <v>27</v>
      </c>
      <c r="S917" t="s">
        <v>36515</v>
      </c>
      <c r="U917">
        <v>0.39683160000000001</v>
      </c>
      <c r="V917">
        <v>5.9</v>
      </c>
      <c r="W917">
        <v>4.47</v>
      </c>
      <c r="X917" t="s">
        <v>4605</v>
      </c>
      <c r="Y917" t="s">
        <v>4595</v>
      </c>
      <c r="Z917" t="s">
        <v>4595</v>
      </c>
      <c r="AA917" t="s">
        <v>76</v>
      </c>
      <c r="AB917" t="s">
        <v>36523</v>
      </c>
      <c r="AC917" t="s">
        <v>34493</v>
      </c>
      <c r="AD917" t="s">
        <v>7954</v>
      </c>
      <c r="AE917" t="s">
        <v>34533</v>
      </c>
      <c r="AF917" t="s">
        <v>36517</v>
      </c>
      <c r="AG917" t="s">
        <v>36518</v>
      </c>
    </row>
    <row r="918" spans="1:36" x14ac:dyDescent="0.25">
      <c r="A918" t="s">
        <v>34462</v>
      </c>
      <c r="B918" t="s">
        <v>4610</v>
      </c>
      <c r="C918" t="s">
        <v>4612</v>
      </c>
      <c r="D918">
        <v>26.25</v>
      </c>
      <c r="E918">
        <v>26.25</v>
      </c>
      <c r="F918">
        <v>715422</v>
      </c>
      <c r="G918">
        <v>826889</v>
      </c>
      <c r="H918">
        <v>45.6</v>
      </c>
      <c r="I918">
        <v>37.700000000000003</v>
      </c>
      <c r="J918">
        <v>0</v>
      </c>
      <c r="K918">
        <v>0</v>
      </c>
      <c r="L918">
        <v>2</v>
      </c>
      <c r="M918">
        <v>2</v>
      </c>
      <c r="N918">
        <v>5</v>
      </c>
      <c r="O918">
        <v>1</v>
      </c>
      <c r="P918">
        <v>3</v>
      </c>
      <c r="Q918">
        <v>9</v>
      </c>
      <c r="R918">
        <v>22</v>
      </c>
      <c r="S918" t="s">
        <v>36515</v>
      </c>
      <c r="U918">
        <v>0.3858085</v>
      </c>
      <c r="V918">
        <v>5.9</v>
      </c>
      <c r="W918">
        <v>4.47</v>
      </c>
      <c r="X918" t="s">
        <v>4609</v>
      </c>
      <c r="Y918" t="s">
        <v>4595</v>
      </c>
      <c r="Z918" t="s">
        <v>4595</v>
      </c>
      <c r="AA918" t="s">
        <v>4600</v>
      </c>
      <c r="AB918" t="s">
        <v>36524</v>
      </c>
      <c r="AC918" t="s">
        <v>34493</v>
      </c>
      <c r="AD918" t="s">
        <v>7954</v>
      </c>
      <c r="AE918" t="s">
        <v>34533</v>
      </c>
      <c r="AF918" t="s">
        <v>36520</v>
      </c>
      <c r="AG918" t="s">
        <v>36518</v>
      </c>
    </row>
    <row r="919" spans="1:36" x14ac:dyDescent="0.25">
      <c r="A919" t="s">
        <v>34462</v>
      </c>
      <c r="B919" t="s">
        <v>4614</v>
      </c>
      <c r="C919" t="s">
        <v>4616</v>
      </c>
      <c r="D919">
        <v>26.25</v>
      </c>
      <c r="E919">
        <v>26.25</v>
      </c>
      <c r="F919">
        <v>715422</v>
      </c>
      <c r="G919">
        <v>805877</v>
      </c>
      <c r="H919">
        <v>47.39</v>
      </c>
      <c r="I919">
        <v>47.5</v>
      </c>
      <c r="J919">
        <v>0</v>
      </c>
      <c r="K919">
        <v>0</v>
      </c>
      <c r="L919">
        <v>4</v>
      </c>
      <c r="M919">
        <v>2</v>
      </c>
      <c r="N919">
        <v>5</v>
      </c>
      <c r="O919">
        <v>0</v>
      </c>
      <c r="P919">
        <v>3</v>
      </c>
      <c r="Q919">
        <v>10</v>
      </c>
      <c r="R919">
        <v>28</v>
      </c>
      <c r="S919" t="s">
        <v>36515</v>
      </c>
      <c r="U919">
        <v>0.37037616000000001</v>
      </c>
      <c r="V919">
        <v>5.9</v>
      </c>
      <c r="W919">
        <v>4.46</v>
      </c>
      <c r="X919" t="s">
        <v>4613</v>
      </c>
      <c r="Y919" t="s">
        <v>4595</v>
      </c>
      <c r="Z919" t="s">
        <v>4595</v>
      </c>
      <c r="AA919" t="s">
        <v>856</v>
      </c>
      <c r="AB919" t="s">
        <v>36525</v>
      </c>
      <c r="AC919" t="s">
        <v>34493</v>
      </c>
      <c r="AD919" t="s">
        <v>7954</v>
      </c>
      <c r="AE919" t="s">
        <v>34533</v>
      </c>
      <c r="AF919" t="s">
        <v>36522</v>
      </c>
      <c r="AG919" t="s">
        <v>36518</v>
      </c>
    </row>
    <row r="920" spans="1:36" x14ac:dyDescent="0.25">
      <c r="A920" t="s">
        <v>34462</v>
      </c>
      <c r="B920" t="s">
        <v>4618</v>
      </c>
      <c r="C920" t="s">
        <v>4620</v>
      </c>
      <c r="D920">
        <v>26.25</v>
      </c>
      <c r="E920">
        <v>26.25</v>
      </c>
      <c r="F920">
        <v>715422</v>
      </c>
      <c r="G920">
        <v>4344779</v>
      </c>
      <c r="H920">
        <v>47.96</v>
      </c>
      <c r="I920">
        <v>47.6</v>
      </c>
      <c r="J920">
        <v>0</v>
      </c>
      <c r="K920">
        <v>0</v>
      </c>
      <c r="L920">
        <v>5</v>
      </c>
      <c r="M920">
        <v>3</v>
      </c>
      <c r="N920">
        <v>5</v>
      </c>
      <c r="O920">
        <v>0</v>
      </c>
      <c r="P920">
        <v>3</v>
      </c>
      <c r="Q920">
        <v>11</v>
      </c>
      <c r="R920">
        <v>19</v>
      </c>
      <c r="S920" t="s">
        <v>36515</v>
      </c>
      <c r="U920">
        <v>0.42108242000000001</v>
      </c>
      <c r="V920">
        <v>5.9</v>
      </c>
      <c r="W920">
        <v>4.47</v>
      </c>
      <c r="X920" t="s">
        <v>4617</v>
      </c>
      <c r="Y920" t="s">
        <v>4595</v>
      </c>
      <c r="Z920" t="s">
        <v>4595</v>
      </c>
      <c r="AA920" t="s">
        <v>76</v>
      </c>
      <c r="AB920" t="s">
        <v>36526</v>
      </c>
      <c r="AC920" t="s">
        <v>34493</v>
      </c>
      <c r="AD920" t="s">
        <v>7954</v>
      </c>
      <c r="AE920" t="s">
        <v>14701</v>
      </c>
      <c r="AF920" t="s">
        <v>36517</v>
      </c>
      <c r="AG920" t="s">
        <v>36518</v>
      </c>
    </row>
    <row r="921" spans="1:36" x14ac:dyDescent="0.25">
      <c r="A921" t="s">
        <v>34462</v>
      </c>
      <c r="B921" t="s">
        <v>4622</v>
      </c>
      <c r="C921" t="s">
        <v>4624</v>
      </c>
      <c r="D921">
        <v>26.25</v>
      </c>
      <c r="E921">
        <v>26.25</v>
      </c>
      <c r="F921">
        <v>715422</v>
      </c>
      <c r="G921">
        <v>839122</v>
      </c>
      <c r="H921">
        <v>45.21</v>
      </c>
      <c r="I921">
        <v>42.03</v>
      </c>
      <c r="J921">
        <v>0</v>
      </c>
      <c r="K921">
        <v>0</v>
      </c>
      <c r="L921">
        <v>3</v>
      </c>
      <c r="M921">
        <v>2</v>
      </c>
      <c r="N921">
        <v>5</v>
      </c>
      <c r="O921">
        <v>0</v>
      </c>
      <c r="P921">
        <v>3</v>
      </c>
      <c r="Q921">
        <v>10</v>
      </c>
      <c r="R921">
        <v>29</v>
      </c>
      <c r="S921" t="s">
        <v>36515</v>
      </c>
      <c r="U921">
        <v>0.42108242000000001</v>
      </c>
      <c r="V921">
        <v>5.9</v>
      </c>
      <c r="W921">
        <v>4.47</v>
      </c>
      <c r="X921" t="s">
        <v>4621</v>
      </c>
      <c r="Y921" t="s">
        <v>4595</v>
      </c>
      <c r="Z921" t="s">
        <v>4595</v>
      </c>
      <c r="AA921" t="s">
        <v>4600</v>
      </c>
      <c r="AB921" t="s">
        <v>36527</v>
      </c>
      <c r="AC921" t="s">
        <v>34493</v>
      </c>
      <c r="AD921" t="s">
        <v>7954</v>
      </c>
      <c r="AE921" t="s">
        <v>14701</v>
      </c>
      <c r="AF921" t="s">
        <v>36520</v>
      </c>
      <c r="AG921" t="s">
        <v>36518</v>
      </c>
    </row>
    <row r="922" spans="1:36" x14ac:dyDescent="0.25">
      <c r="A922" t="s">
        <v>34462</v>
      </c>
      <c r="B922" t="s">
        <v>4626</v>
      </c>
      <c r="C922" t="s">
        <v>4628</v>
      </c>
      <c r="D922">
        <v>26.25</v>
      </c>
      <c r="E922">
        <v>26.25</v>
      </c>
      <c r="F922">
        <v>715422</v>
      </c>
      <c r="G922">
        <v>814785</v>
      </c>
      <c r="H922">
        <v>43.26</v>
      </c>
      <c r="I922">
        <v>43.08</v>
      </c>
      <c r="J922">
        <v>0</v>
      </c>
      <c r="K922">
        <v>0</v>
      </c>
      <c r="L922">
        <v>4</v>
      </c>
      <c r="M922">
        <v>2</v>
      </c>
      <c r="N922">
        <v>5</v>
      </c>
      <c r="O922">
        <v>0</v>
      </c>
      <c r="P922">
        <v>3</v>
      </c>
      <c r="Q922">
        <v>10</v>
      </c>
      <c r="R922">
        <v>27</v>
      </c>
      <c r="S922" t="s">
        <v>36515</v>
      </c>
      <c r="U922">
        <v>0.37919464000000003</v>
      </c>
      <c r="V922">
        <v>5.9</v>
      </c>
      <c r="W922">
        <v>4.46</v>
      </c>
      <c r="X922" t="s">
        <v>4625</v>
      </c>
      <c r="Y922" t="s">
        <v>4595</v>
      </c>
      <c r="Z922" t="s">
        <v>4595</v>
      </c>
      <c r="AA922" t="s">
        <v>856</v>
      </c>
      <c r="AB922" t="s">
        <v>36528</v>
      </c>
      <c r="AC922" t="s">
        <v>34493</v>
      </c>
      <c r="AD922" t="s">
        <v>7954</v>
      </c>
      <c r="AE922" t="s">
        <v>14701</v>
      </c>
      <c r="AF922" t="s">
        <v>36522</v>
      </c>
      <c r="AG922" t="s">
        <v>36518</v>
      </c>
    </row>
    <row r="923" spans="1:36" x14ac:dyDescent="0.25">
      <c r="A923" t="s">
        <v>34462</v>
      </c>
      <c r="B923" t="s">
        <v>4630</v>
      </c>
      <c r="C923" t="s">
        <v>4632</v>
      </c>
      <c r="D923">
        <v>26.25</v>
      </c>
      <c r="E923">
        <v>26.25</v>
      </c>
      <c r="F923">
        <v>715422</v>
      </c>
      <c r="G923">
        <v>800293</v>
      </c>
      <c r="H923">
        <v>43.23</v>
      </c>
      <c r="I923">
        <v>43.88</v>
      </c>
      <c r="J923">
        <v>0</v>
      </c>
      <c r="K923">
        <v>0</v>
      </c>
      <c r="L923">
        <v>3</v>
      </c>
      <c r="M923">
        <v>2</v>
      </c>
      <c r="N923">
        <v>5</v>
      </c>
      <c r="O923">
        <v>0</v>
      </c>
      <c r="P923">
        <v>3</v>
      </c>
      <c r="Q923">
        <v>9</v>
      </c>
      <c r="R923">
        <v>26</v>
      </c>
      <c r="S923" t="s">
        <v>36515</v>
      </c>
      <c r="U923">
        <v>0.42108242000000001</v>
      </c>
      <c r="V923">
        <v>5.9</v>
      </c>
      <c r="W923">
        <v>4.47</v>
      </c>
      <c r="X923" t="s">
        <v>4629</v>
      </c>
      <c r="Y923" t="s">
        <v>4595</v>
      </c>
      <c r="Z923" t="s">
        <v>4595</v>
      </c>
      <c r="AA923" t="s">
        <v>4600</v>
      </c>
      <c r="AB923" t="s">
        <v>36529</v>
      </c>
      <c r="AC923" t="s">
        <v>34493</v>
      </c>
      <c r="AD923" t="s">
        <v>7954</v>
      </c>
      <c r="AE923" t="s">
        <v>34525</v>
      </c>
      <c r="AF923" t="s">
        <v>36530</v>
      </c>
      <c r="AG923" t="s">
        <v>36518</v>
      </c>
    </row>
    <row r="924" spans="1:36" x14ac:dyDescent="0.25">
      <c r="A924" t="s">
        <v>34462</v>
      </c>
      <c r="B924" t="s">
        <v>4634</v>
      </c>
      <c r="C924" t="s">
        <v>4636</v>
      </c>
      <c r="D924">
        <v>43.41</v>
      </c>
      <c r="E924">
        <v>43.41</v>
      </c>
      <c r="F924">
        <v>597460</v>
      </c>
      <c r="G924">
        <v>4454910</v>
      </c>
      <c r="H924">
        <v>39.659999999999997</v>
      </c>
      <c r="I924">
        <v>41.12</v>
      </c>
      <c r="J924">
        <v>0</v>
      </c>
      <c r="K924">
        <v>0.45</v>
      </c>
      <c r="L924">
        <v>4</v>
      </c>
      <c r="M924">
        <v>1</v>
      </c>
      <c r="N924">
        <v>5</v>
      </c>
      <c r="O924">
        <v>0</v>
      </c>
      <c r="P924">
        <v>3</v>
      </c>
      <c r="Q924">
        <v>11</v>
      </c>
      <c r="R924">
        <v>20</v>
      </c>
      <c r="S924" t="s">
        <v>36515</v>
      </c>
      <c r="U924">
        <v>0.46076558000000001</v>
      </c>
      <c r="V924">
        <v>5.9</v>
      </c>
      <c r="X924" t="s">
        <v>4633</v>
      </c>
      <c r="Y924" t="s">
        <v>4595</v>
      </c>
      <c r="Z924" t="s">
        <v>4595</v>
      </c>
      <c r="AA924" t="s">
        <v>76</v>
      </c>
      <c r="AB924" t="s">
        <v>36531</v>
      </c>
      <c r="AC924" t="s">
        <v>34465</v>
      </c>
      <c r="AD924" t="s">
        <v>7954</v>
      </c>
      <c r="AE924" t="s">
        <v>34525</v>
      </c>
      <c r="AF924" t="s">
        <v>36517</v>
      </c>
      <c r="AG924" t="s">
        <v>36518</v>
      </c>
    </row>
    <row r="925" spans="1:36" x14ac:dyDescent="0.25">
      <c r="A925" t="s">
        <v>34462</v>
      </c>
      <c r="B925" t="s">
        <v>4638</v>
      </c>
      <c r="C925" t="s">
        <v>4640</v>
      </c>
      <c r="D925">
        <v>26.25</v>
      </c>
      <c r="E925">
        <v>26.25</v>
      </c>
      <c r="F925">
        <v>715422</v>
      </c>
      <c r="G925">
        <v>819985</v>
      </c>
      <c r="H925">
        <v>46.93</v>
      </c>
      <c r="I925">
        <v>45.35</v>
      </c>
      <c r="J925">
        <v>0</v>
      </c>
      <c r="K925">
        <v>0</v>
      </c>
      <c r="L925">
        <v>4</v>
      </c>
      <c r="M925">
        <v>2</v>
      </c>
      <c r="N925">
        <v>5</v>
      </c>
      <c r="O925">
        <v>0</v>
      </c>
      <c r="P925">
        <v>3</v>
      </c>
      <c r="Q925">
        <v>11</v>
      </c>
      <c r="R925">
        <v>28</v>
      </c>
      <c r="S925" t="s">
        <v>36515</v>
      </c>
      <c r="U925">
        <v>0.42990089999999997</v>
      </c>
      <c r="V925">
        <v>5.9</v>
      </c>
      <c r="W925">
        <v>4.46</v>
      </c>
      <c r="X925" t="s">
        <v>4637</v>
      </c>
      <c r="Y925" t="s">
        <v>4595</v>
      </c>
      <c r="Z925" t="s">
        <v>4595</v>
      </c>
      <c r="AA925" t="s">
        <v>856</v>
      </c>
      <c r="AB925" t="s">
        <v>36532</v>
      </c>
      <c r="AC925" t="s">
        <v>34484</v>
      </c>
      <c r="AD925" t="s">
        <v>7954</v>
      </c>
      <c r="AE925" t="s">
        <v>34525</v>
      </c>
      <c r="AF925" t="s">
        <v>36522</v>
      </c>
      <c r="AG925" t="s">
        <v>36518</v>
      </c>
    </row>
    <row r="926" spans="1:36" x14ac:dyDescent="0.25">
      <c r="A926" t="s">
        <v>34462</v>
      </c>
      <c r="B926" t="s">
        <v>4642</v>
      </c>
      <c r="C926" t="s">
        <v>4644</v>
      </c>
      <c r="D926">
        <v>26.25</v>
      </c>
      <c r="E926">
        <v>26.25</v>
      </c>
      <c r="F926">
        <v>715422</v>
      </c>
      <c r="G926">
        <v>841330</v>
      </c>
      <c r="H926">
        <v>47.31</v>
      </c>
      <c r="I926">
        <v>47.18</v>
      </c>
      <c r="J926">
        <v>0</v>
      </c>
      <c r="K926">
        <v>0</v>
      </c>
      <c r="L926">
        <v>3</v>
      </c>
      <c r="M926">
        <v>2</v>
      </c>
      <c r="N926">
        <v>5</v>
      </c>
      <c r="O926">
        <v>1</v>
      </c>
      <c r="P926">
        <v>3</v>
      </c>
      <c r="Q926">
        <v>12</v>
      </c>
      <c r="R926">
        <v>33</v>
      </c>
      <c r="S926" t="s">
        <v>36515</v>
      </c>
      <c r="U926">
        <v>0.46076558000000001</v>
      </c>
      <c r="V926">
        <v>6.14</v>
      </c>
      <c r="W926">
        <v>4.46</v>
      </c>
      <c r="X926" t="s">
        <v>4641</v>
      </c>
      <c r="Y926" t="s">
        <v>4595</v>
      </c>
      <c r="Z926" t="s">
        <v>4595</v>
      </c>
      <c r="AA926" t="s">
        <v>4600</v>
      </c>
      <c r="AB926" t="s">
        <v>36533</v>
      </c>
      <c r="AC926" t="s">
        <v>34493</v>
      </c>
      <c r="AD926" t="s">
        <v>7954</v>
      </c>
      <c r="AE926" t="s">
        <v>34649</v>
      </c>
      <c r="AF926" t="s">
        <v>36530</v>
      </c>
      <c r="AG926" t="s">
        <v>36518</v>
      </c>
      <c r="AJ926" t="s">
        <v>36534</v>
      </c>
    </row>
    <row r="927" spans="1:36" x14ac:dyDescent="0.25">
      <c r="A927" t="s">
        <v>34462</v>
      </c>
      <c r="B927" t="s">
        <v>4646</v>
      </c>
      <c r="C927" t="s">
        <v>4648</v>
      </c>
      <c r="D927">
        <v>26.25</v>
      </c>
      <c r="E927">
        <v>26.25</v>
      </c>
      <c r="F927">
        <v>715422</v>
      </c>
      <c r="G927">
        <v>808146</v>
      </c>
      <c r="H927">
        <v>38.93</v>
      </c>
      <c r="I927">
        <v>44.6</v>
      </c>
      <c r="J927">
        <v>0</v>
      </c>
      <c r="K927">
        <v>0.05</v>
      </c>
      <c r="L927">
        <v>3</v>
      </c>
      <c r="M927">
        <v>2</v>
      </c>
      <c r="N927">
        <v>5</v>
      </c>
      <c r="O927">
        <v>0</v>
      </c>
      <c r="P927">
        <v>3</v>
      </c>
      <c r="Q927">
        <v>9</v>
      </c>
      <c r="R927">
        <v>33</v>
      </c>
      <c r="S927" t="s">
        <v>36515</v>
      </c>
      <c r="U927">
        <v>0.48942564</v>
      </c>
      <c r="V927">
        <v>6.14</v>
      </c>
      <c r="W927">
        <v>4.47</v>
      </c>
      <c r="X927" t="s">
        <v>4645</v>
      </c>
      <c r="Y927" t="s">
        <v>4595</v>
      </c>
      <c r="Z927" t="s">
        <v>4595</v>
      </c>
      <c r="AA927" t="s">
        <v>76</v>
      </c>
      <c r="AB927" t="s">
        <v>36535</v>
      </c>
      <c r="AC927" t="s">
        <v>34493</v>
      </c>
      <c r="AD927" t="s">
        <v>7954</v>
      </c>
      <c r="AE927" t="s">
        <v>34649</v>
      </c>
      <c r="AF927" t="s">
        <v>36517</v>
      </c>
      <c r="AG927" t="s">
        <v>36518</v>
      </c>
    </row>
    <row r="928" spans="1:36" x14ac:dyDescent="0.25">
      <c r="A928" t="s">
        <v>34462</v>
      </c>
      <c r="B928" t="s">
        <v>4650</v>
      </c>
      <c r="C928" t="s">
        <v>4652</v>
      </c>
      <c r="D928">
        <v>26.25</v>
      </c>
      <c r="E928">
        <v>26.25</v>
      </c>
      <c r="F928">
        <v>715422</v>
      </c>
      <c r="G928">
        <v>800392</v>
      </c>
      <c r="H928">
        <v>37.11</v>
      </c>
      <c r="I928">
        <v>37.299999999999997</v>
      </c>
      <c r="J928">
        <v>0</v>
      </c>
      <c r="K928">
        <v>0</v>
      </c>
      <c r="L928">
        <v>4</v>
      </c>
      <c r="M928">
        <v>3</v>
      </c>
      <c r="N928">
        <v>5</v>
      </c>
      <c r="O928">
        <v>0</v>
      </c>
      <c r="P928">
        <v>3</v>
      </c>
      <c r="Q928">
        <v>10</v>
      </c>
      <c r="R928">
        <v>33</v>
      </c>
      <c r="S928" t="s">
        <v>36515</v>
      </c>
      <c r="U928">
        <v>0.44974248</v>
      </c>
      <c r="V928">
        <v>5.9</v>
      </c>
      <c r="W928">
        <v>4.46</v>
      </c>
      <c r="X928" t="s">
        <v>4649</v>
      </c>
      <c r="Y928" t="s">
        <v>4595</v>
      </c>
      <c r="Z928" t="s">
        <v>4595</v>
      </c>
      <c r="AA928" t="s">
        <v>856</v>
      </c>
      <c r="AB928" t="s">
        <v>36536</v>
      </c>
      <c r="AC928" t="s">
        <v>34493</v>
      </c>
      <c r="AD928" t="s">
        <v>7954</v>
      </c>
      <c r="AE928" t="s">
        <v>34649</v>
      </c>
      <c r="AF928" t="s">
        <v>36522</v>
      </c>
      <c r="AG928" t="s">
        <v>36518</v>
      </c>
    </row>
    <row r="929" spans="1:33" x14ac:dyDescent="0.25">
      <c r="A929" t="s">
        <v>34462</v>
      </c>
      <c r="B929" t="s">
        <v>4654</v>
      </c>
      <c r="C929" t="s">
        <v>4657</v>
      </c>
      <c r="D929">
        <v>39.99</v>
      </c>
      <c r="E929">
        <v>39.99</v>
      </c>
      <c r="F929">
        <v>70146</v>
      </c>
      <c r="G929">
        <v>146544</v>
      </c>
      <c r="H929">
        <v>49.39</v>
      </c>
      <c r="I929">
        <v>43.09</v>
      </c>
      <c r="J929">
        <v>0</v>
      </c>
      <c r="K929">
        <v>1</v>
      </c>
      <c r="L929">
        <v>2</v>
      </c>
      <c r="M929">
        <v>2</v>
      </c>
      <c r="N929">
        <v>4.5999999999999996</v>
      </c>
      <c r="O929">
        <v>2</v>
      </c>
      <c r="P929">
        <v>129</v>
      </c>
      <c r="Q929">
        <v>35</v>
      </c>
      <c r="R929">
        <v>76</v>
      </c>
      <c r="S929" t="s">
        <v>36537</v>
      </c>
      <c r="U929">
        <v>1.11994696</v>
      </c>
      <c r="V929">
        <v>5.77</v>
      </c>
      <c r="X929" t="s">
        <v>4653</v>
      </c>
      <c r="Y929" t="s">
        <v>4658</v>
      </c>
      <c r="Z929" t="s">
        <v>4658</v>
      </c>
      <c r="AA929" t="s">
        <v>4659</v>
      </c>
      <c r="AB929" t="s">
        <v>36538</v>
      </c>
      <c r="AC929" t="s">
        <v>34465</v>
      </c>
      <c r="AD929" t="s">
        <v>18241</v>
      </c>
      <c r="AE929" t="s">
        <v>34673</v>
      </c>
      <c r="AF929" t="s">
        <v>36539</v>
      </c>
      <c r="AG929" t="s">
        <v>36540</v>
      </c>
    </row>
    <row r="930" spans="1:33" x14ac:dyDescent="0.25">
      <c r="A930" t="s">
        <v>34462</v>
      </c>
      <c r="B930" t="s">
        <v>4661</v>
      </c>
      <c r="C930" t="s">
        <v>4664</v>
      </c>
      <c r="D930">
        <v>27.99</v>
      </c>
      <c r="E930">
        <v>27.99</v>
      </c>
      <c r="F930">
        <v>69499</v>
      </c>
      <c r="G930">
        <v>3883611</v>
      </c>
      <c r="H930">
        <v>27.99</v>
      </c>
      <c r="I930">
        <v>27.99</v>
      </c>
      <c r="J930">
        <v>0</v>
      </c>
      <c r="K930">
        <v>1</v>
      </c>
      <c r="L930">
        <v>1</v>
      </c>
      <c r="M930">
        <v>1</v>
      </c>
      <c r="N930">
        <v>4.8</v>
      </c>
      <c r="O930">
        <v>0</v>
      </c>
      <c r="P930">
        <v>569</v>
      </c>
      <c r="Q930">
        <v>6</v>
      </c>
      <c r="R930">
        <v>6</v>
      </c>
      <c r="S930" t="s">
        <v>35922</v>
      </c>
      <c r="U930">
        <v>0.33069300000000001</v>
      </c>
      <c r="V930">
        <v>4.6100000000000003</v>
      </c>
      <c r="W930">
        <v>4.76</v>
      </c>
      <c r="X930" t="s">
        <v>4660</v>
      </c>
      <c r="Z930" t="s">
        <v>4665</v>
      </c>
      <c r="AA930" t="s">
        <v>4666</v>
      </c>
      <c r="AB930" t="s">
        <v>36541</v>
      </c>
      <c r="AC930" t="s">
        <v>34465</v>
      </c>
      <c r="AD930" t="s">
        <v>11496</v>
      </c>
      <c r="AE930" t="s">
        <v>34826</v>
      </c>
      <c r="AF930" t="s">
        <v>36542</v>
      </c>
      <c r="AG930" t="s">
        <v>36543</v>
      </c>
    </row>
    <row r="931" spans="1:33" x14ac:dyDescent="0.25">
      <c r="A931" t="s">
        <v>34462</v>
      </c>
      <c r="B931" t="s">
        <v>4668</v>
      </c>
      <c r="C931" t="s">
        <v>4670</v>
      </c>
      <c r="D931">
        <v>16.989999999999998</v>
      </c>
      <c r="E931">
        <v>16.989999999999998</v>
      </c>
      <c r="F931">
        <v>53837</v>
      </c>
      <c r="G931">
        <v>1666373</v>
      </c>
      <c r="H931">
        <v>18.03</v>
      </c>
      <c r="I931">
        <v>20.98</v>
      </c>
      <c r="J931">
        <v>0</v>
      </c>
      <c r="K931">
        <v>1</v>
      </c>
      <c r="L931">
        <v>17</v>
      </c>
      <c r="M931">
        <v>16</v>
      </c>
      <c r="N931">
        <v>4.8</v>
      </c>
      <c r="O931">
        <v>0</v>
      </c>
      <c r="P931">
        <v>561</v>
      </c>
      <c r="Q931">
        <v>10</v>
      </c>
      <c r="R931">
        <v>75</v>
      </c>
      <c r="S931" t="s">
        <v>35922</v>
      </c>
      <c r="U931">
        <v>0.33069300000000001</v>
      </c>
      <c r="V931">
        <v>4.6100000000000003</v>
      </c>
      <c r="W931">
        <v>1.7</v>
      </c>
      <c r="X931" t="s">
        <v>4667</v>
      </c>
      <c r="Z931" t="s">
        <v>4665</v>
      </c>
      <c r="AA931" t="s">
        <v>4666</v>
      </c>
      <c r="AB931" t="s">
        <v>36544</v>
      </c>
      <c r="AC931" t="s">
        <v>34465</v>
      </c>
      <c r="AD931" t="s">
        <v>11496</v>
      </c>
      <c r="AE931" t="s">
        <v>34510</v>
      </c>
      <c r="AF931" t="s">
        <v>36542</v>
      </c>
      <c r="AG931" t="s">
        <v>36543</v>
      </c>
    </row>
    <row r="932" spans="1:33" x14ac:dyDescent="0.25">
      <c r="A932" t="s">
        <v>34462</v>
      </c>
      <c r="B932" t="s">
        <v>4672</v>
      </c>
      <c r="C932" t="s">
        <v>4674</v>
      </c>
      <c r="D932">
        <v>19.98</v>
      </c>
      <c r="E932">
        <v>19.98</v>
      </c>
      <c r="F932">
        <v>71394</v>
      </c>
      <c r="G932">
        <v>1454746</v>
      </c>
      <c r="H932">
        <v>18.3</v>
      </c>
      <c r="I932">
        <v>21.53</v>
      </c>
      <c r="J932">
        <v>0</v>
      </c>
      <c r="K932">
        <v>1</v>
      </c>
      <c r="L932">
        <v>7</v>
      </c>
      <c r="M932">
        <v>6</v>
      </c>
      <c r="N932">
        <v>4.8</v>
      </c>
      <c r="O932">
        <v>0</v>
      </c>
      <c r="P932">
        <v>562</v>
      </c>
      <c r="Q932">
        <v>9</v>
      </c>
      <c r="R932">
        <v>75</v>
      </c>
      <c r="S932" t="s">
        <v>35922</v>
      </c>
      <c r="U932">
        <v>0.33069300000000001</v>
      </c>
      <c r="V932">
        <v>4.6100000000000003</v>
      </c>
      <c r="W932">
        <v>2</v>
      </c>
      <c r="X932" t="s">
        <v>4671</v>
      </c>
      <c r="Z932" t="s">
        <v>4665</v>
      </c>
      <c r="AA932" t="s">
        <v>4666</v>
      </c>
      <c r="AB932" t="s">
        <v>36545</v>
      </c>
      <c r="AC932" t="s">
        <v>34465</v>
      </c>
      <c r="AD932" t="s">
        <v>11496</v>
      </c>
      <c r="AE932" t="s">
        <v>34506</v>
      </c>
      <c r="AF932" t="s">
        <v>36542</v>
      </c>
      <c r="AG932" t="s">
        <v>36543</v>
      </c>
    </row>
    <row r="933" spans="1:33" x14ac:dyDescent="0.25">
      <c r="A933" t="s">
        <v>34462</v>
      </c>
      <c r="B933" t="s">
        <v>4676</v>
      </c>
      <c r="C933" t="s">
        <v>4678</v>
      </c>
      <c r="D933">
        <v>12.74</v>
      </c>
      <c r="E933">
        <v>12.74</v>
      </c>
      <c r="F933">
        <v>53837</v>
      </c>
      <c r="G933">
        <v>61789</v>
      </c>
      <c r="H933">
        <v>12.12</v>
      </c>
      <c r="I933">
        <v>16.04</v>
      </c>
      <c r="J933">
        <v>0</v>
      </c>
      <c r="K933">
        <v>1</v>
      </c>
      <c r="L933">
        <v>14</v>
      </c>
      <c r="M933">
        <v>11</v>
      </c>
      <c r="N933">
        <v>4.8</v>
      </c>
      <c r="O933">
        <v>0</v>
      </c>
      <c r="P933">
        <v>562</v>
      </c>
      <c r="Q933">
        <v>34</v>
      </c>
      <c r="R933">
        <v>103</v>
      </c>
      <c r="S933" t="s">
        <v>35922</v>
      </c>
      <c r="U933">
        <v>0.33069300000000001</v>
      </c>
      <c r="V933">
        <v>4.6100000000000003</v>
      </c>
      <c r="W933">
        <v>0.64</v>
      </c>
      <c r="X933" t="s">
        <v>4675</v>
      </c>
      <c r="Z933" t="s">
        <v>4680</v>
      </c>
      <c r="AA933" t="s">
        <v>4666</v>
      </c>
      <c r="AB933" t="s">
        <v>36546</v>
      </c>
      <c r="AC933" t="s">
        <v>34465</v>
      </c>
      <c r="AD933" t="s">
        <v>11496</v>
      </c>
      <c r="AE933" t="s">
        <v>34512</v>
      </c>
      <c r="AF933" t="s">
        <v>36547</v>
      </c>
      <c r="AG933" t="s">
        <v>36003</v>
      </c>
    </row>
    <row r="934" spans="1:33" x14ac:dyDescent="0.25">
      <c r="A934" t="s">
        <v>34462</v>
      </c>
      <c r="B934" t="s">
        <v>4682</v>
      </c>
      <c r="C934" t="s">
        <v>4684</v>
      </c>
      <c r="D934">
        <v>9.99</v>
      </c>
      <c r="E934">
        <v>9.99</v>
      </c>
      <c r="F934">
        <v>71394</v>
      </c>
      <c r="G934">
        <v>61097</v>
      </c>
      <c r="H934">
        <v>17.16</v>
      </c>
      <c r="I934">
        <v>19.46</v>
      </c>
      <c r="J934">
        <v>0</v>
      </c>
      <c r="K934">
        <v>1</v>
      </c>
      <c r="L934">
        <v>15</v>
      </c>
      <c r="M934">
        <v>14</v>
      </c>
      <c r="N934">
        <v>4.8</v>
      </c>
      <c r="O934">
        <v>1</v>
      </c>
      <c r="P934">
        <v>569</v>
      </c>
      <c r="Q934">
        <v>31</v>
      </c>
      <c r="R934">
        <v>103</v>
      </c>
      <c r="S934" t="s">
        <v>35922</v>
      </c>
      <c r="U934">
        <v>0.33069300000000001</v>
      </c>
      <c r="V934">
        <v>4.6100000000000003</v>
      </c>
      <c r="W934">
        <v>0.5</v>
      </c>
      <c r="X934" t="s">
        <v>4681</v>
      </c>
      <c r="Z934" t="s">
        <v>4680</v>
      </c>
      <c r="AA934" t="s">
        <v>4666</v>
      </c>
      <c r="AB934" t="s">
        <v>36548</v>
      </c>
      <c r="AC934" t="s">
        <v>34465</v>
      </c>
      <c r="AD934" t="s">
        <v>11496</v>
      </c>
      <c r="AE934" t="s">
        <v>34832</v>
      </c>
      <c r="AF934" t="s">
        <v>36547</v>
      </c>
      <c r="AG934" t="s">
        <v>36003</v>
      </c>
    </row>
    <row r="935" spans="1:33" x14ac:dyDescent="0.25">
      <c r="A935" t="s">
        <v>34462</v>
      </c>
      <c r="B935" t="s">
        <v>4687</v>
      </c>
      <c r="C935" t="s">
        <v>4689</v>
      </c>
      <c r="D935">
        <v>18</v>
      </c>
      <c r="E935">
        <v>17.989999999999998</v>
      </c>
      <c r="F935">
        <v>71394</v>
      </c>
      <c r="G935">
        <v>61713</v>
      </c>
      <c r="H935">
        <v>17.87</v>
      </c>
      <c r="I935">
        <v>21.3</v>
      </c>
      <c r="J935">
        <v>0</v>
      </c>
      <c r="K935">
        <v>1</v>
      </c>
      <c r="L935">
        <v>15</v>
      </c>
      <c r="M935">
        <v>13</v>
      </c>
      <c r="N935">
        <v>4.8</v>
      </c>
      <c r="O935">
        <v>0</v>
      </c>
      <c r="P935">
        <v>569</v>
      </c>
      <c r="Q935">
        <v>27</v>
      </c>
      <c r="R935">
        <v>103</v>
      </c>
      <c r="S935" t="s">
        <v>35922</v>
      </c>
      <c r="U935">
        <v>0.33069300000000001</v>
      </c>
      <c r="V935">
        <v>4.6100000000000003</v>
      </c>
      <c r="W935">
        <v>1.8</v>
      </c>
      <c r="X935" t="s">
        <v>4686</v>
      </c>
      <c r="Z935" t="s">
        <v>4680</v>
      </c>
      <c r="AA935" t="s">
        <v>4666</v>
      </c>
      <c r="AB935" t="s">
        <v>36549</v>
      </c>
      <c r="AC935" t="s">
        <v>34465</v>
      </c>
      <c r="AD935" t="s">
        <v>11496</v>
      </c>
      <c r="AE935" t="s">
        <v>34835</v>
      </c>
      <c r="AF935" t="s">
        <v>36547</v>
      </c>
      <c r="AG935" t="s">
        <v>36003</v>
      </c>
    </row>
    <row r="936" spans="1:33" x14ac:dyDescent="0.25">
      <c r="A936" t="s">
        <v>34462</v>
      </c>
      <c r="B936" t="s">
        <v>4691</v>
      </c>
      <c r="C936" t="s">
        <v>4693</v>
      </c>
      <c r="D936">
        <v>16.98</v>
      </c>
      <c r="E936">
        <v>16.98</v>
      </c>
      <c r="F936">
        <v>65216</v>
      </c>
      <c r="G936">
        <v>981057</v>
      </c>
      <c r="H936">
        <v>18.2</v>
      </c>
      <c r="I936">
        <v>23.11</v>
      </c>
      <c r="J936">
        <v>0</v>
      </c>
      <c r="K936">
        <v>1</v>
      </c>
      <c r="L936">
        <v>11</v>
      </c>
      <c r="M936">
        <v>10</v>
      </c>
      <c r="N936">
        <v>4.8</v>
      </c>
      <c r="O936">
        <v>0</v>
      </c>
      <c r="P936">
        <v>569</v>
      </c>
      <c r="Q936">
        <v>14</v>
      </c>
      <c r="R936">
        <v>94</v>
      </c>
      <c r="S936" t="s">
        <v>35922</v>
      </c>
      <c r="U936">
        <v>0.33069300000000001</v>
      </c>
      <c r="V936">
        <v>4.6100000000000003</v>
      </c>
      <c r="X936" t="s">
        <v>4690</v>
      </c>
      <c r="Z936" t="s">
        <v>4665</v>
      </c>
      <c r="AA936" t="s">
        <v>4694</v>
      </c>
      <c r="AB936" t="s">
        <v>36550</v>
      </c>
      <c r="AC936" t="s">
        <v>34465</v>
      </c>
      <c r="AD936" t="s">
        <v>11496</v>
      </c>
      <c r="AE936" t="s">
        <v>36383</v>
      </c>
      <c r="AF936" t="s">
        <v>36551</v>
      </c>
      <c r="AG936" t="s">
        <v>36003</v>
      </c>
    </row>
    <row r="937" spans="1:33" x14ac:dyDescent="0.25">
      <c r="A937" t="s">
        <v>34462</v>
      </c>
      <c r="B937" t="s">
        <v>4696</v>
      </c>
      <c r="C937" t="s">
        <v>4699</v>
      </c>
      <c r="J937">
        <v>1</v>
      </c>
      <c r="K937">
        <v>1</v>
      </c>
      <c r="Q937">
        <v>-1</v>
      </c>
      <c r="R937">
        <v>-1</v>
      </c>
      <c r="U937">
        <v>2.1495044999999999</v>
      </c>
      <c r="V937">
        <v>6.6</v>
      </c>
      <c r="X937" t="s">
        <v>4695</v>
      </c>
      <c r="Z937" t="s">
        <v>4700</v>
      </c>
      <c r="AA937" t="s">
        <v>4701</v>
      </c>
      <c r="AB937" t="s">
        <v>36552</v>
      </c>
      <c r="AC937" t="s">
        <v>34465</v>
      </c>
      <c r="AD937" t="s">
        <v>16164</v>
      </c>
      <c r="AE937" t="s">
        <v>34474</v>
      </c>
      <c r="AF937" t="s">
        <v>36553</v>
      </c>
    </row>
    <row r="938" spans="1:33" x14ac:dyDescent="0.25">
      <c r="A938" t="s">
        <v>34462</v>
      </c>
      <c r="B938" t="s">
        <v>4703</v>
      </c>
      <c r="C938" t="s">
        <v>4705</v>
      </c>
      <c r="D938">
        <v>140.16</v>
      </c>
      <c r="E938">
        <v>140.16</v>
      </c>
      <c r="H938">
        <v>172.16</v>
      </c>
      <c r="I938">
        <v>172.16</v>
      </c>
      <c r="J938">
        <v>0</v>
      </c>
      <c r="K938">
        <v>1</v>
      </c>
      <c r="L938">
        <v>2</v>
      </c>
      <c r="M938">
        <v>2</v>
      </c>
      <c r="Q938">
        <v>-1</v>
      </c>
      <c r="R938">
        <v>-1</v>
      </c>
      <c r="X938" t="s">
        <v>4702</v>
      </c>
      <c r="Z938" t="s">
        <v>4706</v>
      </c>
      <c r="AA938" t="s">
        <v>76</v>
      </c>
      <c r="AB938" t="s">
        <v>36554</v>
      </c>
      <c r="AC938" t="s">
        <v>34465</v>
      </c>
      <c r="AD938" t="s">
        <v>16164</v>
      </c>
      <c r="AE938" t="s">
        <v>34474</v>
      </c>
      <c r="AF938" t="s">
        <v>36555</v>
      </c>
      <c r="AG938" t="s">
        <v>36556</v>
      </c>
    </row>
    <row r="939" spans="1:33" x14ac:dyDescent="0.25">
      <c r="A939" t="s">
        <v>34462</v>
      </c>
      <c r="B939" t="s">
        <v>4708</v>
      </c>
      <c r="C939" t="s">
        <v>4710</v>
      </c>
      <c r="D939">
        <v>140.16</v>
      </c>
      <c r="E939">
        <v>140.16</v>
      </c>
      <c r="H939">
        <v>221.44</v>
      </c>
      <c r="I939">
        <v>215.75</v>
      </c>
      <c r="J939">
        <v>0</v>
      </c>
      <c r="K939">
        <v>1</v>
      </c>
      <c r="L939">
        <v>2</v>
      </c>
      <c r="M939">
        <v>2</v>
      </c>
      <c r="Q939">
        <v>-1</v>
      </c>
      <c r="R939">
        <v>-1</v>
      </c>
      <c r="X939" t="s">
        <v>4707</v>
      </c>
      <c r="Z939" t="s">
        <v>4711</v>
      </c>
      <c r="AA939" t="s">
        <v>4712</v>
      </c>
      <c r="AB939" t="s">
        <v>36557</v>
      </c>
      <c r="AC939" t="s">
        <v>34465</v>
      </c>
      <c r="AD939" t="s">
        <v>16164</v>
      </c>
      <c r="AE939" t="s">
        <v>34474</v>
      </c>
      <c r="AF939" t="s">
        <v>36558</v>
      </c>
    </row>
    <row r="940" spans="1:33" x14ac:dyDescent="0.25">
      <c r="A940" t="s">
        <v>34462</v>
      </c>
      <c r="B940" t="s">
        <v>4714</v>
      </c>
      <c r="C940" t="s">
        <v>4716</v>
      </c>
      <c r="D940">
        <v>68.47</v>
      </c>
      <c r="E940">
        <v>68.47</v>
      </c>
      <c r="F940">
        <v>4156463</v>
      </c>
      <c r="G940">
        <v>2010373</v>
      </c>
      <c r="H940">
        <v>120.72</v>
      </c>
      <c r="I940">
        <v>114.8</v>
      </c>
      <c r="J940">
        <v>0</v>
      </c>
      <c r="K940">
        <v>0</v>
      </c>
      <c r="L940">
        <v>2</v>
      </c>
      <c r="M940">
        <v>1</v>
      </c>
      <c r="Q940">
        <v>1</v>
      </c>
      <c r="R940">
        <v>6</v>
      </c>
      <c r="S940" t="s">
        <v>36559</v>
      </c>
      <c r="U940">
        <v>2.2928047999999999</v>
      </c>
      <c r="V940">
        <v>14.17</v>
      </c>
      <c r="W940">
        <v>11.64</v>
      </c>
      <c r="X940" t="s">
        <v>4713</v>
      </c>
      <c r="Y940" t="s">
        <v>4717</v>
      </c>
      <c r="Z940" t="s">
        <v>4717</v>
      </c>
      <c r="AA940" t="s">
        <v>4701</v>
      </c>
      <c r="AB940" t="s">
        <v>36560</v>
      </c>
      <c r="AC940" t="s">
        <v>34493</v>
      </c>
      <c r="AD940" t="s">
        <v>16164</v>
      </c>
      <c r="AE940" t="s">
        <v>34533</v>
      </c>
      <c r="AF940" t="s">
        <v>36561</v>
      </c>
    </row>
    <row r="941" spans="1:33" x14ac:dyDescent="0.25">
      <c r="A941" t="s">
        <v>34462</v>
      </c>
      <c r="B941" t="s">
        <v>4719</v>
      </c>
      <c r="C941" t="s">
        <v>4721</v>
      </c>
      <c r="D941">
        <v>68.47</v>
      </c>
      <c r="E941">
        <v>68.47</v>
      </c>
      <c r="F941">
        <v>4164238</v>
      </c>
      <c r="G941">
        <v>1925577</v>
      </c>
      <c r="H941">
        <v>116.99</v>
      </c>
      <c r="I941">
        <v>111.68</v>
      </c>
      <c r="J941">
        <v>0</v>
      </c>
      <c r="K941">
        <v>0</v>
      </c>
      <c r="L941">
        <v>2</v>
      </c>
      <c r="M941">
        <v>1</v>
      </c>
      <c r="N941">
        <v>3</v>
      </c>
      <c r="O941">
        <v>0</v>
      </c>
      <c r="P941">
        <v>1</v>
      </c>
      <c r="Q941">
        <v>1</v>
      </c>
      <c r="R941">
        <v>6</v>
      </c>
      <c r="S941" t="s">
        <v>36559</v>
      </c>
      <c r="U941">
        <v>2.2928047999999999</v>
      </c>
      <c r="V941">
        <v>14.17</v>
      </c>
      <c r="W941">
        <v>11.64</v>
      </c>
      <c r="X941" t="s">
        <v>4718</v>
      </c>
      <c r="Y941" t="s">
        <v>4722</v>
      </c>
      <c r="Z941" t="s">
        <v>4722</v>
      </c>
      <c r="AA941" t="s">
        <v>4712</v>
      </c>
      <c r="AB941" t="s">
        <v>36562</v>
      </c>
      <c r="AC941" t="s">
        <v>34493</v>
      </c>
      <c r="AD941" t="s">
        <v>16164</v>
      </c>
      <c r="AE941" t="s">
        <v>34533</v>
      </c>
      <c r="AF941" t="s">
        <v>36558</v>
      </c>
      <c r="AG941" t="s">
        <v>36563</v>
      </c>
    </row>
    <row r="942" spans="1:33" x14ac:dyDescent="0.25">
      <c r="A942" t="s">
        <v>34462</v>
      </c>
      <c r="B942" t="s">
        <v>4724</v>
      </c>
      <c r="C942" t="s">
        <v>4726</v>
      </c>
      <c r="D942">
        <v>68.47</v>
      </c>
      <c r="E942">
        <v>68.47</v>
      </c>
      <c r="F942">
        <v>4164238</v>
      </c>
      <c r="G942">
        <v>2068192</v>
      </c>
      <c r="H942">
        <v>123.56</v>
      </c>
      <c r="I942">
        <v>120.48</v>
      </c>
      <c r="J942">
        <v>0</v>
      </c>
      <c r="K942">
        <v>0</v>
      </c>
      <c r="L942">
        <v>2</v>
      </c>
      <c r="M942">
        <v>1</v>
      </c>
      <c r="N942">
        <v>3</v>
      </c>
      <c r="O942">
        <v>0</v>
      </c>
      <c r="P942">
        <v>1</v>
      </c>
      <c r="Q942">
        <v>1</v>
      </c>
      <c r="R942">
        <v>5</v>
      </c>
      <c r="S942" t="s">
        <v>36559</v>
      </c>
      <c r="U942">
        <v>2.2928047999999999</v>
      </c>
      <c r="V942">
        <v>14.17</v>
      </c>
      <c r="W942">
        <v>11.64</v>
      </c>
      <c r="X942" t="s">
        <v>4723</v>
      </c>
      <c r="Y942" t="s">
        <v>4727</v>
      </c>
      <c r="Z942" t="s">
        <v>4727</v>
      </c>
      <c r="AA942" t="s">
        <v>76</v>
      </c>
      <c r="AB942" t="s">
        <v>36564</v>
      </c>
      <c r="AC942" t="s">
        <v>34493</v>
      </c>
      <c r="AD942" t="s">
        <v>16164</v>
      </c>
      <c r="AE942" t="s">
        <v>34533</v>
      </c>
      <c r="AF942" t="s">
        <v>36565</v>
      </c>
      <c r="AG942" t="s">
        <v>36563</v>
      </c>
    </row>
    <row r="943" spans="1:33" x14ac:dyDescent="0.25">
      <c r="A943" t="s">
        <v>34462</v>
      </c>
      <c r="B943" t="s">
        <v>4729</v>
      </c>
      <c r="C943" t="s">
        <v>4731</v>
      </c>
      <c r="D943">
        <v>68.47</v>
      </c>
      <c r="E943">
        <v>68.47</v>
      </c>
      <c r="F943">
        <v>4164238</v>
      </c>
      <c r="G943">
        <v>2005753</v>
      </c>
      <c r="H943">
        <v>117.33</v>
      </c>
      <c r="I943">
        <v>113.64</v>
      </c>
      <c r="J943">
        <v>0</v>
      </c>
      <c r="K943">
        <v>0</v>
      </c>
      <c r="L943">
        <v>2</v>
      </c>
      <c r="M943">
        <v>1</v>
      </c>
      <c r="N943">
        <v>3</v>
      </c>
      <c r="O943">
        <v>0</v>
      </c>
      <c r="P943">
        <v>1</v>
      </c>
      <c r="Q943">
        <v>1</v>
      </c>
      <c r="R943">
        <v>7</v>
      </c>
      <c r="S943" t="s">
        <v>36559</v>
      </c>
      <c r="U943">
        <v>2.2928047999999999</v>
      </c>
      <c r="V943">
        <v>14.17</v>
      </c>
      <c r="W943">
        <v>11.64</v>
      </c>
      <c r="X943" t="s">
        <v>4728</v>
      </c>
      <c r="Y943" t="s">
        <v>4732</v>
      </c>
      <c r="Z943" t="s">
        <v>4732</v>
      </c>
      <c r="AA943" t="s">
        <v>4712</v>
      </c>
      <c r="AB943" t="s">
        <v>36566</v>
      </c>
      <c r="AC943" t="s">
        <v>34493</v>
      </c>
      <c r="AD943" t="s">
        <v>16164</v>
      </c>
      <c r="AE943" t="s">
        <v>14701</v>
      </c>
      <c r="AF943" t="s">
        <v>36558</v>
      </c>
      <c r="AG943" t="s">
        <v>36563</v>
      </c>
    </row>
    <row r="944" spans="1:33" x14ac:dyDescent="0.25">
      <c r="A944" t="s">
        <v>34462</v>
      </c>
      <c r="B944" t="s">
        <v>4734</v>
      </c>
      <c r="C944" t="s">
        <v>4736</v>
      </c>
      <c r="D944">
        <v>68.47</v>
      </c>
      <c r="E944">
        <v>68.47</v>
      </c>
      <c r="F944">
        <v>4156463</v>
      </c>
      <c r="G944">
        <v>1978106</v>
      </c>
      <c r="H944">
        <v>120.07</v>
      </c>
      <c r="I944">
        <v>114.06</v>
      </c>
      <c r="J944">
        <v>0</v>
      </c>
      <c r="K944">
        <v>0</v>
      </c>
      <c r="L944">
        <v>2</v>
      </c>
      <c r="M944">
        <v>2</v>
      </c>
      <c r="N944">
        <v>3</v>
      </c>
      <c r="O944">
        <v>1</v>
      </c>
      <c r="P944">
        <v>1</v>
      </c>
      <c r="Q944">
        <v>1</v>
      </c>
      <c r="R944">
        <v>7</v>
      </c>
      <c r="S944" t="s">
        <v>36559</v>
      </c>
      <c r="U944">
        <v>2.2928047999999999</v>
      </c>
      <c r="V944">
        <v>14.17</v>
      </c>
      <c r="W944">
        <v>11.64</v>
      </c>
      <c r="X944" t="s">
        <v>4733</v>
      </c>
      <c r="Y944" t="s">
        <v>4737</v>
      </c>
      <c r="Z944" t="s">
        <v>4737</v>
      </c>
      <c r="AA944" t="s">
        <v>76</v>
      </c>
      <c r="AB944" t="s">
        <v>36567</v>
      </c>
      <c r="AC944" t="s">
        <v>34493</v>
      </c>
      <c r="AD944" t="s">
        <v>16164</v>
      </c>
      <c r="AE944" t="s">
        <v>14701</v>
      </c>
      <c r="AF944" t="s">
        <v>36568</v>
      </c>
      <c r="AG944" t="s">
        <v>36563</v>
      </c>
    </row>
    <row r="945" spans="1:33" x14ac:dyDescent="0.25">
      <c r="A945" t="s">
        <v>34462</v>
      </c>
      <c r="B945" t="s">
        <v>4739</v>
      </c>
      <c r="C945" t="s">
        <v>4741</v>
      </c>
      <c r="D945">
        <v>68.47</v>
      </c>
      <c r="E945">
        <v>68.47</v>
      </c>
      <c r="F945">
        <v>4156463</v>
      </c>
      <c r="G945">
        <v>2015508</v>
      </c>
      <c r="H945">
        <v>119.54</v>
      </c>
      <c r="I945">
        <v>121.28</v>
      </c>
      <c r="J945">
        <v>0</v>
      </c>
      <c r="K945">
        <v>0</v>
      </c>
      <c r="L945">
        <v>2</v>
      </c>
      <c r="M945">
        <v>1</v>
      </c>
      <c r="N945">
        <v>3</v>
      </c>
      <c r="O945">
        <v>0</v>
      </c>
      <c r="P945">
        <v>1</v>
      </c>
      <c r="Q945">
        <v>1</v>
      </c>
      <c r="R945">
        <v>6</v>
      </c>
      <c r="S945" t="s">
        <v>36559</v>
      </c>
      <c r="U945">
        <v>2.2928047999999999</v>
      </c>
      <c r="V945">
        <v>14.17</v>
      </c>
      <c r="W945">
        <v>11.64</v>
      </c>
      <c r="X945" t="s">
        <v>4738</v>
      </c>
      <c r="Y945" t="s">
        <v>4742</v>
      </c>
      <c r="Z945" t="s">
        <v>4742</v>
      </c>
      <c r="AA945" t="s">
        <v>4712</v>
      </c>
      <c r="AB945" t="s">
        <v>36569</v>
      </c>
      <c r="AC945" t="s">
        <v>34493</v>
      </c>
      <c r="AD945" t="s">
        <v>16164</v>
      </c>
      <c r="AE945" t="s">
        <v>34525</v>
      </c>
      <c r="AF945" t="s">
        <v>36558</v>
      </c>
      <c r="AG945" t="s">
        <v>36563</v>
      </c>
    </row>
    <row r="946" spans="1:33" x14ac:dyDescent="0.25">
      <c r="A946" t="s">
        <v>34462</v>
      </c>
      <c r="B946" t="s">
        <v>4744</v>
      </c>
      <c r="C946" t="s">
        <v>4746</v>
      </c>
      <c r="D946">
        <v>68.47</v>
      </c>
      <c r="E946">
        <v>68.47</v>
      </c>
      <c r="F946">
        <v>4146257</v>
      </c>
      <c r="G946">
        <v>2013413</v>
      </c>
      <c r="H946">
        <v>113.61</v>
      </c>
      <c r="I946">
        <v>110.46</v>
      </c>
      <c r="J946">
        <v>0</v>
      </c>
      <c r="K946">
        <v>0</v>
      </c>
      <c r="L946">
        <v>2</v>
      </c>
      <c r="M946">
        <v>2</v>
      </c>
      <c r="N946">
        <v>3</v>
      </c>
      <c r="O946">
        <v>0</v>
      </c>
      <c r="P946">
        <v>1</v>
      </c>
      <c r="Q946">
        <v>1</v>
      </c>
      <c r="R946">
        <v>6</v>
      </c>
      <c r="S946" t="s">
        <v>36559</v>
      </c>
      <c r="U946">
        <v>2.3920127</v>
      </c>
      <c r="V946">
        <v>13.41</v>
      </c>
      <c r="W946">
        <v>11.64</v>
      </c>
      <c r="X946" t="s">
        <v>4743</v>
      </c>
      <c r="Y946" t="s">
        <v>4747</v>
      </c>
      <c r="Z946" t="s">
        <v>4747</v>
      </c>
      <c r="AA946" t="s">
        <v>4701</v>
      </c>
      <c r="AB946" t="s">
        <v>36570</v>
      </c>
      <c r="AC946" t="s">
        <v>34493</v>
      </c>
      <c r="AD946" t="s">
        <v>16164</v>
      </c>
      <c r="AE946" t="s">
        <v>34525</v>
      </c>
      <c r="AF946" t="s">
        <v>36561</v>
      </c>
      <c r="AG946" t="s">
        <v>36563</v>
      </c>
    </row>
    <row r="947" spans="1:33" x14ac:dyDescent="0.25">
      <c r="A947" t="s">
        <v>34462</v>
      </c>
      <c r="B947" t="s">
        <v>4749</v>
      </c>
      <c r="C947" t="s">
        <v>4751</v>
      </c>
      <c r="D947">
        <v>68.47</v>
      </c>
      <c r="E947">
        <v>68.47</v>
      </c>
      <c r="F947">
        <v>4164238</v>
      </c>
      <c r="G947">
        <v>2001539</v>
      </c>
      <c r="H947">
        <v>120.52</v>
      </c>
      <c r="I947">
        <v>115.31</v>
      </c>
      <c r="J947">
        <v>0</v>
      </c>
      <c r="K947">
        <v>0</v>
      </c>
      <c r="L947">
        <v>1</v>
      </c>
      <c r="M947">
        <v>1</v>
      </c>
      <c r="Q947">
        <v>1</v>
      </c>
      <c r="R947">
        <v>6</v>
      </c>
      <c r="S947" t="s">
        <v>36559</v>
      </c>
      <c r="U947">
        <v>2.2928047999999999</v>
      </c>
      <c r="V947">
        <v>14.17</v>
      </c>
      <c r="W947">
        <v>11.64</v>
      </c>
      <c r="X947" t="s">
        <v>4748</v>
      </c>
      <c r="Y947" t="s">
        <v>4752</v>
      </c>
      <c r="Z947" t="s">
        <v>4752</v>
      </c>
      <c r="AA947" t="s">
        <v>4712</v>
      </c>
      <c r="AB947" t="s">
        <v>36571</v>
      </c>
      <c r="AC947" t="s">
        <v>34493</v>
      </c>
      <c r="AD947" t="s">
        <v>16164</v>
      </c>
      <c r="AE947" t="s">
        <v>34649</v>
      </c>
      <c r="AF947" t="s">
        <v>36558</v>
      </c>
    </row>
    <row r="948" spans="1:33" x14ac:dyDescent="0.25">
      <c r="A948" t="s">
        <v>34462</v>
      </c>
      <c r="B948" t="s">
        <v>4754</v>
      </c>
      <c r="C948" t="s">
        <v>4756</v>
      </c>
      <c r="D948">
        <v>68.47</v>
      </c>
      <c r="E948">
        <v>68.47</v>
      </c>
      <c r="F948">
        <v>4164238</v>
      </c>
      <c r="G948">
        <v>2007607</v>
      </c>
      <c r="H948">
        <v>118.13</v>
      </c>
      <c r="I948">
        <v>114.09</v>
      </c>
      <c r="J948">
        <v>0</v>
      </c>
      <c r="K948">
        <v>0</v>
      </c>
      <c r="L948">
        <v>1</v>
      </c>
      <c r="M948">
        <v>1</v>
      </c>
      <c r="N948">
        <v>3</v>
      </c>
      <c r="O948">
        <v>0</v>
      </c>
      <c r="P948">
        <v>1</v>
      </c>
      <c r="Q948">
        <v>1</v>
      </c>
      <c r="R948">
        <v>6</v>
      </c>
      <c r="S948" t="s">
        <v>36559</v>
      </c>
      <c r="U948">
        <v>2.2928047999999999</v>
      </c>
      <c r="V948">
        <v>14.17</v>
      </c>
      <c r="W948">
        <v>11.64</v>
      </c>
      <c r="X948" t="s">
        <v>4753</v>
      </c>
      <c r="Y948" t="s">
        <v>4757</v>
      </c>
      <c r="Z948" t="s">
        <v>4757</v>
      </c>
      <c r="AA948" t="s">
        <v>4701</v>
      </c>
      <c r="AB948" t="s">
        <v>36572</v>
      </c>
      <c r="AC948" t="s">
        <v>34493</v>
      </c>
      <c r="AD948" t="s">
        <v>16164</v>
      </c>
      <c r="AE948" t="s">
        <v>34649</v>
      </c>
      <c r="AF948" t="s">
        <v>36561</v>
      </c>
      <c r="AG948" t="s">
        <v>36563</v>
      </c>
    </row>
    <row r="949" spans="1:33" x14ac:dyDescent="0.25">
      <c r="A949" t="s">
        <v>34462</v>
      </c>
      <c r="B949" t="s">
        <v>4759</v>
      </c>
      <c r="C949" t="s">
        <v>4762</v>
      </c>
      <c r="D949">
        <v>30.25</v>
      </c>
      <c r="E949">
        <v>30.25</v>
      </c>
      <c r="F949">
        <v>302017</v>
      </c>
      <c r="G949">
        <v>589378</v>
      </c>
      <c r="H949">
        <v>32.99</v>
      </c>
      <c r="I949">
        <v>28.75</v>
      </c>
      <c r="J949">
        <v>0</v>
      </c>
      <c r="K949">
        <v>0</v>
      </c>
      <c r="L949">
        <v>4</v>
      </c>
      <c r="M949">
        <v>3</v>
      </c>
      <c r="N949">
        <v>4.0999999999999996</v>
      </c>
      <c r="O949">
        <v>0</v>
      </c>
      <c r="P949">
        <v>9</v>
      </c>
      <c r="Q949">
        <v>16</v>
      </c>
      <c r="R949">
        <v>47</v>
      </c>
      <c r="S949" t="s">
        <v>36573</v>
      </c>
      <c r="U949">
        <v>0.44092399999999998</v>
      </c>
      <c r="V949">
        <v>5.12</v>
      </c>
      <c r="W949">
        <v>5.15</v>
      </c>
      <c r="X949" t="s">
        <v>4758</v>
      </c>
      <c r="Y949" t="s">
        <v>4763</v>
      </c>
      <c r="Z949" t="s">
        <v>4763</v>
      </c>
      <c r="AA949" t="s">
        <v>2603</v>
      </c>
      <c r="AB949" t="s">
        <v>36574</v>
      </c>
      <c r="AC949" t="s">
        <v>34493</v>
      </c>
      <c r="AD949" t="s">
        <v>7954</v>
      </c>
      <c r="AE949" t="s">
        <v>14701</v>
      </c>
      <c r="AF949" t="s">
        <v>36575</v>
      </c>
      <c r="AG949" t="s">
        <v>36576</v>
      </c>
    </row>
    <row r="950" spans="1:33" x14ac:dyDescent="0.25">
      <c r="A950" t="s">
        <v>34462</v>
      </c>
      <c r="B950" t="s">
        <v>4765</v>
      </c>
      <c r="C950" t="s">
        <v>4767</v>
      </c>
      <c r="D950">
        <v>39</v>
      </c>
      <c r="E950">
        <v>39</v>
      </c>
      <c r="F950">
        <v>273987</v>
      </c>
      <c r="G950">
        <v>570831</v>
      </c>
      <c r="H950">
        <v>38.65</v>
      </c>
      <c r="I950">
        <v>42.55</v>
      </c>
      <c r="J950">
        <v>0</v>
      </c>
      <c r="K950">
        <v>0.4</v>
      </c>
      <c r="L950">
        <v>4</v>
      </c>
      <c r="M950">
        <v>3</v>
      </c>
      <c r="N950">
        <v>4.0999999999999996</v>
      </c>
      <c r="O950">
        <v>1</v>
      </c>
      <c r="P950">
        <v>9</v>
      </c>
      <c r="Q950">
        <v>19</v>
      </c>
      <c r="R950">
        <v>46</v>
      </c>
      <c r="S950" t="s">
        <v>36573</v>
      </c>
      <c r="U950">
        <v>0.46076558000000001</v>
      </c>
      <c r="V950">
        <v>5.9</v>
      </c>
      <c r="X950" t="s">
        <v>4764</v>
      </c>
      <c r="Y950" t="s">
        <v>4763</v>
      </c>
      <c r="Z950" t="s">
        <v>4763</v>
      </c>
      <c r="AA950" t="s">
        <v>278</v>
      </c>
      <c r="AB950" t="s">
        <v>36577</v>
      </c>
      <c r="AC950" t="s">
        <v>34465</v>
      </c>
      <c r="AD950" t="s">
        <v>7954</v>
      </c>
      <c r="AE950" t="s">
        <v>34525</v>
      </c>
      <c r="AF950" t="s">
        <v>36578</v>
      </c>
      <c r="AG950" t="s">
        <v>36576</v>
      </c>
    </row>
    <row r="951" spans="1:33" x14ac:dyDescent="0.25">
      <c r="A951" t="s">
        <v>34462</v>
      </c>
      <c r="B951" t="s">
        <v>4769</v>
      </c>
      <c r="C951" t="s">
        <v>4771</v>
      </c>
      <c r="D951">
        <v>24.26</v>
      </c>
      <c r="E951">
        <v>24.26</v>
      </c>
      <c r="F951">
        <v>273987</v>
      </c>
      <c r="G951">
        <v>589490</v>
      </c>
      <c r="H951">
        <v>28.81</v>
      </c>
      <c r="I951">
        <v>30.42</v>
      </c>
      <c r="J951">
        <v>0</v>
      </c>
      <c r="K951">
        <v>0</v>
      </c>
      <c r="L951">
        <v>6</v>
      </c>
      <c r="M951">
        <v>6</v>
      </c>
      <c r="N951">
        <v>4.0999999999999996</v>
      </c>
      <c r="O951">
        <v>0</v>
      </c>
      <c r="P951">
        <v>9</v>
      </c>
      <c r="Q951">
        <v>18</v>
      </c>
      <c r="R951">
        <v>44</v>
      </c>
      <c r="S951" t="s">
        <v>36573</v>
      </c>
      <c r="U951">
        <v>0.46076558000000001</v>
      </c>
      <c r="V951">
        <v>5.9</v>
      </c>
      <c r="W951">
        <v>4.12</v>
      </c>
      <c r="X951" t="s">
        <v>4768</v>
      </c>
      <c r="Y951" t="s">
        <v>4763</v>
      </c>
      <c r="Z951" t="s">
        <v>4763</v>
      </c>
      <c r="AA951" t="s">
        <v>2603</v>
      </c>
      <c r="AB951" t="s">
        <v>36579</v>
      </c>
      <c r="AC951" t="s">
        <v>34493</v>
      </c>
      <c r="AD951" t="s">
        <v>7954</v>
      </c>
      <c r="AE951" t="s">
        <v>34525</v>
      </c>
      <c r="AF951" t="s">
        <v>36575</v>
      </c>
      <c r="AG951" t="s">
        <v>36576</v>
      </c>
    </row>
    <row r="952" spans="1:33" x14ac:dyDescent="0.25">
      <c r="A952" t="s">
        <v>34462</v>
      </c>
      <c r="B952" t="s">
        <v>4773</v>
      </c>
      <c r="C952" t="s">
        <v>4775</v>
      </c>
      <c r="D952">
        <v>39.96</v>
      </c>
      <c r="E952">
        <v>39.96</v>
      </c>
      <c r="F952">
        <v>273987</v>
      </c>
      <c r="G952">
        <v>552358</v>
      </c>
      <c r="H952">
        <v>39.67</v>
      </c>
      <c r="I952">
        <v>45.51</v>
      </c>
      <c r="J952">
        <v>0</v>
      </c>
      <c r="K952">
        <v>1</v>
      </c>
      <c r="L952">
        <v>4</v>
      </c>
      <c r="M952">
        <v>5</v>
      </c>
      <c r="N952">
        <v>4.0999999999999996</v>
      </c>
      <c r="O952">
        <v>0</v>
      </c>
      <c r="P952">
        <v>9</v>
      </c>
      <c r="Q952">
        <v>20</v>
      </c>
      <c r="R952">
        <v>56</v>
      </c>
      <c r="S952" t="s">
        <v>36573</v>
      </c>
      <c r="U952">
        <v>0.57099657999999998</v>
      </c>
      <c r="V952">
        <v>5.9</v>
      </c>
      <c r="X952" t="s">
        <v>4772</v>
      </c>
      <c r="Y952" t="s">
        <v>4763</v>
      </c>
      <c r="Z952" t="s">
        <v>4763</v>
      </c>
      <c r="AA952" t="s">
        <v>278</v>
      </c>
      <c r="AB952" t="s">
        <v>36580</v>
      </c>
      <c r="AC952" t="s">
        <v>34465</v>
      </c>
      <c r="AD952" t="s">
        <v>7954</v>
      </c>
      <c r="AE952" t="s">
        <v>34469</v>
      </c>
      <c r="AF952" t="s">
        <v>36578</v>
      </c>
      <c r="AG952" t="s">
        <v>36576</v>
      </c>
    </row>
    <row r="953" spans="1:33" x14ac:dyDescent="0.25">
      <c r="A953" t="s">
        <v>34462</v>
      </c>
      <c r="B953" t="s">
        <v>4777</v>
      </c>
      <c r="C953" t="s">
        <v>4780</v>
      </c>
      <c r="D953">
        <v>9.99</v>
      </c>
      <c r="E953">
        <v>9.99</v>
      </c>
      <c r="F953">
        <v>880355</v>
      </c>
      <c r="G953">
        <v>863150</v>
      </c>
      <c r="J953">
        <v>1</v>
      </c>
      <c r="K953">
        <v>1</v>
      </c>
      <c r="L953">
        <v>1</v>
      </c>
      <c r="M953">
        <v>1</v>
      </c>
      <c r="Q953">
        <v>0</v>
      </c>
      <c r="R953">
        <v>0</v>
      </c>
      <c r="S953" t="s">
        <v>36581</v>
      </c>
      <c r="U953">
        <v>1.0008974799999999</v>
      </c>
      <c r="V953">
        <v>5.12</v>
      </c>
      <c r="X953" t="s">
        <v>4776</v>
      </c>
      <c r="Y953" t="s">
        <v>4781</v>
      </c>
      <c r="Z953" t="s">
        <v>4781</v>
      </c>
      <c r="AA953" t="s">
        <v>1705</v>
      </c>
      <c r="AB953" t="s">
        <v>36582</v>
      </c>
      <c r="AC953" t="s">
        <v>34465</v>
      </c>
      <c r="AD953" t="s">
        <v>36414</v>
      </c>
      <c r="AE953" t="s">
        <v>34826</v>
      </c>
      <c r="AF953" t="s">
        <v>36583</v>
      </c>
    </row>
    <row r="954" spans="1:33" x14ac:dyDescent="0.25">
      <c r="A954" t="s">
        <v>34462</v>
      </c>
      <c r="B954" t="s">
        <v>4783</v>
      </c>
      <c r="C954" t="s">
        <v>4785</v>
      </c>
      <c r="D954">
        <v>32.369999999999997</v>
      </c>
      <c r="F954">
        <v>988131</v>
      </c>
      <c r="G954">
        <v>832614</v>
      </c>
      <c r="I954">
        <v>32.369999999999997</v>
      </c>
      <c r="J954">
        <v>1</v>
      </c>
      <c r="K954">
        <v>1</v>
      </c>
      <c r="Q954">
        <v>0</v>
      </c>
      <c r="R954">
        <v>0</v>
      </c>
      <c r="S954" t="s">
        <v>36581</v>
      </c>
      <c r="X954" t="s">
        <v>4782</v>
      </c>
      <c r="Y954" t="s">
        <v>4781</v>
      </c>
      <c r="Z954" t="s">
        <v>4781</v>
      </c>
      <c r="AA954" t="s">
        <v>1705</v>
      </c>
      <c r="AB954" t="s">
        <v>36584</v>
      </c>
      <c r="AC954" t="s">
        <v>34465</v>
      </c>
      <c r="AD954" t="s">
        <v>36414</v>
      </c>
      <c r="AE954" t="s">
        <v>36585</v>
      </c>
      <c r="AF954" t="s">
        <v>36586</v>
      </c>
    </row>
    <row r="955" spans="1:33" x14ac:dyDescent="0.25">
      <c r="A955" t="s">
        <v>34462</v>
      </c>
      <c r="B955" t="s">
        <v>4787</v>
      </c>
      <c r="C955" t="s">
        <v>4789</v>
      </c>
      <c r="F955">
        <v>988131</v>
      </c>
      <c r="G955">
        <v>832614</v>
      </c>
      <c r="J955">
        <v>1</v>
      </c>
      <c r="K955">
        <v>1</v>
      </c>
      <c r="Q955">
        <v>0</v>
      </c>
      <c r="R955">
        <v>0</v>
      </c>
      <c r="S955" t="s">
        <v>36581</v>
      </c>
      <c r="X955" t="s">
        <v>4786</v>
      </c>
      <c r="Y955" t="s">
        <v>4781</v>
      </c>
      <c r="Z955" t="s">
        <v>4781</v>
      </c>
      <c r="AA955" t="s">
        <v>1705</v>
      </c>
      <c r="AB955" t="s">
        <v>36587</v>
      </c>
      <c r="AC955" t="s">
        <v>34465</v>
      </c>
      <c r="AD955" t="s">
        <v>36414</v>
      </c>
      <c r="AE955" t="s">
        <v>36588</v>
      </c>
      <c r="AF955" t="s">
        <v>36586</v>
      </c>
    </row>
    <row r="956" spans="1:33" x14ac:dyDescent="0.25">
      <c r="A956" t="s">
        <v>34462</v>
      </c>
      <c r="B956" t="s">
        <v>4791</v>
      </c>
      <c r="C956" t="s">
        <v>4793</v>
      </c>
      <c r="F956">
        <v>988131</v>
      </c>
      <c r="G956">
        <v>832614</v>
      </c>
      <c r="J956">
        <v>1</v>
      </c>
      <c r="K956">
        <v>1</v>
      </c>
      <c r="Q956">
        <v>0</v>
      </c>
      <c r="R956">
        <v>0</v>
      </c>
      <c r="S956" t="s">
        <v>36581</v>
      </c>
      <c r="X956" t="s">
        <v>4790</v>
      </c>
      <c r="Y956" t="s">
        <v>4781</v>
      </c>
      <c r="Z956" t="s">
        <v>4781</v>
      </c>
      <c r="AA956" t="s">
        <v>1705</v>
      </c>
      <c r="AB956" t="s">
        <v>36589</v>
      </c>
      <c r="AC956" t="s">
        <v>34465</v>
      </c>
      <c r="AD956" t="s">
        <v>36414</v>
      </c>
      <c r="AE956" t="s">
        <v>36590</v>
      </c>
      <c r="AF956" t="s">
        <v>36586</v>
      </c>
    </row>
    <row r="957" spans="1:33" x14ac:dyDescent="0.25">
      <c r="A957" t="s">
        <v>34462</v>
      </c>
      <c r="B957" t="s">
        <v>4796</v>
      </c>
      <c r="C957" t="s">
        <v>4798</v>
      </c>
      <c r="D957">
        <v>18.149999999999999</v>
      </c>
      <c r="F957">
        <v>988131</v>
      </c>
      <c r="G957">
        <v>832614</v>
      </c>
      <c r="H957">
        <v>18.149999999999999</v>
      </c>
      <c r="I957">
        <v>23.77</v>
      </c>
      <c r="J957">
        <v>0.68</v>
      </c>
      <c r="K957">
        <v>0.68</v>
      </c>
      <c r="L957">
        <v>1</v>
      </c>
      <c r="Q957">
        <v>0</v>
      </c>
      <c r="R957">
        <v>0</v>
      </c>
      <c r="S957" t="s">
        <v>36581</v>
      </c>
      <c r="X957" t="s">
        <v>4795</v>
      </c>
      <c r="Y957" t="s">
        <v>4781</v>
      </c>
      <c r="Z957" t="s">
        <v>4781</v>
      </c>
      <c r="AA957" t="s">
        <v>1705</v>
      </c>
      <c r="AB957" t="s">
        <v>36591</v>
      </c>
      <c r="AC957" t="s">
        <v>34465</v>
      </c>
      <c r="AD957" t="s">
        <v>36414</v>
      </c>
      <c r="AE957" t="s">
        <v>36592</v>
      </c>
      <c r="AF957" t="s">
        <v>36586</v>
      </c>
    </row>
    <row r="958" spans="1:33" x14ac:dyDescent="0.25">
      <c r="A958" t="s">
        <v>34462</v>
      </c>
      <c r="B958" t="s">
        <v>4801</v>
      </c>
      <c r="C958" t="s">
        <v>4803</v>
      </c>
      <c r="D958">
        <v>25.48</v>
      </c>
      <c r="E958">
        <v>25.48</v>
      </c>
      <c r="F958">
        <v>988131</v>
      </c>
      <c r="G958">
        <v>1746274</v>
      </c>
      <c r="H958">
        <v>25.44</v>
      </c>
      <c r="I958">
        <v>26.67</v>
      </c>
      <c r="J958">
        <v>0.77</v>
      </c>
      <c r="K958">
        <v>0.77</v>
      </c>
      <c r="L958">
        <v>1</v>
      </c>
      <c r="Q958">
        <v>2</v>
      </c>
      <c r="R958">
        <v>2</v>
      </c>
      <c r="S958" t="s">
        <v>36581</v>
      </c>
      <c r="X958" t="s">
        <v>4800</v>
      </c>
      <c r="Y958" t="s">
        <v>4781</v>
      </c>
      <c r="Z958" t="s">
        <v>4781</v>
      </c>
      <c r="AA958" t="s">
        <v>1705</v>
      </c>
      <c r="AB958" t="s">
        <v>36593</v>
      </c>
      <c r="AC958" t="s">
        <v>34484</v>
      </c>
      <c r="AD958" t="s">
        <v>36414</v>
      </c>
      <c r="AE958" t="s">
        <v>36594</v>
      </c>
      <c r="AF958" t="s">
        <v>36586</v>
      </c>
    </row>
    <row r="959" spans="1:33" x14ac:dyDescent="0.25">
      <c r="A959" t="s">
        <v>34462</v>
      </c>
      <c r="B959" t="s">
        <v>4806</v>
      </c>
      <c r="C959" t="s">
        <v>4808</v>
      </c>
      <c r="D959">
        <v>25.48</v>
      </c>
      <c r="E959">
        <v>25.48</v>
      </c>
      <c r="F959">
        <v>988131</v>
      </c>
      <c r="G959">
        <v>3601973</v>
      </c>
      <c r="H959">
        <v>25.47</v>
      </c>
      <c r="I959">
        <v>25.47</v>
      </c>
      <c r="J959">
        <v>0.26</v>
      </c>
      <c r="K959">
        <v>0.26</v>
      </c>
      <c r="L959">
        <v>1</v>
      </c>
      <c r="M959">
        <v>1</v>
      </c>
      <c r="Q959">
        <v>1</v>
      </c>
      <c r="R959">
        <v>1</v>
      </c>
      <c r="S959" t="s">
        <v>36581</v>
      </c>
      <c r="X959" t="s">
        <v>4805</v>
      </c>
      <c r="Y959" t="s">
        <v>4781</v>
      </c>
      <c r="Z959" t="s">
        <v>4781</v>
      </c>
      <c r="AA959" t="s">
        <v>1705</v>
      </c>
      <c r="AB959" t="s">
        <v>36595</v>
      </c>
      <c r="AC959" t="s">
        <v>34493</v>
      </c>
      <c r="AD959" t="s">
        <v>36414</v>
      </c>
      <c r="AE959" t="s">
        <v>36596</v>
      </c>
      <c r="AF959" t="s">
        <v>36586</v>
      </c>
    </row>
    <row r="960" spans="1:33" x14ac:dyDescent="0.25">
      <c r="A960" t="s">
        <v>34462</v>
      </c>
      <c r="B960" t="s">
        <v>4810</v>
      </c>
      <c r="C960" t="s">
        <v>4813</v>
      </c>
      <c r="D960">
        <v>54.73</v>
      </c>
      <c r="E960">
        <v>54.73</v>
      </c>
      <c r="F960">
        <v>302763</v>
      </c>
      <c r="G960">
        <v>637405</v>
      </c>
      <c r="H960">
        <v>54.73</v>
      </c>
      <c r="I960">
        <v>54.73</v>
      </c>
      <c r="J960">
        <v>0.57999999999999996</v>
      </c>
      <c r="K960">
        <v>1</v>
      </c>
      <c r="L960">
        <v>2</v>
      </c>
      <c r="M960">
        <v>1</v>
      </c>
      <c r="N960">
        <v>4</v>
      </c>
      <c r="O960">
        <v>0</v>
      </c>
      <c r="P960">
        <v>75</v>
      </c>
      <c r="Q960">
        <v>4</v>
      </c>
      <c r="R960">
        <v>4</v>
      </c>
      <c r="S960" t="s">
        <v>36597</v>
      </c>
      <c r="X960" t="s">
        <v>4809</v>
      </c>
      <c r="Y960" t="s">
        <v>4809</v>
      </c>
      <c r="AA960" t="s">
        <v>4814</v>
      </c>
      <c r="AB960" t="s">
        <v>36598</v>
      </c>
      <c r="AC960" t="s">
        <v>34465</v>
      </c>
      <c r="AD960" t="s">
        <v>8301</v>
      </c>
      <c r="AE960" t="s">
        <v>106</v>
      </c>
      <c r="AF960" t="s">
        <v>36599</v>
      </c>
    </row>
    <row r="961" spans="1:33" x14ac:dyDescent="0.25">
      <c r="A961" t="s">
        <v>34462</v>
      </c>
      <c r="B961" t="s">
        <v>4816</v>
      </c>
      <c r="C961" t="s">
        <v>4819</v>
      </c>
      <c r="D961">
        <v>11.5</v>
      </c>
      <c r="E961">
        <v>8.5</v>
      </c>
      <c r="F961">
        <v>320208</v>
      </c>
      <c r="G961">
        <v>246939</v>
      </c>
      <c r="H961">
        <v>11.46</v>
      </c>
      <c r="I961">
        <v>11.67</v>
      </c>
      <c r="J961">
        <v>0</v>
      </c>
      <c r="K961">
        <v>1</v>
      </c>
      <c r="L961">
        <v>25</v>
      </c>
      <c r="M961">
        <v>24</v>
      </c>
      <c r="N961">
        <v>4.4000000000000004</v>
      </c>
      <c r="P961">
        <v>77</v>
      </c>
      <c r="Q961">
        <v>7</v>
      </c>
      <c r="R961">
        <v>30</v>
      </c>
      <c r="U961">
        <v>0.28660059999999998</v>
      </c>
      <c r="V961">
        <v>4.1500000000000004</v>
      </c>
      <c r="W961">
        <v>1.73</v>
      </c>
      <c r="X961" t="s">
        <v>4815</v>
      </c>
      <c r="Y961" t="s">
        <v>4820</v>
      </c>
      <c r="Z961" t="s">
        <v>4820</v>
      </c>
      <c r="AA961" t="s">
        <v>4821</v>
      </c>
      <c r="AB961" t="s">
        <v>36600</v>
      </c>
      <c r="AC961" t="s">
        <v>34465</v>
      </c>
      <c r="AD961" t="s">
        <v>36601</v>
      </c>
      <c r="AF961" t="s">
        <v>36602</v>
      </c>
      <c r="AG961" t="s">
        <v>36603</v>
      </c>
    </row>
    <row r="962" spans="1:33" x14ac:dyDescent="0.25">
      <c r="A962" t="s">
        <v>34462</v>
      </c>
      <c r="B962" t="s">
        <v>4823</v>
      </c>
      <c r="C962" t="s">
        <v>4826</v>
      </c>
      <c r="D962">
        <v>67.16</v>
      </c>
      <c r="E962">
        <v>67.150000000000006</v>
      </c>
      <c r="F962">
        <v>203931</v>
      </c>
      <c r="G962">
        <v>169287</v>
      </c>
      <c r="H962">
        <v>60.89</v>
      </c>
      <c r="I962">
        <v>58.09</v>
      </c>
      <c r="J962">
        <v>0.41</v>
      </c>
      <c r="K962">
        <v>1</v>
      </c>
      <c r="L962">
        <v>3</v>
      </c>
      <c r="M962">
        <v>2</v>
      </c>
      <c r="N962">
        <v>4.7</v>
      </c>
      <c r="O962">
        <v>2</v>
      </c>
      <c r="P962">
        <v>2230</v>
      </c>
      <c r="Q962">
        <v>31</v>
      </c>
      <c r="R962">
        <v>60</v>
      </c>
      <c r="S962" t="s">
        <v>36604</v>
      </c>
      <c r="U962">
        <v>1.2610426400000001</v>
      </c>
      <c r="V962">
        <v>6.05</v>
      </c>
      <c r="W962">
        <v>10.07</v>
      </c>
      <c r="X962" t="s">
        <v>4822</v>
      </c>
      <c r="Y962" t="s">
        <v>4827</v>
      </c>
      <c r="Z962" t="s">
        <v>4827</v>
      </c>
      <c r="AA962" t="s">
        <v>4828</v>
      </c>
      <c r="AB962" t="s">
        <v>36605</v>
      </c>
      <c r="AC962" t="s">
        <v>34465</v>
      </c>
      <c r="AD962" t="s">
        <v>8331</v>
      </c>
      <c r="AE962" t="s">
        <v>34576</v>
      </c>
      <c r="AF962" t="s">
        <v>36606</v>
      </c>
      <c r="AG962" t="s">
        <v>36607</v>
      </c>
    </row>
    <row r="963" spans="1:33" x14ac:dyDescent="0.25">
      <c r="A963" t="s">
        <v>34462</v>
      </c>
      <c r="B963" t="s">
        <v>4830</v>
      </c>
      <c r="C963" t="s">
        <v>4832</v>
      </c>
      <c r="D963">
        <v>38</v>
      </c>
      <c r="E963">
        <v>38</v>
      </c>
      <c r="F963">
        <v>222081</v>
      </c>
      <c r="G963">
        <v>166574</v>
      </c>
      <c r="H963">
        <v>60.55</v>
      </c>
      <c r="I963">
        <v>61.25</v>
      </c>
      <c r="J963">
        <v>0.41</v>
      </c>
      <c r="K963">
        <v>1</v>
      </c>
      <c r="L963">
        <v>3</v>
      </c>
      <c r="M963">
        <v>2</v>
      </c>
      <c r="N963">
        <v>4.7</v>
      </c>
      <c r="O963">
        <v>2</v>
      </c>
      <c r="P963">
        <v>2230</v>
      </c>
      <c r="Q963">
        <v>30</v>
      </c>
      <c r="R963">
        <v>57</v>
      </c>
      <c r="S963" t="s">
        <v>36604</v>
      </c>
      <c r="U963">
        <v>1.3492274399999999</v>
      </c>
      <c r="V963">
        <v>6.62</v>
      </c>
      <c r="X963" t="s">
        <v>4829</v>
      </c>
      <c r="Y963" t="s">
        <v>4827</v>
      </c>
      <c r="Z963" t="s">
        <v>4827</v>
      </c>
      <c r="AA963" t="s">
        <v>4828</v>
      </c>
      <c r="AB963" t="s">
        <v>36608</v>
      </c>
      <c r="AC963" t="s">
        <v>34465</v>
      </c>
      <c r="AD963" t="s">
        <v>8331</v>
      </c>
      <c r="AE963" t="s">
        <v>34582</v>
      </c>
      <c r="AF963" t="s">
        <v>36606</v>
      </c>
      <c r="AG963" t="s">
        <v>36607</v>
      </c>
    </row>
    <row r="964" spans="1:33" x14ac:dyDescent="0.25">
      <c r="A964" t="s">
        <v>34462</v>
      </c>
      <c r="B964" t="s">
        <v>4834</v>
      </c>
      <c r="C964" t="s">
        <v>4837</v>
      </c>
      <c r="D964">
        <v>10.49</v>
      </c>
      <c r="E964">
        <v>10.49</v>
      </c>
      <c r="F964">
        <v>20384</v>
      </c>
      <c r="G964">
        <v>112634</v>
      </c>
      <c r="H964">
        <v>21.04</v>
      </c>
      <c r="I964">
        <v>22.26</v>
      </c>
      <c r="J964">
        <v>0</v>
      </c>
      <c r="K964">
        <v>0.08</v>
      </c>
      <c r="L964">
        <v>5</v>
      </c>
      <c r="M964">
        <v>4</v>
      </c>
      <c r="N964">
        <v>4.4000000000000004</v>
      </c>
      <c r="P964">
        <v>1060</v>
      </c>
      <c r="Q964">
        <v>42</v>
      </c>
      <c r="R964">
        <v>133</v>
      </c>
      <c r="T964">
        <v>200</v>
      </c>
      <c r="U964">
        <v>1.6997620200000001</v>
      </c>
      <c r="V964">
        <v>11.89</v>
      </c>
      <c r="W964">
        <v>1.57</v>
      </c>
      <c r="X964" t="s">
        <v>4833</v>
      </c>
      <c r="Y964" t="s">
        <v>4839</v>
      </c>
      <c r="Z964" t="s">
        <v>4839</v>
      </c>
      <c r="AB964" t="s">
        <v>36609</v>
      </c>
      <c r="AC964" t="s">
        <v>34493</v>
      </c>
      <c r="AD964" t="s">
        <v>36610</v>
      </c>
      <c r="AE964" t="s">
        <v>14701</v>
      </c>
      <c r="AF964" t="s">
        <v>36611</v>
      </c>
      <c r="AG964" t="s">
        <v>36612</v>
      </c>
    </row>
    <row r="965" spans="1:33" x14ac:dyDescent="0.25">
      <c r="A965" t="s">
        <v>34462</v>
      </c>
      <c r="B965" t="s">
        <v>4841</v>
      </c>
      <c r="C965" t="s">
        <v>4844</v>
      </c>
      <c r="D965">
        <v>46.77</v>
      </c>
      <c r="E965">
        <v>46.77</v>
      </c>
      <c r="F965">
        <v>1362</v>
      </c>
      <c r="G965">
        <v>61722</v>
      </c>
      <c r="H965">
        <v>52.25</v>
      </c>
      <c r="I965">
        <v>55.29</v>
      </c>
      <c r="J965">
        <v>0</v>
      </c>
      <c r="K965">
        <v>0.01</v>
      </c>
      <c r="L965">
        <v>2</v>
      </c>
      <c r="M965">
        <v>2</v>
      </c>
      <c r="N965">
        <v>4.4000000000000004</v>
      </c>
      <c r="O965">
        <v>14</v>
      </c>
      <c r="P965">
        <v>981</v>
      </c>
      <c r="Q965">
        <v>47</v>
      </c>
      <c r="R965">
        <v>93</v>
      </c>
      <c r="S965" t="s">
        <v>36613</v>
      </c>
      <c r="U965">
        <v>1.36906902</v>
      </c>
      <c r="V965">
        <v>6.05</v>
      </c>
      <c r="X965" t="s">
        <v>4840</v>
      </c>
      <c r="Y965" t="s">
        <v>36614</v>
      </c>
      <c r="Z965" t="s">
        <v>4845</v>
      </c>
      <c r="AA965" t="s">
        <v>1092</v>
      </c>
      <c r="AB965" t="s">
        <v>36615</v>
      </c>
      <c r="AC965" t="s">
        <v>34465</v>
      </c>
      <c r="AD965" t="s">
        <v>12423</v>
      </c>
      <c r="AE965" t="s">
        <v>34856</v>
      </c>
      <c r="AF965" t="s">
        <v>36616</v>
      </c>
      <c r="AG965" t="s">
        <v>36617</v>
      </c>
    </row>
    <row r="966" spans="1:33" x14ac:dyDescent="0.25">
      <c r="A966" t="s">
        <v>34462</v>
      </c>
      <c r="B966" t="s">
        <v>4847</v>
      </c>
      <c r="C966" t="s">
        <v>4849</v>
      </c>
      <c r="D966">
        <v>36.64</v>
      </c>
      <c r="E966">
        <v>36.64</v>
      </c>
      <c r="F966">
        <v>1174</v>
      </c>
      <c r="G966">
        <v>65746</v>
      </c>
      <c r="H966">
        <v>43.45</v>
      </c>
      <c r="I966">
        <v>45.08</v>
      </c>
      <c r="J966">
        <v>0.03</v>
      </c>
      <c r="K966">
        <v>0.8</v>
      </c>
      <c r="L966">
        <v>2</v>
      </c>
      <c r="M966">
        <v>2</v>
      </c>
      <c r="N966">
        <v>4.4000000000000004</v>
      </c>
      <c r="O966">
        <v>13</v>
      </c>
      <c r="P966">
        <v>981</v>
      </c>
      <c r="Q966">
        <v>51</v>
      </c>
      <c r="R966">
        <v>89</v>
      </c>
      <c r="S966" t="s">
        <v>36613</v>
      </c>
      <c r="U966">
        <v>1.34040896</v>
      </c>
      <c r="V966">
        <v>5.82</v>
      </c>
      <c r="X966" t="s">
        <v>4846</v>
      </c>
      <c r="Y966" t="s">
        <v>36618</v>
      </c>
      <c r="Z966" t="s">
        <v>4850</v>
      </c>
      <c r="AA966" t="s">
        <v>4851</v>
      </c>
      <c r="AB966" t="s">
        <v>36619</v>
      </c>
      <c r="AC966" t="s">
        <v>34465</v>
      </c>
      <c r="AD966" t="s">
        <v>12423</v>
      </c>
      <c r="AE966" t="s">
        <v>34856</v>
      </c>
      <c r="AF966" t="s">
        <v>36620</v>
      </c>
      <c r="AG966" t="s">
        <v>36617</v>
      </c>
    </row>
    <row r="967" spans="1:33" x14ac:dyDescent="0.25">
      <c r="A967" t="s">
        <v>34462</v>
      </c>
      <c r="B967" t="s">
        <v>4853</v>
      </c>
      <c r="C967" t="s">
        <v>4855</v>
      </c>
      <c r="D967">
        <v>40.81</v>
      </c>
      <c r="E967">
        <v>19.87</v>
      </c>
      <c r="F967">
        <v>1362</v>
      </c>
      <c r="G967">
        <v>65227</v>
      </c>
      <c r="H967">
        <v>57.41</v>
      </c>
      <c r="I967">
        <v>55.4</v>
      </c>
      <c r="J967">
        <v>0.04</v>
      </c>
      <c r="K967">
        <v>0.75</v>
      </c>
      <c r="L967">
        <v>2</v>
      </c>
      <c r="M967">
        <v>2</v>
      </c>
      <c r="N967">
        <v>4.4000000000000004</v>
      </c>
      <c r="O967">
        <v>13</v>
      </c>
      <c r="P967">
        <v>981</v>
      </c>
      <c r="Q967">
        <v>56</v>
      </c>
      <c r="R967">
        <v>107</v>
      </c>
      <c r="S967" t="s">
        <v>36613</v>
      </c>
      <c r="U967">
        <v>1.67771582</v>
      </c>
      <c r="V967">
        <v>6.05</v>
      </c>
      <c r="W967">
        <v>6.94</v>
      </c>
      <c r="X967" t="s">
        <v>4852</v>
      </c>
      <c r="Y967" t="s">
        <v>36621</v>
      </c>
      <c r="Z967" t="s">
        <v>4850</v>
      </c>
      <c r="AA967" t="s">
        <v>4851</v>
      </c>
      <c r="AB967" t="s">
        <v>36622</v>
      </c>
      <c r="AC967" t="s">
        <v>34484</v>
      </c>
      <c r="AD967" t="s">
        <v>12423</v>
      </c>
      <c r="AE967" t="s">
        <v>34859</v>
      </c>
      <c r="AF967" t="s">
        <v>36623</v>
      </c>
      <c r="AG967" t="s">
        <v>36617</v>
      </c>
    </row>
    <row r="968" spans="1:33" x14ac:dyDescent="0.25">
      <c r="A968" t="s">
        <v>34462</v>
      </c>
      <c r="B968" t="s">
        <v>4857</v>
      </c>
      <c r="C968" t="s">
        <v>4859</v>
      </c>
      <c r="D968">
        <v>44.59</v>
      </c>
      <c r="E968">
        <v>36.64</v>
      </c>
      <c r="F968">
        <v>1362</v>
      </c>
      <c r="G968">
        <v>62358</v>
      </c>
      <c r="H968">
        <v>54.53</v>
      </c>
      <c r="I968">
        <v>56.51</v>
      </c>
      <c r="J968">
        <v>0</v>
      </c>
      <c r="K968">
        <v>0.05</v>
      </c>
      <c r="L968">
        <v>2</v>
      </c>
      <c r="M968">
        <v>2</v>
      </c>
      <c r="N968">
        <v>4.4000000000000004</v>
      </c>
      <c r="O968">
        <v>12</v>
      </c>
      <c r="P968">
        <v>981</v>
      </c>
      <c r="Q968">
        <v>38</v>
      </c>
      <c r="R968">
        <v>84</v>
      </c>
      <c r="S968" t="s">
        <v>36613</v>
      </c>
      <c r="U968">
        <v>1.67771582</v>
      </c>
      <c r="V968">
        <v>6.05</v>
      </c>
      <c r="W968">
        <v>7.58</v>
      </c>
      <c r="X968" t="s">
        <v>4856</v>
      </c>
      <c r="Y968" t="s">
        <v>36624</v>
      </c>
      <c r="Z968" t="s">
        <v>4845</v>
      </c>
      <c r="AA968" t="s">
        <v>1092</v>
      </c>
      <c r="AB968" t="s">
        <v>36625</v>
      </c>
      <c r="AC968" t="s">
        <v>34465</v>
      </c>
      <c r="AD968" t="s">
        <v>12423</v>
      </c>
      <c r="AE968" t="s">
        <v>34859</v>
      </c>
      <c r="AF968" t="s">
        <v>36616</v>
      </c>
      <c r="AG968" t="s">
        <v>36617</v>
      </c>
    </row>
    <row r="969" spans="1:33" x14ac:dyDescent="0.25">
      <c r="A969" t="s">
        <v>34462</v>
      </c>
      <c r="B969" t="s">
        <v>4861</v>
      </c>
      <c r="C969" t="s">
        <v>4863</v>
      </c>
      <c r="D969">
        <v>19.87</v>
      </c>
      <c r="E969">
        <v>19.87</v>
      </c>
      <c r="F969">
        <v>1362</v>
      </c>
      <c r="G969">
        <v>69818</v>
      </c>
      <c r="H969">
        <v>52.65</v>
      </c>
      <c r="I969">
        <v>55.34</v>
      </c>
      <c r="J969">
        <v>0</v>
      </c>
      <c r="K969">
        <v>0</v>
      </c>
      <c r="L969">
        <v>2</v>
      </c>
      <c r="M969">
        <v>2</v>
      </c>
      <c r="N969">
        <v>4.4000000000000004</v>
      </c>
      <c r="O969">
        <v>4</v>
      </c>
      <c r="P969">
        <v>981</v>
      </c>
      <c r="Q969">
        <v>50</v>
      </c>
      <c r="R969">
        <v>99</v>
      </c>
      <c r="S969" t="s">
        <v>36613</v>
      </c>
      <c r="U969">
        <v>1.67771582</v>
      </c>
      <c r="V969">
        <v>6.05</v>
      </c>
      <c r="W969">
        <v>1.99</v>
      </c>
      <c r="X969" t="s">
        <v>4860</v>
      </c>
      <c r="Y969" t="s">
        <v>36626</v>
      </c>
      <c r="Z969" t="s">
        <v>4845</v>
      </c>
      <c r="AA969" t="s">
        <v>1092</v>
      </c>
      <c r="AB969" t="s">
        <v>36627</v>
      </c>
      <c r="AC969" t="s">
        <v>36628</v>
      </c>
      <c r="AD969" t="s">
        <v>12423</v>
      </c>
      <c r="AE969" t="s">
        <v>36629</v>
      </c>
      <c r="AF969" t="s">
        <v>36630</v>
      </c>
      <c r="AG969" t="s">
        <v>36617</v>
      </c>
    </row>
    <row r="970" spans="1:33" x14ac:dyDescent="0.25">
      <c r="A970" t="s">
        <v>34462</v>
      </c>
      <c r="B970" t="s">
        <v>4865</v>
      </c>
      <c r="C970" t="s">
        <v>4867</v>
      </c>
      <c r="D970">
        <v>40.81</v>
      </c>
      <c r="E970">
        <v>19.87</v>
      </c>
      <c r="F970">
        <v>1362</v>
      </c>
      <c r="G970">
        <v>63837</v>
      </c>
      <c r="H970">
        <v>55.49</v>
      </c>
      <c r="I970">
        <v>56.96</v>
      </c>
      <c r="J970">
        <v>0</v>
      </c>
      <c r="K970">
        <v>0.05</v>
      </c>
      <c r="L970">
        <v>3</v>
      </c>
      <c r="M970">
        <v>3</v>
      </c>
      <c r="N970">
        <v>4.4000000000000004</v>
      </c>
      <c r="O970">
        <v>9</v>
      </c>
      <c r="P970">
        <v>981</v>
      </c>
      <c r="Q970">
        <v>55</v>
      </c>
      <c r="R970">
        <v>96</v>
      </c>
      <c r="S970" t="s">
        <v>36613</v>
      </c>
      <c r="U970">
        <v>1.67771582</v>
      </c>
      <c r="V970">
        <v>6.05</v>
      </c>
      <c r="W970">
        <v>6.94</v>
      </c>
      <c r="X970" t="s">
        <v>4864</v>
      </c>
      <c r="Y970" t="s">
        <v>36631</v>
      </c>
      <c r="Z970" t="s">
        <v>4850</v>
      </c>
      <c r="AA970" t="s">
        <v>4851</v>
      </c>
      <c r="AB970" t="s">
        <v>36632</v>
      </c>
      <c r="AC970" t="s">
        <v>34484</v>
      </c>
      <c r="AD970" t="s">
        <v>12423</v>
      </c>
      <c r="AE970" t="s">
        <v>36633</v>
      </c>
      <c r="AF970" t="s">
        <v>36623</v>
      </c>
      <c r="AG970" t="s">
        <v>36634</v>
      </c>
    </row>
    <row r="971" spans="1:33" x14ac:dyDescent="0.25">
      <c r="A971" t="s">
        <v>34462</v>
      </c>
      <c r="B971" t="s">
        <v>4869</v>
      </c>
      <c r="C971" t="s">
        <v>4871</v>
      </c>
      <c r="D971">
        <v>46.77</v>
      </c>
      <c r="E971">
        <v>19.87</v>
      </c>
      <c r="F971">
        <v>1362</v>
      </c>
      <c r="G971">
        <v>60947</v>
      </c>
      <c r="H971">
        <v>51.15</v>
      </c>
      <c r="I971">
        <v>54.62</v>
      </c>
      <c r="J971">
        <v>0</v>
      </c>
      <c r="K971">
        <v>0</v>
      </c>
      <c r="L971">
        <v>2</v>
      </c>
      <c r="M971">
        <v>2</v>
      </c>
      <c r="N971">
        <v>4.4000000000000004</v>
      </c>
      <c r="O971">
        <v>10</v>
      </c>
      <c r="P971">
        <v>981</v>
      </c>
      <c r="Q971">
        <v>49</v>
      </c>
      <c r="R971">
        <v>95</v>
      </c>
      <c r="S971" t="s">
        <v>36613</v>
      </c>
      <c r="U971">
        <v>1.2125410000000001</v>
      </c>
      <c r="V971">
        <v>5.82</v>
      </c>
      <c r="W971">
        <v>7.95</v>
      </c>
      <c r="X971" t="s">
        <v>4868</v>
      </c>
      <c r="Y971" t="s">
        <v>36635</v>
      </c>
      <c r="Z971" t="s">
        <v>4845</v>
      </c>
      <c r="AA971" t="s">
        <v>1092</v>
      </c>
      <c r="AB971" t="s">
        <v>36636</v>
      </c>
      <c r="AC971" t="s">
        <v>34484</v>
      </c>
      <c r="AD971" t="s">
        <v>12423</v>
      </c>
      <c r="AE971" t="s">
        <v>36633</v>
      </c>
      <c r="AF971" t="s">
        <v>36630</v>
      </c>
      <c r="AG971" t="s">
        <v>36617</v>
      </c>
    </row>
    <row r="972" spans="1:33" x14ac:dyDescent="0.25">
      <c r="A972" t="s">
        <v>34462</v>
      </c>
      <c r="B972" t="s">
        <v>4873</v>
      </c>
      <c r="C972" t="s">
        <v>4876</v>
      </c>
      <c r="D972">
        <v>18.399999999999999</v>
      </c>
      <c r="E972">
        <v>18.399999999999999</v>
      </c>
      <c r="H972">
        <v>19.440000000000001</v>
      </c>
      <c r="I972">
        <v>21.22</v>
      </c>
      <c r="J972">
        <v>0</v>
      </c>
      <c r="K972">
        <v>1</v>
      </c>
      <c r="L972">
        <v>2</v>
      </c>
      <c r="M972">
        <v>3</v>
      </c>
      <c r="N972">
        <v>5</v>
      </c>
      <c r="O972">
        <v>1</v>
      </c>
      <c r="P972">
        <v>1</v>
      </c>
      <c r="Q972">
        <v>0</v>
      </c>
      <c r="R972">
        <v>0</v>
      </c>
      <c r="U972">
        <v>1.1023099999999999</v>
      </c>
      <c r="V972">
        <v>6.14</v>
      </c>
      <c r="W972">
        <v>1.84</v>
      </c>
      <c r="X972" t="s">
        <v>4872</v>
      </c>
      <c r="Y972" t="s">
        <v>36637</v>
      </c>
      <c r="Z972" t="s">
        <v>4877</v>
      </c>
      <c r="AA972" t="s">
        <v>76</v>
      </c>
      <c r="AB972" t="s">
        <v>36638</v>
      </c>
      <c r="AC972" t="s">
        <v>34465</v>
      </c>
      <c r="AD972" t="s">
        <v>36639</v>
      </c>
      <c r="AE972" t="s">
        <v>34469</v>
      </c>
      <c r="AF972" t="s">
        <v>36640</v>
      </c>
      <c r="AG972" t="s">
        <v>36641</v>
      </c>
    </row>
    <row r="973" spans="1:33" x14ac:dyDescent="0.25">
      <c r="A973" t="s">
        <v>34462</v>
      </c>
      <c r="B973" t="s">
        <v>4879</v>
      </c>
      <c r="C973" t="s">
        <v>4882</v>
      </c>
      <c r="D973">
        <v>46.77</v>
      </c>
      <c r="E973">
        <v>45.97</v>
      </c>
      <c r="F973">
        <v>152422</v>
      </c>
      <c r="G973">
        <v>98518</v>
      </c>
      <c r="H973">
        <v>57.42</v>
      </c>
      <c r="I973">
        <v>51.67</v>
      </c>
      <c r="J973">
        <v>0</v>
      </c>
      <c r="K973">
        <v>0</v>
      </c>
      <c r="L973">
        <v>3</v>
      </c>
      <c r="M973">
        <v>3</v>
      </c>
      <c r="O973">
        <v>0</v>
      </c>
      <c r="Q973">
        <v>25</v>
      </c>
      <c r="R973">
        <v>57</v>
      </c>
      <c r="S973" t="s">
        <v>36642</v>
      </c>
      <c r="U973">
        <v>0.87964337999999997</v>
      </c>
      <c r="V973">
        <v>5.9</v>
      </c>
      <c r="W973">
        <v>7.95</v>
      </c>
      <c r="X973" t="s">
        <v>4878</v>
      </c>
      <c r="Y973" t="s">
        <v>4883</v>
      </c>
      <c r="Z973" t="s">
        <v>4883</v>
      </c>
      <c r="AA973" t="s">
        <v>4884</v>
      </c>
      <c r="AB973" t="s">
        <v>36643</v>
      </c>
      <c r="AC973" t="s">
        <v>34493</v>
      </c>
      <c r="AD973" t="s">
        <v>8078</v>
      </c>
      <c r="AE973" t="s">
        <v>8451</v>
      </c>
      <c r="AF973" t="s">
        <v>36644</v>
      </c>
      <c r="AG973" t="s">
        <v>36645</v>
      </c>
    </row>
    <row r="974" spans="1:33" x14ac:dyDescent="0.25">
      <c r="A974" t="s">
        <v>34462</v>
      </c>
      <c r="B974" t="s">
        <v>4886</v>
      </c>
      <c r="C974" t="s">
        <v>4888</v>
      </c>
      <c r="D974">
        <v>45.97</v>
      </c>
      <c r="E974">
        <v>45.97</v>
      </c>
      <c r="F974">
        <v>168661</v>
      </c>
      <c r="G974">
        <v>97057</v>
      </c>
      <c r="H974">
        <v>56.62</v>
      </c>
      <c r="I974">
        <v>54.86</v>
      </c>
      <c r="J974">
        <v>0</v>
      </c>
      <c r="K974">
        <v>0</v>
      </c>
      <c r="L974">
        <v>4</v>
      </c>
      <c r="M974">
        <v>5</v>
      </c>
      <c r="O974">
        <v>0</v>
      </c>
      <c r="Q974">
        <v>33</v>
      </c>
      <c r="R974">
        <v>79</v>
      </c>
      <c r="S974" t="s">
        <v>36642</v>
      </c>
      <c r="U974">
        <v>0.93696350000000006</v>
      </c>
      <c r="V974">
        <v>6.14</v>
      </c>
      <c r="W974">
        <v>7.81</v>
      </c>
      <c r="X974" t="s">
        <v>4885</v>
      </c>
      <c r="Y974" t="s">
        <v>4883</v>
      </c>
      <c r="Z974" t="s">
        <v>4883</v>
      </c>
      <c r="AA974" t="s">
        <v>4889</v>
      </c>
      <c r="AB974" t="s">
        <v>36646</v>
      </c>
      <c r="AC974" t="s">
        <v>34493</v>
      </c>
      <c r="AD974" t="s">
        <v>8078</v>
      </c>
      <c r="AE974" t="s">
        <v>8451</v>
      </c>
      <c r="AF974" t="s">
        <v>36647</v>
      </c>
      <c r="AG974" t="s">
        <v>36645</v>
      </c>
    </row>
    <row r="975" spans="1:33" x14ac:dyDescent="0.25">
      <c r="A975" t="s">
        <v>34462</v>
      </c>
      <c r="B975" t="s">
        <v>4891</v>
      </c>
      <c r="C975" t="s">
        <v>4894</v>
      </c>
      <c r="D975">
        <v>30.81</v>
      </c>
      <c r="E975">
        <v>30.81</v>
      </c>
      <c r="F975">
        <v>1353219</v>
      </c>
      <c r="G975">
        <v>923260</v>
      </c>
      <c r="H975">
        <v>39</v>
      </c>
      <c r="I975">
        <v>39.96</v>
      </c>
      <c r="J975">
        <v>0.3</v>
      </c>
      <c r="K975">
        <v>1</v>
      </c>
      <c r="L975">
        <v>2</v>
      </c>
      <c r="M975">
        <v>1</v>
      </c>
      <c r="N975">
        <v>4.5999999999999996</v>
      </c>
      <c r="O975">
        <v>0</v>
      </c>
      <c r="P975">
        <v>11</v>
      </c>
      <c r="Q975">
        <v>3</v>
      </c>
      <c r="R975">
        <v>10</v>
      </c>
      <c r="S975" t="s">
        <v>36648</v>
      </c>
      <c r="X975" t="s">
        <v>4890</v>
      </c>
      <c r="Z975" t="s">
        <v>4895</v>
      </c>
      <c r="AA975" t="s">
        <v>4896</v>
      </c>
      <c r="AB975" t="s">
        <v>36649</v>
      </c>
      <c r="AC975" t="s">
        <v>34465</v>
      </c>
      <c r="AD975" t="s">
        <v>16164</v>
      </c>
      <c r="AE975" t="s">
        <v>34533</v>
      </c>
      <c r="AF975" t="s">
        <v>36650</v>
      </c>
      <c r="AG975" t="s">
        <v>36651</v>
      </c>
    </row>
    <row r="976" spans="1:33" x14ac:dyDescent="0.25">
      <c r="A976" t="s">
        <v>34462</v>
      </c>
      <c r="B976" t="s">
        <v>4898</v>
      </c>
      <c r="C976" t="s">
        <v>4900</v>
      </c>
      <c r="D976">
        <v>30.81</v>
      </c>
      <c r="E976">
        <v>30.81</v>
      </c>
      <c r="F976">
        <v>1323131</v>
      </c>
      <c r="G976">
        <v>906004</v>
      </c>
      <c r="H976">
        <v>39</v>
      </c>
      <c r="I976">
        <v>46.52</v>
      </c>
      <c r="J976">
        <v>0.16</v>
      </c>
      <c r="K976">
        <v>1</v>
      </c>
      <c r="L976">
        <v>2</v>
      </c>
      <c r="M976">
        <v>2</v>
      </c>
      <c r="O976">
        <v>0</v>
      </c>
      <c r="Q976">
        <v>4</v>
      </c>
      <c r="R976">
        <v>10</v>
      </c>
      <c r="S976" t="s">
        <v>36648</v>
      </c>
      <c r="X976" t="s">
        <v>4897</v>
      </c>
      <c r="Z976" t="s">
        <v>4901</v>
      </c>
      <c r="AA976" t="s">
        <v>4701</v>
      </c>
      <c r="AB976" t="s">
        <v>36652</v>
      </c>
      <c r="AC976" t="s">
        <v>34465</v>
      </c>
      <c r="AD976" t="s">
        <v>16164</v>
      </c>
      <c r="AE976" t="s">
        <v>34533</v>
      </c>
      <c r="AF976" t="s">
        <v>36653</v>
      </c>
      <c r="AG976" t="s">
        <v>36651</v>
      </c>
    </row>
    <row r="977" spans="1:33" x14ac:dyDescent="0.25">
      <c r="A977" t="s">
        <v>34462</v>
      </c>
      <c r="B977" t="s">
        <v>4903</v>
      </c>
      <c r="C977" t="s">
        <v>4905</v>
      </c>
      <c r="D977">
        <v>30.01</v>
      </c>
      <c r="E977">
        <v>30.01</v>
      </c>
      <c r="F977">
        <v>1337995</v>
      </c>
      <c r="G977">
        <v>828043</v>
      </c>
      <c r="H977">
        <v>45.12</v>
      </c>
      <c r="I977">
        <v>45.12</v>
      </c>
      <c r="J977">
        <v>0.28999999999999998</v>
      </c>
      <c r="K977">
        <v>1</v>
      </c>
      <c r="L977">
        <v>2</v>
      </c>
      <c r="M977">
        <v>2</v>
      </c>
      <c r="N977">
        <v>4.5999999999999996</v>
      </c>
      <c r="O977">
        <v>0</v>
      </c>
      <c r="P977">
        <v>11</v>
      </c>
      <c r="Q977">
        <v>4</v>
      </c>
      <c r="R977">
        <v>11</v>
      </c>
      <c r="S977" t="s">
        <v>36648</v>
      </c>
      <c r="U977">
        <v>0.74957079999999998</v>
      </c>
      <c r="V977">
        <v>6.14</v>
      </c>
      <c r="X977" t="s">
        <v>4902</v>
      </c>
      <c r="Z977" t="s">
        <v>4906</v>
      </c>
      <c r="AA977" t="s">
        <v>4907</v>
      </c>
      <c r="AB977" t="s">
        <v>36654</v>
      </c>
      <c r="AC977" t="s">
        <v>34465</v>
      </c>
      <c r="AD977" t="s">
        <v>16164</v>
      </c>
      <c r="AE977" t="s">
        <v>34533</v>
      </c>
      <c r="AF977" t="s">
        <v>36655</v>
      </c>
    </row>
    <row r="978" spans="1:33" x14ac:dyDescent="0.25">
      <c r="A978" t="s">
        <v>34462</v>
      </c>
      <c r="B978" t="s">
        <v>4909</v>
      </c>
      <c r="C978" t="s">
        <v>4911</v>
      </c>
      <c r="D978">
        <v>30.81</v>
      </c>
      <c r="E978">
        <v>30.81</v>
      </c>
      <c r="F978">
        <v>1353219</v>
      </c>
      <c r="G978">
        <v>952355</v>
      </c>
      <c r="H978">
        <v>39.85</v>
      </c>
      <c r="I978">
        <v>39.42</v>
      </c>
      <c r="J978">
        <v>0.05</v>
      </c>
      <c r="K978">
        <v>1</v>
      </c>
      <c r="L978">
        <v>1</v>
      </c>
      <c r="M978">
        <v>2</v>
      </c>
      <c r="N978">
        <v>4.5999999999999996</v>
      </c>
      <c r="O978">
        <v>0</v>
      </c>
      <c r="P978">
        <v>11</v>
      </c>
      <c r="Q978">
        <v>3</v>
      </c>
      <c r="R978">
        <v>12</v>
      </c>
      <c r="S978" t="s">
        <v>36648</v>
      </c>
      <c r="X978" t="s">
        <v>4908</v>
      </c>
      <c r="Z978" t="s">
        <v>4912</v>
      </c>
      <c r="AA978" t="s">
        <v>4913</v>
      </c>
      <c r="AB978" t="s">
        <v>36656</v>
      </c>
      <c r="AC978" t="s">
        <v>34465</v>
      </c>
      <c r="AD978" t="s">
        <v>16164</v>
      </c>
      <c r="AE978" t="s">
        <v>34533</v>
      </c>
      <c r="AF978" t="s">
        <v>36657</v>
      </c>
      <c r="AG978" t="s">
        <v>36651</v>
      </c>
    </row>
    <row r="979" spans="1:33" x14ac:dyDescent="0.25">
      <c r="A979" t="s">
        <v>34462</v>
      </c>
      <c r="B979" t="s">
        <v>4915</v>
      </c>
      <c r="C979" t="s">
        <v>4917</v>
      </c>
      <c r="D979">
        <v>30.81</v>
      </c>
      <c r="E979">
        <v>30.81</v>
      </c>
      <c r="F979">
        <v>1346563</v>
      </c>
      <c r="G979">
        <v>885648</v>
      </c>
      <c r="H979">
        <v>39</v>
      </c>
      <c r="I979">
        <v>40.44</v>
      </c>
      <c r="J979">
        <v>0.32</v>
      </c>
      <c r="K979">
        <v>1</v>
      </c>
      <c r="L979">
        <v>1</v>
      </c>
      <c r="M979">
        <v>1</v>
      </c>
      <c r="N979">
        <v>4.5999999999999996</v>
      </c>
      <c r="O979">
        <v>0</v>
      </c>
      <c r="P979">
        <v>11</v>
      </c>
      <c r="Q979">
        <v>3</v>
      </c>
      <c r="R979">
        <v>9</v>
      </c>
      <c r="S979" t="s">
        <v>36648</v>
      </c>
      <c r="X979" t="s">
        <v>4914</v>
      </c>
      <c r="Z979" t="s">
        <v>4918</v>
      </c>
      <c r="AA979" t="s">
        <v>4919</v>
      </c>
      <c r="AB979" t="s">
        <v>36658</v>
      </c>
      <c r="AC979" t="s">
        <v>34465</v>
      </c>
      <c r="AD979" t="s">
        <v>16164</v>
      </c>
      <c r="AE979" t="s">
        <v>34533</v>
      </c>
      <c r="AF979" t="s">
        <v>36659</v>
      </c>
      <c r="AG979" t="s">
        <v>36651</v>
      </c>
    </row>
    <row r="980" spans="1:33" x14ac:dyDescent="0.25">
      <c r="A980" t="s">
        <v>34462</v>
      </c>
      <c r="B980" t="s">
        <v>4921</v>
      </c>
      <c r="C980" t="s">
        <v>4923</v>
      </c>
      <c r="D980">
        <v>38.799999999999997</v>
      </c>
      <c r="E980">
        <v>30.81</v>
      </c>
      <c r="F980">
        <v>1355059</v>
      </c>
      <c r="G980">
        <v>906779</v>
      </c>
      <c r="H980">
        <v>58.51</v>
      </c>
      <c r="I980">
        <v>54.99</v>
      </c>
      <c r="J980">
        <v>0</v>
      </c>
      <c r="K980">
        <v>1</v>
      </c>
      <c r="L980">
        <v>3</v>
      </c>
      <c r="M980">
        <v>4</v>
      </c>
      <c r="N980">
        <v>4.5999999999999996</v>
      </c>
      <c r="O980">
        <v>0</v>
      </c>
      <c r="P980">
        <v>11</v>
      </c>
      <c r="Q980">
        <v>2</v>
      </c>
      <c r="R980">
        <v>14</v>
      </c>
      <c r="S980" t="s">
        <v>36648</v>
      </c>
      <c r="X980" t="s">
        <v>4920</v>
      </c>
      <c r="Z980" t="s">
        <v>4925</v>
      </c>
      <c r="AA980" t="s">
        <v>4896</v>
      </c>
      <c r="AB980" t="s">
        <v>36660</v>
      </c>
      <c r="AC980" t="s">
        <v>34465</v>
      </c>
      <c r="AD980" t="s">
        <v>16164</v>
      </c>
      <c r="AE980" t="s">
        <v>14701</v>
      </c>
      <c r="AF980" t="s">
        <v>36650</v>
      </c>
      <c r="AG980" t="s">
        <v>36651</v>
      </c>
    </row>
    <row r="981" spans="1:33" x14ac:dyDescent="0.25">
      <c r="A981" t="s">
        <v>34462</v>
      </c>
      <c r="B981" t="s">
        <v>4927</v>
      </c>
      <c r="C981" t="s">
        <v>4929</v>
      </c>
      <c r="D981">
        <v>30.81</v>
      </c>
      <c r="E981">
        <v>30.81</v>
      </c>
      <c r="F981">
        <v>1353219</v>
      </c>
      <c r="G981">
        <v>942802</v>
      </c>
      <c r="H981">
        <v>42.48</v>
      </c>
      <c r="I981">
        <v>39.64</v>
      </c>
      <c r="J981">
        <v>0</v>
      </c>
      <c r="K981">
        <v>1</v>
      </c>
      <c r="L981">
        <v>3</v>
      </c>
      <c r="M981">
        <v>3</v>
      </c>
      <c r="N981">
        <v>4.5999999999999996</v>
      </c>
      <c r="O981">
        <v>0</v>
      </c>
      <c r="P981">
        <v>11</v>
      </c>
      <c r="Q981">
        <v>3</v>
      </c>
      <c r="R981">
        <v>13</v>
      </c>
      <c r="S981" t="s">
        <v>36648</v>
      </c>
      <c r="U981">
        <v>0.74957079999999998</v>
      </c>
      <c r="V981">
        <v>6.6</v>
      </c>
      <c r="X981" t="s">
        <v>4926</v>
      </c>
      <c r="Z981" t="s">
        <v>4930</v>
      </c>
      <c r="AA981" t="s">
        <v>4913</v>
      </c>
      <c r="AB981" t="s">
        <v>36661</v>
      </c>
      <c r="AC981" t="s">
        <v>34465</v>
      </c>
      <c r="AD981" t="s">
        <v>16164</v>
      </c>
      <c r="AE981" t="s">
        <v>14701</v>
      </c>
      <c r="AF981" t="s">
        <v>36657</v>
      </c>
      <c r="AG981" t="s">
        <v>36651</v>
      </c>
    </row>
    <row r="982" spans="1:33" x14ac:dyDescent="0.25">
      <c r="A982" t="s">
        <v>34462</v>
      </c>
      <c r="B982" t="s">
        <v>4932</v>
      </c>
      <c r="C982" t="s">
        <v>4934</v>
      </c>
      <c r="D982">
        <v>30.81</v>
      </c>
      <c r="E982">
        <v>30.81</v>
      </c>
      <c r="F982">
        <v>1346563</v>
      </c>
      <c r="G982">
        <v>930217</v>
      </c>
      <c r="H982">
        <v>39</v>
      </c>
      <c r="I982">
        <v>39</v>
      </c>
      <c r="J982">
        <v>0</v>
      </c>
      <c r="K982">
        <v>1</v>
      </c>
      <c r="L982">
        <v>3</v>
      </c>
      <c r="M982">
        <v>3</v>
      </c>
      <c r="O982">
        <v>0</v>
      </c>
      <c r="Q982">
        <v>4</v>
      </c>
      <c r="R982">
        <v>15</v>
      </c>
      <c r="S982" t="s">
        <v>36648</v>
      </c>
      <c r="U982">
        <v>0.80909554000000006</v>
      </c>
      <c r="V982">
        <v>6.6</v>
      </c>
      <c r="X982" t="s">
        <v>4931</v>
      </c>
      <c r="Z982" t="s">
        <v>4935</v>
      </c>
      <c r="AA982" t="s">
        <v>4907</v>
      </c>
      <c r="AB982" t="s">
        <v>36662</v>
      </c>
      <c r="AC982" t="s">
        <v>34465</v>
      </c>
      <c r="AD982" t="s">
        <v>16164</v>
      </c>
      <c r="AE982" t="s">
        <v>14701</v>
      </c>
      <c r="AF982" t="s">
        <v>36655</v>
      </c>
    </row>
    <row r="983" spans="1:33" x14ac:dyDescent="0.25">
      <c r="A983" t="s">
        <v>34462</v>
      </c>
      <c r="B983" t="s">
        <v>4937</v>
      </c>
      <c r="C983" t="s">
        <v>4939</v>
      </c>
      <c r="D983">
        <v>38.799999999999997</v>
      </c>
      <c r="E983">
        <v>30.81</v>
      </c>
      <c r="F983">
        <v>1353219</v>
      </c>
      <c r="G983">
        <v>906633</v>
      </c>
      <c r="H983">
        <v>47.81</v>
      </c>
      <c r="I983">
        <v>46.74</v>
      </c>
      <c r="J983">
        <v>0.02</v>
      </c>
      <c r="K983">
        <v>1</v>
      </c>
      <c r="L983">
        <v>3</v>
      </c>
      <c r="M983">
        <v>3</v>
      </c>
      <c r="N983">
        <v>4.5999999999999996</v>
      </c>
      <c r="O983">
        <v>0</v>
      </c>
      <c r="P983">
        <v>11</v>
      </c>
      <c r="Q983">
        <v>3</v>
      </c>
      <c r="R983">
        <v>15</v>
      </c>
      <c r="S983" t="s">
        <v>36648</v>
      </c>
      <c r="U983">
        <v>0.74957079999999998</v>
      </c>
      <c r="V983">
        <v>6.14</v>
      </c>
      <c r="W983">
        <v>6.6</v>
      </c>
      <c r="X983" t="s">
        <v>4936</v>
      </c>
      <c r="Z983" t="s">
        <v>4940</v>
      </c>
      <c r="AA983" t="s">
        <v>4919</v>
      </c>
      <c r="AB983" t="s">
        <v>36663</v>
      </c>
      <c r="AC983" t="s">
        <v>34465</v>
      </c>
      <c r="AD983" t="s">
        <v>16164</v>
      </c>
      <c r="AE983" t="s">
        <v>14701</v>
      </c>
      <c r="AF983" t="s">
        <v>36659</v>
      </c>
      <c r="AG983" t="s">
        <v>36651</v>
      </c>
    </row>
    <row r="984" spans="1:33" x14ac:dyDescent="0.25">
      <c r="A984" t="s">
        <v>34462</v>
      </c>
      <c r="B984" t="s">
        <v>4942</v>
      </c>
      <c r="C984" t="s">
        <v>4944</v>
      </c>
      <c r="D984">
        <v>30.81</v>
      </c>
      <c r="E984">
        <v>30.81</v>
      </c>
      <c r="F984">
        <v>1353219</v>
      </c>
      <c r="G984">
        <v>930169</v>
      </c>
      <c r="H984">
        <v>39</v>
      </c>
      <c r="I984">
        <v>39.659999999999997</v>
      </c>
      <c r="J984">
        <v>0</v>
      </c>
      <c r="K984">
        <v>1</v>
      </c>
      <c r="L984">
        <v>2</v>
      </c>
      <c r="M984">
        <v>2</v>
      </c>
      <c r="N984">
        <v>4.5999999999999996</v>
      </c>
      <c r="O984">
        <v>0</v>
      </c>
      <c r="P984">
        <v>11</v>
      </c>
      <c r="Q984">
        <v>3</v>
      </c>
      <c r="R984">
        <v>14</v>
      </c>
      <c r="S984" t="s">
        <v>36648</v>
      </c>
      <c r="X984" t="s">
        <v>4941</v>
      </c>
      <c r="Z984" t="s">
        <v>4945</v>
      </c>
      <c r="AA984" t="s">
        <v>4913</v>
      </c>
      <c r="AB984" t="s">
        <v>36664</v>
      </c>
      <c r="AC984" t="s">
        <v>34465</v>
      </c>
      <c r="AD984" t="s">
        <v>16164</v>
      </c>
      <c r="AE984" t="s">
        <v>34525</v>
      </c>
      <c r="AF984" t="s">
        <v>36657</v>
      </c>
      <c r="AG984" t="s">
        <v>36651</v>
      </c>
    </row>
    <row r="985" spans="1:33" x14ac:dyDescent="0.25">
      <c r="A985" t="s">
        <v>34462</v>
      </c>
      <c r="B985" t="s">
        <v>4947</v>
      </c>
      <c r="C985" t="s">
        <v>4949</v>
      </c>
      <c r="D985">
        <v>30.81</v>
      </c>
      <c r="E985">
        <v>30.81</v>
      </c>
      <c r="F985">
        <v>1355059</v>
      </c>
      <c r="G985">
        <v>922857</v>
      </c>
      <c r="H985">
        <v>39</v>
      </c>
      <c r="I985">
        <v>39</v>
      </c>
      <c r="J985">
        <v>0</v>
      </c>
      <c r="K985">
        <v>1</v>
      </c>
      <c r="L985">
        <v>2</v>
      </c>
      <c r="M985">
        <v>2</v>
      </c>
      <c r="N985">
        <v>4.5999999999999996</v>
      </c>
      <c r="O985">
        <v>1</v>
      </c>
      <c r="P985">
        <v>11</v>
      </c>
      <c r="Q985">
        <v>3</v>
      </c>
      <c r="R985">
        <v>11</v>
      </c>
      <c r="S985" t="s">
        <v>36648</v>
      </c>
      <c r="X985" t="s">
        <v>4946</v>
      </c>
      <c r="Z985" t="s">
        <v>4950</v>
      </c>
      <c r="AA985" t="s">
        <v>4913</v>
      </c>
      <c r="AB985" t="s">
        <v>36665</v>
      </c>
      <c r="AC985" t="s">
        <v>34465</v>
      </c>
      <c r="AD985" t="s">
        <v>16164</v>
      </c>
      <c r="AE985" t="s">
        <v>34649</v>
      </c>
      <c r="AF985" t="s">
        <v>36657</v>
      </c>
      <c r="AG985" t="s">
        <v>36651</v>
      </c>
    </row>
    <row r="986" spans="1:33" x14ac:dyDescent="0.25">
      <c r="A986" t="s">
        <v>34462</v>
      </c>
      <c r="B986" t="s">
        <v>4952</v>
      </c>
      <c r="C986" t="s">
        <v>4954</v>
      </c>
      <c r="D986">
        <v>30.81</v>
      </c>
      <c r="E986">
        <v>30.81</v>
      </c>
      <c r="F986">
        <v>1355059</v>
      </c>
      <c r="G986">
        <v>944256</v>
      </c>
      <c r="H986">
        <v>43.27</v>
      </c>
      <c r="I986">
        <v>43.27</v>
      </c>
      <c r="J986">
        <v>0.03</v>
      </c>
      <c r="K986">
        <v>1</v>
      </c>
      <c r="L986">
        <v>2</v>
      </c>
      <c r="M986">
        <v>2</v>
      </c>
      <c r="N986">
        <v>4.5999999999999996</v>
      </c>
      <c r="O986">
        <v>0</v>
      </c>
      <c r="P986">
        <v>11</v>
      </c>
      <c r="Q986">
        <v>3</v>
      </c>
      <c r="R986">
        <v>16</v>
      </c>
      <c r="S986" t="s">
        <v>36648</v>
      </c>
      <c r="X986" t="s">
        <v>4951</v>
      </c>
      <c r="Z986" t="s">
        <v>4955</v>
      </c>
      <c r="AA986" t="s">
        <v>4913</v>
      </c>
      <c r="AB986" t="s">
        <v>36666</v>
      </c>
      <c r="AC986" t="s">
        <v>34465</v>
      </c>
      <c r="AD986" t="s">
        <v>16164</v>
      </c>
      <c r="AE986" t="s">
        <v>34469</v>
      </c>
      <c r="AF986" t="s">
        <v>36657</v>
      </c>
      <c r="AG986" t="s">
        <v>36651</v>
      </c>
    </row>
    <row r="987" spans="1:33" x14ac:dyDescent="0.25">
      <c r="A987" t="s">
        <v>34462</v>
      </c>
      <c r="B987" t="s">
        <v>4957</v>
      </c>
      <c r="C987" t="s">
        <v>4959</v>
      </c>
      <c r="D987">
        <v>38.799999999999997</v>
      </c>
      <c r="E987">
        <v>30.81</v>
      </c>
      <c r="F987">
        <v>1355059</v>
      </c>
      <c r="G987">
        <v>943836</v>
      </c>
      <c r="H987">
        <v>57.24</v>
      </c>
      <c r="I987">
        <v>57.24</v>
      </c>
      <c r="J987">
        <v>0.03</v>
      </c>
      <c r="K987">
        <v>1</v>
      </c>
      <c r="L987">
        <v>2</v>
      </c>
      <c r="M987">
        <v>3</v>
      </c>
      <c r="N987">
        <v>4.4000000000000004</v>
      </c>
      <c r="O987">
        <v>0</v>
      </c>
      <c r="P987">
        <v>8</v>
      </c>
      <c r="Q987">
        <v>4</v>
      </c>
      <c r="R987">
        <v>17</v>
      </c>
      <c r="S987" t="s">
        <v>36648</v>
      </c>
      <c r="X987" t="s">
        <v>4956</v>
      </c>
      <c r="Z987" t="s">
        <v>4960</v>
      </c>
      <c r="AA987" t="s">
        <v>4907</v>
      </c>
      <c r="AB987" t="s">
        <v>36667</v>
      </c>
      <c r="AC987" t="s">
        <v>34465</v>
      </c>
      <c r="AD987" t="s">
        <v>16164</v>
      </c>
      <c r="AE987" t="s">
        <v>34469</v>
      </c>
      <c r="AF987" t="s">
        <v>36655</v>
      </c>
      <c r="AG987" t="s">
        <v>36651</v>
      </c>
    </row>
    <row r="988" spans="1:33" x14ac:dyDescent="0.25">
      <c r="A988" t="s">
        <v>34462</v>
      </c>
      <c r="B988" t="s">
        <v>4962</v>
      </c>
      <c r="C988" t="s">
        <v>4964</v>
      </c>
      <c r="D988">
        <v>38.799999999999997</v>
      </c>
      <c r="E988">
        <v>30.81</v>
      </c>
      <c r="F988">
        <v>1346563</v>
      </c>
      <c r="G988">
        <v>914808</v>
      </c>
      <c r="H988">
        <v>57.3</v>
      </c>
      <c r="I988">
        <v>57.3</v>
      </c>
      <c r="J988">
        <v>0.03</v>
      </c>
      <c r="K988">
        <v>1</v>
      </c>
      <c r="L988">
        <v>2</v>
      </c>
      <c r="M988">
        <v>3</v>
      </c>
      <c r="N988">
        <v>4.5999999999999996</v>
      </c>
      <c r="O988">
        <v>0</v>
      </c>
      <c r="P988">
        <v>11</v>
      </c>
      <c r="Q988">
        <v>3</v>
      </c>
      <c r="R988">
        <v>11</v>
      </c>
      <c r="S988" t="s">
        <v>36648</v>
      </c>
      <c r="X988" t="s">
        <v>4961</v>
      </c>
      <c r="Z988" t="s">
        <v>4965</v>
      </c>
      <c r="AA988" t="s">
        <v>4919</v>
      </c>
      <c r="AB988" t="s">
        <v>36668</v>
      </c>
      <c r="AC988" t="s">
        <v>34465</v>
      </c>
      <c r="AD988" t="s">
        <v>16164</v>
      </c>
      <c r="AE988" t="s">
        <v>34469</v>
      </c>
      <c r="AF988" t="s">
        <v>36669</v>
      </c>
      <c r="AG988" t="s">
        <v>36651</v>
      </c>
    </row>
    <row r="989" spans="1:33" x14ac:dyDescent="0.25">
      <c r="A989" t="s">
        <v>34462</v>
      </c>
      <c r="B989" t="s">
        <v>4967</v>
      </c>
      <c r="C989" t="s">
        <v>4970</v>
      </c>
      <c r="D989">
        <v>28</v>
      </c>
      <c r="E989">
        <v>28</v>
      </c>
      <c r="H989">
        <v>28</v>
      </c>
      <c r="I989">
        <v>28</v>
      </c>
      <c r="J989">
        <v>0.93</v>
      </c>
      <c r="K989">
        <v>1</v>
      </c>
      <c r="L989">
        <v>1</v>
      </c>
      <c r="M989">
        <v>1</v>
      </c>
      <c r="Q989">
        <v>-1</v>
      </c>
      <c r="R989">
        <v>-1</v>
      </c>
      <c r="V989">
        <v>5.12</v>
      </c>
      <c r="W989">
        <v>4.76</v>
      </c>
      <c r="X989" t="s">
        <v>4966</v>
      </c>
      <c r="AB989" t="s">
        <v>36670</v>
      </c>
      <c r="AC989" t="s">
        <v>34465</v>
      </c>
      <c r="AD989" t="s">
        <v>7947</v>
      </c>
      <c r="AF989" t="s">
        <v>36671</v>
      </c>
    </row>
    <row r="990" spans="1:33" x14ac:dyDescent="0.25">
      <c r="A990" t="s">
        <v>34462</v>
      </c>
      <c r="B990" t="s">
        <v>4973</v>
      </c>
      <c r="C990" t="s">
        <v>4976</v>
      </c>
      <c r="D990">
        <v>23.33</v>
      </c>
      <c r="E990">
        <v>23.33</v>
      </c>
      <c r="F990">
        <v>182</v>
      </c>
      <c r="G990">
        <v>199</v>
      </c>
      <c r="H990">
        <v>20.079999999999998</v>
      </c>
      <c r="I990">
        <v>20.079999999999998</v>
      </c>
      <c r="J990">
        <v>0.56999999999999995</v>
      </c>
      <c r="K990">
        <v>0.63</v>
      </c>
      <c r="L990">
        <v>1</v>
      </c>
      <c r="M990">
        <v>1</v>
      </c>
      <c r="N990">
        <v>4.5</v>
      </c>
      <c r="O990">
        <v>7</v>
      </c>
      <c r="P990">
        <v>56619</v>
      </c>
      <c r="Q990">
        <v>63</v>
      </c>
      <c r="R990">
        <v>86</v>
      </c>
      <c r="S990" t="s">
        <v>36672</v>
      </c>
      <c r="U990">
        <v>0.3858085</v>
      </c>
      <c r="V990">
        <v>4.6100000000000003</v>
      </c>
      <c r="X990" t="s">
        <v>4972</v>
      </c>
      <c r="Y990" t="s">
        <v>4977</v>
      </c>
      <c r="Z990" t="s">
        <v>4977</v>
      </c>
      <c r="AA990" t="s">
        <v>4978</v>
      </c>
      <c r="AB990" t="s">
        <v>36673</v>
      </c>
      <c r="AC990" t="s">
        <v>34465</v>
      </c>
      <c r="AD990" t="s">
        <v>15980</v>
      </c>
      <c r="AE990" t="s">
        <v>36238</v>
      </c>
      <c r="AF990" t="s">
        <v>36674</v>
      </c>
      <c r="AG990" t="s">
        <v>36675</v>
      </c>
    </row>
    <row r="991" spans="1:33" x14ac:dyDescent="0.25">
      <c r="A991" t="s">
        <v>34462</v>
      </c>
      <c r="B991" t="s">
        <v>4980</v>
      </c>
      <c r="C991" t="s">
        <v>4982</v>
      </c>
      <c r="D991">
        <v>19.64</v>
      </c>
      <c r="F991">
        <v>182</v>
      </c>
      <c r="G991">
        <v>198</v>
      </c>
      <c r="H991">
        <v>19.64</v>
      </c>
      <c r="I991">
        <v>19.64</v>
      </c>
      <c r="J991">
        <v>0.62</v>
      </c>
      <c r="K991">
        <v>0.62</v>
      </c>
      <c r="L991">
        <v>1</v>
      </c>
      <c r="M991">
        <v>1</v>
      </c>
      <c r="N991">
        <v>4.5</v>
      </c>
      <c r="O991">
        <v>10</v>
      </c>
      <c r="P991">
        <v>56603</v>
      </c>
      <c r="Q991">
        <v>54</v>
      </c>
      <c r="R991">
        <v>72</v>
      </c>
      <c r="S991" t="s">
        <v>36672</v>
      </c>
      <c r="U991">
        <v>0.3858085</v>
      </c>
      <c r="V991">
        <v>3.84</v>
      </c>
      <c r="X991" t="s">
        <v>4979</v>
      </c>
      <c r="Y991" t="s">
        <v>4983</v>
      </c>
      <c r="Z991" t="s">
        <v>4983</v>
      </c>
      <c r="AA991" t="s">
        <v>4978</v>
      </c>
      <c r="AB991" t="s">
        <v>36676</v>
      </c>
      <c r="AC991" t="s">
        <v>34465</v>
      </c>
      <c r="AD991" t="s">
        <v>15980</v>
      </c>
      <c r="AE991" t="s">
        <v>36242</v>
      </c>
      <c r="AF991" t="s">
        <v>36674</v>
      </c>
      <c r="AG991" t="s">
        <v>36675</v>
      </c>
    </row>
    <row r="992" spans="1:33" x14ac:dyDescent="0.25">
      <c r="A992" t="s">
        <v>34462</v>
      </c>
      <c r="B992" t="s">
        <v>4985</v>
      </c>
      <c r="C992" t="s">
        <v>4987</v>
      </c>
      <c r="D992">
        <v>30</v>
      </c>
      <c r="E992">
        <v>30</v>
      </c>
      <c r="F992">
        <v>182</v>
      </c>
      <c r="G992">
        <v>204</v>
      </c>
      <c r="H992">
        <v>20.68</v>
      </c>
      <c r="I992">
        <v>21.53</v>
      </c>
      <c r="J992">
        <v>0.61</v>
      </c>
      <c r="K992">
        <v>0.61</v>
      </c>
      <c r="L992">
        <v>1</v>
      </c>
      <c r="M992">
        <v>1</v>
      </c>
      <c r="N992">
        <v>4.5</v>
      </c>
      <c r="O992">
        <v>10</v>
      </c>
      <c r="P992">
        <v>56622</v>
      </c>
      <c r="Q992">
        <v>56</v>
      </c>
      <c r="R992">
        <v>78</v>
      </c>
      <c r="S992" t="s">
        <v>36672</v>
      </c>
      <c r="U992">
        <v>0.3858085</v>
      </c>
      <c r="V992">
        <v>4.6100000000000003</v>
      </c>
      <c r="W992">
        <v>1.51</v>
      </c>
      <c r="X992" t="s">
        <v>4984</v>
      </c>
      <c r="Y992" t="s">
        <v>4988</v>
      </c>
      <c r="Z992" t="s">
        <v>4988</v>
      </c>
      <c r="AA992" t="s">
        <v>4978</v>
      </c>
      <c r="AB992" t="s">
        <v>36677</v>
      </c>
      <c r="AC992" t="s">
        <v>34493</v>
      </c>
      <c r="AD992" t="s">
        <v>15980</v>
      </c>
      <c r="AE992" t="s">
        <v>36678</v>
      </c>
      <c r="AF992" t="s">
        <v>36679</v>
      </c>
      <c r="AG992" t="s">
        <v>36675</v>
      </c>
    </row>
    <row r="993" spans="1:33" x14ac:dyDescent="0.25">
      <c r="A993" t="s">
        <v>34462</v>
      </c>
      <c r="B993" t="s">
        <v>4990</v>
      </c>
      <c r="C993" t="s">
        <v>4993</v>
      </c>
      <c r="D993">
        <v>56.39</v>
      </c>
      <c r="E993">
        <v>56.39</v>
      </c>
      <c r="F993">
        <v>135514</v>
      </c>
      <c r="G993">
        <v>144767</v>
      </c>
      <c r="H993">
        <v>51.42</v>
      </c>
      <c r="I993">
        <v>49.07</v>
      </c>
      <c r="J993">
        <v>0</v>
      </c>
      <c r="K993">
        <v>0</v>
      </c>
      <c r="L993">
        <v>1</v>
      </c>
      <c r="M993">
        <v>1</v>
      </c>
      <c r="N993">
        <v>4.3</v>
      </c>
      <c r="O993">
        <v>0</v>
      </c>
      <c r="P993">
        <v>74</v>
      </c>
      <c r="Q993">
        <v>15</v>
      </c>
      <c r="R993">
        <v>55</v>
      </c>
      <c r="S993" t="s">
        <v>36680</v>
      </c>
      <c r="U993">
        <v>1.07585456</v>
      </c>
      <c r="V993">
        <v>6.81</v>
      </c>
      <c r="W993">
        <v>9.59</v>
      </c>
      <c r="X993" t="s">
        <v>4989</v>
      </c>
      <c r="Y993" t="s">
        <v>4994</v>
      </c>
      <c r="Z993" t="s">
        <v>4994</v>
      </c>
      <c r="AA993" t="s">
        <v>4995</v>
      </c>
      <c r="AB993" t="s">
        <v>36681</v>
      </c>
      <c r="AC993" t="s">
        <v>34493</v>
      </c>
      <c r="AD993" t="s">
        <v>10970</v>
      </c>
      <c r="AE993" t="s">
        <v>34533</v>
      </c>
      <c r="AF993" t="s">
        <v>36682</v>
      </c>
      <c r="AG993" t="s">
        <v>36683</v>
      </c>
    </row>
    <row r="994" spans="1:33" x14ac:dyDescent="0.25">
      <c r="A994" t="s">
        <v>34462</v>
      </c>
      <c r="B994" t="s">
        <v>4997</v>
      </c>
      <c r="C994" t="s">
        <v>4999</v>
      </c>
      <c r="D994">
        <v>52.12</v>
      </c>
      <c r="E994">
        <v>52.12</v>
      </c>
      <c r="F994">
        <v>135514</v>
      </c>
      <c r="G994">
        <v>139529</v>
      </c>
      <c r="H994">
        <v>51.22</v>
      </c>
      <c r="I994">
        <v>51.29</v>
      </c>
      <c r="J994">
        <v>0</v>
      </c>
      <c r="K994">
        <v>0</v>
      </c>
      <c r="L994">
        <v>1</v>
      </c>
      <c r="M994">
        <v>1</v>
      </c>
      <c r="N994">
        <v>4.3</v>
      </c>
      <c r="O994">
        <v>1</v>
      </c>
      <c r="P994">
        <v>78</v>
      </c>
      <c r="Q994">
        <v>21</v>
      </c>
      <c r="R994">
        <v>55</v>
      </c>
      <c r="S994" t="s">
        <v>36680</v>
      </c>
      <c r="U994">
        <v>1.0493991199999999</v>
      </c>
      <c r="V994">
        <v>7.72</v>
      </c>
      <c r="W994">
        <v>8.86</v>
      </c>
      <c r="X994" t="s">
        <v>4996</v>
      </c>
      <c r="Y994" t="s">
        <v>5000</v>
      </c>
      <c r="Z994" t="s">
        <v>5000</v>
      </c>
      <c r="AA994" t="s">
        <v>5001</v>
      </c>
      <c r="AB994" t="s">
        <v>36684</v>
      </c>
      <c r="AC994" t="s">
        <v>34493</v>
      </c>
      <c r="AD994" t="s">
        <v>10970</v>
      </c>
      <c r="AE994" t="s">
        <v>34533</v>
      </c>
      <c r="AF994" t="s">
        <v>36685</v>
      </c>
      <c r="AG994" t="s">
        <v>36683</v>
      </c>
    </row>
    <row r="995" spans="1:33" x14ac:dyDescent="0.25">
      <c r="A995" t="s">
        <v>34462</v>
      </c>
      <c r="B995" t="s">
        <v>5003</v>
      </c>
      <c r="C995" t="s">
        <v>5005</v>
      </c>
      <c r="D995">
        <v>52.12</v>
      </c>
      <c r="E995">
        <v>52.12</v>
      </c>
      <c r="F995">
        <v>135514</v>
      </c>
      <c r="G995">
        <v>135099</v>
      </c>
      <c r="H995">
        <v>51.13</v>
      </c>
      <c r="I995">
        <v>52.33</v>
      </c>
      <c r="J995">
        <v>0</v>
      </c>
      <c r="K995">
        <v>0</v>
      </c>
      <c r="L995">
        <v>1</v>
      </c>
      <c r="M995">
        <v>1</v>
      </c>
      <c r="N995">
        <v>4.3</v>
      </c>
      <c r="O995">
        <v>2</v>
      </c>
      <c r="P995">
        <v>78</v>
      </c>
      <c r="Q995">
        <v>14</v>
      </c>
      <c r="R995">
        <v>36</v>
      </c>
      <c r="S995" t="s">
        <v>36680</v>
      </c>
      <c r="U995">
        <v>1.0493991199999999</v>
      </c>
      <c r="V995">
        <v>6.14</v>
      </c>
      <c r="W995">
        <v>8.86</v>
      </c>
      <c r="X995" t="s">
        <v>5002</v>
      </c>
      <c r="Y995" t="s">
        <v>5000</v>
      </c>
      <c r="Z995" t="s">
        <v>5000</v>
      </c>
      <c r="AA995" t="s">
        <v>5001</v>
      </c>
      <c r="AB995" t="s">
        <v>36686</v>
      </c>
      <c r="AC995" t="s">
        <v>34493</v>
      </c>
      <c r="AD995" t="s">
        <v>10970</v>
      </c>
      <c r="AE995" t="s">
        <v>34525</v>
      </c>
      <c r="AF995" t="s">
        <v>36685</v>
      </c>
      <c r="AG995" t="s">
        <v>36683</v>
      </c>
    </row>
    <row r="996" spans="1:33" x14ac:dyDescent="0.25">
      <c r="A996" t="s">
        <v>34462</v>
      </c>
      <c r="B996" t="s">
        <v>5007</v>
      </c>
      <c r="C996" t="s">
        <v>5009</v>
      </c>
      <c r="D996">
        <v>59.99</v>
      </c>
      <c r="E996">
        <v>59.99</v>
      </c>
      <c r="F996">
        <v>209111</v>
      </c>
      <c r="G996">
        <v>137924</v>
      </c>
      <c r="H996">
        <v>53.07</v>
      </c>
      <c r="I996">
        <v>52.16</v>
      </c>
      <c r="J996">
        <v>0</v>
      </c>
      <c r="K996">
        <v>0</v>
      </c>
      <c r="L996">
        <v>1</v>
      </c>
      <c r="M996">
        <v>1</v>
      </c>
      <c r="N996">
        <v>4.3</v>
      </c>
      <c r="O996">
        <v>3</v>
      </c>
      <c r="P996">
        <v>78</v>
      </c>
      <c r="Q996">
        <v>14</v>
      </c>
      <c r="R996">
        <v>38</v>
      </c>
      <c r="S996" t="s">
        <v>36680</v>
      </c>
      <c r="U996">
        <v>1.2345872</v>
      </c>
      <c r="V996">
        <v>7.24</v>
      </c>
      <c r="W996">
        <v>10.199999999999999</v>
      </c>
      <c r="X996" t="s">
        <v>5006</v>
      </c>
      <c r="Y996" t="s">
        <v>4994</v>
      </c>
      <c r="Z996" t="s">
        <v>4994</v>
      </c>
      <c r="AA996" t="s">
        <v>4995</v>
      </c>
      <c r="AB996" t="s">
        <v>36687</v>
      </c>
      <c r="AC996" t="s">
        <v>34493</v>
      </c>
      <c r="AD996" t="s">
        <v>10970</v>
      </c>
      <c r="AE996" t="s">
        <v>34525</v>
      </c>
      <c r="AF996" t="s">
        <v>36682</v>
      </c>
      <c r="AG996" t="s">
        <v>36683</v>
      </c>
    </row>
    <row r="997" spans="1:33" x14ac:dyDescent="0.25">
      <c r="A997" t="s">
        <v>34462</v>
      </c>
      <c r="B997" t="s">
        <v>5011</v>
      </c>
      <c r="C997" t="s">
        <v>5014</v>
      </c>
      <c r="D997">
        <v>39.01</v>
      </c>
      <c r="E997">
        <v>30.1</v>
      </c>
      <c r="F997">
        <v>1275753</v>
      </c>
      <c r="G997">
        <v>823128</v>
      </c>
      <c r="H997">
        <v>45.37</v>
      </c>
      <c r="I997">
        <v>48.97</v>
      </c>
      <c r="J997">
        <v>0</v>
      </c>
      <c r="K997">
        <v>0.56000000000000005</v>
      </c>
      <c r="L997">
        <v>5</v>
      </c>
      <c r="M997">
        <v>5</v>
      </c>
      <c r="N997">
        <v>4.5</v>
      </c>
      <c r="O997">
        <v>0</v>
      </c>
      <c r="P997">
        <v>21</v>
      </c>
      <c r="Q997">
        <v>3</v>
      </c>
      <c r="R997">
        <v>29</v>
      </c>
      <c r="S997" t="s">
        <v>36688</v>
      </c>
      <c r="U997">
        <v>0.33069300000000001</v>
      </c>
      <c r="V997">
        <v>6.14</v>
      </c>
      <c r="W997">
        <v>6.64</v>
      </c>
      <c r="X997" t="s">
        <v>5010</v>
      </c>
      <c r="Y997" t="s">
        <v>36689</v>
      </c>
      <c r="Z997" t="s">
        <v>5015</v>
      </c>
      <c r="AA997" t="s">
        <v>278</v>
      </c>
      <c r="AB997" t="s">
        <v>36690</v>
      </c>
      <c r="AC997" t="s">
        <v>34493</v>
      </c>
      <c r="AD997" t="s">
        <v>7954</v>
      </c>
      <c r="AE997" t="s">
        <v>34474</v>
      </c>
      <c r="AF997" t="s">
        <v>36691</v>
      </c>
      <c r="AG997" t="s">
        <v>36692</v>
      </c>
    </row>
    <row r="998" spans="1:33" x14ac:dyDescent="0.25">
      <c r="A998" t="s">
        <v>34462</v>
      </c>
      <c r="B998" t="s">
        <v>5017</v>
      </c>
      <c r="C998" t="s">
        <v>5019</v>
      </c>
      <c r="D998">
        <v>22.77</v>
      </c>
      <c r="E998">
        <v>22.77</v>
      </c>
      <c r="F998">
        <v>393774</v>
      </c>
      <c r="G998">
        <v>732110</v>
      </c>
      <c r="H998">
        <v>27.56</v>
      </c>
      <c r="I998">
        <v>23.65</v>
      </c>
      <c r="J998">
        <v>0</v>
      </c>
      <c r="K998">
        <v>0</v>
      </c>
      <c r="L998">
        <v>3</v>
      </c>
      <c r="M998">
        <v>4</v>
      </c>
      <c r="N998">
        <v>4.5</v>
      </c>
      <c r="O998">
        <v>0</v>
      </c>
      <c r="P998">
        <v>6</v>
      </c>
      <c r="Q998">
        <v>9</v>
      </c>
      <c r="R998">
        <v>29</v>
      </c>
      <c r="S998" t="s">
        <v>36693</v>
      </c>
      <c r="U998">
        <v>0.33069300000000001</v>
      </c>
      <c r="V998">
        <v>5.9</v>
      </c>
      <c r="W998">
        <v>3.87</v>
      </c>
      <c r="X998" t="s">
        <v>5016</v>
      </c>
      <c r="Y998" t="s">
        <v>5020</v>
      </c>
      <c r="Z998" t="s">
        <v>5020</v>
      </c>
      <c r="AA998" t="s">
        <v>856</v>
      </c>
      <c r="AB998" t="s">
        <v>36694</v>
      </c>
      <c r="AC998" t="s">
        <v>34493</v>
      </c>
      <c r="AD998" t="s">
        <v>7954</v>
      </c>
      <c r="AE998" t="s">
        <v>34474</v>
      </c>
      <c r="AF998" t="s">
        <v>36695</v>
      </c>
      <c r="AG998" t="s">
        <v>36696</v>
      </c>
    </row>
    <row r="999" spans="1:33" x14ac:dyDescent="0.25">
      <c r="A999" t="s">
        <v>34462</v>
      </c>
      <c r="B999" t="s">
        <v>5022</v>
      </c>
      <c r="C999" t="s">
        <v>5024</v>
      </c>
      <c r="D999">
        <v>39.99</v>
      </c>
      <c r="E999">
        <v>39.99</v>
      </c>
      <c r="F999">
        <v>1275753</v>
      </c>
      <c r="G999">
        <v>777902</v>
      </c>
      <c r="H999">
        <v>45.26</v>
      </c>
      <c r="I999">
        <v>38.270000000000003</v>
      </c>
      <c r="J999">
        <v>0</v>
      </c>
      <c r="K999">
        <v>0.94</v>
      </c>
      <c r="L999">
        <v>4</v>
      </c>
      <c r="M999">
        <v>3</v>
      </c>
      <c r="N999">
        <v>4.5</v>
      </c>
      <c r="O999">
        <v>4</v>
      </c>
      <c r="P999">
        <v>21</v>
      </c>
      <c r="Q999">
        <v>6</v>
      </c>
      <c r="R999">
        <v>32</v>
      </c>
      <c r="S999" t="s">
        <v>36688</v>
      </c>
      <c r="U999">
        <v>0.35273919999999997</v>
      </c>
      <c r="V999">
        <v>4.67</v>
      </c>
      <c r="X999" t="s">
        <v>5021</v>
      </c>
      <c r="Y999" t="s">
        <v>36697</v>
      </c>
      <c r="Z999" t="s">
        <v>5015</v>
      </c>
      <c r="AA999" t="s">
        <v>278</v>
      </c>
      <c r="AB999" t="s">
        <v>36698</v>
      </c>
      <c r="AC999" t="s">
        <v>34465</v>
      </c>
      <c r="AD999" t="s">
        <v>7954</v>
      </c>
      <c r="AE999" t="s">
        <v>34533</v>
      </c>
      <c r="AF999" t="s">
        <v>36699</v>
      </c>
      <c r="AG999" t="s">
        <v>36692</v>
      </c>
    </row>
    <row r="1000" spans="1:33" x14ac:dyDescent="0.25">
      <c r="A1000" t="s">
        <v>34462</v>
      </c>
      <c r="B1000" t="s">
        <v>5026</v>
      </c>
      <c r="C1000" t="s">
        <v>5028</v>
      </c>
      <c r="D1000">
        <v>38.5</v>
      </c>
      <c r="E1000">
        <v>38.5</v>
      </c>
      <c r="F1000">
        <v>393774</v>
      </c>
      <c r="G1000">
        <v>711265</v>
      </c>
      <c r="H1000">
        <v>41.87</v>
      </c>
      <c r="I1000">
        <v>42.87</v>
      </c>
      <c r="J1000">
        <v>0</v>
      </c>
      <c r="K1000">
        <v>0</v>
      </c>
      <c r="L1000">
        <v>10</v>
      </c>
      <c r="M1000">
        <v>18</v>
      </c>
      <c r="N1000">
        <v>4.5</v>
      </c>
      <c r="O1000">
        <v>0</v>
      </c>
      <c r="P1000">
        <v>6</v>
      </c>
      <c r="Q1000">
        <v>18</v>
      </c>
      <c r="R1000">
        <v>45</v>
      </c>
      <c r="S1000" t="s">
        <v>36693</v>
      </c>
      <c r="U1000">
        <v>0.33069300000000001</v>
      </c>
      <c r="V1000">
        <v>6.6</v>
      </c>
      <c r="W1000">
        <v>6.55</v>
      </c>
      <c r="X1000" t="s">
        <v>5025</v>
      </c>
      <c r="Y1000" t="s">
        <v>5020</v>
      </c>
      <c r="Z1000" t="s">
        <v>5020</v>
      </c>
      <c r="AA1000" t="s">
        <v>1406</v>
      </c>
      <c r="AB1000" t="s">
        <v>36700</v>
      </c>
      <c r="AC1000" t="s">
        <v>34493</v>
      </c>
      <c r="AD1000" t="s">
        <v>7954</v>
      </c>
      <c r="AE1000" t="s">
        <v>34533</v>
      </c>
      <c r="AF1000" t="s">
        <v>36701</v>
      </c>
      <c r="AG1000" t="s">
        <v>36696</v>
      </c>
    </row>
    <row r="1001" spans="1:33" x14ac:dyDescent="0.25">
      <c r="A1001" t="s">
        <v>34462</v>
      </c>
      <c r="B1001" t="s">
        <v>5030</v>
      </c>
      <c r="C1001" t="s">
        <v>5032</v>
      </c>
      <c r="D1001">
        <v>22.77</v>
      </c>
      <c r="E1001">
        <v>22.77</v>
      </c>
      <c r="F1001">
        <v>393774</v>
      </c>
      <c r="G1001">
        <v>704623</v>
      </c>
      <c r="H1001">
        <v>32.729999999999997</v>
      </c>
      <c r="I1001">
        <v>29.89</v>
      </c>
      <c r="J1001">
        <v>0</v>
      </c>
      <c r="K1001">
        <v>0</v>
      </c>
      <c r="L1001">
        <v>3</v>
      </c>
      <c r="M1001">
        <v>3</v>
      </c>
      <c r="N1001">
        <v>4.5</v>
      </c>
      <c r="O1001">
        <v>0</v>
      </c>
      <c r="P1001">
        <v>6</v>
      </c>
      <c r="Q1001">
        <v>12</v>
      </c>
      <c r="R1001">
        <v>34</v>
      </c>
      <c r="S1001" t="s">
        <v>36693</v>
      </c>
      <c r="U1001">
        <v>0.35053457999999998</v>
      </c>
      <c r="V1001">
        <v>5.9</v>
      </c>
      <c r="W1001">
        <v>3.87</v>
      </c>
      <c r="X1001" t="s">
        <v>5029</v>
      </c>
      <c r="Y1001" t="s">
        <v>5020</v>
      </c>
      <c r="Z1001" t="s">
        <v>5020</v>
      </c>
      <c r="AA1001" t="s">
        <v>856</v>
      </c>
      <c r="AB1001" t="s">
        <v>36702</v>
      </c>
      <c r="AC1001" t="s">
        <v>34493</v>
      </c>
      <c r="AD1001" t="s">
        <v>7954</v>
      </c>
      <c r="AE1001" t="s">
        <v>34533</v>
      </c>
      <c r="AF1001" t="s">
        <v>36695</v>
      </c>
      <c r="AG1001" t="s">
        <v>36696</v>
      </c>
    </row>
    <row r="1002" spans="1:33" x14ac:dyDescent="0.25">
      <c r="A1002" t="s">
        <v>34462</v>
      </c>
      <c r="B1002" t="s">
        <v>5034</v>
      </c>
      <c r="C1002" t="s">
        <v>5036</v>
      </c>
      <c r="D1002">
        <v>45.98</v>
      </c>
      <c r="E1002">
        <v>39.99</v>
      </c>
      <c r="F1002">
        <v>1275753</v>
      </c>
      <c r="G1002">
        <v>793120</v>
      </c>
      <c r="H1002">
        <v>44.71</v>
      </c>
      <c r="I1002">
        <v>38.979999999999997</v>
      </c>
      <c r="J1002">
        <v>0</v>
      </c>
      <c r="K1002">
        <v>1</v>
      </c>
      <c r="L1002">
        <v>4</v>
      </c>
      <c r="M1002">
        <v>3</v>
      </c>
      <c r="N1002">
        <v>4.5</v>
      </c>
      <c r="O1002">
        <v>4</v>
      </c>
      <c r="P1002">
        <v>21</v>
      </c>
      <c r="Q1002">
        <v>3</v>
      </c>
      <c r="R1002">
        <v>30</v>
      </c>
      <c r="S1002" t="s">
        <v>36688</v>
      </c>
      <c r="U1002">
        <v>0.24250820000000001</v>
      </c>
      <c r="V1002">
        <v>6.14</v>
      </c>
      <c r="W1002">
        <v>7.82</v>
      </c>
      <c r="X1002" t="s">
        <v>5033</v>
      </c>
      <c r="Y1002" t="s">
        <v>36703</v>
      </c>
      <c r="Z1002" t="s">
        <v>5015</v>
      </c>
      <c r="AA1002" t="s">
        <v>278</v>
      </c>
      <c r="AB1002" t="s">
        <v>36704</v>
      </c>
      <c r="AC1002" t="s">
        <v>34465</v>
      </c>
      <c r="AD1002" t="s">
        <v>7954</v>
      </c>
      <c r="AE1002" t="s">
        <v>14701</v>
      </c>
      <c r="AF1002" t="s">
        <v>36699</v>
      </c>
      <c r="AG1002" t="s">
        <v>36692</v>
      </c>
    </row>
    <row r="1003" spans="1:33" x14ac:dyDescent="0.25">
      <c r="A1003" t="s">
        <v>34462</v>
      </c>
      <c r="B1003" t="s">
        <v>5038</v>
      </c>
      <c r="C1003" t="s">
        <v>5040</v>
      </c>
      <c r="D1003">
        <v>22.77</v>
      </c>
      <c r="E1003">
        <v>22.77</v>
      </c>
      <c r="F1003">
        <v>393774</v>
      </c>
      <c r="G1003">
        <v>704230</v>
      </c>
      <c r="H1003">
        <v>30.43</v>
      </c>
      <c r="I1003">
        <v>28.08</v>
      </c>
      <c r="J1003">
        <v>0</v>
      </c>
      <c r="K1003">
        <v>0</v>
      </c>
      <c r="L1003">
        <v>4</v>
      </c>
      <c r="M1003">
        <v>3</v>
      </c>
      <c r="N1003">
        <v>4.5</v>
      </c>
      <c r="O1003">
        <v>0</v>
      </c>
      <c r="P1003">
        <v>6</v>
      </c>
      <c r="Q1003">
        <v>12</v>
      </c>
      <c r="R1003">
        <v>36</v>
      </c>
      <c r="S1003" t="s">
        <v>36693</v>
      </c>
      <c r="U1003">
        <v>0.37037616000000001</v>
      </c>
      <c r="V1003">
        <v>5.9</v>
      </c>
      <c r="W1003">
        <v>3.87</v>
      </c>
      <c r="X1003" t="s">
        <v>5037</v>
      </c>
      <c r="Y1003" t="s">
        <v>5020</v>
      </c>
      <c r="Z1003" t="s">
        <v>5020</v>
      </c>
      <c r="AA1003" t="s">
        <v>856</v>
      </c>
      <c r="AB1003" t="s">
        <v>36705</v>
      </c>
      <c r="AC1003" t="s">
        <v>34493</v>
      </c>
      <c r="AD1003" t="s">
        <v>7954</v>
      </c>
      <c r="AE1003" t="s">
        <v>14701</v>
      </c>
      <c r="AF1003" t="s">
        <v>36695</v>
      </c>
      <c r="AG1003" t="s">
        <v>36696</v>
      </c>
    </row>
    <row r="1004" spans="1:33" x14ac:dyDescent="0.25">
      <c r="A1004" t="s">
        <v>34462</v>
      </c>
      <c r="B1004" t="s">
        <v>5042</v>
      </c>
      <c r="C1004" t="s">
        <v>5044</v>
      </c>
      <c r="D1004">
        <v>45.98</v>
      </c>
      <c r="E1004">
        <v>39.99</v>
      </c>
      <c r="F1004">
        <v>1275753</v>
      </c>
      <c r="G1004">
        <v>787253</v>
      </c>
      <c r="H1004">
        <v>45.54</v>
      </c>
      <c r="I1004">
        <v>41.04</v>
      </c>
      <c r="J1004">
        <v>0</v>
      </c>
      <c r="K1004">
        <v>1</v>
      </c>
      <c r="L1004">
        <v>4</v>
      </c>
      <c r="M1004">
        <v>3</v>
      </c>
      <c r="N1004">
        <v>4.5</v>
      </c>
      <c r="O1004">
        <v>2</v>
      </c>
      <c r="P1004">
        <v>21</v>
      </c>
      <c r="Q1004">
        <v>3</v>
      </c>
      <c r="R1004">
        <v>26</v>
      </c>
      <c r="S1004" t="s">
        <v>36688</v>
      </c>
      <c r="U1004">
        <v>0.39903622</v>
      </c>
      <c r="V1004">
        <v>6.14</v>
      </c>
      <c r="W1004">
        <v>7.82</v>
      </c>
      <c r="X1004" t="s">
        <v>5041</v>
      </c>
      <c r="Y1004" t="s">
        <v>36706</v>
      </c>
      <c r="Z1004" t="s">
        <v>5015</v>
      </c>
      <c r="AA1004" t="s">
        <v>278</v>
      </c>
      <c r="AB1004" t="s">
        <v>36707</v>
      </c>
      <c r="AC1004" t="s">
        <v>34465</v>
      </c>
      <c r="AD1004" t="s">
        <v>7954</v>
      </c>
      <c r="AE1004" t="s">
        <v>34525</v>
      </c>
      <c r="AF1004" t="s">
        <v>36699</v>
      </c>
      <c r="AG1004" t="s">
        <v>36692</v>
      </c>
    </row>
    <row r="1005" spans="1:33" x14ac:dyDescent="0.25">
      <c r="A1005" t="s">
        <v>34462</v>
      </c>
      <c r="B1005" t="s">
        <v>5046</v>
      </c>
      <c r="C1005" t="s">
        <v>5048</v>
      </c>
      <c r="D1005">
        <v>38.5</v>
      </c>
      <c r="E1005">
        <v>29.5</v>
      </c>
      <c r="F1005">
        <v>393774</v>
      </c>
      <c r="G1005">
        <v>728311</v>
      </c>
      <c r="H1005">
        <v>34.56</v>
      </c>
      <c r="I1005">
        <v>31.8</v>
      </c>
      <c r="J1005">
        <v>0</v>
      </c>
      <c r="K1005">
        <v>0</v>
      </c>
      <c r="L1005">
        <v>3</v>
      </c>
      <c r="M1005">
        <v>2</v>
      </c>
      <c r="N1005">
        <v>4.5</v>
      </c>
      <c r="O1005">
        <v>0</v>
      </c>
      <c r="P1005">
        <v>6</v>
      </c>
      <c r="Q1005">
        <v>11</v>
      </c>
      <c r="R1005">
        <v>37</v>
      </c>
      <c r="S1005" t="s">
        <v>36693</v>
      </c>
      <c r="U1005">
        <v>0.42108242000000001</v>
      </c>
      <c r="V1005">
        <v>5.9</v>
      </c>
      <c r="W1005">
        <v>6.55</v>
      </c>
      <c r="X1005" t="s">
        <v>5045</v>
      </c>
      <c r="Y1005" t="s">
        <v>5020</v>
      </c>
      <c r="Z1005" t="s">
        <v>5020</v>
      </c>
      <c r="AA1005" t="s">
        <v>856</v>
      </c>
      <c r="AB1005" t="s">
        <v>36708</v>
      </c>
      <c r="AC1005" t="s">
        <v>34493</v>
      </c>
      <c r="AD1005" t="s">
        <v>7954</v>
      </c>
      <c r="AE1005" t="s">
        <v>34525</v>
      </c>
      <c r="AF1005" t="s">
        <v>36695</v>
      </c>
      <c r="AG1005" t="s">
        <v>36696</v>
      </c>
    </row>
    <row r="1006" spans="1:33" x14ac:dyDescent="0.25">
      <c r="A1006" t="s">
        <v>34462</v>
      </c>
      <c r="B1006" t="s">
        <v>5050</v>
      </c>
      <c r="C1006" t="s">
        <v>5052</v>
      </c>
      <c r="D1006">
        <v>20</v>
      </c>
      <c r="E1006">
        <v>20</v>
      </c>
      <c r="F1006">
        <v>1275753</v>
      </c>
      <c r="G1006">
        <v>768906</v>
      </c>
      <c r="H1006">
        <v>30.59</v>
      </c>
      <c r="I1006">
        <v>25.73</v>
      </c>
      <c r="J1006">
        <v>0</v>
      </c>
      <c r="K1006">
        <v>0</v>
      </c>
      <c r="L1006">
        <v>6</v>
      </c>
      <c r="M1006">
        <v>5</v>
      </c>
      <c r="N1006">
        <v>4.5</v>
      </c>
      <c r="O1006">
        <v>2</v>
      </c>
      <c r="P1006">
        <v>21</v>
      </c>
      <c r="Q1006">
        <v>4</v>
      </c>
      <c r="R1006">
        <v>29</v>
      </c>
      <c r="S1006" t="s">
        <v>36688</v>
      </c>
      <c r="U1006">
        <v>0.44092399999999998</v>
      </c>
      <c r="V1006">
        <v>6.81</v>
      </c>
      <c r="W1006">
        <v>2</v>
      </c>
      <c r="X1006" t="s">
        <v>5049</v>
      </c>
      <c r="Y1006" t="s">
        <v>36709</v>
      </c>
      <c r="Z1006" t="s">
        <v>5015</v>
      </c>
      <c r="AA1006" t="s">
        <v>278</v>
      </c>
      <c r="AB1006" t="s">
        <v>36710</v>
      </c>
      <c r="AC1006" t="s">
        <v>34493</v>
      </c>
      <c r="AD1006" t="s">
        <v>7954</v>
      </c>
      <c r="AE1006" t="s">
        <v>34649</v>
      </c>
      <c r="AF1006" t="s">
        <v>36699</v>
      </c>
      <c r="AG1006" t="s">
        <v>36692</v>
      </c>
    </row>
    <row r="1007" spans="1:33" x14ac:dyDescent="0.25">
      <c r="A1007" t="s">
        <v>34462</v>
      </c>
      <c r="B1007" t="s">
        <v>5054</v>
      </c>
      <c r="C1007" t="s">
        <v>5056</v>
      </c>
      <c r="D1007">
        <v>32.92</v>
      </c>
      <c r="E1007">
        <v>28.03</v>
      </c>
      <c r="F1007">
        <v>393774</v>
      </c>
      <c r="G1007">
        <v>713249</v>
      </c>
      <c r="H1007">
        <v>36.67</v>
      </c>
      <c r="I1007">
        <v>34.14</v>
      </c>
      <c r="J1007">
        <v>0.35</v>
      </c>
      <c r="K1007">
        <v>0.4</v>
      </c>
      <c r="L1007">
        <v>2</v>
      </c>
      <c r="M1007">
        <v>2</v>
      </c>
      <c r="N1007">
        <v>4.5</v>
      </c>
      <c r="O1007">
        <v>0</v>
      </c>
      <c r="P1007">
        <v>6</v>
      </c>
      <c r="Q1007">
        <v>10</v>
      </c>
      <c r="R1007">
        <v>25</v>
      </c>
      <c r="S1007" t="s">
        <v>36693</v>
      </c>
      <c r="U1007">
        <v>0.42990089999999997</v>
      </c>
      <c r="V1007">
        <v>5.9</v>
      </c>
      <c r="W1007">
        <v>5.59</v>
      </c>
      <c r="X1007" t="s">
        <v>5053</v>
      </c>
      <c r="Y1007" t="s">
        <v>5020</v>
      </c>
      <c r="Z1007" t="s">
        <v>5020</v>
      </c>
      <c r="AA1007" t="s">
        <v>856</v>
      </c>
      <c r="AB1007" t="s">
        <v>36711</v>
      </c>
      <c r="AC1007" t="s">
        <v>34493</v>
      </c>
      <c r="AD1007" t="s">
        <v>7954</v>
      </c>
      <c r="AE1007" t="s">
        <v>34649</v>
      </c>
      <c r="AF1007" t="s">
        <v>36712</v>
      </c>
      <c r="AG1007" t="s">
        <v>36696</v>
      </c>
    </row>
    <row r="1008" spans="1:33" x14ac:dyDescent="0.25">
      <c r="A1008" t="s">
        <v>34462</v>
      </c>
      <c r="B1008" t="s">
        <v>5058</v>
      </c>
      <c r="C1008" t="s">
        <v>5060</v>
      </c>
      <c r="D1008">
        <v>38.5</v>
      </c>
      <c r="E1008">
        <v>38.5</v>
      </c>
      <c r="F1008">
        <v>393774</v>
      </c>
      <c r="G1008">
        <v>710614</v>
      </c>
      <c r="H1008">
        <v>36.96</v>
      </c>
      <c r="I1008">
        <v>27.27</v>
      </c>
      <c r="J1008">
        <v>0</v>
      </c>
      <c r="K1008">
        <v>0</v>
      </c>
      <c r="L1008">
        <v>2</v>
      </c>
      <c r="M1008">
        <v>2</v>
      </c>
      <c r="N1008">
        <v>4.5</v>
      </c>
      <c r="O1008">
        <v>1</v>
      </c>
      <c r="P1008">
        <v>6</v>
      </c>
      <c r="Q1008">
        <v>11</v>
      </c>
      <c r="R1008">
        <v>34</v>
      </c>
      <c r="S1008" t="s">
        <v>36693</v>
      </c>
      <c r="U1008">
        <v>0.4629702</v>
      </c>
      <c r="V1008">
        <v>5.9</v>
      </c>
      <c r="W1008">
        <v>6.55</v>
      </c>
      <c r="X1008" t="s">
        <v>5057</v>
      </c>
      <c r="Y1008" t="s">
        <v>5020</v>
      </c>
      <c r="Z1008" t="s">
        <v>5020</v>
      </c>
      <c r="AA1008" t="s">
        <v>856</v>
      </c>
      <c r="AB1008" t="s">
        <v>36713</v>
      </c>
      <c r="AC1008" t="s">
        <v>34493</v>
      </c>
      <c r="AD1008" t="s">
        <v>7954</v>
      </c>
      <c r="AE1008" t="s">
        <v>34469</v>
      </c>
      <c r="AF1008" t="s">
        <v>36695</v>
      </c>
      <c r="AG1008" t="s">
        <v>36696</v>
      </c>
    </row>
    <row r="1009" spans="1:33" x14ac:dyDescent="0.25">
      <c r="A1009" t="s">
        <v>34462</v>
      </c>
      <c r="B1009" t="s">
        <v>5062</v>
      </c>
      <c r="C1009" t="s">
        <v>5065</v>
      </c>
      <c r="D1009">
        <v>29.99</v>
      </c>
      <c r="E1009">
        <v>29.99</v>
      </c>
      <c r="G1009">
        <v>137128</v>
      </c>
      <c r="H1009">
        <v>21.5</v>
      </c>
      <c r="I1009">
        <v>21.67</v>
      </c>
      <c r="J1009">
        <v>0</v>
      </c>
      <c r="K1009">
        <v>1</v>
      </c>
      <c r="L1009">
        <v>2</v>
      </c>
      <c r="M1009">
        <v>1</v>
      </c>
      <c r="O1009">
        <v>0</v>
      </c>
      <c r="Q1009">
        <v>0</v>
      </c>
      <c r="R1009">
        <v>72</v>
      </c>
      <c r="U1009">
        <v>2.7800258200000001</v>
      </c>
      <c r="V1009">
        <v>6.81</v>
      </c>
      <c r="W1009">
        <v>5.0999999999999996</v>
      </c>
      <c r="X1009" t="s">
        <v>5061</v>
      </c>
      <c r="AB1009" t="s">
        <v>36714</v>
      </c>
      <c r="AC1009" t="s">
        <v>34465</v>
      </c>
      <c r="AD1009" t="s">
        <v>11496</v>
      </c>
      <c r="AG1009" t="s">
        <v>36715</v>
      </c>
    </row>
    <row r="1010" spans="1:33" x14ac:dyDescent="0.25">
      <c r="A1010" t="s">
        <v>34462</v>
      </c>
      <c r="B1010" t="s">
        <v>5067</v>
      </c>
      <c r="C1010" t="s">
        <v>5069</v>
      </c>
      <c r="D1010">
        <v>16.61</v>
      </c>
      <c r="E1010">
        <v>16.61</v>
      </c>
      <c r="G1010">
        <v>136256</v>
      </c>
      <c r="H1010">
        <v>17.25</v>
      </c>
      <c r="I1010">
        <v>21.91</v>
      </c>
      <c r="J1010">
        <v>0</v>
      </c>
      <c r="K1010">
        <v>1</v>
      </c>
      <c r="L1010">
        <v>20</v>
      </c>
      <c r="M1010">
        <v>19</v>
      </c>
      <c r="O1010">
        <v>0</v>
      </c>
      <c r="Q1010">
        <v>0</v>
      </c>
      <c r="R1010">
        <v>65</v>
      </c>
      <c r="U1010">
        <v>0.48942564</v>
      </c>
      <c r="V1010">
        <v>5.82</v>
      </c>
      <c r="W1010">
        <v>1.66</v>
      </c>
      <c r="X1010" t="s">
        <v>5066</v>
      </c>
      <c r="Z1010" t="s">
        <v>1452</v>
      </c>
      <c r="AA1010" t="s">
        <v>5070</v>
      </c>
      <c r="AB1010" t="s">
        <v>36716</v>
      </c>
      <c r="AC1010" t="s">
        <v>34465</v>
      </c>
      <c r="AD1010" t="s">
        <v>11496</v>
      </c>
      <c r="AF1010" t="s">
        <v>36717</v>
      </c>
      <c r="AG1010" t="s">
        <v>36715</v>
      </c>
    </row>
    <row r="1011" spans="1:33" x14ac:dyDescent="0.25">
      <c r="A1011" t="s">
        <v>34462</v>
      </c>
      <c r="B1011" t="s">
        <v>5072</v>
      </c>
      <c r="C1011" t="s">
        <v>5074</v>
      </c>
      <c r="D1011">
        <v>8.5</v>
      </c>
      <c r="E1011">
        <v>8.5</v>
      </c>
      <c r="G1011">
        <v>132480</v>
      </c>
      <c r="H1011">
        <v>18.12</v>
      </c>
      <c r="I1011">
        <v>22.87</v>
      </c>
      <c r="J1011">
        <v>0</v>
      </c>
      <c r="K1011">
        <v>1</v>
      </c>
      <c r="L1011">
        <v>10</v>
      </c>
      <c r="M1011">
        <v>9</v>
      </c>
      <c r="O1011">
        <v>0</v>
      </c>
      <c r="Q1011">
        <v>0</v>
      </c>
      <c r="R1011">
        <v>57</v>
      </c>
      <c r="U1011">
        <v>2.7800258200000001</v>
      </c>
      <c r="V1011">
        <v>6.81</v>
      </c>
      <c r="W1011">
        <v>0.85</v>
      </c>
      <c r="X1011" t="s">
        <v>5071</v>
      </c>
      <c r="AB1011" t="s">
        <v>36718</v>
      </c>
      <c r="AC1011" t="s">
        <v>34465</v>
      </c>
      <c r="AD1011" t="s">
        <v>11496</v>
      </c>
      <c r="AF1011" t="s">
        <v>36719</v>
      </c>
      <c r="AG1011" t="s">
        <v>36715</v>
      </c>
    </row>
    <row r="1012" spans="1:33" x14ac:dyDescent="0.25">
      <c r="A1012" t="s">
        <v>34462</v>
      </c>
      <c r="B1012" t="s">
        <v>5076</v>
      </c>
      <c r="C1012" t="s">
        <v>5078</v>
      </c>
      <c r="D1012">
        <v>13.61</v>
      </c>
      <c r="E1012">
        <v>13.61</v>
      </c>
      <c r="G1012">
        <v>136330</v>
      </c>
      <c r="H1012">
        <v>17.11</v>
      </c>
      <c r="I1012">
        <v>22.57</v>
      </c>
      <c r="J1012">
        <v>0</v>
      </c>
      <c r="K1012">
        <v>1</v>
      </c>
      <c r="L1012">
        <v>13</v>
      </c>
      <c r="M1012">
        <v>12</v>
      </c>
      <c r="O1012">
        <v>0</v>
      </c>
      <c r="Q1012">
        <v>0</v>
      </c>
      <c r="R1012">
        <v>72</v>
      </c>
      <c r="U1012">
        <v>0.48942564</v>
      </c>
      <c r="V1012">
        <v>5.82</v>
      </c>
      <c r="W1012">
        <v>2.31</v>
      </c>
      <c r="X1012" t="s">
        <v>5075</v>
      </c>
      <c r="Z1012" t="s">
        <v>1452</v>
      </c>
      <c r="AA1012" t="s">
        <v>1243</v>
      </c>
      <c r="AB1012" t="s">
        <v>36720</v>
      </c>
      <c r="AC1012" t="s">
        <v>34465</v>
      </c>
      <c r="AD1012" t="s">
        <v>11496</v>
      </c>
      <c r="AF1012" t="s">
        <v>36717</v>
      </c>
      <c r="AG1012" t="s">
        <v>36715</v>
      </c>
    </row>
    <row r="1013" spans="1:33" x14ac:dyDescent="0.25">
      <c r="A1013" t="s">
        <v>34462</v>
      </c>
      <c r="B1013" t="s">
        <v>5080</v>
      </c>
      <c r="C1013" t="s">
        <v>5082</v>
      </c>
      <c r="D1013">
        <v>14.4</v>
      </c>
      <c r="E1013">
        <v>14.4</v>
      </c>
      <c r="G1013">
        <v>139609</v>
      </c>
      <c r="H1013">
        <v>19.07</v>
      </c>
      <c r="I1013">
        <v>21.69</v>
      </c>
      <c r="J1013">
        <v>0</v>
      </c>
      <c r="K1013">
        <v>1</v>
      </c>
      <c r="L1013">
        <v>16</v>
      </c>
      <c r="M1013">
        <v>14</v>
      </c>
      <c r="O1013">
        <v>0</v>
      </c>
      <c r="Q1013">
        <v>0</v>
      </c>
      <c r="R1013">
        <v>67</v>
      </c>
      <c r="U1013">
        <v>0.48942564</v>
      </c>
      <c r="V1013">
        <v>5.82</v>
      </c>
      <c r="W1013">
        <v>1.44</v>
      </c>
      <c r="X1013" t="s">
        <v>5079</v>
      </c>
      <c r="Z1013" t="s">
        <v>1452</v>
      </c>
      <c r="AA1013" t="s">
        <v>1243</v>
      </c>
      <c r="AB1013" t="s">
        <v>36721</v>
      </c>
      <c r="AC1013" t="s">
        <v>34465</v>
      </c>
      <c r="AD1013" t="s">
        <v>11496</v>
      </c>
      <c r="AF1013" t="s">
        <v>36717</v>
      </c>
      <c r="AG1013" t="s">
        <v>36715</v>
      </c>
    </row>
    <row r="1014" spans="1:33" x14ac:dyDescent="0.25">
      <c r="A1014" t="s">
        <v>34462</v>
      </c>
      <c r="B1014" t="s">
        <v>5084</v>
      </c>
      <c r="C1014" t="s">
        <v>5086</v>
      </c>
      <c r="D1014">
        <v>10</v>
      </c>
      <c r="E1014">
        <v>9.99</v>
      </c>
      <c r="G1014">
        <v>135140</v>
      </c>
      <c r="H1014">
        <v>14.4</v>
      </c>
      <c r="I1014">
        <v>18.489999999999998</v>
      </c>
      <c r="J1014">
        <v>0</v>
      </c>
      <c r="K1014">
        <v>1</v>
      </c>
      <c r="L1014">
        <v>16</v>
      </c>
      <c r="M1014">
        <v>14</v>
      </c>
      <c r="O1014">
        <v>0</v>
      </c>
      <c r="Q1014">
        <v>0</v>
      </c>
      <c r="R1014">
        <v>86</v>
      </c>
      <c r="U1014">
        <v>0.46076558000000001</v>
      </c>
      <c r="V1014">
        <v>5.82</v>
      </c>
      <c r="W1014">
        <v>0.5</v>
      </c>
      <c r="X1014" t="s">
        <v>5083</v>
      </c>
      <c r="Z1014" t="s">
        <v>1452</v>
      </c>
      <c r="AA1014" t="s">
        <v>5070</v>
      </c>
      <c r="AB1014" t="s">
        <v>36722</v>
      </c>
      <c r="AC1014" t="s">
        <v>34465</v>
      </c>
      <c r="AD1014" t="s">
        <v>11496</v>
      </c>
      <c r="AF1014" t="s">
        <v>36717</v>
      </c>
      <c r="AG1014" t="s">
        <v>36715</v>
      </c>
    </row>
    <row r="1015" spans="1:33" x14ac:dyDescent="0.25">
      <c r="A1015" t="s">
        <v>34462</v>
      </c>
      <c r="B1015" t="s">
        <v>5088</v>
      </c>
      <c r="C1015" t="s">
        <v>5091</v>
      </c>
      <c r="D1015">
        <v>24.57</v>
      </c>
      <c r="E1015">
        <v>24.57</v>
      </c>
      <c r="G1015">
        <v>837841</v>
      </c>
      <c r="H1015">
        <v>37.340000000000003</v>
      </c>
      <c r="I1015">
        <v>36.86</v>
      </c>
      <c r="J1015">
        <v>0</v>
      </c>
      <c r="K1015">
        <v>1</v>
      </c>
      <c r="L1015">
        <v>5</v>
      </c>
      <c r="M1015">
        <v>6</v>
      </c>
      <c r="O1015">
        <v>0</v>
      </c>
      <c r="Q1015">
        <v>0</v>
      </c>
      <c r="R1015">
        <v>33</v>
      </c>
      <c r="U1015">
        <v>2.7800258200000001</v>
      </c>
      <c r="V1015">
        <v>6.81</v>
      </c>
      <c r="X1015" t="s">
        <v>5087</v>
      </c>
      <c r="AA1015" t="s">
        <v>5092</v>
      </c>
      <c r="AB1015" t="s">
        <v>36723</v>
      </c>
      <c r="AC1015" t="s">
        <v>34465</v>
      </c>
      <c r="AD1015" t="s">
        <v>11496</v>
      </c>
      <c r="AF1015" t="s">
        <v>36724</v>
      </c>
      <c r="AG1015" t="s">
        <v>36725</v>
      </c>
    </row>
    <row r="1016" spans="1:33" x14ac:dyDescent="0.25">
      <c r="A1016" t="s">
        <v>34462</v>
      </c>
      <c r="B1016" t="s">
        <v>5094</v>
      </c>
      <c r="C1016" t="s">
        <v>5096</v>
      </c>
      <c r="D1016">
        <v>13.98</v>
      </c>
      <c r="E1016">
        <v>13.98</v>
      </c>
      <c r="G1016">
        <v>842457</v>
      </c>
      <c r="H1016">
        <v>18.309999999999999</v>
      </c>
      <c r="I1016">
        <v>24.77</v>
      </c>
      <c r="J1016">
        <v>0</v>
      </c>
      <c r="K1016">
        <v>1</v>
      </c>
      <c r="L1016">
        <v>7</v>
      </c>
      <c r="M1016">
        <v>6</v>
      </c>
      <c r="N1016">
        <v>4.5999999999999996</v>
      </c>
      <c r="O1016">
        <v>0</v>
      </c>
      <c r="P1016">
        <v>237</v>
      </c>
      <c r="Q1016">
        <v>0</v>
      </c>
      <c r="R1016">
        <v>21</v>
      </c>
      <c r="U1016">
        <v>0.39903622</v>
      </c>
      <c r="V1016">
        <v>5.82</v>
      </c>
      <c r="W1016">
        <v>1.4</v>
      </c>
      <c r="X1016" t="s">
        <v>5093</v>
      </c>
      <c r="AA1016" t="s">
        <v>5092</v>
      </c>
      <c r="AB1016" t="s">
        <v>36726</v>
      </c>
      <c r="AC1016" t="s">
        <v>34465</v>
      </c>
      <c r="AD1016" t="s">
        <v>11496</v>
      </c>
      <c r="AE1016" t="s">
        <v>34510</v>
      </c>
      <c r="AF1016" t="s">
        <v>36727</v>
      </c>
      <c r="AG1016" t="s">
        <v>36715</v>
      </c>
    </row>
    <row r="1017" spans="1:33" x14ac:dyDescent="0.25">
      <c r="A1017" t="s">
        <v>34462</v>
      </c>
      <c r="B1017" t="s">
        <v>5098</v>
      </c>
      <c r="C1017" t="s">
        <v>5100</v>
      </c>
      <c r="D1017">
        <v>14.49</v>
      </c>
      <c r="E1017">
        <v>14.49</v>
      </c>
      <c r="G1017">
        <v>841127</v>
      </c>
      <c r="H1017">
        <v>18.77</v>
      </c>
      <c r="I1017">
        <v>27.48</v>
      </c>
      <c r="J1017">
        <v>0</v>
      </c>
      <c r="K1017">
        <v>1</v>
      </c>
      <c r="L1017">
        <v>10</v>
      </c>
      <c r="M1017">
        <v>10</v>
      </c>
      <c r="O1017">
        <v>0</v>
      </c>
      <c r="Q1017">
        <v>0</v>
      </c>
      <c r="R1017">
        <v>19</v>
      </c>
      <c r="U1017">
        <v>0.37037616000000001</v>
      </c>
      <c r="V1017">
        <v>5.82</v>
      </c>
      <c r="W1017">
        <v>1.45</v>
      </c>
      <c r="X1017" t="s">
        <v>5097</v>
      </c>
      <c r="AA1017" t="s">
        <v>5092</v>
      </c>
      <c r="AB1017" t="s">
        <v>36728</v>
      </c>
      <c r="AC1017" t="s">
        <v>34465</v>
      </c>
      <c r="AD1017" t="s">
        <v>11496</v>
      </c>
      <c r="AE1017" t="s">
        <v>34506</v>
      </c>
      <c r="AF1017" t="s">
        <v>36724</v>
      </c>
      <c r="AG1017" t="s">
        <v>36715</v>
      </c>
    </row>
    <row r="1018" spans="1:33" x14ac:dyDescent="0.25">
      <c r="A1018" t="s">
        <v>34462</v>
      </c>
      <c r="B1018" t="s">
        <v>5102</v>
      </c>
      <c r="C1018" t="s">
        <v>5104</v>
      </c>
      <c r="D1018">
        <v>16.809999999999999</v>
      </c>
      <c r="E1018">
        <v>16.809999999999999</v>
      </c>
      <c r="H1018">
        <v>22.36</v>
      </c>
      <c r="I1018">
        <v>28.06</v>
      </c>
      <c r="J1018">
        <v>0</v>
      </c>
      <c r="K1018">
        <v>1</v>
      </c>
      <c r="L1018">
        <v>6</v>
      </c>
      <c r="M1018">
        <v>5</v>
      </c>
      <c r="O1018">
        <v>0</v>
      </c>
      <c r="Q1018">
        <v>0</v>
      </c>
      <c r="R1018">
        <v>0</v>
      </c>
      <c r="U1018">
        <v>0.46076558000000001</v>
      </c>
      <c r="V1018">
        <v>6.02</v>
      </c>
      <c r="W1018">
        <v>2.86</v>
      </c>
      <c r="X1018" t="s">
        <v>5101</v>
      </c>
      <c r="AA1018" t="s">
        <v>5092</v>
      </c>
      <c r="AB1018" t="s">
        <v>36729</v>
      </c>
      <c r="AC1018" t="s">
        <v>34465</v>
      </c>
      <c r="AD1018" t="s">
        <v>11496</v>
      </c>
      <c r="AF1018" t="s">
        <v>36724</v>
      </c>
      <c r="AG1018" t="s">
        <v>36715</v>
      </c>
    </row>
    <row r="1019" spans="1:33" x14ac:dyDescent="0.25">
      <c r="A1019" t="s">
        <v>34462</v>
      </c>
      <c r="B1019" t="s">
        <v>5107</v>
      </c>
      <c r="C1019" t="s">
        <v>5109</v>
      </c>
      <c r="D1019">
        <v>14</v>
      </c>
      <c r="E1019">
        <v>14</v>
      </c>
      <c r="H1019">
        <v>22.7</v>
      </c>
      <c r="I1019">
        <v>27.75</v>
      </c>
      <c r="J1019">
        <v>0</v>
      </c>
      <c r="K1019">
        <v>1</v>
      </c>
      <c r="L1019">
        <v>12</v>
      </c>
      <c r="M1019">
        <v>11</v>
      </c>
      <c r="O1019">
        <v>0</v>
      </c>
      <c r="Q1019">
        <v>0</v>
      </c>
      <c r="R1019">
        <v>0</v>
      </c>
      <c r="U1019">
        <v>0.48942564</v>
      </c>
      <c r="V1019">
        <v>7.05</v>
      </c>
      <c r="W1019">
        <v>2.38</v>
      </c>
      <c r="X1019" t="s">
        <v>5106</v>
      </c>
      <c r="AA1019" t="s">
        <v>497</v>
      </c>
      <c r="AB1019" t="s">
        <v>36730</v>
      </c>
      <c r="AC1019" t="s">
        <v>34465</v>
      </c>
      <c r="AD1019" t="s">
        <v>11496</v>
      </c>
      <c r="AF1019" t="s">
        <v>36731</v>
      </c>
      <c r="AG1019" t="s">
        <v>36715</v>
      </c>
    </row>
    <row r="1020" spans="1:33" x14ac:dyDescent="0.25">
      <c r="A1020" t="s">
        <v>34462</v>
      </c>
      <c r="B1020" t="s">
        <v>5112</v>
      </c>
      <c r="C1020" t="s">
        <v>5114</v>
      </c>
      <c r="D1020">
        <v>9.99</v>
      </c>
      <c r="E1020">
        <v>9.99</v>
      </c>
      <c r="G1020">
        <v>804918</v>
      </c>
      <c r="H1020">
        <v>15.87</v>
      </c>
      <c r="I1020">
        <v>22.49</v>
      </c>
      <c r="J1020">
        <v>0</v>
      </c>
      <c r="K1020">
        <v>1</v>
      </c>
      <c r="L1020">
        <v>11</v>
      </c>
      <c r="M1020">
        <v>9</v>
      </c>
      <c r="O1020">
        <v>0</v>
      </c>
      <c r="Q1020">
        <v>0</v>
      </c>
      <c r="R1020">
        <v>19</v>
      </c>
      <c r="U1020">
        <v>0.50926722000000002</v>
      </c>
      <c r="V1020">
        <v>5.9</v>
      </c>
      <c r="W1020">
        <v>1</v>
      </c>
      <c r="X1020" t="s">
        <v>5111</v>
      </c>
      <c r="AA1020" t="s">
        <v>5092</v>
      </c>
      <c r="AB1020" t="s">
        <v>36732</v>
      </c>
      <c r="AC1020" t="s">
        <v>34465</v>
      </c>
      <c r="AD1020" t="s">
        <v>11496</v>
      </c>
      <c r="AF1020" t="s">
        <v>36733</v>
      </c>
      <c r="AG1020" t="s">
        <v>36715</v>
      </c>
    </row>
    <row r="1021" spans="1:33" x14ac:dyDescent="0.25">
      <c r="A1021" t="s">
        <v>34462</v>
      </c>
      <c r="B1021" t="s">
        <v>5116</v>
      </c>
      <c r="C1021" t="s">
        <v>5118</v>
      </c>
      <c r="D1021">
        <v>9.9700000000000006</v>
      </c>
      <c r="E1021">
        <v>9.9700000000000006</v>
      </c>
      <c r="G1021">
        <v>790474</v>
      </c>
      <c r="H1021">
        <v>15.11</v>
      </c>
      <c r="I1021">
        <v>22.17</v>
      </c>
      <c r="J1021">
        <v>0</v>
      </c>
      <c r="K1021">
        <v>1</v>
      </c>
      <c r="L1021">
        <v>11</v>
      </c>
      <c r="M1021">
        <v>9</v>
      </c>
      <c r="O1021">
        <v>0</v>
      </c>
      <c r="Q1021">
        <v>0</v>
      </c>
      <c r="R1021">
        <v>18</v>
      </c>
      <c r="U1021">
        <v>0.59965663999999996</v>
      </c>
      <c r="V1021">
        <v>6.14</v>
      </c>
      <c r="W1021">
        <v>1.69</v>
      </c>
      <c r="X1021" t="s">
        <v>5115</v>
      </c>
      <c r="AA1021" t="s">
        <v>5092</v>
      </c>
      <c r="AB1021" t="s">
        <v>36734</v>
      </c>
      <c r="AC1021" t="s">
        <v>34465</v>
      </c>
      <c r="AD1021" t="s">
        <v>11496</v>
      </c>
      <c r="AE1021" t="s">
        <v>36383</v>
      </c>
      <c r="AF1021" t="s">
        <v>36731</v>
      </c>
      <c r="AG1021" t="s">
        <v>36715</v>
      </c>
    </row>
    <row r="1022" spans="1:33" x14ac:dyDescent="0.25">
      <c r="A1022" t="s">
        <v>34462</v>
      </c>
      <c r="B1022" t="s">
        <v>5121</v>
      </c>
      <c r="C1022" t="s">
        <v>5124</v>
      </c>
      <c r="D1022">
        <v>26.55</v>
      </c>
      <c r="F1022">
        <v>466301</v>
      </c>
      <c r="G1022">
        <v>268792</v>
      </c>
      <c r="H1022">
        <v>26.55</v>
      </c>
      <c r="I1022">
        <v>47.39</v>
      </c>
      <c r="J1022">
        <v>0.65</v>
      </c>
      <c r="K1022">
        <v>0.65</v>
      </c>
      <c r="L1022">
        <v>1</v>
      </c>
      <c r="M1022">
        <v>1</v>
      </c>
      <c r="N1022">
        <v>4.3</v>
      </c>
      <c r="O1022">
        <v>2</v>
      </c>
      <c r="P1022">
        <v>141</v>
      </c>
      <c r="Q1022">
        <v>7</v>
      </c>
      <c r="R1022">
        <v>34</v>
      </c>
      <c r="S1022" t="s">
        <v>36735</v>
      </c>
      <c r="U1022">
        <v>0.72752459999999997</v>
      </c>
      <c r="V1022">
        <v>6.14</v>
      </c>
      <c r="X1022" t="s">
        <v>5120</v>
      </c>
      <c r="Y1022" t="s">
        <v>5125</v>
      </c>
      <c r="Z1022" t="s">
        <v>5125</v>
      </c>
      <c r="AA1022" t="s">
        <v>5126</v>
      </c>
      <c r="AB1022" t="s">
        <v>36736</v>
      </c>
      <c r="AC1022" t="s">
        <v>34465</v>
      </c>
      <c r="AD1022" t="s">
        <v>10970</v>
      </c>
      <c r="AE1022" t="s">
        <v>34525</v>
      </c>
      <c r="AF1022" t="s">
        <v>36737</v>
      </c>
      <c r="AG1022" t="s">
        <v>36738</v>
      </c>
    </row>
    <row r="1023" spans="1:33" x14ac:dyDescent="0.25">
      <c r="A1023" t="s">
        <v>34462</v>
      </c>
      <c r="B1023" t="s">
        <v>5128</v>
      </c>
      <c r="C1023" t="s">
        <v>5130</v>
      </c>
      <c r="D1023">
        <v>50.98</v>
      </c>
      <c r="F1023">
        <v>466301</v>
      </c>
      <c r="G1023">
        <v>264090</v>
      </c>
      <c r="H1023">
        <v>50.98</v>
      </c>
      <c r="I1023">
        <v>52.11</v>
      </c>
      <c r="J1023">
        <v>0.3</v>
      </c>
      <c r="K1023">
        <v>0.3</v>
      </c>
      <c r="L1023">
        <v>1</v>
      </c>
      <c r="M1023">
        <v>1</v>
      </c>
      <c r="N1023">
        <v>4.3</v>
      </c>
      <c r="O1023">
        <v>3</v>
      </c>
      <c r="P1023">
        <v>141</v>
      </c>
      <c r="Q1023">
        <v>6</v>
      </c>
      <c r="R1023">
        <v>31</v>
      </c>
      <c r="S1023" t="s">
        <v>36735</v>
      </c>
      <c r="U1023">
        <v>0.79366320000000001</v>
      </c>
      <c r="V1023">
        <v>6.14</v>
      </c>
      <c r="X1023" t="s">
        <v>5127</v>
      </c>
      <c r="Y1023" t="s">
        <v>5131</v>
      </c>
      <c r="Z1023" t="s">
        <v>5131</v>
      </c>
      <c r="AA1023" t="s">
        <v>5132</v>
      </c>
      <c r="AB1023" t="s">
        <v>36739</v>
      </c>
      <c r="AC1023" t="s">
        <v>34465</v>
      </c>
      <c r="AD1023" t="s">
        <v>10970</v>
      </c>
      <c r="AE1023" t="s">
        <v>34525</v>
      </c>
      <c r="AF1023" t="s">
        <v>36737</v>
      </c>
      <c r="AG1023" t="s">
        <v>36738</v>
      </c>
    </row>
    <row r="1024" spans="1:33" x14ac:dyDescent="0.25">
      <c r="A1024" t="s">
        <v>34462</v>
      </c>
      <c r="B1024" t="s">
        <v>5134</v>
      </c>
      <c r="C1024" t="s">
        <v>5124</v>
      </c>
      <c r="D1024">
        <v>26.16</v>
      </c>
      <c r="F1024">
        <v>466301</v>
      </c>
      <c r="G1024">
        <v>287221</v>
      </c>
      <c r="H1024">
        <v>26.16</v>
      </c>
      <c r="I1024">
        <v>45.02</v>
      </c>
      <c r="J1024">
        <v>0.51</v>
      </c>
      <c r="K1024">
        <v>0.51</v>
      </c>
      <c r="L1024">
        <v>1</v>
      </c>
      <c r="N1024">
        <v>4.3</v>
      </c>
      <c r="O1024">
        <v>0</v>
      </c>
      <c r="P1024">
        <v>148</v>
      </c>
      <c r="Q1024">
        <v>2</v>
      </c>
      <c r="R1024">
        <v>30</v>
      </c>
      <c r="S1024" t="s">
        <v>36735</v>
      </c>
      <c r="U1024">
        <v>0.85980180000000006</v>
      </c>
      <c r="V1024">
        <v>6.14</v>
      </c>
      <c r="X1024" t="s">
        <v>5133</v>
      </c>
      <c r="Y1024" t="s">
        <v>5125</v>
      </c>
      <c r="Z1024" t="s">
        <v>5125</v>
      </c>
      <c r="AA1024" t="s">
        <v>5126</v>
      </c>
      <c r="AB1024" t="s">
        <v>36740</v>
      </c>
      <c r="AC1024" t="s">
        <v>34465</v>
      </c>
      <c r="AD1024" t="s">
        <v>10970</v>
      </c>
      <c r="AE1024" t="s">
        <v>14701</v>
      </c>
      <c r="AF1024" t="s">
        <v>36737</v>
      </c>
      <c r="AG1024" t="s">
        <v>36738</v>
      </c>
    </row>
    <row r="1025" spans="1:33" x14ac:dyDescent="0.25">
      <c r="A1025" t="s">
        <v>34462</v>
      </c>
      <c r="B1025" t="s">
        <v>5137</v>
      </c>
      <c r="C1025" t="s">
        <v>5130</v>
      </c>
      <c r="D1025">
        <v>32.58</v>
      </c>
      <c r="E1025">
        <v>32.58</v>
      </c>
      <c r="F1025">
        <v>466301</v>
      </c>
      <c r="G1025">
        <v>275165</v>
      </c>
      <c r="H1025">
        <v>45.38</v>
      </c>
      <c r="I1025">
        <v>48.2</v>
      </c>
      <c r="J1025">
        <v>0</v>
      </c>
      <c r="K1025">
        <v>0</v>
      </c>
      <c r="L1025">
        <v>1</v>
      </c>
      <c r="M1025">
        <v>1</v>
      </c>
      <c r="N1025">
        <v>4.2</v>
      </c>
      <c r="O1025">
        <v>1</v>
      </c>
      <c r="P1025">
        <v>154</v>
      </c>
      <c r="Q1025">
        <v>19</v>
      </c>
      <c r="R1025">
        <v>77</v>
      </c>
      <c r="S1025" t="s">
        <v>36735</v>
      </c>
      <c r="U1025">
        <v>0.85980180000000006</v>
      </c>
      <c r="V1025">
        <v>6.6</v>
      </c>
      <c r="W1025">
        <v>5.54</v>
      </c>
      <c r="X1025" t="s">
        <v>5136</v>
      </c>
      <c r="Y1025" t="s">
        <v>5131</v>
      </c>
      <c r="Z1025" t="s">
        <v>5131</v>
      </c>
      <c r="AA1025" t="s">
        <v>5132</v>
      </c>
      <c r="AB1025" t="s">
        <v>36741</v>
      </c>
      <c r="AC1025" t="s">
        <v>34493</v>
      </c>
      <c r="AD1025" t="s">
        <v>10970</v>
      </c>
      <c r="AE1025" t="s">
        <v>14701</v>
      </c>
      <c r="AF1025" t="s">
        <v>36742</v>
      </c>
      <c r="AG1025" t="s">
        <v>36738</v>
      </c>
    </row>
    <row r="1026" spans="1:33" x14ac:dyDescent="0.25">
      <c r="A1026" t="s">
        <v>34462</v>
      </c>
      <c r="B1026" t="s">
        <v>5140</v>
      </c>
      <c r="C1026" t="s">
        <v>5124</v>
      </c>
      <c r="D1026">
        <v>30.28</v>
      </c>
      <c r="F1026">
        <v>466301</v>
      </c>
      <c r="G1026">
        <v>293872</v>
      </c>
      <c r="H1026">
        <v>30.28</v>
      </c>
      <c r="I1026">
        <v>49.02</v>
      </c>
      <c r="J1026">
        <v>0.56999999999999995</v>
      </c>
      <c r="K1026">
        <v>0.56999999999999995</v>
      </c>
      <c r="L1026">
        <v>1</v>
      </c>
      <c r="N1026">
        <v>4.2</v>
      </c>
      <c r="O1026">
        <v>1</v>
      </c>
      <c r="P1026">
        <v>149</v>
      </c>
      <c r="Q1026">
        <v>9</v>
      </c>
      <c r="R1026">
        <v>36</v>
      </c>
      <c r="S1026" t="s">
        <v>36735</v>
      </c>
      <c r="U1026">
        <v>0.94798660000000001</v>
      </c>
      <c r="V1026">
        <v>6.48</v>
      </c>
      <c r="X1026" t="s">
        <v>5139</v>
      </c>
      <c r="Y1026" t="s">
        <v>5125</v>
      </c>
      <c r="Z1026" t="s">
        <v>5125</v>
      </c>
      <c r="AA1026" t="s">
        <v>5126</v>
      </c>
      <c r="AB1026" t="s">
        <v>36743</v>
      </c>
      <c r="AC1026" t="s">
        <v>34465</v>
      </c>
      <c r="AD1026" t="s">
        <v>10970</v>
      </c>
      <c r="AE1026" t="s">
        <v>34649</v>
      </c>
      <c r="AF1026" t="s">
        <v>36737</v>
      </c>
      <c r="AG1026" t="s">
        <v>36738</v>
      </c>
    </row>
    <row r="1027" spans="1:33" x14ac:dyDescent="0.25">
      <c r="A1027" t="s">
        <v>34462</v>
      </c>
      <c r="B1027" t="s">
        <v>5143</v>
      </c>
      <c r="C1027" t="s">
        <v>5130</v>
      </c>
      <c r="D1027">
        <v>49.74</v>
      </c>
      <c r="F1027">
        <v>394829</v>
      </c>
      <c r="G1027">
        <v>277449</v>
      </c>
      <c r="H1027">
        <v>49.74</v>
      </c>
      <c r="I1027">
        <v>51.14</v>
      </c>
      <c r="J1027">
        <v>0.77</v>
      </c>
      <c r="K1027">
        <v>0.77</v>
      </c>
      <c r="L1027">
        <v>1</v>
      </c>
      <c r="N1027">
        <v>4.3</v>
      </c>
      <c r="O1027">
        <v>0</v>
      </c>
      <c r="P1027">
        <v>147</v>
      </c>
      <c r="Q1027">
        <v>4</v>
      </c>
      <c r="R1027">
        <v>20</v>
      </c>
      <c r="S1027" t="s">
        <v>36735</v>
      </c>
      <c r="U1027">
        <v>0.91491730000000004</v>
      </c>
      <c r="V1027">
        <v>6.67</v>
      </c>
      <c r="X1027" t="s">
        <v>5142</v>
      </c>
      <c r="Y1027" t="s">
        <v>5131</v>
      </c>
      <c r="Z1027" t="s">
        <v>5131</v>
      </c>
      <c r="AA1027" t="s">
        <v>5132</v>
      </c>
      <c r="AB1027" t="s">
        <v>36744</v>
      </c>
      <c r="AC1027" t="s">
        <v>34465</v>
      </c>
      <c r="AD1027" t="s">
        <v>10970</v>
      </c>
      <c r="AE1027" t="s">
        <v>34649</v>
      </c>
      <c r="AF1027" t="s">
        <v>36737</v>
      </c>
      <c r="AG1027" t="s">
        <v>36738</v>
      </c>
    </row>
    <row r="1028" spans="1:33" x14ac:dyDescent="0.25">
      <c r="A1028" t="s">
        <v>34462</v>
      </c>
      <c r="B1028" t="s">
        <v>5147</v>
      </c>
      <c r="C1028" t="s">
        <v>5124</v>
      </c>
      <c r="D1028">
        <v>25.69</v>
      </c>
      <c r="E1028">
        <v>25.69</v>
      </c>
      <c r="F1028">
        <v>466301</v>
      </c>
      <c r="G1028">
        <v>274630</v>
      </c>
      <c r="H1028">
        <v>27.41</v>
      </c>
      <c r="I1028">
        <v>36.47</v>
      </c>
      <c r="J1028">
        <v>0</v>
      </c>
      <c r="K1028">
        <v>0</v>
      </c>
      <c r="L1028">
        <v>1</v>
      </c>
      <c r="M1028">
        <v>1</v>
      </c>
      <c r="N1028">
        <v>4.2</v>
      </c>
      <c r="O1028">
        <v>1</v>
      </c>
      <c r="P1028">
        <v>153</v>
      </c>
      <c r="Q1028">
        <v>12</v>
      </c>
      <c r="R1028">
        <v>47</v>
      </c>
      <c r="S1028" t="s">
        <v>36735</v>
      </c>
      <c r="U1028">
        <v>0.96782818000000004</v>
      </c>
      <c r="V1028">
        <v>6.81</v>
      </c>
      <c r="W1028">
        <v>4.37</v>
      </c>
      <c r="X1028" t="s">
        <v>5146</v>
      </c>
      <c r="Y1028" t="s">
        <v>5125</v>
      </c>
      <c r="Z1028" t="s">
        <v>5125</v>
      </c>
      <c r="AA1028" t="s">
        <v>5126</v>
      </c>
      <c r="AB1028" t="s">
        <v>36745</v>
      </c>
      <c r="AC1028" t="s">
        <v>34493</v>
      </c>
      <c r="AD1028" t="s">
        <v>10970</v>
      </c>
      <c r="AE1028" t="s">
        <v>34474</v>
      </c>
      <c r="AF1028" t="s">
        <v>36737</v>
      </c>
      <c r="AG1028" t="s">
        <v>36738</v>
      </c>
    </row>
    <row r="1029" spans="1:33" x14ac:dyDescent="0.25">
      <c r="A1029" t="s">
        <v>34462</v>
      </c>
      <c r="B1029" t="s">
        <v>5150</v>
      </c>
      <c r="C1029" t="s">
        <v>5130</v>
      </c>
      <c r="D1029">
        <v>34.479999999999997</v>
      </c>
      <c r="E1029">
        <v>34.479999999999997</v>
      </c>
      <c r="F1029">
        <v>394829</v>
      </c>
      <c r="G1029">
        <v>268798</v>
      </c>
      <c r="H1029">
        <v>43.57</v>
      </c>
      <c r="I1029">
        <v>45.22</v>
      </c>
      <c r="J1029">
        <v>0</v>
      </c>
      <c r="K1029">
        <v>0</v>
      </c>
      <c r="L1029">
        <v>1</v>
      </c>
      <c r="M1029">
        <v>1</v>
      </c>
      <c r="N1029">
        <v>4.3</v>
      </c>
      <c r="O1029">
        <v>0</v>
      </c>
      <c r="P1029">
        <v>141</v>
      </c>
      <c r="Q1029">
        <v>14</v>
      </c>
      <c r="R1029">
        <v>39</v>
      </c>
      <c r="S1029" t="s">
        <v>36735</v>
      </c>
      <c r="U1029">
        <v>0.90830343999999996</v>
      </c>
      <c r="V1029">
        <v>6.86</v>
      </c>
      <c r="W1029">
        <v>5.86</v>
      </c>
      <c r="X1029" t="s">
        <v>5149</v>
      </c>
      <c r="Y1029" t="s">
        <v>5131</v>
      </c>
      <c r="Z1029" t="s">
        <v>5131</v>
      </c>
      <c r="AA1029" t="s">
        <v>5132</v>
      </c>
      <c r="AB1029" t="s">
        <v>36746</v>
      </c>
      <c r="AC1029" t="s">
        <v>34493</v>
      </c>
      <c r="AD1029" t="s">
        <v>10970</v>
      </c>
      <c r="AE1029" t="s">
        <v>34474</v>
      </c>
      <c r="AF1029" t="s">
        <v>36742</v>
      </c>
      <c r="AG1029" t="s">
        <v>36738</v>
      </c>
    </row>
    <row r="1030" spans="1:33" x14ac:dyDescent="0.25">
      <c r="A1030" t="s">
        <v>34462</v>
      </c>
      <c r="B1030" t="s">
        <v>5153</v>
      </c>
      <c r="C1030" t="s">
        <v>5124</v>
      </c>
      <c r="D1030">
        <v>25.69</v>
      </c>
      <c r="E1030">
        <v>25.69</v>
      </c>
      <c r="F1030">
        <v>466301</v>
      </c>
      <c r="G1030">
        <v>260425</v>
      </c>
      <c r="H1030">
        <v>27.16</v>
      </c>
      <c r="I1030">
        <v>36.450000000000003</v>
      </c>
      <c r="J1030">
        <v>0</v>
      </c>
      <c r="K1030">
        <v>0</v>
      </c>
      <c r="L1030">
        <v>1</v>
      </c>
      <c r="M1030">
        <v>1</v>
      </c>
      <c r="N1030">
        <v>4.2</v>
      </c>
      <c r="O1030">
        <v>0</v>
      </c>
      <c r="P1030">
        <v>154</v>
      </c>
      <c r="Q1030">
        <v>7</v>
      </c>
      <c r="R1030">
        <v>39</v>
      </c>
      <c r="S1030" t="s">
        <v>36735</v>
      </c>
      <c r="U1030">
        <v>1.0802638</v>
      </c>
      <c r="V1030">
        <v>6.81</v>
      </c>
      <c r="W1030">
        <v>4.37</v>
      </c>
      <c r="X1030" t="s">
        <v>5152</v>
      </c>
      <c r="Y1030" t="s">
        <v>5125</v>
      </c>
      <c r="Z1030" t="s">
        <v>5125</v>
      </c>
      <c r="AA1030" t="s">
        <v>5126</v>
      </c>
      <c r="AB1030" t="s">
        <v>36747</v>
      </c>
      <c r="AC1030" t="s">
        <v>34493</v>
      </c>
      <c r="AD1030" t="s">
        <v>10970</v>
      </c>
      <c r="AE1030" t="s">
        <v>34469</v>
      </c>
      <c r="AF1030" t="s">
        <v>36748</v>
      </c>
      <c r="AG1030" t="s">
        <v>36738</v>
      </c>
    </row>
    <row r="1031" spans="1:33" x14ac:dyDescent="0.25">
      <c r="A1031" t="s">
        <v>34462</v>
      </c>
      <c r="B1031" t="s">
        <v>5156</v>
      </c>
      <c r="C1031" t="s">
        <v>5130</v>
      </c>
      <c r="D1031">
        <v>33.08</v>
      </c>
      <c r="E1031">
        <v>33.08</v>
      </c>
      <c r="F1031">
        <v>466301</v>
      </c>
      <c r="G1031">
        <v>269167</v>
      </c>
      <c r="H1031">
        <v>41.13</v>
      </c>
      <c r="I1031">
        <v>45.91</v>
      </c>
      <c r="J1031">
        <v>0</v>
      </c>
      <c r="K1031">
        <v>0</v>
      </c>
      <c r="L1031">
        <v>1</v>
      </c>
      <c r="M1031">
        <v>1</v>
      </c>
      <c r="N1031">
        <v>4.2</v>
      </c>
      <c r="O1031">
        <v>0</v>
      </c>
      <c r="P1031">
        <v>149</v>
      </c>
      <c r="Q1031">
        <v>10</v>
      </c>
      <c r="R1031">
        <v>38</v>
      </c>
      <c r="S1031" t="s">
        <v>36735</v>
      </c>
      <c r="U1031">
        <v>0.93475887999999996</v>
      </c>
      <c r="V1031">
        <v>6.05</v>
      </c>
      <c r="W1031">
        <v>5.62</v>
      </c>
      <c r="X1031" t="s">
        <v>5155</v>
      </c>
      <c r="Y1031" t="s">
        <v>5131</v>
      </c>
      <c r="Z1031" t="s">
        <v>5131</v>
      </c>
      <c r="AA1031" t="s">
        <v>5132</v>
      </c>
      <c r="AB1031" t="s">
        <v>36749</v>
      </c>
      <c r="AC1031" t="s">
        <v>34493</v>
      </c>
      <c r="AD1031" t="s">
        <v>10970</v>
      </c>
      <c r="AE1031" t="s">
        <v>34469</v>
      </c>
      <c r="AF1031" t="s">
        <v>36742</v>
      </c>
      <c r="AG1031" t="s">
        <v>36738</v>
      </c>
    </row>
    <row r="1032" spans="1:33" x14ac:dyDescent="0.25">
      <c r="A1032" t="s">
        <v>34462</v>
      </c>
      <c r="B1032" t="s">
        <v>5159</v>
      </c>
      <c r="C1032" t="s">
        <v>5162</v>
      </c>
      <c r="D1032">
        <v>18.989999999999998</v>
      </c>
      <c r="E1032">
        <v>18.989999999999998</v>
      </c>
      <c r="F1032">
        <v>5699</v>
      </c>
      <c r="G1032">
        <v>13230</v>
      </c>
      <c r="H1032">
        <v>15.64</v>
      </c>
      <c r="I1032">
        <v>15.77</v>
      </c>
      <c r="J1032">
        <v>0</v>
      </c>
      <c r="K1032">
        <v>0</v>
      </c>
      <c r="L1032">
        <v>9</v>
      </c>
      <c r="M1032">
        <v>9</v>
      </c>
      <c r="N1032">
        <v>4.3</v>
      </c>
      <c r="O1032">
        <v>57</v>
      </c>
      <c r="P1032">
        <v>57</v>
      </c>
      <c r="Q1032">
        <v>36</v>
      </c>
      <c r="R1032">
        <v>156</v>
      </c>
      <c r="S1032" t="s">
        <v>36750</v>
      </c>
      <c r="U1032">
        <v>0.1984158</v>
      </c>
      <c r="V1032">
        <v>4.28</v>
      </c>
      <c r="W1032">
        <v>0.96</v>
      </c>
      <c r="X1032" t="s">
        <v>5158</v>
      </c>
      <c r="Y1032" t="s">
        <v>36751</v>
      </c>
      <c r="Z1032" t="s">
        <v>5163</v>
      </c>
      <c r="AA1032" t="s">
        <v>5164</v>
      </c>
      <c r="AB1032" t="s">
        <v>36752</v>
      </c>
      <c r="AC1032" t="s">
        <v>34493</v>
      </c>
      <c r="AD1032" t="s">
        <v>8078</v>
      </c>
      <c r="AE1032" t="s">
        <v>34474</v>
      </c>
      <c r="AF1032" t="s">
        <v>36753</v>
      </c>
      <c r="AG1032" t="s">
        <v>36754</v>
      </c>
    </row>
    <row r="1033" spans="1:33" x14ac:dyDescent="0.25">
      <c r="A1033" t="s">
        <v>34462</v>
      </c>
      <c r="B1033" t="s">
        <v>5166</v>
      </c>
      <c r="C1033" t="s">
        <v>5169</v>
      </c>
      <c r="D1033">
        <v>8</v>
      </c>
      <c r="E1033">
        <v>8</v>
      </c>
      <c r="G1033">
        <v>137445</v>
      </c>
      <c r="H1033">
        <v>9.67</v>
      </c>
      <c r="I1033">
        <v>16.43</v>
      </c>
      <c r="J1033">
        <v>0</v>
      </c>
      <c r="K1033">
        <v>1</v>
      </c>
      <c r="L1033">
        <v>6</v>
      </c>
      <c r="M1033">
        <v>5</v>
      </c>
      <c r="O1033">
        <v>0</v>
      </c>
      <c r="Q1033">
        <v>0</v>
      </c>
      <c r="R1033">
        <v>67</v>
      </c>
      <c r="U1033">
        <v>2.7800258200000001</v>
      </c>
      <c r="V1033">
        <v>6.81</v>
      </c>
      <c r="W1033">
        <v>1.36</v>
      </c>
      <c r="X1033" t="s">
        <v>5165</v>
      </c>
      <c r="AA1033" t="s">
        <v>5170</v>
      </c>
      <c r="AB1033" t="s">
        <v>36755</v>
      </c>
      <c r="AC1033" t="s">
        <v>34465</v>
      </c>
      <c r="AD1033" t="s">
        <v>11496</v>
      </c>
      <c r="AF1033" t="s">
        <v>36756</v>
      </c>
      <c r="AG1033" t="s">
        <v>36715</v>
      </c>
    </row>
    <row r="1034" spans="1:33" x14ac:dyDescent="0.25">
      <c r="A1034" t="s">
        <v>34462</v>
      </c>
      <c r="B1034" t="s">
        <v>5172</v>
      </c>
      <c r="C1034" t="s">
        <v>5174</v>
      </c>
      <c r="D1034">
        <v>9.33</v>
      </c>
      <c r="E1034">
        <v>9.32</v>
      </c>
      <c r="G1034">
        <v>134710</v>
      </c>
      <c r="H1034">
        <v>10.199999999999999</v>
      </c>
      <c r="I1034">
        <v>16.54</v>
      </c>
      <c r="J1034">
        <v>0</v>
      </c>
      <c r="K1034">
        <v>1</v>
      </c>
      <c r="L1034">
        <v>18</v>
      </c>
      <c r="M1034">
        <v>11</v>
      </c>
      <c r="O1034">
        <v>0</v>
      </c>
      <c r="Q1034">
        <v>0</v>
      </c>
      <c r="R1034">
        <v>74</v>
      </c>
      <c r="U1034">
        <v>0.48942564</v>
      </c>
      <c r="V1034">
        <v>5.05</v>
      </c>
      <c r="W1034">
        <v>0.47</v>
      </c>
      <c r="X1034" t="s">
        <v>5171</v>
      </c>
      <c r="Z1034" t="s">
        <v>1452</v>
      </c>
      <c r="AA1034" t="s">
        <v>805</v>
      </c>
      <c r="AB1034" t="s">
        <v>36757</v>
      </c>
      <c r="AC1034" t="s">
        <v>34465</v>
      </c>
      <c r="AD1034" t="s">
        <v>11496</v>
      </c>
      <c r="AF1034" t="s">
        <v>36758</v>
      </c>
      <c r="AG1034" t="s">
        <v>36725</v>
      </c>
    </row>
    <row r="1035" spans="1:33" x14ac:dyDescent="0.25">
      <c r="A1035" t="s">
        <v>34462</v>
      </c>
      <c r="B1035" t="s">
        <v>5176</v>
      </c>
      <c r="C1035" t="s">
        <v>5178</v>
      </c>
      <c r="D1035">
        <v>9.3000000000000007</v>
      </c>
      <c r="E1035">
        <v>9.3000000000000007</v>
      </c>
      <c r="G1035">
        <v>137167</v>
      </c>
      <c r="H1035">
        <v>9.83</v>
      </c>
      <c r="I1035">
        <v>16.649999999999999</v>
      </c>
      <c r="J1035">
        <v>0</v>
      </c>
      <c r="K1035">
        <v>1</v>
      </c>
      <c r="L1035">
        <v>18</v>
      </c>
      <c r="M1035">
        <v>14</v>
      </c>
      <c r="N1035">
        <v>5</v>
      </c>
      <c r="O1035">
        <v>1</v>
      </c>
      <c r="P1035">
        <v>1</v>
      </c>
      <c r="Q1035">
        <v>0</v>
      </c>
      <c r="R1035">
        <v>69</v>
      </c>
      <c r="U1035">
        <v>2.7800258200000001</v>
      </c>
      <c r="V1035">
        <v>6.04</v>
      </c>
      <c r="W1035">
        <v>0.47</v>
      </c>
      <c r="X1035" t="s">
        <v>5175</v>
      </c>
      <c r="Z1035" t="s">
        <v>1452</v>
      </c>
      <c r="AA1035" t="s">
        <v>5180</v>
      </c>
      <c r="AB1035" t="s">
        <v>36759</v>
      </c>
      <c r="AC1035" t="s">
        <v>34465</v>
      </c>
      <c r="AD1035" t="s">
        <v>11496</v>
      </c>
      <c r="AF1035" t="s">
        <v>36760</v>
      </c>
      <c r="AG1035" t="s">
        <v>36715</v>
      </c>
    </row>
    <row r="1036" spans="1:33" x14ac:dyDescent="0.25">
      <c r="A1036" t="s">
        <v>34462</v>
      </c>
      <c r="B1036" t="s">
        <v>5182</v>
      </c>
      <c r="C1036" t="s">
        <v>5184</v>
      </c>
      <c r="D1036">
        <v>9.34</v>
      </c>
      <c r="E1036">
        <v>9.33</v>
      </c>
      <c r="H1036">
        <v>10.31</v>
      </c>
      <c r="I1036">
        <v>16.29</v>
      </c>
      <c r="J1036">
        <v>0</v>
      </c>
      <c r="K1036">
        <v>1</v>
      </c>
      <c r="L1036">
        <v>20</v>
      </c>
      <c r="M1036">
        <v>17</v>
      </c>
      <c r="N1036">
        <v>4.7</v>
      </c>
      <c r="O1036">
        <v>0</v>
      </c>
      <c r="P1036">
        <v>524</v>
      </c>
      <c r="Q1036">
        <v>0</v>
      </c>
      <c r="R1036">
        <v>0</v>
      </c>
      <c r="U1036">
        <v>0.48942564</v>
      </c>
      <c r="V1036">
        <v>6.02</v>
      </c>
      <c r="W1036">
        <v>0.47</v>
      </c>
      <c r="X1036" t="s">
        <v>5181</v>
      </c>
      <c r="AA1036" t="s">
        <v>805</v>
      </c>
      <c r="AB1036" t="s">
        <v>36761</v>
      </c>
      <c r="AC1036" t="s">
        <v>34465</v>
      </c>
      <c r="AD1036" t="s">
        <v>11496</v>
      </c>
      <c r="AF1036" t="s">
        <v>36762</v>
      </c>
      <c r="AG1036" t="s">
        <v>36715</v>
      </c>
    </row>
    <row r="1037" spans="1:33" x14ac:dyDescent="0.25">
      <c r="A1037" t="s">
        <v>34462</v>
      </c>
      <c r="B1037" t="s">
        <v>5187</v>
      </c>
      <c r="C1037" t="s">
        <v>5189</v>
      </c>
      <c r="D1037">
        <v>9.49</v>
      </c>
      <c r="E1037">
        <v>9.1999999999999993</v>
      </c>
      <c r="G1037">
        <v>136469</v>
      </c>
      <c r="H1037">
        <v>11.67</v>
      </c>
      <c r="I1037">
        <v>17.29</v>
      </c>
      <c r="J1037">
        <v>0</v>
      </c>
      <c r="K1037">
        <v>1</v>
      </c>
      <c r="L1037">
        <v>18</v>
      </c>
      <c r="M1037">
        <v>16</v>
      </c>
      <c r="O1037">
        <v>0</v>
      </c>
      <c r="Q1037">
        <v>0</v>
      </c>
      <c r="R1037">
        <v>69</v>
      </c>
      <c r="U1037">
        <v>0.48942564</v>
      </c>
      <c r="V1037">
        <v>5.82</v>
      </c>
      <c r="W1037">
        <v>1.61</v>
      </c>
      <c r="X1037" t="s">
        <v>5186</v>
      </c>
      <c r="AA1037" t="s">
        <v>5191</v>
      </c>
      <c r="AB1037" t="s">
        <v>36763</v>
      </c>
      <c r="AC1037" t="s">
        <v>34465</v>
      </c>
      <c r="AD1037" t="s">
        <v>11496</v>
      </c>
      <c r="AF1037" t="s">
        <v>36758</v>
      </c>
      <c r="AG1037" t="s">
        <v>36715</v>
      </c>
    </row>
    <row r="1038" spans="1:33" x14ac:dyDescent="0.25">
      <c r="A1038" t="s">
        <v>34462</v>
      </c>
      <c r="B1038" t="s">
        <v>5193</v>
      </c>
      <c r="C1038" t="s">
        <v>5195</v>
      </c>
      <c r="D1038">
        <v>10</v>
      </c>
      <c r="E1038">
        <v>10</v>
      </c>
      <c r="G1038">
        <v>133278</v>
      </c>
      <c r="H1038">
        <v>11.52</v>
      </c>
      <c r="I1038">
        <v>17.54</v>
      </c>
      <c r="J1038">
        <v>0</v>
      </c>
      <c r="K1038">
        <v>1</v>
      </c>
      <c r="L1038">
        <v>12</v>
      </c>
      <c r="M1038">
        <v>10</v>
      </c>
      <c r="N1038">
        <v>4.7</v>
      </c>
      <c r="O1038">
        <v>0</v>
      </c>
      <c r="P1038">
        <v>268</v>
      </c>
      <c r="Q1038">
        <v>0</v>
      </c>
      <c r="R1038">
        <v>65</v>
      </c>
      <c r="S1038" t="s">
        <v>36764</v>
      </c>
      <c r="U1038">
        <v>0.48942564</v>
      </c>
      <c r="V1038">
        <v>5.82</v>
      </c>
      <c r="W1038">
        <v>0.5</v>
      </c>
      <c r="X1038" t="s">
        <v>5192</v>
      </c>
      <c r="Z1038" t="s">
        <v>1452</v>
      </c>
      <c r="AA1038" t="s">
        <v>805</v>
      </c>
      <c r="AB1038" t="s">
        <v>36765</v>
      </c>
      <c r="AC1038" t="s">
        <v>34465</v>
      </c>
      <c r="AD1038" t="s">
        <v>11496</v>
      </c>
      <c r="AE1038" t="s">
        <v>34835</v>
      </c>
      <c r="AF1038" t="s">
        <v>36758</v>
      </c>
      <c r="AG1038" t="s">
        <v>36715</v>
      </c>
    </row>
    <row r="1039" spans="1:33" x14ac:dyDescent="0.25">
      <c r="A1039" t="s">
        <v>34462</v>
      </c>
      <c r="B1039" t="s">
        <v>5198</v>
      </c>
      <c r="C1039" t="s">
        <v>5200</v>
      </c>
      <c r="D1039">
        <v>12.49</v>
      </c>
      <c r="E1039">
        <v>12.49</v>
      </c>
      <c r="G1039">
        <v>134527</v>
      </c>
      <c r="H1039">
        <v>15.54</v>
      </c>
      <c r="I1039">
        <v>19.63</v>
      </c>
      <c r="J1039">
        <v>0</v>
      </c>
      <c r="K1039">
        <v>1</v>
      </c>
      <c r="L1039">
        <v>11</v>
      </c>
      <c r="M1039">
        <v>9</v>
      </c>
      <c r="N1039">
        <v>4.8</v>
      </c>
      <c r="O1039">
        <v>0</v>
      </c>
      <c r="P1039">
        <v>730</v>
      </c>
      <c r="Q1039">
        <v>0</v>
      </c>
      <c r="R1039">
        <v>60</v>
      </c>
      <c r="U1039">
        <v>0.48942564</v>
      </c>
      <c r="V1039">
        <v>5.82</v>
      </c>
      <c r="W1039">
        <v>0.63</v>
      </c>
      <c r="X1039" t="s">
        <v>5197</v>
      </c>
      <c r="Z1039" t="s">
        <v>1452</v>
      </c>
      <c r="AA1039" t="s">
        <v>5202</v>
      </c>
      <c r="AB1039" t="s">
        <v>36766</v>
      </c>
      <c r="AC1039" t="s">
        <v>34465</v>
      </c>
      <c r="AD1039" t="s">
        <v>11496</v>
      </c>
      <c r="AF1039" t="s">
        <v>36762</v>
      </c>
      <c r="AG1039" t="s">
        <v>36715</v>
      </c>
    </row>
    <row r="1040" spans="1:33" x14ac:dyDescent="0.25">
      <c r="A1040" t="s">
        <v>34462</v>
      </c>
      <c r="B1040" t="s">
        <v>5204</v>
      </c>
      <c r="C1040" t="s">
        <v>5207</v>
      </c>
      <c r="D1040">
        <v>10.5</v>
      </c>
      <c r="E1040">
        <v>10.5</v>
      </c>
      <c r="F1040">
        <v>109351</v>
      </c>
      <c r="G1040">
        <v>316662</v>
      </c>
      <c r="H1040">
        <v>20.75</v>
      </c>
      <c r="I1040">
        <v>21.68</v>
      </c>
      <c r="J1040">
        <v>0</v>
      </c>
      <c r="K1040">
        <v>0</v>
      </c>
      <c r="L1040">
        <v>3</v>
      </c>
      <c r="M1040">
        <v>4</v>
      </c>
      <c r="N1040">
        <v>4.4000000000000004</v>
      </c>
      <c r="O1040">
        <v>0</v>
      </c>
      <c r="P1040">
        <v>119</v>
      </c>
      <c r="Q1040">
        <v>22</v>
      </c>
      <c r="R1040">
        <v>63</v>
      </c>
      <c r="S1040" t="s">
        <v>36767</v>
      </c>
      <c r="U1040">
        <v>0.18077884</v>
      </c>
      <c r="V1040">
        <v>5.12</v>
      </c>
      <c r="W1040">
        <v>0.53</v>
      </c>
      <c r="X1040" t="s">
        <v>5203</v>
      </c>
      <c r="Y1040" t="s">
        <v>5208</v>
      </c>
      <c r="Z1040" t="s">
        <v>5208</v>
      </c>
      <c r="AA1040" t="s">
        <v>273</v>
      </c>
      <c r="AB1040" t="s">
        <v>36768</v>
      </c>
      <c r="AC1040" t="s">
        <v>34484</v>
      </c>
      <c r="AD1040" t="s">
        <v>7954</v>
      </c>
      <c r="AE1040" t="s">
        <v>36769</v>
      </c>
      <c r="AF1040" t="s">
        <v>36770</v>
      </c>
      <c r="AG1040" t="s">
        <v>36771</v>
      </c>
    </row>
    <row r="1041" spans="1:33" x14ac:dyDescent="0.25">
      <c r="A1041" t="s">
        <v>34462</v>
      </c>
      <c r="B1041" t="s">
        <v>5210</v>
      </c>
      <c r="C1041" t="s">
        <v>5212</v>
      </c>
      <c r="D1041">
        <v>10.5</v>
      </c>
      <c r="E1041">
        <v>10.5</v>
      </c>
      <c r="F1041">
        <v>109351</v>
      </c>
      <c r="G1041">
        <v>320156</v>
      </c>
      <c r="H1041">
        <v>15.45</v>
      </c>
      <c r="I1041">
        <v>18.55</v>
      </c>
      <c r="J1041">
        <v>0</v>
      </c>
      <c r="K1041">
        <v>0</v>
      </c>
      <c r="L1041">
        <v>5</v>
      </c>
      <c r="M1041">
        <v>5</v>
      </c>
      <c r="N1041">
        <v>4.4000000000000004</v>
      </c>
      <c r="O1041">
        <v>1</v>
      </c>
      <c r="P1041">
        <v>118</v>
      </c>
      <c r="Q1041">
        <v>21</v>
      </c>
      <c r="R1041">
        <v>66</v>
      </c>
      <c r="S1041" t="s">
        <v>36767</v>
      </c>
      <c r="U1041">
        <v>0.25353130000000001</v>
      </c>
      <c r="V1041">
        <v>5.9</v>
      </c>
      <c r="W1041">
        <v>1.05</v>
      </c>
      <c r="X1041" t="s">
        <v>5209</v>
      </c>
      <c r="Y1041" t="s">
        <v>5208</v>
      </c>
      <c r="Z1041" t="s">
        <v>5208</v>
      </c>
      <c r="AA1041" t="s">
        <v>273</v>
      </c>
      <c r="AB1041" t="s">
        <v>36772</v>
      </c>
      <c r="AC1041" t="s">
        <v>34493</v>
      </c>
      <c r="AD1041" t="s">
        <v>7954</v>
      </c>
      <c r="AE1041" t="s">
        <v>36773</v>
      </c>
      <c r="AF1041" t="s">
        <v>36774</v>
      </c>
      <c r="AG1041" t="s">
        <v>36771</v>
      </c>
    </row>
    <row r="1042" spans="1:33" x14ac:dyDescent="0.25">
      <c r="A1042" t="s">
        <v>34462</v>
      </c>
      <c r="B1042" t="s">
        <v>5214</v>
      </c>
      <c r="C1042" t="s">
        <v>5216</v>
      </c>
      <c r="D1042">
        <v>17.7</v>
      </c>
      <c r="E1042">
        <v>17.7</v>
      </c>
      <c r="F1042">
        <v>109351</v>
      </c>
      <c r="G1042">
        <v>327911</v>
      </c>
      <c r="H1042">
        <v>20.190000000000001</v>
      </c>
      <c r="I1042">
        <v>21.46</v>
      </c>
      <c r="J1042">
        <v>0</v>
      </c>
      <c r="K1042">
        <v>0.39</v>
      </c>
      <c r="L1042">
        <v>4</v>
      </c>
      <c r="M1042">
        <v>4</v>
      </c>
      <c r="N1042">
        <v>4.4000000000000004</v>
      </c>
      <c r="O1042">
        <v>0</v>
      </c>
      <c r="P1042">
        <v>118</v>
      </c>
      <c r="Q1042">
        <v>23</v>
      </c>
      <c r="R1042">
        <v>71</v>
      </c>
      <c r="S1042" t="s">
        <v>36767</v>
      </c>
      <c r="U1042">
        <v>0.27337287999999998</v>
      </c>
      <c r="V1042">
        <v>5.9</v>
      </c>
      <c r="X1042" t="s">
        <v>5213</v>
      </c>
      <c r="Y1042" t="s">
        <v>5208</v>
      </c>
      <c r="Z1042" t="s">
        <v>5208</v>
      </c>
      <c r="AA1042" t="s">
        <v>273</v>
      </c>
      <c r="AB1042" t="s">
        <v>36775</v>
      </c>
      <c r="AC1042" t="s">
        <v>34465</v>
      </c>
      <c r="AD1042" t="s">
        <v>7954</v>
      </c>
      <c r="AE1042" t="s">
        <v>36776</v>
      </c>
      <c r="AF1042" t="s">
        <v>36774</v>
      </c>
      <c r="AG1042" t="s">
        <v>36771</v>
      </c>
    </row>
    <row r="1043" spans="1:33" x14ac:dyDescent="0.25">
      <c r="A1043" t="s">
        <v>34462</v>
      </c>
      <c r="B1043" t="s">
        <v>5218</v>
      </c>
      <c r="C1043" t="s">
        <v>5220</v>
      </c>
      <c r="D1043">
        <v>26.48</v>
      </c>
      <c r="E1043">
        <v>18.53</v>
      </c>
      <c r="F1043">
        <v>104530</v>
      </c>
      <c r="G1043">
        <v>317632</v>
      </c>
      <c r="H1043">
        <v>32.590000000000003</v>
      </c>
      <c r="I1043">
        <v>25.14</v>
      </c>
      <c r="J1043">
        <v>0.09</v>
      </c>
      <c r="K1043">
        <v>1</v>
      </c>
      <c r="L1043">
        <v>3</v>
      </c>
      <c r="M1043">
        <v>4</v>
      </c>
      <c r="N1043">
        <v>4.4000000000000004</v>
      </c>
      <c r="O1043">
        <v>0</v>
      </c>
      <c r="P1043">
        <v>118</v>
      </c>
      <c r="Q1043">
        <v>30</v>
      </c>
      <c r="R1043">
        <v>76</v>
      </c>
      <c r="S1043" t="s">
        <v>36767</v>
      </c>
      <c r="U1043">
        <v>0.18077884</v>
      </c>
      <c r="V1043">
        <v>5.9</v>
      </c>
      <c r="W1043">
        <v>4.5</v>
      </c>
      <c r="X1043" t="s">
        <v>5217</v>
      </c>
      <c r="Y1043" t="s">
        <v>5208</v>
      </c>
      <c r="Z1043" t="s">
        <v>5208</v>
      </c>
      <c r="AA1043" t="s">
        <v>273</v>
      </c>
      <c r="AB1043" t="s">
        <v>36777</v>
      </c>
      <c r="AC1043" t="s">
        <v>34465</v>
      </c>
      <c r="AD1043" t="s">
        <v>7954</v>
      </c>
      <c r="AE1043" t="s">
        <v>34596</v>
      </c>
      <c r="AF1043" t="s">
        <v>36770</v>
      </c>
      <c r="AG1043" t="s">
        <v>36771</v>
      </c>
    </row>
    <row r="1044" spans="1:33" x14ac:dyDescent="0.25">
      <c r="A1044" t="s">
        <v>34462</v>
      </c>
      <c r="B1044" t="s">
        <v>5222</v>
      </c>
      <c r="C1044" t="s">
        <v>5224</v>
      </c>
      <c r="D1044">
        <v>10.5</v>
      </c>
      <c r="E1044">
        <v>10.5</v>
      </c>
      <c r="F1044">
        <v>109351</v>
      </c>
      <c r="G1044">
        <v>313114</v>
      </c>
      <c r="H1044">
        <v>14.05</v>
      </c>
      <c r="I1044">
        <v>19.309999999999999</v>
      </c>
      <c r="J1044">
        <v>0</v>
      </c>
      <c r="K1044">
        <v>0</v>
      </c>
      <c r="L1044">
        <v>2</v>
      </c>
      <c r="M1044">
        <v>1</v>
      </c>
      <c r="N1044">
        <v>4.4000000000000004</v>
      </c>
      <c r="O1044">
        <v>0</v>
      </c>
      <c r="P1044">
        <v>118</v>
      </c>
      <c r="Q1044">
        <v>21</v>
      </c>
      <c r="R1044">
        <v>62</v>
      </c>
      <c r="S1044" t="s">
        <v>36767</v>
      </c>
      <c r="U1044">
        <v>0.18077884</v>
      </c>
      <c r="V1044">
        <v>5.9</v>
      </c>
      <c r="W1044">
        <v>0.53</v>
      </c>
      <c r="X1044" t="s">
        <v>5221</v>
      </c>
      <c r="Y1044" t="s">
        <v>5208</v>
      </c>
      <c r="Z1044" t="s">
        <v>5208</v>
      </c>
      <c r="AA1044" t="s">
        <v>273</v>
      </c>
      <c r="AB1044" t="s">
        <v>36778</v>
      </c>
      <c r="AC1044" t="s">
        <v>34493</v>
      </c>
      <c r="AD1044" t="s">
        <v>7954</v>
      </c>
      <c r="AE1044" t="s">
        <v>34592</v>
      </c>
      <c r="AF1044" t="s">
        <v>36770</v>
      </c>
      <c r="AG1044" t="s">
        <v>36771</v>
      </c>
    </row>
    <row r="1045" spans="1:33" x14ac:dyDescent="0.25">
      <c r="A1045" t="s">
        <v>34462</v>
      </c>
      <c r="B1045" t="s">
        <v>5226</v>
      </c>
      <c r="C1045" t="s">
        <v>5228</v>
      </c>
      <c r="D1045">
        <v>9.2200000000000006</v>
      </c>
      <c r="E1045">
        <v>9.2200000000000006</v>
      </c>
      <c r="F1045">
        <v>104530</v>
      </c>
      <c r="G1045">
        <v>331224</v>
      </c>
      <c r="H1045">
        <v>14.19</v>
      </c>
      <c r="I1045">
        <v>13.8</v>
      </c>
      <c r="J1045">
        <v>0</v>
      </c>
      <c r="K1045">
        <v>0.01</v>
      </c>
      <c r="L1045">
        <v>4</v>
      </c>
      <c r="M1045">
        <v>5</v>
      </c>
      <c r="N1045">
        <v>4.4000000000000004</v>
      </c>
      <c r="O1045">
        <v>2</v>
      </c>
      <c r="P1045">
        <v>118</v>
      </c>
      <c r="Q1045">
        <v>25</v>
      </c>
      <c r="R1045">
        <v>74</v>
      </c>
      <c r="S1045" t="s">
        <v>36767</v>
      </c>
      <c r="U1045">
        <v>0.14991415999999999</v>
      </c>
      <c r="V1045">
        <v>4.67</v>
      </c>
      <c r="X1045" t="s">
        <v>5225</v>
      </c>
      <c r="Y1045" t="s">
        <v>5208</v>
      </c>
      <c r="Z1045" t="s">
        <v>5208</v>
      </c>
      <c r="AA1045" t="s">
        <v>273</v>
      </c>
      <c r="AB1045" t="s">
        <v>36779</v>
      </c>
      <c r="AC1045" t="s">
        <v>34465</v>
      </c>
      <c r="AD1045" t="s">
        <v>7954</v>
      </c>
      <c r="AE1045" t="s">
        <v>34604</v>
      </c>
      <c r="AF1045" t="s">
        <v>36770</v>
      </c>
      <c r="AG1045" t="s">
        <v>36771</v>
      </c>
    </row>
    <row r="1046" spans="1:33" x14ac:dyDescent="0.25">
      <c r="A1046" t="s">
        <v>34462</v>
      </c>
      <c r="B1046" t="s">
        <v>5230</v>
      </c>
      <c r="C1046" t="s">
        <v>5232</v>
      </c>
      <c r="D1046">
        <v>20.239999999999998</v>
      </c>
      <c r="E1046">
        <v>20.239999999999998</v>
      </c>
      <c r="F1046">
        <v>109351</v>
      </c>
      <c r="G1046">
        <v>318929</v>
      </c>
      <c r="H1046">
        <v>23.56</v>
      </c>
      <c r="I1046">
        <v>18.559999999999999</v>
      </c>
      <c r="J1046">
        <v>0</v>
      </c>
      <c r="K1046">
        <v>0</v>
      </c>
      <c r="L1046">
        <v>2</v>
      </c>
      <c r="M1046">
        <v>2</v>
      </c>
      <c r="N1046">
        <v>4.4000000000000004</v>
      </c>
      <c r="O1046">
        <v>1</v>
      </c>
      <c r="P1046">
        <v>118</v>
      </c>
      <c r="Q1046">
        <v>26</v>
      </c>
      <c r="R1046">
        <v>73</v>
      </c>
      <c r="S1046" t="s">
        <v>36767</v>
      </c>
      <c r="U1046">
        <v>0.14330029999999999</v>
      </c>
      <c r="V1046">
        <v>5.9</v>
      </c>
      <c r="W1046">
        <v>2.0299999999999998</v>
      </c>
      <c r="X1046" t="s">
        <v>5229</v>
      </c>
      <c r="Y1046" t="s">
        <v>5208</v>
      </c>
      <c r="Z1046" t="s">
        <v>5208</v>
      </c>
      <c r="AA1046" t="s">
        <v>76</v>
      </c>
      <c r="AB1046" t="s">
        <v>36780</v>
      </c>
      <c r="AC1046" t="s">
        <v>34493</v>
      </c>
      <c r="AD1046" t="s">
        <v>7954</v>
      </c>
      <c r="AE1046" t="s">
        <v>34592</v>
      </c>
      <c r="AF1046" t="s">
        <v>36781</v>
      </c>
      <c r="AG1046" t="s">
        <v>36771</v>
      </c>
    </row>
    <row r="1047" spans="1:33" x14ac:dyDescent="0.25">
      <c r="A1047" t="s">
        <v>34462</v>
      </c>
      <c r="B1047" t="s">
        <v>5234</v>
      </c>
      <c r="C1047" t="s">
        <v>5236</v>
      </c>
      <c r="D1047">
        <v>9.9700000000000006</v>
      </c>
      <c r="E1047">
        <v>9.9700000000000006</v>
      </c>
      <c r="F1047">
        <v>109351</v>
      </c>
      <c r="G1047">
        <v>330049</v>
      </c>
      <c r="H1047">
        <v>16.89</v>
      </c>
      <c r="I1047">
        <v>15.27</v>
      </c>
      <c r="J1047">
        <v>0</v>
      </c>
      <c r="K1047">
        <v>0</v>
      </c>
      <c r="L1047">
        <v>2</v>
      </c>
      <c r="M1047">
        <v>1</v>
      </c>
      <c r="N1047">
        <v>4.4000000000000004</v>
      </c>
      <c r="O1047">
        <v>2</v>
      </c>
      <c r="P1047">
        <v>118</v>
      </c>
      <c r="Q1047">
        <v>24</v>
      </c>
      <c r="R1047">
        <v>69</v>
      </c>
      <c r="S1047" t="s">
        <v>36767</v>
      </c>
      <c r="U1047">
        <v>0.14991415999999999</v>
      </c>
      <c r="V1047">
        <v>5.9</v>
      </c>
      <c r="W1047">
        <v>0.5</v>
      </c>
      <c r="X1047" t="s">
        <v>5233</v>
      </c>
      <c r="Y1047" t="s">
        <v>5208</v>
      </c>
      <c r="Z1047" t="s">
        <v>5208</v>
      </c>
      <c r="AA1047" t="s">
        <v>278</v>
      </c>
      <c r="AB1047" t="s">
        <v>36782</v>
      </c>
      <c r="AC1047" t="s">
        <v>34493</v>
      </c>
      <c r="AD1047" t="s">
        <v>7954</v>
      </c>
      <c r="AE1047" t="s">
        <v>34592</v>
      </c>
      <c r="AF1047" t="s">
        <v>36783</v>
      </c>
      <c r="AG1047" t="s">
        <v>36771</v>
      </c>
    </row>
    <row r="1048" spans="1:33" x14ac:dyDescent="0.25">
      <c r="A1048" t="s">
        <v>34462</v>
      </c>
      <c r="B1048" t="s">
        <v>5238</v>
      </c>
      <c r="C1048" t="s">
        <v>5240</v>
      </c>
      <c r="D1048">
        <v>19.16</v>
      </c>
      <c r="E1048">
        <v>19.16</v>
      </c>
      <c r="F1048">
        <v>109351</v>
      </c>
      <c r="G1048">
        <v>325613</v>
      </c>
      <c r="H1048">
        <v>24.26</v>
      </c>
      <c r="I1048">
        <v>20.72</v>
      </c>
      <c r="J1048">
        <v>0</v>
      </c>
      <c r="K1048">
        <v>0</v>
      </c>
      <c r="L1048">
        <v>2</v>
      </c>
      <c r="M1048">
        <v>1</v>
      </c>
      <c r="N1048">
        <v>4.4000000000000004</v>
      </c>
      <c r="O1048">
        <v>4</v>
      </c>
      <c r="P1048">
        <v>118</v>
      </c>
      <c r="Q1048">
        <v>19</v>
      </c>
      <c r="R1048">
        <v>61</v>
      </c>
      <c r="S1048" t="s">
        <v>36767</v>
      </c>
      <c r="U1048">
        <v>0.18077884</v>
      </c>
      <c r="V1048">
        <v>5.9</v>
      </c>
      <c r="W1048">
        <v>1.92</v>
      </c>
      <c r="X1048" t="s">
        <v>5237</v>
      </c>
      <c r="Y1048" t="s">
        <v>5208</v>
      </c>
      <c r="Z1048" t="s">
        <v>5208</v>
      </c>
      <c r="AA1048" t="s">
        <v>278</v>
      </c>
      <c r="AB1048" t="s">
        <v>36784</v>
      </c>
      <c r="AC1048" t="s">
        <v>34493</v>
      </c>
      <c r="AD1048" t="s">
        <v>7954</v>
      </c>
      <c r="AE1048" t="s">
        <v>34596</v>
      </c>
      <c r="AF1048" t="s">
        <v>36783</v>
      </c>
      <c r="AG1048" t="s">
        <v>36771</v>
      </c>
    </row>
    <row r="1049" spans="1:33" x14ac:dyDescent="0.25">
      <c r="A1049" t="s">
        <v>34462</v>
      </c>
      <c r="B1049" t="s">
        <v>5242</v>
      </c>
      <c r="C1049" t="s">
        <v>5244</v>
      </c>
      <c r="D1049">
        <v>13.88</v>
      </c>
      <c r="E1049">
        <v>8.1999999999999993</v>
      </c>
      <c r="F1049">
        <v>84810</v>
      </c>
      <c r="G1049">
        <v>322441</v>
      </c>
      <c r="H1049">
        <v>17.64</v>
      </c>
      <c r="I1049">
        <v>14.47</v>
      </c>
      <c r="J1049">
        <v>0</v>
      </c>
      <c r="K1049">
        <v>0</v>
      </c>
      <c r="L1049">
        <v>3</v>
      </c>
      <c r="M1049">
        <v>4</v>
      </c>
      <c r="N1049">
        <v>4.4000000000000004</v>
      </c>
      <c r="O1049">
        <v>3</v>
      </c>
      <c r="P1049">
        <v>118</v>
      </c>
      <c r="Q1049">
        <v>24</v>
      </c>
      <c r="R1049">
        <v>69</v>
      </c>
      <c r="S1049" t="s">
        <v>36767</v>
      </c>
      <c r="U1049">
        <v>0.17636959999999999</v>
      </c>
      <c r="V1049">
        <v>3.27</v>
      </c>
      <c r="W1049">
        <v>0.69</v>
      </c>
      <c r="X1049" t="s">
        <v>5241</v>
      </c>
      <c r="Y1049" t="s">
        <v>5208</v>
      </c>
      <c r="Z1049" t="s">
        <v>5208</v>
      </c>
      <c r="AA1049" t="s">
        <v>76</v>
      </c>
      <c r="AB1049" t="s">
        <v>36785</v>
      </c>
      <c r="AC1049" t="s">
        <v>34493</v>
      </c>
      <c r="AD1049" t="s">
        <v>7954</v>
      </c>
      <c r="AE1049" t="s">
        <v>34596</v>
      </c>
      <c r="AF1049" t="s">
        <v>36786</v>
      </c>
      <c r="AG1049" t="s">
        <v>36771</v>
      </c>
    </row>
    <row r="1050" spans="1:33" x14ac:dyDescent="0.25">
      <c r="A1050" t="s">
        <v>34462</v>
      </c>
      <c r="B1050" t="s">
        <v>5246</v>
      </c>
      <c r="C1050" t="s">
        <v>5248</v>
      </c>
      <c r="D1050">
        <v>21.73</v>
      </c>
      <c r="E1050">
        <v>21.73</v>
      </c>
      <c r="F1050">
        <v>84810</v>
      </c>
      <c r="G1050">
        <v>321728</v>
      </c>
      <c r="H1050">
        <v>29.1</v>
      </c>
      <c r="I1050">
        <v>21.96</v>
      </c>
      <c r="J1050">
        <v>0</v>
      </c>
      <c r="K1050">
        <v>0</v>
      </c>
      <c r="L1050">
        <v>2</v>
      </c>
      <c r="M1050">
        <v>2</v>
      </c>
      <c r="N1050">
        <v>4.4000000000000004</v>
      </c>
      <c r="O1050">
        <v>8</v>
      </c>
      <c r="P1050">
        <v>118</v>
      </c>
      <c r="Q1050">
        <v>27</v>
      </c>
      <c r="R1050">
        <v>63</v>
      </c>
      <c r="S1050" t="s">
        <v>36767</v>
      </c>
      <c r="U1050">
        <v>0.22046199999999999</v>
      </c>
      <c r="V1050">
        <v>3.27</v>
      </c>
      <c r="W1050">
        <v>3.69</v>
      </c>
      <c r="X1050" t="s">
        <v>5245</v>
      </c>
      <c r="Y1050" t="s">
        <v>5208</v>
      </c>
      <c r="Z1050" t="s">
        <v>5208</v>
      </c>
      <c r="AA1050" t="s">
        <v>76</v>
      </c>
      <c r="AB1050" t="s">
        <v>36787</v>
      </c>
      <c r="AC1050" t="s">
        <v>34493</v>
      </c>
      <c r="AD1050" t="s">
        <v>7954</v>
      </c>
      <c r="AE1050" t="s">
        <v>34604</v>
      </c>
      <c r="AF1050" t="s">
        <v>36781</v>
      </c>
      <c r="AG1050" t="s">
        <v>36771</v>
      </c>
    </row>
    <row r="1051" spans="1:33" x14ac:dyDescent="0.25">
      <c r="A1051" t="s">
        <v>34462</v>
      </c>
      <c r="B1051" t="s">
        <v>5250</v>
      </c>
      <c r="C1051" t="s">
        <v>5252</v>
      </c>
      <c r="D1051">
        <v>22.04</v>
      </c>
      <c r="E1051">
        <v>17.52</v>
      </c>
      <c r="F1051">
        <v>109351</v>
      </c>
      <c r="G1051">
        <v>316393</v>
      </c>
      <c r="H1051">
        <v>21.76</v>
      </c>
      <c r="I1051">
        <v>22.15</v>
      </c>
      <c r="J1051">
        <v>0</v>
      </c>
      <c r="K1051">
        <v>0</v>
      </c>
      <c r="L1051">
        <v>4</v>
      </c>
      <c r="M1051">
        <v>4</v>
      </c>
      <c r="N1051">
        <v>4.4000000000000004</v>
      </c>
      <c r="O1051">
        <v>3</v>
      </c>
      <c r="P1051">
        <v>118</v>
      </c>
      <c r="Q1051">
        <v>22</v>
      </c>
      <c r="R1051">
        <v>63</v>
      </c>
      <c r="S1051" t="s">
        <v>36767</v>
      </c>
      <c r="U1051">
        <v>0.20282504000000001</v>
      </c>
      <c r="V1051">
        <v>6.6</v>
      </c>
      <c r="W1051">
        <v>3.75</v>
      </c>
      <c r="X1051" t="s">
        <v>5249</v>
      </c>
      <c r="Y1051" t="s">
        <v>5208</v>
      </c>
      <c r="Z1051" t="s">
        <v>5208</v>
      </c>
      <c r="AA1051" t="s">
        <v>278</v>
      </c>
      <c r="AB1051" t="s">
        <v>36788</v>
      </c>
      <c r="AC1051" t="s">
        <v>34493</v>
      </c>
      <c r="AD1051" t="s">
        <v>7954</v>
      </c>
      <c r="AE1051" t="s">
        <v>34604</v>
      </c>
      <c r="AF1051" t="s">
        <v>36783</v>
      </c>
      <c r="AG1051" t="s">
        <v>36771</v>
      </c>
    </row>
    <row r="1052" spans="1:33" x14ac:dyDescent="0.25">
      <c r="A1052" t="s">
        <v>34462</v>
      </c>
      <c r="B1052" t="s">
        <v>5254</v>
      </c>
      <c r="C1052" t="s">
        <v>5256</v>
      </c>
      <c r="D1052">
        <v>14.68</v>
      </c>
      <c r="E1052">
        <v>9</v>
      </c>
      <c r="F1052">
        <v>104530</v>
      </c>
      <c r="G1052">
        <v>326293</v>
      </c>
      <c r="H1052">
        <v>18.8</v>
      </c>
      <c r="I1052">
        <v>21.05</v>
      </c>
      <c r="J1052">
        <v>0</v>
      </c>
      <c r="K1052">
        <v>0</v>
      </c>
      <c r="L1052">
        <v>10</v>
      </c>
      <c r="M1052">
        <v>10</v>
      </c>
      <c r="N1052">
        <v>4.4000000000000004</v>
      </c>
      <c r="O1052">
        <v>0</v>
      </c>
      <c r="P1052">
        <v>118</v>
      </c>
      <c r="Q1052">
        <v>31</v>
      </c>
      <c r="R1052">
        <v>87</v>
      </c>
      <c r="S1052" t="s">
        <v>36767</v>
      </c>
      <c r="U1052">
        <v>0.17636959999999999</v>
      </c>
      <c r="V1052">
        <v>3.27</v>
      </c>
      <c r="W1052">
        <v>0.73</v>
      </c>
      <c r="X1052" t="s">
        <v>5253</v>
      </c>
      <c r="Y1052" t="s">
        <v>5208</v>
      </c>
      <c r="Z1052" t="s">
        <v>5208</v>
      </c>
      <c r="AA1052" t="s">
        <v>278</v>
      </c>
      <c r="AB1052" t="s">
        <v>36789</v>
      </c>
      <c r="AC1052" t="s">
        <v>34493</v>
      </c>
      <c r="AD1052" t="s">
        <v>7954</v>
      </c>
      <c r="AE1052" t="s">
        <v>36769</v>
      </c>
      <c r="AF1052" t="s">
        <v>36790</v>
      </c>
      <c r="AG1052" t="s">
        <v>36771</v>
      </c>
    </row>
    <row r="1053" spans="1:33" x14ac:dyDescent="0.25">
      <c r="A1053" t="s">
        <v>34462</v>
      </c>
      <c r="B1053" t="s">
        <v>5258</v>
      </c>
      <c r="C1053" t="s">
        <v>5260</v>
      </c>
      <c r="D1053">
        <v>22.68</v>
      </c>
      <c r="E1053">
        <v>17</v>
      </c>
      <c r="F1053">
        <v>109351</v>
      </c>
      <c r="G1053">
        <v>321025</v>
      </c>
      <c r="H1053">
        <v>23.14</v>
      </c>
      <c r="I1053">
        <v>19.13</v>
      </c>
      <c r="J1053">
        <v>0</v>
      </c>
      <c r="K1053">
        <v>0</v>
      </c>
      <c r="L1053">
        <v>4</v>
      </c>
      <c r="M1053">
        <v>6</v>
      </c>
      <c r="N1053">
        <v>4.4000000000000004</v>
      </c>
      <c r="O1053">
        <v>7</v>
      </c>
      <c r="P1053">
        <v>118</v>
      </c>
      <c r="Q1053">
        <v>34</v>
      </c>
      <c r="R1053">
        <v>86</v>
      </c>
      <c r="S1053" t="s">
        <v>36767</v>
      </c>
      <c r="U1053">
        <v>0.25353130000000001</v>
      </c>
      <c r="V1053">
        <v>5.9</v>
      </c>
      <c r="W1053">
        <v>3.86</v>
      </c>
      <c r="X1053" t="s">
        <v>5257</v>
      </c>
      <c r="Y1053" t="s">
        <v>5208</v>
      </c>
      <c r="Z1053" t="s">
        <v>5208</v>
      </c>
      <c r="AA1053" t="s">
        <v>76</v>
      </c>
      <c r="AB1053" t="s">
        <v>36791</v>
      </c>
      <c r="AC1053" t="s">
        <v>34493</v>
      </c>
      <c r="AD1053" t="s">
        <v>7954</v>
      </c>
      <c r="AE1053" t="s">
        <v>36773</v>
      </c>
      <c r="AF1053" t="s">
        <v>36781</v>
      </c>
      <c r="AG1053" t="s">
        <v>36771</v>
      </c>
    </row>
    <row r="1054" spans="1:33" x14ac:dyDescent="0.25">
      <c r="A1054" t="s">
        <v>34462</v>
      </c>
      <c r="B1054" t="s">
        <v>5262</v>
      </c>
      <c r="C1054" t="s">
        <v>5264</v>
      </c>
      <c r="D1054">
        <v>21.02</v>
      </c>
      <c r="E1054">
        <v>15.34</v>
      </c>
      <c r="F1054">
        <v>84810</v>
      </c>
      <c r="G1054">
        <v>322113</v>
      </c>
      <c r="H1054">
        <v>20.79</v>
      </c>
      <c r="I1054">
        <v>21.42</v>
      </c>
      <c r="J1054">
        <v>0</v>
      </c>
      <c r="K1054">
        <v>0</v>
      </c>
      <c r="L1054">
        <v>6</v>
      </c>
      <c r="M1054">
        <v>6</v>
      </c>
      <c r="N1054">
        <v>4.4000000000000004</v>
      </c>
      <c r="O1054">
        <v>1</v>
      </c>
      <c r="P1054">
        <v>118</v>
      </c>
      <c r="Q1054">
        <v>33</v>
      </c>
      <c r="R1054">
        <v>85</v>
      </c>
      <c r="S1054" t="s">
        <v>36767</v>
      </c>
      <c r="U1054">
        <v>0.25353130000000001</v>
      </c>
      <c r="V1054">
        <v>5.12</v>
      </c>
      <c r="W1054">
        <v>3.57</v>
      </c>
      <c r="X1054" t="s">
        <v>5261</v>
      </c>
      <c r="Y1054" t="s">
        <v>5208</v>
      </c>
      <c r="Z1054" t="s">
        <v>5208</v>
      </c>
      <c r="AA1054" t="s">
        <v>278</v>
      </c>
      <c r="AB1054" t="s">
        <v>36792</v>
      </c>
      <c r="AC1054" t="s">
        <v>34493</v>
      </c>
      <c r="AD1054" t="s">
        <v>7954</v>
      </c>
      <c r="AE1054" t="s">
        <v>36773</v>
      </c>
      <c r="AF1054" t="s">
        <v>36790</v>
      </c>
      <c r="AG1054" t="s">
        <v>36771</v>
      </c>
    </row>
    <row r="1055" spans="1:33" x14ac:dyDescent="0.25">
      <c r="A1055" t="s">
        <v>34462</v>
      </c>
      <c r="B1055" t="s">
        <v>5266</v>
      </c>
      <c r="C1055" t="s">
        <v>5269</v>
      </c>
      <c r="D1055">
        <v>120.8</v>
      </c>
      <c r="E1055">
        <v>112.85</v>
      </c>
      <c r="H1055">
        <v>209.41</v>
      </c>
      <c r="I1055">
        <v>209.41</v>
      </c>
      <c r="J1055">
        <v>0.25</v>
      </c>
      <c r="K1055">
        <v>1</v>
      </c>
      <c r="L1055">
        <v>1</v>
      </c>
      <c r="M1055">
        <v>1</v>
      </c>
      <c r="Q1055">
        <v>-1</v>
      </c>
      <c r="R1055">
        <v>-1</v>
      </c>
      <c r="S1055" t="s">
        <v>36793</v>
      </c>
      <c r="U1055">
        <v>3.00048782</v>
      </c>
      <c r="V1055">
        <v>16.07</v>
      </c>
      <c r="W1055">
        <v>20.54</v>
      </c>
      <c r="X1055" t="s">
        <v>5265</v>
      </c>
      <c r="Y1055" t="s">
        <v>36794</v>
      </c>
      <c r="Z1055" t="s">
        <v>5270</v>
      </c>
      <c r="AA1055" t="s">
        <v>76</v>
      </c>
      <c r="AB1055" t="s">
        <v>36795</v>
      </c>
      <c r="AC1055" t="s">
        <v>34465</v>
      </c>
      <c r="AD1055" t="s">
        <v>12423</v>
      </c>
      <c r="AE1055" t="s">
        <v>34533</v>
      </c>
      <c r="AF1055" t="s">
        <v>36796</v>
      </c>
      <c r="AG1055" t="s">
        <v>36797</v>
      </c>
    </row>
    <row r="1056" spans="1:33" x14ac:dyDescent="0.25">
      <c r="A1056" t="s">
        <v>34462</v>
      </c>
      <c r="B1056" t="s">
        <v>5272</v>
      </c>
      <c r="C1056" t="s">
        <v>5274</v>
      </c>
      <c r="D1056">
        <v>120.8</v>
      </c>
      <c r="E1056">
        <v>112.85</v>
      </c>
      <c r="H1056">
        <v>142.01</v>
      </c>
      <c r="I1056">
        <v>142.01</v>
      </c>
      <c r="J1056">
        <v>0.25</v>
      </c>
      <c r="K1056">
        <v>0.85</v>
      </c>
      <c r="L1056">
        <v>1</v>
      </c>
      <c r="M1056">
        <v>1</v>
      </c>
      <c r="Q1056">
        <v>-1</v>
      </c>
      <c r="R1056">
        <v>-1</v>
      </c>
      <c r="S1056" t="s">
        <v>36793</v>
      </c>
      <c r="U1056">
        <v>3.00048782</v>
      </c>
      <c r="V1056">
        <v>16.07</v>
      </c>
      <c r="W1056">
        <v>20.54</v>
      </c>
      <c r="X1056" t="s">
        <v>5271</v>
      </c>
      <c r="Y1056" t="s">
        <v>5275</v>
      </c>
      <c r="Z1056" t="s">
        <v>5275</v>
      </c>
      <c r="AA1056" t="s">
        <v>1490</v>
      </c>
      <c r="AB1056" t="s">
        <v>36798</v>
      </c>
      <c r="AC1056" t="s">
        <v>34484</v>
      </c>
      <c r="AD1056" t="s">
        <v>12423</v>
      </c>
      <c r="AE1056" t="s">
        <v>34533</v>
      </c>
      <c r="AF1056" t="s">
        <v>36799</v>
      </c>
    </row>
    <row r="1057" spans="1:33" x14ac:dyDescent="0.25">
      <c r="A1057" t="s">
        <v>34462</v>
      </c>
      <c r="B1057" t="s">
        <v>5277</v>
      </c>
      <c r="C1057" t="s">
        <v>5269</v>
      </c>
      <c r="D1057">
        <v>112.85</v>
      </c>
      <c r="E1057">
        <v>112.85</v>
      </c>
      <c r="J1057">
        <v>0.25</v>
      </c>
      <c r="K1057">
        <v>1</v>
      </c>
      <c r="L1057">
        <v>2</v>
      </c>
      <c r="M1057">
        <v>1</v>
      </c>
      <c r="Q1057">
        <v>-1</v>
      </c>
      <c r="R1057">
        <v>-1</v>
      </c>
      <c r="S1057" t="s">
        <v>36793</v>
      </c>
      <c r="U1057">
        <v>3.00048782</v>
      </c>
      <c r="V1057">
        <v>16.07</v>
      </c>
      <c r="X1057" t="s">
        <v>5276</v>
      </c>
      <c r="Y1057" t="s">
        <v>36794</v>
      </c>
      <c r="Z1057" t="s">
        <v>5279</v>
      </c>
      <c r="AA1057" t="s">
        <v>76</v>
      </c>
      <c r="AB1057" t="s">
        <v>36800</v>
      </c>
      <c r="AC1057" t="s">
        <v>34465</v>
      </c>
      <c r="AD1057" t="s">
        <v>12423</v>
      </c>
      <c r="AE1057" t="s">
        <v>14701</v>
      </c>
      <c r="AF1057" t="s">
        <v>36801</v>
      </c>
    </row>
    <row r="1058" spans="1:33" x14ac:dyDescent="0.25">
      <c r="A1058" t="s">
        <v>34462</v>
      </c>
      <c r="B1058" t="s">
        <v>5281</v>
      </c>
      <c r="C1058" t="s">
        <v>5274</v>
      </c>
      <c r="D1058">
        <v>112.85</v>
      </c>
      <c r="E1058">
        <v>112.85</v>
      </c>
      <c r="J1058">
        <v>0.25</v>
      </c>
      <c r="K1058">
        <v>1</v>
      </c>
      <c r="L1058">
        <v>2</v>
      </c>
      <c r="M1058">
        <v>1</v>
      </c>
      <c r="Q1058">
        <v>-1</v>
      </c>
      <c r="R1058">
        <v>-1</v>
      </c>
      <c r="S1058" t="s">
        <v>36793</v>
      </c>
      <c r="U1058">
        <v>3.00048782</v>
      </c>
      <c r="V1058">
        <v>16.07</v>
      </c>
      <c r="X1058" t="s">
        <v>5280</v>
      </c>
      <c r="Y1058" t="s">
        <v>5284</v>
      </c>
      <c r="Z1058" t="s">
        <v>5284</v>
      </c>
      <c r="AA1058" t="s">
        <v>1490</v>
      </c>
      <c r="AB1058" t="s">
        <v>36802</v>
      </c>
      <c r="AC1058" t="s">
        <v>34465</v>
      </c>
      <c r="AD1058" t="s">
        <v>12423</v>
      </c>
      <c r="AE1058" t="s">
        <v>14701</v>
      </c>
      <c r="AF1058" t="s">
        <v>36803</v>
      </c>
    </row>
    <row r="1059" spans="1:33" x14ac:dyDescent="0.25">
      <c r="A1059" t="s">
        <v>34462</v>
      </c>
      <c r="B1059" t="s">
        <v>5286</v>
      </c>
      <c r="C1059" t="s">
        <v>5274</v>
      </c>
      <c r="D1059">
        <v>112.85</v>
      </c>
      <c r="E1059">
        <v>112.85</v>
      </c>
      <c r="J1059">
        <v>0.25</v>
      </c>
      <c r="K1059">
        <v>1</v>
      </c>
      <c r="L1059">
        <v>1</v>
      </c>
      <c r="M1059">
        <v>1</v>
      </c>
      <c r="Q1059">
        <v>-1</v>
      </c>
      <c r="R1059">
        <v>-1</v>
      </c>
      <c r="S1059" t="s">
        <v>36793</v>
      </c>
      <c r="U1059">
        <v>3.00048782</v>
      </c>
      <c r="V1059">
        <v>16.07</v>
      </c>
      <c r="X1059" t="s">
        <v>5285</v>
      </c>
      <c r="Y1059" t="s">
        <v>5288</v>
      </c>
      <c r="Z1059" t="s">
        <v>5288</v>
      </c>
      <c r="AA1059" t="s">
        <v>1490</v>
      </c>
      <c r="AB1059" t="s">
        <v>36804</v>
      </c>
      <c r="AC1059" t="s">
        <v>34465</v>
      </c>
      <c r="AD1059" t="s">
        <v>12423</v>
      </c>
      <c r="AE1059" t="s">
        <v>34525</v>
      </c>
      <c r="AF1059" t="s">
        <v>36799</v>
      </c>
    </row>
    <row r="1060" spans="1:33" x14ac:dyDescent="0.25">
      <c r="A1060" t="s">
        <v>34462</v>
      </c>
      <c r="B1060" t="s">
        <v>5290</v>
      </c>
      <c r="C1060" t="s">
        <v>5269</v>
      </c>
      <c r="D1060">
        <v>112.85</v>
      </c>
      <c r="E1060">
        <v>112.85</v>
      </c>
      <c r="J1060">
        <v>0.25</v>
      </c>
      <c r="K1060">
        <v>1</v>
      </c>
      <c r="L1060">
        <v>1</v>
      </c>
      <c r="M1060">
        <v>1</v>
      </c>
      <c r="Q1060">
        <v>-1</v>
      </c>
      <c r="R1060">
        <v>-1</v>
      </c>
      <c r="S1060" t="s">
        <v>36793</v>
      </c>
      <c r="U1060">
        <v>3.00048782</v>
      </c>
      <c r="V1060">
        <v>16.07</v>
      </c>
      <c r="X1060" t="s">
        <v>5289</v>
      </c>
      <c r="Y1060" t="s">
        <v>36794</v>
      </c>
      <c r="Z1060" t="s">
        <v>5292</v>
      </c>
      <c r="AA1060" t="s">
        <v>76</v>
      </c>
      <c r="AB1060" t="s">
        <v>36805</v>
      </c>
      <c r="AC1060" t="s">
        <v>34465</v>
      </c>
      <c r="AD1060" t="s">
        <v>12423</v>
      </c>
      <c r="AE1060" t="s">
        <v>34525</v>
      </c>
      <c r="AF1060" t="s">
        <v>36801</v>
      </c>
    </row>
    <row r="1061" spans="1:33" x14ac:dyDescent="0.25">
      <c r="A1061" t="s">
        <v>34462</v>
      </c>
      <c r="B1061" t="s">
        <v>5294</v>
      </c>
      <c r="C1061" t="s">
        <v>5274</v>
      </c>
      <c r="D1061">
        <v>112.85</v>
      </c>
      <c r="E1061">
        <v>112.85</v>
      </c>
      <c r="J1061">
        <v>0.25</v>
      </c>
      <c r="K1061">
        <v>1</v>
      </c>
      <c r="L1061">
        <v>1</v>
      </c>
      <c r="M1061">
        <v>1</v>
      </c>
      <c r="Q1061">
        <v>-1</v>
      </c>
      <c r="R1061">
        <v>-1</v>
      </c>
      <c r="S1061" t="s">
        <v>36793</v>
      </c>
      <c r="U1061">
        <v>99.999358580000006</v>
      </c>
      <c r="V1061">
        <v>76.56</v>
      </c>
      <c r="X1061" t="s">
        <v>5293</v>
      </c>
      <c r="Y1061" t="s">
        <v>5296</v>
      </c>
      <c r="Z1061" t="s">
        <v>5296</v>
      </c>
      <c r="AA1061" t="s">
        <v>1490</v>
      </c>
      <c r="AB1061" t="s">
        <v>36806</v>
      </c>
      <c r="AC1061" t="s">
        <v>34465</v>
      </c>
      <c r="AD1061" t="s">
        <v>12423</v>
      </c>
      <c r="AE1061" t="s">
        <v>34649</v>
      </c>
      <c r="AF1061" t="s">
        <v>36803</v>
      </c>
    </row>
    <row r="1062" spans="1:33" x14ac:dyDescent="0.25">
      <c r="A1062" t="s">
        <v>34462</v>
      </c>
      <c r="B1062" t="s">
        <v>5298</v>
      </c>
      <c r="C1062" t="s">
        <v>5301</v>
      </c>
      <c r="D1062">
        <v>40.17</v>
      </c>
      <c r="E1062">
        <v>32.22</v>
      </c>
      <c r="F1062">
        <v>3262099</v>
      </c>
      <c r="G1062">
        <v>2174217</v>
      </c>
      <c r="H1062">
        <v>52.77</v>
      </c>
      <c r="I1062">
        <v>59.52</v>
      </c>
      <c r="J1062">
        <v>0</v>
      </c>
      <c r="K1062">
        <v>1</v>
      </c>
      <c r="L1062">
        <v>7</v>
      </c>
      <c r="M1062">
        <v>5</v>
      </c>
      <c r="N1062">
        <v>5</v>
      </c>
      <c r="O1062">
        <v>9</v>
      </c>
      <c r="P1062">
        <v>9</v>
      </c>
      <c r="Q1062">
        <v>0</v>
      </c>
      <c r="R1062">
        <v>2</v>
      </c>
      <c r="U1062">
        <v>0.85980180000000006</v>
      </c>
      <c r="V1062">
        <v>7.72</v>
      </c>
      <c r="W1062">
        <v>6.83</v>
      </c>
      <c r="X1062" t="s">
        <v>5297</v>
      </c>
      <c r="AA1062" t="s">
        <v>5302</v>
      </c>
      <c r="AB1062" t="s">
        <v>36807</v>
      </c>
      <c r="AC1062" t="s">
        <v>34465</v>
      </c>
      <c r="AD1062" t="s">
        <v>7947</v>
      </c>
      <c r="AF1062" t="s">
        <v>36808</v>
      </c>
      <c r="AG1062" t="s">
        <v>36809</v>
      </c>
    </row>
    <row r="1063" spans="1:33" x14ac:dyDescent="0.25">
      <c r="A1063" t="s">
        <v>34462</v>
      </c>
      <c r="B1063" t="s">
        <v>5304</v>
      </c>
      <c r="C1063" t="s">
        <v>5306</v>
      </c>
      <c r="D1063">
        <v>53.68</v>
      </c>
      <c r="E1063">
        <v>45.73</v>
      </c>
      <c r="F1063">
        <v>2172738</v>
      </c>
      <c r="G1063">
        <v>1809975</v>
      </c>
      <c r="H1063">
        <v>93.16</v>
      </c>
      <c r="I1063">
        <v>93.16</v>
      </c>
      <c r="J1063">
        <v>0</v>
      </c>
      <c r="K1063">
        <v>1</v>
      </c>
      <c r="L1063">
        <v>2</v>
      </c>
      <c r="M1063">
        <v>2</v>
      </c>
      <c r="N1063">
        <v>4.5999999999999996</v>
      </c>
      <c r="O1063">
        <v>13</v>
      </c>
      <c r="P1063">
        <v>31</v>
      </c>
      <c r="Q1063">
        <v>0</v>
      </c>
      <c r="R1063">
        <v>2</v>
      </c>
      <c r="S1063" t="s">
        <v>36810</v>
      </c>
      <c r="U1063">
        <v>0.85980180000000006</v>
      </c>
      <c r="V1063">
        <v>7.5</v>
      </c>
      <c r="W1063">
        <v>9.1300000000000008</v>
      </c>
      <c r="X1063" t="s">
        <v>5303</v>
      </c>
      <c r="Z1063" t="s">
        <v>5307</v>
      </c>
      <c r="AA1063" t="s">
        <v>5308</v>
      </c>
      <c r="AB1063" t="s">
        <v>36811</v>
      </c>
      <c r="AC1063" t="s">
        <v>34465</v>
      </c>
      <c r="AD1063" t="s">
        <v>7947</v>
      </c>
      <c r="AE1063" t="s">
        <v>34506</v>
      </c>
      <c r="AF1063" t="s">
        <v>36812</v>
      </c>
      <c r="AG1063" t="s">
        <v>36809</v>
      </c>
    </row>
    <row r="1064" spans="1:33" x14ac:dyDescent="0.25">
      <c r="A1064" t="s">
        <v>34462</v>
      </c>
      <c r="B1064" t="s">
        <v>5310</v>
      </c>
      <c r="C1064" t="s">
        <v>5313</v>
      </c>
      <c r="D1064">
        <v>20.99</v>
      </c>
      <c r="E1064">
        <v>20.99</v>
      </c>
      <c r="F1064">
        <v>21404</v>
      </c>
      <c r="G1064">
        <v>12901</v>
      </c>
      <c r="H1064">
        <v>24.67</v>
      </c>
      <c r="I1064">
        <v>24.76</v>
      </c>
      <c r="J1064">
        <v>0</v>
      </c>
      <c r="K1064">
        <v>0.04</v>
      </c>
      <c r="L1064">
        <v>8</v>
      </c>
      <c r="M1064">
        <v>7</v>
      </c>
      <c r="N1064">
        <v>4.5999999999999996</v>
      </c>
      <c r="O1064">
        <v>22</v>
      </c>
      <c r="P1064">
        <v>5138</v>
      </c>
      <c r="Q1064">
        <v>48</v>
      </c>
      <c r="R1064">
        <v>136</v>
      </c>
      <c r="S1064" t="s">
        <v>36813</v>
      </c>
      <c r="U1064">
        <v>1.5211878000000001</v>
      </c>
      <c r="V1064">
        <v>7.4</v>
      </c>
      <c r="W1064">
        <v>3.15</v>
      </c>
      <c r="X1064" t="s">
        <v>5309</v>
      </c>
      <c r="Y1064" t="s">
        <v>36814</v>
      </c>
      <c r="Z1064" t="s">
        <v>5314</v>
      </c>
      <c r="AA1064" t="s">
        <v>5315</v>
      </c>
      <c r="AB1064" t="s">
        <v>36815</v>
      </c>
      <c r="AC1064" t="s">
        <v>34493</v>
      </c>
      <c r="AD1064" t="s">
        <v>17415</v>
      </c>
      <c r="AE1064" t="s">
        <v>34521</v>
      </c>
      <c r="AF1064" t="s">
        <v>36816</v>
      </c>
      <c r="AG1064" t="s">
        <v>36817</v>
      </c>
    </row>
    <row r="1065" spans="1:33" x14ac:dyDescent="0.25">
      <c r="A1065" t="s">
        <v>34462</v>
      </c>
      <c r="B1065" t="s">
        <v>5317</v>
      </c>
      <c r="C1065" t="s">
        <v>5319</v>
      </c>
      <c r="D1065">
        <v>20.99</v>
      </c>
      <c r="E1065">
        <v>20.99</v>
      </c>
      <c r="F1065">
        <v>21404</v>
      </c>
      <c r="G1065">
        <v>12995</v>
      </c>
      <c r="H1065">
        <v>25.77</v>
      </c>
      <c r="I1065">
        <v>26.53</v>
      </c>
      <c r="J1065">
        <v>0</v>
      </c>
      <c r="K1065">
        <v>0</v>
      </c>
      <c r="L1065">
        <v>9</v>
      </c>
      <c r="M1065">
        <v>8</v>
      </c>
      <c r="N1065">
        <v>4.5999999999999996</v>
      </c>
      <c r="O1065">
        <v>28</v>
      </c>
      <c r="P1065">
        <v>5138</v>
      </c>
      <c r="Q1065">
        <v>13</v>
      </c>
      <c r="R1065">
        <v>40</v>
      </c>
      <c r="S1065" t="s">
        <v>36813</v>
      </c>
      <c r="U1065">
        <v>1.1904948</v>
      </c>
      <c r="V1065">
        <v>6.05</v>
      </c>
      <c r="W1065">
        <v>3.15</v>
      </c>
      <c r="X1065" t="s">
        <v>5316</v>
      </c>
      <c r="Y1065" t="s">
        <v>36814</v>
      </c>
      <c r="Z1065" t="s">
        <v>5314</v>
      </c>
      <c r="AA1065" t="s">
        <v>5315</v>
      </c>
      <c r="AB1065" t="s">
        <v>36818</v>
      </c>
      <c r="AC1065" t="s">
        <v>34493</v>
      </c>
      <c r="AD1065" t="s">
        <v>17415</v>
      </c>
      <c r="AE1065" t="s">
        <v>34576</v>
      </c>
      <c r="AF1065" t="s">
        <v>36816</v>
      </c>
      <c r="AG1065" t="s">
        <v>36817</v>
      </c>
    </row>
    <row r="1066" spans="1:33" x14ac:dyDescent="0.25">
      <c r="A1066" t="s">
        <v>34462</v>
      </c>
      <c r="B1066" t="s">
        <v>5321</v>
      </c>
      <c r="C1066" t="s">
        <v>5323</v>
      </c>
      <c r="D1066">
        <v>39.979999999999997</v>
      </c>
      <c r="E1066">
        <v>34.99</v>
      </c>
      <c r="F1066">
        <v>5925164</v>
      </c>
      <c r="G1066">
        <v>1903924</v>
      </c>
      <c r="H1066">
        <v>40.020000000000003</v>
      </c>
      <c r="I1066">
        <v>40.700000000000003</v>
      </c>
      <c r="J1066">
        <v>0</v>
      </c>
      <c r="K1066">
        <v>1</v>
      </c>
      <c r="L1066">
        <v>2</v>
      </c>
      <c r="M1066">
        <v>2</v>
      </c>
      <c r="N1066">
        <v>5</v>
      </c>
      <c r="O1066">
        <v>1</v>
      </c>
      <c r="P1066">
        <v>1</v>
      </c>
      <c r="Q1066">
        <v>2</v>
      </c>
      <c r="R1066">
        <v>41</v>
      </c>
      <c r="U1066">
        <v>0.50044874000000006</v>
      </c>
      <c r="V1066">
        <v>3.9</v>
      </c>
      <c r="W1066">
        <v>6</v>
      </c>
      <c r="X1066" t="s">
        <v>5320</v>
      </c>
      <c r="Y1066" t="s">
        <v>36819</v>
      </c>
      <c r="AA1066" t="s">
        <v>5315</v>
      </c>
      <c r="AB1066" t="s">
        <v>36820</v>
      </c>
      <c r="AC1066" t="s">
        <v>34465</v>
      </c>
      <c r="AD1066" t="s">
        <v>17415</v>
      </c>
      <c r="AE1066" t="s">
        <v>36821</v>
      </c>
      <c r="AF1066" t="s">
        <v>36822</v>
      </c>
      <c r="AG1066" t="s">
        <v>36823</v>
      </c>
    </row>
    <row r="1067" spans="1:33" x14ac:dyDescent="0.25">
      <c r="A1067" t="s">
        <v>34462</v>
      </c>
      <c r="B1067" t="s">
        <v>5324</v>
      </c>
      <c r="C1067" t="s">
        <v>5325</v>
      </c>
      <c r="D1067">
        <v>20.99</v>
      </c>
      <c r="E1067">
        <v>20.99</v>
      </c>
      <c r="F1067">
        <v>21404</v>
      </c>
      <c r="G1067">
        <v>12997</v>
      </c>
      <c r="H1067">
        <v>28.32</v>
      </c>
      <c r="I1067">
        <v>28.29</v>
      </c>
      <c r="J1067">
        <v>0</v>
      </c>
      <c r="K1067">
        <v>0.03</v>
      </c>
      <c r="L1067">
        <v>5</v>
      </c>
      <c r="M1067">
        <v>6</v>
      </c>
      <c r="N1067">
        <v>4.5999999999999996</v>
      </c>
      <c r="O1067">
        <v>34</v>
      </c>
      <c r="P1067">
        <v>5138</v>
      </c>
      <c r="Q1067">
        <v>25</v>
      </c>
      <c r="R1067">
        <v>59</v>
      </c>
      <c r="S1067" t="s">
        <v>36813</v>
      </c>
      <c r="U1067">
        <v>1.4241845200000001</v>
      </c>
      <c r="V1067">
        <v>5.77</v>
      </c>
      <c r="W1067">
        <v>3.15</v>
      </c>
      <c r="X1067" t="s">
        <v>5320</v>
      </c>
      <c r="Y1067" t="s">
        <v>36814</v>
      </c>
      <c r="Z1067" t="s">
        <v>5314</v>
      </c>
      <c r="AA1067" t="s">
        <v>5315</v>
      </c>
      <c r="AB1067" t="s">
        <v>36820</v>
      </c>
      <c r="AC1067" t="s">
        <v>34493</v>
      </c>
      <c r="AD1067" t="s">
        <v>17415</v>
      </c>
      <c r="AE1067" t="s">
        <v>34582</v>
      </c>
      <c r="AF1067" t="s">
        <v>36824</v>
      </c>
      <c r="AG1067" t="s">
        <v>36817</v>
      </c>
    </row>
    <row r="1068" spans="1:33" x14ac:dyDescent="0.25">
      <c r="A1068" t="s">
        <v>34462</v>
      </c>
      <c r="B1068" t="s">
        <v>5327</v>
      </c>
      <c r="C1068" t="s">
        <v>5330</v>
      </c>
      <c r="D1068">
        <v>11.37</v>
      </c>
      <c r="E1068">
        <v>11.37</v>
      </c>
      <c r="F1068">
        <v>33622</v>
      </c>
      <c r="G1068">
        <v>69597</v>
      </c>
      <c r="H1068">
        <v>18.329999999999998</v>
      </c>
      <c r="I1068">
        <v>19.02</v>
      </c>
      <c r="J1068">
        <v>0</v>
      </c>
      <c r="K1068">
        <v>0</v>
      </c>
      <c r="L1068">
        <v>12</v>
      </c>
      <c r="M1068">
        <v>12</v>
      </c>
      <c r="N1068">
        <v>4.4000000000000004</v>
      </c>
      <c r="O1068">
        <v>467</v>
      </c>
      <c r="P1068">
        <v>795</v>
      </c>
      <c r="Q1068">
        <v>53</v>
      </c>
      <c r="R1068">
        <v>160</v>
      </c>
      <c r="S1068" t="s">
        <v>36825</v>
      </c>
      <c r="T1068">
        <v>50</v>
      </c>
      <c r="U1068">
        <v>1.5895310199999999</v>
      </c>
      <c r="V1068">
        <v>7.32</v>
      </c>
      <c r="W1068">
        <v>1.71</v>
      </c>
      <c r="X1068" t="s">
        <v>5326</v>
      </c>
      <c r="Y1068" t="s">
        <v>5332</v>
      </c>
      <c r="Z1068" t="s">
        <v>5332</v>
      </c>
      <c r="AA1068" t="s">
        <v>1453</v>
      </c>
      <c r="AB1068" t="s">
        <v>36826</v>
      </c>
      <c r="AC1068" t="s">
        <v>34493</v>
      </c>
      <c r="AD1068" t="s">
        <v>19970</v>
      </c>
      <c r="AE1068" t="s">
        <v>14701</v>
      </c>
      <c r="AF1068" t="s">
        <v>36827</v>
      </c>
      <c r="AG1068" t="s">
        <v>36828</v>
      </c>
    </row>
    <row r="1069" spans="1:33" x14ac:dyDescent="0.25">
      <c r="A1069" t="s">
        <v>34462</v>
      </c>
      <c r="B1069" t="s">
        <v>5334</v>
      </c>
      <c r="C1069" t="s">
        <v>5337</v>
      </c>
      <c r="D1069">
        <v>30</v>
      </c>
      <c r="E1069">
        <v>30</v>
      </c>
      <c r="F1069">
        <v>149455</v>
      </c>
      <c r="G1069">
        <v>101412</v>
      </c>
      <c r="H1069">
        <v>45.49</v>
      </c>
      <c r="I1069">
        <v>51.15</v>
      </c>
      <c r="J1069">
        <v>0</v>
      </c>
      <c r="K1069">
        <v>0</v>
      </c>
      <c r="L1069">
        <v>8</v>
      </c>
      <c r="M1069">
        <v>7</v>
      </c>
      <c r="N1069">
        <v>4.2</v>
      </c>
      <c r="O1069">
        <v>2</v>
      </c>
      <c r="P1069">
        <v>290</v>
      </c>
      <c r="Q1069">
        <v>26</v>
      </c>
      <c r="R1069">
        <v>76</v>
      </c>
      <c r="S1069" t="s">
        <v>36829</v>
      </c>
      <c r="U1069">
        <v>0.82452787999999999</v>
      </c>
      <c r="V1069">
        <v>7.88</v>
      </c>
      <c r="W1069">
        <v>5.0999999999999996</v>
      </c>
      <c r="X1069" t="s">
        <v>5333</v>
      </c>
      <c r="Y1069" t="s">
        <v>5338</v>
      </c>
      <c r="Z1069" t="s">
        <v>5338</v>
      </c>
      <c r="AA1069" t="s">
        <v>5339</v>
      </c>
      <c r="AB1069" t="s">
        <v>36830</v>
      </c>
      <c r="AC1069" t="s">
        <v>34493</v>
      </c>
      <c r="AD1069" t="s">
        <v>9232</v>
      </c>
      <c r="AE1069" t="s">
        <v>34533</v>
      </c>
      <c r="AF1069" t="s">
        <v>36831</v>
      </c>
      <c r="AG1069" t="s">
        <v>36832</v>
      </c>
    </row>
    <row r="1070" spans="1:33" x14ac:dyDescent="0.25">
      <c r="A1070" t="s">
        <v>34462</v>
      </c>
      <c r="B1070" t="s">
        <v>5341</v>
      </c>
      <c r="C1070" t="s">
        <v>5343</v>
      </c>
      <c r="D1070">
        <v>50</v>
      </c>
      <c r="E1070">
        <v>50</v>
      </c>
      <c r="F1070">
        <v>124451</v>
      </c>
      <c r="G1070">
        <v>106205</v>
      </c>
      <c r="H1070">
        <v>50.05</v>
      </c>
      <c r="I1070">
        <v>51.55</v>
      </c>
      <c r="J1070">
        <v>0</v>
      </c>
      <c r="K1070">
        <v>0</v>
      </c>
      <c r="L1070">
        <v>3</v>
      </c>
      <c r="M1070">
        <v>3</v>
      </c>
      <c r="N1070">
        <v>4.2</v>
      </c>
      <c r="O1070">
        <v>0</v>
      </c>
      <c r="P1070">
        <v>290</v>
      </c>
      <c r="Q1070">
        <v>20</v>
      </c>
      <c r="R1070">
        <v>66</v>
      </c>
      <c r="S1070" t="s">
        <v>36829</v>
      </c>
      <c r="U1070">
        <v>0.89948496</v>
      </c>
      <c r="V1070">
        <v>11.13</v>
      </c>
      <c r="W1070">
        <v>8.5</v>
      </c>
      <c r="X1070" t="s">
        <v>5340</v>
      </c>
      <c r="Y1070" t="s">
        <v>5338</v>
      </c>
      <c r="Z1070" t="s">
        <v>5338</v>
      </c>
      <c r="AA1070" t="s">
        <v>5339</v>
      </c>
      <c r="AB1070" t="s">
        <v>36833</v>
      </c>
      <c r="AC1070" t="s">
        <v>34493</v>
      </c>
      <c r="AD1070" t="s">
        <v>9232</v>
      </c>
      <c r="AE1070" t="s">
        <v>14701</v>
      </c>
      <c r="AF1070" t="s">
        <v>36831</v>
      </c>
      <c r="AG1070" t="s">
        <v>36832</v>
      </c>
    </row>
    <row r="1071" spans="1:33" x14ac:dyDescent="0.25">
      <c r="A1071" t="s">
        <v>34462</v>
      </c>
      <c r="B1071" t="s">
        <v>5345</v>
      </c>
      <c r="C1071" t="s">
        <v>5347</v>
      </c>
      <c r="D1071">
        <v>30</v>
      </c>
      <c r="E1071">
        <v>30</v>
      </c>
      <c r="F1071">
        <v>149455</v>
      </c>
      <c r="G1071">
        <v>101166</v>
      </c>
      <c r="H1071">
        <v>49.97</v>
      </c>
      <c r="I1071">
        <v>59.27</v>
      </c>
      <c r="J1071">
        <v>0</v>
      </c>
      <c r="K1071">
        <v>0</v>
      </c>
      <c r="L1071">
        <v>3</v>
      </c>
      <c r="M1071">
        <v>3</v>
      </c>
      <c r="N1071">
        <v>4.2</v>
      </c>
      <c r="O1071">
        <v>2</v>
      </c>
      <c r="P1071">
        <v>290</v>
      </c>
      <c r="Q1071">
        <v>30</v>
      </c>
      <c r="R1071">
        <v>68</v>
      </c>
      <c r="S1071" t="s">
        <v>36829</v>
      </c>
      <c r="U1071">
        <v>0.90389419999999998</v>
      </c>
      <c r="V1071">
        <v>8.36</v>
      </c>
      <c r="W1071">
        <v>5.0999999999999996</v>
      </c>
      <c r="X1071" t="s">
        <v>5344</v>
      </c>
      <c r="Y1071" t="s">
        <v>5338</v>
      </c>
      <c r="Z1071" t="s">
        <v>5338</v>
      </c>
      <c r="AA1071" t="s">
        <v>5339</v>
      </c>
      <c r="AB1071" t="s">
        <v>36834</v>
      </c>
      <c r="AC1071" t="s">
        <v>34493</v>
      </c>
      <c r="AD1071" t="s">
        <v>9232</v>
      </c>
      <c r="AE1071" t="s">
        <v>34525</v>
      </c>
      <c r="AF1071" t="s">
        <v>36831</v>
      </c>
      <c r="AG1071" t="s">
        <v>36832</v>
      </c>
    </row>
    <row r="1072" spans="1:33" x14ac:dyDescent="0.25">
      <c r="A1072" t="s">
        <v>34462</v>
      </c>
      <c r="B1072" t="s">
        <v>5349</v>
      </c>
      <c r="C1072" t="s">
        <v>5351</v>
      </c>
      <c r="D1072">
        <v>30</v>
      </c>
      <c r="E1072">
        <v>30</v>
      </c>
      <c r="F1072">
        <v>149455</v>
      </c>
      <c r="G1072">
        <v>101863</v>
      </c>
      <c r="H1072">
        <v>48.77</v>
      </c>
      <c r="I1072">
        <v>58.32</v>
      </c>
      <c r="J1072">
        <v>0</v>
      </c>
      <c r="K1072">
        <v>0</v>
      </c>
      <c r="L1072">
        <v>4</v>
      </c>
      <c r="M1072">
        <v>3</v>
      </c>
      <c r="N1072">
        <v>4.2</v>
      </c>
      <c r="O1072">
        <v>3</v>
      </c>
      <c r="P1072">
        <v>290</v>
      </c>
      <c r="Q1072">
        <v>28</v>
      </c>
      <c r="R1072">
        <v>83</v>
      </c>
      <c r="S1072" t="s">
        <v>36829</v>
      </c>
      <c r="U1072">
        <v>1.0141252000000001</v>
      </c>
      <c r="V1072">
        <v>11.51</v>
      </c>
      <c r="W1072">
        <v>5.0999999999999996</v>
      </c>
      <c r="X1072" t="s">
        <v>5348</v>
      </c>
      <c r="Y1072" t="s">
        <v>5338</v>
      </c>
      <c r="Z1072" t="s">
        <v>5338</v>
      </c>
      <c r="AA1072" t="s">
        <v>5339</v>
      </c>
      <c r="AB1072" t="s">
        <v>36835</v>
      </c>
      <c r="AC1072" t="s">
        <v>34493</v>
      </c>
      <c r="AD1072" t="s">
        <v>9232</v>
      </c>
      <c r="AE1072" t="s">
        <v>34649</v>
      </c>
      <c r="AF1072" t="s">
        <v>36836</v>
      </c>
      <c r="AG1072" t="s">
        <v>36832</v>
      </c>
    </row>
    <row r="1073" spans="1:33" x14ac:dyDescent="0.25">
      <c r="A1073" t="s">
        <v>34462</v>
      </c>
      <c r="B1073" t="s">
        <v>5353</v>
      </c>
      <c r="C1073" t="s">
        <v>5356</v>
      </c>
      <c r="D1073">
        <v>15.95</v>
      </c>
      <c r="E1073">
        <v>12.68</v>
      </c>
      <c r="F1073">
        <v>857781</v>
      </c>
      <c r="G1073">
        <v>2620521</v>
      </c>
      <c r="H1073">
        <v>17.989999999999998</v>
      </c>
      <c r="I1073">
        <v>23.11</v>
      </c>
      <c r="J1073">
        <v>0</v>
      </c>
      <c r="K1073">
        <v>1</v>
      </c>
      <c r="L1073">
        <v>11</v>
      </c>
      <c r="M1073">
        <v>12</v>
      </c>
      <c r="N1073">
        <v>4.7</v>
      </c>
      <c r="O1073">
        <v>12</v>
      </c>
      <c r="P1073">
        <v>13</v>
      </c>
      <c r="Q1073">
        <v>2</v>
      </c>
      <c r="R1073">
        <v>2</v>
      </c>
      <c r="U1073">
        <v>0.35053457999999998</v>
      </c>
      <c r="V1073">
        <v>6.6</v>
      </c>
      <c r="W1073">
        <v>1.6</v>
      </c>
      <c r="X1073" t="s">
        <v>5352</v>
      </c>
      <c r="Z1073" t="s">
        <v>5357</v>
      </c>
      <c r="AA1073" t="s">
        <v>278</v>
      </c>
      <c r="AB1073" t="s">
        <v>36837</v>
      </c>
      <c r="AC1073" t="s">
        <v>34465</v>
      </c>
      <c r="AD1073" t="s">
        <v>7947</v>
      </c>
      <c r="AE1073" t="s">
        <v>36838</v>
      </c>
      <c r="AF1073" t="s">
        <v>36839</v>
      </c>
      <c r="AG1073" t="s">
        <v>36840</v>
      </c>
    </row>
    <row r="1074" spans="1:33" x14ac:dyDescent="0.25">
      <c r="A1074" t="s">
        <v>34462</v>
      </c>
      <c r="B1074" t="s">
        <v>5359</v>
      </c>
      <c r="C1074" t="s">
        <v>5362</v>
      </c>
      <c r="D1074">
        <v>99.99</v>
      </c>
      <c r="E1074">
        <v>99.99</v>
      </c>
      <c r="F1074">
        <v>1678312</v>
      </c>
      <c r="G1074">
        <v>1119544</v>
      </c>
      <c r="H1074">
        <v>97.83</v>
      </c>
      <c r="I1074">
        <v>99.06</v>
      </c>
      <c r="J1074">
        <v>0</v>
      </c>
      <c r="K1074">
        <v>0</v>
      </c>
      <c r="L1074">
        <v>1</v>
      </c>
      <c r="M1074">
        <v>1</v>
      </c>
      <c r="N1074">
        <v>4.5999999999999996</v>
      </c>
      <c r="O1074">
        <v>2</v>
      </c>
      <c r="P1074">
        <v>20</v>
      </c>
      <c r="Q1074">
        <v>2</v>
      </c>
      <c r="R1074">
        <v>10</v>
      </c>
      <c r="S1074" t="s">
        <v>36841</v>
      </c>
      <c r="U1074">
        <v>2.5992469800000002</v>
      </c>
      <c r="V1074">
        <v>17.97</v>
      </c>
      <c r="W1074">
        <v>17</v>
      </c>
      <c r="X1074" t="s">
        <v>5358</v>
      </c>
      <c r="Y1074" t="s">
        <v>36842</v>
      </c>
      <c r="Z1074" t="s">
        <v>5363</v>
      </c>
      <c r="AA1074" t="s">
        <v>5364</v>
      </c>
      <c r="AB1074" t="s">
        <v>36843</v>
      </c>
      <c r="AC1074" t="s">
        <v>34493</v>
      </c>
      <c r="AD1074" t="s">
        <v>10970</v>
      </c>
      <c r="AE1074" t="s">
        <v>34533</v>
      </c>
      <c r="AF1074" t="s">
        <v>36844</v>
      </c>
      <c r="AG1074" t="s">
        <v>36845</v>
      </c>
    </row>
    <row r="1075" spans="1:33" x14ac:dyDescent="0.25">
      <c r="A1075" t="s">
        <v>34462</v>
      </c>
      <c r="B1075" t="s">
        <v>5366</v>
      </c>
      <c r="C1075" t="s">
        <v>5368</v>
      </c>
      <c r="D1075">
        <v>129.11000000000001</v>
      </c>
      <c r="F1075">
        <v>1680195</v>
      </c>
      <c r="G1075">
        <v>1126882</v>
      </c>
      <c r="H1075">
        <v>129.11000000000001</v>
      </c>
      <c r="I1075">
        <v>133.81</v>
      </c>
      <c r="J1075">
        <v>0.28000000000000003</v>
      </c>
      <c r="K1075">
        <v>0.28000000000000003</v>
      </c>
      <c r="L1075">
        <v>1</v>
      </c>
      <c r="M1075">
        <v>1</v>
      </c>
      <c r="N1075">
        <v>4.5999999999999996</v>
      </c>
      <c r="O1075">
        <v>5</v>
      </c>
      <c r="P1075">
        <v>20</v>
      </c>
      <c r="Q1075">
        <v>1</v>
      </c>
      <c r="R1075">
        <v>12</v>
      </c>
      <c r="S1075" t="s">
        <v>36841</v>
      </c>
      <c r="U1075">
        <v>2.1495044999999999</v>
      </c>
      <c r="V1075">
        <v>21.77</v>
      </c>
      <c r="X1075" t="s">
        <v>5365</v>
      </c>
      <c r="Y1075" t="s">
        <v>5369</v>
      </c>
      <c r="Z1075" t="s">
        <v>5369</v>
      </c>
      <c r="AA1075" t="s">
        <v>5370</v>
      </c>
      <c r="AB1075" t="s">
        <v>36846</v>
      </c>
      <c r="AC1075" t="s">
        <v>34465</v>
      </c>
      <c r="AD1075" t="s">
        <v>10970</v>
      </c>
      <c r="AE1075" t="s">
        <v>34533</v>
      </c>
      <c r="AF1075" t="s">
        <v>36847</v>
      </c>
      <c r="AG1075" t="s">
        <v>36845</v>
      </c>
    </row>
    <row r="1076" spans="1:33" x14ac:dyDescent="0.25">
      <c r="A1076" t="s">
        <v>34462</v>
      </c>
      <c r="B1076" t="s">
        <v>5372</v>
      </c>
      <c r="C1076" t="s">
        <v>5374</v>
      </c>
      <c r="D1076">
        <v>129.99</v>
      </c>
      <c r="E1076">
        <v>129.99</v>
      </c>
      <c r="F1076">
        <v>1680195</v>
      </c>
      <c r="G1076">
        <v>1104649</v>
      </c>
      <c r="H1076">
        <v>120.12</v>
      </c>
      <c r="I1076">
        <v>125.05</v>
      </c>
      <c r="J1076">
        <v>0</v>
      </c>
      <c r="K1076">
        <v>0</v>
      </c>
      <c r="L1076">
        <v>1</v>
      </c>
      <c r="M1076">
        <v>1</v>
      </c>
      <c r="N1076">
        <v>4.5999999999999996</v>
      </c>
      <c r="O1076">
        <v>2</v>
      </c>
      <c r="P1076">
        <v>20</v>
      </c>
      <c r="Q1076">
        <v>2</v>
      </c>
      <c r="R1076">
        <v>11</v>
      </c>
      <c r="S1076" t="s">
        <v>36841</v>
      </c>
      <c r="U1076">
        <v>2.9762369999999998</v>
      </c>
      <c r="V1076">
        <v>17.97</v>
      </c>
      <c r="W1076">
        <v>22.1</v>
      </c>
      <c r="X1076" t="s">
        <v>5371</v>
      </c>
      <c r="Y1076" t="s">
        <v>36848</v>
      </c>
      <c r="Z1076" t="s">
        <v>5375</v>
      </c>
      <c r="AA1076" t="s">
        <v>5370</v>
      </c>
      <c r="AB1076" t="s">
        <v>36849</v>
      </c>
      <c r="AC1076" t="s">
        <v>34493</v>
      </c>
      <c r="AD1076" t="s">
        <v>10970</v>
      </c>
      <c r="AE1076" t="s">
        <v>14701</v>
      </c>
      <c r="AF1076" t="s">
        <v>36847</v>
      </c>
      <c r="AG1076" t="s">
        <v>36845</v>
      </c>
    </row>
    <row r="1077" spans="1:33" x14ac:dyDescent="0.25">
      <c r="A1077" t="s">
        <v>34462</v>
      </c>
      <c r="B1077" t="s">
        <v>5377</v>
      </c>
      <c r="C1077" t="s">
        <v>5379</v>
      </c>
      <c r="D1077">
        <v>101.23</v>
      </c>
      <c r="E1077">
        <v>101.23</v>
      </c>
      <c r="F1077">
        <v>1680195</v>
      </c>
      <c r="G1077">
        <v>1148906</v>
      </c>
      <c r="H1077">
        <v>100.11</v>
      </c>
      <c r="I1077">
        <v>101.25</v>
      </c>
      <c r="J1077">
        <v>0</v>
      </c>
      <c r="K1077">
        <v>0</v>
      </c>
      <c r="L1077">
        <v>1</v>
      </c>
      <c r="M1077">
        <v>1</v>
      </c>
      <c r="N1077">
        <v>4.5999999999999996</v>
      </c>
      <c r="O1077">
        <v>0</v>
      </c>
      <c r="P1077">
        <v>20</v>
      </c>
      <c r="Q1077">
        <v>2</v>
      </c>
      <c r="R1077">
        <v>12</v>
      </c>
      <c r="S1077" t="s">
        <v>36841</v>
      </c>
      <c r="U1077">
        <v>2.8197089800000001</v>
      </c>
      <c r="V1077">
        <v>17.97</v>
      </c>
      <c r="W1077">
        <v>17.21</v>
      </c>
      <c r="X1077" t="s">
        <v>5376</v>
      </c>
      <c r="Y1077" t="s">
        <v>36842</v>
      </c>
      <c r="Z1077" t="s">
        <v>5380</v>
      </c>
      <c r="AA1077" t="s">
        <v>5364</v>
      </c>
      <c r="AB1077" t="s">
        <v>36850</v>
      </c>
      <c r="AC1077" t="s">
        <v>34493</v>
      </c>
      <c r="AD1077" t="s">
        <v>10970</v>
      </c>
      <c r="AE1077" t="s">
        <v>14701</v>
      </c>
      <c r="AF1077" t="s">
        <v>36844</v>
      </c>
      <c r="AG1077" t="s">
        <v>36845</v>
      </c>
    </row>
    <row r="1078" spans="1:33" x14ac:dyDescent="0.25">
      <c r="A1078" t="s">
        <v>34462</v>
      </c>
      <c r="B1078" t="s">
        <v>5382</v>
      </c>
      <c r="C1078" t="s">
        <v>5384</v>
      </c>
      <c r="D1078">
        <v>129.99</v>
      </c>
      <c r="E1078">
        <v>129.99</v>
      </c>
      <c r="F1078">
        <v>1678312</v>
      </c>
      <c r="G1078">
        <v>1072463</v>
      </c>
      <c r="H1078">
        <v>120.26</v>
      </c>
      <c r="I1078">
        <v>124.93</v>
      </c>
      <c r="J1078">
        <v>0</v>
      </c>
      <c r="K1078">
        <v>0</v>
      </c>
      <c r="L1078">
        <v>1</v>
      </c>
      <c r="M1078">
        <v>1</v>
      </c>
      <c r="N1078">
        <v>4.5999999999999996</v>
      </c>
      <c r="O1078">
        <v>3</v>
      </c>
      <c r="P1078">
        <v>20</v>
      </c>
      <c r="Q1078">
        <v>2</v>
      </c>
      <c r="R1078">
        <v>12</v>
      </c>
      <c r="S1078" t="s">
        <v>36841</v>
      </c>
      <c r="U1078">
        <v>2.5992469800000002</v>
      </c>
      <c r="V1078">
        <v>17.97</v>
      </c>
      <c r="W1078">
        <v>22.1</v>
      </c>
      <c r="X1078" t="s">
        <v>5381</v>
      </c>
      <c r="Y1078" t="s">
        <v>36848</v>
      </c>
      <c r="Z1078" t="s">
        <v>5385</v>
      </c>
      <c r="AA1078" t="s">
        <v>5370</v>
      </c>
      <c r="AB1078" t="s">
        <v>36851</v>
      </c>
      <c r="AC1078" t="s">
        <v>34493</v>
      </c>
      <c r="AD1078" t="s">
        <v>10970</v>
      </c>
      <c r="AE1078" t="s">
        <v>34525</v>
      </c>
      <c r="AF1078" t="s">
        <v>36847</v>
      </c>
      <c r="AG1078" t="s">
        <v>36845</v>
      </c>
    </row>
    <row r="1079" spans="1:33" x14ac:dyDescent="0.25">
      <c r="A1079" t="s">
        <v>34462</v>
      </c>
      <c r="B1079" t="s">
        <v>5387</v>
      </c>
      <c r="C1079" t="s">
        <v>5389</v>
      </c>
      <c r="D1079">
        <v>111.96</v>
      </c>
      <c r="E1079">
        <v>111.96</v>
      </c>
      <c r="F1079">
        <v>1680195</v>
      </c>
      <c r="G1079">
        <v>1185063</v>
      </c>
      <c r="H1079">
        <v>108.92</v>
      </c>
      <c r="I1079">
        <v>112.8</v>
      </c>
      <c r="J1079">
        <v>0</v>
      </c>
      <c r="K1079">
        <v>0</v>
      </c>
      <c r="L1079">
        <v>1</v>
      </c>
      <c r="M1079">
        <v>1</v>
      </c>
      <c r="N1079">
        <v>4.5999999999999996</v>
      </c>
      <c r="O1079">
        <v>2</v>
      </c>
      <c r="P1079">
        <v>20</v>
      </c>
      <c r="Q1079">
        <v>3</v>
      </c>
      <c r="R1079">
        <v>9</v>
      </c>
      <c r="S1079" t="s">
        <v>36841</v>
      </c>
      <c r="U1079">
        <v>2.7800258200000001</v>
      </c>
      <c r="V1079">
        <v>17.59</v>
      </c>
      <c r="W1079">
        <v>19.03</v>
      </c>
      <c r="X1079" t="s">
        <v>5386</v>
      </c>
      <c r="Y1079" t="s">
        <v>36842</v>
      </c>
      <c r="Z1079" t="s">
        <v>5390</v>
      </c>
      <c r="AA1079" t="s">
        <v>5364</v>
      </c>
      <c r="AB1079" t="s">
        <v>36852</v>
      </c>
      <c r="AC1079" t="s">
        <v>34493</v>
      </c>
      <c r="AD1079" t="s">
        <v>10970</v>
      </c>
      <c r="AE1079" t="s">
        <v>34525</v>
      </c>
      <c r="AF1079" t="s">
        <v>36844</v>
      </c>
      <c r="AG1079" t="s">
        <v>36845</v>
      </c>
    </row>
    <row r="1080" spans="1:33" x14ac:dyDescent="0.25">
      <c r="A1080" t="s">
        <v>34462</v>
      </c>
      <c r="B1080" t="s">
        <v>5392</v>
      </c>
      <c r="C1080" t="s">
        <v>5395</v>
      </c>
      <c r="D1080">
        <v>46.04</v>
      </c>
      <c r="E1080">
        <v>46.04</v>
      </c>
      <c r="F1080">
        <v>993985</v>
      </c>
      <c r="G1080">
        <v>795958</v>
      </c>
      <c r="H1080">
        <v>38.89</v>
      </c>
      <c r="I1080">
        <v>40.97</v>
      </c>
      <c r="J1080">
        <v>0</v>
      </c>
      <c r="K1080">
        <v>0</v>
      </c>
      <c r="L1080">
        <v>2</v>
      </c>
      <c r="M1080">
        <v>1</v>
      </c>
      <c r="N1080">
        <v>3</v>
      </c>
      <c r="O1080">
        <v>0</v>
      </c>
      <c r="P1080">
        <v>2</v>
      </c>
      <c r="Q1080">
        <v>7</v>
      </c>
      <c r="R1080">
        <v>16</v>
      </c>
      <c r="S1080" t="s">
        <v>36853</v>
      </c>
      <c r="U1080">
        <v>0.8487787</v>
      </c>
      <c r="V1080">
        <v>6.6</v>
      </c>
      <c r="W1080">
        <v>7.83</v>
      </c>
      <c r="X1080" t="s">
        <v>5391</v>
      </c>
      <c r="Y1080" t="s">
        <v>5396</v>
      </c>
      <c r="Z1080" t="s">
        <v>5396</v>
      </c>
      <c r="AA1080" t="s">
        <v>2924</v>
      </c>
      <c r="AB1080" t="s">
        <v>36854</v>
      </c>
      <c r="AC1080" t="s">
        <v>34493</v>
      </c>
      <c r="AD1080" t="s">
        <v>9232</v>
      </c>
      <c r="AE1080" t="s">
        <v>14701</v>
      </c>
      <c r="AF1080" t="s">
        <v>36855</v>
      </c>
      <c r="AG1080" t="s">
        <v>36856</v>
      </c>
    </row>
    <row r="1081" spans="1:33" x14ac:dyDescent="0.25">
      <c r="A1081" t="s">
        <v>34462</v>
      </c>
      <c r="B1081" t="s">
        <v>5398</v>
      </c>
      <c r="C1081" t="s">
        <v>5400</v>
      </c>
      <c r="D1081">
        <v>25</v>
      </c>
      <c r="E1081">
        <v>25</v>
      </c>
      <c r="F1081">
        <v>404843</v>
      </c>
      <c r="G1081">
        <v>830394</v>
      </c>
      <c r="H1081">
        <v>47.66</v>
      </c>
      <c r="I1081">
        <v>54.8</v>
      </c>
      <c r="J1081">
        <v>0</v>
      </c>
      <c r="K1081">
        <v>0</v>
      </c>
      <c r="L1081">
        <v>2</v>
      </c>
      <c r="M1081">
        <v>2</v>
      </c>
      <c r="O1081">
        <v>0</v>
      </c>
      <c r="Q1081">
        <v>9</v>
      </c>
      <c r="R1081">
        <v>23</v>
      </c>
      <c r="S1081" t="s">
        <v>36857</v>
      </c>
      <c r="U1081">
        <v>1.0802638</v>
      </c>
      <c r="V1081">
        <v>6.6</v>
      </c>
      <c r="W1081">
        <v>4.25</v>
      </c>
      <c r="X1081" t="s">
        <v>5397</v>
      </c>
      <c r="Y1081" t="s">
        <v>5396</v>
      </c>
      <c r="Z1081" t="s">
        <v>5396</v>
      </c>
      <c r="AA1081" t="s">
        <v>5401</v>
      </c>
      <c r="AB1081" t="s">
        <v>36858</v>
      </c>
      <c r="AC1081" t="s">
        <v>34493</v>
      </c>
      <c r="AD1081" t="s">
        <v>9232</v>
      </c>
      <c r="AE1081" t="s">
        <v>14701</v>
      </c>
      <c r="AF1081" t="s">
        <v>36859</v>
      </c>
      <c r="AG1081" t="s">
        <v>36856</v>
      </c>
    </row>
    <row r="1082" spans="1:33" x14ac:dyDescent="0.25">
      <c r="A1082" t="s">
        <v>34462</v>
      </c>
      <c r="B1082" t="s">
        <v>5403</v>
      </c>
      <c r="C1082" t="s">
        <v>5405</v>
      </c>
      <c r="D1082">
        <v>25</v>
      </c>
      <c r="E1082">
        <v>25</v>
      </c>
      <c r="F1082">
        <v>457858</v>
      </c>
      <c r="G1082">
        <v>818586</v>
      </c>
      <c r="H1082">
        <v>54.87</v>
      </c>
      <c r="I1082">
        <v>59.16</v>
      </c>
      <c r="J1082">
        <v>0</v>
      </c>
      <c r="K1082">
        <v>0</v>
      </c>
      <c r="L1082">
        <v>3</v>
      </c>
      <c r="M1082">
        <v>3</v>
      </c>
      <c r="O1082">
        <v>0</v>
      </c>
      <c r="Q1082">
        <v>10</v>
      </c>
      <c r="R1082">
        <v>29</v>
      </c>
      <c r="S1082" t="s">
        <v>36857</v>
      </c>
      <c r="U1082">
        <v>1.0802638</v>
      </c>
      <c r="V1082">
        <v>6.6</v>
      </c>
      <c r="W1082">
        <v>4.25</v>
      </c>
      <c r="X1082" t="s">
        <v>5402</v>
      </c>
      <c r="Y1082" t="s">
        <v>5396</v>
      </c>
      <c r="Z1082" t="s">
        <v>5396</v>
      </c>
      <c r="AA1082" t="s">
        <v>5401</v>
      </c>
      <c r="AB1082" t="s">
        <v>36860</v>
      </c>
      <c r="AC1082" t="s">
        <v>34493</v>
      </c>
      <c r="AD1082" t="s">
        <v>9232</v>
      </c>
      <c r="AE1082" t="s">
        <v>34525</v>
      </c>
      <c r="AF1082" t="s">
        <v>36861</v>
      </c>
      <c r="AG1082" t="s">
        <v>36856</v>
      </c>
    </row>
    <row r="1083" spans="1:33" x14ac:dyDescent="0.25">
      <c r="A1083" t="s">
        <v>34462</v>
      </c>
      <c r="B1083" t="s">
        <v>5407</v>
      </c>
      <c r="C1083" t="s">
        <v>5409</v>
      </c>
      <c r="D1083">
        <v>41.97</v>
      </c>
      <c r="E1083">
        <v>41.97</v>
      </c>
      <c r="F1083">
        <v>993985</v>
      </c>
      <c r="G1083">
        <v>878011</v>
      </c>
      <c r="H1083">
        <v>37.26</v>
      </c>
      <c r="I1083">
        <v>45.21</v>
      </c>
      <c r="J1083">
        <v>0</v>
      </c>
      <c r="K1083">
        <v>0</v>
      </c>
      <c r="L1083">
        <v>2</v>
      </c>
      <c r="M1083">
        <v>1</v>
      </c>
      <c r="O1083">
        <v>0</v>
      </c>
      <c r="Q1083">
        <v>6</v>
      </c>
      <c r="R1083">
        <v>16</v>
      </c>
      <c r="S1083" t="s">
        <v>36853</v>
      </c>
      <c r="U1083">
        <v>0.95900969999999996</v>
      </c>
      <c r="V1083">
        <v>6.81</v>
      </c>
      <c r="W1083">
        <v>7.13</v>
      </c>
      <c r="X1083" t="s">
        <v>5406</v>
      </c>
      <c r="Y1083" t="s">
        <v>5396</v>
      </c>
      <c r="Z1083" t="s">
        <v>5396</v>
      </c>
      <c r="AA1083" t="s">
        <v>2924</v>
      </c>
      <c r="AB1083" t="s">
        <v>36862</v>
      </c>
      <c r="AC1083" t="s">
        <v>34493</v>
      </c>
      <c r="AD1083" t="s">
        <v>9232</v>
      </c>
      <c r="AE1083" t="s">
        <v>34649</v>
      </c>
      <c r="AF1083" t="s">
        <v>36863</v>
      </c>
      <c r="AG1083" t="s">
        <v>36856</v>
      </c>
    </row>
    <row r="1084" spans="1:33" x14ac:dyDescent="0.25">
      <c r="A1084" t="s">
        <v>34462</v>
      </c>
      <c r="B1084" t="s">
        <v>5411</v>
      </c>
      <c r="C1084" t="s">
        <v>5413</v>
      </c>
      <c r="D1084">
        <v>25</v>
      </c>
      <c r="E1084">
        <v>25</v>
      </c>
      <c r="F1084">
        <v>457858</v>
      </c>
      <c r="G1084">
        <v>831102</v>
      </c>
      <c r="H1084">
        <v>51.24</v>
      </c>
      <c r="I1084">
        <v>57.58</v>
      </c>
      <c r="J1084">
        <v>0</v>
      </c>
      <c r="K1084">
        <v>0</v>
      </c>
      <c r="L1084">
        <v>1</v>
      </c>
      <c r="M1084">
        <v>1</v>
      </c>
      <c r="O1084">
        <v>0</v>
      </c>
      <c r="Q1084">
        <v>9</v>
      </c>
      <c r="R1084">
        <v>22</v>
      </c>
      <c r="S1084" t="s">
        <v>36857</v>
      </c>
      <c r="U1084">
        <v>0.94798660000000001</v>
      </c>
      <c r="V1084">
        <v>6.81</v>
      </c>
      <c r="W1084">
        <v>4.25</v>
      </c>
      <c r="X1084" t="s">
        <v>5410</v>
      </c>
      <c r="Y1084" t="s">
        <v>5396</v>
      </c>
      <c r="Z1084" t="s">
        <v>5396</v>
      </c>
      <c r="AA1084" t="s">
        <v>5401</v>
      </c>
      <c r="AB1084" t="s">
        <v>36864</v>
      </c>
      <c r="AC1084" t="s">
        <v>34493</v>
      </c>
      <c r="AD1084" t="s">
        <v>9232</v>
      </c>
      <c r="AE1084" t="s">
        <v>34649</v>
      </c>
      <c r="AF1084" t="s">
        <v>36859</v>
      </c>
      <c r="AG1084" t="s">
        <v>36856</v>
      </c>
    </row>
    <row r="1085" spans="1:33" x14ac:dyDescent="0.25">
      <c r="A1085" t="s">
        <v>34462</v>
      </c>
      <c r="B1085" t="s">
        <v>5415</v>
      </c>
      <c r="C1085" t="s">
        <v>5418</v>
      </c>
      <c r="D1085">
        <v>21.6</v>
      </c>
      <c r="E1085">
        <v>13.61</v>
      </c>
      <c r="F1085">
        <v>67337</v>
      </c>
      <c r="G1085">
        <v>306889</v>
      </c>
      <c r="H1085">
        <v>27.92</v>
      </c>
      <c r="I1085">
        <v>28.58</v>
      </c>
      <c r="J1085">
        <v>0.04</v>
      </c>
      <c r="K1085">
        <v>1</v>
      </c>
      <c r="L1085">
        <v>2</v>
      </c>
      <c r="M1085">
        <v>2</v>
      </c>
      <c r="N1085">
        <v>4.4000000000000004</v>
      </c>
      <c r="O1085">
        <v>2</v>
      </c>
      <c r="P1085">
        <v>981</v>
      </c>
      <c r="Q1085">
        <v>31</v>
      </c>
      <c r="R1085">
        <v>68</v>
      </c>
      <c r="S1085" t="s">
        <v>34463</v>
      </c>
      <c r="U1085">
        <v>0.35273919999999997</v>
      </c>
      <c r="V1085">
        <v>6.6</v>
      </c>
      <c r="W1085">
        <v>3.67</v>
      </c>
      <c r="X1085" t="s">
        <v>5414</v>
      </c>
      <c r="AA1085" t="s">
        <v>5419</v>
      </c>
      <c r="AB1085" t="s">
        <v>36865</v>
      </c>
      <c r="AC1085" t="s">
        <v>34465</v>
      </c>
      <c r="AD1085" t="s">
        <v>8081</v>
      </c>
      <c r="AE1085" t="s">
        <v>34525</v>
      </c>
      <c r="AF1085" t="s">
        <v>36866</v>
      </c>
      <c r="AG1085" t="s">
        <v>34467</v>
      </c>
    </row>
    <row r="1086" spans="1:33" x14ac:dyDescent="0.25">
      <c r="A1086" t="s">
        <v>34462</v>
      </c>
      <c r="B1086" t="s">
        <v>5421</v>
      </c>
      <c r="C1086" t="s">
        <v>5423</v>
      </c>
      <c r="D1086">
        <v>19.82</v>
      </c>
      <c r="E1086">
        <v>13.09</v>
      </c>
      <c r="F1086">
        <v>75220</v>
      </c>
      <c r="G1086">
        <v>459091</v>
      </c>
      <c r="H1086">
        <v>27.13</v>
      </c>
      <c r="I1086">
        <v>28.02</v>
      </c>
      <c r="J1086">
        <v>0</v>
      </c>
      <c r="K1086">
        <v>1</v>
      </c>
      <c r="L1086">
        <v>3</v>
      </c>
      <c r="M1086">
        <v>3</v>
      </c>
      <c r="N1086">
        <v>4.4000000000000004</v>
      </c>
      <c r="O1086">
        <v>0</v>
      </c>
      <c r="P1086">
        <v>981</v>
      </c>
      <c r="Q1086">
        <v>36</v>
      </c>
      <c r="R1086">
        <v>77</v>
      </c>
      <c r="S1086" t="s">
        <v>34463</v>
      </c>
      <c r="U1086">
        <v>0.35273919999999997</v>
      </c>
      <c r="V1086">
        <v>6.6</v>
      </c>
      <c r="W1086">
        <v>1.98</v>
      </c>
      <c r="X1086" t="s">
        <v>5420</v>
      </c>
      <c r="AA1086" t="s">
        <v>4574</v>
      </c>
      <c r="AB1086" t="s">
        <v>36867</v>
      </c>
      <c r="AC1086" t="s">
        <v>34465</v>
      </c>
      <c r="AD1086" t="s">
        <v>8081</v>
      </c>
      <c r="AE1086" t="s">
        <v>34525</v>
      </c>
      <c r="AF1086" t="s">
        <v>36868</v>
      </c>
      <c r="AG1086" t="s">
        <v>34467</v>
      </c>
    </row>
    <row r="1087" spans="1:33" x14ac:dyDescent="0.25">
      <c r="A1087" t="s">
        <v>34462</v>
      </c>
      <c r="B1087" t="s">
        <v>5425</v>
      </c>
      <c r="C1087" t="s">
        <v>5427</v>
      </c>
      <c r="D1087">
        <v>29.99</v>
      </c>
      <c r="E1087">
        <v>29.99</v>
      </c>
      <c r="G1087">
        <v>422778</v>
      </c>
      <c r="H1087">
        <v>27.19</v>
      </c>
      <c r="I1087">
        <v>28.34</v>
      </c>
      <c r="J1087">
        <v>0.3</v>
      </c>
      <c r="K1087">
        <v>1</v>
      </c>
      <c r="L1087">
        <v>2</v>
      </c>
      <c r="M1087">
        <v>1</v>
      </c>
      <c r="O1087">
        <v>0</v>
      </c>
      <c r="Q1087">
        <v>5</v>
      </c>
      <c r="R1087">
        <v>49</v>
      </c>
      <c r="U1087">
        <v>0.35273919999999997</v>
      </c>
      <c r="V1087">
        <v>6.6</v>
      </c>
      <c r="W1087">
        <v>5.0999999999999996</v>
      </c>
      <c r="X1087" t="s">
        <v>5424</v>
      </c>
      <c r="AB1087" t="s">
        <v>36869</v>
      </c>
      <c r="AC1087" t="s">
        <v>34465</v>
      </c>
      <c r="AD1087" t="s">
        <v>8081</v>
      </c>
      <c r="AF1087" t="s">
        <v>36870</v>
      </c>
      <c r="AG1087" t="s">
        <v>34467</v>
      </c>
    </row>
    <row r="1088" spans="1:33" x14ac:dyDescent="0.25">
      <c r="A1088" t="s">
        <v>34462</v>
      </c>
      <c r="B1088" t="s">
        <v>5429</v>
      </c>
      <c r="C1088" t="s">
        <v>5432</v>
      </c>
      <c r="D1088">
        <v>116.58</v>
      </c>
      <c r="E1088">
        <v>104.63</v>
      </c>
      <c r="H1088">
        <v>116.58</v>
      </c>
      <c r="I1088">
        <v>116.58</v>
      </c>
      <c r="J1088">
        <v>0.28999999999999998</v>
      </c>
      <c r="K1088">
        <v>1</v>
      </c>
      <c r="L1088">
        <v>1</v>
      </c>
      <c r="M1088">
        <v>1</v>
      </c>
      <c r="Q1088">
        <v>-1</v>
      </c>
      <c r="R1088">
        <v>-1</v>
      </c>
      <c r="X1088" t="s">
        <v>5428</v>
      </c>
      <c r="Y1088" t="s">
        <v>36871</v>
      </c>
      <c r="AB1088" t="s">
        <v>36872</v>
      </c>
      <c r="AC1088" t="s">
        <v>34465</v>
      </c>
      <c r="AD1088" t="s">
        <v>35095</v>
      </c>
      <c r="AF1088" t="s">
        <v>36873</v>
      </c>
      <c r="AG1088" t="s">
        <v>36874</v>
      </c>
    </row>
    <row r="1089" spans="1:33" x14ac:dyDescent="0.25">
      <c r="A1089" t="s">
        <v>34462</v>
      </c>
      <c r="B1089" t="s">
        <v>5434</v>
      </c>
      <c r="C1089" t="s">
        <v>5436</v>
      </c>
      <c r="D1089">
        <v>9.99</v>
      </c>
      <c r="E1089">
        <v>9.98</v>
      </c>
      <c r="F1089">
        <v>1793837</v>
      </c>
      <c r="G1089">
        <v>1056813</v>
      </c>
      <c r="H1089">
        <v>9.98</v>
      </c>
      <c r="I1089">
        <v>10.039999999999999</v>
      </c>
      <c r="J1089">
        <v>0</v>
      </c>
      <c r="K1089">
        <v>1</v>
      </c>
      <c r="L1089">
        <v>5</v>
      </c>
      <c r="M1089">
        <v>5</v>
      </c>
      <c r="Q1089">
        <v>0</v>
      </c>
      <c r="R1089">
        <v>7</v>
      </c>
      <c r="U1089">
        <v>3.9683160000000002E-2</v>
      </c>
      <c r="V1089">
        <v>2.91</v>
      </c>
      <c r="W1089">
        <v>1.2</v>
      </c>
      <c r="X1089" t="s">
        <v>5433</v>
      </c>
      <c r="Y1089" t="s">
        <v>5437</v>
      </c>
      <c r="Z1089" t="s">
        <v>5437</v>
      </c>
      <c r="AB1089" t="s">
        <v>36875</v>
      </c>
      <c r="AC1089" t="s">
        <v>34465</v>
      </c>
      <c r="AD1089" t="s">
        <v>35597</v>
      </c>
      <c r="AF1089" t="s">
        <v>36876</v>
      </c>
      <c r="AG1089" t="s">
        <v>36877</v>
      </c>
    </row>
    <row r="1090" spans="1:33" x14ac:dyDescent="0.25">
      <c r="A1090" t="s">
        <v>34462</v>
      </c>
      <c r="B1090" t="s">
        <v>5439</v>
      </c>
      <c r="C1090" t="s">
        <v>5442</v>
      </c>
      <c r="D1090">
        <v>32.93</v>
      </c>
      <c r="E1090">
        <v>32.93</v>
      </c>
      <c r="F1090">
        <v>742136</v>
      </c>
      <c r="G1090">
        <v>443352</v>
      </c>
      <c r="H1090">
        <v>35.090000000000003</v>
      </c>
      <c r="I1090">
        <v>34.6</v>
      </c>
      <c r="J1090">
        <v>0</v>
      </c>
      <c r="K1090">
        <v>0</v>
      </c>
      <c r="L1090">
        <v>2</v>
      </c>
      <c r="M1090">
        <v>1</v>
      </c>
      <c r="N1090">
        <v>4.5</v>
      </c>
      <c r="O1090">
        <v>4</v>
      </c>
      <c r="P1090">
        <v>150</v>
      </c>
      <c r="Q1090">
        <v>13</v>
      </c>
      <c r="R1090">
        <v>45</v>
      </c>
      <c r="S1090" t="s">
        <v>36878</v>
      </c>
      <c r="U1090">
        <v>0.67902295999999995</v>
      </c>
      <c r="V1090">
        <v>6.14</v>
      </c>
      <c r="W1090">
        <v>5.6</v>
      </c>
      <c r="X1090" t="s">
        <v>5438</v>
      </c>
      <c r="Y1090" t="s">
        <v>5443</v>
      </c>
      <c r="Z1090" t="s">
        <v>5443</v>
      </c>
      <c r="AA1090" t="s">
        <v>5444</v>
      </c>
      <c r="AB1090" t="s">
        <v>36879</v>
      </c>
      <c r="AC1090" t="s">
        <v>34493</v>
      </c>
      <c r="AD1090" t="s">
        <v>7954</v>
      </c>
      <c r="AE1090" t="s">
        <v>34533</v>
      </c>
      <c r="AF1090" t="s">
        <v>36880</v>
      </c>
      <c r="AG1090" t="s">
        <v>36881</v>
      </c>
    </row>
    <row r="1091" spans="1:33" x14ac:dyDescent="0.25">
      <c r="A1091" t="s">
        <v>34462</v>
      </c>
      <c r="B1091" t="s">
        <v>5446</v>
      </c>
      <c r="C1091" t="s">
        <v>5448</v>
      </c>
      <c r="D1091">
        <v>35</v>
      </c>
      <c r="E1091">
        <v>35</v>
      </c>
      <c r="F1091">
        <v>742136</v>
      </c>
      <c r="G1091">
        <v>436626</v>
      </c>
      <c r="H1091">
        <v>36.54</v>
      </c>
      <c r="I1091">
        <v>36.44</v>
      </c>
      <c r="J1091">
        <v>0</v>
      </c>
      <c r="K1091">
        <v>1</v>
      </c>
      <c r="L1091">
        <v>3</v>
      </c>
      <c r="M1091">
        <v>3</v>
      </c>
      <c r="N1091">
        <v>4.5</v>
      </c>
      <c r="O1091">
        <v>0</v>
      </c>
      <c r="P1091">
        <v>150</v>
      </c>
      <c r="Q1091">
        <v>11</v>
      </c>
      <c r="R1091">
        <v>41</v>
      </c>
      <c r="S1091" t="s">
        <v>36878</v>
      </c>
      <c r="U1091">
        <v>0.89728034000000001</v>
      </c>
      <c r="V1091">
        <v>6.6</v>
      </c>
      <c r="W1091">
        <v>5.95</v>
      </c>
      <c r="X1091" t="s">
        <v>5445</v>
      </c>
      <c r="Y1091" t="s">
        <v>5443</v>
      </c>
      <c r="Z1091" t="s">
        <v>5443</v>
      </c>
      <c r="AA1091" t="s">
        <v>5444</v>
      </c>
      <c r="AB1091" t="s">
        <v>36882</v>
      </c>
      <c r="AC1091" t="s">
        <v>34465</v>
      </c>
      <c r="AD1091" t="s">
        <v>7954</v>
      </c>
      <c r="AE1091" t="s">
        <v>34469</v>
      </c>
      <c r="AF1091" t="s">
        <v>36880</v>
      </c>
      <c r="AG1091" t="s">
        <v>36881</v>
      </c>
    </row>
    <row r="1092" spans="1:33" x14ac:dyDescent="0.25">
      <c r="A1092" t="s">
        <v>34462</v>
      </c>
      <c r="B1092" t="s">
        <v>5450</v>
      </c>
      <c r="C1092" t="s">
        <v>5452</v>
      </c>
      <c r="D1092">
        <v>29.99</v>
      </c>
      <c r="E1092">
        <v>29.99</v>
      </c>
      <c r="F1092">
        <v>742136</v>
      </c>
      <c r="G1092">
        <v>439102</v>
      </c>
      <c r="H1092">
        <v>29.34</v>
      </c>
      <c r="I1092">
        <v>27.76</v>
      </c>
      <c r="J1092">
        <v>0</v>
      </c>
      <c r="K1092">
        <v>1</v>
      </c>
      <c r="L1092">
        <v>15</v>
      </c>
      <c r="M1092">
        <v>14</v>
      </c>
      <c r="N1092">
        <v>4.5</v>
      </c>
      <c r="O1092">
        <v>2</v>
      </c>
      <c r="P1092">
        <v>150</v>
      </c>
      <c r="Q1092">
        <v>14</v>
      </c>
      <c r="R1092">
        <v>61</v>
      </c>
      <c r="S1092" t="s">
        <v>36878</v>
      </c>
      <c r="U1092">
        <v>0.90389419999999998</v>
      </c>
      <c r="V1092">
        <v>6.81</v>
      </c>
      <c r="W1092">
        <v>5.0999999999999996</v>
      </c>
      <c r="X1092" t="s">
        <v>5449</v>
      </c>
      <c r="Y1092" t="s">
        <v>5443</v>
      </c>
      <c r="Z1092" t="s">
        <v>5443</v>
      </c>
      <c r="AA1092" t="s">
        <v>805</v>
      </c>
      <c r="AB1092" t="s">
        <v>36883</v>
      </c>
      <c r="AC1092" t="s">
        <v>34465</v>
      </c>
      <c r="AD1092" t="s">
        <v>7954</v>
      </c>
      <c r="AE1092" t="s">
        <v>34469</v>
      </c>
      <c r="AF1092" t="s">
        <v>36884</v>
      </c>
      <c r="AG1092" t="s">
        <v>36881</v>
      </c>
    </row>
    <row r="1093" spans="1:33" x14ac:dyDescent="0.25">
      <c r="A1093" t="s">
        <v>34462</v>
      </c>
      <c r="B1093" t="s">
        <v>5454</v>
      </c>
      <c r="C1093" t="s">
        <v>5457</v>
      </c>
      <c r="D1093">
        <v>26.97</v>
      </c>
      <c r="E1093">
        <v>22.2</v>
      </c>
      <c r="F1093">
        <v>1291827</v>
      </c>
      <c r="G1093">
        <v>705408</v>
      </c>
      <c r="H1093">
        <v>30.45</v>
      </c>
      <c r="I1093">
        <v>28.6</v>
      </c>
      <c r="J1093">
        <v>0</v>
      </c>
      <c r="K1093">
        <v>0</v>
      </c>
      <c r="L1093">
        <v>6</v>
      </c>
      <c r="M1093">
        <v>7</v>
      </c>
      <c r="N1093">
        <v>5</v>
      </c>
      <c r="O1093">
        <v>0</v>
      </c>
      <c r="P1093">
        <v>7</v>
      </c>
      <c r="Q1093">
        <v>7</v>
      </c>
      <c r="R1093">
        <v>40</v>
      </c>
      <c r="S1093" t="s">
        <v>36885</v>
      </c>
      <c r="U1093">
        <v>0.46076558000000001</v>
      </c>
      <c r="V1093">
        <v>6.05</v>
      </c>
      <c r="W1093">
        <v>4.58</v>
      </c>
      <c r="X1093" t="s">
        <v>5453</v>
      </c>
      <c r="Y1093" t="s">
        <v>5458</v>
      </c>
      <c r="Z1093" t="s">
        <v>5458</v>
      </c>
      <c r="AA1093" t="s">
        <v>5459</v>
      </c>
      <c r="AB1093" t="s">
        <v>36886</v>
      </c>
      <c r="AC1093" t="s">
        <v>34493</v>
      </c>
      <c r="AD1093" t="s">
        <v>8078</v>
      </c>
      <c r="AE1093" t="s">
        <v>34533</v>
      </c>
      <c r="AF1093" t="s">
        <v>36887</v>
      </c>
      <c r="AG1093" t="s">
        <v>36888</v>
      </c>
    </row>
    <row r="1094" spans="1:33" x14ac:dyDescent="0.25">
      <c r="A1094" t="s">
        <v>34462</v>
      </c>
      <c r="B1094" t="s">
        <v>5461</v>
      </c>
      <c r="C1094" t="s">
        <v>5463</v>
      </c>
      <c r="D1094">
        <v>26.97</v>
      </c>
      <c r="E1094">
        <v>22.2</v>
      </c>
      <c r="F1094">
        <v>1291827</v>
      </c>
      <c r="G1094">
        <v>716837</v>
      </c>
      <c r="H1094">
        <v>32.03</v>
      </c>
      <c r="I1094">
        <v>31.47</v>
      </c>
      <c r="J1094">
        <v>0</v>
      </c>
      <c r="K1094">
        <v>0</v>
      </c>
      <c r="L1094">
        <v>5</v>
      </c>
      <c r="M1094">
        <v>5</v>
      </c>
      <c r="N1094">
        <v>5</v>
      </c>
      <c r="O1094">
        <v>0</v>
      </c>
      <c r="P1094">
        <v>7</v>
      </c>
      <c r="Q1094">
        <v>7</v>
      </c>
      <c r="R1094">
        <v>37</v>
      </c>
      <c r="S1094" t="s">
        <v>36885</v>
      </c>
      <c r="U1094">
        <v>0.65918138000000004</v>
      </c>
      <c r="V1094">
        <v>6.05</v>
      </c>
      <c r="W1094">
        <v>4.58</v>
      </c>
      <c r="X1094" t="s">
        <v>5460</v>
      </c>
      <c r="Y1094" t="s">
        <v>5458</v>
      </c>
      <c r="Z1094" t="s">
        <v>5458</v>
      </c>
      <c r="AA1094" t="s">
        <v>5459</v>
      </c>
      <c r="AB1094" t="s">
        <v>36889</v>
      </c>
      <c r="AC1094" t="s">
        <v>34493</v>
      </c>
      <c r="AD1094" t="s">
        <v>8078</v>
      </c>
      <c r="AE1094" t="s">
        <v>14701</v>
      </c>
      <c r="AF1094" t="s">
        <v>36887</v>
      </c>
      <c r="AG1094" t="s">
        <v>36888</v>
      </c>
    </row>
    <row r="1095" spans="1:33" x14ac:dyDescent="0.25">
      <c r="A1095" t="s">
        <v>34462</v>
      </c>
      <c r="B1095" t="s">
        <v>5465</v>
      </c>
      <c r="C1095" t="s">
        <v>5467</v>
      </c>
      <c r="D1095">
        <v>26.97</v>
      </c>
      <c r="E1095">
        <v>22.2</v>
      </c>
      <c r="F1095">
        <v>1291827</v>
      </c>
      <c r="G1095">
        <v>715424</v>
      </c>
      <c r="H1095">
        <v>30.72</v>
      </c>
      <c r="I1095">
        <v>28.55</v>
      </c>
      <c r="J1095">
        <v>0</v>
      </c>
      <c r="K1095">
        <v>0</v>
      </c>
      <c r="L1095">
        <v>5</v>
      </c>
      <c r="M1095">
        <v>5</v>
      </c>
      <c r="N1095">
        <v>5</v>
      </c>
      <c r="O1095">
        <v>0</v>
      </c>
      <c r="P1095">
        <v>7</v>
      </c>
      <c r="Q1095">
        <v>6</v>
      </c>
      <c r="R1095">
        <v>26</v>
      </c>
      <c r="S1095" t="s">
        <v>36885</v>
      </c>
      <c r="U1095">
        <v>0.63933980000000001</v>
      </c>
      <c r="V1095">
        <v>6.05</v>
      </c>
      <c r="W1095">
        <v>4.58</v>
      </c>
      <c r="X1095" t="s">
        <v>5464</v>
      </c>
      <c r="Y1095" t="s">
        <v>5458</v>
      </c>
      <c r="Z1095" t="s">
        <v>5458</v>
      </c>
      <c r="AA1095" t="s">
        <v>5459</v>
      </c>
      <c r="AB1095" t="s">
        <v>36890</v>
      </c>
      <c r="AC1095" t="s">
        <v>34493</v>
      </c>
      <c r="AD1095" t="s">
        <v>8078</v>
      </c>
      <c r="AE1095" t="s">
        <v>34525</v>
      </c>
      <c r="AF1095" t="s">
        <v>36887</v>
      </c>
      <c r="AG1095" t="s">
        <v>36888</v>
      </c>
    </row>
    <row r="1096" spans="1:33" x14ac:dyDescent="0.25">
      <c r="A1096" t="s">
        <v>34462</v>
      </c>
      <c r="B1096" t="s">
        <v>5469</v>
      </c>
      <c r="C1096" t="s">
        <v>5472</v>
      </c>
      <c r="D1096">
        <v>20.25</v>
      </c>
      <c r="F1096">
        <v>615571</v>
      </c>
      <c r="G1096">
        <v>433950</v>
      </c>
      <c r="I1096">
        <v>20.25</v>
      </c>
      <c r="J1096">
        <v>0.91</v>
      </c>
      <c r="K1096">
        <v>1</v>
      </c>
      <c r="L1096">
        <v>1</v>
      </c>
      <c r="N1096">
        <v>4.9000000000000004</v>
      </c>
      <c r="O1096">
        <v>7</v>
      </c>
      <c r="P1096">
        <v>70</v>
      </c>
      <c r="Q1096">
        <v>4</v>
      </c>
      <c r="R1096">
        <v>9</v>
      </c>
      <c r="S1096" t="s">
        <v>36891</v>
      </c>
      <c r="U1096">
        <v>0.48060715999999998</v>
      </c>
      <c r="V1096">
        <v>6.14</v>
      </c>
      <c r="X1096" t="s">
        <v>5468</v>
      </c>
      <c r="Y1096" t="s">
        <v>5473</v>
      </c>
      <c r="Z1096" t="s">
        <v>5473</v>
      </c>
      <c r="AA1096" t="s">
        <v>5474</v>
      </c>
      <c r="AB1096" t="s">
        <v>36892</v>
      </c>
      <c r="AC1096" t="s">
        <v>34465</v>
      </c>
      <c r="AD1096" t="s">
        <v>36414</v>
      </c>
      <c r="AE1096" t="s">
        <v>36585</v>
      </c>
      <c r="AF1096" t="s">
        <v>36893</v>
      </c>
      <c r="AG1096" t="s">
        <v>36894</v>
      </c>
    </row>
    <row r="1097" spans="1:33" x14ac:dyDescent="0.25">
      <c r="A1097" t="s">
        <v>34462</v>
      </c>
      <c r="B1097" t="s">
        <v>5476</v>
      </c>
      <c r="C1097" t="s">
        <v>5478</v>
      </c>
      <c r="D1097">
        <v>25.01</v>
      </c>
      <c r="F1097">
        <v>606245</v>
      </c>
      <c r="G1097">
        <v>425076</v>
      </c>
      <c r="I1097">
        <v>25.01</v>
      </c>
      <c r="J1097">
        <v>0.91</v>
      </c>
      <c r="K1097">
        <v>1</v>
      </c>
      <c r="L1097">
        <v>1</v>
      </c>
      <c r="N1097">
        <v>4.8</v>
      </c>
      <c r="O1097">
        <v>4</v>
      </c>
      <c r="P1097">
        <v>73</v>
      </c>
      <c r="Q1097">
        <v>16</v>
      </c>
      <c r="R1097">
        <v>63</v>
      </c>
      <c r="S1097" t="s">
        <v>36891</v>
      </c>
      <c r="U1097">
        <v>0.51588107999999999</v>
      </c>
      <c r="V1097">
        <v>5.9</v>
      </c>
      <c r="X1097" t="s">
        <v>5475</v>
      </c>
      <c r="Y1097" t="s">
        <v>5473</v>
      </c>
      <c r="Z1097" t="s">
        <v>5473</v>
      </c>
      <c r="AA1097" t="s">
        <v>5474</v>
      </c>
      <c r="AB1097" t="s">
        <v>36895</v>
      </c>
      <c r="AC1097" t="s">
        <v>34465</v>
      </c>
      <c r="AD1097" t="s">
        <v>36414</v>
      </c>
      <c r="AE1097" t="s">
        <v>36590</v>
      </c>
      <c r="AF1097" t="s">
        <v>36893</v>
      </c>
      <c r="AG1097" t="s">
        <v>36894</v>
      </c>
    </row>
    <row r="1098" spans="1:33" x14ac:dyDescent="0.25">
      <c r="A1098" t="s">
        <v>34462</v>
      </c>
      <c r="B1098" t="s">
        <v>5480</v>
      </c>
      <c r="C1098" t="s">
        <v>5482</v>
      </c>
      <c r="D1098">
        <v>40.99</v>
      </c>
      <c r="E1098">
        <v>40.99</v>
      </c>
      <c r="F1098">
        <v>522210</v>
      </c>
      <c r="G1098">
        <v>420791</v>
      </c>
      <c r="H1098">
        <v>21.56</v>
      </c>
      <c r="I1098">
        <v>20.059999999999999</v>
      </c>
      <c r="J1098">
        <v>0.7</v>
      </c>
      <c r="K1098">
        <v>0.93</v>
      </c>
      <c r="L1098">
        <v>1</v>
      </c>
      <c r="M1098">
        <v>1</v>
      </c>
      <c r="N1098">
        <v>4.9000000000000004</v>
      </c>
      <c r="O1098">
        <v>5</v>
      </c>
      <c r="P1098">
        <v>89</v>
      </c>
      <c r="Q1098">
        <v>8</v>
      </c>
      <c r="R1098">
        <v>31</v>
      </c>
      <c r="S1098" t="s">
        <v>36891</v>
      </c>
      <c r="U1098">
        <v>0.52249493999999996</v>
      </c>
      <c r="V1098">
        <v>6.14</v>
      </c>
      <c r="X1098" t="s">
        <v>5479</v>
      </c>
      <c r="Y1098" t="s">
        <v>5473</v>
      </c>
      <c r="Z1098" t="s">
        <v>5473</v>
      </c>
      <c r="AA1098" t="s">
        <v>5474</v>
      </c>
      <c r="AB1098" t="s">
        <v>36896</v>
      </c>
      <c r="AC1098" t="s">
        <v>34465</v>
      </c>
      <c r="AD1098" t="s">
        <v>36414</v>
      </c>
      <c r="AE1098" t="s">
        <v>36592</v>
      </c>
      <c r="AF1098" t="s">
        <v>36893</v>
      </c>
      <c r="AG1098" t="s">
        <v>36894</v>
      </c>
    </row>
    <row r="1099" spans="1:33" x14ac:dyDescent="0.25">
      <c r="A1099" t="s">
        <v>34462</v>
      </c>
      <c r="B1099" t="s">
        <v>5484</v>
      </c>
      <c r="C1099" t="s">
        <v>5486</v>
      </c>
      <c r="D1099">
        <v>21.56</v>
      </c>
      <c r="F1099">
        <v>615571</v>
      </c>
      <c r="G1099">
        <v>406829</v>
      </c>
      <c r="H1099">
        <v>21.56</v>
      </c>
      <c r="I1099">
        <v>21.98</v>
      </c>
      <c r="J1099">
        <v>0.87</v>
      </c>
      <c r="K1099">
        <v>0.95</v>
      </c>
      <c r="L1099">
        <v>1</v>
      </c>
      <c r="N1099">
        <v>4.8</v>
      </c>
      <c r="O1099">
        <v>8</v>
      </c>
      <c r="P1099">
        <v>73</v>
      </c>
      <c r="Q1099">
        <v>7</v>
      </c>
      <c r="R1099">
        <v>18</v>
      </c>
      <c r="S1099" t="s">
        <v>36891</v>
      </c>
      <c r="U1099">
        <v>0.33730685999999999</v>
      </c>
      <c r="V1099">
        <v>6.14</v>
      </c>
      <c r="X1099" t="s">
        <v>5483</v>
      </c>
      <c r="Y1099" t="s">
        <v>5473</v>
      </c>
      <c r="Z1099" t="s">
        <v>5473</v>
      </c>
      <c r="AA1099" t="s">
        <v>5474</v>
      </c>
      <c r="AB1099" t="s">
        <v>36897</v>
      </c>
      <c r="AC1099" t="s">
        <v>34465</v>
      </c>
      <c r="AD1099" t="s">
        <v>36414</v>
      </c>
      <c r="AE1099" t="s">
        <v>36594</v>
      </c>
      <c r="AF1099" t="s">
        <v>36893</v>
      </c>
      <c r="AG1099" t="s">
        <v>36894</v>
      </c>
    </row>
    <row r="1100" spans="1:33" x14ac:dyDescent="0.25">
      <c r="A1100" t="s">
        <v>34462</v>
      </c>
      <c r="B1100" t="s">
        <v>5488</v>
      </c>
      <c r="C1100" t="s">
        <v>5490</v>
      </c>
      <c r="D1100">
        <v>21.56</v>
      </c>
      <c r="F1100">
        <v>615571</v>
      </c>
      <c r="G1100">
        <v>423740</v>
      </c>
      <c r="H1100">
        <v>21.56</v>
      </c>
      <c r="I1100">
        <v>20.62</v>
      </c>
      <c r="J1100">
        <v>0.86</v>
      </c>
      <c r="K1100">
        <v>0.92</v>
      </c>
      <c r="L1100">
        <v>1</v>
      </c>
      <c r="N1100">
        <v>4.9000000000000004</v>
      </c>
      <c r="O1100">
        <v>4</v>
      </c>
      <c r="P1100">
        <v>89</v>
      </c>
      <c r="Q1100">
        <v>9</v>
      </c>
      <c r="R1100">
        <v>17</v>
      </c>
      <c r="S1100" t="s">
        <v>36891</v>
      </c>
      <c r="U1100">
        <v>0.64374903999999999</v>
      </c>
      <c r="V1100">
        <v>6.81</v>
      </c>
      <c r="X1100" t="s">
        <v>5487</v>
      </c>
      <c r="Y1100" t="s">
        <v>5473</v>
      </c>
      <c r="Z1100" t="s">
        <v>5473</v>
      </c>
      <c r="AA1100" t="s">
        <v>5474</v>
      </c>
      <c r="AB1100" t="s">
        <v>36898</v>
      </c>
      <c r="AC1100" t="s">
        <v>34465</v>
      </c>
      <c r="AD1100" t="s">
        <v>36414</v>
      </c>
      <c r="AE1100" t="s">
        <v>36596</v>
      </c>
      <c r="AF1100" t="s">
        <v>36893</v>
      </c>
      <c r="AG1100" t="s">
        <v>36894</v>
      </c>
    </row>
    <row r="1101" spans="1:33" x14ac:dyDescent="0.25">
      <c r="A1101" t="s">
        <v>34462</v>
      </c>
      <c r="B1101" t="s">
        <v>5492</v>
      </c>
      <c r="C1101" t="s">
        <v>5495</v>
      </c>
      <c r="D1101">
        <v>22</v>
      </c>
      <c r="E1101">
        <v>22</v>
      </c>
      <c r="F1101">
        <v>194926</v>
      </c>
      <c r="G1101">
        <v>206633</v>
      </c>
      <c r="H1101">
        <v>16.86</v>
      </c>
      <c r="I1101">
        <v>17.95</v>
      </c>
      <c r="J1101">
        <v>0</v>
      </c>
      <c r="K1101">
        <v>0.23</v>
      </c>
      <c r="L1101">
        <v>2</v>
      </c>
      <c r="M1101">
        <v>2</v>
      </c>
      <c r="N1101">
        <v>4.0999999999999996</v>
      </c>
      <c r="O1101">
        <v>0</v>
      </c>
      <c r="P1101">
        <v>28</v>
      </c>
      <c r="Q1101">
        <v>24</v>
      </c>
      <c r="R1101">
        <v>54</v>
      </c>
      <c r="S1101" t="s">
        <v>36899</v>
      </c>
      <c r="U1101">
        <v>0.37037616000000001</v>
      </c>
      <c r="V1101">
        <v>5.75</v>
      </c>
      <c r="X1101" t="s">
        <v>5491</v>
      </c>
      <c r="Y1101" t="s">
        <v>5496</v>
      </c>
      <c r="Z1101" t="s">
        <v>5496</v>
      </c>
      <c r="AA1101" t="s">
        <v>5497</v>
      </c>
      <c r="AB1101" t="s">
        <v>36900</v>
      </c>
      <c r="AC1101" t="s">
        <v>34465</v>
      </c>
      <c r="AD1101" t="s">
        <v>35957</v>
      </c>
      <c r="AE1101" t="s">
        <v>35702</v>
      </c>
      <c r="AF1101" t="s">
        <v>36901</v>
      </c>
      <c r="AG1101" t="s">
        <v>36902</v>
      </c>
    </row>
    <row r="1102" spans="1:33" x14ac:dyDescent="0.25">
      <c r="A1102" t="s">
        <v>34462</v>
      </c>
      <c r="B1102" t="s">
        <v>5499</v>
      </c>
      <c r="C1102" t="s">
        <v>5502</v>
      </c>
      <c r="D1102">
        <v>14.24</v>
      </c>
      <c r="E1102">
        <v>14.24</v>
      </c>
      <c r="F1102">
        <v>37178</v>
      </c>
      <c r="G1102">
        <v>50339</v>
      </c>
      <c r="H1102">
        <v>25.18</v>
      </c>
      <c r="I1102">
        <v>26.54</v>
      </c>
      <c r="J1102">
        <v>0.01</v>
      </c>
      <c r="K1102">
        <v>0.01</v>
      </c>
      <c r="L1102">
        <v>26</v>
      </c>
      <c r="M1102">
        <v>24</v>
      </c>
      <c r="N1102">
        <v>4.5999999999999996</v>
      </c>
      <c r="O1102">
        <v>220</v>
      </c>
      <c r="P1102">
        <v>303</v>
      </c>
      <c r="Q1102">
        <v>47</v>
      </c>
      <c r="R1102">
        <v>113</v>
      </c>
      <c r="S1102" t="s">
        <v>36903</v>
      </c>
      <c r="T1102">
        <v>50</v>
      </c>
      <c r="U1102">
        <v>1.3492274399999999</v>
      </c>
      <c r="V1102">
        <v>7.56</v>
      </c>
      <c r="W1102">
        <v>2.14</v>
      </c>
      <c r="X1102" t="s">
        <v>5498</v>
      </c>
      <c r="Y1102" t="s">
        <v>5504</v>
      </c>
      <c r="Z1102" t="s">
        <v>5504</v>
      </c>
      <c r="AA1102" t="s">
        <v>5505</v>
      </c>
      <c r="AB1102" t="s">
        <v>36904</v>
      </c>
      <c r="AC1102" t="s">
        <v>34493</v>
      </c>
      <c r="AD1102" t="s">
        <v>36905</v>
      </c>
      <c r="AF1102" t="s">
        <v>36906</v>
      </c>
      <c r="AG1102" t="s">
        <v>36907</v>
      </c>
    </row>
    <row r="1103" spans="1:33" x14ac:dyDescent="0.25">
      <c r="A1103" t="s">
        <v>34462</v>
      </c>
      <c r="B1103" t="s">
        <v>5507</v>
      </c>
      <c r="C1103" t="s">
        <v>5510</v>
      </c>
      <c r="D1103">
        <v>22.75</v>
      </c>
      <c r="E1103">
        <v>22.75</v>
      </c>
      <c r="F1103">
        <v>161844</v>
      </c>
      <c r="G1103">
        <v>209275</v>
      </c>
      <c r="H1103">
        <v>42.03</v>
      </c>
      <c r="I1103">
        <v>40.44</v>
      </c>
      <c r="J1103">
        <v>0</v>
      </c>
      <c r="K1103">
        <v>0</v>
      </c>
      <c r="L1103">
        <v>5</v>
      </c>
      <c r="M1103">
        <v>5</v>
      </c>
      <c r="N1103">
        <v>4.4000000000000004</v>
      </c>
      <c r="O1103">
        <v>3</v>
      </c>
      <c r="P1103">
        <v>141</v>
      </c>
      <c r="Q1103">
        <v>28</v>
      </c>
      <c r="R1103">
        <v>73</v>
      </c>
      <c r="S1103" t="s">
        <v>36908</v>
      </c>
      <c r="U1103">
        <v>0.5401319</v>
      </c>
      <c r="V1103">
        <v>5.9</v>
      </c>
      <c r="W1103">
        <v>3.87</v>
      </c>
      <c r="X1103" t="s">
        <v>5506</v>
      </c>
      <c r="Y1103" t="s">
        <v>5511</v>
      </c>
      <c r="Z1103" t="s">
        <v>5511</v>
      </c>
      <c r="AA1103" t="s">
        <v>76</v>
      </c>
      <c r="AB1103" t="s">
        <v>36909</v>
      </c>
      <c r="AC1103" t="s">
        <v>34493</v>
      </c>
      <c r="AD1103" t="s">
        <v>7954</v>
      </c>
      <c r="AE1103" t="s">
        <v>34533</v>
      </c>
      <c r="AF1103" t="s">
        <v>36910</v>
      </c>
      <c r="AG1103" t="s">
        <v>36911</v>
      </c>
    </row>
    <row r="1104" spans="1:33" x14ac:dyDescent="0.25">
      <c r="A1104" t="s">
        <v>34462</v>
      </c>
      <c r="B1104" t="s">
        <v>5513</v>
      </c>
      <c r="C1104" t="s">
        <v>5515</v>
      </c>
      <c r="D1104">
        <v>39.99</v>
      </c>
      <c r="E1104">
        <v>39.99</v>
      </c>
      <c r="F1104">
        <v>155597</v>
      </c>
      <c r="G1104">
        <v>201870</v>
      </c>
      <c r="H1104">
        <v>45.47</v>
      </c>
      <c r="I1104">
        <v>42.36</v>
      </c>
      <c r="J1104">
        <v>0</v>
      </c>
      <c r="K1104">
        <v>0.79</v>
      </c>
      <c r="L1104">
        <v>2</v>
      </c>
      <c r="M1104">
        <v>1</v>
      </c>
      <c r="N1104">
        <v>4.4000000000000004</v>
      </c>
      <c r="O1104">
        <v>9</v>
      </c>
      <c r="P1104">
        <v>141</v>
      </c>
      <c r="Q1104">
        <v>29</v>
      </c>
      <c r="R1104">
        <v>73</v>
      </c>
      <c r="S1104" t="s">
        <v>36908</v>
      </c>
      <c r="U1104">
        <v>0.57099657999999998</v>
      </c>
      <c r="V1104">
        <v>7.08</v>
      </c>
      <c r="X1104" t="s">
        <v>5512</v>
      </c>
      <c r="Y1104" t="s">
        <v>36912</v>
      </c>
      <c r="Z1104" t="s">
        <v>5511</v>
      </c>
      <c r="AA1104" t="s">
        <v>76</v>
      </c>
      <c r="AB1104" t="s">
        <v>36913</v>
      </c>
      <c r="AC1104" t="s">
        <v>34465</v>
      </c>
      <c r="AD1104" t="s">
        <v>7954</v>
      </c>
      <c r="AE1104" t="s">
        <v>14701</v>
      </c>
      <c r="AF1104" t="s">
        <v>36914</v>
      </c>
      <c r="AG1104" t="s">
        <v>36911</v>
      </c>
    </row>
    <row r="1105" spans="1:33" x14ac:dyDescent="0.25">
      <c r="A1105" t="s">
        <v>34462</v>
      </c>
      <c r="B1105" t="s">
        <v>5517</v>
      </c>
      <c r="C1105" t="s">
        <v>5519</v>
      </c>
      <c r="D1105">
        <v>39.99</v>
      </c>
      <c r="E1105">
        <v>39.99</v>
      </c>
      <c r="F1105">
        <v>155597</v>
      </c>
      <c r="G1105">
        <v>198847</v>
      </c>
      <c r="H1105">
        <v>44.98</v>
      </c>
      <c r="I1105">
        <v>41.85</v>
      </c>
      <c r="J1105">
        <v>0</v>
      </c>
      <c r="K1105">
        <v>0.63</v>
      </c>
      <c r="L1105">
        <v>2</v>
      </c>
      <c r="M1105">
        <v>1</v>
      </c>
      <c r="N1105">
        <v>4.4000000000000004</v>
      </c>
      <c r="O1105">
        <v>20</v>
      </c>
      <c r="P1105">
        <v>141</v>
      </c>
      <c r="Q1105">
        <v>27</v>
      </c>
      <c r="R1105">
        <v>71</v>
      </c>
      <c r="S1105" t="s">
        <v>36908</v>
      </c>
      <c r="U1105">
        <v>0.62831669999999995</v>
      </c>
      <c r="V1105">
        <v>6.81</v>
      </c>
      <c r="X1105" t="s">
        <v>5516</v>
      </c>
      <c r="Y1105" t="s">
        <v>5511</v>
      </c>
      <c r="Z1105" t="s">
        <v>5511</v>
      </c>
      <c r="AA1105" t="s">
        <v>76</v>
      </c>
      <c r="AB1105" t="s">
        <v>36915</v>
      </c>
      <c r="AC1105" t="s">
        <v>34465</v>
      </c>
      <c r="AD1105" t="s">
        <v>7954</v>
      </c>
      <c r="AE1105" t="s">
        <v>34525</v>
      </c>
      <c r="AF1105" t="s">
        <v>36910</v>
      </c>
      <c r="AG1105" t="s">
        <v>36911</v>
      </c>
    </row>
    <row r="1106" spans="1:33" x14ac:dyDescent="0.25">
      <c r="A1106" t="s">
        <v>34462</v>
      </c>
      <c r="B1106" t="s">
        <v>5521</v>
      </c>
      <c r="C1106" t="s">
        <v>5523</v>
      </c>
      <c r="D1106">
        <v>39.99</v>
      </c>
      <c r="E1106">
        <v>39.99</v>
      </c>
      <c r="F1106">
        <v>138578</v>
      </c>
      <c r="G1106">
        <v>202682</v>
      </c>
      <c r="H1106">
        <v>43.15</v>
      </c>
      <c r="I1106">
        <v>40.380000000000003</v>
      </c>
      <c r="J1106">
        <v>0</v>
      </c>
      <c r="K1106">
        <v>0.8</v>
      </c>
      <c r="L1106">
        <v>3</v>
      </c>
      <c r="M1106">
        <v>2</v>
      </c>
      <c r="N1106">
        <v>4.4000000000000004</v>
      </c>
      <c r="O1106">
        <v>18</v>
      </c>
      <c r="P1106">
        <v>141</v>
      </c>
      <c r="Q1106">
        <v>48</v>
      </c>
      <c r="R1106">
        <v>111</v>
      </c>
      <c r="S1106" t="s">
        <v>36908</v>
      </c>
      <c r="U1106">
        <v>0.67020447999999999</v>
      </c>
      <c r="V1106">
        <v>6.81</v>
      </c>
      <c r="X1106" t="s">
        <v>5520</v>
      </c>
      <c r="Y1106" t="s">
        <v>5511</v>
      </c>
      <c r="Z1106" t="s">
        <v>5511</v>
      </c>
      <c r="AA1106" t="s">
        <v>76</v>
      </c>
      <c r="AB1106" t="s">
        <v>36916</v>
      </c>
      <c r="AC1106" t="s">
        <v>34465</v>
      </c>
      <c r="AD1106" t="s">
        <v>7954</v>
      </c>
      <c r="AE1106" t="s">
        <v>34649</v>
      </c>
      <c r="AF1106" t="s">
        <v>36914</v>
      </c>
      <c r="AG1106" t="s">
        <v>36911</v>
      </c>
    </row>
    <row r="1107" spans="1:33" x14ac:dyDescent="0.25">
      <c r="A1107" t="s">
        <v>34462</v>
      </c>
      <c r="B1107" t="s">
        <v>5525</v>
      </c>
      <c r="C1107" t="s">
        <v>5528</v>
      </c>
      <c r="D1107">
        <v>20.99</v>
      </c>
      <c r="E1107">
        <v>20.99</v>
      </c>
      <c r="F1107">
        <v>2100036</v>
      </c>
      <c r="G1107">
        <v>972749</v>
      </c>
      <c r="H1107">
        <v>32.92</v>
      </c>
      <c r="I1107">
        <v>42.3</v>
      </c>
      <c r="J1107">
        <v>0</v>
      </c>
      <c r="K1107">
        <v>1</v>
      </c>
      <c r="L1107">
        <v>6</v>
      </c>
      <c r="M1107">
        <v>6</v>
      </c>
      <c r="N1107">
        <v>3.5</v>
      </c>
      <c r="O1107">
        <v>0</v>
      </c>
      <c r="P1107">
        <v>2</v>
      </c>
      <c r="Q1107">
        <v>2</v>
      </c>
      <c r="R1107">
        <v>18</v>
      </c>
      <c r="S1107" t="s">
        <v>36917</v>
      </c>
      <c r="U1107">
        <v>2.6697948199999999</v>
      </c>
      <c r="V1107">
        <v>8.1999999999999993</v>
      </c>
      <c r="W1107">
        <v>3.15</v>
      </c>
      <c r="X1107" t="s">
        <v>5524</v>
      </c>
      <c r="Y1107" t="s">
        <v>36918</v>
      </c>
      <c r="Z1107" t="s">
        <v>5529</v>
      </c>
      <c r="AA1107" t="s">
        <v>76</v>
      </c>
      <c r="AB1107" t="s">
        <v>36919</v>
      </c>
      <c r="AC1107" t="s">
        <v>34465</v>
      </c>
      <c r="AD1107" t="s">
        <v>17415</v>
      </c>
      <c r="AE1107" t="s">
        <v>36920</v>
      </c>
      <c r="AF1107" t="s">
        <v>36921</v>
      </c>
      <c r="AG1107" t="s">
        <v>36922</v>
      </c>
    </row>
    <row r="1108" spans="1:33" x14ac:dyDescent="0.25">
      <c r="A1108" t="s">
        <v>34462</v>
      </c>
      <c r="B1108" t="s">
        <v>5531</v>
      </c>
      <c r="C1108" t="s">
        <v>5533</v>
      </c>
      <c r="D1108">
        <v>20.99</v>
      </c>
      <c r="E1108">
        <v>20.99</v>
      </c>
      <c r="F1108">
        <v>2100036</v>
      </c>
      <c r="G1108">
        <v>969865</v>
      </c>
      <c r="H1108">
        <v>43.48</v>
      </c>
      <c r="I1108">
        <v>46.79</v>
      </c>
      <c r="J1108">
        <v>0</v>
      </c>
      <c r="K1108">
        <v>1</v>
      </c>
      <c r="L1108">
        <v>5</v>
      </c>
      <c r="M1108">
        <v>5</v>
      </c>
      <c r="N1108">
        <v>3.5</v>
      </c>
      <c r="O1108">
        <v>0</v>
      </c>
      <c r="P1108">
        <v>2</v>
      </c>
      <c r="Q1108">
        <v>2</v>
      </c>
      <c r="R1108">
        <v>24</v>
      </c>
      <c r="S1108" t="s">
        <v>36917</v>
      </c>
      <c r="U1108">
        <v>2.8704152399999998</v>
      </c>
      <c r="V1108">
        <v>8.2799999999999994</v>
      </c>
      <c r="W1108">
        <v>3.15</v>
      </c>
      <c r="X1108" t="s">
        <v>5530</v>
      </c>
      <c r="Y1108" t="s">
        <v>36918</v>
      </c>
      <c r="Z1108" t="s">
        <v>5529</v>
      </c>
      <c r="AA1108" t="s">
        <v>76</v>
      </c>
      <c r="AB1108" t="s">
        <v>36923</v>
      </c>
      <c r="AC1108" t="s">
        <v>34465</v>
      </c>
      <c r="AD1108" t="s">
        <v>17415</v>
      </c>
      <c r="AE1108" t="s">
        <v>36373</v>
      </c>
      <c r="AF1108" t="s">
        <v>36924</v>
      </c>
      <c r="AG1108" t="s">
        <v>36922</v>
      </c>
    </row>
    <row r="1109" spans="1:33" x14ac:dyDescent="0.25">
      <c r="A1109" t="s">
        <v>34462</v>
      </c>
      <c r="B1109" t="s">
        <v>5535</v>
      </c>
      <c r="C1109" t="s">
        <v>5537</v>
      </c>
      <c r="D1109">
        <v>20.99</v>
      </c>
      <c r="E1109">
        <v>20.99</v>
      </c>
      <c r="F1109">
        <v>2100036</v>
      </c>
      <c r="G1109">
        <v>976470</v>
      </c>
      <c r="H1109">
        <v>37.61</v>
      </c>
      <c r="I1109">
        <v>43.18</v>
      </c>
      <c r="J1109">
        <v>0</v>
      </c>
      <c r="K1109">
        <v>1</v>
      </c>
      <c r="L1109">
        <v>5</v>
      </c>
      <c r="M1109">
        <v>5</v>
      </c>
      <c r="N1109">
        <v>3.5</v>
      </c>
      <c r="O1109">
        <v>1</v>
      </c>
      <c r="P1109">
        <v>2</v>
      </c>
      <c r="Q1109">
        <v>2</v>
      </c>
      <c r="R1109">
        <v>21</v>
      </c>
      <c r="S1109" t="s">
        <v>36917</v>
      </c>
      <c r="U1109">
        <v>3.1989036199999998</v>
      </c>
      <c r="V1109">
        <v>8.2799999999999994</v>
      </c>
      <c r="W1109">
        <v>3.15</v>
      </c>
      <c r="X1109" t="s">
        <v>5534</v>
      </c>
      <c r="Y1109" t="s">
        <v>36918</v>
      </c>
      <c r="Z1109" t="s">
        <v>5529</v>
      </c>
      <c r="AA1109" t="s">
        <v>76</v>
      </c>
      <c r="AB1109" t="s">
        <v>36925</v>
      </c>
      <c r="AC1109" t="s">
        <v>34465</v>
      </c>
      <c r="AD1109" t="s">
        <v>17415</v>
      </c>
      <c r="AE1109" t="s">
        <v>35702</v>
      </c>
      <c r="AF1109" t="s">
        <v>36921</v>
      </c>
      <c r="AG1109" t="s">
        <v>36922</v>
      </c>
    </row>
    <row r="1110" spans="1:33" x14ac:dyDescent="0.25">
      <c r="A1110" t="s">
        <v>34462</v>
      </c>
      <c r="B1110" t="s">
        <v>5539</v>
      </c>
      <c r="C1110" t="s">
        <v>5542</v>
      </c>
      <c r="D1110">
        <v>19.98</v>
      </c>
      <c r="E1110">
        <v>19.100000000000001</v>
      </c>
      <c r="F1110">
        <v>4554941</v>
      </c>
      <c r="G1110">
        <v>4276395</v>
      </c>
      <c r="H1110">
        <v>21.35</v>
      </c>
      <c r="I1110">
        <v>22.2</v>
      </c>
      <c r="J1110">
        <v>0</v>
      </c>
      <c r="K1110">
        <v>1</v>
      </c>
      <c r="L1110">
        <v>4</v>
      </c>
      <c r="M1110">
        <v>4</v>
      </c>
      <c r="N1110">
        <v>5</v>
      </c>
      <c r="O1110">
        <v>0</v>
      </c>
      <c r="P1110">
        <v>1</v>
      </c>
      <c r="Q1110">
        <v>0</v>
      </c>
      <c r="R1110">
        <v>0</v>
      </c>
      <c r="S1110" t="s">
        <v>36926</v>
      </c>
      <c r="U1110">
        <v>0.31085141999999999</v>
      </c>
      <c r="V1110">
        <v>5.12</v>
      </c>
      <c r="W1110">
        <v>2</v>
      </c>
      <c r="X1110" t="s">
        <v>5538</v>
      </c>
      <c r="Y1110" t="s">
        <v>5543</v>
      </c>
      <c r="Z1110" t="s">
        <v>5543</v>
      </c>
      <c r="AA1110" t="s">
        <v>76</v>
      </c>
      <c r="AB1110" t="s">
        <v>36927</v>
      </c>
      <c r="AC1110" t="s">
        <v>34465</v>
      </c>
      <c r="AD1110" t="s">
        <v>12519</v>
      </c>
      <c r="AE1110" t="s">
        <v>34525</v>
      </c>
      <c r="AF1110" t="s">
        <v>36928</v>
      </c>
      <c r="AG1110" t="s">
        <v>36929</v>
      </c>
    </row>
    <row r="1111" spans="1:33" x14ac:dyDescent="0.25">
      <c r="A1111" t="s">
        <v>34462</v>
      </c>
      <c r="B1111" t="s">
        <v>5545</v>
      </c>
      <c r="C1111" t="s">
        <v>5548</v>
      </c>
      <c r="D1111">
        <v>29.99</v>
      </c>
      <c r="E1111">
        <v>29.99</v>
      </c>
      <c r="G1111">
        <v>698613</v>
      </c>
      <c r="H1111">
        <v>29.96</v>
      </c>
      <c r="I1111">
        <v>29.96</v>
      </c>
      <c r="J1111">
        <v>0.4</v>
      </c>
      <c r="K1111">
        <v>1</v>
      </c>
      <c r="L1111">
        <v>1</v>
      </c>
      <c r="M1111">
        <v>1</v>
      </c>
      <c r="Q1111">
        <v>1</v>
      </c>
      <c r="R1111">
        <v>4</v>
      </c>
      <c r="V1111">
        <v>5.12</v>
      </c>
      <c r="W1111">
        <v>5.0999999999999996</v>
      </c>
      <c r="X1111" t="s">
        <v>5544</v>
      </c>
      <c r="AA1111" t="s">
        <v>5549</v>
      </c>
      <c r="AB1111" t="s">
        <v>36930</v>
      </c>
      <c r="AC1111" t="s">
        <v>34465</v>
      </c>
      <c r="AD1111" t="s">
        <v>7965</v>
      </c>
      <c r="AF1111" t="s">
        <v>36931</v>
      </c>
    </row>
    <row r="1112" spans="1:33" x14ac:dyDescent="0.25">
      <c r="A1112" t="s">
        <v>34462</v>
      </c>
      <c r="B1112" t="s">
        <v>5551</v>
      </c>
      <c r="C1112" t="s">
        <v>5554</v>
      </c>
      <c r="D1112">
        <v>10.4</v>
      </c>
      <c r="E1112">
        <v>10.4</v>
      </c>
      <c r="F1112">
        <v>91674</v>
      </c>
      <c r="G1112">
        <v>790357</v>
      </c>
      <c r="H1112">
        <v>19.149999999999999</v>
      </c>
      <c r="I1112">
        <v>19.010000000000002</v>
      </c>
      <c r="J1112">
        <v>0</v>
      </c>
      <c r="K1112">
        <v>0</v>
      </c>
      <c r="L1112">
        <v>3</v>
      </c>
      <c r="M1112">
        <v>3</v>
      </c>
      <c r="N1112">
        <v>4.5</v>
      </c>
      <c r="O1112">
        <v>0</v>
      </c>
      <c r="P1112">
        <v>2</v>
      </c>
      <c r="Q1112">
        <v>14</v>
      </c>
      <c r="R1112">
        <v>30</v>
      </c>
      <c r="S1112" t="s">
        <v>36932</v>
      </c>
      <c r="U1112">
        <v>0.26455440000000002</v>
      </c>
      <c r="V1112">
        <v>3.35</v>
      </c>
      <c r="W1112">
        <v>0.52</v>
      </c>
      <c r="X1112" t="s">
        <v>5550</v>
      </c>
      <c r="Y1112" t="s">
        <v>5555</v>
      </c>
      <c r="Z1112" t="s">
        <v>5555</v>
      </c>
      <c r="AA1112" t="s">
        <v>5556</v>
      </c>
      <c r="AB1112" t="s">
        <v>36933</v>
      </c>
      <c r="AC1112" t="s">
        <v>34493</v>
      </c>
      <c r="AD1112" t="s">
        <v>8078</v>
      </c>
      <c r="AE1112" t="s">
        <v>34533</v>
      </c>
      <c r="AF1112" t="s">
        <v>36934</v>
      </c>
      <c r="AG1112" t="s">
        <v>36225</v>
      </c>
    </row>
    <row r="1113" spans="1:33" x14ac:dyDescent="0.25">
      <c r="A1113" t="s">
        <v>34462</v>
      </c>
      <c r="B1113" t="s">
        <v>5558</v>
      </c>
      <c r="C1113" t="s">
        <v>5560</v>
      </c>
      <c r="D1113">
        <v>29.99</v>
      </c>
      <c r="E1113">
        <v>29.99</v>
      </c>
      <c r="F1113">
        <v>91674</v>
      </c>
      <c r="G1113">
        <v>803341</v>
      </c>
      <c r="H1113">
        <v>19.79</v>
      </c>
      <c r="I1113">
        <v>19.309999999999999</v>
      </c>
      <c r="J1113">
        <v>0</v>
      </c>
      <c r="K1113">
        <v>0.02</v>
      </c>
      <c r="L1113">
        <v>3</v>
      </c>
      <c r="M1113">
        <v>3</v>
      </c>
      <c r="N1113">
        <v>4.5</v>
      </c>
      <c r="O1113">
        <v>0</v>
      </c>
      <c r="P1113">
        <v>2</v>
      </c>
      <c r="Q1113">
        <v>10</v>
      </c>
      <c r="R1113">
        <v>25</v>
      </c>
      <c r="S1113" t="s">
        <v>36932</v>
      </c>
      <c r="U1113">
        <v>0.31085141999999999</v>
      </c>
      <c r="V1113">
        <v>5.82</v>
      </c>
      <c r="X1113" t="s">
        <v>5557</v>
      </c>
      <c r="Y1113" t="s">
        <v>5555</v>
      </c>
      <c r="Z1113" t="s">
        <v>5555</v>
      </c>
      <c r="AA1113" t="s">
        <v>5556</v>
      </c>
      <c r="AB1113" t="s">
        <v>36935</v>
      </c>
      <c r="AC1113" t="s">
        <v>34465</v>
      </c>
      <c r="AD1113" t="s">
        <v>8078</v>
      </c>
      <c r="AE1113" t="s">
        <v>14701</v>
      </c>
      <c r="AF1113" t="s">
        <v>36936</v>
      </c>
      <c r="AG1113" t="s">
        <v>36225</v>
      </c>
    </row>
    <row r="1114" spans="1:33" x14ac:dyDescent="0.25">
      <c r="A1114" t="s">
        <v>34462</v>
      </c>
      <c r="B1114" t="s">
        <v>5562</v>
      </c>
      <c r="C1114" t="s">
        <v>5564</v>
      </c>
      <c r="D1114">
        <v>10.4</v>
      </c>
      <c r="E1114">
        <v>10.4</v>
      </c>
      <c r="F1114">
        <v>85039</v>
      </c>
      <c r="G1114">
        <v>796960</v>
      </c>
      <c r="H1114">
        <v>19.579999999999998</v>
      </c>
      <c r="I1114">
        <v>19.2</v>
      </c>
      <c r="J1114">
        <v>0</v>
      </c>
      <c r="K1114">
        <v>0</v>
      </c>
      <c r="L1114">
        <v>3</v>
      </c>
      <c r="M1114">
        <v>4</v>
      </c>
      <c r="N1114">
        <v>4.5</v>
      </c>
      <c r="O1114">
        <v>0</v>
      </c>
      <c r="P1114">
        <v>2</v>
      </c>
      <c r="Q1114">
        <v>11</v>
      </c>
      <c r="R1114">
        <v>28</v>
      </c>
      <c r="S1114" t="s">
        <v>36932</v>
      </c>
      <c r="U1114">
        <v>0.35053457999999998</v>
      </c>
      <c r="V1114">
        <v>6.05</v>
      </c>
      <c r="W1114">
        <v>0.52</v>
      </c>
      <c r="X1114" t="s">
        <v>5561</v>
      </c>
      <c r="Y1114" t="s">
        <v>5555</v>
      </c>
      <c r="Z1114" t="s">
        <v>5555</v>
      </c>
      <c r="AA1114" t="s">
        <v>5556</v>
      </c>
      <c r="AB1114" t="s">
        <v>36937</v>
      </c>
      <c r="AC1114" t="s">
        <v>34493</v>
      </c>
      <c r="AD1114" t="s">
        <v>8078</v>
      </c>
      <c r="AE1114" t="s">
        <v>34525</v>
      </c>
      <c r="AF1114" t="s">
        <v>36934</v>
      </c>
      <c r="AG1114" t="s">
        <v>36225</v>
      </c>
    </row>
    <row r="1115" spans="1:33" x14ac:dyDescent="0.25">
      <c r="A1115" t="s">
        <v>34462</v>
      </c>
      <c r="B1115" t="s">
        <v>5567</v>
      </c>
      <c r="C1115" t="s">
        <v>5569</v>
      </c>
      <c r="D1115">
        <v>10.4</v>
      </c>
      <c r="E1115">
        <v>10.4</v>
      </c>
      <c r="F1115">
        <v>85039</v>
      </c>
      <c r="G1115">
        <v>786113</v>
      </c>
      <c r="H1115">
        <v>14.15</v>
      </c>
      <c r="I1115">
        <v>16.010000000000002</v>
      </c>
      <c r="J1115">
        <v>0</v>
      </c>
      <c r="K1115">
        <v>0</v>
      </c>
      <c r="L1115">
        <v>7</v>
      </c>
      <c r="M1115">
        <v>7</v>
      </c>
      <c r="N1115">
        <v>4.5</v>
      </c>
      <c r="O1115">
        <v>1</v>
      </c>
      <c r="P1115">
        <v>2</v>
      </c>
      <c r="Q1115">
        <v>14</v>
      </c>
      <c r="R1115">
        <v>32</v>
      </c>
      <c r="S1115" t="s">
        <v>36932</v>
      </c>
      <c r="U1115">
        <v>0.42990089999999997</v>
      </c>
      <c r="V1115">
        <v>5.82</v>
      </c>
      <c r="W1115">
        <v>0.52</v>
      </c>
      <c r="X1115" t="s">
        <v>5566</v>
      </c>
      <c r="Y1115" t="s">
        <v>5555</v>
      </c>
      <c r="Z1115" t="s">
        <v>5555</v>
      </c>
      <c r="AA1115" t="s">
        <v>5556</v>
      </c>
      <c r="AB1115" t="s">
        <v>36938</v>
      </c>
      <c r="AC1115" t="s">
        <v>34493</v>
      </c>
      <c r="AD1115" t="s">
        <v>8078</v>
      </c>
      <c r="AE1115" t="s">
        <v>34649</v>
      </c>
      <c r="AF1115" t="s">
        <v>36936</v>
      </c>
      <c r="AG1115" t="s">
        <v>36225</v>
      </c>
    </row>
    <row r="1116" spans="1:33" x14ac:dyDescent="0.25">
      <c r="A1116" t="s">
        <v>34462</v>
      </c>
      <c r="B1116" t="s">
        <v>5571</v>
      </c>
      <c r="C1116" t="s">
        <v>5574</v>
      </c>
      <c r="D1116">
        <v>36.979999999999997</v>
      </c>
      <c r="E1116">
        <v>36.979999999999997</v>
      </c>
      <c r="F1116">
        <v>22228</v>
      </c>
      <c r="G1116">
        <v>24352</v>
      </c>
      <c r="H1116">
        <v>36.979999999999997</v>
      </c>
      <c r="I1116">
        <v>37.450000000000003</v>
      </c>
      <c r="J1116">
        <v>0</v>
      </c>
      <c r="K1116">
        <v>0.98</v>
      </c>
      <c r="L1116">
        <v>5</v>
      </c>
      <c r="M1116">
        <v>4</v>
      </c>
      <c r="N1116">
        <v>4.4000000000000004</v>
      </c>
      <c r="O1116">
        <v>0</v>
      </c>
      <c r="P1116">
        <v>879</v>
      </c>
      <c r="Q1116">
        <v>38</v>
      </c>
      <c r="R1116">
        <v>103</v>
      </c>
      <c r="S1116" t="s">
        <v>36939</v>
      </c>
      <c r="U1116">
        <v>0.48501640000000001</v>
      </c>
      <c r="V1116">
        <v>4.67</v>
      </c>
      <c r="W1116">
        <v>6.29</v>
      </c>
      <c r="X1116" t="s">
        <v>5570</v>
      </c>
      <c r="Y1116" t="s">
        <v>5575</v>
      </c>
      <c r="Z1116" t="s">
        <v>5575</v>
      </c>
      <c r="AA1116" t="s">
        <v>5576</v>
      </c>
      <c r="AB1116" t="s">
        <v>36940</v>
      </c>
      <c r="AC1116" t="s">
        <v>34465</v>
      </c>
      <c r="AD1116" t="s">
        <v>9535</v>
      </c>
      <c r="AE1116" t="s">
        <v>35566</v>
      </c>
      <c r="AF1116" t="s">
        <v>36941</v>
      </c>
      <c r="AG1116" t="s">
        <v>36942</v>
      </c>
    </row>
    <row r="1117" spans="1:33" x14ac:dyDescent="0.25">
      <c r="A1117" t="s">
        <v>34462</v>
      </c>
      <c r="B1117" t="s">
        <v>5578</v>
      </c>
      <c r="C1117" t="s">
        <v>5580</v>
      </c>
      <c r="D1117">
        <v>38.799999999999997</v>
      </c>
      <c r="E1117">
        <v>30.85</v>
      </c>
      <c r="F1117">
        <v>28200</v>
      </c>
      <c r="G1117">
        <v>24529</v>
      </c>
      <c r="H1117">
        <v>38.549999999999997</v>
      </c>
      <c r="I1117">
        <v>39.6</v>
      </c>
      <c r="J1117">
        <v>0</v>
      </c>
      <c r="K1117">
        <v>0.96</v>
      </c>
      <c r="L1117">
        <v>2</v>
      </c>
      <c r="M1117">
        <v>2</v>
      </c>
      <c r="N1117">
        <v>4.4000000000000004</v>
      </c>
      <c r="O1117">
        <v>0</v>
      </c>
      <c r="P1117">
        <v>879</v>
      </c>
      <c r="Q1117">
        <v>32</v>
      </c>
      <c r="R1117">
        <v>97</v>
      </c>
      <c r="S1117" t="s">
        <v>36939</v>
      </c>
      <c r="U1117">
        <v>0.56217810000000001</v>
      </c>
      <c r="V1117">
        <v>6.6</v>
      </c>
      <c r="W1117">
        <v>6.6</v>
      </c>
      <c r="X1117" t="s">
        <v>5577</v>
      </c>
      <c r="Y1117" t="s">
        <v>36943</v>
      </c>
      <c r="Z1117" t="s">
        <v>5581</v>
      </c>
      <c r="AA1117" t="s">
        <v>5582</v>
      </c>
      <c r="AB1117" t="s">
        <v>36944</v>
      </c>
      <c r="AC1117" t="s">
        <v>34465</v>
      </c>
      <c r="AD1117" t="s">
        <v>9535</v>
      </c>
      <c r="AE1117" t="s">
        <v>36945</v>
      </c>
      <c r="AF1117" t="s">
        <v>36946</v>
      </c>
      <c r="AG1117" t="s">
        <v>36942</v>
      </c>
    </row>
    <row r="1118" spans="1:33" x14ac:dyDescent="0.25">
      <c r="A1118" t="s">
        <v>34462</v>
      </c>
      <c r="B1118" t="s">
        <v>5584</v>
      </c>
      <c r="C1118" t="s">
        <v>5586</v>
      </c>
      <c r="D1118">
        <v>38.799999999999997</v>
      </c>
      <c r="E1118">
        <v>30.85</v>
      </c>
      <c r="F1118">
        <v>24642</v>
      </c>
      <c r="G1118">
        <v>24728</v>
      </c>
      <c r="H1118">
        <v>47.92</v>
      </c>
      <c r="I1118">
        <v>46.59</v>
      </c>
      <c r="J1118">
        <v>0</v>
      </c>
      <c r="K1118">
        <v>0.97</v>
      </c>
      <c r="L1118">
        <v>3</v>
      </c>
      <c r="M1118">
        <v>2</v>
      </c>
      <c r="N1118">
        <v>4.4000000000000004</v>
      </c>
      <c r="O1118">
        <v>3</v>
      </c>
      <c r="P1118">
        <v>879</v>
      </c>
      <c r="Q1118">
        <v>31</v>
      </c>
      <c r="R1118">
        <v>110</v>
      </c>
      <c r="S1118" t="s">
        <v>36939</v>
      </c>
      <c r="U1118">
        <v>0.59304277999999999</v>
      </c>
      <c r="V1118">
        <v>6.6</v>
      </c>
      <c r="W1118">
        <v>6.6</v>
      </c>
      <c r="X1118" t="s">
        <v>5583</v>
      </c>
      <c r="Y1118" t="s">
        <v>36947</v>
      </c>
      <c r="Z1118" t="s">
        <v>5581</v>
      </c>
      <c r="AA1118" t="s">
        <v>5582</v>
      </c>
      <c r="AB1118" t="s">
        <v>36948</v>
      </c>
      <c r="AC1118" t="s">
        <v>34465</v>
      </c>
      <c r="AD1118" t="s">
        <v>9535</v>
      </c>
      <c r="AE1118" t="s">
        <v>36949</v>
      </c>
      <c r="AF1118" t="s">
        <v>36950</v>
      </c>
      <c r="AG1118" t="s">
        <v>36942</v>
      </c>
    </row>
    <row r="1119" spans="1:33" x14ac:dyDescent="0.25">
      <c r="A1119" t="s">
        <v>34462</v>
      </c>
      <c r="B1119" t="s">
        <v>5588</v>
      </c>
      <c r="C1119" t="s">
        <v>5591</v>
      </c>
      <c r="J1119">
        <v>1</v>
      </c>
      <c r="K1119">
        <v>1</v>
      </c>
      <c r="Q1119">
        <v>-1</v>
      </c>
      <c r="R1119">
        <v>-1</v>
      </c>
      <c r="X1119" t="s">
        <v>5587</v>
      </c>
      <c r="Y1119" t="s">
        <v>36951</v>
      </c>
      <c r="AB1119" t="s">
        <v>36952</v>
      </c>
      <c r="AC1119" t="s">
        <v>34465</v>
      </c>
      <c r="AD1119" t="s">
        <v>36953</v>
      </c>
      <c r="AF1119" t="s">
        <v>36954</v>
      </c>
    </row>
    <row r="1120" spans="1:33" x14ac:dyDescent="0.25">
      <c r="A1120" t="s">
        <v>34462</v>
      </c>
      <c r="B1120" t="s">
        <v>5594</v>
      </c>
      <c r="C1120" t="s">
        <v>5596</v>
      </c>
      <c r="J1120">
        <v>1</v>
      </c>
      <c r="K1120">
        <v>1</v>
      </c>
      <c r="Q1120">
        <v>-1</v>
      </c>
      <c r="R1120">
        <v>-1</v>
      </c>
      <c r="X1120" t="s">
        <v>5593</v>
      </c>
      <c r="Y1120" t="s">
        <v>36951</v>
      </c>
      <c r="AB1120" t="s">
        <v>36955</v>
      </c>
      <c r="AC1120" t="s">
        <v>34465</v>
      </c>
      <c r="AD1120" t="s">
        <v>36953</v>
      </c>
      <c r="AF1120" t="s">
        <v>36956</v>
      </c>
    </row>
    <row r="1121" spans="1:33" x14ac:dyDescent="0.25">
      <c r="A1121" t="s">
        <v>34462</v>
      </c>
      <c r="B1121" t="s">
        <v>5598</v>
      </c>
      <c r="C1121" t="s">
        <v>5601</v>
      </c>
      <c r="D1121">
        <v>89.99</v>
      </c>
      <c r="E1121">
        <v>89.99</v>
      </c>
      <c r="F1121">
        <v>882830</v>
      </c>
      <c r="G1121">
        <v>455814</v>
      </c>
      <c r="H1121">
        <v>89.99</v>
      </c>
      <c r="I1121">
        <v>85.54</v>
      </c>
      <c r="J1121">
        <v>0</v>
      </c>
      <c r="K1121">
        <v>0</v>
      </c>
      <c r="L1121">
        <v>2</v>
      </c>
      <c r="M1121">
        <v>2</v>
      </c>
      <c r="N1121">
        <v>4.5999999999999996</v>
      </c>
      <c r="O1121">
        <v>1</v>
      </c>
      <c r="P1121">
        <v>72</v>
      </c>
      <c r="Q1121">
        <v>3</v>
      </c>
      <c r="R1121">
        <v>12</v>
      </c>
      <c r="S1121" t="s">
        <v>36957</v>
      </c>
      <c r="U1121">
        <v>2.2487124000000001</v>
      </c>
      <c r="V1121">
        <v>7.96</v>
      </c>
      <c r="W1121">
        <v>13.5</v>
      </c>
      <c r="X1121" t="s">
        <v>5597</v>
      </c>
      <c r="Y1121" t="s">
        <v>36958</v>
      </c>
      <c r="Z1121" t="s">
        <v>5602</v>
      </c>
      <c r="AA1121" t="s">
        <v>438</v>
      </c>
      <c r="AB1121" t="s">
        <v>36959</v>
      </c>
      <c r="AC1121" t="s">
        <v>34493</v>
      </c>
      <c r="AD1121" t="s">
        <v>8331</v>
      </c>
      <c r="AE1121" t="s">
        <v>106</v>
      </c>
      <c r="AF1121" t="s">
        <v>36960</v>
      </c>
      <c r="AG1121" t="s">
        <v>36961</v>
      </c>
    </row>
    <row r="1122" spans="1:33" x14ac:dyDescent="0.25">
      <c r="A1122" t="s">
        <v>34462</v>
      </c>
      <c r="B1122" t="s">
        <v>5604</v>
      </c>
      <c r="C1122" t="s">
        <v>5606</v>
      </c>
      <c r="D1122">
        <v>89.99</v>
      </c>
      <c r="E1122">
        <v>89.99</v>
      </c>
      <c r="F1122">
        <v>882830</v>
      </c>
      <c r="G1122">
        <v>478782</v>
      </c>
      <c r="H1122">
        <v>89.99</v>
      </c>
      <c r="I1122">
        <v>87.25</v>
      </c>
      <c r="J1122">
        <v>0</v>
      </c>
      <c r="K1122">
        <v>0</v>
      </c>
      <c r="L1122">
        <v>2</v>
      </c>
      <c r="M1122">
        <v>2</v>
      </c>
      <c r="N1122">
        <v>4.5999999999999996</v>
      </c>
      <c r="O1122">
        <v>0</v>
      </c>
      <c r="P1122">
        <v>101</v>
      </c>
      <c r="Q1122">
        <v>9</v>
      </c>
      <c r="R1122">
        <v>18</v>
      </c>
      <c r="S1122" t="s">
        <v>36957</v>
      </c>
      <c r="U1122">
        <v>2.2707586000000002</v>
      </c>
      <c r="V1122">
        <v>8.1199999999999992</v>
      </c>
      <c r="W1122">
        <v>13.5</v>
      </c>
      <c r="X1122" t="s">
        <v>5603</v>
      </c>
      <c r="Y1122" t="s">
        <v>36962</v>
      </c>
      <c r="Z1122" t="s">
        <v>5602</v>
      </c>
      <c r="AA1122" t="s">
        <v>76</v>
      </c>
      <c r="AB1122" t="s">
        <v>36963</v>
      </c>
      <c r="AC1122" t="s">
        <v>34493</v>
      </c>
      <c r="AD1122" t="s">
        <v>8331</v>
      </c>
      <c r="AE1122" t="s">
        <v>106</v>
      </c>
      <c r="AF1122" t="s">
        <v>36964</v>
      </c>
      <c r="AG1122" t="s">
        <v>36961</v>
      </c>
    </row>
    <row r="1123" spans="1:33" x14ac:dyDescent="0.25">
      <c r="A1123" t="s">
        <v>34462</v>
      </c>
      <c r="B1123" t="s">
        <v>5608</v>
      </c>
      <c r="C1123" t="s">
        <v>5610</v>
      </c>
      <c r="D1123">
        <v>58.4</v>
      </c>
      <c r="E1123">
        <v>58.4</v>
      </c>
      <c r="F1123">
        <v>887964</v>
      </c>
      <c r="G1123">
        <v>458613</v>
      </c>
      <c r="H1123">
        <v>77.510000000000005</v>
      </c>
      <c r="I1123">
        <v>81.209999999999994</v>
      </c>
      <c r="J1123">
        <v>0</v>
      </c>
      <c r="K1123">
        <v>0</v>
      </c>
      <c r="L1123">
        <v>6</v>
      </c>
      <c r="M1123">
        <v>8</v>
      </c>
      <c r="N1123">
        <v>4.5999999999999996</v>
      </c>
      <c r="O1123">
        <v>6</v>
      </c>
      <c r="P1123">
        <v>72</v>
      </c>
      <c r="Q1123">
        <v>11</v>
      </c>
      <c r="R1123">
        <v>35</v>
      </c>
      <c r="S1123" t="s">
        <v>36957</v>
      </c>
      <c r="U1123">
        <v>2.4912206000000001</v>
      </c>
      <c r="V1123">
        <v>8.2799999999999994</v>
      </c>
      <c r="W1123">
        <v>8.76</v>
      </c>
      <c r="X1123" t="s">
        <v>5607</v>
      </c>
      <c r="Y1123" t="s">
        <v>36962</v>
      </c>
      <c r="Z1123" t="s">
        <v>5602</v>
      </c>
      <c r="AA1123" t="s">
        <v>76</v>
      </c>
      <c r="AB1123" t="s">
        <v>36965</v>
      </c>
      <c r="AC1123" t="s">
        <v>34493</v>
      </c>
      <c r="AD1123" t="s">
        <v>8331</v>
      </c>
      <c r="AE1123" t="s">
        <v>88</v>
      </c>
      <c r="AF1123" t="s">
        <v>36964</v>
      </c>
      <c r="AG1123" t="s">
        <v>36961</v>
      </c>
    </row>
    <row r="1124" spans="1:33" x14ac:dyDescent="0.25">
      <c r="A1124" t="s">
        <v>34462</v>
      </c>
      <c r="B1124" t="s">
        <v>5613</v>
      </c>
      <c r="C1124" t="s">
        <v>5615</v>
      </c>
      <c r="D1124">
        <v>84.98</v>
      </c>
      <c r="E1124">
        <v>64.989999999999995</v>
      </c>
      <c r="F1124">
        <v>887964</v>
      </c>
      <c r="G1124">
        <v>461555</v>
      </c>
      <c r="H1124">
        <v>87.95</v>
      </c>
      <c r="I1124">
        <v>85.62</v>
      </c>
      <c r="J1124">
        <v>0</v>
      </c>
      <c r="K1124">
        <v>0</v>
      </c>
      <c r="L1124">
        <v>5</v>
      </c>
      <c r="M1124">
        <v>8</v>
      </c>
      <c r="N1124">
        <v>4.5999999999999996</v>
      </c>
      <c r="O1124">
        <v>4</v>
      </c>
      <c r="P1124">
        <v>72</v>
      </c>
      <c r="Q1124">
        <v>10</v>
      </c>
      <c r="R1124">
        <v>28</v>
      </c>
      <c r="S1124" t="s">
        <v>36957</v>
      </c>
      <c r="U1124">
        <v>2.3368972000000001</v>
      </c>
      <c r="V1124">
        <v>8.1199999999999992</v>
      </c>
      <c r="W1124">
        <v>12.75</v>
      </c>
      <c r="X1124" t="s">
        <v>5612</v>
      </c>
      <c r="Y1124" t="s">
        <v>36958</v>
      </c>
      <c r="Z1124" t="s">
        <v>5602</v>
      </c>
      <c r="AA1124" t="s">
        <v>438</v>
      </c>
      <c r="AB1124" t="s">
        <v>36966</v>
      </c>
      <c r="AC1124" t="s">
        <v>34493</v>
      </c>
      <c r="AD1124" t="s">
        <v>8331</v>
      </c>
      <c r="AE1124" t="s">
        <v>88</v>
      </c>
      <c r="AF1124" t="s">
        <v>36960</v>
      </c>
      <c r="AG1124" t="s">
        <v>36961</v>
      </c>
    </row>
    <row r="1125" spans="1:33" x14ac:dyDescent="0.25">
      <c r="A1125" t="s">
        <v>34462</v>
      </c>
      <c r="B1125" t="s">
        <v>5618</v>
      </c>
      <c r="C1125" t="s">
        <v>5620</v>
      </c>
      <c r="D1125">
        <v>61.7</v>
      </c>
      <c r="E1125">
        <v>61.7</v>
      </c>
      <c r="F1125">
        <v>882830</v>
      </c>
      <c r="G1125">
        <v>458983</v>
      </c>
      <c r="H1125">
        <v>76.47</v>
      </c>
      <c r="I1125">
        <v>81.2</v>
      </c>
      <c r="J1125">
        <v>0</v>
      </c>
      <c r="K1125">
        <v>0</v>
      </c>
      <c r="L1125">
        <v>6</v>
      </c>
      <c r="M1125">
        <v>9</v>
      </c>
      <c r="N1125">
        <v>4.5999999999999996</v>
      </c>
      <c r="O1125">
        <v>2</v>
      </c>
      <c r="P1125">
        <v>72</v>
      </c>
      <c r="Q1125">
        <v>10</v>
      </c>
      <c r="R1125">
        <v>41</v>
      </c>
      <c r="S1125" t="s">
        <v>36957</v>
      </c>
      <c r="U1125">
        <v>2.4691744</v>
      </c>
      <c r="V1125">
        <v>8.1199999999999992</v>
      </c>
      <c r="W1125">
        <v>9.26</v>
      </c>
      <c r="X1125" t="s">
        <v>5617</v>
      </c>
      <c r="Y1125" t="s">
        <v>36962</v>
      </c>
      <c r="Z1125" t="s">
        <v>5602</v>
      </c>
      <c r="AA1125" t="s">
        <v>76</v>
      </c>
      <c r="AB1125" t="s">
        <v>36967</v>
      </c>
      <c r="AC1125" t="s">
        <v>34493</v>
      </c>
      <c r="AD1125" t="s">
        <v>8331</v>
      </c>
      <c r="AE1125" t="s">
        <v>131</v>
      </c>
      <c r="AF1125" t="s">
        <v>36968</v>
      </c>
      <c r="AG1125" t="s">
        <v>36961</v>
      </c>
    </row>
    <row r="1126" spans="1:33" x14ac:dyDescent="0.25">
      <c r="A1126" t="s">
        <v>34462</v>
      </c>
      <c r="B1126" t="s">
        <v>5623</v>
      </c>
      <c r="C1126" t="s">
        <v>5625</v>
      </c>
      <c r="D1126">
        <v>61.58</v>
      </c>
      <c r="E1126">
        <v>61.58</v>
      </c>
      <c r="F1126">
        <v>882830</v>
      </c>
      <c r="G1126">
        <v>464347</v>
      </c>
      <c r="H1126">
        <v>79.930000000000007</v>
      </c>
      <c r="I1126">
        <v>81.739999999999995</v>
      </c>
      <c r="J1126">
        <v>0</v>
      </c>
      <c r="K1126">
        <v>0</v>
      </c>
      <c r="L1126">
        <v>6</v>
      </c>
      <c r="M1126">
        <v>9</v>
      </c>
      <c r="N1126">
        <v>4.5999999999999996</v>
      </c>
      <c r="O1126">
        <v>2</v>
      </c>
      <c r="P1126">
        <v>72</v>
      </c>
      <c r="Q1126">
        <v>9</v>
      </c>
      <c r="R1126">
        <v>35</v>
      </c>
      <c r="S1126" t="s">
        <v>36957</v>
      </c>
      <c r="U1126">
        <v>2.4361050999999998</v>
      </c>
      <c r="V1126">
        <v>8.1199999999999992</v>
      </c>
      <c r="W1126">
        <v>9.24</v>
      </c>
      <c r="X1126" t="s">
        <v>5622</v>
      </c>
      <c r="Y1126" t="s">
        <v>36958</v>
      </c>
      <c r="Z1126" t="s">
        <v>5602</v>
      </c>
      <c r="AA1126" t="s">
        <v>438</v>
      </c>
      <c r="AB1126" t="s">
        <v>36969</v>
      </c>
      <c r="AC1126" t="s">
        <v>34493</v>
      </c>
      <c r="AD1126" t="s">
        <v>8331</v>
      </c>
      <c r="AE1126" t="s">
        <v>131</v>
      </c>
      <c r="AF1126" t="s">
        <v>36970</v>
      </c>
      <c r="AG1126" t="s">
        <v>36961</v>
      </c>
    </row>
    <row r="1127" spans="1:33" x14ac:dyDescent="0.25">
      <c r="A1127" t="s">
        <v>34462</v>
      </c>
      <c r="B1127" t="s">
        <v>5628</v>
      </c>
      <c r="C1127" t="s">
        <v>5630</v>
      </c>
      <c r="D1127">
        <v>78.03</v>
      </c>
      <c r="E1127">
        <v>64.989999999999995</v>
      </c>
      <c r="F1127">
        <v>875187</v>
      </c>
      <c r="G1127">
        <v>471130</v>
      </c>
      <c r="H1127">
        <v>86.19</v>
      </c>
      <c r="I1127">
        <v>84.72</v>
      </c>
      <c r="J1127">
        <v>0</v>
      </c>
      <c r="K1127">
        <v>0</v>
      </c>
      <c r="L1127">
        <v>4</v>
      </c>
      <c r="M1127">
        <v>6</v>
      </c>
      <c r="N1127">
        <v>4.5999999999999996</v>
      </c>
      <c r="O1127">
        <v>6</v>
      </c>
      <c r="P1127">
        <v>72</v>
      </c>
      <c r="Q1127">
        <v>13</v>
      </c>
      <c r="R1127">
        <v>55</v>
      </c>
      <c r="S1127" t="s">
        <v>36957</v>
      </c>
      <c r="U1127">
        <v>2.5595638200000002</v>
      </c>
      <c r="V1127">
        <v>12.27</v>
      </c>
      <c r="W1127">
        <v>11.7</v>
      </c>
      <c r="X1127" t="s">
        <v>5627</v>
      </c>
      <c r="Y1127" t="s">
        <v>36958</v>
      </c>
      <c r="Z1127" t="s">
        <v>5602</v>
      </c>
      <c r="AA1127" t="s">
        <v>438</v>
      </c>
      <c r="AB1127" t="s">
        <v>36971</v>
      </c>
      <c r="AC1127" t="s">
        <v>34493</v>
      </c>
      <c r="AD1127" t="s">
        <v>8331</v>
      </c>
      <c r="AE1127" t="s">
        <v>269</v>
      </c>
      <c r="AF1127" t="s">
        <v>36960</v>
      </c>
      <c r="AG1127" t="s">
        <v>36961</v>
      </c>
    </row>
    <row r="1128" spans="1:33" x14ac:dyDescent="0.25">
      <c r="A1128" t="s">
        <v>34462</v>
      </c>
      <c r="B1128" t="s">
        <v>5633</v>
      </c>
      <c r="C1128" t="s">
        <v>5635</v>
      </c>
      <c r="D1128">
        <v>79.709999999999994</v>
      </c>
      <c r="E1128">
        <v>64.989999999999995</v>
      </c>
      <c r="F1128">
        <v>875187</v>
      </c>
      <c r="G1128">
        <v>465444</v>
      </c>
      <c r="H1128">
        <v>86.81</v>
      </c>
      <c r="I1128">
        <v>84.83</v>
      </c>
      <c r="J1128">
        <v>0</v>
      </c>
      <c r="K1128">
        <v>0</v>
      </c>
      <c r="L1128">
        <v>3</v>
      </c>
      <c r="M1128">
        <v>4</v>
      </c>
      <c r="N1128">
        <v>4.5999999999999996</v>
      </c>
      <c r="O1128">
        <v>15</v>
      </c>
      <c r="P1128">
        <v>72</v>
      </c>
      <c r="Q1128">
        <v>12</v>
      </c>
      <c r="R1128">
        <v>43</v>
      </c>
      <c r="S1128" t="s">
        <v>36957</v>
      </c>
      <c r="U1128">
        <v>2.5397222400000001</v>
      </c>
      <c r="V1128">
        <v>12.27</v>
      </c>
      <c r="W1128">
        <v>11.96</v>
      </c>
      <c r="X1128" t="s">
        <v>5632</v>
      </c>
      <c r="Y1128" t="s">
        <v>36962</v>
      </c>
      <c r="Z1128" t="s">
        <v>5602</v>
      </c>
      <c r="AA1128" t="s">
        <v>76</v>
      </c>
      <c r="AB1128" t="s">
        <v>36972</v>
      </c>
      <c r="AC1128" t="s">
        <v>34493</v>
      </c>
      <c r="AD1128" t="s">
        <v>8331</v>
      </c>
      <c r="AE1128" t="s">
        <v>269</v>
      </c>
      <c r="AF1128" t="s">
        <v>36964</v>
      </c>
      <c r="AG1128" t="s">
        <v>36961</v>
      </c>
    </row>
    <row r="1129" spans="1:33" x14ac:dyDescent="0.25">
      <c r="A1129" t="s">
        <v>34462</v>
      </c>
      <c r="B1129" t="s">
        <v>5638</v>
      </c>
      <c r="C1129" t="s">
        <v>5640</v>
      </c>
      <c r="D1129">
        <v>78.819999999999993</v>
      </c>
      <c r="E1129">
        <v>64.989999999999995</v>
      </c>
      <c r="F1129">
        <v>882830</v>
      </c>
      <c r="G1129">
        <v>464543</v>
      </c>
      <c r="H1129">
        <v>83.48</v>
      </c>
      <c r="I1129">
        <v>84.33</v>
      </c>
      <c r="J1129">
        <v>0</v>
      </c>
      <c r="K1129">
        <v>0</v>
      </c>
      <c r="L1129">
        <v>5</v>
      </c>
      <c r="M1129">
        <v>7</v>
      </c>
      <c r="N1129">
        <v>4.5999999999999996</v>
      </c>
      <c r="O1129">
        <v>6</v>
      </c>
      <c r="P1129">
        <v>72</v>
      </c>
      <c r="Q1129">
        <v>11</v>
      </c>
      <c r="R1129">
        <v>42</v>
      </c>
      <c r="S1129" t="s">
        <v>36957</v>
      </c>
      <c r="U1129">
        <v>2.72931956</v>
      </c>
      <c r="V1129">
        <v>12.27</v>
      </c>
      <c r="W1129">
        <v>11.82</v>
      </c>
      <c r="X1129" t="s">
        <v>5637</v>
      </c>
      <c r="Y1129" t="s">
        <v>36958</v>
      </c>
      <c r="Z1129" t="s">
        <v>5602</v>
      </c>
      <c r="AA1129" t="s">
        <v>438</v>
      </c>
      <c r="AB1129" t="s">
        <v>36973</v>
      </c>
      <c r="AC1129" t="s">
        <v>34493</v>
      </c>
      <c r="AD1129" t="s">
        <v>8331</v>
      </c>
      <c r="AE1129" t="s">
        <v>576</v>
      </c>
      <c r="AF1129" t="s">
        <v>36970</v>
      </c>
      <c r="AG1129" t="s">
        <v>36961</v>
      </c>
    </row>
    <row r="1130" spans="1:33" x14ac:dyDescent="0.25">
      <c r="A1130" t="s">
        <v>34462</v>
      </c>
      <c r="B1130" t="s">
        <v>5643</v>
      </c>
      <c r="C1130" t="s">
        <v>5645</v>
      </c>
      <c r="D1130">
        <v>84.99</v>
      </c>
      <c r="E1130">
        <v>64.989999999999995</v>
      </c>
      <c r="F1130">
        <v>875187</v>
      </c>
      <c r="G1130">
        <v>444277</v>
      </c>
      <c r="H1130">
        <v>87.02</v>
      </c>
      <c r="I1130">
        <v>85.03</v>
      </c>
      <c r="J1130">
        <v>0</v>
      </c>
      <c r="K1130">
        <v>0</v>
      </c>
      <c r="L1130">
        <v>4</v>
      </c>
      <c r="M1130">
        <v>5</v>
      </c>
      <c r="N1130">
        <v>4.5999999999999996</v>
      </c>
      <c r="O1130">
        <v>11</v>
      </c>
      <c r="P1130">
        <v>72</v>
      </c>
      <c r="Q1130">
        <v>11</v>
      </c>
      <c r="R1130">
        <v>41</v>
      </c>
      <c r="S1130" t="s">
        <v>36957</v>
      </c>
      <c r="U1130">
        <v>2.70947798</v>
      </c>
      <c r="V1130">
        <v>12.27</v>
      </c>
      <c r="W1130">
        <v>12.75</v>
      </c>
      <c r="X1130" t="s">
        <v>5642</v>
      </c>
      <c r="Y1130" t="s">
        <v>36962</v>
      </c>
      <c r="Z1130" t="s">
        <v>5602</v>
      </c>
      <c r="AA1130" t="s">
        <v>76</v>
      </c>
      <c r="AB1130" t="s">
        <v>36974</v>
      </c>
      <c r="AC1130" t="s">
        <v>34493</v>
      </c>
      <c r="AD1130" t="s">
        <v>8331</v>
      </c>
      <c r="AE1130" t="s">
        <v>576</v>
      </c>
      <c r="AF1130" t="s">
        <v>36964</v>
      </c>
      <c r="AG1130" t="s">
        <v>36961</v>
      </c>
    </row>
    <row r="1131" spans="1:33" x14ac:dyDescent="0.25">
      <c r="A1131" t="s">
        <v>34462</v>
      </c>
      <c r="B1131" t="s">
        <v>5648</v>
      </c>
      <c r="C1131" t="s">
        <v>5650</v>
      </c>
      <c r="D1131">
        <v>84.49</v>
      </c>
      <c r="E1131">
        <v>64.989999999999995</v>
      </c>
      <c r="F1131">
        <v>882830</v>
      </c>
      <c r="G1131">
        <v>457748</v>
      </c>
      <c r="H1131">
        <v>87.52</v>
      </c>
      <c r="I1131">
        <v>86.13</v>
      </c>
      <c r="J1131">
        <v>0</v>
      </c>
      <c r="K1131">
        <v>0</v>
      </c>
      <c r="L1131">
        <v>6</v>
      </c>
      <c r="M1131">
        <v>9</v>
      </c>
      <c r="N1131">
        <v>4.5999999999999996</v>
      </c>
      <c r="O1131">
        <v>9</v>
      </c>
      <c r="P1131">
        <v>72</v>
      </c>
      <c r="Q1131">
        <v>10</v>
      </c>
      <c r="R1131">
        <v>32</v>
      </c>
      <c r="S1131" t="s">
        <v>36957</v>
      </c>
      <c r="U1131">
        <v>2.8197089800000001</v>
      </c>
      <c r="V1131">
        <v>12.65</v>
      </c>
      <c r="W1131">
        <v>12.67</v>
      </c>
      <c r="X1131" t="s">
        <v>5647</v>
      </c>
      <c r="Y1131" t="s">
        <v>36958</v>
      </c>
      <c r="Z1131" t="s">
        <v>5602</v>
      </c>
      <c r="AA1131" t="s">
        <v>438</v>
      </c>
      <c r="AB1131" t="s">
        <v>36975</v>
      </c>
      <c r="AC1131" t="s">
        <v>34493</v>
      </c>
      <c r="AD1131" t="s">
        <v>8331</v>
      </c>
      <c r="AE1131" t="s">
        <v>255</v>
      </c>
      <c r="AF1131" t="s">
        <v>36970</v>
      </c>
      <c r="AG1131" t="s">
        <v>36961</v>
      </c>
    </row>
    <row r="1132" spans="1:33" x14ac:dyDescent="0.25">
      <c r="A1132" t="s">
        <v>34462</v>
      </c>
      <c r="B1132" t="s">
        <v>5653</v>
      </c>
      <c r="C1132" t="s">
        <v>5655</v>
      </c>
      <c r="D1132">
        <v>74.790000000000006</v>
      </c>
      <c r="E1132">
        <v>64.989999999999995</v>
      </c>
      <c r="F1132">
        <v>882830</v>
      </c>
      <c r="G1132">
        <v>459002</v>
      </c>
      <c r="H1132">
        <v>85.6</v>
      </c>
      <c r="I1132">
        <v>84.55</v>
      </c>
      <c r="J1132">
        <v>0</v>
      </c>
      <c r="K1132">
        <v>0</v>
      </c>
      <c r="L1132">
        <v>5</v>
      </c>
      <c r="M1132">
        <v>6</v>
      </c>
      <c r="N1132">
        <v>4.5999999999999996</v>
      </c>
      <c r="O1132">
        <v>2</v>
      </c>
      <c r="P1132">
        <v>72</v>
      </c>
      <c r="Q1132">
        <v>10</v>
      </c>
      <c r="R1132">
        <v>33</v>
      </c>
      <c r="S1132" t="s">
        <v>36957</v>
      </c>
      <c r="U1132">
        <v>2.9497815599999999</v>
      </c>
      <c r="V1132">
        <v>13.03</v>
      </c>
      <c r="W1132">
        <v>11.22</v>
      </c>
      <c r="X1132" t="s">
        <v>5652</v>
      </c>
      <c r="Y1132" t="s">
        <v>36962</v>
      </c>
      <c r="Z1132" t="s">
        <v>5602</v>
      </c>
      <c r="AA1132" t="s">
        <v>76</v>
      </c>
      <c r="AB1132" t="s">
        <v>36976</v>
      </c>
      <c r="AC1132" t="s">
        <v>34493</v>
      </c>
      <c r="AD1132" t="s">
        <v>8331</v>
      </c>
      <c r="AE1132" t="s">
        <v>255</v>
      </c>
      <c r="AF1132" t="s">
        <v>36964</v>
      </c>
      <c r="AG1132" t="s">
        <v>36961</v>
      </c>
    </row>
    <row r="1133" spans="1:33" x14ac:dyDescent="0.25">
      <c r="A1133" t="s">
        <v>34462</v>
      </c>
      <c r="B1133" t="s">
        <v>5658</v>
      </c>
      <c r="C1133" t="s">
        <v>5660</v>
      </c>
      <c r="D1133">
        <v>84.49</v>
      </c>
      <c r="E1133">
        <v>64.989999999999995</v>
      </c>
      <c r="F1133">
        <v>882830</v>
      </c>
      <c r="G1133">
        <v>437899</v>
      </c>
      <c r="H1133">
        <v>87.04</v>
      </c>
      <c r="I1133">
        <v>84.27</v>
      </c>
      <c r="J1133">
        <v>0</v>
      </c>
      <c r="K1133">
        <v>0</v>
      </c>
      <c r="L1133">
        <v>3</v>
      </c>
      <c r="M1133">
        <v>3</v>
      </c>
      <c r="N1133">
        <v>4.5</v>
      </c>
      <c r="O1133">
        <v>2</v>
      </c>
      <c r="P1133">
        <v>106</v>
      </c>
      <c r="Q1133">
        <v>9</v>
      </c>
      <c r="R1133">
        <v>29</v>
      </c>
      <c r="S1133" t="s">
        <v>36957</v>
      </c>
      <c r="U1133">
        <v>2.98064624</v>
      </c>
      <c r="V1133">
        <v>12.65</v>
      </c>
      <c r="W1133">
        <v>12.67</v>
      </c>
      <c r="X1133" t="s">
        <v>5657</v>
      </c>
      <c r="Y1133" t="s">
        <v>36958</v>
      </c>
      <c r="Z1133" t="s">
        <v>5602</v>
      </c>
      <c r="AA1133" t="s">
        <v>438</v>
      </c>
      <c r="AB1133" t="s">
        <v>36977</v>
      </c>
      <c r="AC1133" t="s">
        <v>34493</v>
      </c>
      <c r="AD1133" t="s">
        <v>8331</v>
      </c>
      <c r="AE1133" t="s">
        <v>282</v>
      </c>
      <c r="AF1133" t="s">
        <v>36960</v>
      </c>
      <c r="AG1133" t="s">
        <v>36961</v>
      </c>
    </row>
    <row r="1134" spans="1:33" x14ac:dyDescent="0.25">
      <c r="A1134" t="s">
        <v>34462</v>
      </c>
      <c r="B1134" t="s">
        <v>5663</v>
      </c>
      <c r="C1134" t="s">
        <v>5665</v>
      </c>
      <c r="D1134">
        <v>89.99</v>
      </c>
      <c r="E1134">
        <v>89.99</v>
      </c>
      <c r="F1134">
        <v>882830</v>
      </c>
      <c r="G1134">
        <v>441062</v>
      </c>
      <c r="H1134">
        <v>89.99</v>
      </c>
      <c r="I1134">
        <v>86.52</v>
      </c>
      <c r="J1134">
        <v>0</v>
      </c>
      <c r="K1134">
        <v>0</v>
      </c>
      <c r="L1134">
        <v>2</v>
      </c>
      <c r="M1134">
        <v>2</v>
      </c>
      <c r="N1134">
        <v>4.5999999999999996</v>
      </c>
      <c r="O1134">
        <v>2</v>
      </c>
      <c r="P1134">
        <v>95</v>
      </c>
      <c r="Q1134">
        <v>3</v>
      </c>
      <c r="R1134">
        <v>13</v>
      </c>
      <c r="S1134" t="s">
        <v>36957</v>
      </c>
      <c r="U1134">
        <v>3.1504019799999998</v>
      </c>
      <c r="V1134">
        <v>12.65</v>
      </c>
      <c r="W1134">
        <v>13.5</v>
      </c>
      <c r="X1134" t="s">
        <v>5662</v>
      </c>
      <c r="Y1134" t="s">
        <v>36962</v>
      </c>
      <c r="Z1134" t="s">
        <v>5602</v>
      </c>
      <c r="AA1134" t="s">
        <v>76</v>
      </c>
      <c r="AB1134" t="s">
        <v>36978</v>
      </c>
      <c r="AC1134" t="s">
        <v>34493</v>
      </c>
      <c r="AD1134" t="s">
        <v>8331</v>
      </c>
      <c r="AE1134" t="s">
        <v>282</v>
      </c>
      <c r="AF1134" t="s">
        <v>36964</v>
      </c>
      <c r="AG1134" t="s">
        <v>36961</v>
      </c>
    </row>
    <row r="1135" spans="1:33" x14ac:dyDescent="0.25">
      <c r="A1135" t="s">
        <v>34462</v>
      </c>
      <c r="B1135" t="s">
        <v>5667</v>
      </c>
      <c r="C1135" t="s">
        <v>5670</v>
      </c>
      <c r="D1135">
        <v>35.29</v>
      </c>
      <c r="E1135">
        <v>27.34</v>
      </c>
      <c r="F1135">
        <v>428869</v>
      </c>
      <c r="G1135">
        <v>259874</v>
      </c>
      <c r="H1135">
        <v>21.56</v>
      </c>
      <c r="I1135">
        <v>28.11</v>
      </c>
      <c r="J1135">
        <v>0</v>
      </c>
      <c r="K1135">
        <v>0</v>
      </c>
      <c r="L1135">
        <v>8</v>
      </c>
      <c r="M1135">
        <v>6</v>
      </c>
      <c r="N1135">
        <v>4.9000000000000004</v>
      </c>
      <c r="O1135">
        <v>1</v>
      </c>
      <c r="P1135">
        <v>18</v>
      </c>
      <c r="Q1135">
        <v>18</v>
      </c>
      <c r="R1135">
        <v>59</v>
      </c>
      <c r="S1135" t="s">
        <v>36979</v>
      </c>
      <c r="U1135">
        <v>0.5401319</v>
      </c>
      <c r="V1135">
        <v>5.82</v>
      </c>
      <c r="W1135">
        <v>6</v>
      </c>
      <c r="X1135" t="s">
        <v>5666</v>
      </c>
      <c r="Y1135" t="s">
        <v>5671</v>
      </c>
      <c r="Z1135" t="s">
        <v>5671</v>
      </c>
      <c r="AA1135" t="s">
        <v>5672</v>
      </c>
      <c r="AB1135" t="s">
        <v>36980</v>
      </c>
      <c r="AC1135" t="s">
        <v>34493</v>
      </c>
      <c r="AD1135" t="s">
        <v>8078</v>
      </c>
      <c r="AE1135" t="s">
        <v>34533</v>
      </c>
      <c r="AF1135" t="s">
        <v>36981</v>
      </c>
      <c r="AG1135" t="s">
        <v>36110</v>
      </c>
    </row>
    <row r="1136" spans="1:33" x14ac:dyDescent="0.25">
      <c r="A1136" t="s">
        <v>34462</v>
      </c>
      <c r="B1136" t="s">
        <v>5674</v>
      </c>
      <c r="C1136" t="s">
        <v>5677</v>
      </c>
      <c r="F1136">
        <v>5269334</v>
      </c>
      <c r="G1136">
        <v>4938118</v>
      </c>
      <c r="J1136">
        <v>1</v>
      </c>
      <c r="K1136">
        <v>1</v>
      </c>
      <c r="N1136">
        <v>4.2</v>
      </c>
      <c r="O1136">
        <v>8</v>
      </c>
      <c r="P1136">
        <v>95</v>
      </c>
      <c r="Q1136">
        <v>0</v>
      </c>
      <c r="R1136">
        <v>0</v>
      </c>
      <c r="S1136" t="s">
        <v>36982</v>
      </c>
      <c r="U1136">
        <v>1.90038244</v>
      </c>
      <c r="V1136">
        <v>7.4</v>
      </c>
      <c r="X1136" t="s">
        <v>5673</v>
      </c>
      <c r="Y1136" t="s">
        <v>36983</v>
      </c>
      <c r="Z1136" t="s">
        <v>5678</v>
      </c>
      <c r="AA1136" t="s">
        <v>5679</v>
      </c>
      <c r="AB1136" t="s">
        <v>36984</v>
      </c>
      <c r="AC1136" t="s">
        <v>34465</v>
      </c>
      <c r="AD1136" t="s">
        <v>34796</v>
      </c>
      <c r="AE1136" t="s">
        <v>34533</v>
      </c>
      <c r="AF1136" t="s">
        <v>36985</v>
      </c>
      <c r="AG1136" t="s">
        <v>36986</v>
      </c>
    </row>
    <row r="1137" spans="1:33" x14ac:dyDescent="0.25">
      <c r="A1137" t="s">
        <v>34462</v>
      </c>
      <c r="B1137" t="s">
        <v>5681</v>
      </c>
      <c r="C1137" t="s">
        <v>5683</v>
      </c>
      <c r="F1137">
        <v>5269334</v>
      </c>
      <c r="G1137">
        <v>4938506</v>
      </c>
      <c r="J1137">
        <v>1</v>
      </c>
      <c r="K1137">
        <v>1</v>
      </c>
      <c r="N1137">
        <v>4.2</v>
      </c>
      <c r="O1137">
        <v>5</v>
      </c>
      <c r="P1137">
        <v>95</v>
      </c>
      <c r="Q1137">
        <v>0</v>
      </c>
      <c r="R1137">
        <v>0</v>
      </c>
      <c r="S1137" t="s">
        <v>36982</v>
      </c>
      <c r="U1137">
        <v>2.2509170200000002</v>
      </c>
      <c r="V1137">
        <v>16.45</v>
      </c>
      <c r="X1137" t="s">
        <v>5680</v>
      </c>
      <c r="Y1137" t="s">
        <v>36987</v>
      </c>
      <c r="Z1137" t="s">
        <v>5678</v>
      </c>
      <c r="AA1137" t="s">
        <v>1490</v>
      </c>
      <c r="AB1137" t="s">
        <v>36988</v>
      </c>
      <c r="AC1137" t="s">
        <v>34465</v>
      </c>
      <c r="AD1137" t="s">
        <v>34796</v>
      </c>
      <c r="AE1137" t="s">
        <v>34533</v>
      </c>
      <c r="AF1137" t="s">
        <v>36989</v>
      </c>
      <c r="AG1137" t="s">
        <v>36986</v>
      </c>
    </row>
    <row r="1138" spans="1:33" x14ac:dyDescent="0.25">
      <c r="A1138" t="s">
        <v>34462</v>
      </c>
      <c r="B1138" t="s">
        <v>5685</v>
      </c>
      <c r="C1138" t="s">
        <v>5687</v>
      </c>
      <c r="G1138">
        <v>4611890</v>
      </c>
      <c r="J1138">
        <v>1</v>
      </c>
      <c r="K1138">
        <v>1</v>
      </c>
      <c r="N1138">
        <v>4.4000000000000004</v>
      </c>
      <c r="O1138">
        <v>10</v>
      </c>
      <c r="P1138">
        <v>10</v>
      </c>
      <c r="Q1138">
        <v>0</v>
      </c>
      <c r="R1138">
        <v>0</v>
      </c>
      <c r="U1138">
        <v>2.2795770800000001</v>
      </c>
      <c r="V1138">
        <v>14.55</v>
      </c>
      <c r="X1138" t="s">
        <v>5684</v>
      </c>
      <c r="Y1138" t="s">
        <v>36990</v>
      </c>
      <c r="Z1138" t="s">
        <v>5678</v>
      </c>
      <c r="AA1138" t="s">
        <v>76</v>
      </c>
      <c r="AB1138" t="s">
        <v>36991</v>
      </c>
      <c r="AC1138" t="s">
        <v>34465</v>
      </c>
      <c r="AD1138" t="s">
        <v>34796</v>
      </c>
      <c r="AE1138" t="s">
        <v>14701</v>
      </c>
      <c r="AF1138" t="s">
        <v>36992</v>
      </c>
      <c r="AG1138" t="s">
        <v>36986</v>
      </c>
    </row>
    <row r="1139" spans="1:33" x14ac:dyDescent="0.25">
      <c r="A1139" t="s">
        <v>34462</v>
      </c>
      <c r="B1139" t="s">
        <v>5689</v>
      </c>
      <c r="C1139" t="s">
        <v>5692</v>
      </c>
      <c r="D1139">
        <v>30.36</v>
      </c>
      <c r="E1139">
        <v>21.57</v>
      </c>
      <c r="F1139">
        <v>182282</v>
      </c>
      <c r="G1139">
        <v>139540</v>
      </c>
      <c r="H1139">
        <v>31.78</v>
      </c>
      <c r="I1139">
        <v>28.86</v>
      </c>
      <c r="J1139">
        <v>0</v>
      </c>
      <c r="K1139">
        <v>0</v>
      </c>
      <c r="L1139">
        <v>3</v>
      </c>
      <c r="M1139">
        <v>4</v>
      </c>
      <c r="N1139">
        <v>4.5999999999999996</v>
      </c>
      <c r="O1139">
        <v>0</v>
      </c>
      <c r="P1139">
        <v>90</v>
      </c>
      <c r="Q1139">
        <v>29</v>
      </c>
      <c r="R1139">
        <v>80</v>
      </c>
      <c r="S1139" t="s">
        <v>36993</v>
      </c>
      <c r="U1139">
        <v>0.24250820000000001</v>
      </c>
      <c r="V1139">
        <v>4.6100000000000003</v>
      </c>
      <c r="W1139">
        <v>5.16</v>
      </c>
      <c r="X1139" t="s">
        <v>5688</v>
      </c>
      <c r="Y1139" t="s">
        <v>5693</v>
      </c>
      <c r="Z1139" t="s">
        <v>5693</v>
      </c>
      <c r="AA1139" t="s">
        <v>5694</v>
      </c>
      <c r="AB1139" t="s">
        <v>36994</v>
      </c>
      <c r="AC1139" t="s">
        <v>34493</v>
      </c>
      <c r="AD1139" t="s">
        <v>8078</v>
      </c>
      <c r="AE1139" t="s">
        <v>10369</v>
      </c>
      <c r="AF1139" t="s">
        <v>36995</v>
      </c>
      <c r="AG1139" t="s">
        <v>36996</v>
      </c>
    </row>
    <row r="1140" spans="1:33" x14ac:dyDescent="0.25">
      <c r="A1140" t="s">
        <v>34462</v>
      </c>
      <c r="B1140" t="s">
        <v>5696</v>
      </c>
      <c r="C1140" t="s">
        <v>5692</v>
      </c>
      <c r="D1140">
        <v>30.46</v>
      </c>
      <c r="E1140">
        <v>21.57</v>
      </c>
      <c r="F1140">
        <v>182282</v>
      </c>
      <c r="G1140">
        <v>139892</v>
      </c>
      <c r="H1140">
        <v>35.33</v>
      </c>
      <c r="I1140">
        <v>33.340000000000003</v>
      </c>
      <c r="J1140">
        <v>0</v>
      </c>
      <c r="K1140">
        <v>0</v>
      </c>
      <c r="L1140">
        <v>4</v>
      </c>
      <c r="M1140">
        <v>5</v>
      </c>
      <c r="N1140">
        <v>4.5999999999999996</v>
      </c>
      <c r="O1140">
        <v>0</v>
      </c>
      <c r="P1140">
        <v>90</v>
      </c>
      <c r="Q1140">
        <v>39</v>
      </c>
      <c r="R1140">
        <v>84</v>
      </c>
      <c r="S1140" t="s">
        <v>36993</v>
      </c>
      <c r="U1140">
        <v>0.25353130000000001</v>
      </c>
      <c r="V1140">
        <v>4.6100000000000003</v>
      </c>
      <c r="W1140">
        <v>5.18</v>
      </c>
      <c r="X1140" t="s">
        <v>5695</v>
      </c>
      <c r="Y1140" t="s">
        <v>5693</v>
      </c>
      <c r="Z1140" t="s">
        <v>5693</v>
      </c>
      <c r="AA1140" t="s">
        <v>5694</v>
      </c>
      <c r="AB1140" t="s">
        <v>36997</v>
      </c>
      <c r="AC1140" t="s">
        <v>34493</v>
      </c>
      <c r="AD1140" t="s">
        <v>8078</v>
      </c>
      <c r="AE1140" t="s">
        <v>11590</v>
      </c>
      <c r="AF1140" t="s">
        <v>36995</v>
      </c>
      <c r="AG1140" t="s">
        <v>36996</v>
      </c>
    </row>
    <row r="1141" spans="1:33" x14ac:dyDescent="0.25">
      <c r="A1141" t="s">
        <v>34462</v>
      </c>
      <c r="B1141" t="s">
        <v>5699</v>
      </c>
      <c r="C1141" t="s">
        <v>5692</v>
      </c>
      <c r="D1141">
        <v>31.99</v>
      </c>
      <c r="E1141">
        <v>27.8</v>
      </c>
      <c r="F1141">
        <v>182282</v>
      </c>
      <c r="G1141">
        <v>141255</v>
      </c>
      <c r="H1141">
        <v>31.11</v>
      </c>
      <c r="I1141">
        <v>32.22</v>
      </c>
      <c r="J1141">
        <v>0</v>
      </c>
      <c r="K1141">
        <v>0</v>
      </c>
      <c r="L1141">
        <v>4</v>
      </c>
      <c r="M1141">
        <v>5</v>
      </c>
      <c r="N1141">
        <v>4.5999999999999996</v>
      </c>
      <c r="O1141">
        <v>0</v>
      </c>
      <c r="P1141">
        <v>90</v>
      </c>
      <c r="Q1141">
        <v>23</v>
      </c>
      <c r="R1141">
        <v>57</v>
      </c>
      <c r="S1141" t="s">
        <v>36993</v>
      </c>
      <c r="U1141">
        <v>0.28660059999999998</v>
      </c>
      <c r="V1141">
        <v>4.6100000000000003</v>
      </c>
      <c r="W1141">
        <v>5.44</v>
      </c>
      <c r="X1141" t="s">
        <v>5698</v>
      </c>
      <c r="Y1141" t="s">
        <v>5693</v>
      </c>
      <c r="Z1141" t="s">
        <v>5693</v>
      </c>
      <c r="AA1141" t="s">
        <v>5694</v>
      </c>
      <c r="AB1141" t="s">
        <v>36998</v>
      </c>
      <c r="AC1141" t="s">
        <v>34493</v>
      </c>
      <c r="AD1141" t="s">
        <v>8078</v>
      </c>
      <c r="AE1141" t="s">
        <v>11593</v>
      </c>
      <c r="AF1141" t="s">
        <v>36999</v>
      </c>
      <c r="AG1141" t="s">
        <v>36996</v>
      </c>
    </row>
    <row r="1142" spans="1:33" x14ac:dyDescent="0.25">
      <c r="A1142" t="s">
        <v>34462</v>
      </c>
      <c r="B1142" t="s">
        <v>5702</v>
      </c>
      <c r="C1142" t="s">
        <v>5705</v>
      </c>
      <c r="D1142">
        <v>15.47</v>
      </c>
      <c r="E1142">
        <v>14.99</v>
      </c>
      <c r="F1142">
        <v>988131</v>
      </c>
      <c r="G1142">
        <v>2659163</v>
      </c>
      <c r="H1142">
        <v>15.78</v>
      </c>
      <c r="I1142">
        <v>22.32</v>
      </c>
      <c r="J1142">
        <v>0.56999999999999995</v>
      </c>
      <c r="K1142">
        <v>0.67</v>
      </c>
      <c r="L1142">
        <v>1</v>
      </c>
      <c r="Q1142">
        <v>1</v>
      </c>
      <c r="R1142">
        <v>1</v>
      </c>
      <c r="S1142" t="s">
        <v>36581</v>
      </c>
      <c r="X1142" t="s">
        <v>5701</v>
      </c>
      <c r="Y1142" t="s">
        <v>5706</v>
      </c>
      <c r="Z1142" t="s">
        <v>5706</v>
      </c>
      <c r="AA1142" t="s">
        <v>5707</v>
      </c>
      <c r="AB1142" t="s">
        <v>37000</v>
      </c>
      <c r="AC1142" t="s">
        <v>34484</v>
      </c>
      <c r="AD1142" t="s">
        <v>36414</v>
      </c>
      <c r="AE1142" t="s">
        <v>37001</v>
      </c>
      <c r="AF1142" t="s">
        <v>37002</v>
      </c>
    </row>
    <row r="1143" spans="1:33" x14ac:dyDescent="0.25">
      <c r="A1143" t="s">
        <v>34462</v>
      </c>
      <c r="B1143" t="s">
        <v>5709</v>
      </c>
      <c r="C1143" t="s">
        <v>5711</v>
      </c>
      <c r="D1143">
        <v>15.99</v>
      </c>
      <c r="E1143">
        <v>15.99</v>
      </c>
      <c r="F1143">
        <v>988131</v>
      </c>
      <c r="G1143">
        <v>832614</v>
      </c>
      <c r="J1143">
        <v>1</v>
      </c>
      <c r="K1143">
        <v>1</v>
      </c>
      <c r="Q1143">
        <v>0</v>
      </c>
      <c r="R1143">
        <v>0</v>
      </c>
      <c r="S1143" t="s">
        <v>36581</v>
      </c>
      <c r="X1143" t="s">
        <v>5708</v>
      </c>
      <c r="Y1143" t="s">
        <v>5706</v>
      </c>
      <c r="Z1143" t="s">
        <v>5706</v>
      </c>
      <c r="AA1143" t="s">
        <v>5707</v>
      </c>
      <c r="AB1143" t="s">
        <v>37003</v>
      </c>
      <c r="AC1143" t="s">
        <v>34465</v>
      </c>
      <c r="AD1143" t="s">
        <v>36414</v>
      </c>
      <c r="AE1143" t="s">
        <v>36585</v>
      </c>
      <c r="AF1143" t="s">
        <v>37002</v>
      </c>
    </row>
    <row r="1144" spans="1:33" x14ac:dyDescent="0.25">
      <c r="A1144" t="s">
        <v>34462</v>
      </c>
      <c r="B1144" t="s">
        <v>5713</v>
      </c>
      <c r="C1144" t="s">
        <v>5715</v>
      </c>
      <c r="F1144">
        <v>988131</v>
      </c>
      <c r="G1144">
        <v>832614</v>
      </c>
      <c r="J1144">
        <v>1</v>
      </c>
      <c r="K1144">
        <v>1</v>
      </c>
      <c r="Q1144">
        <v>0</v>
      </c>
      <c r="R1144">
        <v>0</v>
      </c>
      <c r="S1144" t="s">
        <v>36581</v>
      </c>
      <c r="X1144" t="s">
        <v>5712</v>
      </c>
      <c r="Y1144" t="s">
        <v>5706</v>
      </c>
      <c r="Z1144" t="s">
        <v>5706</v>
      </c>
      <c r="AA1144" t="s">
        <v>5707</v>
      </c>
      <c r="AB1144" t="s">
        <v>37004</v>
      </c>
      <c r="AC1144" t="s">
        <v>34465</v>
      </c>
      <c r="AD1144" t="s">
        <v>36414</v>
      </c>
      <c r="AE1144" t="s">
        <v>36588</v>
      </c>
      <c r="AF1144" t="s">
        <v>37002</v>
      </c>
    </row>
    <row r="1145" spans="1:33" x14ac:dyDescent="0.25">
      <c r="A1145" t="s">
        <v>34462</v>
      </c>
      <c r="B1145" t="s">
        <v>5718</v>
      </c>
      <c r="C1145" t="s">
        <v>5720</v>
      </c>
      <c r="D1145">
        <v>52.42</v>
      </c>
      <c r="F1145">
        <v>988131</v>
      </c>
      <c r="G1145">
        <v>3033232</v>
      </c>
      <c r="H1145">
        <v>52.42</v>
      </c>
      <c r="I1145">
        <v>53.32</v>
      </c>
      <c r="J1145">
        <v>0.87</v>
      </c>
      <c r="K1145">
        <v>1</v>
      </c>
      <c r="L1145">
        <v>1</v>
      </c>
      <c r="Q1145">
        <v>1</v>
      </c>
      <c r="R1145">
        <v>1</v>
      </c>
      <c r="S1145" t="s">
        <v>36581</v>
      </c>
      <c r="X1145" t="s">
        <v>5717</v>
      </c>
      <c r="Y1145" t="s">
        <v>5706</v>
      </c>
      <c r="Z1145" t="s">
        <v>5706</v>
      </c>
      <c r="AA1145" t="s">
        <v>5707</v>
      </c>
      <c r="AB1145" t="s">
        <v>37005</v>
      </c>
      <c r="AC1145" t="s">
        <v>34465</v>
      </c>
      <c r="AD1145" t="s">
        <v>36414</v>
      </c>
      <c r="AE1145" t="s">
        <v>36590</v>
      </c>
      <c r="AF1145" t="s">
        <v>37002</v>
      </c>
    </row>
    <row r="1146" spans="1:33" x14ac:dyDescent="0.25">
      <c r="A1146" t="s">
        <v>34462</v>
      </c>
      <c r="B1146" t="s">
        <v>5722</v>
      </c>
      <c r="C1146" t="s">
        <v>5724</v>
      </c>
      <c r="D1146">
        <v>15.47</v>
      </c>
      <c r="E1146">
        <v>15.47</v>
      </c>
      <c r="F1146">
        <v>988131</v>
      </c>
      <c r="G1146">
        <v>2179823</v>
      </c>
      <c r="H1146">
        <v>15.47</v>
      </c>
      <c r="I1146">
        <v>15.47</v>
      </c>
      <c r="J1146">
        <v>0.89</v>
      </c>
      <c r="K1146">
        <v>0.89</v>
      </c>
      <c r="L1146">
        <v>1</v>
      </c>
      <c r="M1146">
        <v>1</v>
      </c>
      <c r="Q1146">
        <v>1</v>
      </c>
      <c r="R1146">
        <v>1</v>
      </c>
      <c r="S1146" t="s">
        <v>36581</v>
      </c>
      <c r="X1146" t="s">
        <v>5721</v>
      </c>
      <c r="Y1146" t="s">
        <v>5706</v>
      </c>
      <c r="Z1146" t="s">
        <v>5706</v>
      </c>
      <c r="AA1146" t="s">
        <v>5707</v>
      </c>
      <c r="AB1146" t="s">
        <v>37006</v>
      </c>
      <c r="AC1146" t="s">
        <v>34484</v>
      </c>
      <c r="AD1146" t="s">
        <v>36414</v>
      </c>
      <c r="AE1146" t="s">
        <v>36592</v>
      </c>
      <c r="AF1146" t="s">
        <v>37002</v>
      </c>
    </row>
    <row r="1147" spans="1:33" x14ac:dyDescent="0.25">
      <c r="A1147" t="s">
        <v>34462</v>
      </c>
      <c r="B1147" t="s">
        <v>5726</v>
      </c>
      <c r="C1147" t="s">
        <v>5728</v>
      </c>
      <c r="D1147">
        <v>15.47</v>
      </c>
      <c r="E1147">
        <v>15.47</v>
      </c>
      <c r="F1147">
        <v>988131</v>
      </c>
      <c r="G1147">
        <v>2188753</v>
      </c>
      <c r="H1147">
        <v>15.47</v>
      </c>
      <c r="I1147">
        <v>17.98</v>
      </c>
      <c r="J1147">
        <v>0.73</v>
      </c>
      <c r="K1147">
        <v>0.73</v>
      </c>
      <c r="L1147">
        <v>1</v>
      </c>
      <c r="Q1147">
        <v>1</v>
      </c>
      <c r="R1147">
        <v>1</v>
      </c>
      <c r="S1147" t="s">
        <v>36581</v>
      </c>
      <c r="X1147" t="s">
        <v>5725</v>
      </c>
      <c r="Y1147" t="s">
        <v>5706</v>
      </c>
      <c r="Z1147" t="s">
        <v>5706</v>
      </c>
      <c r="AA1147" t="s">
        <v>5707</v>
      </c>
      <c r="AB1147" t="s">
        <v>37007</v>
      </c>
      <c r="AC1147" t="s">
        <v>34484</v>
      </c>
      <c r="AD1147" t="s">
        <v>36414</v>
      </c>
      <c r="AE1147" t="s">
        <v>36594</v>
      </c>
      <c r="AF1147" t="s">
        <v>37002</v>
      </c>
    </row>
    <row r="1148" spans="1:33" x14ac:dyDescent="0.25">
      <c r="A1148" t="s">
        <v>34462</v>
      </c>
      <c r="B1148" t="s">
        <v>5730</v>
      </c>
      <c r="C1148" t="s">
        <v>5732</v>
      </c>
      <c r="D1148">
        <v>15.47</v>
      </c>
      <c r="E1148">
        <v>15.47</v>
      </c>
      <c r="F1148">
        <v>988131</v>
      </c>
      <c r="G1148">
        <v>2155604</v>
      </c>
      <c r="H1148">
        <v>15.47</v>
      </c>
      <c r="I1148">
        <v>15.47</v>
      </c>
      <c r="J1148">
        <v>0.42</v>
      </c>
      <c r="K1148">
        <v>0.42</v>
      </c>
      <c r="L1148">
        <v>1</v>
      </c>
      <c r="M1148">
        <v>1</v>
      </c>
      <c r="Q1148">
        <v>1</v>
      </c>
      <c r="R1148">
        <v>1</v>
      </c>
      <c r="S1148" t="s">
        <v>36581</v>
      </c>
      <c r="X1148" t="s">
        <v>5729</v>
      </c>
      <c r="Y1148" t="s">
        <v>5706</v>
      </c>
      <c r="Z1148" t="s">
        <v>5706</v>
      </c>
      <c r="AA1148" t="s">
        <v>5707</v>
      </c>
      <c r="AB1148" t="s">
        <v>37008</v>
      </c>
      <c r="AC1148" t="s">
        <v>34484</v>
      </c>
      <c r="AD1148" t="s">
        <v>36414</v>
      </c>
      <c r="AE1148" t="s">
        <v>36596</v>
      </c>
      <c r="AF1148" t="s">
        <v>37002</v>
      </c>
    </row>
    <row r="1149" spans="1:33" x14ac:dyDescent="0.25">
      <c r="A1149" t="s">
        <v>34462</v>
      </c>
      <c r="B1149" t="s">
        <v>5734</v>
      </c>
      <c r="C1149" t="s">
        <v>5737</v>
      </c>
      <c r="D1149">
        <v>16.98</v>
      </c>
      <c r="E1149">
        <v>16.98</v>
      </c>
      <c r="H1149">
        <v>17.32</v>
      </c>
      <c r="I1149">
        <v>18.2</v>
      </c>
      <c r="J1149">
        <v>0</v>
      </c>
      <c r="K1149">
        <v>1</v>
      </c>
      <c r="L1149">
        <v>12</v>
      </c>
      <c r="M1149">
        <v>12</v>
      </c>
      <c r="N1149">
        <v>5</v>
      </c>
      <c r="P1149">
        <v>1</v>
      </c>
      <c r="Q1149">
        <v>0</v>
      </c>
      <c r="R1149">
        <v>0</v>
      </c>
      <c r="U1149">
        <v>0.50044874000000006</v>
      </c>
      <c r="V1149">
        <v>7.08</v>
      </c>
      <c r="W1149">
        <v>2.5499999999999998</v>
      </c>
      <c r="X1149" t="s">
        <v>5733</v>
      </c>
      <c r="Y1149" t="s">
        <v>37009</v>
      </c>
      <c r="Z1149" t="s">
        <v>5739</v>
      </c>
      <c r="AA1149" t="s">
        <v>5740</v>
      </c>
      <c r="AB1149" t="s">
        <v>37010</v>
      </c>
      <c r="AC1149" t="s">
        <v>34465</v>
      </c>
      <c r="AD1149" t="s">
        <v>37011</v>
      </c>
      <c r="AF1149" t="s">
        <v>37012</v>
      </c>
      <c r="AG1149" t="s">
        <v>37013</v>
      </c>
    </row>
    <row r="1150" spans="1:33" x14ac:dyDescent="0.25">
      <c r="A1150" t="s">
        <v>34462</v>
      </c>
      <c r="B1150" t="s">
        <v>5742</v>
      </c>
      <c r="C1150" t="s">
        <v>5745</v>
      </c>
      <c r="F1150">
        <v>5449</v>
      </c>
      <c r="G1150">
        <v>2958</v>
      </c>
      <c r="J1150">
        <v>1</v>
      </c>
      <c r="K1150">
        <v>1</v>
      </c>
      <c r="N1150">
        <v>4.4000000000000004</v>
      </c>
      <c r="O1150">
        <v>0</v>
      </c>
      <c r="P1150">
        <v>33294</v>
      </c>
      <c r="Q1150">
        <v>3</v>
      </c>
      <c r="R1150">
        <v>25</v>
      </c>
      <c r="S1150" t="s">
        <v>37014</v>
      </c>
      <c r="U1150">
        <v>1.4219799</v>
      </c>
      <c r="V1150">
        <v>7.08</v>
      </c>
      <c r="X1150" t="s">
        <v>5741</v>
      </c>
      <c r="Y1150" t="s">
        <v>5746</v>
      </c>
      <c r="Z1150" t="s">
        <v>5746</v>
      </c>
      <c r="AA1150" t="s">
        <v>5747</v>
      </c>
      <c r="AB1150" t="s">
        <v>37015</v>
      </c>
      <c r="AC1150" t="s">
        <v>34465</v>
      </c>
      <c r="AD1150" t="s">
        <v>10970</v>
      </c>
      <c r="AE1150" t="s">
        <v>37016</v>
      </c>
      <c r="AF1150" t="s">
        <v>37017</v>
      </c>
      <c r="AG1150" t="s">
        <v>37018</v>
      </c>
    </row>
    <row r="1151" spans="1:33" x14ac:dyDescent="0.25">
      <c r="A1151" t="s">
        <v>34462</v>
      </c>
      <c r="B1151" t="s">
        <v>5749</v>
      </c>
      <c r="C1151" t="s">
        <v>5752</v>
      </c>
      <c r="J1151">
        <v>1</v>
      </c>
      <c r="K1151">
        <v>1</v>
      </c>
      <c r="Q1151">
        <v>-1</v>
      </c>
      <c r="R1151">
        <v>-1</v>
      </c>
      <c r="S1151" t="s">
        <v>37019</v>
      </c>
      <c r="U1151">
        <v>0.29982831999999998</v>
      </c>
      <c r="V1151">
        <v>4.45</v>
      </c>
      <c r="X1151" t="s">
        <v>5748</v>
      </c>
      <c r="Y1151" t="s">
        <v>5753</v>
      </c>
      <c r="Z1151" t="s">
        <v>5753</v>
      </c>
      <c r="AA1151" t="s">
        <v>76</v>
      </c>
      <c r="AB1151" t="s">
        <v>37020</v>
      </c>
      <c r="AC1151" t="s">
        <v>34465</v>
      </c>
      <c r="AD1151" t="s">
        <v>14756</v>
      </c>
      <c r="AE1151" t="s">
        <v>34533</v>
      </c>
      <c r="AF1151" t="s">
        <v>37021</v>
      </c>
      <c r="AG1151" t="s">
        <v>37022</v>
      </c>
    </row>
    <row r="1152" spans="1:33" x14ac:dyDescent="0.25">
      <c r="A1152" t="s">
        <v>34462</v>
      </c>
      <c r="B1152" t="s">
        <v>5755</v>
      </c>
      <c r="C1152" t="s">
        <v>5757</v>
      </c>
      <c r="J1152">
        <v>1</v>
      </c>
      <c r="K1152">
        <v>1</v>
      </c>
      <c r="Q1152">
        <v>-1</v>
      </c>
      <c r="R1152">
        <v>-1</v>
      </c>
      <c r="S1152" t="s">
        <v>37019</v>
      </c>
      <c r="U1152">
        <v>1.0008974799999999</v>
      </c>
      <c r="V1152">
        <v>6.6</v>
      </c>
      <c r="X1152" t="s">
        <v>5754</v>
      </c>
      <c r="Y1152" t="s">
        <v>5753</v>
      </c>
      <c r="Z1152" t="s">
        <v>5753</v>
      </c>
      <c r="AA1152" t="s">
        <v>76</v>
      </c>
      <c r="AB1152" t="s">
        <v>37023</v>
      </c>
      <c r="AC1152" t="s">
        <v>34465</v>
      </c>
      <c r="AD1152" t="s">
        <v>14756</v>
      </c>
      <c r="AE1152" t="s">
        <v>14701</v>
      </c>
      <c r="AF1152" t="s">
        <v>37021</v>
      </c>
    </row>
    <row r="1153" spans="1:33" x14ac:dyDescent="0.25">
      <c r="A1153" t="s">
        <v>34462</v>
      </c>
      <c r="B1153" t="s">
        <v>5759</v>
      </c>
      <c r="C1153" t="s">
        <v>5761</v>
      </c>
      <c r="J1153">
        <v>1</v>
      </c>
      <c r="K1153">
        <v>1</v>
      </c>
      <c r="Q1153">
        <v>-1</v>
      </c>
      <c r="R1153">
        <v>-1</v>
      </c>
      <c r="S1153" t="s">
        <v>37019</v>
      </c>
      <c r="U1153">
        <v>1.0008974799999999</v>
      </c>
      <c r="V1153">
        <v>6.6</v>
      </c>
      <c r="X1153" t="s">
        <v>5758</v>
      </c>
      <c r="Y1153" t="s">
        <v>5753</v>
      </c>
      <c r="Z1153" t="s">
        <v>5753</v>
      </c>
      <c r="AA1153" t="s">
        <v>5762</v>
      </c>
      <c r="AB1153" t="s">
        <v>37024</v>
      </c>
      <c r="AC1153" t="s">
        <v>34465</v>
      </c>
      <c r="AD1153" t="s">
        <v>14756</v>
      </c>
      <c r="AE1153" t="s">
        <v>14701</v>
      </c>
      <c r="AF1153" t="s">
        <v>37025</v>
      </c>
    </row>
    <row r="1154" spans="1:33" x14ac:dyDescent="0.25">
      <c r="A1154" t="s">
        <v>34462</v>
      </c>
      <c r="B1154" t="s">
        <v>5764</v>
      </c>
      <c r="C1154" t="s">
        <v>5766</v>
      </c>
      <c r="J1154">
        <v>1</v>
      </c>
      <c r="K1154">
        <v>1</v>
      </c>
      <c r="Q1154">
        <v>-1</v>
      </c>
      <c r="R1154">
        <v>-1</v>
      </c>
      <c r="S1154" t="s">
        <v>37019</v>
      </c>
      <c r="U1154">
        <v>1.0008974799999999</v>
      </c>
      <c r="V1154">
        <v>6.6</v>
      </c>
      <c r="X1154" t="s">
        <v>5763</v>
      </c>
      <c r="Y1154" t="s">
        <v>5753</v>
      </c>
      <c r="Z1154" t="s">
        <v>5753</v>
      </c>
      <c r="AA1154" t="s">
        <v>5762</v>
      </c>
      <c r="AB1154" t="s">
        <v>37026</v>
      </c>
      <c r="AC1154" t="s">
        <v>34465</v>
      </c>
      <c r="AD1154" t="s">
        <v>14756</v>
      </c>
      <c r="AE1154" t="s">
        <v>34649</v>
      </c>
      <c r="AF1154" t="s">
        <v>37025</v>
      </c>
    </row>
    <row r="1155" spans="1:33" x14ac:dyDescent="0.25">
      <c r="A1155" t="s">
        <v>34462</v>
      </c>
      <c r="B1155" t="s">
        <v>5768</v>
      </c>
      <c r="C1155" t="s">
        <v>5770</v>
      </c>
      <c r="J1155">
        <v>1</v>
      </c>
      <c r="K1155">
        <v>1</v>
      </c>
      <c r="Q1155">
        <v>-1</v>
      </c>
      <c r="R1155">
        <v>-1</v>
      </c>
      <c r="S1155" t="s">
        <v>37019</v>
      </c>
      <c r="U1155">
        <v>1.0008974799999999</v>
      </c>
      <c r="V1155">
        <v>6.6</v>
      </c>
      <c r="X1155" t="s">
        <v>5767</v>
      </c>
      <c r="Y1155" t="s">
        <v>5753</v>
      </c>
      <c r="Z1155" t="s">
        <v>5753</v>
      </c>
      <c r="AA1155" t="s">
        <v>5762</v>
      </c>
      <c r="AB1155" t="s">
        <v>37027</v>
      </c>
      <c r="AC1155" t="s">
        <v>34465</v>
      </c>
      <c r="AD1155" t="s">
        <v>14756</v>
      </c>
      <c r="AE1155" t="s">
        <v>34469</v>
      </c>
      <c r="AF1155" t="s">
        <v>37025</v>
      </c>
    </row>
    <row r="1156" spans="1:33" x14ac:dyDescent="0.25">
      <c r="A1156" t="s">
        <v>34462</v>
      </c>
      <c r="B1156" t="s">
        <v>5772</v>
      </c>
      <c r="C1156" t="s">
        <v>5775</v>
      </c>
      <c r="D1156">
        <v>40</v>
      </c>
      <c r="E1156">
        <v>40</v>
      </c>
      <c r="F1156">
        <v>164581</v>
      </c>
      <c r="G1156">
        <v>224536</v>
      </c>
      <c r="H1156">
        <v>40</v>
      </c>
      <c r="I1156">
        <v>40</v>
      </c>
      <c r="J1156">
        <v>0</v>
      </c>
      <c r="K1156">
        <v>1</v>
      </c>
      <c r="L1156">
        <v>3</v>
      </c>
      <c r="M1156">
        <v>2</v>
      </c>
      <c r="N1156">
        <v>5</v>
      </c>
      <c r="O1156">
        <v>1</v>
      </c>
      <c r="P1156">
        <v>4</v>
      </c>
      <c r="Q1156">
        <v>19</v>
      </c>
      <c r="R1156">
        <v>32</v>
      </c>
      <c r="S1156" t="s">
        <v>37028</v>
      </c>
      <c r="U1156">
        <v>0.59965663999999996</v>
      </c>
      <c r="V1156">
        <v>5.9</v>
      </c>
      <c r="W1156">
        <v>6.8</v>
      </c>
      <c r="X1156" t="s">
        <v>5771</v>
      </c>
      <c r="AA1156" t="s">
        <v>76</v>
      </c>
      <c r="AB1156" t="s">
        <v>37029</v>
      </c>
      <c r="AC1156" t="s">
        <v>34465</v>
      </c>
      <c r="AD1156" t="s">
        <v>15122</v>
      </c>
      <c r="AE1156" t="s">
        <v>131</v>
      </c>
      <c r="AF1156" t="s">
        <v>37030</v>
      </c>
    </row>
    <row r="1157" spans="1:33" x14ac:dyDescent="0.25">
      <c r="A1157" t="s">
        <v>34462</v>
      </c>
      <c r="B1157" t="s">
        <v>5777</v>
      </c>
      <c r="C1157" t="s">
        <v>5775</v>
      </c>
      <c r="D1157">
        <v>40</v>
      </c>
      <c r="E1157">
        <v>40</v>
      </c>
      <c r="F1157">
        <v>167219</v>
      </c>
      <c r="G1157">
        <v>221215</v>
      </c>
      <c r="H1157">
        <v>40</v>
      </c>
      <c r="I1157">
        <v>40</v>
      </c>
      <c r="J1157">
        <v>0</v>
      </c>
      <c r="K1157">
        <v>1</v>
      </c>
      <c r="L1157">
        <v>2</v>
      </c>
      <c r="M1157">
        <v>2</v>
      </c>
      <c r="N1157">
        <v>5</v>
      </c>
      <c r="O1157">
        <v>0</v>
      </c>
      <c r="P1157">
        <v>4</v>
      </c>
      <c r="Q1157">
        <v>13</v>
      </c>
      <c r="R1157">
        <v>30</v>
      </c>
      <c r="S1157" t="s">
        <v>37028</v>
      </c>
      <c r="U1157">
        <v>0.59965663999999996</v>
      </c>
      <c r="V1157">
        <v>5.9</v>
      </c>
      <c r="W1157">
        <v>6.8</v>
      </c>
      <c r="X1157" t="s">
        <v>5776</v>
      </c>
      <c r="AA1157" t="s">
        <v>1243</v>
      </c>
      <c r="AB1157" t="s">
        <v>37031</v>
      </c>
      <c r="AC1157" t="s">
        <v>34465</v>
      </c>
      <c r="AD1157" t="s">
        <v>15122</v>
      </c>
      <c r="AE1157" t="s">
        <v>131</v>
      </c>
      <c r="AF1157" t="s">
        <v>37032</v>
      </c>
      <c r="AG1157" t="s">
        <v>37033</v>
      </c>
    </row>
    <row r="1158" spans="1:33" x14ac:dyDescent="0.25">
      <c r="A1158" t="s">
        <v>34462</v>
      </c>
      <c r="B1158" t="s">
        <v>5780</v>
      </c>
      <c r="C1158" t="s">
        <v>5775</v>
      </c>
      <c r="D1158">
        <v>40</v>
      </c>
      <c r="E1158">
        <v>40</v>
      </c>
      <c r="F1158">
        <v>167219</v>
      </c>
      <c r="G1158">
        <v>229584</v>
      </c>
      <c r="H1158">
        <v>40</v>
      </c>
      <c r="I1158">
        <v>40</v>
      </c>
      <c r="J1158">
        <v>0</v>
      </c>
      <c r="K1158">
        <v>1</v>
      </c>
      <c r="L1158">
        <v>3</v>
      </c>
      <c r="M1158">
        <v>3</v>
      </c>
      <c r="N1158">
        <v>5</v>
      </c>
      <c r="O1158">
        <v>0</v>
      </c>
      <c r="P1158">
        <v>4</v>
      </c>
      <c r="Q1158">
        <v>21</v>
      </c>
      <c r="R1158">
        <v>38</v>
      </c>
      <c r="S1158" t="s">
        <v>37028</v>
      </c>
      <c r="U1158">
        <v>0.65918138000000004</v>
      </c>
      <c r="V1158">
        <v>5.9</v>
      </c>
      <c r="W1158">
        <v>6.8</v>
      </c>
      <c r="X1158" t="s">
        <v>5779</v>
      </c>
      <c r="AA1158" t="s">
        <v>76</v>
      </c>
      <c r="AB1158" t="s">
        <v>37034</v>
      </c>
      <c r="AC1158" t="s">
        <v>34465</v>
      </c>
      <c r="AD1158" t="s">
        <v>15122</v>
      </c>
      <c r="AE1158" t="s">
        <v>269</v>
      </c>
      <c r="AF1158" t="s">
        <v>37030</v>
      </c>
      <c r="AG1158" t="s">
        <v>37033</v>
      </c>
    </row>
    <row r="1159" spans="1:33" x14ac:dyDescent="0.25">
      <c r="A1159" t="s">
        <v>34462</v>
      </c>
      <c r="B1159" t="s">
        <v>5783</v>
      </c>
      <c r="C1159" t="s">
        <v>5775</v>
      </c>
      <c r="D1159">
        <v>40</v>
      </c>
      <c r="E1159">
        <v>40</v>
      </c>
      <c r="F1159">
        <v>167219</v>
      </c>
      <c r="G1159">
        <v>227786</v>
      </c>
      <c r="H1159">
        <v>40</v>
      </c>
      <c r="I1159">
        <v>40</v>
      </c>
      <c r="J1159">
        <v>0</v>
      </c>
      <c r="K1159">
        <v>1</v>
      </c>
      <c r="L1159">
        <v>2</v>
      </c>
      <c r="M1159">
        <v>2</v>
      </c>
      <c r="N1159">
        <v>5</v>
      </c>
      <c r="O1159">
        <v>0</v>
      </c>
      <c r="P1159">
        <v>4</v>
      </c>
      <c r="Q1159">
        <v>17</v>
      </c>
      <c r="R1159">
        <v>31</v>
      </c>
      <c r="S1159" t="s">
        <v>37028</v>
      </c>
      <c r="U1159">
        <v>0.63933980000000001</v>
      </c>
      <c r="V1159">
        <v>6.6</v>
      </c>
      <c r="W1159">
        <v>6.8</v>
      </c>
      <c r="X1159" t="s">
        <v>5782</v>
      </c>
      <c r="AA1159" t="s">
        <v>1243</v>
      </c>
      <c r="AB1159" t="s">
        <v>37035</v>
      </c>
      <c r="AC1159" t="s">
        <v>34465</v>
      </c>
      <c r="AD1159" t="s">
        <v>15122</v>
      </c>
      <c r="AE1159" t="s">
        <v>269</v>
      </c>
      <c r="AF1159" t="s">
        <v>37032</v>
      </c>
      <c r="AG1159" t="s">
        <v>37033</v>
      </c>
    </row>
    <row r="1160" spans="1:33" x14ac:dyDescent="0.25">
      <c r="A1160" t="s">
        <v>34462</v>
      </c>
      <c r="B1160" t="s">
        <v>5786</v>
      </c>
      <c r="C1160" t="s">
        <v>5789</v>
      </c>
      <c r="D1160">
        <v>45</v>
      </c>
      <c r="E1160">
        <v>39.1</v>
      </c>
      <c r="F1160">
        <v>617311</v>
      </c>
      <c r="G1160">
        <v>357424</v>
      </c>
      <c r="H1160">
        <v>43.42</v>
      </c>
      <c r="I1160">
        <v>37.869999999999997</v>
      </c>
      <c r="J1160">
        <v>0</v>
      </c>
      <c r="K1160">
        <v>0</v>
      </c>
      <c r="L1160">
        <v>3</v>
      </c>
      <c r="M1160">
        <v>3</v>
      </c>
      <c r="O1160">
        <v>0</v>
      </c>
      <c r="Q1160">
        <v>14</v>
      </c>
      <c r="R1160">
        <v>45</v>
      </c>
      <c r="S1160" t="s">
        <v>36198</v>
      </c>
      <c r="U1160">
        <v>0.73854770000000003</v>
      </c>
      <c r="V1160">
        <v>6.6</v>
      </c>
      <c r="W1160">
        <v>7.65</v>
      </c>
      <c r="X1160" t="s">
        <v>5785</v>
      </c>
      <c r="Y1160" t="s">
        <v>5790</v>
      </c>
      <c r="Z1160" t="s">
        <v>5790</v>
      </c>
      <c r="AA1160" t="s">
        <v>3822</v>
      </c>
      <c r="AB1160" t="s">
        <v>37036</v>
      </c>
      <c r="AC1160" t="s">
        <v>34493</v>
      </c>
      <c r="AD1160" t="s">
        <v>8078</v>
      </c>
      <c r="AE1160" t="s">
        <v>8427</v>
      </c>
      <c r="AF1160" t="s">
        <v>37037</v>
      </c>
      <c r="AG1160" t="s">
        <v>36201</v>
      </c>
    </row>
    <row r="1161" spans="1:33" x14ac:dyDescent="0.25">
      <c r="A1161" t="s">
        <v>34462</v>
      </c>
      <c r="B1161" t="s">
        <v>5792</v>
      </c>
      <c r="C1161" t="s">
        <v>5794</v>
      </c>
      <c r="D1161">
        <v>44.52</v>
      </c>
      <c r="E1161">
        <v>39.1</v>
      </c>
      <c r="F1161">
        <v>508841</v>
      </c>
      <c r="G1161">
        <v>458642</v>
      </c>
      <c r="H1161">
        <v>31.75</v>
      </c>
      <c r="I1161">
        <v>33.67</v>
      </c>
      <c r="J1161">
        <v>0</v>
      </c>
      <c r="K1161">
        <v>0</v>
      </c>
      <c r="L1161">
        <v>4</v>
      </c>
      <c r="M1161">
        <v>4</v>
      </c>
      <c r="O1161">
        <v>0</v>
      </c>
      <c r="Q1161">
        <v>19</v>
      </c>
      <c r="R1161">
        <v>28</v>
      </c>
      <c r="S1161" t="s">
        <v>36198</v>
      </c>
      <c r="U1161">
        <v>0.45194709999999999</v>
      </c>
      <c r="V1161">
        <v>6.14</v>
      </c>
      <c r="W1161">
        <v>7.57</v>
      </c>
      <c r="X1161" t="s">
        <v>5791</v>
      </c>
      <c r="Y1161" t="s">
        <v>5790</v>
      </c>
      <c r="Z1161" t="s">
        <v>5790</v>
      </c>
      <c r="AA1161" t="s">
        <v>4889</v>
      </c>
      <c r="AB1161" t="s">
        <v>37038</v>
      </c>
      <c r="AC1161" t="s">
        <v>34493</v>
      </c>
      <c r="AD1161" t="s">
        <v>8078</v>
      </c>
      <c r="AE1161" t="s">
        <v>8427</v>
      </c>
      <c r="AF1161" t="s">
        <v>37039</v>
      </c>
      <c r="AG1161" t="s">
        <v>36201</v>
      </c>
    </row>
    <row r="1162" spans="1:33" x14ac:dyDescent="0.25">
      <c r="A1162" t="s">
        <v>34462</v>
      </c>
      <c r="B1162" t="s">
        <v>5796</v>
      </c>
      <c r="C1162" t="s">
        <v>5798</v>
      </c>
      <c r="D1162">
        <v>45</v>
      </c>
      <c r="E1162">
        <v>39.1</v>
      </c>
      <c r="F1162">
        <v>617311</v>
      </c>
      <c r="G1162">
        <v>364769</v>
      </c>
      <c r="H1162">
        <v>43.23</v>
      </c>
      <c r="I1162">
        <v>42.12</v>
      </c>
      <c r="J1162">
        <v>0</v>
      </c>
      <c r="K1162">
        <v>0</v>
      </c>
      <c r="L1162">
        <v>3</v>
      </c>
      <c r="M1162">
        <v>3</v>
      </c>
      <c r="O1162">
        <v>0</v>
      </c>
      <c r="Q1162">
        <v>10</v>
      </c>
      <c r="R1162">
        <v>35</v>
      </c>
      <c r="S1162" t="s">
        <v>36198</v>
      </c>
      <c r="U1162">
        <v>0.45194709999999999</v>
      </c>
      <c r="V1162">
        <v>6.05</v>
      </c>
      <c r="W1162">
        <v>7.65</v>
      </c>
      <c r="X1162" t="s">
        <v>5795</v>
      </c>
      <c r="Y1162" t="s">
        <v>5790</v>
      </c>
      <c r="Z1162" t="s">
        <v>5790</v>
      </c>
      <c r="AA1162" t="s">
        <v>3822</v>
      </c>
      <c r="AB1162" t="s">
        <v>37040</v>
      </c>
      <c r="AC1162" t="s">
        <v>34493</v>
      </c>
      <c r="AD1162" t="s">
        <v>8078</v>
      </c>
      <c r="AE1162" t="s">
        <v>8439</v>
      </c>
      <c r="AF1162" t="s">
        <v>36219</v>
      </c>
      <c r="AG1162" t="s">
        <v>36201</v>
      </c>
    </row>
    <row r="1163" spans="1:33" x14ac:dyDescent="0.25">
      <c r="A1163" t="s">
        <v>34462</v>
      </c>
      <c r="B1163" t="s">
        <v>5800</v>
      </c>
      <c r="C1163" t="s">
        <v>5802</v>
      </c>
      <c r="D1163">
        <v>29.63</v>
      </c>
      <c r="E1163">
        <v>21.68</v>
      </c>
      <c r="F1163">
        <v>617311</v>
      </c>
      <c r="G1163">
        <v>366125</v>
      </c>
      <c r="H1163">
        <v>41.51</v>
      </c>
      <c r="I1163">
        <v>40.6</v>
      </c>
      <c r="J1163">
        <v>0</v>
      </c>
      <c r="K1163">
        <v>0</v>
      </c>
      <c r="L1163">
        <v>5</v>
      </c>
      <c r="M1163">
        <v>4</v>
      </c>
      <c r="O1163">
        <v>0</v>
      </c>
      <c r="Q1163">
        <v>16</v>
      </c>
      <c r="R1163">
        <v>56</v>
      </c>
      <c r="S1163" t="s">
        <v>36198</v>
      </c>
      <c r="U1163">
        <v>0.44092399999999998</v>
      </c>
      <c r="V1163">
        <v>5.82</v>
      </c>
      <c r="W1163">
        <v>5.04</v>
      </c>
      <c r="X1163" t="s">
        <v>5799</v>
      </c>
      <c r="Y1163" t="s">
        <v>5790</v>
      </c>
      <c r="Z1163" t="s">
        <v>5790</v>
      </c>
      <c r="AA1163" t="s">
        <v>4889</v>
      </c>
      <c r="AB1163" t="s">
        <v>37041</v>
      </c>
      <c r="AC1163" t="s">
        <v>34493</v>
      </c>
      <c r="AD1163" t="s">
        <v>8078</v>
      </c>
      <c r="AE1163" t="s">
        <v>8439</v>
      </c>
      <c r="AF1163" t="s">
        <v>37042</v>
      </c>
      <c r="AG1163" t="s">
        <v>36201</v>
      </c>
    </row>
    <row r="1164" spans="1:33" x14ac:dyDescent="0.25">
      <c r="A1164" t="s">
        <v>34462</v>
      </c>
      <c r="B1164" t="s">
        <v>5804</v>
      </c>
      <c r="C1164" t="s">
        <v>5806</v>
      </c>
      <c r="D1164">
        <v>45</v>
      </c>
      <c r="E1164">
        <v>39.1</v>
      </c>
      <c r="F1164">
        <v>617311</v>
      </c>
      <c r="G1164">
        <v>370767</v>
      </c>
      <c r="H1164">
        <v>43.35</v>
      </c>
      <c r="I1164">
        <v>38.56</v>
      </c>
      <c r="J1164">
        <v>0</v>
      </c>
      <c r="K1164">
        <v>0</v>
      </c>
      <c r="L1164">
        <v>3</v>
      </c>
      <c r="M1164">
        <v>3</v>
      </c>
      <c r="O1164">
        <v>0</v>
      </c>
      <c r="Q1164">
        <v>18</v>
      </c>
      <c r="R1164">
        <v>55</v>
      </c>
      <c r="S1164" t="s">
        <v>36198</v>
      </c>
      <c r="U1164">
        <v>0.50706260000000003</v>
      </c>
      <c r="V1164">
        <v>5.82</v>
      </c>
      <c r="W1164">
        <v>7.65</v>
      </c>
      <c r="X1164" t="s">
        <v>5803</v>
      </c>
      <c r="Y1164" t="s">
        <v>5790</v>
      </c>
      <c r="Z1164" t="s">
        <v>5790</v>
      </c>
      <c r="AA1164" t="s">
        <v>3822</v>
      </c>
      <c r="AB1164" t="s">
        <v>37043</v>
      </c>
      <c r="AC1164" t="s">
        <v>34493</v>
      </c>
      <c r="AD1164" t="s">
        <v>8078</v>
      </c>
      <c r="AE1164" t="s">
        <v>8451</v>
      </c>
      <c r="AF1164" t="s">
        <v>36208</v>
      </c>
      <c r="AG1164" t="s">
        <v>36201</v>
      </c>
    </row>
    <row r="1165" spans="1:33" x14ac:dyDescent="0.25">
      <c r="A1165" t="s">
        <v>34462</v>
      </c>
      <c r="B1165" t="s">
        <v>5808</v>
      </c>
      <c r="C1165" t="s">
        <v>5810</v>
      </c>
      <c r="D1165">
        <v>29.63</v>
      </c>
      <c r="E1165">
        <v>21.68</v>
      </c>
      <c r="F1165">
        <v>617311</v>
      </c>
      <c r="G1165">
        <v>364127</v>
      </c>
      <c r="H1165">
        <v>41.59</v>
      </c>
      <c r="I1165">
        <v>43.07</v>
      </c>
      <c r="J1165">
        <v>0</v>
      </c>
      <c r="K1165">
        <v>0</v>
      </c>
      <c r="L1165">
        <v>6</v>
      </c>
      <c r="M1165">
        <v>5</v>
      </c>
      <c r="O1165">
        <v>0</v>
      </c>
      <c r="Q1165">
        <v>14</v>
      </c>
      <c r="R1165">
        <v>46</v>
      </c>
      <c r="S1165" t="s">
        <v>36198</v>
      </c>
      <c r="U1165">
        <v>0.52910880000000005</v>
      </c>
      <c r="V1165">
        <v>5.82</v>
      </c>
      <c r="W1165">
        <v>5.04</v>
      </c>
      <c r="X1165" t="s">
        <v>5807</v>
      </c>
      <c r="Y1165" t="s">
        <v>5790</v>
      </c>
      <c r="Z1165" t="s">
        <v>5790</v>
      </c>
      <c r="AA1165" t="s">
        <v>4889</v>
      </c>
      <c r="AB1165" t="s">
        <v>37044</v>
      </c>
      <c r="AC1165" t="s">
        <v>34493</v>
      </c>
      <c r="AD1165" t="s">
        <v>8078</v>
      </c>
      <c r="AE1165" t="s">
        <v>8451</v>
      </c>
      <c r="AF1165" t="s">
        <v>37045</v>
      </c>
      <c r="AG1165" t="s">
        <v>36201</v>
      </c>
    </row>
    <row r="1166" spans="1:33" x14ac:dyDescent="0.25">
      <c r="A1166" t="s">
        <v>34462</v>
      </c>
      <c r="B1166" t="s">
        <v>5812</v>
      </c>
      <c r="C1166" t="s">
        <v>5815</v>
      </c>
      <c r="D1166">
        <v>57.28</v>
      </c>
      <c r="E1166">
        <v>57.28</v>
      </c>
      <c r="F1166">
        <v>509857</v>
      </c>
      <c r="G1166">
        <v>242293</v>
      </c>
      <c r="H1166">
        <v>42.15</v>
      </c>
      <c r="I1166">
        <v>53.92</v>
      </c>
      <c r="J1166">
        <v>0</v>
      </c>
      <c r="K1166">
        <v>0</v>
      </c>
      <c r="L1166">
        <v>1</v>
      </c>
      <c r="M1166">
        <v>1</v>
      </c>
      <c r="N1166">
        <v>4.4000000000000004</v>
      </c>
      <c r="O1166">
        <v>2</v>
      </c>
      <c r="P1166">
        <v>35</v>
      </c>
      <c r="Q1166">
        <v>21</v>
      </c>
      <c r="R1166">
        <v>69</v>
      </c>
      <c r="S1166" t="s">
        <v>37046</v>
      </c>
      <c r="U1166">
        <v>2.6675901999999998</v>
      </c>
      <c r="V1166">
        <v>12.65</v>
      </c>
      <c r="W1166">
        <v>9.73</v>
      </c>
      <c r="X1166" t="s">
        <v>5811</v>
      </c>
      <c r="Y1166" t="s">
        <v>5816</v>
      </c>
      <c r="Z1166" t="s">
        <v>5816</v>
      </c>
      <c r="AA1166" t="s">
        <v>5817</v>
      </c>
      <c r="AB1166" t="s">
        <v>37047</v>
      </c>
      <c r="AC1166" t="s">
        <v>34493</v>
      </c>
      <c r="AD1166" t="s">
        <v>10970</v>
      </c>
      <c r="AE1166" t="s">
        <v>34525</v>
      </c>
      <c r="AF1166" t="s">
        <v>37048</v>
      </c>
      <c r="AG1166" t="s">
        <v>37049</v>
      </c>
    </row>
    <row r="1167" spans="1:33" x14ac:dyDescent="0.25">
      <c r="A1167" t="s">
        <v>34462</v>
      </c>
      <c r="B1167" t="s">
        <v>5819</v>
      </c>
      <c r="C1167" t="s">
        <v>5821</v>
      </c>
      <c r="D1167">
        <v>60.82</v>
      </c>
      <c r="E1167">
        <v>60.82</v>
      </c>
      <c r="F1167">
        <v>509857</v>
      </c>
      <c r="G1167">
        <v>237867</v>
      </c>
      <c r="H1167">
        <v>42.32</v>
      </c>
      <c r="I1167">
        <v>54.69</v>
      </c>
      <c r="J1167">
        <v>0</v>
      </c>
      <c r="K1167">
        <v>0</v>
      </c>
      <c r="L1167">
        <v>1</v>
      </c>
      <c r="M1167">
        <v>1</v>
      </c>
      <c r="N1167">
        <v>4.4000000000000004</v>
      </c>
      <c r="O1167">
        <v>6</v>
      </c>
      <c r="P1167">
        <v>35</v>
      </c>
      <c r="Q1167">
        <v>20</v>
      </c>
      <c r="R1167">
        <v>50</v>
      </c>
      <c r="S1167" t="s">
        <v>37046</v>
      </c>
      <c r="U1167">
        <v>2.7337288000000002</v>
      </c>
      <c r="V1167">
        <v>12.83</v>
      </c>
      <c r="W1167">
        <v>10.35</v>
      </c>
      <c r="X1167" t="s">
        <v>5818</v>
      </c>
      <c r="Y1167" t="s">
        <v>5816</v>
      </c>
      <c r="Z1167" t="s">
        <v>5816</v>
      </c>
      <c r="AA1167" t="s">
        <v>5817</v>
      </c>
      <c r="AB1167" t="s">
        <v>37050</v>
      </c>
      <c r="AC1167" t="s">
        <v>34493</v>
      </c>
      <c r="AD1167" t="s">
        <v>10970</v>
      </c>
      <c r="AE1167" t="s">
        <v>34649</v>
      </c>
      <c r="AF1167" t="s">
        <v>37048</v>
      </c>
      <c r="AG1167" t="s">
        <v>37049</v>
      </c>
    </row>
    <row r="1168" spans="1:33" x14ac:dyDescent="0.25">
      <c r="A1168" t="s">
        <v>34462</v>
      </c>
      <c r="B1168" t="s">
        <v>5823</v>
      </c>
      <c r="C1168" t="s">
        <v>5826</v>
      </c>
      <c r="D1168">
        <v>28.49</v>
      </c>
      <c r="E1168">
        <v>21.4</v>
      </c>
      <c r="F1168">
        <v>4218</v>
      </c>
      <c r="G1168">
        <v>4011</v>
      </c>
      <c r="H1168">
        <v>28.59</v>
      </c>
      <c r="I1168">
        <v>31.99</v>
      </c>
      <c r="J1168">
        <v>0</v>
      </c>
      <c r="K1168">
        <v>0</v>
      </c>
      <c r="L1168">
        <v>36</v>
      </c>
      <c r="M1168">
        <v>34</v>
      </c>
      <c r="N1168">
        <v>4.8</v>
      </c>
      <c r="P1168">
        <v>1237</v>
      </c>
      <c r="Q1168">
        <v>59</v>
      </c>
      <c r="R1168">
        <v>193</v>
      </c>
      <c r="T1168">
        <v>50</v>
      </c>
      <c r="U1168">
        <v>1.3492274399999999</v>
      </c>
      <c r="V1168">
        <v>5.52</v>
      </c>
      <c r="W1168">
        <v>4.2699999999999996</v>
      </c>
      <c r="X1168" t="s">
        <v>5822</v>
      </c>
      <c r="Y1168" t="s">
        <v>37051</v>
      </c>
      <c r="AB1168" t="s">
        <v>37052</v>
      </c>
      <c r="AC1168" t="s">
        <v>34493</v>
      </c>
      <c r="AD1168" t="s">
        <v>37053</v>
      </c>
      <c r="AF1168" t="s">
        <v>37054</v>
      </c>
      <c r="AG1168" t="s">
        <v>37055</v>
      </c>
    </row>
    <row r="1169" spans="1:33" x14ac:dyDescent="0.25">
      <c r="A1169" t="s">
        <v>34462</v>
      </c>
      <c r="B1169" t="s">
        <v>5828</v>
      </c>
      <c r="C1169" t="s">
        <v>5831</v>
      </c>
      <c r="D1169">
        <v>26.19</v>
      </c>
      <c r="E1169">
        <v>26.19</v>
      </c>
      <c r="F1169">
        <v>283027</v>
      </c>
      <c r="G1169">
        <v>1786925</v>
      </c>
      <c r="H1169">
        <v>27.43</v>
      </c>
      <c r="I1169">
        <v>26.74</v>
      </c>
      <c r="J1169">
        <v>0</v>
      </c>
      <c r="K1169">
        <v>1</v>
      </c>
      <c r="L1169">
        <v>3</v>
      </c>
      <c r="M1169">
        <v>3</v>
      </c>
      <c r="N1169">
        <v>5</v>
      </c>
      <c r="O1169">
        <v>1</v>
      </c>
      <c r="P1169">
        <v>3</v>
      </c>
      <c r="Q1169">
        <v>8</v>
      </c>
      <c r="R1169">
        <v>27</v>
      </c>
      <c r="S1169" t="s">
        <v>36379</v>
      </c>
      <c r="U1169">
        <v>0.50044874000000006</v>
      </c>
      <c r="V1169">
        <v>4.6100000000000003</v>
      </c>
      <c r="X1169" t="s">
        <v>5827</v>
      </c>
      <c r="AA1169" t="s">
        <v>5833</v>
      </c>
      <c r="AB1169" t="s">
        <v>37056</v>
      </c>
      <c r="AC1169" t="s">
        <v>34465</v>
      </c>
      <c r="AD1169" t="s">
        <v>11496</v>
      </c>
      <c r="AE1169" t="s">
        <v>34832</v>
      </c>
      <c r="AF1169" t="s">
        <v>37057</v>
      </c>
      <c r="AG1169" t="s">
        <v>36381</v>
      </c>
    </row>
    <row r="1170" spans="1:33" x14ac:dyDescent="0.25">
      <c r="A1170" t="s">
        <v>34462</v>
      </c>
      <c r="B1170" t="s">
        <v>5835</v>
      </c>
      <c r="C1170" t="s">
        <v>5837</v>
      </c>
      <c r="D1170">
        <v>32</v>
      </c>
      <c r="E1170">
        <v>32</v>
      </c>
      <c r="F1170">
        <v>241937</v>
      </c>
      <c r="G1170">
        <v>1009232</v>
      </c>
      <c r="H1170">
        <v>29.22</v>
      </c>
      <c r="I1170">
        <v>28.01</v>
      </c>
      <c r="J1170">
        <v>0</v>
      </c>
      <c r="K1170">
        <v>1</v>
      </c>
      <c r="L1170">
        <v>2</v>
      </c>
      <c r="M1170">
        <v>1</v>
      </c>
      <c r="N1170">
        <v>5</v>
      </c>
      <c r="O1170">
        <v>0</v>
      </c>
      <c r="P1170">
        <v>3</v>
      </c>
      <c r="Q1170">
        <v>12</v>
      </c>
      <c r="R1170">
        <v>33</v>
      </c>
      <c r="S1170" t="s">
        <v>36379</v>
      </c>
      <c r="U1170">
        <v>0.50044874000000006</v>
      </c>
      <c r="V1170">
        <v>4.6100000000000003</v>
      </c>
      <c r="W1170">
        <v>5.44</v>
      </c>
      <c r="X1170" t="s">
        <v>5834</v>
      </c>
      <c r="AA1170" t="s">
        <v>5833</v>
      </c>
      <c r="AB1170" t="s">
        <v>37058</v>
      </c>
      <c r="AC1170" t="s">
        <v>34465</v>
      </c>
      <c r="AD1170" t="s">
        <v>11496</v>
      </c>
      <c r="AE1170" t="s">
        <v>34835</v>
      </c>
      <c r="AF1170" t="s">
        <v>37059</v>
      </c>
      <c r="AG1170" t="s">
        <v>36381</v>
      </c>
    </row>
    <row r="1171" spans="1:33" x14ac:dyDescent="0.25">
      <c r="A1171" t="s">
        <v>34462</v>
      </c>
      <c r="B1171" t="s">
        <v>5839</v>
      </c>
      <c r="C1171" t="s">
        <v>5842</v>
      </c>
      <c r="D1171">
        <v>38.549999999999997</v>
      </c>
      <c r="H1171">
        <v>38.549999999999997</v>
      </c>
      <c r="I1171">
        <v>31.24</v>
      </c>
      <c r="J1171">
        <v>0.91</v>
      </c>
      <c r="K1171">
        <v>1</v>
      </c>
      <c r="L1171">
        <v>1</v>
      </c>
      <c r="O1171">
        <v>0</v>
      </c>
      <c r="Q1171">
        <v>0</v>
      </c>
      <c r="R1171">
        <v>0</v>
      </c>
      <c r="U1171">
        <v>0.56217810000000001</v>
      </c>
      <c r="V1171">
        <v>4.67</v>
      </c>
      <c r="X1171" t="s">
        <v>5838</v>
      </c>
      <c r="AA1171" t="s">
        <v>5843</v>
      </c>
      <c r="AB1171" t="s">
        <v>37060</v>
      </c>
      <c r="AC1171" t="s">
        <v>34465</v>
      </c>
      <c r="AD1171" t="s">
        <v>11496</v>
      </c>
      <c r="AE1171" t="s">
        <v>34826</v>
      </c>
    </row>
    <row r="1172" spans="1:33" x14ac:dyDescent="0.25">
      <c r="A1172" t="s">
        <v>34462</v>
      </c>
      <c r="B1172" t="s">
        <v>5845</v>
      </c>
      <c r="C1172" t="s">
        <v>5847</v>
      </c>
      <c r="D1172">
        <v>25.99</v>
      </c>
      <c r="E1172">
        <v>25.99</v>
      </c>
      <c r="H1172">
        <v>26.51</v>
      </c>
      <c r="I1172">
        <v>27.01</v>
      </c>
      <c r="J1172">
        <v>0</v>
      </c>
      <c r="K1172">
        <v>1</v>
      </c>
      <c r="L1172">
        <v>1</v>
      </c>
      <c r="M1172">
        <v>1</v>
      </c>
      <c r="O1172">
        <v>0</v>
      </c>
      <c r="Q1172">
        <v>0</v>
      </c>
      <c r="R1172">
        <v>0</v>
      </c>
      <c r="U1172">
        <v>0.56217810000000001</v>
      </c>
      <c r="V1172">
        <v>4.67</v>
      </c>
      <c r="W1172">
        <v>4.42</v>
      </c>
      <c r="X1172" t="s">
        <v>5844</v>
      </c>
      <c r="AB1172" t="s">
        <v>37061</v>
      </c>
      <c r="AC1172" t="s">
        <v>34465</v>
      </c>
      <c r="AD1172" t="s">
        <v>11496</v>
      </c>
      <c r="AF1172" t="s">
        <v>37062</v>
      </c>
      <c r="AG1172" t="s">
        <v>35921</v>
      </c>
    </row>
    <row r="1173" spans="1:33" x14ac:dyDescent="0.25">
      <c r="A1173" t="s">
        <v>34462</v>
      </c>
      <c r="B1173" t="s">
        <v>5849</v>
      </c>
      <c r="C1173" t="s">
        <v>5851</v>
      </c>
      <c r="D1173">
        <v>25.99</v>
      </c>
      <c r="E1173">
        <v>25.99</v>
      </c>
      <c r="H1173">
        <v>26.47</v>
      </c>
      <c r="I1173">
        <v>27.02</v>
      </c>
      <c r="J1173">
        <v>0</v>
      </c>
      <c r="K1173">
        <v>1</v>
      </c>
      <c r="L1173">
        <v>2</v>
      </c>
      <c r="M1173">
        <v>2</v>
      </c>
      <c r="O1173">
        <v>0</v>
      </c>
      <c r="Q1173">
        <v>0</v>
      </c>
      <c r="R1173">
        <v>0</v>
      </c>
      <c r="U1173">
        <v>0.56217810000000001</v>
      </c>
      <c r="V1173">
        <v>4.67</v>
      </c>
      <c r="W1173">
        <v>4.42</v>
      </c>
      <c r="X1173" t="s">
        <v>5848</v>
      </c>
      <c r="AA1173" t="s">
        <v>410</v>
      </c>
      <c r="AB1173" t="s">
        <v>37063</v>
      </c>
      <c r="AC1173" t="s">
        <v>34465</v>
      </c>
      <c r="AD1173" t="s">
        <v>11496</v>
      </c>
      <c r="AF1173" t="s">
        <v>37062</v>
      </c>
      <c r="AG1173" t="s">
        <v>35921</v>
      </c>
    </row>
    <row r="1174" spans="1:33" x14ac:dyDescent="0.25">
      <c r="A1174" t="s">
        <v>34462</v>
      </c>
      <c r="B1174" t="s">
        <v>5853</v>
      </c>
      <c r="C1174" t="s">
        <v>5855</v>
      </c>
      <c r="D1174">
        <v>38.549999999999997</v>
      </c>
      <c r="H1174">
        <v>38.549999999999997</v>
      </c>
      <c r="I1174">
        <v>31.08</v>
      </c>
      <c r="J1174">
        <v>0.91</v>
      </c>
      <c r="K1174">
        <v>1</v>
      </c>
      <c r="L1174">
        <v>1</v>
      </c>
      <c r="O1174">
        <v>0</v>
      </c>
      <c r="Q1174">
        <v>0</v>
      </c>
      <c r="R1174">
        <v>0</v>
      </c>
      <c r="U1174">
        <v>0.56217810000000001</v>
      </c>
      <c r="V1174">
        <v>4.67</v>
      </c>
      <c r="X1174" t="s">
        <v>5852</v>
      </c>
      <c r="AA1174" t="s">
        <v>5843</v>
      </c>
      <c r="AB1174" t="s">
        <v>37064</v>
      </c>
      <c r="AC1174" t="s">
        <v>34465</v>
      </c>
      <c r="AD1174" t="s">
        <v>11496</v>
      </c>
      <c r="AE1174" t="s">
        <v>34512</v>
      </c>
      <c r="AF1174" t="s">
        <v>37062</v>
      </c>
    </row>
    <row r="1175" spans="1:33" x14ac:dyDescent="0.25">
      <c r="A1175" t="s">
        <v>34462</v>
      </c>
      <c r="B1175" t="s">
        <v>5857</v>
      </c>
      <c r="C1175" t="s">
        <v>5859</v>
      </c>
      <c r="D1175">
        <v>38.549999999999997</v>
      </c>
      <c r="H1175">
        <v>38.549999999999997</v>
      </c>
      <c r="I1175">
        <v>31.2</v>
      </c>
      <c r="J1175">
        <v>0.9</v>
      </c>
      <c r="K1175">
        <v>1</v>
      </c>
      <c r="L1175">
        <v>1</v>
      </c>
      <c r="O1175">
        <v>0</v>
      </c>
      <c r="Q1175">
        <v>0</v>
      </c>
      <c r="R1175">
        <v>0</v>
      </c>
      <c r="U1175">
        <v>0.56217810000000001</v>
      </c>
      <c r="V1175">
        <v>4.67</v>
      </c>
      <c r="X1175" t="s">
        <v>5856</v>
      </c>
      <c r="AA1175" t="s">
        <v>5843</v>
      </c>
      <c r="AB1175" t="s">
        <v>37065</v>
      </c>
      <c r="AC1175" t="s">
        <v>34465</v>
      </c>
      <c r="AD1175" t="s">
        <v>11496</v>
      </c>
      <c r="AE1175" t="s">
        <v>34832</v>
      </c>
    </row>
    <row r="1176" spans="1:33" x14ac:dyDescent="0.25">
      <c r="A1176" t="s">
        <v>34462</v>
      </c>
      <c r="B1176" t="s">
        <v>5861</v>
      </c>
      <c r="C1176" t="s">
        <v>5863</v>
      </c>
      <c r="D1176">
        <v>32.47</v>
      </c>
      <c r="I1176">
        <v>32.47</v>
      </c>
      <c r="J1176">
        <v>0.91</v>
      </c>
      <c r="K1176">
        <v>1</v>
      </c>
      <c r="L1176">
        <v>1</v>
      </c>
      <c r="O1176">
        <v>0</v>
      </c>
      <c r="Q1176">
        <v>0</v>
      </c>
      <c r="R1176">
        <v>0</v>
      </c>
      <c r="U1176">
        <v>0.56217810000000001</v>
      </c>
      <c r="V1176">
        <v>4.67</v>
      </c>
      <c r="X1176" t="s">
        <v>5860</v>
      </c>
      <c r="AA1176" t="s">
        <v>5843</v>
      </c>
      <c r="AB1176" t="s">
        <v>37066</v>
      </c>
      <c r="AC1176" t="s">
        <v>34465</v>
      </c>
      <c r="AD1176" t="s">
        <v>11496</v>
      </c>
      <c r="AE1176" t="s">
        <v>34835</v>
      </c>
    </row>
    <row r="1177" spans="1:33" x14ac:dyDescent="0.25">
      <c r="A1177" t="s">
        <v>34462</v>
      </c>
      <c r="B1177" t="s">
        <v>5865</v>
      </c>
      <c r="C1177" t="s">
        <v>5868</v>
      </c>
      <c r="D1177">
        <v>44</v>
      </c>
      <c r="E1177">
        <v>44</v>
      </c>
      <c r="H1177">
        <v>51.35</v>
      </c>
      <c r="I1177">
        <v>51.35</v>
      </c>
      <c r="J1177">
        <v>0</v>
      </c>
      <c r="K1177">
        <v>1</v>
      </c>
      <c r="L1177">
        <v>1</v>
      </c>
      <c r="M1177">
        <v>1</v>
      </c>
      <c r="Q1177">
        <v>-1</v>
      </c>
      <c r="R1177">
        <v>-1</v>
      </c>
      <c r="U1177">
        <v>2.46035592</v>
      </c>
      <c r="V1177">
        <v>8.1999999999999993</v>
      </c>
      <c r="W1177">
        <v>7.48</v>
      </c>
      <c r="X1177" t="s">
        <v>5864</v>
      </c>
      <c r="Y1177" t="s">
        <v>37067</v>
      </c>
      <c r="AA1177" t="s">
        <v>1747</v>
      </c>
      <c r="AB1177" t="s">
        <v>37068</v>
      </c>
      <c r="AC1177" t="s">
        <v>34465</v>
      </c>
      <c r="AD1177" t="s">
        <v>34870</v>
      </c>
      <c r="AE1177" t="s">
        <v>8427</v>
      </c>
      <c r="AF1177" t="s">
        <v>37069</v>
      </c>
      <c r="AG1177" t="s">
        <v>37070</v>
      </c>
    </row>
    <row r="1178" spans="1:33" x14ac:dyDescent="0.25">
      <c r="A1178" t="s">
        <v>34462</v>
      </c>
      <c r="B1178" t="s">
        <v>5870</v>
      </c>
      <c r="C1178" t="s">
        <v>5868</v>
      </c>
      <c r="D1178">
        <v>44</v>
      </c>
      <c r="E1178">
        <v>44</v>
      </c>
      <c r="H1178">
        <v>51.51</v>
      </c>
      <c r="I1178">
        <v>51.51</v>
      </c>
      <c r="J1178">
        <v>0</v>
      </c>
      <c r="K1178">
        <v>1</v>
      </c>
      <c r="L1178">
        <v>1</v>
      </c>
      <c r="M1178">
        <v>1</v>
      </c>
      <c r="Q1178">
        <v>-1</v>
      </c>
      <c r="R1178">
        <v>-1</v>
      </c>
      <c r="U1178">
        <v>2.46035592</v>
      </c>
      <c r="V1178">
        <v>8.1999999999999993</v>
      </c>
      <c r="W1178">
        <v>7.48</v>
      </c>
      <c r="X1178" t="s">
        <v>5869</v>
      </c>
      <c r="Y1178" t="s">
        <v>37071</v>
      </c>
      <c r="AA1178" t="s">
        <v>1747</v>
      </c>
      <c r="AB1178" t="s">
        <v>37072</v>
      </c>
      <c r="AC1178" t="s">
        <v>34465</v>
      </c>
      <c r="AD1178" t="s">
        <v>34870</v>
      </c>
      <c r="AE1178" t="s">
        <v>8439</v>
      </c>
      <c r="AF1178" t="s">
        <v>37073</v>
      </c>
      <c r="AG1178" t="s">
        <v>37070</v>
      </c>
    </row>
    <row r="1179" spans="1:33" x14ac:dyDescent="0.25">
      <c r="A1179" t="s">
        <v>34462</v>
      </c>
      <c r="B1179" t="s">
        <v>5873</v>
      </c>
      <c r="C1179" t="s">
        <v>5868</v>
      </c>
      <c r="D1179">
        <v>44</v>
      </c>
      <c r="E1179">
        <v>44</v>
      </c>
      <c r="H1179">
        <v>50.76</v>
      </c>
      <c r="I1179">
        <v>50.76</v>
      </c>
      <c r="J1179">
        <v>0</v>
      </c>
      <c r="K1179">
        <v>1</v>
      </c>
      <c r="L1179">
        <v>2</v>
      </c>
      <c r="M1179">
        <v>1</v>
      </c>
      <c r="Q1179">
        <v>-1</v>
      </c>
      <c r="R1179">
        <v>-1</v>
      </c>
      <c r="U1179">
        <v>2.46035592</v>
      </c>
      <c r="V1179">
        <v>8.1999999999999993</v>
      </c>
      <c r="W1179">
        <v>7.48</v>
      </c>
      <c r="X1179" t="s">
        <v>5872</v>
      </c>
      <c r="Y1179" t="s">
        <v>37074</v>
      </c>
      <c r="AA1179" t="s">
        <v>1747</v>
      </c>
      <c r="AB1179" t="s">
        <v>37075</v>
      </c>
      <c r="AC1179" t="s">
        <v>34465</v>
      </c>
      <c r="AD1179" t="s">
        <v>34870</v>
      </c>
      <c r="AE1179" t="s">
        <v>8451</v>
      </c>
      <c r="AF1179" t="s">
        <v>37069</v>
      </c>
      <c r="AG1179" t="s">
        <v>37070</v>
      </c>
    </row>
    <row r="1180" spans="1:33" x14ac:dyDescent="0.25">
      <c r="A1180" t="s">
        <v>34462</v>
      </c>
      <c r="B1180" t="s">
        <v>5876</v>
      </c>
      <c r="C1180" t="s">
        <v>5879</v>
      </c>
      <c r="D1180">
        <v>22.4</v>
      </c>
      <c r="E1180">
        <v>22.4</v>
      </c>
      <c r="G1180">
        <v>46974</v>
      </c>
      <c r="H1180">
        <v>22.47</v>
      </c>
      <c r="I1180">
        <v>28.51</v>
      </c>
      <c r="J1180">
        <v>0</v>
      </c>
      <c r="K1180">
        <v>1</v>
      </c>
      <c r="L1180">
        <v>3</v>
      </c>
      <c r="M1180">
        <v>3</v>
      </c>
      <c r="N1180">
        <v>4.8</v>
      </c>
      <c r="O1180">
        <v>0</v>
      </c>
      <c r="P1180">
        <v>562</v>
      </c>
      <c r="Q1180">
        <v>0</v>
      </c>
      <c r="R1180">
        <v>75</v>
      </c>
      <c r="S1180" t="s">
        <v>35922</v>
      </c>
      <c r="U1180">
        <v>0.39903622</v>
      </c>
      <c r="V1180">
        <v>3.35</v>
      </c>
      <c r="W1180">
        <v>3.81</v>
      </c>
      <c r="X1180" t="s">
        <v>5875</v>
      </c>
      <c r="Z1180" t="s">
        <v>4680</v>
      </c>
      <c r="AA1180" t="s">
        <v>5880</v>
      </c>
      <c r="AB1180" t="s">
        <v>37076</v>
      </c>
      <c r="AC1180" t="s">
        <v>34465</v>
      </c>
      <c r="AD1180" t="s">
        <v>11496</v>
      </c>
      <c r="AE1180" t="s">
        <v>34826</v>
      </c>
      <c r="AF1180" t="s">
        <v>37077</v>
      </c>
      <c r="AG1180" t="s">
        <v>37078</v>
      </c>
    </row>
    <row r="1181" spans="1:33" x14ac:dyDescent="0.25">
      <c r="A1181" t="s">
        <v>34462</v>
      </c>
      <c r="B1181" t="s">
        <v>5882</v>
      </c>
      <c r="C1181" t="s">
        <v>5884</v>
      </c>
      <c r="D1181">
        <v>23.17</v>
      </c>
      <c r="E1181">
        <v>23.17</v>
      </c>
      <c r="F1181">
        <v>53837</v>
      </c>
      <c r="G1181">
        <v>504127</v>
      </c>
      <c r="H1181">
        <v>19.739999999999998</v>
      </c>
      <c r="I1181">
        <v>17.25</v>
      </c>
      <c r="J1181">
        <v>0</v>
      </c>
      <c r="K1181">
        <v>1</v>
      </c>
      <c r="L1181">
        <v>10</v>
      </c>
      <c r="M1181">
        <v>7</v>
      </c>
      <c r="N1181">
        <v>4.8</v>
      </c>
      <c r="O1181">
        <v>0</v>
      </c>
      <c r="P1181">
        <v>569</v>
      </c>
      <c r="Q1181">
        <v>4</v>
      </c>
      <c r="R1181">
        <v>67</v>
      </c>
      <c r="S1181" t="s">
        <v>35922</v>
      </c>
      <c r="U1181">
        <v>0.39903622</v>
      </c>
      <c r="V1181">
        <v>3.35</v>
      </c>
      <c r="W1181">
        <v>3.94</v>
      </c>
      <c r="X1181" t="s">
        <v>5881</v>
      </c>
      <c r="Z1181" t="s">
        <v>4680</v>
      </c>
      <c r="AA1181" t="s">
        <v>5880</v>
      </c>
      <c r="AB1181" t="s">
        <v>37079</v>
      </c>
      <c r="AC1181" t="s">
        <v>34465</v>
      </c>
      <c r="AD1181" t="s">
        <v>11496</v>
      </c>
      <c r="AE1181" t="s">
        <v>34506</v>
      </c>
      <c r="AF1181" t="s">
        <v>37077</v>
      </c>
      <c r="AG1181" t="s">
        <v>37078</v>
      </c>
    </row>
    <row r="1182" spans="1:33" x14ac:dyDescent="0.25">
      <c r="A1182" t="s">
        <v>34462</v>
      </c>
      <c r="B1182" t="s">
        <v>5886</v>
      </c>
      <c r="C1182" t="s">
        <v>5888</v>
      </c>
      <c r="D1182">
        <v>14.8</v>
      </c>
      <c r="E1182">
        <v>14.8</v>
      </c>
      <c r="F1182">
        <v>71394</v>
      </c>
      <c r="G1182">
        <v>367191</v>
      </c>
      <c r="H1182">
        <v>14.16</v>
      </c>
      <c r="I1182">
        <v>16.23</v>
      </c>
      <c r="J1182">
        <v>0</v>
      </c>
      <c r="K1182">
        <v>1</v>
      </c>
      <c r="L1182">
        <v>30</v>
      </c>
      <c r="M1182">
        <v>23</v>
      </c>
      <c r="N1182">
        <v>4.8</v>
      </c>
      <c r="O1182">
        <v>1</v>
      </c>
      <c r="P1182">
        <v>569</v>
      </c>
      <c r="Q1182">
        <v>13</v>
      </c>
      <c r="R1182">
        <v>89</v>
      </c>
      <c r="S1182" t="s">
        <v>35922</v>
      </c>
      <c r="U1182">
        <v>0.39903622</v>
      </c>
      <c r="V1182">
        <v>3.35</v>
      </c>
      <c r="W1182">
        <v>1.48</v>
      </c>
      <c r="X1182" t="s">
        <v>5885</v>
      </c>
      <c r="Z1182" t="s">
        <v>1452</v>
      </c>
      <c r="AA1182" t="s">
        <v>5880</v>
      </c>
      <c r="AB1182" t="s">
        <v>37080</v>
      </c>
      <c r="AC1182" t="s">
        <v>34465</v>
      </c>
      <c r="AD1182" t="s">
        <v>11496</v>
      </c>
      <c r="AE1182" t="s">
        <v>34512</v>
      </c>
      <c r="AF1182" t="s">
        <v>37077</v>
      </c>
      <c r="AG1182" t="s">
        <v>35921</v>
      </c>
    </row>
    <row r="1183" spans="1:33" x14ac:dyDescent="0.25">
      <c r="A1183" t="s">
        <v>34462</v>
      </c>
      <c r="B1183" t="s">
        <v>5890</v>
      </c>
      <c r="C1183" t="s">
        <v>5892</v>
      </c>
      <c r="D1183">
        <v>24.99</v>
      </c>
      <c r="E1183">
        <v>24.99</v>
      </c>
      <c r="F1183">
        <v>53837</v>
      </c>
      <c r="G1183">
        <v>124065</v>
      </c>
      <c r="H1183">
        <v>18.899999999999999</v>
      </c>
      <c r="I1183">
        <v>19.420000000000002</v>
      </c>
      <c r="J1183">
        <v>0</v>
      </c>
      <c r="K1183">
        <v>1</v>
      </c>
      <c r="L1183">
        <v>12</v>
      </c>
      <c r="M1183">
        <v>10</v>
      </c>
      <c r="N1183">
        <v>4.8</v>
      </c>
      <c r="O1183">
        <v>0</v>
      </c>
      <c r="P1183">
        <v>569</v>
      </c>
      <c r="Q1183">
        <v>13</v>
      </c>
      <c r="R1183">
        <v>69</v>
      </c>
      <c r="S1183" t="s">
        <v>35922</v>
      </c>
      <c r="U1183">
        <v>0.39903622</v>
      </c>
      <c r="V1183">
        <v>3.35</v>
      </c>
      <c r="W1183">
        <v>4.25</v>
      </c>
      <c r="X1183" t="s">
        <v>5889</v>
      </c>
      <c r="Z1183" t="s">
        <v>1452</v>
      </c>
      <c r="AA1183" t="s">
        <v>5880</v>
      </c>
      <c r="AB1183" t="s">
        <v>37081</v>
      </c>
      <c r="AC1183" t="s">
        <v>34465</v>
      </c>
      <c r="AD1183" t="s">
        <v>11496</v>
      </c>
      <c r="AE1183" t="s">
        <v>34832</v>
      </c>
      <c r="AF1183" t="s">
        <v>37077</v>
      </c>
    </row>
    <row r="1184" spans="1:33" x14ac:dyDescent="0.25">
      <c r="A1184" t="s">
        <v>34462</v>
      </c>
      <c r="B1184" t="s">
        <v>5894</v>
      </c>
      <c r="C1184" t="s">
        <v>5896</v>
      </c>
      <c r="D1184">
        <v>20.82</v>
      </c>
      <c r="E1184">
        <v>20.56</v>
      </c>
      <c r="F1184">
        <v>70317</v>
      </c>
      <c r="G1184">
        <v>476941</v>
      </c>
      <c r="H1184">
        <v>20.56</v>
      </c>
      <c r="I1184">
        <v>20.54</v>
      </c>
      <c r="J1184">
        <v>0</v>
      </c>
      <c r="K1184">
        <v>1</v>
      </c>
      <c r="L1184">
        <v>14</v>
      </c>
      <c r="M1184">
        <v>13</v>
      </c>
      <c r="N1184">
        <v>4.8</v>
      </c>
      <c r="O1184">
        <v>0</v>
      </c>
      <c r="P1184">
        <v>569</v>
      </c>
      <c r="Q1184">
        <v>16</v>
      </c>
      <c r="R1184">
        <v>88</v>
      </c>
      <c r="S1184" t="s">
        <v>35922</v>
      </c>
      <c r="U1184">
        <v>0.39903622</v>
      </c>
      <c r="V1184">
        <v>3.35</v>
      </c>
      <c r="W1184">
        <v>3.54</v>
      </c>
      <c r="X1184" t="s">
        <v>5893</v>
      </c>
      <c r="Z1184" t="s">
        <v>1452</v>
      </c>
      <c r="AA1184" t="s">
        <v>5880</v>
      </c>
      <c r="AB1184" t="s">
        <v>37082</v>
      </c>
      <c r="AC1184" t="s">
        <v>34465</v>
      </c>
      <c r="AD1184" t="s">
        <v>11496</v>
      </c>
      <c r="AE1184" t="s">
        <v>34835</v>
      </c>
      <c r="AF1184" t="s">
        <v>37083</v>
      </c>
    </row>
    <row r="1185" spans="1:33" x14ac:dyDescent="0.25">
      <c r="A1185" t="s">
        <v>34462</v>
      </c>
      <c r="B1185" t="s">
        <v>5898</v>
      </c>
      <c r="C1185" t="s">
        <v>5901</v>
      </c>
      <c r="D1185">
        <v>40.380000000000003</v>
      </c>
      <c r="E1185">
        <v>40.380000000000003</v>
      </c>
      <c r="F1185">
        <v>2298934</v>
      </c>
      <c r="G1185">
        <v>2179860</v>
      </c>
      <c r="H1185">
        <v>91.57</v>
      </c>
      <c r="I1185">
        <v>92.13</v>
      </c>
      <c r="J1185">
        <v>0.06</v>
      </c>
      <c r="K1185">
        <v>1</v>
      </c>
      <c r="L1185">
        <v>3</v>
      </c>
      <c r="M1185">
        <v>2</v>
      </c>
      <c r="N1185">
        <v>4</v>
      </c>
      <c r="O1185">
        <v>1</v>
      </c>
      <c r="P1185">
        <v>16</v>
      </c>
      <c r="Q1185">
        <v>1</v>
      </c>
      <c r="R1185">
        <v>1</v>
      </c>
      <c r="S1185" t="s">
        <v>37084</v>
      </c>
      <c r="U1185">
        <v>1.7592867599999999</v>
      </c>
      <c r="V1185">
        <v>7.08</v>
      </c>
      <c r="X1185" t="s">
        <v>5897</v>
      </c>
      <c r="Y1185" t="s">
        <v>37085</v>
      </c>
      <c r="Z1185" t="s">
        <v>5902</v>
      </c>
      <c r="AA1185" t="s">
        <v>3567</v>
      </c>
      <c r="AB1185" t="s">
        <v>37086</v>
      </c>
      <c r="AC1185" t="s">
        <v>34465</v>
      </c>
      <c r="AD1185" t="s">
        <v>8301</v>
      </c>
      <c r="AE1185" t="s">
        <v>576</v>
      </c>
      <c r="AF1185" t="s">
        <v>37087</v>
      </c>
      <c r="AG1185" t="s">
        <v>37088</v>
      </c>
    </row>
    <row r="1186" spans="1:33" x14ac:dyDescent="0.25">
      <c r="A1186" t="s">
        <v>34462</v>
      </c>
      <c r="B1186" t="s">
        <v>5904</v>
      </c>
      <c r="C1186" t="s">
        <v>5906</v>
      </c>
      <c r="D1186">
        <v>48.33</v>
      </c>
      <c r="E1186">
        <v>40.380000000000003</v>
      </c>
      <c r="F1186">
        <v>2309980</v>
      </c>
      <c r="G1186">
        <v>2141638</v>
      </c>
      <c r="H1186">
        <v>86.48</v>
      </c>
      <c r="I1186">
        <v>86.85</v>
      </c>
      <c r="J1186">
        <v>0.06</v>
      </c>
      <c r="K1186">
        <v>1</v>
      </c>
      <c r="L1186">
        <v>3</v>
      </c>
      <c r="M1186">
        <v>2</v>
      </c>
      <c r="N1186">
        <v>4</v>
      </c>
      <c r="O1186">
        <v>0</v>
      </c>
      <c r="P1186">
        <v>16</v>
      </c>
      <c r="Q1186">
        <v>0</v>
      </c>
      <c r="R1186">
        <v>0</v>
      </c>
      <c r="S1186" t="s">
        <v>37084</v>
      </c>
      <c r="U1186">
        <v>1.8298346000000001</v>
      </c>
      <c r="V1186">
        <v>7.08</v>
      </c>
      <c r="W1186">
        <v>7.25</v>
      </c>
      <c r="X1186" t="s">
        <v>5903</v>
      </c>
      <c r="Y1186" t="s">
        <v>37085</v>
      </c>
      <c r="Z1186" t="s">
        <v>5902</v>
      </c>
      <c r="AA1186" t="s">
        <v>3567</v>
      </c>
      <c r="AB1186" t="s">
        <v>37089</v>
      </c>
      <c r="AC1186" t="s">
        <v>34465</v>
      </c>
      <c r="AD1186" t="s">
        <v>8301</v>
      </c>
      <c r="AE1186" t="s">
        <v>282</v>
      </c>
      <c r="AF1186" t="s">
        <v>37087</v>
      </c>
      <c r="AG1186" t="s">
        <v>37088</v>
      </c>
    </row>
    <row r="1187" spans="1:33" x14ac:dyDescent="0.25">
      <c r="A1187" t="s">
        <v>34462</v>
      </c>
      <c r="B1187" t="s">
        <v>5908</v>
      </c>
      <c r="C1187" t="s">
        <v>5911</v>
      </c>
      <c r="D1187">
        <v>134.99</v>
      </c>
      <c r="E1187">
        <v>134.99</v>
      </c>
      <c r="F1187">
        <v>426598</v>
      </c>
      <c r="G1187">
        <v>333214</v>
      </c>
      <c r="H1187">
        <v>107.96</v>
      </c>
      <c r="I1187">
        <v>117.09</v>
      </c>
      <c r="J1187">
        <v>0</v>
      </c>
      <c r="K1187">
        <v>0</v>
      </c>
      <c r="L1187">
        <v>3</v>
      </c>
      <c r="M1187">
        <v>2</v>
      </c>
      <c r="N1187">
        <v>4</v>
      </c>
      <c r="O1187">
        <v>0</v>
      </c>
      <c r="P1187">
        <v>18</v>
      </c>
      <c r="Q1187">
        <v>38</v>
      </c>
      <c r="R1187">
        <v>128</v>
      </c>
      <c r="S1187" t="s">
        <v>37090</v>
      </c>
      <c r="U1187">
        <v>2.0899797599999999</v>
      </c>
      <c r="V1187">
        <v>13.03</v>
      </c>
      <c r="W1187">
        <v>22.95</v>
      </c>
      <c r="X1187" t="s">
        <v>5907</v>
      </c>
      <c r="Y1187" t="s">
        <v>5912</v>
      </c>
      <c r="Z1187" t="s">
        <v>5912</v>
      </c>
      <c r="AA1187" t="s">
        <v>5913</v>
      </c>
      <c r="AB1187" t="s">
        <v>37091</v>
      </c>
      <c r="AC1187" t="s">
        <v>34493</v>
      </c>
      <c r="AD1187" t="s">
        <v>9232</v>
      </c>
      <c r="AE1187" t="s">
        <v>34533</v>
      </c>
      <c r="AF1187" t="s">
        <v>37092</v>
      </c>
      <c r="AG1187" t="s">
        <v>37093</v>
      </c>
    </row>
    <row r="1188" spans="1:33" x14ac:dyDescent="0.25">
      <c r="A1188" t="s">
        <v>34462</v>
      </c>
      <c r="B1188" t="s">
        <v>5915</v>
      </c>
      <c r="C1188" t="s">
        <v>5917</v>
      </c>
      <c r="D1188">
        <v>108.99</v>
      </c>
      <c r="E1188">
        <v>108.99</v>
      </c>
      <c r="F1188">
        <v>426598</v>
      </c>
      <c r="G1188">
        <v>321506</v>
      </c>
      <c r="H1188">
        <v>86.51</v>
      </c>
      <c r="I1188">
        <v>105.86</v>
      </c>
      <c r="J1188">
        <v>0</v>
      </c>
      <c r="K1188">
        <v>0</v>
      </c>
      <c r="L1188">
        <v>2</v>
      </c>
      <c r="M1188">
        <v>1</v>
      </c>
      <c r="N1188">
        <v>3.9</v>
      </c>
      <c r="O1188">
        <v>1</v>
      </c>
      <c r="P1188">
        <v>17</v>
      </c>
      <c r="Q1188">
        <v>21</v>
      </c>
      <c r="R1188">
        <v>47</v>
      </c>
      <c r="S1188" t="s">
        <v>37090</v>
      </c>
      <c r="U1188">
        <v>2.3589433999999998</v>
      </c>
      <c r="V1188">
        <v>12.65</v>
      </c>
      <c r="W1188">
        <v>18.53</v>
      </c>
      <c r="X1188" t="s">
        <v>5914</v>
      </c>
      <c r="Y1188" t="s">
        <v>5912</v>
      </c>
      <c r="Z1188" t="s">
        <v>5912</v>
      </c>
      <c r="AA1188" t="s">
        <v>5918</v>
      </c>
      <c r="AB1188" t="s">
        <v>37094</v>
      </c>
      <c r="AC1188" t="s">
        <v>34493</v>
      </c>
      <c r="AD1188" t="s">
        <v>9232</v>
      </c>
      <c r="AE1188" t="s">
        <v>34533</v>
      </c>
      <c r="AF1188" t="s">
        <v>37095</v>
      </c>
      <c r="AG1188" t="s">
        <v>37093</v>
      </c>
    </row>
    <row r="1189" spans="1:33" x14ac:dyDescent="0.25">
      <c r="A1189" t="s">
        <v>34462</v>
      </c>
      <c r="B1189" t="s">
        <v>5920</v>
      </c>
      <c r="C1189" t="s">
        <v>5922</v>
      </c>
      <c r="D1189">
        <v>84.5</v>
      </c>
      <c r="E1189">
        <v>84.5</v>
      </c>
      <c r="F1189">
        <v>402022</v>
      </c>
      <c r="G1189">
        <v>334223</v>
      </c>
      <c r="H1189">
        <v>109.48</v>
      </c>
      <c r="I1189">
        <v>119.74</v>
      </c>
      <c r="J1189">
        <v>0</v>
      </c>
      <c r="K1189">
        <v>0</v>
      </c>
      <c r="L1189">
        <v>5</v>
      </c>
      <c r="M1189">
        <v>5</v>
      </c>
      <c r="N1189">
        <v>4</v>
      </c>
      <c r="O1189">
        <v>0</v>
      </c>
      <c r="P1189">
        <v>18</v>
      </c>
      <c r="Q1189">
        <v>37</v>
      </c>
      <c r="R1189">
        <v>125</v>
      </c>
      <c r="S1189" t="s">
        <v>37090</v>
      </c>
      <c r="U1189">
        <v>2.1208444399999999</v>
      </c>
      <c r="V1189">
        <v>8.52</v>
      </c>
      <c r="W1189">
        <v>14.37</v>
      </c>
      <c r="X1189" t="s">
        <v>5919</v>
      </c>
      <c r="Y1189" t="s">
        <v>5912</v>
      </c>
      <c r="Z1189" t="s">
        <v>5912</v>
      </c>
      <c r="AA1189" t="s">
        <v>76</v>
      </c>
      <c r="AB1189" t="s">
        <v>37096</v>
      </c>
      <c r="AC1189" t="s">
        <v>34493</v>
      </c>
      <c r="AD1189" t="s">
        <v>9232</v>
      </c>
      <c r="AE1189" t="s">
        <v>34533</v>
      </c>
      <c r="AF1189" t="s">
        <v>37097</v>
      </c>
      <c r="AG1189" t="s">
        <v>37093</v>
      </c>
    </row>
    <row r="1190" spans="1:33" x14ac:dyDescent="0.25">
      <c r="A1190" t="s">
        <v>34462</v>
      </c>
      <c r="B1190" t="s">
        <v>5924</v>
      </c>
      <c r="C1190" t="s">
        <v>5926</v>
      </c>
      <c r="D1190">
        <v>124.06</v>
      </c>
      <c r="E1190">
        <v>116.07</v>
      </c>
      <c r="F1190">
        <v>402022</v>
      </c>
      <c r="G1190">
        <v>320250</v>
      </c>
      <c r="H1190">
        <v>125.29</v>
      </c>
      <c r="I1190">
        <v>130.15</v>
      </c>
      <c r="J1190">
        <v>0</v>
      </c>
      <c r="K1190">
        <v>0.86</v>
      </c>
      <c r="L1190">
        <v>2</v>
      </c>
      <c r="M1190">
        <v>1</v>
      </c>
      <c r="N1190">
        <v>3.9</v>
      </c>
      <c r="O1190">
        <v>0</v>
      </c>
      <c r="P1190">
        <v>17</v>
      </c>
      <c r="Q1190">
        <v>16</v>
      </c>
      <c r="R1190">
        <v>49</v>
      </c>
      <c r="S1190" t="s">
        <v>37090</v>
      </c>
      <c r="U1190">
        <v>2.5992469800000002</v>
      </c>
      <c r="V1190">
        <v>8.84</v>
      </c>
      <c r="W1190">
        <v>21.09</v>
      </c>
      <c r="X1190" t="s">
        <v>5923</v>
      </c>
      <c r="Y1190" t="s">
        <v>5912</v>
      </c>
      <c r="Z1190" t="s">
        <v>5912</v>
      </c>
      <c r="AA1190" t="s">
        <v>76</v>
      </c>
      <c r="AB1190" t="s">
        <v>37098</v>
      </c>
      <c r="AC1190" t="s">
        <v>34465</v>
      </c>
      <c r="AD1190" t="s">
        <v>9232</v>
      </c>
      <c r="AE1190" t="s">
        <v>34469</v>
      </c>
      <c r="AF1190" t="s">
        <v>37097</v>
      </c>
      <c r="AG1190" t="s">
        <v>37093</v>
      </c>
    </row>
    <row r="1191" spans="1:33" x14ac:dyDescent="0.25">
      <c r="A1191" t="s">
        <v>34462</v>
      </c>
      <c r="B1191" t="s">
        <v>5928</v>
      </c>
      <c r="C1191" t="s">
        <v>5931</v>
      </c>
      <c r="D1191">
        <v>30.45</v>
      </c>
      <c r="E1191">
        <v>30.45</v>
      </c>
      <c r="F1191">
        <v>84745</v>
      </c>
      <c r="G1191">
        <v>174211</v>
      </c>
      <c r="H1191">
        <v>34.04</v>
      </c>
      <c r="I1191">
        <v>34.4</v>
      </c>
      <c r="J1191">
        <v>0</v>
      </c>
      <c r="K1191">
        <v>0</v>
      </c>
      <c r="L1191">
        <v>7</v>
      </c>
      <c r="M1191">
        <v>8</v>
      </c>
      <c r="N1191">
        <v>4.0999999999999996</v>
      </c>
      <c r="O1191">
        <v>1</v>
      </c>
      <c r="P1191">
        <v>18</v>
      </c>
      <c r="Q1191">
        <v>31</v>
      </c>
      <c r="R1191">
        <v>76</v>
      </c>
      <c r="S1191" t="s">
        <v>37099</v>
      </c>
      <c r="U1191">
        <v>0.22046199999999999</v>
      </c>
      <c r="V1191">
        <v>4.6100000000000003</v>
      </c>
      <c r="W1191">
        <v>5.18</v>
      </c>
      <c r="X1191" t="s">
        <v>5927</v>
      </c>
      <c r="Y1191" t="s">
        <v>5932</v>
      </c>
      <c r="Z1191" t="s">
        <v>5932</v>
      </c>
      <c r="AA1191" t="s">
        <v>5933</v>
      </c>
      <c r="AB1191" t="s">
        <v>37100</v>
      </c>
      <c r="AC1191" t="s">
        <v>34493</v>
      </c>
      <c r="AD1191" t="s">
        <v>8078</v>
      </c>
      <c r="AE1191" t="s">
        <v>34533</v>
      </c>
      <c r="AF1191" t="s">
        <v>37101</v>
      </c>
      <c r="AG1191" t="s">
        <v>37102</v>
      </c>
    </row>
    <row r="1192" spans="1:33" x14ac:dyDescent="0.25">
      <c r="A1192" t="s">
        <v>34462</v>
      </c>
      <c r="B1192" t="s">
        <v>5935</v>
      </c>
      <c r="C1192" t="s">
        <v>5938</v>
      </c>
      <c r="D1192">
        <v>20.99</v>
      </c>
      <c r="E1192">
        <v>20.99</v>
      </c>
      <c r="F1192">
        <v>2100036</v>
      </c>
      <c r="G1192">
        <v>979802</v>
      </c>
      <c r="H1192">
        <v>32.67</v>
      </c>
      <c r="I1192">
        <v>43.53</v>
      </c>
      <c r="J1192">
        <v>0</v>
      </c>
      <c r="K1192">
        <v>1</v>
      </c>
      <c r="L1192">
        <v>3</v>
      </c>
      <c r="M1192">
        <v>3</v>
      </c>
      <c r="N1192">
        <v>3.5</v>
      </c>
      <c r="O1192">
        <v>0</v>
      </c>
      <c r="P1192">
        <v>2</v>
      </c>
      <c r="Q1192">
        <v>2</v>
      </c>
      <c r="R1192">
        <v>23</v>
      </c>
      <c r="S1192" t="s">
        <v>36917</v>
      </c>
      <c r="U1192">
        <v>1.6997620200000001</v>
      </c>
      <c r="V1192">
        <v>7.32</v>
      </c>
      <c r="W1192">
        <v>3.15</v>
      </c>
      <c r="X1192" t="s">
        <v>5934</v>
      </c>
      <c r="Y1192" t="s">
        <v>36918</v>
      </c>
      <c r="Z1192" t="s">
        <v>5939</v>
      </c>
      <c r="AA1192" t="s">
        <v>76</v>
      </c>
      <c r="AB1192" t="s">
        <v>37103</v>
      </c>
      <c r="AC1192" t="s">
        <v>34465</v>
      </c>
      <c r="AD1192" t="s">
        <v>17415</v>
      </c>
      <c r="AE1192" t="s">
        <v>34586</v>
      </c>
      <c r="AF1192" t="s">
        <v>36921</v>
      </c>
      <c r="AG1192" t="s">
        <v>36922</v>
      </c>
    </row>
    <row r="1193" spans="1:33" x14ac:dyDescent="0.25">
      <c r="A1193" t="s">
        <v>34462</v>
      </c>
      <c r="B1193" t="s">
        <v>5941</v>
      </c>
      <c r="C1193" t="s">
        <v>5943</v>
      </c>
      <c r="D1193">
        <v>20.99</v>
      </c>
      <c r="E1193">
        <v>20.99</v>
      </c>
      <c r="F1193">
        <v>2100036</v>
      </c>
      <c r="G1193">
        <v>979885</v>
      </c>
      <c r="H1193">
        <v>38.19</v>
      </c>
      <c r="I1193">
        <v>43.8</v>
      </c>
      <c r="J1193">
        <v>0</v>
      </c>
      <c r="K1193">
        <v>1</v>
      </c>
      <c r="L1193">
        <v>3</v>
      </c>
      <c r="M1193">
        <v>3</v>
      </c>
      <c r="N1193">
        <v>3.5</v>
      </c>
      <c r="O1193">
        <v>0</v>
      </c>
      <c r="P1193">
        <v>2</v>
      </c>
      <c r="Q1193">
        <v>2</v>
      </c>
      <c r="R1193">
        <v>18</v>
      </c>
      <c r="S1193" t="s">
        <v>36917</v>
      </c>
      <c r="U1193">
        <v>1.8099930200000001</v>
      </c>
      <c r="V1193">
        <v>7.32</v>
      </c>
      <c r="W1193">
        <v>3.15</v>
      </c>
      <c r="X1193" t="s">
        <v>5940</v>
      </c>
      <c r="Y1193" t="s">
        <v>36918</v>
      </c>
      <c r="Z1193" t="s">
        <v>5939</v>
      </c>
      <c r="AA1193" t="s">
        <v>76</v>
      </c>
      <c r="AB1193" t="s">
        <v>37104</v>
      </c>
      <c r="AC1193" t="s">
        <v>34465</v>
      </c>
      <c r="AD1193" t="s">
        <v>17415</v>
      </c>
      <c r="AE1193" t="s">
        <v>34589</v>
      </c>
      <c r="AF1193" t="s">
        <v>36921</v>
      </c>
      <c r="AG1193" t="s">
        <v>36922</v>
      </c>
    </row>
    <row r="1194" spans="1:33" x14ac:dyDescent="0.25">
      <c r="A1194" t="s">
        <v>34462</v>
      </c>
      <c r="B1194" t="s">
        <v>5945</v>
      </c>
      <c r="C1194" t="s">
        <v>5947</v>
      </c>
      <c r="D1194">
        <v>20.99</v>
      </c>
      <c r="E1194">
        <v>20.99</v>
      </c>
      <c r="F1194">
        <v>2085268</v>
      </c>
      <c r="G1194">
        <v>970359</v>
      </c>
      <c r="H1194">
        <v>37.85</v>
      </c>
      <c r="I1194">
        <v>42.99</v>
      </c>
      <c r="J1194">
        <v>0</v>
      </c>
      <c r="K1194">
        <v>1</v>
      </c>
      <c r="L1194">
        <v>5</v>
      </c>
      <c r="M1194">
        <v>5</v>
      </c>
      <c r="N1194">
        <v>3.5</v>
      </c>
      <c r="O1194">
        <v>0</v>
      </c>
      <c r="P1194">
        <v>2</v>
      </c>
      <c r="Q1194">
        <v>2</v>
      </c>
      <c r="R1194">
        <v>19</v>
      </c>
      <c r="S1194" t="s">
        <v>36917</v>
      </c>
      <c r="U1194">
        <v>2.0899797599999999</v>
      </c>
      <c r="V1194">
        <v>7.32</v>
      </c>
      <c r="W1194">
        <v>3.15</v>
      </c>
      <c r="X1194" t="s">
        <v>5944</v>
      </c>
      <c r="Y1194" t="s">
        <v>36918</v>
      </c>
      <c r="Z1194" t="s">
        <v>5939</v>
      </c>
      <c r="AA1194" t="s">
        <v>76</v>
      </c>
      <c r="AB1194" t="s">
        <v>37105</v>
      </c>
      <c r="AC1194" t="s">
        <v>34465</v>
      </c>
      <c r="AD1194" t="s">
        <v>17415</v>
      </c>
      <c r="AE1194" t="s">
        <v>34673</v>
      </c>
      <c r="AF1194" t="s">
        <v>36921</v>
      </c>
      <c r="AG1194" t="s">
        <v>36922</v>
      </c>
    </row>
    <row r="1195" spans="1:33" x14ac:dyDescent="0.25">
      <c r="A1195" t="s">
        <v>34462</v>
      </c>
      <c r="B1195" t="s">
        <v>5949</v>
      </c>
      <c r="C1195" t="s">
        <v>5951</v>
      </c>
      <c r="D1195">
        <v>20.99</v>
      </c>
      <c r="E1195">
        <v>20.99</v>
      </c>
      <c r="F1195">
        <v>2099598</v>
      </c>
      <c r="G1195">
        <v>978289</v>
      </c>
      <c r="H1195">
        <v>37.880000000000003</v>
      </c>
      <c r="I1195">
        <v>43.07</v>
      </c>
      <c r="J1195">
        <v>0</v>
      </c>
      <c r="K1195">
        <v>1</v>
      </c>
      <c r="L1195">
        <v>5</v>
      </c>
      <c r="M1195">
        <v>4</v>
      </c>
      <c r="N1195">
        <v>3.5</v>
      </c>
      <c r="O1195">
        <v>0</v>
      </c>
      <c r="P1195">
        <v>2</v>
      </c>
      <c r="Q1195">
        <v>2</v>
      </c>
      <c r="R1195">
        <v>23</v>
      </c>
      <c r="S1195" t="s">
        <v>36917</v>
      </c>
      <c r="U1195">
        <v>2.2310754400000001</v>
      </c>
      <c r="V1195">
        <v>7.32</v>
      </c>
      <c r="W1195">
        <v>3.15</v>
      </c>
      <c r="X1195" t="s">
        <v>5948</v>
      </c>
      <c r="Y1195" t="s">
        <v>36918</v>
      </c>
      <c r="Z1195" t="s">
        <v>5939</v>
      </c>
      <c r="AA1195" t="s">
        <v>76</v>
      </c>
      <c r="AB1195" t="s">
        <v>37106</v>
      </c>
      <c r="AC1195" t="s">
        <v>34465</v>
      </c>
      <c r="AD1195" t="s">
        <v>17415</v>
      </c>
      <c r="AE1195" t="s">
        <v>34676</v>
      </c>
      <c r="AF1195" t="s">
        <v>36921</v>
      </c>
      <c r="AG1195" t="s">
        <v>36922</v>
      </c>
    </row>
    <row r="1196" spans="1:33" x14ac:dyDescent="0.25">
      <c r="A1196" t="s">
        <v>34462</v>
      </c>
      <c r="B1196" t="s">
        <v>5953</v>
      </c>
      <c r="C1196" t="s">
        <v>5956</v>
      </c>
      <c r="D1196">
        <v>23.03</v>
      </c>
      <c r="E1196">
        <v>23.02</v>
      </c>
      <c r="H1196">
        <v>23.26</v>
      </c>
      <c r="I1196">
        <v>22.98</v>
      </c>
      <c r="J1196">
        <v>0</v>
      </c>
      <c r="K1196">
        <v>1</v>
      </c>
      <c r="L1196">
        <v>2</v>
      </c>
      <c r="M1196">
        <v>1</v>
      </c>
      <c r="O1196">
        <v>0</v>
      </c>
      <c r="Q1196">
        <v>0</v>
      </c>
      <c r="R1196">
        <v>0</v>
      </c>
      <c r="U1196">
        <v>0.35053457999999998</v>
      </c>
      <c r="V1196">
        <v>5.9</v>
      </c>
      <c r="W1196">
        <v>3.92</v>
      </c>
      <c r="X1196" t="s">
        <v>5952</v>
      </c>
      <c r="AA1196" t="s">
        <v>5957</v>
      </c>
      <c r="AB1196" t="s">
        <v>37107</v>
      </c>
      <c r="AC1196" t="s">
        <v>34465</v>
      </c>
      <c r="AD1196" t="s">
        <v>11496</v>
      </c>
      <c r="AE1196" t="s">
        <v>37108</v>
      </c>
      <c r="AF1196" t="s">
        <v>37109</v>
      </c>
      <c r="AG1196" t="s">
        <v>37110</v>
      </c>
    </row>
    <row r="1197" spans="1:33" x14ac:dyDescent="0.25">
      <c r="A1197" t="s">
        <v>34462</v>
      </c>
      <c r="B1197" t="s">
        <v>5959</v>
      </c>
      <c r="C1197" t="s">
        <v>5961</v>
      </c>
      <c r="D1197">
        <v>19.989999999999998</v>
      </c>
      <c r="E1197">
        <v>19.989999999999998</v>
      </c>
      <c r="H1197">
        <v>19.989999999999998</v>
      </c>
      <c r="I1197">
        <v>20.65</v>
      </c>
      <c r="J1197">
        <v>0</v>
      </c>
      <c r="K1197">
        <v>1</v>
      </c>
      <c r="L1197">
        <v>2</v>
      </c>
      <c r="M1197">
        <v>2</v>
      </c>
      <c r="O1197">
        <v>0</v>
      </c>
      <c r="Q1197">
        <v>0</v>
      </c>
      <c r="R1197">
        <v>0</v>
      </c>
      <c r="U1197">
        <v>0.35053457999999998</v>
      </c>
      <c r="V1197">
        <v>5.9</v>
      </c>
      <c r="W1197">
        <v>2</v>
      </c>
      <c r="X1197" t="s">
        <v>5958</v>
      </c>
      <c r="AA1197" t="s">
        <v>5957</v>
      </c>
      <c r="AB1197" t="s">
        <v>37111</v>
      </c>
      <c r="AC1197" t="s">
        <v>34465</v>
      </c>
      <c r="AD1197" t="s">
        <v>11496</v>
      </c>
      <c r="AE1197" t="s">
        <v>37112</v>
      </c>
      <c r="AF1197" t="s">
        <v>37109</v>
      </c>
      <c r="AG1197" t="s">
        <v>37110</v>
      </c>
    </row>
    <row r="1198" spans="1:33" x14ac:dyDescent="0.25">
      <c r="A1198" t="s">
        <v>34462</v>
      </c>
      <c r="B1198" t="s">
        <v>5963</v>
      </c>
      <c r="C1198" t="s">
        <v>5965</v>
      </c>
      <c r="D1198">
        <v>21.71</v>
      </c>
      <c r="E1198">
        <v>21.71</v>
      </c>
      <c r="F1198">
        <v>15081281</v>
      </c>
      <c r="G1198">
        <v>10568695</v>
      </c>
      <c r="H1198">
        <v>22.21</v>
      </c>
      <c r="I1198">
        <v>21.94</v>
      </c>
      <c r="J1198">
        <v>0</v>
      </c>
      <c r="K1198">
        <v>1</v>
      </c>
      <c r="L1198">
        <v>3</v>
      </c>
      <c r="M1198">
        <v>3</v>
      </c>
      <c r="O1198">
        <v>0</v>
      </c>
      <c r="Q1198">
        <v>0</v>
      </c>
      <c r="R1198">
        <v>0</v>
      </c>
      <c r="U1198">
        <v>0.35053457999999998</v>
      </c>
      <c r="V1198">
        <v>5.9</v>
      </c>
      <c r="W1198">
        <v>3.69</v>
      </c>
      <c r="X1198" t="s">
        <v>5962</v>
      </c>
      <c r="AA1198" t="s">
        <v>5957</v>
      </c>
      <c r="AB1198" t="s">
        <v>37113</v>
      </c>
      <c r="AC1198" t="s">
        <v>34465</v>
      </c>
      <c r="AD1198" t="s">
        <v>11496</v>
      </c>
      <c r="AE1198" t="s">
        <v>37114</v>
      </c>
      <c r="AF1198" t="s">
        <v>37109</v>
      </c>
      <c r="AG1198" t="s">
        <v>37110</v>
      </c>
    </row>
    <row r="1199" spans="1:33" x14ac:dyDescent="0.25">
      <c r="A1199" t="s">
        <v>34462</v>
      </c>
      <c r="B1199" t="s">
        <v>5968</v>
      </c>
      <c r="C1199" t="s">
        <v>5970</v>
      </c>
      <c r="D1199">
        <v>19.989999999999998</v>
      </c>
      <c r="E1199">
        <v>19.989999999999998</v>
      </c>
      <c r="F1199">
        <v>11802274</v>
      </c>
      <c r="G1199">
        <v>11098617</v>
      </c>
      <c r="H1199">
        <v>19.989999999999998</v>
      </c>
      <c r="I1199">
        <v>21.06</v>
      </c>
      <c r="J1199">
        <v>0</v>
      </c>
      <c r="K1199">
        <v>1</v>
      </c>
      <c r="L1199">
        <v>2</v>
      </c>
      <c r="M1199">
        <v>2</v>
      </c>
      <c r="O1199">
        <v>0</v>
      </c>
      <c r="Q1199">
        <v>0</v>
      </c>
      <c r="R1199">
        <v>0</v>
      </c>
      <c r="U1199">
        <v>0.35053457999999998</v>
      </c>
      <c r="V1199">
        <v>5.9</v>
      </c>
      <c r="W1199">
        <v>2</v>
      </c>
      <c r="X1199" t="s">
        <v>5967</v>
      </c>
      <c r="AA1199" t="s">
        <v>5957</v>
      </c>
      <c r="AB1199" t="s">
        <v>37115</v>
      </c>
      <c r="AC1199" t="s">
        <v>34465</v>
      </c>
      <c r="AD1199" t="s">
        <v>11496</v>
      </c>
      <c r="AE1199" t="s">
        <v>36196</v>
      </c>
      <c r="AF1199" t="s">
        <v>37109</v>
      </c>
      <c r="AG1199" t="s">
        <v>37110</v>
      </c>
    </row>
    <row r="1200" spans="1:33" x14ac:dyDescent="0.25">
      <c r="A1200" t="s">
        <v>34462</v>
      </c>
      <c r="B1200" t="s">
        <v>5972</v>
      </c>
      <c r="C1200" t="s">
        <v>5975</v>
      </c>
      <c r="D1200">
        <v>74.97</v>
      </c>
      <c r="E1200">
        <v>74.97</v>
      </c>
      <c r="F1200">
        <v>2059549</v>
      </c>
      <c r="G1200">
        <v>1335833</v>
      </c>
      <c r="H1200">
        <v>56.98</v>
      </c>
      <c r="I1200">
        <v>69.23</v>
      </c>
      <c r="J1200">
        <v>0</v>
      </c>
      <c r="K1200">
        <v>0</v>
      </c>
      <c r="L1200">
        <v>1</v>
      </c>
      <c r="M1200">
        <v>1</v>
      </c>
      <c r="N1200">
        <v>3.9</v>
      </c>
      <c r="O1200">
        <v>1</v>
      </c>
      <c r="P1200">
        <v>7</v>
      </c>
      <c r="Q1200">
        <v>2</v>
      </c>
      <c r="R1200">
        <v>12</v>
      </c>
      <c r="S1200" t="s">
        <v>37116</v>
      </c>
      <c r="U1200">
        <v>1.82762998</v>
      </c>
      <c r="V1200">
        <v>16.45</v>
      </c>
      <c r="W1200">
        <v>12.74</v>
      </c>
      <c r="X1200" t="s">
        <v>5971</v>
      </c>
      <c r="Y1200" t="s">
        <v>5976</v>
      </c>
      <c r="Z1200" t="s">
        <v>5976</v>
      </c>
      <c r="AA1200" t="s">
        <v>5977</v>
      </c>
      <c r="AB1200" t="s">
        <v>37117</v>
      </c>
      <c r="AC1200" t="s">
        <v>34493</v>
      </c>
      <c r="AD1200" t="s">
        <v>34796</v>
      </c>
      <c r="AE1200" t="s">
        <v>34533</v>
      </c>
      <c r="AF1200" t="s">
        <v>37118</v>
      </c>
      <c r="AG1200" t="s">
        <v>37119</v>
      </c>
    </row>
    <row r="1201" spans="1:33" x14ac:dyDescent="0.25">
      <c r="A1201" t="s">
        <v>34462</v>
      </c>
      <c r="B1201" t="s">
        <v>5979</v>
      </c>
      <c r="C1201" t="s">
        <v>5981</v>
      </c>
      <c r="D1201">
        <v>128.28</v>
      </c>
      <c r="E1201">
        <v>128.28</v>
      </c>
      <c r="F1201">
        <v>2062384</v>
      </c>
      <c r="G1201">
        <v>1399163</v>
      </c>
      <c r="H1201">
        <v>85.83</v>
      </c>
      <c r="I1201">
        <v>98.7</v>
      </c>
      <c r="J1201">
        <v>0</v>
      </c>
      <c r="K1201">
        <v>0</v>
      </c>
      <c r="L1201">
        <v>1</v>
      </c>
      <c r="M1201">
        <v>1</v>
      </c>
      <c r="N1201">
        <v>3.9</v>
      </c>
      <c r="O1201">
        <v>1</v>
      </c>
      <c r="P1201">
        <v>7</v>
      </c>
      <c r="Q1201">
        <v>2</v>
      </c>
      <c r="R1201">
        <v>11</v>
      </c>
      <c r="S1201" t="s">
        <v>37116</v>
      </c>
      <c r="U1201">
        <v>1.6975574</v>
      </c>
      <c r="V1201">
        <v>20.25</v>
      </c>
      <c r="W1201">
        <v>21.81</v>
      </c>
      <c r="X1201" t="s">
        <v>5978</v>
      </c>
      <c r="Y1201" t="s">
        <v>5976</v>
      </c>
      <c r="Z1201" t="s">
        <v>5976</v>
      </c>
      <c r="AA1201" t="s">
        <v>76</v>
      </c>
      <c r="AB1201" t="s">
        <v>37120</v>
      </c>
      <c r="AC1201" t="s">
        <v>34493</v>
      </c>
      <c r="AD1201" t="s">
        <v>34796</v>
      </c>
      <c r="AE1201" t="s">
        <v>34533</v>
      </c>
      <c r="AF1201" t="s">
        <v>37121</v>
      </c>
      <c r="AG1201" t="s">
        <v>37119</v>
      </c>
    </row>
    <row r="1202" spans="1:33" x14ac:dyDescent="0.25">
      <c r="A1202" t="s">
        <v>34462</v>
      </c>
      <c r="B1202" t="s">
        <v>5983</v>
      </c>
      <c r="C1202" t="s">
        <v>5985</v>
      </c>
      <c r="D1202">
        <v>98.48</v>
      </c>
      <c r="E1202">
        <v>98.48</v>
      </c>
      <c r="F1202">
        <v>2062384</v>
      </c>
      <c r="G1202">
        <v>1411471</v>
      </c>
      <c r="H1202">
        <v>47.45</v>
      </c>
      <c r="I1202">
        <v>64.55</v>
      </c>
      <c r="J1202">
        <v>0</v>
      </c>
      <c r="K1202">
        <v>0</v>
      </c>
      <c r="L1202">
        <v>1</v>
      </c>
      <c r="M1202">
        <v>1</v>
      </c>
      <c r="N1202">
        <v>3.9</v>
      </c>
      <c r="O1202">
        <v>0</v>
      </c>
      <c r="P1202">
        <v>7</v>
      </c>
      <c r="Q1202">
        <v>2</v>
      </c>
      <c r="R1202">
        <v>12</v>
      </c>
      <c r="S1202" t="s">
        <v>37116</v>
      </c>
      <c r="U1202">
        <v>1.6821250599999999</v>
      </c>
      <c r="V1202">
        <v>19.87</v>
      </c>
      <c r="W1202">
        <v>16.739999999999998</v>
      </c>
      <c r="X1202" t="s">
        <v>5982</v>
      </c>
      <c r="Y1202" t="s">
        <v>5976</v>
      </c>
      <c r="Z1202" t="s">
        <v>5976</v>
      </c>
      <c r="AA1202" t="s">
        <v>5986</v>
      </c>
      <c r="AB1202" t="s">
        <v>37122</v>
      </c>
      <c r="AC1202" t="s">
        <v>34493</v>
      </c>
      <c r="AD1202" t="s">
        <v>34796</v>
      </c>
      <c r="AE1202" t="s">
        <v>34533</v>
      </c>
      <c r="AF1202" t="s">
        <v>37123</v>
      </c>
      <c r="AG1202" t="s">
        <v>37119</v>
      </c>
    </row>
    <row r="1203" spans="1:33" x14ac:dyDescent="0.25">
      <c r="A1203" t="s">
        <v>34462</v>
      </c>
      <c r="B1203" t="s">
        <v>5988</v>
      </c>
      <c r="C1203" t="s">
        <v>5990</v>
      </c>
      <c r="D1203">
        <v>108.7</v>
      </c>
      <c r="E1203">
        <v>108.7</v>
      </c>
      <c r="F1203">
        <v>2062384</v>
      </c>
      <c r="G1203">
        <v>1336127</v>
      </c>
      <c r="H1203">
        <v>113.16</v>
      </c>
      <c r="I1203">
        <v>112.86</v>
      </c>
      <c r="J1203">
        <v>0</v>
      </c>
      <c r="K1203">
        <v>0</v>
      </c>
      <c r="L1203">
        <v>1</v>
      </c>
      <c r="M1203">
        <v>1</v>
      </c>
      <c r="N1203">
        <v>3.9</v>
      </c>
      <c r="O1203">
        <v>0</v>
      </c>
      <c r="P1203">
        <v>7</v>
      </c>
      <c r="Q1203">
        <v>2</v>
      </c>
      <c r="R1203">
        <v>14</v>
      </c>
      <c r="S1203" t="s">
        <v>37116</v>
      </c>
      <c r="U1203">
        <v>1.6821250599999999</v>
      </c>
      <c r="V1203">
        <v>19.87</v>
      </c>
      <c r="W1203">
        <v>18.48</v>
      </c>
      <c r="X1203" t="s">
        <v>5987</v>
      </c>
      <c r="Y1203" t="s">
        <v>5976</v>
      </c>
      <c r="Z1203" t="s">
        <v>5976</v>
      </c>
      <c r="AA1203" t="s">
        <v>5986</v>
      </c>
      <c r="AB1203" t="s">
        <v>37124</v>
      </c>
      <c r="AC1203" t="s">
        <v>34493</v>
      </c>
      <c r="AD1203" t="s">
        <v>34796</v>
      </c>
      <c r="AE1203" t="s">
        <v>14701</v>
      </c>
      <c r="AF1203" t="s">
        <v>37123</v>
      </c>
      <c r="AG1203" t="s">
        <v>37119</v>
      </c>
    </row>
    <row r="1204" spans="1:33" x14ac:dyDescent="0.25">
      <c r="A1204" t="s">
        <v>34462</v>
      </c>
      <c r="B1204" t="s">
        <v>5992</v>
      </c>
      <c r="C1204" t="s">
        <v>5994</v>
      </c>
      <c r="D1204">
        <v>135.13</v>
      </c>
      <c r="E1204">
        <v>135.13</v>
      </c>
      <c r="F1204">
        <v>2059549</v>
      </c>
      <c r="G1204">
        <v>1376018</v>
      </c>
      <c r="H1204">
        <v>132.32</v>
      </c>
      <c r="I1204">
        <v>133.68</v>
      </c>
      <c r="J1204">
        <v>0</v>
      </c>
      <c r="K1204">
        <v>0</v>
      </c>
      <c r="L1204">
        <v>1</v>
      </c>
      <c r="M1204">
        <v>1</v>
      </c>
      <c r="N1204">
        <v>3.9</v>
      </c>
      <c r="O1204">
        <v>0</v>
      </c>
      <c r="P1204">
        <v>7</v>
      </c>
      <c r="Q1204">
        <v>2</v>
      </c>
      <c r="R1204">
        <v>13</v>
      </c>
      <c r="S1204" t="s">
        <v>37116</v>
      </c>
      <c r="U1204">
        <v>1.6821250599999999</v>
      </c>
      <c r="V1204">
        <v>19.87</v>
      </c>
      <c r="W1204">
        <v>22.97</v>
      </c>
      <c r="X1204" t="s">
        <v>5991</v>
      </c>
      <c r="Y1204" t="s">
        <v>5976</v>
      </c>
      <c r="Z1204" t="s">
        <v>5976</v>
      </c>
      <c r="AA1204" t="s">
        <v>76</v>
      </c>
      <c r="AB1204" t="s">
        <v>37125</v>
      </c>
      <c r="AC1204" t="s">
        <v>34493</v>
      </c>
      <c r="AD1204" t="s">
        <v>34796</v>
      </c>
      <c r="AE1204" t="s">
        <v>14701</v>
      </c>
      <c r="AF1204" t="s">
        <v>37121</v>
      </c>
      <c r="AG1204" t="s">
        <v>37119</v>
      </c>
    </row>
    <row r="1205" spans="1:33" x14ac:dyDescent="0.25">
      <c r="A1205" t="s">
        <v>34462</v>
      </c>
      <c r="B1205" t="s">
        <v>5996</v>
      </c>
      <c r="C1205" t="s">
        <v>5998</v>
      </c>
      <c r="D1205">
        <v>105.47</v>
      </c>
      <c r="E1205">
        <v>105.47</v>
      </c>
      <c r="F1205">
        <v>2062384</v>
      </c>
      <c r="G1205">
        <v>3253174</v>
      </c>
      <c r="H1205">
        <v>113.67</v>
      </c>
      <c r="I1205">
        <v>113.94</v>
      </c>
      <c r="J1205">
        <v>0</v>
      </c>
      <c r="K1205">
        <v>0</v>
      </c>
      <c r="L1205">
        <v>1</v>
      </c>
      <c r="M1205">
        <v>1</v>
      </c>
      <c r="N1205">
        <v>3.9</v>
      </c>
      <c r="O1205">
        <v>0</v>
      </c>
      <c r="P1205">
        <v>7</v>
      </c>
      <c r="Q1205">
        <v>1</v>
      </c>
      <c r="R1205">
        <v>7</v>
      </c>
      <c r="S1205" t="s">
        <v>37116</v>
      </c>
      <c r="U1205">
        <v>1.78353758</v>
      </c>
      <c r="V1205">
        <v>20.25</v>
      </c>
      <c r="W1205">
        <v>17.93</v>
      </c>
      <c r="X1205" t="s">
        <v>5995</v>
      </c>
      <c r="Y1205" t="s">
        <v>5976</v>
      </c>
      <c r="Z1205" t="s">
        <v>5976</v>
      </c>
      <c r="AA1205" t="s">
        <v>5977</v>
      </c>
      <c r="AB1205" t="s">
        <v>37126</v>
      </c>
      <c r="AC1205" t="s">
        <v>34493</v>
      </c>
      <c r="AD1205" t="s">
        <v>34796</v>
      </c>
      <c r="AE1205" t="s">
        <v>14701</v>
      </c>
      <c r="AF1205" t="s">
        <v>37118</v>
      </c>
      <c r="AG1205" t="s">
        <v>37119</v>
      </c>
    </row>
    <row r="1206" spans="1:33" x14ac:dyDescent="0.25">
      <c r="A1206" t="s">
        <v>34462</v>
      </c>
      <c r="B1206" t="s">
        <v>6000</v>
      </c>
      <c r="C1206" t="s">
        <v>6003</v>
      </c>
      <c r="D1206">
        <v>25</v>
      </c>
      <c r="E1206">
        <v>17.05</v>
      </c>
      <c r="F1206">
        <v>46776</v>
      </c>
      <c r="G1206">
        <v>33977</v>
      </c>
      <c r="H1206">
        <v>24.99</v>
      </c>
      <c r="I1206">
        <v>24.99</v>
      </c>
      <c r="J1206">
        <v>0.38</v>
      </c>
      <c r="K1206">
        <v>1</v>
      </c>
      <c r="L1206">
        <v>1</v>
      </c>
      <c r="M1206">
        <v>1</v>
      </c>
      <c r="N1206">
        <v>4.5</v>
      </c>
      <c r="O1206">
        <v>7</v>
      </c>
      <c r="P1206">
        <v>4306</v>
      </c>
      <c r="Q1206">
        <v>27</v>
      </c>
      <c r="R1206">
        <v>98</v>
      </c>
      <c r="S1206" t="s">
        <v>37127</v>
      </c>
      <c r="U1206">
        <v>0.13889106000000001</v>
      </c>
      <c r="V1206">
        <v>4.67</v>
      </c>
      <c r="W1206">
        <v>4.25</v>
      </c>
      <c r="X1206" t="s">
        <v>5999</v>
      </c>
      <c r="Y1206" t="s">
        <v>6004</v>
      </c>
      <c r="Z1206" t="s">
        <v>6004</v>
      </c>
      <c r="AA1206" t="s">
        <v>278</v>
      </c>
      <c r="AB1206" t="s">
        <v>37128</v>
      </c>
      <c r="AC1206" t="s">
        <v>34465</v>
      </c>
      <c r="AD1206" t="s">
        <v>7954</v>
      </c>
      <c r="AE1206" t="s">
        <v>37129</v>
      </c>
      <c r="AF1206" t="s">
        <v>37130</v>
      </c>
      <c r="AG1206" t="s">
        <v>37131</v>
      </c>
    </row>
    <row r="1207" spans="1:33" x14ac:dyDescent="0.25">
      <c r="A1207" t="s">
        <v>34462</v>
      </c>
      <c r="B1207" t="s">
        <v>6006</v>
      </c>
      <c r="C1207" t="s">
        <v>6008</v>
      </c>
      <c r="D1207">
        <v>12.79</v>
      </c>
      <c r="E1207">
        <v>12.79</v>
      </c>
      <c r="F1207">
        <v>44131</v>
      </c>
      <c r="G1207">
        <v>33638</v>
      </c>
      <c r="H1207">
        <v>12.52</v>
      </c>
      <c r="I1207">
        <v>13.75</v>
      </c>
      <c r="J1207">
        <v>0</v>
      </c>
      <c r="K1207">
        <v>0</v>
      </c>
      <c r="L1207">
        <v>1</v>
      </c>
      <c r="M1207">
        <v>1</v>
      </c>
      <c r="N1207">
        <v>4.5</v>
      </c>
      <c r="O1207">
        <v>37</v>
      </c>
      <c r="P1207">
        <v>4306</v>
      </c>
      <c r="Q1207">
        <v>40</v>
      </c>
      <c r="R1207">
        <v>101</v>
      </c>
      <c r="S1207" t="s">
        <v>37127</v>
      </c>
      <c r="U1207">
        <v>0.14991415999999999</v>
      </c>
      <c r="V1207">
        <v>4.3899999999999997</v>
      </c>
      <c r="W1207">
        <v>0.64</v>
      </c>
      <c r="X1207" t="s">
        <v>6005</v>
      </c>
      <c r="Y1207" t="s">
        <v>6004</v>
      </c>
      <c r="Z1207" t="s">
        <v>6004</v>
      </c>
      <c r="AA1207" t="s">
        <v>278</v>
      </c>
      <c r="AB1207" t="s">
        <v>37132</v>
      </c>
      <c r="AC1207" t="s">
        <v>34493</v>
      </c>
      <c r="AD1207" t="s">
        <v>7954</v>
      </c>
      <c r="AE1207" t="s">
        <v>37133</v>
      </c>
      <c r="AF1207" t="s">
        <v>37130</v>
      </c>
      <c r="AG1207" t="s">
        <v>37131</v>
      </c>
    </row>
    <row r="1208" spans="1:33" x14ac:dyDescent="0.25">
      <c r="A1208" t="s">
        <v>34462</v>
      </c>
      <c r="B1208" t="s">
        <v>6010</v>
      </c>
      <c r="C1208" t="s">
        <v>6012</v>
      </c>
      <c r="D1208">
        <v>25</v>
      </c>
      <c r="E1208">
        <v>17.05</v>
      </c>
      <c r="F1208">
        <v>44131</v>
      </c>
      <c r="G1208">
        <v>34024</v>
      </c>
      <c r="H1208">
        <v>16.96</v>
      </c>
      <c r="I1208">
        <v>16</v>
      </c>
      <c r="J1208">
        <v>0.23</v>
      </c>
      <c r="K1208">
        <v>0.83</v>
      </c>
      <c r="L1208">
        <v>1</v>
      </c>
      <c r="M1208">
        <v>1</v>
      </c>
      <c r="N1208">
        <v>4.5</v>
      </c>
      <c r="O1208">
        <v>20</v>
      </c>
      <c r="P1208">
        <v>4306</v>
      </c>
      <c r="Q1208">
        <v>24</v>
      </c>
      <c r="R1208">
        <v>87</v>
      </c>
      <c r="S1208" t="s">
        <v>37127</v>
      </c>
      <c r="U1208">
        <v>0.13889106000000001</v>
      </c>
      <c r="V1208">
        <v>4.6100000000000003</v>
      </c>
      <c r="W1208">
        <v>4.25</v>
      </c>
      <c r="X1208" t="s">
        <v>6009</v>
      </c>
      <c r="Y1208" t="s">
        <v>6004</v>
      </c>
      <c r="Z1208" t="s">
        <v>6004</v>
      </c>
      <c r="AA1208" t="s">
        <v>278</v>
      </c>
      <c r="AB1208" t="s">
        <v>37134</v>
      </c>
      <c r="AC1208" t="s">
        <v>34465</v>
      </c>
      <c r="AD1208" t="s">
        <v>7954</v>
      </c>
      <c r="AE1208" t="s">
        <v>37135</v>
      </c>
      <c r="AF1208" t="s">
        <v>37130</v>
      </c>
      <c r="AG1208" t="s">
        <v>37131</v>
      </c>
    </row>
    <row r="1209" spans="1:33" x14ac:dyDescent="0.25">
      <c r="A1209" t="s">
        <v>34462</v>
      </c>
      <c r="B1209" t="s">
        <v>6014</v>
      </c>
      <c r="C1209" t="s">
        <v>6017</v>
      </c>
      <c r="D1209">
        <v>33.909999999999997</v>
      </c>
      <c r="E1209">
        <v>33.909999999999997</v>
      </c>
      <c r="F1209">
        <v>2780849</v>
      </c>
      <c r="G1209">
        <v>2504240</v>
      </c>
      <c r="H1209">
        <v>30.78</v>
      </c>
      <c r="I1209">
        <v>42.49</v>
      </c>
      <c r="J1209">
        <v>0</v>
      </c>
      <c r="K1209">
        <v>0</v>
      </c>
      <c r="L1209">
        <v>1</v>
      </c>
      <c r="M1209">
        <v>1</v>
      </c>
      <c r="Q1209">
        <v>3</v>
      </c>
      <c r="R1209">
        <v>5</v>
      </c>
      <c r="S1209" t="s">
        <v>37136</v>
      </c>
      <c r="U1209">
        <v>0.79366320000000001</v>
      </c>
      <c r="V1209">
        <v>6.14</v>
      </c>
      <c r="W1209">
        <v>5.76</v>
      </c>
      <c r="X1209" t="s">
        <v>6013</v>
      </c>
      <c r="Y1209" t="s">
        <v>6018</v>
      </c>
      <c r="Z1209" t="s">
        <v>6018</v>
      </c>
      <c r="AA1209" t="s">
        <v>1490</v>
      </c>
      <c r="AB1209" t="s">
        <v>37137</v>
      </c>
      <c r="AC1209" t="s">
        <v>34493</v>
      </c>
      <c r="AD1209" t="s">
        <v>12612</v>
      </c>
      <c r="AE1209" t="s">
        <v>35569</v>
      </c>
      <c r="AF1209" t="s">
        <v>37138</v>
      </c>
      <c r="AG1209" t="s">
        <v>37139</v>
      </c>
    </row>
    <row r="1210" spans="1:33" x14ac:dyDescent="0.25">
      <c r="A1210" t="s">
        <v>34462</v>
      </c>
      <c r="B1210" t="s">
        <v>6020</v>
      </c>
      <c r="C1210" t="s">
        <v>6023</v>
      </c>
      <c r="J1210">
        <v>1</v>
      </c>
      <c r="K1210">
        <v>1</v>
      </c>
      <c r="Q1210">
        <v>0</v>
      </c>
      <c r="R1210">
        <v>0</v>
      </c>
      <c r="X1210" t="s">
        <v>6019</v>
      </c>
      <c r="AA1210" t="s">
        <v>6025</v>
      </c>
      <c r="AB1210" t="s">
        <v>37140</v>
      </c>
      <c r="AC1210" t="s">
        <v>34465</v>
      </c>
      <c r="AD1210" t="s">
        <v>7965</v>
      </c>
      <c r="AE1210" t="s">
        <v>7968</v>
      </c>
      <c r="AF1210" t="s">
        <v>37141</v>
      </c>
    </row>
    <row r="1211" spans="1:33" x14ac:dyDescent="0.25">
      <c r="A1211" t="s">
        <v>34462</v>
      </c>
      <c r="B1211" t="s">
        <v>6027</v>
      </c>
      <c r="C1211" t="s">
        <v>6029</v>
      </c>
      <c r="J1211">
        <v>1</v>
      </c>
      <c r="K1211">
        <v>1</v>
      </c>
      <c r="Q1211">
        <v>0</v>
      </c>
      <c r="R1211">
        <v>0</v>
      </c>
      <c r="X1211" t="s">
        <v>6026</v>
      </c>
      <c r="AA1211" t="s">
        <v>6025</v>
      </c>
      <c r="AB1211" t="s">
        <v>37142</v>
      </c>
      <c r="AC1211" t="s">
        <v>34465</v>
      </c>
      <c r="AD1211" t="s">
        <v>7965</v>
      </c>
      <c r="AE1211" t="s">
        <v>576</v>
      </c>
      <c r="AF1211" t="s">
        <v>37141</v>
      </c>
    </row>
    <row r="1212" spans="1:33" x14ac:dyDescent="0.25">
      <c r="A1212" t="s">
        <v>34462</v>
      </c>
      <c r="B1212" t="s">
        <v>6032</v>
      </c>
      <c r="C1212" t="s">
        <v>6035</v>
      </c>
      <c r="D1212">
        <v>10.5</v>
      </c>
      <c r="E1212">
        <v>10.5</v>
      </c>
      <c r="F1212">
        <v>892891</v>
      </c>
      <c r="G1212">
        <v>837445</v>
      </c>
      <c r="H1212">
        <v>9.86</v>
      </c>
      <c r="I1212">
        <v>22.9</v>
      </c>
      <c r="J1212">
        <v>0</v>
      </c>
      <c r="K1212">
        <v>1</v>
      </c>
      <c r="L1212">
        <v>4</v>
      </c>
      <c r="M1212">
        <v>3</v>
      </c>
      <c r="N1212">
        <v>4.8</v>
      </c>
      <c r="O1212">
        <v>0</v>
      </c>
      <c r="P1212">
        <v>189</v>
      </c>
      <c r="Q1212">
        <v>3</v>
      </c>
      <c r="R1212">
        <v>11</v>
      </c>
      <c r="S1212" t="s">
        <v>37143</v>
      </c>
      <c r="U1212">
        <v>0.37478539999999999</v>
      </c>
      <c r="V1212">
        <v>6.05</v>
      </c>
      <c r="X1212" t="s">
        <v>6031</v>
      </c>
      <c r="AA1212" t="s">
        <v>6036</v>
      </c>
      <c r="AB1212" t="s">
        <v>37144</v>
      </c>
      <c r="AC1212" t="s">
        <v>34465</v>
      </c>
      <c r="AD1212" t="s">
        <v>11496</v>
      </c>
      <c r="AE1212" t="s">
        <v>37145</v>
      </c>
      <c r="AF1212" t="s">
        <v>37146</v>
      </c>
      <c r="AG1212" t="s">
        <v>37147</v>
      </c>
    </row>
    <row r="1213" spans="1:33" x14ac:dyDescent="0.25">
      <c r="A1213" t="s">
        <v>34462</v>
      </c>
      <c r="B1213" t="s">
        <v>6038</v>
      </c>
      <c r="C1213" t="s">
        <v>6041</v>
      </c>
      <c r="D1213">
        <v>27</v>
      </c>
      <c r="E1213">
        <v>27</v>
      </c>
      <c r="F1213">
        <v>192652</v>
      </c>
      <c r="G1213">
        <v>257154</v>
      </c>
      <c r="H1213">
        <v>28.16</v>
      </c>
      <c r="I1213">
        <v>21.77</v>
      </c>
      <c r="J1213">
        <v>0.59</v>
      </c>
      <c r="K1213">
        <v>1</v>
      </c>
      <c r="L1213">
        <v>2</v>
      </c>
      <c r="M1213">
        <v>2</v>
      </c>
      <c r="N1213">
        <v>4.0999999999999996</v>
      </c>
      <c r="O1213">
        <v>0</v>
      </c>
      <c r="P1213">
        <v>38</v>
      </c>
      <c r="Q1213">
        <v>14</v>
      </c>
      <c r="R1213">
        <v>23</v>
      </c>
      <c r="S1213" t="s">
        <v>37148</v>
      </c>
      <c r="U1213">
        <v>0.40344545999999998</v>
      </c>
      <c r="V1213">
        <v>5.9</v>
      </c>
      <c r="W1213">
        <v>4.59</v>
      </c>
      <c r="X1213" t="s">
        <v>6037</v>
      </c>
      <c r="Y1213" t="s">
        <v>6042</v>
      </c>
      <c r="Z1213" t="s">
        <v>6042</v>
      </c>
      <c r="AA1213" t="s">
        <v>6043</v>
      </c>
      <c r="AB1213" t="s">
        <v>37149</v>
      </c>
      <c r="AC1213" t="s">
        <v>34465</v>
      </c>
      <c r="AD1213" t="s">
        <v>22037</v>
      </c>
      <c r="AE1213" t="s">
        <v>100</v>
      </c>
      <c r="AF1213" t="s">
        <v>37150</v>
      </c>
      <c r="AG1213" t="s">
        <v>34841</v>
      </c>
    </row>
    <row r="1214" spans="1:33" x14ac:dyDescent="0.25">
      <c r="A1214" t="s">
        <v>34462</v>
      </c>
      <c r="B1214" t="s">
        <v>6045</v>
      </c>
      <c r="C1214" t="s">
        <v>6047</v>
      </c>
      <c r="D1214">
        <v>22.8</v>
      </c>
      <c r="E1214">
        <v>22.8</v>
      </c>
      <c r="F1214">
        <v>220156</v>
      </c>
      <c r="G1214">
        <v>281905</v>
      </c>
      <c r="H1214">
        <v>22.01</v>
      </c>
      <c r="I1214">
        <v>17.059999999999999</v>
      </c>
      <c r="J1214">
        <v>0</v>
      </c>
      <c r="K1214">
        <v>0</v>
      </c>
      <c r="L1214">
        <v>1</v>
      </c>
      <c r="M1214">
        <v>1</v>
      </c>
      <c r="N1214">
        <v>4.0999999999999996</v>
      </c>
      <c r="O1214">
        <v>0</v>
      </c>
      <c r="P1214">
        <v>39</v>
      </c>
      <c r="Q1214">
        <v>22</v>
      </c>
      <c r="R1214">
        <v>59</v>
      </c>
      <c r="S1214" t="s">
        <v>37148</v>
      </c>
      <c r="U1214">
        <v>0.35273919999999997</v>
      </c>
      <c r="V1214">
        <v>6.14</v>
      </c>
      <c r="W1214">
        <v>3.88</v>
      </c>
      <c r="X1214" t="s">
        <v>6044</v>
      </c>
      <c r="Y1214" t="s">
        <v>6048</v>
      </c>
      <c r="Z1214" t="s">
        <v>6048</v>
      </c>
      <c r="AA1214" t="s">
        <v>6049</v>
      </c>
      <c r="AB1214" t="s">
        <v>37151</v>
      </c>
      <c r="AC1214" t="s">
        <v>34493</v>
      </c>
      <c r="AD1214" t="s">
        <v>22037</v>
      </c>
      <c r="AE1214" t="s">
        <v>100</v>
      </c>
      <c r="AF1214" t="s">
        <v>37152</v>
      </c>
      <c r="AG1214" t="s">
        <v>34841</v>
      </c>
    </row>
    <row r="1215" spans="1:33" x14ac:dyDescent="0.25">
      <c r="A1215" t="s">
        <v>34462</v>
      </c>
      <c r="B1215" t="s">
        <v>6051</v>
      </c>
      <c r="C1215" t="s">
        <v>6053</v>
      </c>
      <c r="D1215">
        <v>17.989999999999998</v>
      </c>
      <c r="E1215">
        <v>17.989999999999998</v>
      </c>
      <c r="F1215">
        <v>192652</v>
      </c>
      <c r="G1215">
        <v>290184</v>
      </c>
      <c r="H1215">
        <v>22.7</v>
      </c>
      <c r="I1215">
        <v>21.31</v>
      </c>
      <c r="J1215">
        <v>0</v>
      </c>
      <c r="K1215">
        <v>0</v>
      </c>
      <c r="L1215">
        <v>1</v>
      </c>
      <c r="M1215">
        <v>1</v>
      </c>
      <c r="N1215">
        <v>4.0999999999999996</v>
      </c>
      <c r="O1215">
        <v>0</v>
      </c>
      <c r="P1215">
        <v>39</v>
      </c>
      <c r="Q1215">
        <v>15</v>
      </c>
      <c r="R1215">
        <v>44</v>
      </c>
      <c r="S1215" t="s">
        <v>37148</v>
      </c>
      <c r="U1215">
        <v>0.40785470000000001</v>
      </c>
      <c r="V1215">
        <v>6.14</v>
      </c>
      <c r="W1215">
        <v>1.8</v>
      </c>
      <c r="X1215" t="s">
        <v>6050</v>
      </c>
      <c r="Y1215" t="s">
        <v>6054</v>
      </c>
      <c r="Z1215" t="s">
        <v>6054</v>
      </c>
      <c r="AA1215" t="s">
        <v>6055</v>
      </c>
      <c r="AB1215" t="s">
        <v>37153</v>
      </c>
      <c r="AC1215" t="s">
        <v>34493</v>
      </c>
      <c r="AD1215" t="s">
        <v>22037</v>
      </c>
      <c r="AE1215" t="s">
        <v>100</v>
      </c>
      <c r="AF1215" t="s">
        <v>37154</v>
      </c>
      <c r="AG1215" t="s">
        <v>34841</v>
      </c>
    </row>
    <row r="1216" spans="1:33" x14ac:dyDescent="0.25">
      <c r="A1216" t="s">
        <v>34462</v>
      </c>
      <c r="B1216" t="s">
        <v>6057</v>
      </c>
      <c r="C1216" t="s">
        <v>6059</v>
      </c>
      <c r="D1216">
        <v>11.5</v>
      </c>
      <c r="E1216">
        <v>11.5</v>
      </c>
      <c r="F1216">
        <v>220156</v>
      </c>
      <c r="G1216">
        <v>295837</v>
      </c>
      <c r="H1216">
        <v>20.65</v>
      </c>
      <c r="I1216">
        <v>20.059999999999999</v>
      </c>
      <c r="J1216">
        <v>0</v>
      </c>
      <c r="K1216">
        <v>0</v>
      </c>
      <c r="L1216">
        <v>1</v>
      </c>
      <c r="M1216">
        <v>1</v>
      </c>
      <c r="N1216">
        <v>4.0999999999999996</v>
      </c>
      <c r="O1216">
        <v>0</v>
      </c>
      <c r="P1216">
        <v>39</v>
      </c>
      <c r="Q1216">
        <v>19</v>
      </c>
      <c r="R1216">
        <v>46</v>
      </c>
      <c r="S1216" t="s">
        <v>37148</v>
      </c>
      <c r="U1216">
        <v>0.40785470000000001</v>
      </c>
      <c r="V1216">
        <v>5.9</v>
      </c>
      <c r="W1216">
        <v>0.57999999999999996</v>
      </c>
      <c r="X1216" t="s">
        <v>6056</v>
      </c>
      <c r="Y1216" t="s">
        <v>6060</v>
      </c>
      <c r="Z1216" t="s">
        <v>6060</v>
      </c>
      <c r="AA1216" t="s">
        <v>6061</v>
      </c>
      <c r="AB1216" t="s">
        <v>37155</v>
      </c>
      <c r="AC1216" t="s">
        <v>34493</v>
      </c>
      <c r="AD1216" t="s">
        <v>22037</v>
      </c>
      <c r="AE1216" t="s">
        <v>100</v>
      </c>
      <c r="AF1216" t="s">
        <v>37156</v>
      </c>
      <c r="AG1216" t="s">
        <v>34841</v>
      </c>
    </row>
    <row r="1217" spans="1:33" x14ac:dyDescent="0.25">
      <c r="A1217" t="s">
        <v>34462</v>
      </c>
      <c r="B1217" t="s">
        <v>6063</v>
      </c>
      <c r="C1217" t="s">
        <v>6066</v>
      </c>
      <c r="D1217">
        <v>66.349999999999994</v>
      </c>
      <c r="E1217">
        <v>66.349999999999994</v>
      </c>
      <c r="F1217">
        <v>7659444</v>
      </c>
      <c r="G1217">
        <v>7197358</v>
      </c>
      <c r="H1217">
        <v>100.51</v>
      </c>
      <c r="I1217">
        <v>115.66</v>
      </c>
      <c r="J1217">
        <v>0</v>
      </c>
      <c r="K1217">
        <v>0</v>
      </c>
      <c r="L1217">
        <v>1</v>
      </c>
      <c r="M1217">
        <v>1</v>
      </c>
      <c r="O1217">
        <v>0</v>
      </c>
      <c r="Q1217">
        <v>0</v>
      </c>
      <c r="R1217">
        <v>0</v>
      </c>
      <c r="S1217" t="s">
        <v>37157</v>
      </c>
      <c r="U1217">
        <v>2.40083118</v>
      </c>
      <c r="V1217">
        <v>13.41</v>
      </c>
      <c r="W1217">
        <v>11.28</v>
      </c>
      <c r="X1217" t="s">
        <v>6062</v>
      </c>
      <c r="Y1217" t="s">
        <v>6067</v>
      </c>
      <c r="Z1217" t="s">
        <v>6067</v>
      </c>
      <c r="AA1217" t="s">
        <v>138</v>
      </c>
      <c r="AB1217" t="s">
        <v>37158</v>
      </c>
      <c r="AC1217" t="s">
        <v>34493</v>
      </c>
      <c r="AD1217" t="s">
        <v>34796</v>
      </c>
      <c r="AE1217" t="s">
        <v>34533</v>
      </c>
      <c r="AF1217" t="s">
        <v>37159</v>
      </c>
      <c r="AG1217" t="s">
        <v>37160</v>
      </c>
    </row>
    <row r="1218" spans="1:33" x14ac:dyDescent="0.25">
      <c r="A1218" t="s">
        <v>34462</v>
      </c>
      <c r="B1218" t="s">
        <v>6069</v>
      </c>
      <c r="C1218" t="s">
        <v>6071</v>
      </c>
      <c r="D1218">
        <v>149.19999999999999</v>
      </c>
      <c r="E1218">
        <v>149.19999999999999</v>
      </c>
      <c r="F1218">
        <v>7660645</v>
      </c>
      <c r="G1218">
        <v>7193993</v>
      </c>
      <c r="H1218">
        <v>144.47999999999999</v>
      </c>
      <c r="I1218">
        <v>142.13</v>
      </c>
      <c r="J1218">
        <v>7.0000000000000007E-2</v>
      </c>
      <c r="K1218">
        <v>7.0000000000000007E-2</v>
      </c>
      <c r="L1218">
        <v>1</v>
      </c>
      <c r="M1218">
        <v>1</v>
      </c>
      <c r="N1218">
        <v>3</v>
      </c>
      <c r="O1218">
        <v>0</v>
      </c>
      <c r="P1218">
        <v>1</v>
      </c>
      <c r="Q1218">
        <v>0</v>
      </c>
      <c r="R1218">
        <v>0</v>
      </c>
      <c r="S1218" t="s">
        <v>37157</v>
      </c>
      <c r="U1218">
        <v>2.44933282</v>
      </c>
      <c r="V1218">
        <v>13.79</v>
      </c>
      <c r="W1218">
        <v>25.36</v>
      </c>
      <c r="X1218" t="s">
        <v>6068</v>
      </c>
      <c r="Y1218" t="s">
        <v>6067</v>
      </c>
      <c r="Z1218" t="s">
        <v>6067</v>
      </c>
      <c r="AA1218" t="s">
        <v>76</v>
      </c>
      <c r="AB1218" t="s">
        <v>37161</v>
      </c>
      <c r="AC1218" t="s">
        <v>34493</v>
      </c>
      <c r="AD1218" t="s">
        <v>34796</v>
      </c>
      <c r="AE1218" t="s">
        <v>34533</v>
      </c>
      <c r="AF1218" t="s">
        <v>37162</v>
      </c>
    </row>
    <row r="1219" spans="1:33" x14ac:dyDescent="0.25">
      <c r="A1219" t="s">
        <v>34462</v>
      </c>
      <c r="B1219" t="s">
        <v>6073</v>
      </c>
      <c r="C1219" t="s">
        <v>6075</v>
      </c>
      <c r="F1219">
        <v>2563893</v>
      </c>
      <c r="G1219">
        <v>2793972</v>
      </c>
      <c r="J1219">
        <v>1</v>
      </c>
      <c r="K1219">
        <v>1</v>
      </c>
      <c r="O1219">
        <v>0</v>
      </c>
      <c r="Q1219">
        <v>1</v>
      </c>
      <c r="R1219">
        <v>2</v>
      </c>
      <c r="S1219" t="s">
        <v>37163</v>
      </c>
      <c r="U1219">
        <v>2.5992469800000002</v>
      </c>
      <c r="V1219">
        <v>14.17</v>
      </c>
      <c r="X1219" t="s">
        <v>6072</v>
      </c>
      <c r="Y1219" t="s">
        <v>6067</v>
      </c>
      <c r="Z1219" t="s">
        <v>6067</v>
      </c>
      <c r="AA1219" t="s">
        <v>6076</v>
      </c>
      <c r="AB1219" t="s">
        <v>37164</v>
      </c>
      <c r="AC1219" t="s">
        <v>34465</v>
      </c>
      <c r="AD1219" t="s">
        <v>34796</v>
      </c>
      <c r="AE1219" t="s">
        <v>34533</v>
      </c>
      <c r="AF1219" t="s">
        <v>37165</v>
      </c>
      <c r="AG1219" t="s">
        <v>37160</v>
      </c>
    </row>
    <row r="1220" spans="1:33" x14ac:dyDescent="0.25">
      <c r="A1220" t="s">
        <v>34462</v>
      </c>
      <c r="B1220" t="s">
        <v>6078</v>
      </c>
      <c r="C1220" t="s">
        <v>6080</v>
      </c>
      <c r="D1220">
        <v>139.35</v>
      </c>
      <c r="F1220">
        <v>2561331</v>
      </c>
      <c r="G1220">
        <v>2716153</v>
      </c>
      <c r="I1220">
        <v>139.35</v>
      </c>
      <c r="J1220">
        <v>1</v>
      </c>
      <c r="K1220">
        <v>1</v>
      </c>
      <c r="N1220">
        <v>5</v>
      </c>
      <c r="O1220">
        <v>0</v>
      </c>
      <c r="P1220">
        <v>1</v>
      </c>
      <c r="Q1220">
        <v>0</v>
      </c>
      <c r="R1220">
        <v>1</v>
      </c>
      <c r="S1220" t="s">
        <v>37163</v>
      </c>
      <c r="U1220">
        <v>2.5992469800000002</v>
      </c>
      <c r="V1220">
        <v>14.17</v>
      </c>
      <c r="X1220" t="s">
        <v>6077</v>
      </c>
      <c r="Y1220" t="s">
        <v>6067</v>
      </c>
      <c r="Z1220" t="s">
        <v>6067</v>
      </c>
      <c r="AA1220" t="s">
        <v>6081</v>
      </c>
      <c r="AB1220" t="s">
        <v>37166</v>
      </c>
      <c r="AC1220" t="s">
        <v>34465</v>
      </c>
      <c r="AD1220" t="s">
        <v>34796</v>
      </c>
      <c r="AE1220" t="s">
        <v>34533</v>
      </c>
      <c r="AF1220" t="s">
        <v>37165</v>
      </c>
      <c r="AG1220" t="s">
        <v>37160</v>
      </c>
    </row>
    <row r="1221" spans="1:33" x14ac:dyDescent="0.25">
      <c r="A1221" t="s">
        <v>34462</v>
      </c>
      <c r="B1221" t="s">
        <v>6083</v>
      </c>
      <c r="C1221" t="s">
        <v>6085</v>
      </c>
      <c r="F1221">
        <v>2563893</v>
      </c>
      <c r="G1221">
        <v>2733569</v>
      </c>
      <c r="J1221">
        <v>1</v>
      </c>
      <c r="K1221">
        <v>1</v>
      </c>
      <c r="N1221">
        <v>3</v>
      </c>
      <c r="O1221">
        <v>0</v>
      </c>
      <c r="P1221">
        <v>1</v>
      </c>
      <c r="Q1221">
        <v>1</v>
      </c>
      <c r="R1221">
        <v>1</v>
      </c>
      <c r="S1221" t="s">
        <v>37163</v>
      </c>
      <c r="U1221">
        <v>2.40083118</v>
      </c>
      <c r="V1221">
        <v>13.41</v>
      </c>
      <c r="X1221" t="s">
        <v>6082</v>
      </c>
      <c r="Y1221" t="s">
        <v>6067</v>
      </c>
      <c r="Z1221" t="s">
        <v>6067</v>
      </c>
      <c r="AA1221" t="s">
        <v>138</v>
      </c>
      <c r="AB1221" t="s">
        <v>37167</v>
      </c>
      <c r="AC1221" t="s">
        <v>34465</v>
      </c>
      <c r="AD1221" t="s">
        <v>34796</v>
      </c>
      <c r="AE1221" t="s">
        <v>14701</v>
      </c>
      <c r="AF1221" t="s">
        <v>37168</v>
      </c>
      <c r="AG1221" t="s">
        <v>37160</v>
      </c>
    </row>
    <row r="1222" spans="1:33" x14ac:dyDescent="0.25">
      <c r="A1222" t="s">
        <v>34462</v>
      </c>
      <c r="B1222" t="s">
        <v>6087</v>
      </c>
      <c r="C1222" t="s">
        <v>6089</v>
      </c>
      <c r="D1222">
        <v>142.69999999999999</v>
      </c>
      <c r="F1222">
        <v>2558383</v>
      </c>
      <c r="G1222">
        <v>2698577</v>
      </c>
      <c r="I1222">
        <v>142.69999999999999</v>
      </c>
      <c r="J1222">
        <v>1</v>
      </c>
      <c r="K1222">
        <v>1</v>
      </c>
      <c r="N1222">
        <v>3</v>
      </c>
      <c r="O1222">
        <v>0</v>
      </c>
      <c r="P1222">
        <v>1</v>
      </c>
      <c r="Q1222">
        <v>1</v>
      </c>
      <c r="R1222">
        <v>1</v>
      </c>
      <c r="S1222" t="s">
        <v>37163</v>
      </c>
      <c r="U1222">
        <v>2.5000390800000001</v>
      </c>
      <c r="V1222">
        <v>13.79</v>
      </c>
      <c r="X1222" t="s">
        <v>6086</v>
      </c>
      <c r="Y1222" t="s">
        <v>6067</v>
      </c>
      <c r="Z1222" t="s">
        <v>6067</v>
      </c>
      <c r="AA1222" t="s">
        <v>76</v>
      </c>
      <c r="AB1222" t="s">
        <v>37169</v>
      </c>
      <c r="AC1222" t="s">
        <v>34465</v>
      </c>
      <c r="AD1222" t="s">
        <v>34796</v>
      </c>
      <c r="AE1222" t="s">
        <v>14701</v>
      </c>
      <c r="AF1222" t="s">
        <v>37162</v>
      </c>
      <c r="AG1222" t="s">
        <v>37160</v>
      </c>
    </row>
    <row r="1223" spans="1:33" x14ac:dyDescent="0.25">
      <c r="A1223" t="s">
        <v>34462</v>
      </c>
      <c r="B1223" t="s">
        <v>6091</v>
      </c>
      <c r="C1223" t="s">
        <v>6093</v>
      </c>
      <c r="F1223">
        <v>2563893</v>
      </c>
      <c r="G1223">
        <v>6277258</v>
      </c>
      <c r="J1223">
        <v>1</v>
      </c>
      <c r="K1223">
        <v>1</v>
      </c>
      <c r="O1223">
        <v>0</v>
      </c>
      <c r="Q1223">
        <v>1</v>
      </c>
      <c r="R1223">
        <v>1</v>
      </c>
      <c r="S1223" t="s">
        <v>37163</v>
      </c>
      <c r="U1223">
        <v>2.5992469800000002</v>
      </c>
      <c r="V1223">
        <v>14.17</v>
      </c>
      <c r="X1223" t="s">
        <v>6090</v>
      </c>
      <c r="Y1223" t="s">
        <v>6067</v>
      </c>
      <c r="Z1223" t="s">
        <v>6067</v>
      </c>
      <c r="AA1223" t="s">
        <v>6081</v>
      </c>
      <c r="AB1223" t="s">
        <v>37170</v>
      </c>
      <c r="AC1223" t="s">
        <v>34465</v>
      </c>
      <c r="AD1223" t="s">
        <v>34796</v>
      </c>
      <c r="AE1223" t="s">
        <v>14701</v>
      </c>
      <c r="AF1223" t="s">
        <v>37171</v>
      </c>
      <c r="AG1223" t="s">
        <v>37160</v>
      </c>
    </row>
    <row r="1224" spans="1:33" x14ac:dyDescent="0.25">
      <c r="A1224" t="s">
        <v>34462</v>
      </c>
      <c r="B1224" t="s">
        <v>6095</v>
      </c>
      <c r="C1224" t="s">
        <v>6097</v>
      </c>
      <c r="F1224">
        <v>2563893</v>
      </c>
      <c r="G1224">
        <v>2700083</v>
      </c>
      <c r="J1224">
        <v>1</v>
      </c>
      <c r="K1224">
        <v>1</v>
      </c>
      <c r="O1224">
        <v>0</v>
      </c>
      <c r="Q1224">
        <v>1</v>
      </c>
      <c r="R1224">
        <v>1</v>
      </c>
      <c r="S1224" t="s">
        <v>37163</v>
      </c>
      <c r="U1224">
        <v>2.5992469800000002</v>
      </c>
      <c r="V1224">
        <v>14.17</v>
      </c>
      <c r="X1224" t="s">
        <v>6094</v>
      </c>
      <c r="Y1224" t="s">
        <v>6067</v>
      </c>
      <c r="Z1224" t="s">
        <v>6067</v>
      </c>
      <c r="AA1224" t="s">
        <v>6076</v>
      </c>
      <c r="AB1224" t="s">
        <v>37172</v>
      </c>
      <c r="AC1224" t="s">
        <v>34465</v>
      </c>
      <c r="AD1224" t="s">
        <v>34796</v>
      </c>
      <c r="AE1224" t="s">
        <v>14701</v>
      </c>
      <c r="AF1224" t="s">
        <v>37173</v>
      </c>
      <c r="AG1224" t="s">
        <v>37160</v>
      </c>
    </row>
    <row r="1225" spans="1:33" x14ac:dyDescent="0.25">
      <c r="A1225" t="s">
        <v>34462</v>
      </c>
      <c r="B1225" t="s">
        <v>6099</v>
      </c>
      <c r="C1225" t="s">
        <v>6101</v>
      </c>
      <c r="F1225">
        <v>2563893</v>
      </c>
      <c r="G1225">
        <v>2685925</v>
      </c>
      <c r="J1225">
        <v>1</v>
      </c>
      <c r="K1225">
        <v>1</v>
      </c>
      <c r="O1225">
        <v>0</v>
      </c>
      <c r="Q1225">
        <v>1</v>
      </c>
      <c r="R1225">
        <v>1</v>
      </c>
      <c r="S1225" t="s">
        <v>37163</v>
      </c>
      <c r="U1225">
        <v>2.5992469800000002</v>
      </c>
      <c r="V1225">
        <v>14.17</v>
      </c>
      <c r="X1225" t="s">
        <v>6098</v>
      </c>
      <c r="Y1225" t="s">
        <v>6067</v>
      </c>
      <c r="Z1225" t="s">
        <v>6067</v>
      </c>
      <c r="AA1225" t="s">
        <v>76</v>
      </c>
      <c r="AB1225" t="s">
        <v>37174</v>
      </c>
      <c r="AC1225" t="s">
        <v>34465</v>
      </c>
      <c r="AD1225" t="s">
        <v>34796</v>
      </c>
      <c r="AE1225" t="s">
        <v>34525</v>
      </c>
      <c r="AF1225" t="s">
        <v>37175</v>
      </c>
      <c r="AG1225" t="s">
        <v>37160</v>
      </c>
    </row>
    <row r="1226" spans="1:33" x14ac:dyDescent="0.25">
      <c r="A1226" t="s">
        <v>34462</v>
      </c>
      <c r="B1226" t="s">
        <v>6103</v>
      </c>
      <c r="C1226" t="s">
        <v>6105</v>
      </c>
      <c r="D1226">
        <v>103.93</v>
      </c>
      <c r="F1226">
        <v>2563893</v>
      </c>
      <c r="G1226">
        <v>2705175</v>
      </c>
      <c r="I1226">
        <v>103.93</v>
      </c>
      <c r="J1226">
        <v>1</v>
      </c>
      <c r="K1226">
        <v>1</v>
      </c>
      <c r="O1226">
        <v>0</v>
      </c>
      <c r="Q1226">
        <v>1</v>
      </c>
      <c r="R1226">
        <v>1</v>
      </c>
      <c r="S1226" t="s">
        <v>37163</v>
      </c>
      <c r="U1226">
        <v>2.40083118</v>
      </c>
      <c r="V1226">
        <v>13.41</v>
      </c>
      <c r="X1226" t="s">
        <v>6102</v>
      </c>
      <c r="Y1226" t="s">
        <v>6067</v>
      </c>
      <c r="Z1226" t="s">
        <v>6067</v>
      </c>
      <c r="AA1226" t="s">
        <v>138</v>
      </c>
      <c r="AB1226" t="s">
        <v>37176</v>
      </c>
      <c r="AC1226" t="s">
        <v>34465</v>
      </c>
      <c r="AD1226" t="s">
        <v>34796</v>
      </c>
      <c r="AE1226" t="s">
        <v>34525</v>
      </c>
      <c r="AF1226" t="s">
        <v>37165</v>
      </c>
      <c r="AG1226" t="s">
        <v>37160</v>
      </c>
    </row>
    <row r="1227" spans="1:33" x14ac:dyDescent="0.25">
      <c r="A1227" t="s">
        <v>34462</v>
      </c>
      <c r="B1227" t="s">
        <v>6107</v>
      </c>
      <c r="C1227" t="s">
        <v>6109</v>
      </c>
      <c r="F1227">
        <v>2563893</v>
      </c>
      <c r="G1227">
        <v>2694282</v>
      </c>
      <c r="J1227">
        <v>1</v>
      </c>
      <c r="K1227">
        <v>1</v>
      </c>
      <c r="N1227">
        <v>3</v>
      </c>
      <c r="O1227">
        <v>0</v>
      </c>
      <c r="P1227">
        <v>1</v>
      </c>
      <c r="Q1227">
        <v>1</v>
      </c>
      <c r="R1227">
        <v>1</v>
      </c>
      <c r="S1227" t="s">
        <v>37163</v>
      </c>
      <c r="U1227">
        <v>2.5992469800000002</v>
      </c>
      <c r="V1227">
        <v>14.17</v>
      </c>
      <c r="X1227" t="s">
        <v>6106</v>
      </c>
      <c r="Y1227" t="s">
        <v>6067</v>
      </c>
      <c r="Z1227" t="s">
        <v>6067</v>
      </c>
      <c r="AA1227" t="s">
        <v>6076</v>
      </c>
      <c r="AB1227" t="s">
        <v>37177</v>
      </c>
      <c r="AC1227" t="s">
        <v>34465</v>
      </c>
      <c r="AD1227" t="s">
        <v>34796</v>
      </c>
      <c r="AE1227" t="s">
        <v>34525</v>
      </c>
      <c r="AF1227" t="s">
        <v>37173</v>
      </c>
      <c r="AG1227" t="s">
        <v>37160</v>
      </c>
    </row>
    <row r="1228" spans="1:33" x14ac:dyDescent="0.25">
      <c r="A1228" t="s">
        <v>34462</v>
      </c>
      <c r="B1228" t="s">
        <v>6111</v>
      </c>
      <c r="C1228" t="s">
        <v>6113</v>
      </c>
      <c r="F1228">
        <v>6569481</v>
      </c>
      <c r="G1228">
        <v>6348969</v>
      </c>
      <c r="J1228">
        <v>1</v>
      </c>
      <c r="K1228">
        <v>1</v>
      </c>
      <c r="N1228">
        <v>5</v>
      </c>
      <c r="O1228">
        <v>0</v>
      </c>
      <c r="P1228">
        <v>1</v>
      </c>
      <c r="Q1228">
        <v>0</v>
      </c>
      <c r="R1228">
        <v>0</v>
      </c>
      <c r="U1228">
        <v>2.5992469800000002</v>
      </c>
      <c r="V1228">
        <v>14.17</v>
      </c>
      <c r="X1228" t="s">
        <v>6110</v>
      </c>
      <c r="Y1228" t="s">
        <v>6067</v>
      </c>
      <c r="Z1228" t="s">
        <v>6067</v>
      </c>
      <c r="AA1228" t="s">
        <v>6081</v>
      </c>
      <c r="AB1228" t="s">
        <v>37178</v>
      </c>
      <c r="AC1228" t="s">
        <v>34465</v>
      </c>
      <c r="AD1228" t="s">
        <v>34796</v>
      </c>
      <c r="AE1228" t="s">
        <v>34525</v>
      </c>
      <c r="AF1228" t="s">
        <v>37171</v>
      </c>
    </row>
    <row r="1229" spans="1:33" x14ac:dyDescent="0.25">
      <c r="A1229" t="s">
        <v>34462</v>
      </c>
      <c r="B1229" t="s">
        <v>6115</v>
      </c>
      <c r="C1229" t="s">
        <v>6117</v>
      </c>
      <c r="F1229">
        <v>2563893</v>
      </c>
      <c r="G1229">
        <v>2697804</v>
      </c>
      <c r="J1229">
        <v>1</v>
      </c>
      <c r="K1229">
        <v>1</v>
      </c>
      <c r="N1229">
        <v>3</v>
      </c>
      <c r="O1229">
        <v>0</v>
      </c>
      <c r="P1229">
        <v>1</v>
      </c>
      <c r="Q1229">
        <v>1</v>
      </c>
      <c r="R1229">
        <v>1</v>
      </c>
      <c r="S1229" t="s">
        <v>37163</v>
      </c>
      <c r="U1229">
        <v>2.5992469800000002</v>
      </c>
      <c r="V1229">
        <v>14.17</v>
      </c>
      <c r="X1229" t="s">
        <v>6114</v>
      </c>
      <c r="Y1229" t="s">
        <v>6067</v>
      </c>
      <c r="Z1229" t="s">
        <v>6067</v>
      </c>
      <c r="AA1229" t="s">
        <v>6081</v>
      </c>
      <c r="AB1229" t="s">
        <v>37179</v>
      </c>
      <c r="AC1229" t="s">
        <v>34465</v>
      </c>
      <c r="AD1229" t="s">
        <v>34796</v>
      </c>
      <c r="AE1229" t="s">
        <v>34649</v>
      </c>
      <c r="AF1229" t="s">
        <v>37171</v>
      </c>
      <c r="AG1229" t="s">
        <v>37160</v>
      </c>
    </row>
    <row r="1230" spans="1:33" x14ac:dyDescent="0.25">
      <c r="A1230" t="s">
        <v>34462</v>
      </c>
      <c r="B1230" t="s">
        <v>6119</v>
      </c>
      <c r="C1230" t="s">
        <v>6122</v>
      </c>
      <c r="D1230">
        <v>35</v>
      </c>
      <c r="E1230">
        <v>35</v>
      </c>
      <c r="H1230">
        <v>52.48</v>
      </c>
      <c r="I1230">
        <v>52.48</v>
      </c>
      <c r="J1230">
        <v>0</v>
      </c>
      <c r="K1230">
        <v>1</v>
      </c>
      <c r="L1230">
        <v>2</v>
      </c>
      <c r="M1230">
        <v>2</v>
      </c>
      <c r="Q1230">
        <v>-1</v>
      </c>
      <c r="R1230">
        <v>-1</v>
      </c>
      <c r="U1230">
        <v>2.46035592</v>
      </c>
      <c r="V1230">
        <v>8.1999999999999993</v>
      </c>
      <c r="W1230">
        <v>5.95</v>
      </c>
      <c r="X1230" t="s">
        <v>6118</v>
      </c>
      <c r="Y1230" t="s">
        <v>6123</v>
      </c>
      <c r="Z1230" t="s">
        <v>6123</v>
      </c>
      <c r="AA1230" t="s">
        <v>6124</v>
      </c>
      <c r="AB1230" t="s">
        <v>37180</v>
      </c>
      <c r="AC1230" t="s">
        <v>34465</v>
      </c>
      <c r="AD1230" t="s">
        <v>34870</v>
      </c>
      <c r="AE1230" t="s">
        <v>8427</v>
      </c>
      <c r="AF1230" t="s">
        <v>37181</v>
      </c>
      <c r="AG1230" t="s">
        <v>37182</v>
      </c>
    </row>
    <row r="1231" spans="1:33" x14ac:dyDescent="0.25">
      <c r="A1231" t="s">
        <v>34462</v>
      </c>
      <c r="B1231" t="s">
        <v>6126</v>
      </c>
      <c r="C1231" t="s">
        <v>6122</v>
      </c>
      <c r="D1231">
        <v>35</v>
      </c>
      <c r="E1231">
        <v>35</v>
      </c>
      <c r="H1231">
        <v>52.43</v>
      </c>
      <c r="I1231">
        <v>52.43</v>
      </c>
      <c r="J1231">
        <v>0</v>
      </c>
      <c r="K1231">
        <v>1</v>
      </c>
      <c r="L1231">
        <v>2</v>
      </c>
      <c r="M1231">
        <v>2</v>
      </c>
      <c r="Q1231">
        <v>-1</v>
      </c>
      <c r="R1231">
        <v>-1</v>
      </c>
      <c r="U1231">
        <v>2.46035592</v>
      </c>
      <c r="V1231">
        <v>8.1999999999999993</v>
      </c>
      <c r="W1231">
        <v>5.95</v>
      </c>
      <c r="X1231" t="s">
        <v>6125</v>
      </c>
      <c r="Y1231" t="s">
        <v>6128</v>
      </c>
      <c r="Z1231" t="s">
        <v>6128</v>
      </c>
      <c r="AA1231" t="s">
        <v>6124</v>
      </c>
      <c r="AB1231" t="s">
        <v>37183</v>
      </c>
      <c r="AC1231" t="s">
        <v>34465</v>
      </c>
      <c r="AD1231" t="s">
        <v>34870</v>
      </c>
      <c r="AE1231" t="s">
        <v>8439</v>
      </c>
      <c r="AF1231" t="s">
        <v>37184</v>
      </c>
      <c r="AG1231" t="s">
        <v>37182</v>
      </c>
    </row>
    <row r="1232" spans="1:33" x14ac:dyDescent="0.25">
      <c r="A1232" t="s">
        <v>34462</v>
      </c>
      <c r="B1232" t="s">
        <v>6130</v>
      </c>
      <c r="C1232" t="s">
        <v>6122</v>
      </c>
      <c r="D1232">
        <v>52</v>
      </c>
      <c r="E1232">
        <v>52</v>
      </c>
      <c r="H1232">
        <v>57.64</v>
      </c>
      <c r="I1232">
        <v>57.64</v>
      </c>
      <c r="J1232">
        <v>0</v>
      </c>
      <c r="K1232">
        <v>1</v>
      </c>
      <c r="L1232">
        <v>1</v>
      </c>
      <c r="M1232">
        <v>1</v>
      </c>
      <c r="Q1232">
        <v>-1</v>
      </c>
      <c r="R1232">
        <v>-1</v>
      </c>
      <c r="U1232">
        <v>2.46035592</v>
      </c>
      <c r="V1232">
        <v>8.1999999999999993</v>
      </c>
      <c r="W1232">
        <v>8.84</v>
      </c>
      <c r="X1232" t="s">
        <v>6129</v>
      </c>
      <c r="Y1232" t="s">
        <v>37185</v>
      </c>
      <c r="AA1232" t="s">
        <v>6124</v>
      </c>
      <c r="AB1232" t="s">
        <v>37186</v>
      </c>
      <c r="AC1232" t="s">
        <v>34465</v>
      </c>
      <c r="AD1232" t="s">
        <v>34870</v>
      </c>
      <c r="AE1232" t="s">
        <v>8451</v>
      </c>
      <c r="AF1232" t="s">
        <v>37184</v>
      </c>
      <c r="AG1232" t="s">
        <v>37182</v>
      </c>
    </row>
    <row r="1233" spans="1:33" x14ac:dyDescent="0.25">
      <c r="A1233" t="s">
        <v>34462</v>
      </c>
      <c r="B1233" t="s">
        <v>6133</v>
      </c>
      <c r="C1233" t="s">
        <v>6122</v>
      </c>
      <c r="D1233">
        <v>52</v>
      </c>
      <c r="E1233">
        <v>52</v>
      </c>
      <c r="H1233">
        <v>57.87</v>
      </c>
      <c r="I1233">
        <v>57.87</v>
      </c>
      <c r="J1233">
        <v>0</v>
      </c>
      <c r="K1233">
        <v>1</v>
      </c>
      <c r="L1233">
        <v>1</v>
      </c>
      <c r="M1233">
        <v>1</v>
      </c>
      <c r="Q1233">
        <v>-1</v>
      </c>
      <c r="R1233">
        <v>-1</v>
      </c>
      <c r="U1233">
        <v>2.46035592</v>
      </c>
      <c r="V1233">
        <v>8.1999999999999993</v>
      </c>
      <c r="W1233">
        <v>8.84</v>
      </c>
      <c r="X1233" t="s">
        <v>6132</v>
      </c>
      <c r="Y1233" t="s">
        <v>37187</v>
      </c>
      <c r="AA1233" t="s">
        <v>6124</v>
      </c>
      <c r="AB1233" t="s">
        <v>37188</v>
      </c>
      <c r="AC1233" t="s">
        <v>34465</v>
      </c>
      <c r="AD1233" t="s">
        <v>34870</v>
      </c>
      <c r="AE1233" t="s">
        <v>8462</v>
      </c>
      <c r="AF1233" t="s">
        <v>37184</v>
      </c>
      <c r="AG1233" t="s">
        <v>37182</v>
      </c>
    </row>
    <row r="1234" spans="1:33" x14ac:dyDescent="0.25">
      <c r="A1234" t="s">
        <v>34462</v>
      </c>
      <c r="B1234" t="s">
        <v>6136</v>
      </c>
      <c r="C1234" t="s">
        <v>6139</v>
      </c>
      <c r="D1234">
        <v>34.97</v>
      </c>
      <c r="E1234">
        <v>30.6</v>
      </c>
      <c r="F1234">
        <v>54950</v>
      </c>
      <c r="G1234">
        <v>21112</v>
      </c>
      <c r="H1234">
        <v>33.18</v>
      </c>
      <c r="I1234">
        <v>35.83</v>
      </c>
      <c r="J1234">
        <v>0</v>
      </c>
      <c r="K1234">
        <v>0</v>
      </c>
      <c r="L1234">
        <v>11</v>
      </c>
      <c r="M1234">
        <v>9</v>
      </c>
      <c r="N1234">
        <v>4.5999999999999996</v>
      </c>
      <c r="O1234">
        <v>14</v>
      </c>
      <c r="P1234">
        <v>771</v>
      </c>
      <c r="Q1234">
        <v>51</v>
      </c>
      <c r="R1234">
        <v>148</v>
      </c>
      <c r="S1234" t="s">
        <v>34531</v>
      </c>
      <c r="T1234">
        <v>100</v>
      </c>
      <c r="U1234">
        <v>0.59965663999999996</v>
      </c>
      <c r="V1234">
        <v>6.67</v>
      </c>
      <c r="W1234">
        <v>5.94</v>
      </c>
      <c r="X1234" t="s">
        <v>6135</v>
      </c>
      <c r="Y1234" t="s">
        <v>152</v>
      </c>
      <c r="Z1234" t="s">
        <v>152</v>
      </c>
      <c r="AA1234" t="s">
        <v>6140</v>
      </c>
      <c r="AB1234" t="s">
        <v>37189</v>
      </c>
      <c r="AC1234" t="s">
        <v>34493</v>
      </c>
      <c r="AD1234" t="s">
        <v>8078</v>
      </c>
      <c r="AE1234" t="s">
        <v>34533</v>
      </c>
      <c r="AF1234" t="s">
        <v>37190</v>
      </c>
      <c r="AG1234" t="s">
        <v>34535</v>
      </c>
    </row>
    <row r="1235" spans="1:33" x14ac:dyDescent="0.25">
      <c r="A1235" t="s">
        <v>34462</v>
      </c>
      <c r="B1235" t="s">
        <v>6142</v>
      </c>
      <c r="C1235" t="s">
        <v>6144</v>
      </c>
      <c r="D1235">
        <v>34.97</v>
      </c>
      <c r="E1235">
        <v>30.6</v>
      </c>
      <c r="F1235">
        <v>50994</v>
      </c>
      <c r="G1235">
        <v>21123</v>
      </c>
      <c r="H1235">
        <v>33.74</v>
      </c>
      <c r="I1235">
        <v>36.28</v>
      </c>
      <c r="J1235">
        <v>0</v>
      </c>
      <c r="K1235">
        <v>0</v>
      </c>
      <c r="L1235">
        <v>13</v>
      </c>
      <c r="M1235">
        <v>13</v>
      </c>
      <c r="N1235">
        <v>4.5999999999999996</v>
      </c>
      <c r="O1235">
        <v>45</v>
      </c>
      <c r="P1235">
        <v>770</v>
      </c>
      <c r="Q1235">
        <v>43</v>
      </c>
      <c r="R1235">
        <v>117</v>
      </c>
      <c r="S1235" t="s">
        <v>34531</v>
      </c>
      <c r="T1235">
        <v>200</v>
      </c>
      <c r="U1235">
        <v>0.55115499999999995</v>
      </c>
      <c r="V1235">
        <v>7.24</v>
      </c>
      <c r="W1235">
        <v>5.94</v>
      </c>
      <c r="X1235" t="s">
        <v>6141</v>
      </c>
      <c r="Y1235" t="s">
        <v>152</v>
      </c>
      <c r="Z1235" t="s">
        <v>152</v>
      </c>
      <c r="AA1235" t="s">
        <v>6140</v>
      </c>
      <c r="AB1235" t="s">
        <v>37191</v>
      </c>
      <c r="AC1235" t="s">
        <v>34493</v>
      </c>
      <c r="AD1235" t="s">
        <v>8078</v>
      </c>
      <c r="AE1235" t="s">
        <v>14701</v>
      </c>
      <c r="AF1235" t="s">
        <v>37192</v>
      </c>
      <c r="AG1235" t="s">
        <v>34535</v>
      </c>
    </row>
    <row r="1236" spans="1:33" x14ac:dyDescent="0.25">
      <c r="A1236" t="s">
        <v>34462</v>
      </c>
      <c r="B1236" t="s">
        <v>6146</v>
      </c>
      <c r="C1236" t="s">
        <v>6149</v>
      </c>
      <c r="D1236">
        <v>13</v>
      </c>
      <c r="E1236">
        <v>13</v>
      </c>
      <c r="F1236">
        <v>69499</v>
      </c>
      <c r="G1236">
        <v>50110</v>
      </c>
      <c r="H1236">
        <v>17.59</v>
      </c>
      <c r="I1236">
        <v>22.24</v>
      </c>
      <c r="J1236">
        <v>0</v>
      </c>
      <c r="K1236">
        <v>1</v>
      </c>
      <c r="L1236">
        <v>6</v>
      </c>
      <c r="M1236">
        <v>6</v>
      </c>
      <c r="N1236">
        <v>4.8</v>
      </c>
      <c r="O1236">
        <v>0</v>
      </c>
      <c r="P1236">
        <v>569</v>
      </c>
      <c r="Q1236">
        <v>9</v>
      </c>
      <c r="R1236">
        <v>82</v>
      </c>
      <c r="S1236" t="s">
        <v>35922</v>
      </c>
      <c r="U1236">
        <v>0.39903622</v>
      </c>
      <c r="V1236">
        <v>3.35</v>
      </c>
      <c r="W1236">
        <v>1.3</v>
      </c>
      <c r="X1236" t="s">
        <v>6145</v>
      </c>
      <c r="AA1236" t="s">
        <v>6150</v>
      </c>
      <c r="AB1236" t="s">
        <v>37193</v>
      </c>
      <c r="AC1236" t="s">
        <v>34465</v>
      </c>
      <c r="AD1236" t="s">
        <v>11496</v>
      </c>
      <c r="AE1236" t="s">
        <v>34826</v>
      </c>
      <c r="AF1236" t="s">
        <v>37194</v>
      </c>
      <c r="AG1236" t="s">
        <v>35921</v>
      </c>
    </row>
    <row r="1237" spans="1:33" x14ac:dyDescent="0.25">
      <c r="A1237" t="s">
        <v>34462</v>
      </c>
      <c r="B1237" t="s">
        <v>6152</v>
      </c>
      <c r="C1237" t="s">
        <v>6154</v>
      </c>
      <c r="D1237">
        <v>20.010000000000002</v>
      </c>
      <c r="E1237">
        <v>20</v>
      </c>
      <c r="F1237">
        <v>53837</v>
      </c>
      <c r="G1237">
        <v>1845295</v>
      </c>
      <c r="H1237">
        <v>21.4</v>
      </c>
      <c r="I1237">
        <v>24.56</v>
      </c>
      <c r="J1237">
        <v>0</v>
      </c>
      <c r="K1237">
        <v>1</v>
      </c>
      <c r="L1237">
        <v>18</v>
      </c>
      <c r="M1237">
        <v>16</v>
      </c>
      <c r="N1237">
        <v>4.8</v>
      </c>
      <c r="O1237">
        <v>0</v>
      </c>
      <c r="P1237">
        <v>562</v>
      </c>
      <c r="Q1237">
        <v>12</v>
      </c>
      <c r="R1237">
        <v>77</v>
      </c>
      <c r="S1237" t="s">
        <v>35922</v>
      </c>
      <c r="U1237">
        <v>0.39903622</v>
      </c>
      <c r="V1237">
        <v>3.35</v>
      </c>
      <c r="W1237">
        <v>3.4</v>
      </c>
      <c r="X1237" t="s">
        <v>6151</v>
      </c>
      <c r="Z1237" t="s">
        <v>1452</v>
      </c>
      <c r="AA1237" t="s">
        <v>6150</v>
      </c>
      <c r="AB1237" t="s">
        <v>37195</v>
      </c>
      <c r="AC1237" t="s">
        <v>34465</v>
      </c>
      <c r="AD1237" t="s">
        <v>11496</v>
      </c>
      <c r="AE1237" t="s">
        <v>34510</v>
      </c>
      <c r="AF1237" t="s">
        <v>37196</v>
      </c>
    </row>
    <row r="1238" spans="1:33" x14ac:dyDescent="0.25">
      <c r="A1238" t="s">
        <v>34462</v>
      </c>
      <c r="B1238" t="s">
        <v>6157</v>
      </c>
      <c r="C1238" t="s">
        <v>6159</v>
      </c>
      <c r="D1238">
        <v>16.98</v>
      </c>
      <c r="E1238">
        <v>16.98</v>
      </c>
      <c r="F1238">
        <v>53837</v>
      </c>
      <c r="G1238">
        <v>493073</v>
      </c>
      <c r="H1238">
        <v>19.05</v>
      </c>
      <c r="I1238">
        <v>20.39</v>
      </c>
      <c r="J1238">
        <v>0</v>
      </c>
      <c r="K1238">
        <v>1</v>
      </c>
      <c r="L1238">
        <v>13</v>
      </c>
      <c r="M1238">
        <v>13</v>
      </c>
      <c r="O1238">
        <v>0</v>
      </c>
      <c r="Q1238">
        <v>7</v>
      </c>
      <c r="R1238">
        <v>72</v>
      </c>
      <c r="S1238" t="s">
        <v>35922</v>
      </c>
      <c r="U1238">
        <v>0.39903622</v>
      </c>
      <c r="V1238">
        <v>3.42</v>
      </c>
      <c r="W1238">
        <v>1.7</v>
      </c>
      <c r="X1238" t="s">
        <v>6156</v>
      </c>
      <c r="AA1238" t="s">
        <v>6150</v>
      </c>
      <c r="AB1238" t="s">
        <v>37197</v>
      </c>
      <c r="AC1238" t="s">
        <v>34465</v>
      </c>
      <c r="AD1238" t="s">
        <v>11496</v>
      </c>
      <c r="AE1238" t="s">
        <v>34506</v>
      </c>
      <c r="AF1238" t="s">
        <v>37194</v>
      </c>
      <c r="AG1238" t="s">
        <v>35921</v>
      </c>
    </row>
    <row r="1239" spans="1:33" x14ac:dyDescent="0.25">
      <c r="A1239" t="s">
        <v>34462</v>
      </c>
      <c r="B1239" t="s">
        <v>6161</v>
      </c>
      <c r="C1239" t="s">
        <v>6163</v>
      </c>
      <c r="D1239">
        <v>18.39</v>
      </c>
      <c r="E1239">
        <v>18.39</v>
      </c>
      <c r="F1239">
        <v>70317</v>
      </c>
      <c r="G1239">
        <v>835509</v>
      </c>
      <c r="H1239">
        <v>17.46</v>
      </c>
      <c r="I1239">
        <v>22.27</v>
      </c>
      <c r="J1239">
        <v>0</v>
      </c>
      <c r="K1239">
        <v>1</v>
      </c>
      <c r="L1239">
        <v>14</v>
      </c>
      <c r="M1239">
        <v>13</v>
      </c>
      <c r="N1239">
        <v>4.8</v>
      </c>
      <c r="O1239">
        <v>0</v>
      </c>
      <c r="P1239">
        <v>569</v>
      </c>
      <c r="Q1239">
        <v>12</v>
      </c>
      <c r="R1239">
        <v>87</v>
      </c>
      <c r="S1239" t="s">
        <v>35922</v>
      </c>
      <c r="U1239">
        <v>0.39903622</v>
      </c>
      <c r="V1239">
        <v>3.35</v>
      </c>
      <c r="W1239">
        <v>1.84</v>
      </c>
      <c r="X1239" t="s">
        <v>6160</v>
      </c>
      <c r="Z1239" t="s">
        <v>1452</v>
      </c>
      <c r="AA1239" t="s">
        <v>6150</v>
      </c>
      <c r="AB1239" t="s">
        <v>37198</v>
      </c>
      <c r="AC1239" t="s">
        <v>34465</v>
      </c>
      <c r="AD1239" t="s">
        <v>11496</v>
      </c>
      <c r="AE1239" t="s">
        <v>34512</v>
      </c>
      <c r="AF1239" t="s">
        <v>37194</v>
      </c>
    </row>
    <row r="1240" spans="1:33" x14ac:dyDescent="0.25">
      <c r="A1240" t="s">
        <v>34462</v>
      </c>
      <c r="B1240" t="s">
        <v>6165</v>
      </c>
      <c r="C1240" t="s">
        <v>6167</v>
      </c>
      <c r="D1240">
        <v>19.88</v>
      </c>
      <c r="E1240">
        <v>19.88</v>
      </c>
      <c r="F1240">
        <v>70317</v>
      </c>
      <c r="G1240">
        <v>155048</v>
      </c>
      <c r="H1240">
        <v>18.41</v>
      </c>
      <c r="I1240">
        <v>22.96</v>
      </c>
      <c r="J1240">
        <v>0</v>
      </c>
      <c r="K1240">
        <v>1</v>
      </c>
      <c r="L1240">
        <v>17</v>
      </c>
      <c r="M1240">
        <v>15</v>
      </c>
      <c r="N1240">
        <v>4.8</v>
      </c>
      <c r="O1240">
        <v>0</v>
      </c>
      <c r="P1240">
        <v>562</v>
      </c>
      <c r="Q1240">
        <v>22</v>
      </c>
      <c r="R1240">
        <v>99</v>
      </c>
      <c r="S1240" t="s">
        <v>35922</v>
      </c>
      <c r="U1240">
        <v>0.39903622</v>
      </c>
      <c r="V1240">
        <v>3.35</v>
      </c>
      <c r="W1240">
        <v>1.99</v>
      </c>
      <c r="X1240" t="s">
        <v>6164</v>
      </c>
      <c r="Z1240" t="s">
        <v>1452</v>
      </c>
      <c r="AA1240" t="s">
        <v>6150</v>
      </c>
      <c r="AB1240" t="s">
        <v>37199</v>
      </c>
      <c r="AC1240" t="s">
        <v>34465</v>
      </c>
      <c r="AD1240" t="s">
        <v>11496</v>
      </c>
      <c r="AE1240" t="s">
        <v>34832</v>
      </c>
      <c r="AF1240" t="s">
        <v>37196</v>
      </c>
    </row>
    <row r="1241" spans="1:33" x14ac:dyDescent="0.25">
      <c r="A1241" t="s">
        <v>34462</v>
      </c>
      <c r="B1241" t="s">
        <v>6170</v>
      </c>
      <c r="C1241" t="s">
        <v>6172</v>
      </c>
      <c r="D1241">
        <v>20</v>
      </c>
      <c r="E1241">
        <v>20</v>
      </c>
      <c r="G1241">
        <v>50920</v>
      </c>
      <c r="H1241">
        <v>18.09</v>
      </c>
      <c r="I1241">
        <v>22.49</v>
      </c>
      <c r="J1241">
        <v>0</v>
      </c>
      <c r="K1241">
        <v>1</v>
      </c>
      <c r="L1241">
        <v>11</v>
      </c>
      <c r="M1241">
        <v>9</v>
      </c>
      <c r="N1241">
        <v>4.8</v>
      </c>
      <c r="O1241">
        <v>0</v>
      </c>
      <c r="P1241">
        <v>561</v>
      </c>
      <c r="Q1241">
        <v>0</v>
      </c>
      <c r="R1241">
        <v>75</v>
      </c>
      <c r="S1241" t="s">
        <v>35922</v>
      </c>
      <c r="U1241">
        <v>0.39903622</v>
      </c>
      <c r="V1241">
        <v>3.35</v>
      </c>
      <c r="W1241">
        <v>3.4</v>
      </c>
      <c r="X1241" t="s">
        <v>6169</v>
      </c>
      <c r="AA1241" t="s">
        <v>6150</v>
      </c>
      <c r="AB1241" t="s">
        <v>37200</v>
      </c>
      <c r="AC1241" t="s">
        <v>34465</v>
      </c>
      <c r="AD1241" t="s">
        <v>11496</v>
      </c>
      <c r="AE1241" t="s">
        <v>34835</v>
      </c>
      <c r="AF1241" t="s">
        <v>37196</v>
      </c>
      <c r="AG1241" t="s">
        <v>35921</v>
      </c>
    </row>
    <row r="1242" spans="1:33" x14ac:dyDescent="0.25">
      <c r="A1242" t="s">
        <v>34462</v>
      </c>
      <c r="B1242" t="s">
        <v>6174</v>
      </c>
      <c r="C1242" t="s">
        <v>6176</v>
      </c>
      <c r="D1242">
        <v>14.29</v>
      </c>
      <c r="E1242">
        <v>14.29</v>
      </c>
      <c r="F1242">
        <v>53837</v>
      </c>
      <c r="G1242">
        <v>506102</v>
      </c>
      <c r="H1242">
        <v>16.309999999999999</v>
      </c>
      <c r="I1242">
        <v>21.29</v>
      </c>
      <c r="J1242">
        <v>0</v>
      </c>
      <c r="K1242">
        <v>1</v>
      </c>
      <c r="L1242">
        <v>14</v>
      </c>
      <c r="M1242">
        <v>12</v>
      </c>
      <c r="O1242">
        <v>0</v>
      </c>
      <c r="Q1242">
        <v>8</v>
      </c>
      <c r="R1242">
        <v>71</v>
      </c>
      <c r="S1242" t="s">
        <v>35922</v>
      </c>
      <c r="U1242">
        <v>0.39903622</v>
      </c>
      <c r="V1242">
        <v>3.35</v>
      </c>
      <c r="W1242">
        <v>0.71</v>
      </c>
      <c r="X1242" t="s">
        <v>6173</v>
      </c>
      <c r="AA1242" t="s">
        <v>6150</v>
      </c>
      <c r="AB1242" t="s">
        <v>37201</v>
      </c>
      <c r="AC1242" t="s">
        <v>34465</v>
      </c>
      <c r="AD1242" t="s">
        <v>11496</v>
      </c>
      <c r="AE1242" t="s">
        <v>36383</v>
      </c>
      <c r="AF1242" t="s">
        <v>37196</v>
      </c>
      <c r="AG1242" t="s">
        <v>35921</v>
      </c>
    </row>
    <row r="1243" spans="1:33" x14ac:dyDescent="0.25">
      <c r="A1243" t="s">
        <v>34462</v>
      </c>
      <c r="B1243" t="s">
        <v>6178</v>
      </c>
      <c r="C1243" t="s">
        <v>6181</v>
      </c>
      <c r="D1243">
        <v>33</v>
      </c>
      <c r="E1243">
        <v>33</v>
      </c>
      <c r="F1243">
        <v>115801</v>
      </c>
      <c r="G1243">
        <v>58510</v>
      </c>
      <c r="H1243">
        <v>37.56</v>
      </c>
      <c r="I1243">
        <v>37.89</v>
      </c>
      <c r="J1243">
        <v>0</v>
      </c>
      <c r="K1243">
        <v>0</v>
      </c>
      <c r="L1243">
        <v>6</v>
      </c>
      <c r="M1243">
        <v>6</v>
      </c>
      <c r="N1243">
        <v>4.7</v>
      </c>
      <c r="O1243">
        <v>0</v>
      </c>
      <c r="P1243">
        <v>178</v>
      </c>
      <c r="Q1243">
        <v>16</v>
      </c>
      <c r="R1243">
        <v>67</v>
      </c>
      <c r="S1243" t="s">
        <v>37202</v>
      </c>
      <c r="U1243">
        <v>1.21033638</v>
      </c>
      <c r="V1243">
        <v>7.02</v>
      </c>
      <c r="W1243">
        <v>5.61</v>
      </c>
      <c r="X1243" t="s">
        <v>6177</v>
      </c>
      <c r="Y1243" t="s">
        <v>6182</v>
      </c>
      <c r="Z1243" t="s">
        <v>6182</v>
      </c>
      <c r="AA1243" t="s">
        <v>6183</v>
      </c>
      <c r="AB1243" t="s">
        <v>37203</v>
      </c>
      <c r="AC1243" t="s">
        <v>34493</v>
      </c>
      <c r="AD1243" t="s">
        <v>8078</v>
      </c>
      <c r="AE1243" t="s">
        <v>8439</v>
      </c>
      <c r="AF1243" t="s">
        <v>37204</v>
      </c>
      <c r="AG1243" t="s">
        <v>37205</v>
      </c>
    </row>
    <row r="1244" spans="1:33" x14ac:dyDescent="0.25">
      <c r="A1244" t="s">
        <v>34462</v>
      </c>
      <c r="B1244" t="s">
        <v>6185</v>
      </c>
      <c r="C1244" t="s">
        <v>6188</v>
      </c>
      <c r="D1244">
        <v>10</v>
      </c>
      <c r="E1244">
        <v>10</v>
      </c>
      <c r="H1244">
        <v>13.9</v>
      </c>
      <c r="I1244">
        <v>17.940000000000001</v>
      </c>
      <c r="J1244">
        <v>0</v>
      </c>
      <c r="K1244">
        <v>1</v>
      </c>
      <c r="L1244">
        <v>6</v>
      </c>
      <c r="M1244">
        <v>4</v>
      </c>
      <c r="O1244">
        <v>0</v>
      </c>
      <c r="Q1244">
        <v>0</v>
      </c>
      <c r="R1244">
        <v>0</v>
      </c>
      <c r="U1244">
        <v>0.22928048000000001</v>
      </c>
      <c r="V1244">
        <v>4.67</v>
      </c>
      <c r="X1244" t="s">
        <v>6184</v>
      </c>
      <c r="Z1244" t="s">
        <v>4680</v>
      </c>
      <c r="AA1244" t="s">
        <v>6189</v>
      </c>
      <c r="AB1244" t="s">
        <v>37206</v>
      </c>
      <c r="AC1244" t="s">
        <v>34465</v>
      </c>
      <c r="AD1244" t="s">
        <v>11496</v>
      </c>
      <c r="AE1244" t="s">
        <v>34826</v>
      </c>
      <c r="AF1244" t="s">
        <v>37207</v>
      </c>
      <c r="AG1244" t="s">
        <v>34709</v>
      </c>
    </row>
    <row r="1245" spans="1:33" x14ac:dyDescent="0.25">
      <c r="A1245" t="s">
        <v>34462</v>
      </c>
      <c r="B1245" t="s">
        <v>6191</v>
      </c>
      <c r="C1245" t="s">
        <v>6193</v>
      </c>
      <c r="D1245">
        <v>9.99</v>
      </c>
      <c r="E1245">
        <v>9.99</v>
      </c>
      <c r="F1245">
        <v>1693767</v>
      </c>
      <c r="G1245">
        <v>4207534</v>
      </c>
      <c r="H1245">
        <v>12.78</v>
      </c>
      <c r="I1245">
        <v>19.77</v>
      </c>
      <c r="J1245">
        <v>0</v>
      </c>
      <c r="K1245">
        <v>1</v>
      </c>
      <c r="L1245">
        <v>13</v>
      </c>
      <c r="M1245">
        <v>12</v>
      </c>
      <c r="O1245">
        <v>0</v>
      </c>
      <c r="Q1245">
        <v>4</v>
      </c>
      <c r="R1245">
        <v>5</v>
      </c>
      <c r="U1245">
        <v>0.22928048000000001</v>
      </c>
      <c r="V1245">
        <v>4.6100000000000003</v>
      </c>
      <c r="W1245">
        <v>0.5</v>
      </c>
      <c r="X1245" t="s">
        <v>6190</v>
      </c>
      <c r="Z1245" t="s">
        <v>4680</v>
      </c>
      <c r="AA1245" t="s">
        <v>6189</v>
      </c>
      <c r="AB1245" t="s">
        <v>37208</v>
      </c>
      <c r="AC1245" t="s">
        <v>34465</v>
      </c>
      <c r="AD1245" t="s">
        <v>11496</v>
      </c>
      <c r="AE1245" t="s">
        <v>34510</v>
      </c>
      <c r="AF1245" t="s">
        <v>37209</v>
      </c>
      <c r="AG1245" t="s">
        <v>34709</v>
      </c>
    </row>
    <row r="1246" spans="1:33" x14ac:dyDescent="0.25">
      <c r="A1246" t="s">
        <v>34462</v>
      </c>
      <c r="B1246" t="s">
        <v>6196</v>
      </c>
      <c r="C1246" t="s">
        <v>6198</v>
      </c>
      <c r="D1246">
        <v>9.99</v>
      </c>
      <c r="E1246">
        <v>9.99</v>
      </c>
      <c r="G1246">
        <v>5951293</v>
      </c>
      <c r="H1246">
        <v>12.81</v>
      </c>
      <c r="I1246">
        <v>21.48</v>
      </c>
      <c r="J1246">
        <v>0</v>
      </c>
      <c r="K1246">
        <v>1</v>
      </c>
      <c r="L1246">
        <v>12</v>
      </c>
      <c r="M1246">
        <v>10</v>
      </c>
      <c r="N1246">
        <v>5</v>
      </c>
      <c r="O1246">
        <v>0</v>
      </c>
      <c r="P1246">
        <v>1</v>
      </c>
      <c r="Q1246">
        <v>0</v>
      </c>
      <c r="R1246">
        <v>0</v>
      </c>
      <c r="U1246">
        <v>0.22928048000000001</v>
      </c>
      <c r="V1246">
        <v>4.6100000000000003</v>
      </c>
      <c r="W1246">
        <v>0.5</v>
      </c>
      <c r="X1246" t="s">
        <v>6195</v>
      </c>
      <c r="Z1246" t="s">
        <v>4680</v>
      </c>
      <c r="AA1246" t="s">
        <v>6189</v>
      </c>
      <c r="AB1246" t="s">
        <v>37210</v>
      </c>
      <c r="AC1246" t="s">
        <v>34465</v>
      </c>
      <c r="AD1246" t="s">
        <v>11496</v>
      </c>
      <c r="AE1246" t="s">
        <v>34506</v>
      </c>
      <c r="AF1246" t="s">
        <v>37207</v>
      </c>
      <c r="AG1246" t="s">
        <v>34709</v>
      </c>
    </row>
    <row r="1247" spans="1:33" x14ac:dyDescent="0.25">
      <c r="A1247" t="s">
        <v>34462</v>
      </c>
      <c r="B1247" t="s">
        <v>6200</v>
      </c>
      <c r="C1247" t="s">
        <v>6202</v>
      </c>
      <c r="D1247">
        <v>9.99</v>
      </c>
      <c r="E1247">
        <v>9.99</v>
      </c>
      <c r="G1247">
        <v>5500519</v>
      </c>
      <c r="H1247">
        <v>16.57</v>
      </c>
      <c r="I1247">
        <v>21.59</v>
      </c>
      <c r="J1247">
        <v>0</v>
      </c>
      <c r="K1247">
        <v>1</v>
      </c>
      <c r="L1247">
        <v>10</v>
      </c>
      <c r="M1247">
        <v>9</v>
      </c>
      <c r="O1247">
        <v>0</v>
      </c>
      <c r="Q1247">
        <v>0</v>
      </c>
      <c r="R1247">
        <v>0</v>
      </c>
      <c r="U1247">
        <v>0.22928048000000001</v>
      </c>
      <c r="V1247">
        <v>4.6100000000000003</v>
      </c>
      <c r="W1247">
        <v>1</v>
      </c>
      <c r="X1247" t="s">
        <v>6199</v>
      </c>
      <c r="Z1247" t="s">
        <v>4680</v>
      </c>
      <c r="AA1247" t="s">
        <v>6189</v>
      </c>
      <c r="AB1247" t="s">
        <v>37211</v>
      </c>
      <c r="AC1247" t="s">
        <v>34465</v>
      </c>
      <c r="AD1247" t="s">
        <v>11496</v>
      </c>
      <c r="AE1247" t="s">
        <v>34512</v>
      </c>
      <c r="AF1247" t="s">
        <v>37209</v>
      </c>
      <c r="AG1247" t="s">
        <v>34709</v>
      </c>
    </row>
    <row r="1248" spans="1:33" x14ac:dyDescent="0.25">
      <c r="A1248" t="s">
        <v>34462</v>
      </c>
      <c r="B1248" t="s">
        <v>6204</v>
      </c>
      <c r="C1248" t="s">
        <v>6206</v>
      </c>
      <c r="D1248">
        <v>9.92</v>
      </c>
      <c r="E1248">
        <v>9.92</v>
      </c>
      <c r="G1248">
        <v>2438064</v>
      </c>
      <c r="H1248">
        <v>11.92</v>
      </c>
      <c r="I1248">
        <v>18.399999999999999</v>
      </c>
      <c r="J1248">
        <v>0</v>
      </c>
      <c r="K1248">
        <v>1</v>
      </c>
      <c r="L1248">
        <v>21</v>
      </c>
      <c r="M1248">
        <v>19</v>
      </c>
      <c r="O1248">
        <v>0</v>
      </c>
      <c r="Q1248">
        <v>0</v>
      </c>
      <c r="R1248">
        <v>3</v>
      </c>
      <c r="U1248">
        <v>0.22928048000000001</v>
      </c>
      <c r="V1248">
        <v>3.84</v>
      </c>
      <c r="W1248">
        <v>0.5</v>
      </c>
      <c r="X1248" t="s">
        <v>6203</v>
      </c>
      <c r="Z1248" t="s">
        <v>4680</v>
      </c>
      <c r="AA1248" t="s">
        <v>6189</v>
      </c>
      <c r="AB1248" t="s">
        <v>37212</v>
      </c>
      <c r="AC1248" t="s">
        <v>34465</v>
      </c>
      <c r="AD1248" t="s">
        <v>11496</v>
      </c>
      <c r="AE1248" t="s">
        <v>34832</v>
      </c>
      <c r="AF1248" t="s">
        <v>37209</v>
      </c>
      <c r="AG1248" t="s">
        <v>34709</v>
      </c>
    </row>
    <row r="1249" spans="1:33" x14ac:dyDescent="0.25">
      <c r="A1249" t="s">
        <v>34462</v>
      </c>
      <c r="B1249" t="s">
        <v>6208</v>
      </c>
      <c r="C1249" t="s">
        <v>6210</v>
      </c>
      <c r="D1249">
        <v>13.4</v>
      </c>
      <c r="E1249">
        <v>13.4</v>
      </c>
      <c r="G1249">
        <v>2841312</v>
      </c>
      <c r="H1249">
        <v>13.21</v>
      </c>
      <c r="I1249">
        <v>19.809999999999999</v>
      </c>
      <c r="J1249">
        <v>0</v>
      </c>
      <c r="K1249">
        <v>1</v>
      </c>
      <c r="L1249">
        <v>18</v>
      </c>
      <c r="M1249">
        <v>16</v>
      </c>
      <c r="O1249">
        <v>0</v>
      </c>
      <c r="Q1249">
        <v>0</v>
      </c>
      <c r="R1249">
        <v>3</v>
      </c>
      <c r="U1249">
        <v>0.22928048000000001</v>
      </c>
      <c r="V1249">
        <v>4.6100000000000003</v>
      </c>
      <c r="W1249">
        <v>0.67</v>
      </c>
      <c r="X1249" t="s">
        <v>6207</v>
      </c>
      <c r="Z1249" t="s">
        <v>4680</v>
      </c>
      <c r="AA1249" t="s">
        <v>6189</v>
      </c>
      <c r="AB1249" t="s">
        <v>37213</v>
      </c>
      <c r="AC1249" t="s">
        <v>34465</v>
      </c>
      <c r="AD1249" t="s">
        <v>11496</v>
      </c>
      <c r="AE1249" t="s">
        <v>34835</v>
      </c>
      <c r="AF1249" t="s">
        <v>37209</v>
      </c>
      <c r="AG1249" t="s">
        <v>34709</v>
      </c>
    </row>
    <row r="1250" spans="1:33" x14ac:dyDescent="0.25">
      <c r="A1250" t="s">
        <v>34462</v>
      </c>
      <c r="B1250" t="s">
        <v>6212</v>
      </c>
      <c r="C1250" t="s">
        <v>6214</v>
      </c>
      <c r="D1250">
        <v>10.01</v>
      </c>
      <c r="E1250">
        <v>10.01</v>
      </c>
      <c r="F1250">
        <v>2069650</v>
      </c>
      <c r="G1250">
        <v>5535913</v>
      </c>
      <c r="H1250">
        <v>14.61</v>
      </c>
      <c r="I1250">
        <v>20.51</v>
      </c>
      <c r="J1250">
        <v>0</v>
      </c>
      <c r="K1250">
        <v>1</v>
      </c>
      <c r="L1250">
        <v>15</v>
      </c>
      <c r="M1250">
        <v>14</v>
      </c>
      <c r="O1250">
        <v>0</v>
      </c>
      <c r="Q1250">
        <v>1</v>
      </c>
      <c r="R1250">
        <v>1</v>
      </c>
      <c r="U1250">
        <v>0.50926722000000002</v>
      </c>
      <c r="V1250">
        <v>5.82</v>
      </c>
      <c r="W1250">
        <v>0.5</v>
      </c>
      <c r="X1250" t="s">
        <v>6211</v>
      </c>
      <c r="Z1250" t="s">
        <v>4680</v>
      </c>
      <c r="AA1250" t="s">
        <v>6189</v>
      </c>
      <c r="AB1250" t="s">
        <v>37214</v>
      </c>
      <c r="AC1250" t="s">
        <v>34465</v>
      </c>
      <c r="AD1250" t="s">
        <v>11496</v>
      </c>
      <c r="AE1250" t="s">
        <v>36383</v>
      </c>
      <c r="AF1250" t="s">
        <v>37207</v>
      </c>
      <c r="AG1250" t="s">
        <v>34709</v>
      </c>
    </row>
    <row r="1251" spans="1:33" x14ac:dyDescent="0.25">
      <c r="A1251" t="s">
        <v>34462</v>
      </c>
      <c r="B1251" t="s">
        <v>6216</v>
      </c>
      <c r="C1251" t="s">
        <v>6219</v>
      </c>
      <c r="D1251">
        <v>34.99</v>
      </c>
      <c r="E1251">
        <v>34.99</v>
      </c>
      <c r="F1251">
        <v>1562538</v>
      </c>
      <c r="G1251">
        <v>1444733</v>
      </c>
      <c r="J1251">
        <v>0</v>
      </c>
      <c r="K1251">
        <v>1</v>
      </c>
      <c r="L1251">
        <v>1</v>
      </c>
      <c r="M1251">
        <v>1</v>
      </c>
      <c r="N1251">
        <v>4.8</v>
      </c>
      <c r="O1251">
        <v>0</v>
      </c>
      <c r="P1251">
        <v>55</v>
      </c>
      <c r="Q1251">
        <v>1</v>
      </c>
      <c r="R1251">
        <v>2</v>
      </c>
      <c r="S1251" t="s">
        <v>37215</v>
      </c>
      <c r="X1251" t="s">
        <v>6215</v>
      </c>
      <c r="AA1251" t="s">
        <v>6220</v>
      </c>
      <c r="AB1251" t="s">
        <v>37216</v>
      </c>
      <c r="AC1251" t="s">
        <v>34465</v>
      </c>
      <c r="AD1251" t="s">
        <v>15122</v>
      </c>
      <c r="AE1251" t="s">
        <v>100</v>
      </c>
      <c r="AF1251" t="s">
        <v>37217</v>
      </c>
    </row>
    <row r="1252" spans="1:33" x14ac:dyDescent="0.25">
      <c r="A1252" t="s">
        <v>34462</v>
      </c>
      <c r="B1252" t="s">
        <v>6222</v>
      </c>
      <c r="C1252" t="s">
        <v>6224</v>
      </c>
      <c r="D1252">
        <v>54.98</v>
      </c>
      <c r="E1252">
        <v>49.99</v>
      </c>
      <c r="F1252">
        <v>1417306</v>
      </c>
      <c r="G1252">
        <v>1344801</v>
      </c>
      <c r="H1252">
        <v>54.98</v>
      </c>
      <c r="I1252">
        <v>55.2</v>
      </c>
      <c r="J1252">
        <v>0</v>
      </c>
      <c r="K1252">
        <v>1</v>
      </c>
      <c r="L1252">
        <v>1</v>
      </c>
      <c r="M1252">
        <v>1</v>
      </c>
      <c r="N1252">
        <v>4.7</v>
      </c>
      <c r="O1252">
        <v>0</v>
      </c>
      <c r="P1252">
        <v>154</v>
      </c>
      <c r="Q1252">
        <v>0</v>
      </c>
      <c r="R1252">
        <v>0</v>
      </c>
      <c r="S1252" t="s">
        <v>37218</v>
      </c>
      <c r="X1252" t="s">
        <v>6221</v>
      </c>
      <c r="AA1252" t="s">
        <v>935</v>
      </c>
      <c r="AB1252" t="s">
        <v>37219</v>
      </c>
      <c r="AC1252" t="s">
        <v>34465</v>
      </c>
      <c r="AD1252" t="s">
        <v>15122</v>
      </c>
      <c r="AE1252" t="s">
        <v>277</v>
      </c>
      <c r="AF1252" t="s">
        <v>37220</v>
      </c>
      <c r="AG1252" t="s">
        <v>37221</v>
      </c>
    </row>
    <row r="1253" spans="1:33" x14ac:dyDescent="0.25">
      <c r="A1253" t="s">
        <v>34462</v>
      </c>
      <c r="B1253" t="s">
        <v>6226</v>
      </c>
      <c r="C1253" t="s">
        <v>6228</v>
      </c>
      <c r="D1253">
        <v>44.98</v>
      </c>
      <c r="E1253">
        <v>39.99</v>
      </c>
      <c r="H1253">
        <v>44.98</v>
      </c>
      <c r="I1253">
        <v>44.98</v>
      </c>
      <c r="J1253">
        <v>0</v>
      </c>
      <c r="K1253">
        <v>1</v>
      </c>
      <c r="L1253">
        <v>1</v>
      </c>
      <c r="M1253">
        <v>1</v>
      </c>
      <c r="Q1253">
        <v>-1</v>
      </c>
      <c r="R1253">
        <v>-1</v>
      </c>
      <c r="X1253" t="s">
        <v>6225</v>
      </c>
      <c r="AA1253" t="s">
        <v>935</v>
      </c>
      <c r="AB1253" t="s">
        <v>37222</v>
      </c>
      <c r="AC1253" t="s">
        <v>34465</v>
      </c>
      <c r="AD1253" t="s">
        <v>15122</v>
      </c>
      <c r="AE1253" t="s">
        <v>255</v>
      </c>
      <c r="AF1253" t="s">
        <v>37223</v>
      </c>
    </row>
    <row r="1254" spans="1:33" x14ac:dyDescent="0.25">
      <c r="A1254" t="s">
        <v>34462</v>
      </c>
      <c r="B1254" t="s">
        <v>6231</v>
      </c>
      <c r="C1254" t="s">
        <v>6233</v>
      </c>
      <c r="D1254">
        <v>44.9</v>
      </c>
      <c r="E1254">
        <v>39.909999999999997</v>
      </c>
      <c r="F1254">
        <v>1562538</v>
      </c>
      <c r="G1254">
        <v>1458353</v>
      </c>
      <c r="H1254">
        <v>44.9</v>
      </c>
      <c r="I1254">
        <v>44.9</v>
      </c>
      <c r="J1254">
        <v>0</v>
      </c>
      <c r="K1254">
        <v>1</v>
      </c>
      <c r="L1254">
        <v>1</v>
      </c>
      <c r="M1254">
        <v>1</v>
      </c>
      <c r="N1254">
        <v>4.8</v>
      </c>
      <c r="O1254">
        <v>0</v>
      </c>
      <c r="P1254">
        <v>54</v>
      </c>
      <c r="Q1254">
        <v>1</v>
      </c>
      <c r="R1254">
        <v>2</v>
      </c>
      <c r="S1254" t="s">
        <v>37215</v>
      </c>
      <c r="X1254" t="s">
        <v>6230</v>
      </c>
      <c r="AA1254" t="s">
        <v>6220</v>
      </c>
      <c r="AB1254" t="s">
        <v>37224</v>
      </c>
      <c r="AC1254" t="s">
        <v>34465</v>
      </c>
      <c r="AD1254" t="s">
        <v>15122</v>
      </c>
      <c r="AE1254" t="s">
        <v>290</v>
      </c>
      <c r="AF1254" t="s">
        <v>37217</v>
      </c>
      <c r="AG1254" t="s">
        <v>37225</v>
      </c>
    </row>
    <row r="1255" spans="1:33" x14ac:dyDescent="0.25">
      <c r="A1255" t="s">
        <v>34462</v>
      </c>
      <c r="B1255" t="s">
        <v>6235</v>
      </c>
      <c r="C1255" t="s">
        <v>6238</v>
      </c>
      <c r="J1255">
        <v>0.92</v>
      </c>
      <c r="K1255">
        <v>1</v>
      </c>
      <c r="L1255">
        <v>1</v>
      </c>
      <c r="Q1255">
        <v>-1</v>
      </c>
      <c r="R1255">
        <v>-1</v>
      </c>
      <c r="X1255" t="s">
        <v>6234</v>
      </c>
      <c r="AB1255" t="s">
        <v>37226</v>
      </c>
      <c r="AC1255" t="s">
        <v>34465</v>
      </c>
      <c r="AD1255" t="s">
        <v>34993</v>
      </c>
      <c r="AF1255" t="s">
        <v>37227</v>
      </c>
    </row>
    <row r="1256" spans="1:33" x14ac:dyDescent="0.25">
      <c r="A1256" t="s">
        <v>34462</v>
      </c>
      <c r="B1256" t="s">
        <v>6240</v>
      </c>
      <c r="C1256" t="s">
        <v>6243</v>
      </c>
      <c r="D1256">
        <v>38</v>
      </c>
      <c r="E1256">
        <v>38</v>
      </c>
      <c r="G1256">
        <v>135171</v>
      </c>
      <c r="I1256">
        <v>32.590000000000003</v>
      </c>
      <c r="J1256">
        <v>0.13</v>
      </c>
      <c r="K1256">
        <v>1</v>
      </c>
      <c r="L1256">
        <v>1</v>
      </c>
      <c r="M1256">
        <v>1</v>
      </c>
      <c r="O1256">
        <v>0</v>
      </c>
      <c r="Q1256">
        <v>0</v>
      </c>
      <c r="R1256">
        <v>36</v>
      </c>
      <c r="U1256">
        <v>2.7800258200000001</v>
      </c>
      <c r="V1256">
        <v>6.81</v>
      </c>
      <c r="X1256" t="s">
        <v>6239</v>
      </c>
      <c r="AB1256" t="s">
        <v>37228</v>
      </c>
      <c r="AC1256" t="s">
        <v>34465</v>
      </c>
      <c r="AD1256" t="s">
        <v>11496</v>
      </c>
      <c r="AG1256" t="s">
        <v>36715</v>
      </c>
    </row>
    <row r="1257" spans="1:33" x14ac:dyDescent="0.25">
      <c r="A1257" t="s">
        <v>34462</v>
      </c>
      <c r="B1257" t="s">
        <v>6245</v>
      </c>
      <c r="C1257" t="s">
        <v>6247</v>
      </c>
      <c r="D1257">
        <v>28.11</v>
      </c>
      <c r="E1257">
        <v>28.11</v>
      </c>
      <c r="G1257">
        <v>137624</v>
      </c>
      <c r="H1257">
        <v>26.45</v>
      </c>
      <c r="I1257">
        <v>26.79</v>
      </c>
      <c r="J1257">
        <v>0</v>
      </c>
      <c r="K1257">
        <v>1</v>
      </c>
      <c r="L1257">
        <v>7</v>
      </c>
      <c r="M1257">
        <v>5</v>
      </c>
      <c r="N1257">
        <v>4.7</v>
      </c>
      <c r="O1257">
        <v>0</v>
      </c>
      <c r="P1257">
        <v>524</v>
      </c>
      <c r="Q1257">
        <v>0</v>
      </c>
      <c r="R1257">
        <v>61</v>
      </c>
      <c r="U1257">
        <v>0.50926722000000002</v>
      </c>
      <c r="V1257">
        <v>5.82</v>
      </c>
      <c r="W1257">
        <v>4.78</v>
      </c>
      <c r="X1257" t="s">
        <v>6244</v>
      </c>
      <c r="AA1257" t="s">
        <v>497</v>
      </c>
      <c r="AB1257" t="s">
        <v>37229</v>
      </c>
      <c r="AC1257" t="s">
        <v>34465</v>
      </c>
      <c r="AD1257" t="s">
        <v>11496</v>
      </c>
      <c r="AF1257" t="s">
        <v>37230</v>
      </c>
      <c r="AG1257" t="s">
        <v>36715</v>
      </c>
    </row>
    <row r="1258" spans="1:33" x14ac:dyDescent="0.25">
      <c r="A1258" t="s">
        <v>34462</v>
      </c>
      <c r="B1258" t="s">
        <v>6249</v>
      </c>
      <c r="C1258" t="s">
        <v>6251</v>
      </c>
      <c r="D1258">
        <v>13.64</v>
      </c>
      <c r="E1258">
        <v>13.64</v>
      </c>
      <c r="G1258">
        <v>136083</v>
      </c>
      <c r="H1258">
        <v>22.94</v>
      </c>
      <c r="I1258">
        <v>27.39</v>
      </c>
      <c r="J1258">
        <v>0</v>
      </c>
      <c r="K1258">
        <v>1</v>
      </c>
      <c r="L1258">
        <v>14</v>
      </c>
      <c r="M1258">
        <v>13</v>
      </c>
      <c r="O1258">
        <v>0</v>
      </c>
      <c r="Q1258">
        <v>0</v>
      </c>
      <c r="R1258">
        <v>70</v>
      </c>
      <c r="U1258">
        <v>2.7800258200000001</v>
      </c>
      <c r="V1258">
        <v>6.81</v>
      </c>
      <c r="W1258">
        <v>2.3199999999999998</v>
      </c>
      <c r="X1258" t="s">
        <v>6248</v>
      </c>
      <c r="AA1258" t="s">
        <v>6252</v>
      </c>
      <c r="AB1258" t="s">
        <v>37231</v>
      </c>
      <c r="AC1258" t="s">
        <v>34465</v>
      </c>
      <c r="AD1258" t="s">
        <v>11496</v>
      </c>
      <c r="AF1258" t="s">
        <v>37232</v>
      </c>
      <c r="AG1258" t="s">
        <v>36715</v>
      </c>
    </row>
    <row r="1259" spans="1:33" x14ac:dyDescent="0.25">
      <c r="A1259" t="s">
        <v>34462</v>
      </c>
      <c r="B1259" t="s">
        <v>6254</v>
      </c>
      <c r="C1259" t="s">
        <v>6256</v>
      </c>
      <c r="D1259">
        <v>24.99</v>
      </c>
      <c r="E1259">
        <v>24.99</v>
      </c>
      <c r="G1259">
        <v>138976</v>
      </c>
      <c r="H1259">
        <v>24.37</v>
      </c>
      <c r="I1259">
        <v>26.54</v>
      </c>
      <c r="J1259">
        <v>0</v>
      </c>
      <c r="K1259">
        <v>1</v>
      </c>
      <c r="L1259">
        <v>8</v>
      </c>
      <c r="M1259">
        <v>6</v>
      </c>
      <c r="O1259">
        <v>0</v>
      </c>
      <c r="Q1259">
        <v>0</v>
      </c>
      <c r="R1259">
        <v>58</v>
      </c>
      <c r="U1259">
        <v>0.50926722000000002</v>
      </c>
      <c r="V1259">
        <v>5.9</v>
      </c>
      <c r="W1259">
        <v>4.25</v>
      </c>
      <c r="X1259" t="s">
        <v>6253</v>
      </c>
      <c r="Z1259" t="s">
        <v>1452</v>
      </c>
      <c r="AA1259" t="s">
        <v>6252</v>
      </c>
      <c r="AB1259" t="s">
        <v>37233</v>
      </c>
      <c r="AC1259" t="s">
        <v>34465</v>
      </c>
      <c r="AD1259" t="s">
        <v>11496</v>
      </c>
      <c r="AF1259" t="s">
        <v>37230</v>
      </c>
      <c r="AG1259" t="s">
        <v>36715</v>
      </c>
    </row>
    <row r="1260" spans="1:33" x14ac:dyDescent="0.25">
      <c r="A1260" t="s">
        <v>34462</v>
      </c>
      <c r="B1260" t="s">
        <v>6259</v>
      </c>
      <c r="C1260" t="s">
        <v>6261</v>
      </c>
      <c r="D1260">
        <v>17.989999999999998</v>
      </c>
      <c r="E1260">
        <v>17.989999999999998</v>
      </c>
      <c r="G1260">
        <v>137690</v>
      </c>
      <c r="H1260">
        <v>22.09</v>
      </c>
      <c r="I1260">
        <v>27.43</v>
      </c>
      <c r="J1260">
        <v>0</v>
      </c>
      <c r="K1260">
        <v>1</v>
      </c>
      <c r="L1260">
        <v>7</v>
      </c>
      <c r="M1260">
        <v>6</v>
      </c>
      <c r="O1260">
        <v>0</v>
      </c>
      <c r="Q1260">
        <v>0</v>
      </c>
      <c r="R1260">
        <v>68</v>
      </c>
      <c r="U1260">
        <v>2.7800258200000001</v>
      </c>
      <c r="V1260">
        <v>6.81</v>
      </c>
      <c r="W1260">
        <v>3.06</v>
      </c>
      <c r="X1260" t="s">
        <v>6258</v>
      </c>
      <c r="AA1260" t="s">
        <v>6252</v>
      </c>
      <c r="AB1260" t="s">
        <v>37234</v>
      </c>
      <c r="AC1260" t="s">
        <v>34465</v>
      </c>
      <c r="AD1260" t="s">
        <v>11496</v>
      </c>
      <c r="AF1260" t="s">
        <v>37230</v>
      </c>
      <c r="AG1260" t="s">
        <v>36715</v>
      </c>
    </row>
    <row r="1261" spans="1:33" x14ac:dyDescent="0.25">
      <c r="A1261" t="s">
        <v>34462</v>
      </c>
      <c r="B1261" t="s">
        <v>6263</v>
      </c>
      <c r="C1261" t="s">
        <v>6265</v>
      </c>
      <c r="D1261">
        <v>17.399999999999999</v>
      </c>
      <c r="E1261">
        <v>17.399999999999999</v>
      </c>
      <c r="G1261">
        <v>136348</v>
      </c>
      <c r="H1261">
        <v>21.39</v>
      </c>
      <c r="I1261">
        <v>26.96</v>
      </c>
      <c r="J1261">
        <v>0</v>
      </c>
      <c r="K1261">
        <v>1</v>
      </c>
      <c r="L1261">
        <v>7</v>
      </c>
      <c r="M1261">
        <v>6</v>
      </c>
      <c r="O1261">
        <v>0</v>
      </c>
      <c r="Q1261">
        <v>0</v>
      </c>
      <c r="R1261">
        <v>80</v>
      </c>
      <c r="U1261">
        <v>0.63933980000000001</v>
      </c>
      <c r="V1261">
        <v>5.82</v>
      </c>
      <c r="W1261">
        <v>2.96</v>
      </c>
      <c r="X1261" t="s">
        <v>6262</v>
      </c>
      <c r="Z1261" t="s">
        <v>1452</v>
      </c>
      <c r="AA1261" t="s">
        <v>6252</v>
      </c>
      <c r="AB1261" t="s">
        <v>37235</v>
      </c>
      <c r="AC1261" t="s">
        <v>34465</v>
      </c>
      <c r="AD1261" t="s">
        <v>11496</v>
      </c>
      <c r="AF1261" t="s">
        <v>37230</v>
      </c>
      <c r="AG1261" t="s">
        <v>36715</v>
      </c>
    </row>
    <row r="1262" spans="1:33" x14ac:dyDescent="0.25">
      <c r="A1262" t="s">
        <v>34462</v>
      </c>
      <c r="B1262" t="s">
        <v>6267</v>
      </c>
      <c r="C1262" t="s">
        <v>6270</v>
      </c>
      <c r="D1262">
        <v>9.74</v>
      </c>
      <c r="E1262">
        <v>9.74</v>
      </c>
      <c r="F1262">
        <v>1048</v>
      </c>
      <c r="G1262">
        <v>5015</v>
      </c>
      <c r="H1262">
        <v>16.03</v>
      </c>
      <c r="I1262">
        <v>17.11</v>
      </c>
      <c r="J1262">
        <v>0</v>
      </c>
      <c r="K1262">
        <v>0</v>
      </c>
      <c r="L1262">
        <v>25</v>
      </c>
      <c r="M1262">
        <v>28</v>
      </c>
      <c r="N1262">
        <v>4.7</v>
      </c>
      <c r="O1262">
        <v>469</v>
      </c>
      <c r="P1262">
        <v>1133</v>
      </c>
      <c r="Q1262">
        <v>80</v>
      </c>
      <c r="R1262">
        <v>252</v>
      </c>
      <c r="S1262" t="s">
        <v>37236</v>
      </c>
      <c r="T1262">
        <v>800</v>
      </c>
      <c r="U1262">
        <v>1.8496761799999999</v>
      </c>
      <c r="V1262">
        <v>7.38</v>
      </c>
      <c r="W1262">
        <v>1.46</v>
      </c>
      <c r="X1262" t="s">
        <v>6266</v>
      </c>
      <c r="Y1262" t="s">
        <v>6272</v>
      </c>
      <c r="Z1262" t="s">
        <v>6272</v>
      </c>
      <c r="AA1262" t="s">
        <v>6273</v>
      </c>
      <c r="AB1262" t="s">
        <v>37237</v>
      </c>
      <c r="AC1262" t="s">
        <v>34493</v>
      </c>
      <c r="AD1262" t="s">
        <v>24310</v>
      </c>
      <c r="AE1262" t="s">
        <v>53</v>
      </c>
      <c r="AF1262" t="s">
        <v>37238</v>
      </c>
      <c r="AG1262" t="s">
        <v>37239</v>
      </c>
    </row>
    <row r="1263" spans="1:33" x14ac:dyDescent="0.25">
      <c r="A1263" t="s">
        <v>34462</v>
      </c>
      <c r="B1263" t="s">
        <v>6275</v>
      </c>
      <c r="C1263" t="s">
        <v>6278</v>
      </c>
      <c r="D1263">
        <v>39</v>
      </c>
      <c r="E1263">
        <v>39</v>
      </c>
      <c r="F1263">
        <v>426565</v>
      </c>
      <c r="G1263">
        <v>245879</v>
      </c>
      <c r="H1263">
        <v>67.03</v>
      </c>
      <c r="I1263">
        <v>71.5</v>
      </c>
      <c r="J1263">
        <v>0</v>
      </c>
      <c r="K1263">
        <v>0</v>
      </c>
      <c r="L1263">
        <v>5</v>
      </c>
      <c r="M1263">
        <v>4</v>
      </c>
      <c r="N1263">
        <v>4.5</v>
      </c>
      <c r="O1263">
        <v>1</v>
      </c>
      <c r="P1263">
        <v>31</v>
      </c>
      <c r="Q1263">
        <v>19</v>
      </c>
      <c r="R1263">
        <v>68</v>
      </c>
      <c r="S1263" t="s">
        <v>37240</v>
      </c>
      <c r="U1263">
        <v>1.34040896</v>
      </c>
      <c r="V1263">
        <v>13.03</v>
      </c>
      <c r="W1263">
        <v>6.63</v>
      </c>
      <c r="X1263" t="s">
        <v>6274</v>
      </c>
      <c r="Y1263" t="s">
        <v>6279</v>
      </c>
      <c r="Z1263" t="s">
        <v>6279</v>
      </c>
      <c r="AA1263" t="s">
        <v>2924</v>
      </c>
      <c r="AB1263" t="s">
        <v>37241</v>
      </c>
      <c r="AC1263" t="s">
        <v>34493</v>
      </c>
      <c r="AD1263" t="s">
        <v>9232</v>
      </c>
      <c r="AE1263" t="s">
        <v>8439</v>
      </c>
      <c r="AF1263" t="s">
        <v>37242</v>
      </c>
    </row>
    <row r="1264" spans="1:33" x14ac:dyDescent="0.25">
      <c r="A1264" t="s">
        <v>34462</v>
      </c>
      <c r="B1264" t="s">
        <v>6281</v>
      </c>
      <c r="C1264" t="s">
        <v>6283</v>
      </c>
      <c r="D1264">
        <v>89.48</v>
      </c>
      <c r="E1264">
        <v>89.48</v>
      </c>
      <c r="F1264">
        <v>426565</v>
      </c>
      <c r="G1264">
        <v>236164</v>
      </c>
      <c r="H1264">
        <v>73.760000000000005</v>
      </c>
      <c r="I1264">
        <v>76.400000000000006</v>
      </c>
      <c r="J1264">
        <v>0.25</v>
      </c>
      <c r="K1264">
        <v>0.31</v>
      </c>
      <c r="L1264">
        <v>1</v>
      </c>
      <c r="M1264">
        <v>1</v>
      </c>
      <c r="N1264">
        <v>4.5</v>
      </c>
      <c r="O1264">
        <v>1</v>
      </c>
      <c r="P1264">
        <v>31</v>
      </c>
      <c r="Q1264">
        <v>2</v>
      </c>
      <c r="R1264">
        <v>42</v>
      </c>
      <c r="S1264" t="s">
        <v>37240</v>
      </c>
      <c r="U1264">
        <v>1.3889106</v>
      </c>
      <c r="V1264">
        <v>13.03</v>
      </c>
      <c r="X1264" t="s">
        <v>6280</v>
      </c>
      <c r="Y1264" t="s">
        <v>6279</v>
      </c>
      <c r="Z1264" t="s">
        <v>6279</v>
      </c>
      <c r="AA1264" t="s">
        <v>6284</v>
      </c>
      <c r="AB1264" t="s">
        <v>37243</v>
      </c>
      <c r="AC1264" t="s">
        <v>34465</v>
      </c>
      <c r="AD1264" t="s">
        <v>9232</v>
      </c>
      <c r="AE1264" t="s">
        <v>8439</v>
      </c>
      <c r="AF1264" t="s">
        <v>37244</v>
      </c>
      <c r="AG1264" t="s">
        <v>37245</v>
      </c>
    </row>
    <row r="1265" spans="1:33" x14ac:dyDescent="0.25">
      <c r="A1265" t="s">
        <v>34462</v>
      </c>
      <c r="B1265" t="s">
        <v>6286</v>
      </c>
      <c r="C1265" t="s">
        <v>6288</v>
      </c>
      <c r="D1265">
        <v>39</v>
      </c>
      <c r="E1265">
        <v>39</v>
      </c>
      <c r="F1265">
        <v>426565</v>
      </c>
      <c r="G1265">
        <v>240466</v>
      </c>
      <c r="H1265">
        <v>71.94</v>
      </c>
      <c r="I1265">
        <v>73.87</v>
      </c>
      <c r="J1265">
        <v>0</v>
      </c>
      <c r="K1265">
        <v>0</v>
      </c>
      <c r="L1265">
        <v>5</v>
      </c>
      <c r="M1265">
        <v>4</v>
      </c>
      <c r="N1265">
        <v>4.5</v>
      </c>
      <c r="O1265">
        <v>0</v>
      </c>
      <c r="P1265">
        <v>31</v>
      </c>
      <c r="Q1265">
        <v>17</v>
      </c>
      <c r="R1265">
        <v>70</v>
      </c>
      <c r="S1265" t="s">
        <v>37240</v>
      </c>
      <c r="U1265">
        <v>1.51898318</v>
      </c>
      <c r="V1265">
        <v>13.79</v>
      </c>
      <c r="W1265">
        <v>6.63</v>
      </c>
      <c r="X1265" t="s">
        <v>6285</v>
      </c>
      <c r="Y1265" t="s">
        <v>6279</v>
      </c>
      <c r="Z1265" t="s">
        <v>6279</v>
      </c>
      <c r="AA1265" t="s">
        <v>2924</v>
      </c>
      <c r="AB1265" t="s">
        <v>37246</v>
      </c>
      <c r="AC1265" t="s">
        <v>34493</v>
      </c>
      <c r="AD1265" t="s">
        <v>9232</v>
      </c>
      <c r="AE1265" t="s">
        <v>8451</v>
      </c>
      <c r="AF1265" t="s">
        <v>37242</v>
      </c>
      <c r="AG1265" t="s">
        <v>37245</v>
      </c>
    </row>
    <row r="1266" spans="1:33" x14ac:dyDescent="0.25">
      <c r="A1266" t="s">
        <v>34462</v>
      </c>
      <c r="B1266" t="s">
        <v>6290</v>
      </c>
      <c r="C1266" t="s">
        <v>6292</v>
      </c>
      <c r="D1266">
        <v>89.48</v>
      </c>
      <c r="E1266">
        <v>89.48</v>
      </c>
      <c r="F1266">
        <v>419465</v>
      </c>
      <c r="G1266">
        <v>243258</v>
      </c>
      <c r="H1266">
        <v>76.400000000000006</v>
      </c>
      <c r="I1266">
        <v>77.209999999999994</v>
      </c>
      <c r="J1266">
        <v>0.23</v>
      </c>
      <c r="K1266">
        <v>0.34</v>
      </c>
      <c r="L1266">
        <v>1</v>
      </c>
      <c r="M1266">
        <v>1</v>
      </c>
      <c r="N1266">
        <v>4.5</v>
      </c>
      <c r="O1266">
        <v>1</v>
      </c>
      <c r="P1266">
        <v>31</v>
      </c>
      <c r="Q1266">
        <v>7</v>
      </c>
      <c r="R1266">
        <v>43</v>
      </c>
      <c r="S1266" t="s">
        <v>37240</v>
      </c>
      <c r="U1266">
        <v>1.4991416</v>
      </c>
      <c r="V1266">
        <v>12.65</v>
      </c>
      <c r="X1266" t="s">
        <v>6289</v>
      </c>
      <c r="Y1266" t="s">
        <v>6279</v>
      </c>
      <c r="Z1266" t="s">
        <v>6279</v>
      </c>
      <c r="AA1266" t="s">
        <v>6284</v>
      </c>
      <c r="AB1266" t="s">
        <v>37247</v>
      </c>
      <c r="AC1266" t="s">
        <v>34465</v>
      </c>
      <c r="AD1266" t="s">
        <v>9232</v>
      </c>
      <c r="AE1266" t="s">
        <v>8451</v>
      </c>
      <c r="AF1266" t="s">
        <v>37244</v>
      </c>
      <c r="AG1266" t="s">
        <v>37245</v>
      </c>
    </row>
    <row r="1267" spans="1:33" x14ac:dyDescent="0.25">
      <c r="A1267" t="s">
        <v>34462</v>
      </c>
      <c r="B1267" t="s">
        <v>6294</v>
      </c>
      <c r="C1267" t="s">
        <v>6297</v>
      </c>
      <c r="D1267">
        <v>51.82</v>
      </c>
      <c r="I1267">
        <v>51.82</v>
      </c>
      <c r="J1267">
        <v>1</v>
      </c>
      <c r="K1267">
        <v>1</v>
      </c>
      <c r="Q1267">
        <v>0</v>
      </c>
      <c r="R1267">
        <v>0</v>
      </c>
      <c r="X1267" t="s">
        <v>6293</v>
      </c>
      <c r="Y1267" t="s">
        <v>6298</v>
      </c>
      <c r="Z1267" t="s">
        <v>6298</v>
      </c>
      <c r="AB1267" t="s">
        <v>37248</v>
      </c>
      <c r="AC1267" t="s">
        <v>34465</v>
      </c>
      <c r="AD1267" t="s">
        <v>35597</v>
      </c>
      <c r="AF1267" t="s">
        <v>37249</v>
      </c>
      <c r="AG1267" t="s">
        <v>37250</v>
      </c>
    </row>
    <row r="1268" spans="1:33" x14ac:dyDescent="0.25">
      <c r="A1268" t="s">
        <v>34462</v>
      </c>
      <c r="B1268" t="s">
        <v>6300</v>
      </c>
      <c r="C1268" t="s">
        <v>6302</v>
      </c>
      <c r="D1268">
        <v>26.02</v>
      </c>
      <c r="F1268">
        <v>2583967</v>
      </c>
      <c r="G1268">
        <v>2536423</v>
      </c>
      <c r="H1268">
        <v>26.02</v>
      </c>
      <c r="I1268">
        <v>26.08</v>
      </c>
      <c r="J1268">
        <v>0.08</v>
      </c>
      <c r="K1268">
        <v>1</v>
      </c>
      <c r="L1268">
        <v>2</v>
      </c>
      <c r="M1268">
        <v>1</v>
      </c>
      <c r="N1268">
        <v>5</v>
      </c>
      <c r="P1268">
        <v>1</v>
      </c>
      <c r="Q1268">
        <v>1</v>
      </c>
      <c r="R1268">
        <v>1</v>
      </c>
      <c r="U1268">
        <v>6.8894374999999997</v>
      </c>
      <c r="V1268">
        <v>27.85</v>
      </c>
      <c r="X1268" t="s">
        <v>6299</v>
      </c>
      <c r="Y1268" t="s">
        <v>6303</v>
      </c>
      <c r="Z1268" t="s">
        <v>6303</v>
      </c>
      <c r="AB1268" t="s">
        <v>37251</v>
      </c>
      <c r="AC1268" t="s">
        <v>34465</v>
      </c>
      <c r="AD1268" t="s">
        <v>35095</v>
      </c>
      <c r="AF1268" t="s">
        <v>36145</v>
      </c>
      <c r="AG1268" t="s">
        <v>37252</v>
      </c>
    </row>
    <row r="1269" spans="1:33" x14ac:dyDescent="0.25">
      <c r="A1269" t="s">
        <v>34462</v>
      </c>
      <c r="B1269" t="s">
        <v>6305</v>
      </c>
      <c r="C1269" t="s">
        <v>6302</v>
      </c>
      <c r="D1269">
        <v>11.13</v>
      </c>
      <c r="E1269">
        <v>11.13</v>
      </c>
      <c r="F1269">
        <v>966718</v>
      </c>
      <c r="G1269">
        <v>1108835</v>
      </c>
      <c r="H1269">
        <v>11.65</v>
      </c>
      <c r="I1269">
        <v>11.87</v>
      </c>
      <c r="J1269">
        <v>0</v>
      </c>
      <c r="K1269">
        <v>0</v>
      </c>
      <c r="L1269">
        <v>7</v>
      </c>
      <c r="M1269">
        <v>6</v>
      </c>
      <c r="N1269">
        <v>5</v>
      </c>
      <c r="O1269">
        <v>8</v>
      </c>
      <c r="P1269">
        <v>8</v>
      </c>
      <c r="Q1269">
        <v>2</v>
      </c>
      <c r="R1269">
        <v>5</v>
      </c>
      <c r="S1269" t="s">
        <v>37253</v>
      </c>
      <c r="U1269">
        <v>0.68343220000000005</v>
      </c>
      <c r="V1269">
        <v>4.1500000000000004</v>
      </c>
      <c r="W1269">
        <v>1.34</v>
      </c>
      <c r="X1269" t="s">
        <v>6304</v>
      </c>
      <c r="Y1269" t="s">
        <v>6307</v>
      </c>
      <c r="Z1269" t="s">
        <v>6307</v>
      </c>
      <c r="AB1269" t="s">
        <v>37254</v>
      </c>
      <c r="AC1269" t="s">
        <v>34493</v>
      </c>
      <c r="AD1269" t="s">
        <v>36144</v>
      </c>
      <c r="AE1269" t="s">
        <v>37255</v>
      </c>
      <c r="AF1269" t="s">
        <v>37256</v>
      </c>
      <c r="AG1269" t="s">
        <v>37257</v>
      </c>
    </row>
    <row r="1270" spans="1:33" x14ac:dyDescent="0.25">
      <c r="A1270" t="s">
        <v>34462</v>
      </c>
      <c r="B1270" t="s">
        <v>6309</v>
      </c>
      <c r="C1270" t="s">
        <v>6312</v>
      </c>
      <c r="D1270">
        <v>35.770000000000003</v>
      </c>
      <c r="E1270">
        <v>35.770000000000003</v>
      </c>
      <c r="F1270">
        <v>25704</v>
      </c>
      <c r="G1270">
        <v>23431</v>
      </c>
      <c r="H1270">
        <v>40.409999999999997</v>
      </c>
      <c r="I1270">
        <v>44.06</v>
      </c>
      <c r="J1270">
        <v>0</v>
      </c>
      <c r="K1270">
        <v>0</v>
      </c>
      <c r="L1270">
        <v>1</v>
      </c>
      <c r="M1270">
        <v>1</v>
      </c>
      <c r="N1270">
        <v>4.5</v>
      </c>
      <c r="O1270">
        <v>34</v>
      </c>
      <c r="P1270">
        <v>1557</v>
      </c>
      <c r="Q1270">
        <v>21</v>
      </c>
      <c r="R1270">
        <v>75</v>
      </c>
      <c r="S1270" t="s">
        <v>37258</v>
      </c>
      <c r="U1270">
        <v>0.98987438000000005</v>
      </c>
      <c r="V1270">
        <v>6.81</v>
      </c>
      <c r="W1270">
        <v>6.08</v>
      </c>
      <c r="X1270" t="s">
        <v>6308</v>
      </c>
      <c r="Y1270" t="s">
        <v>37259</v>
      </c>
      <c r="Z1270" t="s">
        <v>6313</v>
      </c>
      <c r="AA1270" t="s">
        <v>6314</v>
      </c>
      <c r="AB1270" t="s">
        <v>37260</v>
      </c>
      <c r="AC1270" t="s">
        <v>34493</v>
      </c>
      <c r="AD1270" t="s">
        <v>10970</v>
      </c>
      <c r="AE1270" t="s">
        <v>34533</v>
      </c>
      <c r="AF1270" t="s">
        <v>37261</v>
      </c>
      <c r="AG1270" t="s">
        <v>37262</v>
      </c>
    </row>
    <row r="1271" spans="1:33" x14ac:dyDescent="0.25">
      <c r="A1271" t="s">
        <v>34462</v>
      </c>
      <c r="B1271" t="s">
        <v>6316</v>
      </c>
      <c r="C1271" t="s">
        <v>6318</v>
      </c>
      <c r="D1271">
        <v>19.11</v>
      </c>
      <c r="E1271">
        <v>19.11</v>
      </c>
      <c r="F1271">
        <v>25627</v>
      </c>
      <c r="G1271">
        <v>23524</v>
      </c>
      <c r="H1271">
        <v>33.159999999999997</v>
      </c>
      <c r="I1271">
        <v>36.33</v>
      </c>
      <c r="J1271">
        <v>0</v>
      </c>
      <c r="K1271">
        <v>0</v>
      </c>
      <c r="L1271">
        <v>1</v>
      </c>
      <c r="M1271">
        <v>1</v>
      </c>
      <c r="N1271">
        <v>4.5</v>
      </c>
      <c r="O1271">
        <v>1</v>
      </c>
      <c r="P1271">
        <v>1555</v>
      </c>
      <c r="Q1271">
        <v>34</v>
      </c>
      <c r="R1271">
        <v>84</v>
      </c>
      <c r="S1271" t="s">
        <v>37258</v>
      </c>
      <c r="U1271">
        <v>0.9259404</v>
      </c>
      <c r="V1271">
        <v>6.14</v>
      </c>
      <c r="W1271">
        <v>1.91</v>
      </c>
      <c r="X1271" t="s">
        <v>6315</v>
      </c>
      <c r="Y1271" t="s">
        <v>6319</v>
      </c>
      <c r="Z1271" t="s">
        <v>6319</v>
      </c>
      <c r="AA1271" t="s">
        <v>6320</v>
      </c>
      <c r="AB1271" t="s">
        <v>37263</v>
      </c>
      <c r="AC1271" t="s">
        <v>34493</v>
      </c>
      <c r="AD1271" t="s">
        <v>10970</v>
      </c>
      <c r="AE1271" t="s">
        <v>34533</v>
      </c>
      <c r="AF1271" t="s">
        <v>37264</v>
      </c>
      <c r="AG1271" t="s">
        <v>37262</v>
      </c>
    </row>
    <row r="1272" spans="1:33" x14ac:dyDescent="0.25">
      <c r="A1272" t="s">
        <v>34462</v>
      </c>
      <c r="B1272" t="s">
        <v>6322</v>
      </c>
      <c r="C1272" t="s">
        <v>6324</v>
      </c>
      <c r="D1272">
        <v>38.479999999999997</v>
      </c>
      <c r="F1272">
        <v>25702</v>
      </c>
      <c r="G1272">
        <v>23686</v>
      </c>
      <c r="H1272">
        <v>38.479999999999997</v>
      </c>
      <c r="I1272">
        <v>42.4</v>
      </c>
      <c r="J1272">
        <v>0.95</v>
      </c>
      <c r="K1272">
        <v>0.95</v>
      </c>
      <c r="L1272">
        <v>1</v>
      </c>
      <c r="N1272">
        <v>4.5</v>
      </c>
      <c r="O1272">
        <v>0</v>
      </c>
      <c r="P1272">
        <v>1496</v>
      </c>
      <c r="Q1272">
        <v>3</v>
      </c>
      <c r="R1272">
        <v>11</v>
      </c>
      <c r="S1272" t="s">
        <v>37258</v>
      </c>
      <c r="U1272">
        <v>0.85980180000000006</v>
      </c>
      <c r="V1272">
        <v>6.6</v>
      </c>
      <c r="X1272" t="s">
        <v>6321</v>
      </c>
      <c r="Y1272" t="s">
        <v>6325</v>
      </c>
      <c r="Z1272" t="s">
        <v>6325</v>
      </c>
      <c r="AA1272" t="s">
        <v>6326</v>
      </c>
      <c r="AB1272" t="s">
        <v>37265</v>
      </c>
      <c r="AC1272" t="s">
        <v>34465</v>
      </c>
      <c r="AD1272" t="s">
        <v>10970</v>
      </c>
      <c r="AE1272" t="s">
        <v>34533</v>
      </c>
      <c r="AF1272" t="s">
        <v>37266</v>
      </c>
      <c r="AG1272" t="s">
        <v>37267</v>
      </c>
    </row>
    <row r="1273" spans="1:33" x14ac:dyDescent="0.25">
      <c r="A1273" t="s">
        <v>34462</v>
      </c>
      <c r="B1273" t="s">
        <v>6328</v>
      </c>
      <c r="C1273" t="s">
        <v>6331</v>
      </c>
      <c r="D1273">
        <v>20</v>
      </c>
      <c r="E1273">
        <v>20</v>
      </c>
      <c r="F1273">
        <v>464475</v>
      </c>
      <c r="G1273">
        <v>1087260</v>
      </c>
      <c r="H1273">
        <v>39.9</v>
      </c>
      <c r="I1273">
        <v>43.98</v>
      </c>
      <c r="J1273">
        <v>0.05</v>
      </c>
      <c r="K1273">
        <v>0.05</v>
      </c>
      <c r="L1273">
        <v>1</v>
      </c>
      <c r="M1273">
        <v>1</v>
      </c>
      <c r="N1273">
        <v>4.5</v>
      </c>
      <c r="O1273">
        <v>1</v>
      </c>
      <c r="P1273">
        <v>47</v>
      </c>
      <c r="Q1273">
        <v>6</v>
      </c>
      <c r="R1273">
        <v>15</v>
      </c>
      <c r="S1273" t="s">
        <v>37268</v>
      </c>
      <c r="U1273">
        <v>0.76500314000000003</v>
      </c>
      <c r="V1273">
        <v>6.81</v>
      </c>
      <c r="W1273">
        <v>3.4</v>
      </c>
      <c r="X1273" t="s">
        <v>6327</v>
      </c>
      <c r="Y1273" t="s">
        <v>37269</v>
      </c>
      <c r="Z1273" t="s">
        <v>6332</v>
      </c>
      <c r="AA1273" t="s">
        <v>1440</v>
      </c>
      <c r="AB1273" t="s">
        <v>37270</v>
      </c>
      <c r="AC1273" t="s">
        <v>34493</v>
      </c>
      <c r="AD1273" t="s">
        <v>23005</v>
      </c>
      <c r="AE1273" t="s">
        <v>131</v>
      </c>
      <c r="AF1273" t="s">
        <v>37271</v>
      </c>
      <c r="AG1273" t="s">
        <v>37272</v>
      </c>
    </row>
    <row r="1274" spans="1:33" x14ac:dyDescent="0.25">
      <c r="A1274" t="s">
        <v>34462</v>
      </c>
      <c r="B1274" t="s">
        <v>6334</v>
      </c>
      <c r="C1274" t="s">
        <v>6336</v>
      </c>
      <c r="D1274">
        <v>20</v>
      </c>
      <c r="E1274">
        <v>20</v>
      </c>
      <c r="F1274">
        <v>502556</v>
      </c>
      <c r="G1274">
        <v>869510</v>
      </c>
      <c r="H1274">
        <v>39.369999999999997</v>
      </c>
      <c r="I1274">
        <v>39.369999999999997</v>
      </c>
      <c r="J1274">
        <v>0.78</v>
      </c>
      <c r="K1274">
        <v>0.78</v>
      </c>
      <c r="L1274">
        <v>1</v>
      </c>
      <c r="N1274">
        <v>4.5</v>
      </c>
      <c r="O1274">
        <v>0</v>
      </c>
      <c r="P1274">
        <v>56</v>
      </c>
      <c r="Q1274">
        <v>3</v>
      </c>
      <c r="R1274">
        <v>6</v>
      </c>
      <c r="S1274" t="s">
        <v>37268</v>
      </c>
      <c r="U1274">
        <v>0.76500314000000003</v>
      </c>
      <c r="V1274">
        <v>6.81</v>
      </c>
      <c r="W1274">
        <v>3.4</v>
      </c>
      <c r="X1274" t="s">
        <v>6333</v>
      </c>
      <c r="Y1274" t="s">
        <v>37273</v>
      </c>
      <c r="Z1274" t="s">
        <v>6332</v>
      </c>
      <c r="AA1274" t="s">
        <v>1440</v>
      </c>
      <c r="AB1274" t="s">
        <v>37274</v>
      </c>
      <c r="AC1274" t="s">
        <v>34484</v>
      </c>
      <c r="AD1274" t="s">
        <v>23005</v>
      </c>
      <c r="AE1274" t="s">
        <v>269</v>
      </c>
      <c r="AF1274" t="s">
        <v>37271</v>
      </c>
      <c r="AG1274" t="s">
        <v>37272</v>
      </c>
    </row>
    <row r="1275" spans="1:33" x14ac:dyDescent="0.25">
      <c r="A1275" t="s">
        <v>34462</v>
      </c>
      <c r="B1275" t="s">
        <v>6338</v>
      </c>
      <c r="C1275" t="s">
        <v>6340</v>
      </c>
      <c r="D1275">
        <v>36.67</v>
      </c>
      <c r="F1275">
        <v>502556</v>
      </c>
      <c r="G1275">
        <v>967789</v>
      </c>
      <c r="H1275">
        <v>36.67</v>
      </c>
      <c r="I1275">
        <v>36.67</v>
      </c>
      <c r="J1275">
        <v>0.46</v>
      </c>
      <c r="K1275">
        <v>0.46</v>
      </c>
      <c r="L1275">
        <v>1</v>
      </c>
      <c r="N1275">
        <v>4.4000000000000004</v>
      </c>
      <c r="O1275">
        <v>1</v>
      </c>
      <c r="P1275">
        <v>16</v>
      </c>
      <c r="Q1275">
        <v>4</v>
      </c>
      <c r="R1275">
        <v>10</v>
      </c>
      <c r="S1275" t="s">
        <v>37268</v>
      </c>
      <c r="U1275">
        <v>0.76500314000000003</v>
      </c>
      <c r="V1275">
        <v>6.81</v>
      </c>
      <c r="X1275" t="s">
        <v>6337</v>
      </c>
      <c r="Y1275" t="s">
        <v>37275</v>
      </c>
      <c r="Z1275" t="s">
        <v>6332</v>
      </c>
      <c r="AA1275" t="s">
        <v>1440</v>
      </c>
      <c r="AB1275" t="s">
        <v>37276</v>
      </c>
      <c r="AC1275" t="s">
        <v>34465</v>
      </c>
      <c r="AD1275" t="s">
        <v>23005</v>
      </c>
      <c r="AE1275" t="s">
        <v>255</v>
      </c>
      <c r="AF1275" t="s">
        <v>37277</v>
      </c>
      <c r="AG1275" t="s">
        <v>37272</v>
      </c>
    </row>
    <row r="1276" spans="1:33" x14ac:dyDescent="0.25">
      <c r="A1276" t="s">
        <v>34462</v>
      </c>
      <c r="B1276" t="s">
        <v>6342</v>
      </c>
      <c r="C1276" t="s">
        <v>6344</v>
      </c>
      <c r="D1276">
        <v>20</v>
      </c>
      <c r="E1276">
        <v>20</v>
      </c>
      <c r="F1276">
        <v>464475</v>
      </c>
      <c r="G1276">
        <v>1107524</v>
      </c>
      <c r="H1276">
        <v>38.979999999999997</v>
      </c>
      <c r="I1276">
        <v>38.979999999999997</v>
      </c>
      <c r="J1276">
        <v>0.23</v>
      </c>
      <c r="K1276">
        <v>0.23</v>
      </c>
      <c r="L1276">
        <v>1</v>
      </c>
      <c r="M1276">
        <v>1</v>
      </c>
      <c r="N1276">
        <v>4.5</v>
      </c>
      <c r="O1276">
        <v>1</v>
      </c>
      <c r="P1276">
        <v>33</v>
      </c>
      <c r="Q1276">
        <v>6</v>
      </c>
      <c r="R1276">
        <v>14</v>
      </c>
      <c r="S1276" t="s">
        <v>37268</v>
      </c>
      <c r="U1276">
        <v>0.76500314000000003</v>
      </c>
      <c r="V1276">
        <v>6.81</v>
      </c>
      <c r="W1276">
        <v>3.4</v>
      </c>
      <c r="X1276" t="s">
        <v>6341</v>
      </c>
      <c r="Y1276" t="s">
        <v>37278</v>
      </c>
      <c r="Z1276" t="s">
        <v>6332</v>
      </c>
      <c r="AA1276" t="s">
        <v>1440</v>
      </c>
      <c r="AB1276" t="s">
        <v>37279</v>
      </c>
      <c r="AC1276" t="s">
        <v>34484</v>
      </c>
      <c r="AD1276" t="s">
        <v>23005</v>
      </c>
      <c r="AE1276" t="s">
        <v>277</v>
      </c>
      <c r="AF1276" t="s">
        <v>37271</v>
      </c>
      <c r="AG1276" t="s">
        <v>37272</v>
      </c>
    </row>
    <row r="1277" spans="1:33" x14ac:dyDescent="0.25">
      <c r="A1277" t="s">
        <v>34462</v>
      </c>
      <c r="B1277" t="s">
        <v>6346</v>
      </c>
      <c r="C1277" t="s">
        <v>6348</v>
      </c>
      <c r="D1277">
        <v>20</v>
      </c>
      <c r="E1277">
        <v>20</v>
      </c>
      <c r="F1277">
        <v>502556</v>
      </c>
      <c r="G1277">
        <v>1202986</v>
      </c>
      <c r="H1277">
        <v>39.869999999999997</v>
      </c>
      <c r="I1277">
        <v>39.869999999999997</v>
      </c>
      <c r="J1277">
        <v>0.05</v>
      </c>
      <c r="K1277">
        <v>0.05</v>
      </c>
      <c r="L1277">
        <v>1</v>
      </c>
      <c r="M1277">
        <v>1</v>
      </c>
      <c r="N1277">
        <v>4.5</v>
      </c>
      <c r="O1277">
        <v>1</v>
      </c>
      <c r="P1277">
        <v>47</v>
      </c>
      <c r="Q1277">
        <v>6</v>
      </c>
      <c r="R1277">
        <v>11</v>
      </c>
      <c r="S1277" t="s">
        <v>37268</v>
      </c>
      <c r="U1277">
        <v>0.76500314000000003</v>
      </c>
      <c r="V1277">
        <v>6.81</v>
      </c>
      <c r="W1277">
        <v>3.4</v>
      </c>
      <c r="X1277" t="s">
        <v>6345</v>
      </c>
      <c r="Y1277" t="s">
        <v>37280</v>
      </c>
      <c r="Z1277" t="s">
        <v>6332</v>
      </c>
      <c r="AA1277" t="s">
        <v>1440</v>
      </c>
      <c r="AB1277" t="s">
        <v>37281</v>
      </c>
      <c r="AC1277" t="s">
        <v>34493</v>
      </c>
      <c r="AD1277" t="s">
        <v>23005</v>
      </c>
      <c r="AE1277" t="s">
        <v>164</v>
      </c>
      <c r="AF1277" t="s">
        <v>37271</v>
      </c>
      <c r="AG1277" t="s">
        <v>37272</v>
      </c>
    </row>
    <row r="1278" spans="1:33" x14ac:dyDescent="0.25">
      <c r="A1278" t="s">
        <v>34462</v>
      </c>
      <c r="B1278" t="s">
        <v>6350</v>
      </c>
      <c r="C1278" t="s">
        <v>6352</v>
      </c>
      <c r="D1278">
        <v>20</v>
      </c>
      <c r="E1278">
        <v>20</v>
      </c>
      <c r="F1278">
        <v>502556</v>
      </c>
      <c r="G1278">
        <v>1100553</v>
      </c>
      <c r="H1278">
        <v>36.89</v>
      </c>
      <c r="I1278">
        <v>36.89</v>
      </c>
      <c r="J1278">
        <v>0.37</v>
      </c>
      <c r="K1278">
        <v>0.37</v>
      </c>
      <c r="L1278">
        <v>1</v>
      </c>
      <c r="N1278">
        <v>4.5</v>
      </c>
      <c r="O1278">
        <v>2</v>
      </c>
      <c r="P1278">
        <v>47</v>
      </c>
      <c r="Q1278">
        <v>6</v>
      </c>
      <c r="R1278">
        <v>11</v>
      </c>
      <c r="S1278" t="s">
        <v>37268</v>
      </c>
      <c r="U1278">
        <v>0.76500314000000003</v>
      </c>
      <c r="V1278">
        <v>6.81</v>
      </c>
      <c r="W1278">
        <v>2</v>
      </c>
      <c r="X1278" t="s">
        <v>6349</v>
      </c>
      <c r="Y1278" t="s">
        <v>37282</v>
      </c>
      <c r="Z1278" t="s">
        <v>6332</v>
      </c>
      <c r="AA1278" t="s">
        <v>1440</v>
      </c>
      <c r="AB1278" t="s">
        <v>37283</v>
      </c>
      <c r="AC1278" t="s">
        <v>34484</v>
      </c>
      <c r="AD1278" t="s">
        <v>23005</v>
      </c>
      <c r="AE1278" t="s">
        <v>290</v>
      </c>
      <c r="AF1278" t="s">
        <v>37271</v>
      </c>
      <c r="AG1278" t="s">
        <v>37272</v>
      </c>
    </row>
    <row r="1279" spans="1:33" x14ac:dyDescent="0.25">
      <c r="A1279" t="s">
        <v>34462</v>
      </c>
      <c r="B1279" t="s">
        <v>6354</v>
      </c>
      <c r="C1279" t="s">
        <v>6357</v>
      </c>
      <c r="D1279">
        <v>16.989999999999998</v>
      </c>
      <c r="E1279">
        <v>16.989999999999998</v>
      </c>
      <c r="F1279">
        <v>2081020</v>
      </c>
      <c r="G1279">
        <v>845055</v>
      </c>
      <c r="H1279">
        <v>18.14</v>
      </c>
      <c r="I1279">
        <v>24.05</v>
      </c>
      <c r="J1279">
        <v>0</v>
      </c>
      <c r="K1279">
        <v>1</v>
      </c>
      <c r="L1279">
        <v>3</v>
      </c>
      <c r="M1279">
        <v>3</v>
      </c>
      <c r="O1279">
        <v>0</v>
      </c>
      <c r="Q1279">
        <v>1</v>
      </c>
      <c r="R1279">
        <v>75</v>
      </c>
      <c r="U1279">
        <v>0.33069300000000001</v>
      </c>
      <c r="V1279">
        <v>4.6100000000000003</v>
      </c>
      <c r="W1279">
        <v>1.7</v>
      </c>
      <c r="X1279" t="s">
        <v>6353</v>
      </c>
      <c r="AA1279" t="s">
        <v>6358</v>
      </c>
      <c r="AB1279" t="s">
        <v>37284</v>
      </c>
      <c r="AC1279" t="s">
        <v>34465</v>
      </c>
      <c r="AD1279" t="s">
        <v>11496</v>
      </c>
      <c r="AE1279" t="s">
        <v>34826</v>
      </c>
      <c r="AF1279" t="s">
        <v>37285</v>
      </c>
      <c r="AG1279" t="s">
        <v>37286</v>
      </c>
    </row>
    <row r="1280" spans="1:33" x14ac:dyDescent="0.25">
      <c r="A1280" t="s">
        <v>34462</v>
      </c>
      <c r="B1280" t="s">
        <v>6360</v>
      </c>
      <c r="C1280" t="s">
        <v>6362</v>
      </c>
      <c r="D1280">
        <v>17.989999999999998</v>
      </c>
      <c r="E1280">
        <v>17.989999999999998</v>
      </c>
      <c r="F1280">
        <v>2159335</v>
      </c>
      <c r="G1280">
        <v>1424288</v>
      </c>
      <c r="H1280">
        <v>17.18</v>
      </c>
      <c r="I1280">
        <v>21.88</v>
      </c>
      <c r="J1280">
        <v>0</v>
      </c>
      <c r="K1280">
        <v>1</v>
      </c>
      <c r="L1280">
        <v>14</v>
      </c>
      <c r="M1280">
        <v>13</v>
      </c>
      <c r="N1280">
        <v>5</v>
      </c>
      <c r="O1280">
        <v>0</v>
      </c>
      <c r="P1280">
        <v>1</v>
      </c>
      <c r="Q1280">
        <v>11</v>
      </c>
      <c r="R1280">
        <v>11</v>
      </c>
      <c r="U1280">
        <v>0.33069300000000001</v>
      </c>
      <c r="V1280">
        <v>4.6100000000000003</v>
      </c>
      <c r="W1280">
        <v>1.8</v>
      </c>
      <c r="X1280" t="s">
        <v>6359</v>
      </c>
      <c r="Z1280" t="s">
        <v>3379</v>
      </c>
      <c r="AA1280" t="s">
        <v>1453</v>
      </c>
      <c r="AB1280" t="s">
        <v>37287</v>
      </c>
      <c r="AC1280" t="s">
        <v>34465</v>
      </c>
      <c r="AD1280" t="s">
        <v>11496</v>
      </c>
      <c r="AE1280" t="s">
        <v>34510</v>
      </c>
      <c r="AF1280" t="s">
        <v>37285</v>
      </c>
      <c r="AG1280" t="s">
        <v>36003</v>
      </c>
    </row>
    <row r="1281" spans="1:33" x14ac:dyDescent="0.25">
      <c r="A1281" t="s">
        <v>34462</v>
      </c>
      <c r="B1281" t="s">
        <v>6364</v>
      </c>
      <c r="C1281" t="s">
        <v>6366</v>
      </c>
      <c r="D1281">
        <v>16.989999999999998</v>
      </c>
      <c r="E1281">
        <v>16.989999999999998</v>
      </c>
      <c r="F1281">
        <v>10106306</v>
      </c>
      <c r="G1281">
        <v>2447345</v>
      </c>
      <c r="H1281">
        <v>17.8</v>
      </c>
      <c r="I1281">
        <v>21.78</v>
      </c>
      <c r="J1281">
        <v>0</v>
      </c>
      <c r="K1281">
        <v>1</v>
      </c>
      <c r="L1281">
        <v>10</v>
      </c>
      <c r="M1281">
        <v>9</v>
      </c>
      <c r="O1281">
        <v>0</v>
      </c>
      <c r="Q1281">
        <v>0</v>
      </c>
      <c r="R1281">
        <v>73</v>
      </c>
      <c r="U1281">
        <v>0.33069300000000001</v>
      </c>
      <c r="V1281">
        <v>4.6100000000000003</v>
      </c>
      <c r="W1281">
        <v>1.7</v>
      </c>
      <c r="X1281" t="s">
        <v>6363</v>
      </c>
      <c r="AA1281" t="s">
        <v>6358</v>
      </c>
      <c r="AB1281" t="s">
        <v>37288</v>
      </c>
      <c r="AC1281" t="s">
        <v>34465</v>
      </c>
      <c r="AD1281" t="s">
        <v>11496</v>
      </c>
      <c r="AE1281" t="s">
        <v>34506</v>
      </c>
      <c r="AF1281" t="s">
        <v>37285</v>
      </c>
      <c r="AG1281" t="s">
        <v>37289</v>
      </c>
    </row>
    <row r="1282" spans="1:33" x14ac:dyDescent="0.25">
      <c r="A1282" t="s">
        <v>34462</v>
      </c>
      <c r="B1282" t="s">
        <v>6368</v>
      </c>
      <c r="C1282" t="s">
        <v>6370</v>
      </c>
      <c r="D1282">
        <v>14</v>
      </c>
      <c r="E1282">
        <v>14</v>
      </c>
      <c r="F1282">
        <v>5366526</v>
      </c>
      <c r="G1282">
        <v>4476641</v>
      </c>
      <c r="H1282">
        <v>16.760000000000002</v>
      </c>
      <c r="I1282">
        <v>21.68</v>
      </c>
      <c r="J1282">
        <v>0</v>
      </c>
      <c r="K1282">
        <v>1</v>
      </c>
      <c r="L1282">
        <v>15</v>
      </c>
      <c r="M1282">
        <v>14</v>
      </c>
      <c r="O1282">
        <v>0</v>
      </c>
      <c r="Q1282">
        <v>0</v>
      </c>
      <c r="R1282">
        <v>0</v>
      </c>
      <c r="U1282">
        <v>0.33069300000000001</v>
      </c>
      <c r="V1282">
        <v>4.6100000000000003</v>
      </c>
      <c r="W1282">
        <v>0.7</v>
      </c>
      <c r="X1282" t="s">
        <v>6367</v>
      </c>
      <c r="AA1282" t="s">
        <v>1453</v>
      </c>
      <c r="AB1282" t="s">
        <v>37290</v>
      </c>
      <c r="AC1282" t="s">
        <v>34465</v>
      </c>
      <c r="AD1282" t="s">
        <v>11496</v>
      </c>
      <c r="AE1282" t="s">
        <v>34512</v>
      </c>
      <c r="AF1282" t="s">
        <v>37291</v>
      </c>
      <c r="AG1282" t="s">
        <v>36003</v>
      </c>
    </row>
    <row r="1283" spans="1:33" x14ac:dyDescent="0.25">
      <c r="A1283" t="s">
        <v>34462</v>
      </c>
      <c r="B1283" t="s">
        <v>6372</v>
      </c>
      <c r="C1283" t="s">
        <v>6374</v>
      </c>
      <c r="D1283">
        <v>15</v>
      </c>
      <c r="E1283">
        <v>15</v>
      </c>
      <c r="F1283">
        <v>3350405</v>
      </c>
      <c r="G1283">
        <v>2015700</v>
      </c>
      <c r="H1283">
        <v>17.68</v>
      </c>
      <c r="I1283">
        <v>22.2</v>
      </c>
      <c r="J1283">
        <v>0</v>
      </c>
      <c r="K1283">
        <v>1</v>
      </c>
      <c r="L1283">
        <v>14</v>
      </c>
      <c r="M1283">
        <v>13</v>
      </c>
      <c r="O1283">
        <v>0</v>
      </c>
      <c r="Q1283">
        <v>5</v>
      </c>
      <c r="R1283">
        <v>5</v>
      </c>
      <c r="U1283">
        <v>0.33069300000000001</v>
      </c>
      <c r="V1283">
        <v>4.6100000000000003</v>
      </c>
      <c r="W1283">
        <v>0.75</v>
      </c>
      <c r="X1283" t="s">
        <v>6371</v>
      </c>
      <c r="Z1283" t="s">
        <v>3379</v>
      </c>
      <c r="AA1283" t="s">
        <v>1453</v>
      </c>
      <c r="AB1283" t="s">
        <v>37292</v>
      </c>
      <c r="AC1283" t="s">
        <v>34465</v>
      </c>
      <c r="AD1283" t="s">
        <v>11496</v>
      </c>
      <c r="AE1283" t="s">
        <v>34832</v>
      </c>
      <c r="AF1283" t="s">
        <v>37291</v>
      </c>
      <c r="AG1283" t="s">
        <v>36003</v>
      </c>
    </row>
    <row r="1284" spans="1:33" x14ac:dyDescent="0.25">
      <c r="A1284" t="s">
        <v>34462</v>
      </c>
      <c r="B1284" t="s">
        <v>6376</v>
      </c>
      <c r="C1284" t="s">
        <v>6378</v>
      </c>
      <c r="D1284">
        <v>13.98</v>
      </c>
      <c r="E1284">
        <v>13.98</v>
      </c>
      <c r="F1284">
        <v>3847736</v>
      </c>
      <c r="G1284">
        <v>1139859</v>
      </c>
      <c r="H1284">
        <v>16.62</v>
      </c>
      <c r="I1284">
        <v>21.4</v>
      </c>
      <c r="J1284">
        <v>0</v>
      </c>
      <c r="K1284">
        <v>1</v>
      </c>
      <c r="L1284">
        <v>15</v>
      </c>
      <c r="M1284">
        <v>13</v>
      </c>
      <c r="O1284">
        <v>0</v>
      </c>
      <c r="Q1284">
        <v>1</v>
      </c>
      <c r="R1284">
        <v>72</v>
      </c>
      <c r="U1284">
        <v>0.33069300000000001</v>
      </c>
      <c r="V1284">
        <v>4.6100000000000003</v>
      </c>
      <c r="W1284">
        <v>0.7</v>
      </c>
      <c r="X1284" t="s">
        <v>6375</v>
      </c>
      <c r="AA1284" t="s">
        <v>1453</v>
      </c>
      <c r="AB1284" t="s">
        <v>37293</v>
      </c>
      <c r="AC1284" t="s">
        <v>34465</v>
      </c>
      <c r="AD1284" t="s">
        <v>11496</v>
      </c>
      <c r="AE1284" t="s">
        <v>34835</v>
      </c>
      <c r="AF1284" t="s">
        <v>37294</v>
      </c>
      <c r="AG1284" t="s">
        <v>36003</v>
      </c>
    </row>
    <row r="1285" spans="1:33" x14ac:dyDescent="0.25">
      <c r="A1285" t="s">
        <v>34462</v>
      </c>
      <c r="B1285" t="s">
        <v>6381</v>
      </c>
      <c r="C1285" t="s">
        <v>6384</v>
      </c>
      <c r="D1285">
        <v>48.12</v>
      </c>
      <c r="E1285">
        <v>48.12</v>
      </c>
      <c r="J1285">
        <v>0</v>
      </c>
      <c r="K1285">
        <v>1</v>
      </c>
      <c r="L1285">
        <v>1</v>
      </c>
      <c r="M1285">
        <v>1</v>
      </c>
      <c r="Q1285">
        <v>-1</v>
      </c>
      <c r="R1285">
        <v>-1</v>
      </c>
      <c r="S1285" t="s">
        <v>37295</v>
      </c>
      <c r="U1285">
        <v>1.7416498</v>
      </c>
      <c r="V1285">
        <v>7.32</v>
      </c>
      <c r="X1285" t="s">
        <v>6380</v>
      </c>
      <c r="Y1285" t="s">
        <v>5939</v>
      </c>
      <c r="Z1285" t="s">
        <v>5939</v>
      </c>
      <c r="AA1285" t="s">
        <v>6385</v>
      </c>
      <c r="AB1285" t="s">
        <v>37296</v>
      </c>
      <c r="AC1285" t="s">
        <v>34465</v>
      </c>
      <c r="AD1285" t="s">
        <v>17415</v>
      </c>
      <c r="AE1285" t="s">
        <v>34586</v>
      </c>
    </row>
    <row r="1286" spans="1:33" x14ac:dyDescent="0.25">
      <c r="A1286" t="s">
        <v>34462</v>
      </c>
      <c r="B1286" t="s">
        <v>6387</v>
      </c>
      <c r="C1286" t="s">
        <v>6389</v>
      </c>
      <c r="D1286">
        <v>57.86</v>
      </c>
      <c r="E1286">
        <v>57.86</v>
      </c>
      <c r="J1286">
        <v>0</v>
      </c>
      <c r="K1286">
        <v>1</v>
      </c>
      <c r="L1286">
        <v>1</v>
      </c>
      <c r="M1286">
        <v>1</v>
      </c>
      <c r="Q1286">
        <v>-1</v>
      </c>
      <c r="R1286">
        <v>-1</v>
      </c>
      <c r="S1286" t="s">
        <v>37295</v>
      </c>
      <c r="U1286">
        <v>2.2597355000000001</v>
      </c>
      <c r="V1286">
        <v>8.1199999999999992</v>
      </c>
      <c r="X1286" t="s">
        <v>6386</v>
      </c>
      <c r="Y1286" t="s">
        <v>5939</v>
      </c>
      <c r="Z1286" t="s">
        <v>5939</v>
      </c>
      <c r="AA1286" t="s">
        <v>6385</v>
      </c>
      <c r="AB1286" t="s">
        <v>37297</v>
      </c>
      <c r="AC1286" t="s">
        <v>34465</v>
      </c>
      <c r="AD1286" t="s">
        <v>17415</v>
      </c>
      <c r="AE1286" t="s">
        <v>34589</v>
      </c>
    </row>
    <row r="1287" spans="1:33" x14ac:dyDescent="0.25">
      <c r="A1287" t="s">
        <v>34462</v>
      </c>
      <c r="B1287" t="s">
        <v>6391</v>
      </c>
      <c r="C1287" t="s">
        <v>6393</v>
      </c>
      <c r="D1287">
        <v>36.799999999999997</v>
      </c>
      <c r="E1287">
        <v>36.79</v>
      </c>
      <c r="F1287">
        <v>4395710</v>
      </c>
      <c r="G1287">
        <v>2352403</v>
      </c>
      <c r="H1287">
        <v>50.69</v>
      </c>
      <c r="I1287">
        <v>47.4</v>
      </c>
      <c r="J1287">
        <v>0</v>
      </c>
      <c r="K1287">
        <v>0</v>
      </c>
      <c r="L1287">
        <v>3</v>
      </c>
      <c r="M1287">
        <v>4</v>
      </c>
      <c r="N1287">
        <v>3.5</v>
      </c>
      <c r="O1287">
        <v>0</v>
      </c>
      <c r="P1287">
        <v>2</v>
      </c>
      <c r="Q1287">
        <v>0</v>
      </c>
      <c r="R1287">
        <v>4</v>
      </c>
      <c r="S1287" t="s">
        <v>37295</v>
      </c>
      <c r="U1287">
        <v>1.9731349</v>
      </c>
      <c r="V1287">
        <v>7.24</v>
      </c>
      <c r="W1287">
        <v>5.52</v>
      </c>
      <c r="X1287" t="s">
        <v>6390</v>
      </c>
      <c r="Y1287" t="s">
        <v>6394</v>
      </c>
      <c r="Z1287" t="s">
        <v>6394</v>
      </c>
      <c r="AA1287" t="s">
        <v>4821</v>
      </c>
      <c r="AB1287" t="s">
        <v>37298</v>
      </c>
      <c r="AC1287" t="s">
        <v>34493</v>
      </c>
      <c r="AD1287" t="s">
        <v>17415</v>
      </c>
      <c r="AE1287" t="s">
        <v>35663</v>
      </c>
      <c r="AF1287" t="s">
        <v>37299</v>
      </c>
      <c r="AG1287" t="s">
        <v>37300</v>
      </c>
    </row>
    <row r="1288" spans="1:33" x14ac:dyDescent="0.25">
      <c r="A1288" t="s">
        <v>34462</v>
      </c>
      <c r="B1288" t="s">
        <v>6396</v>
      </c>
      <c r="C1288" t="s">
        <v>6398</v>
      </c>
      <c r="D1288">
        <v>30.54</v>
      </c>
      <c r="E1288">
        <v>30.53</v>
      </c>
      <c r="F1288">
        <v>4397157</v>
      </c>
      <c r="G1288">
        <v>2351485</v>
      </c>
      <c r="H1288">
        <v>32.549999999999997</v>
      </c>
      <c r="I1288">
        <v>35.03</v>
      </c>
      <c r="J1288">
        <v>0</v>
      </c>
      <c r="K1288">
        <v>0</v>
      </c>
      <c r="L1288">
        <v>4</v>
      </c>
      <c r="M1288">
        <v>4</v>
      </c>
      <c r="O1288">
        <v>0</v>
      </c>
      <c r="Q1288">
        <v>0</v>
      </c>
      <c r="R1288">
        <v>5</v>
      </c>
      <c r="S1288" t="s">
        <v>37295</v>
      </c>
      <c r="U1288">
        <v>2.0833659</v>
      </c>
      <c r="V1288">
        <v>7.24</v>
      </c>
      <c r="W1288">
        <v>4.58</v>
      </c>
      <c r="X1288" t="s">
        <v>6395</v>
      </c>
      <c r="Y1288" t="s">
        <v>6394</v>
      </c>
      <c r="Z1288" t="s">
        <v>6394</v>
      </c>
      <c r="AA1288" t="s">
        <v>4821</v>
      </c>
      <c r="AB1288" t="s">
        <v>37301</v>
      </c>
      <c r="AC1288" t="s">
        <v>34493</v>
      </c>
      <c r="AD1288" t="s">
        <v>17415</v>
      </c>
      <c r="AE1288" t="s">
        <v>34673</v>
      </c>
      <c r="AF1288" t="s">
        <v>37299</v>
      </c>
      <c r="AG1288" t="s">
        <v>37300</v>
      </c>
    </row>
    <row r="1289" spans="1:33" x14ac:dyDescent="0.25">
      <c r="A1289" t="s">
        <v>34462</v>
      </c>
      <c r="B1289" t="s">
        <v>6400</v>
      </c>
      <c r="C1289" t="s">
        <v>6402</v>
      </c>
      <c r="D1289">
        <v>30.67</v>
      </c>
      <c r="E1289">
        <v>30.67</v>
      </c>
      <c r="F1289">
        <v>4395950</v>
      </c>
      <c r="G1289">
        <v>2404764</v>
      </c>
      <c r="H1289">
        <v>39.08</v>
      </c>
      <c r="I1289">
        <v>43.17</v>
      </c>
      <c r="J1289">
        <v>0</v>
      </c>
      <c r="K1289">
        <v>0</v>
      </c>
      <c r="L1289">
        <v>4</v>
      </c>
      <c r="M1289">
        <v>4</v>
      </c>
      <c r="N1289">
        <v>3.5</v>
      </c>
      <c r="O1289">
        <v>1</v>
      </c>
      <c r="P1289">
        <v>2</v>
      </c>
      <c r="Q1289">
        <v>0</v>
      </c>
      <c r="R1289">
        <v>5</v>
      </c>
      <c r="S1289" t="s">
        <v>37295</v>
      </c>
      <c r="U1289">
        <v>2.2928047999999999</v>
      </c>
      <c r="V1289">
        <v>7.32</v>
      </c>
      <c r="W1289">
        <v>4.5999999999999996</v>
      </c>
      <c r="X1289" t="s">
        <v>6399</v>
      </c>
      <c r="Y1289" t="s">
        <v>6394</v>
      </c>
      <c r="Z1289" t="s">
        <v>6394</v>
      </c>
      <c r="AA1289" t="s">
        <v>4821</v>
      </c>
      <c r="AB1289" t="s">
        <v>37302</v>
      </c>
      <c r="AC1289" t="s">
        <v>34493</v>
      </c>
      <c r="AD1289" t="s">
        <v>17415</v>
      </c>
      <c r="AE1289" t="s">
        <v>34676</v>
      </c>
      <c r="AF1289" t="s">
        <v>37299</v>
      </c>
    </row>
    <row r="1290" spans="1:33" x14ac:dyDescent="0.25">
      <c r="A1290" t="s">
        <v>34462</v>
      </c>
      <c r="B1290" t="s">
        <v>6404</v>
      </c>
      <c r="C1290" t="s">
        <v>6407</v>
      </c>
      <c r="D1290">
        <v>33.22</v>
      </c>
      <c r="E1290">
        <v>32.880000000000003</v>
      </c>
      <c r="F1290">
        <v>9608</v>
      </c>
      <c r="G1290">
        <v>4451</v>
      </c>
      <c r="H1290">
        <v>27.69</v>
      </c>
      <c r="I1290">
        <v>32.19</v>
      </c>
      <c r="J1290">
        <v>0</v>
      </c>
      <c r="K1290">
        <v>0</v>
      </c>
      <c r="L1290">
        <v>11</v>
      </c>
      <c r="M1290">
        <v>11</v>
      </c>
      <c r="N1290">
        <v>4.5</v>
      </c>
      <c r="O1290">
        <v>104</v>
      </c>
      <c r="P1290">
        <v>4428</v>
      </c>
      <c r="Q1290">
        <v>92</v>
      </c>
      <c r="R1290">
        <v>232</v>
      </c>
      <c r="S1290" t="s">
        <v>37303</v>
      </c>
      <c r="T1290">
        <v>200</v>
      </c>
      <c r="U1290">
        <v>0.39903622</v>
      </c>
      <c r="V1290">
        <v>5.82</v>
      </c>
      <c r="W1290">
        <v>5.65</v>
      </c>
      <c r="X1290" t="s">
        <v>6403</v>
      </c>
      <c r="Y1290" t="s">
        <v>37304</v>
      </c>
      <c r="Z1290" t="s">
        <v>6408</v>
      </c>
      <c r="AA1290" t="s">
        <v>2017</v>
      </c>
      <c r="AB1290" t="s">
        <v>37305</v>
      </c>
      <c r="AC1290" t="s">
        <v>34493</v>
      </c>
      <c r="AD1290" t="s">
        <v>8078</v>
      </c>
      <c r="AE1290" t="s">
        <v>34474</v>
      </c>
      <c r="AF1290" t="s">
        <v>37306</v>
      </c>
      <c r="AG1290" t="s">
        <v>37307</v>
      </c>
    </row>
    <row r="1291" spans="1:33" x14ac:dyDescent="0.25">
      <c r="A1291" t="s">
        <v>34462</v>
      </c>
      <c r="B1291" t="s">
        <v>6410</v>
      </c>
      <c r="C1291" t="s">
        <v>6412</v>
      </c>
      <c r="D1291">
        <v>33.92</v>
      </c>
      <c r="E1291">
        <v>17.5</v>
      </c>
      <c r="F1291">
        <v>8445</v>
      </c>
      <c r="G1291">
        <v>4493</v>
      </c>
      <c r="H1291">
        <v>38.39</v>
      </c>
      <c r="I1291">
        <v>39.92</v>
      </c>
      <c r="J1291">
        <v>0</v>
      </c>
      <c r="K1291">
        <v>0.26</v>
      </c>
      <c r="L1291">
        <v>4</v>
      </c>
      <c r="M1291">
        <v>4</v>
      </c>
      <c r="N1291">
        <v>4.5</v>
      </c>
      <c r="O1291">
        <v>8</v>
      </c>
      <c r="P1291">
        <v>4423</v>
      </c>
      <c r="Q1291">
        <v>93</v>
      </c>
      <c r="R1291">
        <v>233</v>
      </c>
      <c r="S1291" t="s">
        <v>37303</v>
      </c>
      <c r="U1291">
        <v>0.42108242000000001</v>
      </c>
      <c r="V1291">
        <v>5.05</v>
      </c>
      <c r="W1291">
        <v>5.77</v>
      </c>
      <c r="X1291" t="s">
        <v>6409</v>
      </c>
      <c r="Y1291" t="s">
        <v>37308</v>
      </c>
      <c r="Z1291" t="s">
        <v>6408</v>
      </c>
      <c r="AA1291" t="s">
        <v>3314</v>
      </c>
      <c r="AB1291" t="s">
        <v>37309</v>
      </c>
      <c r="AC1291" t="s">
        <v>34484</v>
      </c>
      <c r="AD1291" t="s">
        <v>8078</v>
      </c>
      <c r="AE1291" t="s">
        <v>34474</v>
      </c>
      <c r="AF1291" t="s">
        <v>37310</v>
      </c>
      <c r="AG1291" t="s">
        <v>37307</v>
      </c>
    </row>
    <row r="1292" spans="1:33" x14ac:dyDescent="0.25">
      <c r="A1292" t="s">
        <v>34462</v>
      </c>
      <c r="B1292" t="s">
        <v>6414</v>
      </c>
      <c r="C1292" t="s">
        <v>6416</v>
      </c>
      <c r="D1292">
        <v>50</v>
      </c>
      <c r="F1292">
        <v>8445</v>
      </c>
      <c r="G1292">
        <v>4511</v>
      </c>
      <c r="I1292">
        <v>50</v>
      </c>
      <c r="J1292">
        <v>1</v>
      </c>
      <c r="K1292">
        <v>1</v>
      </c>
      <c r="N1292">
        <v>4.5</v>
      </c>
      <c r="O1292">
        <v>0</v>
      </c>
      <c r="P1292">
        <v>4881</v>
      </c>
      <c r="Q1292">
        <v>14</v>
      </c>
      <c r="R1292">
        <v>39</v>
      </c>
      <c r="S1292" t="s">
        <v>37303</v>
      </c>
      <c r="U1292">
        <v>0.41005932</v>
      </c>
      <c r="V1292">
        <v>5.05</v>
      </c>
      <c r="X1292" t="s">
        <v>6413</v>
      </c>
      <c r="Y1292" t="s">
        <v>6408</v>
      </c>
      <c r="Z1292" t="s">
        <v>6408</v>
      </c>
      <c r="AA1292" t="s">
        <v>6417</v>
      </c>
      <c r="AB1292" t="s">
        <v>37311</v>
      </c>
      <c r="AC1292" t="s">
        <v>34465</v>
      </c>
      <c r="AD1292" t="s">
        <v>8078</v>
      </c>
      <c r="AE1292" t="s">
        <v>37312</v>
      </c>
      <c r="AF1292" t="s">
        <v>37313</v>
      </c>
      <c r="AG1292" t="s">
        <v>37314</v>
      </c>
    </row>
    <row r="1293" spans="1:33" x14ac:dyDescent="0.25">
      <c r="A1293" t="s">
        <v>34462</v>
      </c>
      <c r="B1293" t="s">
        <v>6419</v>
      </c>
      <c r="C1293" t="s">
        <v>6422</v>
      </c>
      <c r="D1293">
        <v>23</v>
      </c>
      <c r="E1293">
        <v>23</v>
      </c>
      <c r="H1293">
        <v>23.44</v>
      </c>
      <c r="I1293">
        <v>23.1</v>
      </c>
      <c r="J1293">
        <v>0.79</v>
      </c>
      <c r="K1293">
        <v>1</v>
      </c>
      <c r="L1293">
        <v>1</v>
      </c>
      <c r="Q1293">
        <v>-1</v>
      </c>
      <c r="R1293">
        <v>-1</v>
      </c>
      <c r="U1293">
        <v>0.50044874000000006</v>
      </c>
      <c r="V1293">
        <v>4.45</v>
      </c>
      <c r="W1293">
        <v>3.91</v>
      </c>
      <c r="X1293" t="s">
        <v>6418</v>
      </c>
      <c r="AA1293" t="s">
        <v>6423</v>
      </c>
      <c r="AB1293" t="s">
        <v>37315</v>
      </c>
      <c r="AC1293" t="s">
        <v>34465</v>
      </c>
      <c r="AD1293" t="s">
        <v>11496</v>
      </c>
      <c r="AE1293" t="s">
        <v>37114</v>
      </c>
      <c r="AF1293" t="s">
        <v>37316</v>
      </c>
      <c r="AG1293" t="s">
        <v>37110</v>
      </c>
    </row>
    <row r="1294" spans="1:33" x14ac:dyDescent="0.25">
      <c r="A1294" t="s">
        <v>34462</v>
      </c>
      <c r="B1294" t="s">
        <v>6425</v>
      </c>
      <c r="C1294" t="s">
        <v>6427</v>
      </c>
      <c r="D1294">
        <v>24</v>
      </c>
      <c r="E1294">
        <v>24</v>
      </c>
      <c r="H1294">
        <v>24</v>
      </c>
      <c r="I1294">
        <v>23.67</v>
      </c>
      <c r="J1294">
        <v>0.16</v>
      </c>
      <c r="K1294">
        <v>1</v>
      </c>
      <c r="L1294">
        <v>1</v>
      </c>
      <c r="Q1294">
        <v>-1</v>
      </c>
      <c r="R1294">
        <v>-1</v>
      </c>
      <c r="U1294">
        <v>0.50044874000000006</v>
      </c>
      <c r="V1294">
        <v>4.45</v>
      </c>
      <c r="W1294">
        <v>4.08</v>
      </c>
      <c r="X1294" t="s">
        <v>6424</v>
      </c>
      <c r="AA1294" t="s">
        <v>6423</v>
      </c>
      <c r="AB1294" t="s">
        <v>37317</v>
      </c>
      <c r="AC1294" t="s">
        <v>34465</v>
      </c>
      <c r="AD1294" t="s">
        <v>11496</v>
      </c>
      <c r="AE1294" t="s">
        <v>36196</v>
      </c>
      <c r="AF1294" t="s">
        <v>37318</v>
      </c>
      <c r="AG1294" t="s">
        <v>37110</v>
      </c>
    </row>
    <row r="1295" spans="1:33" x14ac:dyDescent="0.25">
      <c r="A1295" t="s">
        <v>34462</v>
      </c>
      <c r="B1295" t="s">
        <v>6430</v>
      </c>
      <c r="C1295" t="s">
        <v>6432</v>
      </c>
      <c r="D1295">
        <v>27.17</v>
      </c>
      <c r="I1295">
        <v>27.17</v>
      </c>
      <c r="J1295">
        <v>0.9</v>
      </c>
      <c r="K1295">
        <v>1</v>
      </c>
      <c r="L1295">
        <v>1</v>
      </c>
      <c r="Q1295">
        <v>-1</v>
      </c>
      <c r="R1295">
        <v>-1</v>
      </c>
      <c r="U1295">
        <v>0.50044874000000006</v>
      </c>
      <c r="V1295">
        <v>4.45</v>
      </c>
      <c r="X1295" t="s">
        <v>6429</v>
      </c>
      <c r="AA1295" t="s">
        <v>6423</v>
      </c>
      <c r="AB1295" t="s">
        <v>37319</v>
      </c>
      <c r="AC1295" t="s">
        <v>34465</v>
      </c>
      <c r="AD1295" t="s">
        <v>11496</v>
      </c>
      <c r="AE1295" t="s">
        <v>37320</v>
      </c>
      <c r="AF1295" t="s">
        <v>37318</v>
      </c>
    </row>
    <row r="1296" spans="1:33" x14ac:dyDescent="0.25">
      <c r="A1296" t="s">
        <v>34462</v>
      </c>
      <c r="B1296" t="s">
        <v>6434</v>
      </c>
      <c r="C1296" t="s">
        <v>6437</v>
      </c>
      <c r="F1296">
        <v>3097908</v>
      </c>
      <c r="G1296">
        <v>2896954</v>
      </c>
      <c r="J1296">
        <v>1</v>
      </c>
      <c r="K1296">
        <v>1</v>
      </c>
      <c r="N1296">
        <v>4.7</v>
      </c>
      <c r="P1296">
        <v>86</v>
      </c>
      <c r="Q1296">
        <v>0</v>
      </c>
      <c r="R1296">
        <v>0</v>
      </c>
      <c r="U1296">
        <v>5.0706260000000003E-2</v>
      </c>
      <c r="V1296">
        <v>3.68</v>
      </c>
      <c r="X1296" t="s">
        <v>6433</v>
      </c>
      <c r="Y1296" t="s">
        <v>6438</v>
      </c>
      <c r="Z1296" t="s">
        <v>6438</v>
      </c>
      <c r="AA1296" t="s">
        <v>278</v>
      </c>
      <c r="AB1296" t="s">
        <v>37321</v>
      </c>
      <c r="AC1296" t="s">
        <v>34465</v>
      </c>
      <c r="AD1296" t="s">
        <v>35233</v>
      </c>
      <c r="AF1296" t="s">
        <v>37322</v>
      </c>
      <c r="AG1296" t="s">
        <v>37323</v>
      </c>
    </row>
    <row r="1297" spans="1:33" x14ac:dyDescent="0.25">
      <c r="A1297" t="s">
        <v>34462</v>
      </c>
      <c r="B1297" t="s">
        <v>6440</v>
      </c>
      <c r="C1297" t="s">
        <v>6443</v>
      </c>
      <c r="J1297">
        <v>1</v>
      </c>
      <c r="K1297">
        <v>1</v>
      </c>
      <c r="Q1297">
        <v>-1</v>
      </c>
      <c r="R1297">
        <v>-1</v>
      </c>
      <c r="S1297" t="s">
        <v>37324</v>
      </c>
      <c r="U1297">
        <v>0.57320119999999997</v>
      </c>
      <c r="V1297">
        <v>6.6</v>
      </c>
      <c r="X1297" t="s">
        <v>6439</v>
      </c>
      <c r="Y1297" t="s">
        <v>37325</v>
      </c>
      <c r="AA1297" t="s">
        <v>935</v>
      </c>
      <c r="AB1297" t="s">
        <v>37326</v>
      </c>
      <c r="AC1297" t="s">
        <v>34465</v>
      </c>
      <c r="AD1297" t="s">
        <v>37327</v>
      </c>
      <c r="AE1297" t="s">
        <v>34533</v>
      </c>
      <c r="AF1297" t="s">
        <v>37328</v>
      </c>
      <c r="AG1297" t="s">
        <v>37329</v>
      </c>
    </row>
    <row r="1298" spans="1:33" x14ac:dyDescent="0.25">
      <c r="A1298" t="s">
        <v>34462</v>
      </c>
      <c r="B1298" t="s">
        <v>6445</v>
      </c>
      <c r="C1298" t="s">
        <v>6448</v>
      </c>
      <c r="D1298">
        <v>6.05</v>
      </c>
      <c r="E1298">
        <v>6.05</v>
      </c>
      <c r="F1298">
        <v>78259</v>
      </c>
      <c r="G1298">
        <v>217070</v>
      </c>
      <c r="H1298">
        <v>12.59</v>
      </c>
      <c r="I1298">
        <v>12.75</v>
      </c>
      <c r="J1298">
        <v>0</v>
      </c>
      <c r="K1298">
        <v>0</v>
      </c>
      <c r="L1298">
        <v>3</v>
      </c>
      <c r="M1298">
        <v>3</v>
      </c>
      <c r="N1298">
        <v>4.4000000000000004</v>
      </c>
      <c r="O1298">
        <v>0</v>
      </c>
      <c r="P1298">
        <v>27</v>
      </c>
      <c r="Q1298">
        <v>30</v>
      </c>
      <c r="R1298">
        <v>92</v>
      </c>
      <c r="S1298" t="s">
        <v>37330</v>
      </c>
      <c r="U1298">
        <v>0.24030357999999999</v>
      </c>
      <c r="V1298">
        <v>3.78</v>
      </c>
      <c r="W1298">
        <v>0.91</v>
      </c>
      <c r="X1298" t="s">
        <v>6444</v>
      </c>
      <c r="Y1298" t="s">
        <v>6449</v>
      </c>
      <c r="Z1298" t="s">
        <v>6449</v>
      </c>
      <c r="AA1298" t="s">
        <v>5497</v>
      </c>
      <c r="AB1298" t="s">
        <v>37331</v>
      </c>
      <c r="AC1298" t="s">
        <v>34493</v>
      </c>
      <c r="AD1298" t="s">
        <v>35957</v>
      </c>
      <c r="AE1298" t="s">
        <v>37332</v>
      </c>
      <c r="AF1298" t="s">
        <v>37333</v>
      </c>
      <c r="AG1298" t="s">
        <v>37334</v>
      </c>
    </row>
    <row r="1299" spans="1:33" x14ac:dyDescent="0.25">
      <c r="A1299" t="s">
        <v>34462</v>
      </c>
      <c r="B1299" t="s">
        <v>6451</v>
      </c>
      <c r="C1299" t="s">
        <v>6453</v>
      </c>
      <c r="D1299">
        <v>10.79</v>
      </c>
      <c r="E1299">
        <v>10.79</v>
      </c>
      <c r="F1299">
        <v>85748</v>
      </c>
      <c r="G1299">
        <v>219504</v>
      </c>
      <c r="H1299">
        <v>14.01</v>
      </c>
      <c r="I1299">
        <v>12.19</v>
      </c>
      <c r="J1299">
        <v>0</v>
      </c>
      <c r="K1299">
        <v>0.02</v>
      </c>
      <c r="L1299">
        <v>3</v>
      </c>
      <c r="M1299">
        <v>3</v>
      </c>
      <c r="N1299">
        <v>4.4000000000000004</v>
      </c>
      <c r="O1299">
        <v>0</v>
      </c>
      <c r="P1299">
        <v>27</v>
      </c>
      <c r="Q1299">
        <v>29</v>
      </c>
      <c r="R1299">
        <v>80</v>
      </c>
      <c r="S1299" t="s">
        <v>37330</v>
      </c>
      <c r="U1299">
        <v>0.26014515999999999</v>
      </c>
      <c r="V1299">
        <v>4.55</v>
      </c>
      <c r="X1299" t="s">
        <v>6450</v>
      </c>
      <c r="Y1299" t="s">
        <v>6449</v>
      </c>
      <c r="Z1299" t="s">
        <v>6449</v>
      </c>
      <c r="AA1299" t="s">
        <v>5497</v>
      </c>
      <c r="AB1299" t="s">
        <v>37335</v>
      </c>
      <c r="AC1299" t="s">
        <v>34465</v>
      </c>
      <c r="AD1299" t="s">
        <v>35957</v>
      </c>
      <c r="AE1299" t="s">
        <v>37336</v>
      </c>
      <c r="AF1299" t="s">
        <v>37333</v>
      </c>
      <c r="AG1299" t="s">
        <v>36902</v>
      </c>
    </row>
    <row r="1300" spans="1:33" x14ac:dyDescent="0.25">
      <c r="A1300" t="s">
        <v>34462</v>
      </c>
      <c r="B1300" t="s">
        <v>6455</v>
      </c>
      <c r="C1300" t="s">
        <v>6457</v>
      </c>
      <c r="D1300">
        <v>15.4</v>
      </c>
      <c r="E1300">
        <v>10.79</v>
      </c>
      <c r="F1300">
        <v>80937</v>
      </c>
      <c r="G1300">
        <v>211950</v>
      </c>
      <c r="H1300">
        <v>13.81</v>
      </c>
      <c r="I1300">
        <v>14.12</v>
      </c>
      <c r="J1300">
        <v>0</v>
      </c>
      <c r="K1300">
        <v>0.02</v>
      </c>
      <c r="L1300">
        <v>3</v>
      </c>
      <c r="M1300">
        <v>2</v>
      </c>
      <c r="N1300">
        <v>4.4000000000000004</v>
      </c>
      <c r="O1300">
        <v>0</v>
      </c>
      <c r="P1300">
        <v>27</v>
      </c>
      <c r="Q1300">
        <v>29</v>
      </c>
      <c r="R1300">
        <v>72</v>
      </c>
      <c r="S1300" t="s">
        <v>37330</v>
      </c>
      <c r="U1300">
        <v>0.26014515999999999</v>
      </c>
      <c r="V1300">
        <v>4.22</v>
      </c>
      <c r="W1300">
        <v>2.3199999999999998</v>
      </c>
      <c r="X1300" t="s">
        <v>6454</v>
      </c>
      <c r="Y1300" t="s">
        <v>6449</v>
      </c>
      <c r="Z1300" t="s">
        <v>6449</v>
      </c>
      <c r="AA1300" t="s">
        <v>5497</v>
      </c>
      <c r="AB1300" t="s">
        <v>37337</v>
      </c>
      <c r="AC1300" t="s">
        <v>34465</v>
      </c>
      <c r="AD1300" t="s">
        <v>35957</v>
      </c>
      <c r="AE1300" t="s">
        <v>37338</v>
      </c>
      <c r="AF1300" t="s">
        <v>37333</v>
      </c>
      <c r="AG1300" t="s">
        <v>36902</v>
      </c>
    </row>
    <row r="1301" spans="1:33" x14ac:dyDescent="0.25">
      <c r="A1301" t="s">
        <v>34462</v>
      </c>
      <c r="B1301" t="s">
        <v>6459</v>
      </c>
      <c r="C1301" t="s">
        <v>6461</v>
      </c>
      <c r="D1301">
        <v>22.36</v>
      </c>
      <c r="E1301">
        <v>11.99</v>
      </c>
      <c r="F1301">
        <v>93705</v>
      </c>
      <c r="G1301">
        <v>220588</v>
      </c>
      <c r="H1301">
        <v>14.92</v>
      </c>
      <c r="I1301">
        <v>13.54</v>
      </c>
      <c r="J1301">
        <v>0</v>
      </c>
      <c r="K1301">
        <v>0.35</v>
      </c>
      <c r="L1301">
        <v>3</v>
      </c>
      <c r="M1301">
        <v>2</v>
      </c>
      <c r="O1301">
        <v>0</v>
      </c>
      <c r="Q1301">
        <v>15</v>
      </c>
      <c r="R1301">
        <v>46</v>
      </c>
      <c r="S1301" t="s">
        <v>37330</v>
      </c>
      <c r="U1301">
        <v>0.28660059999999998</v>
      </c>
      <c r="V1301">
        <v>4.99</v>
      </c>
      <c r="W1301">
        <v>3.35</v>
      </c>
      <c r="X1301" t="s">
        <v>6458</v>
      </c>
      <c r="Y1301" t="s">
        <v>6449</v>
      </c>
      <c r="Z1301" t="s">
        <v>6449</v>
      </c>
      <c r="AA1301" t="s">
        <v>5497</v>
      </c>
      <c r="AB1301" t="s">
        <v>37339</v>
      </c>
      <c r="AC1301" t="s">
        <v>34465</v>
      </c>
      <c r="AD1301" t="s">
        <v>35957</v>
      </c>
      <c r="AE1301" t="s">
        <v>35958</v>
      </c>
      <c r="AF1301" t="s">
        <v>37333</v>
      </c>
      <c r="AG1301" t="s">
        <v>37340</v>
      </c>
    </row>
    <row r="1302" spans="1:33" x14ac:dyDescent="0.25">
      <c r="A1302" t="s">
        <v>34462</v>
      </c>
      <c r="B1302" t="s">
        <v>6463</v>
      </c>
      <c r="C1302" t="s">
        <v>6465</v>
      </c>
      <c r="D1302">
        <v>19.899999999999999</v>
      </c>
      <c r="F1302">
        <v>93705</v>
      </c>
      <c r="G1302">
        <v>213216</v>
      </c>
      <c r="H1302">
        <v>19.899999999999999</v>
      </c>
      <c r="I1302">
        <v>17.690000000000001</v>
      </c>
      <c r="J1302">
        <v>0.4</v>
      </c>
      <c r="K1302">
        <v>0.5</v>
      </c>
      <c r="L1302">
        <v>2</v>
      </c>
      <c r="M1302">
        <v>1</v>
      </c>
      <c r="N1302">
        <v>4.4000000000000004</v>
      </c>
      <c r="O1302">
        <v>2</v>
      </c>
      <c r="P1302">
        <v>27</v>
      </c>
      <c r="Q1302">
        <v>12</v>
      </c>
      <c r="R1302">
        <v>43</v>
      </c>
      <c r="S1302" t="s">
        <v>37330</v>
      </c>
      <c r="U1302">
        <v>0.31085141999999999</v>
      </c>
      <c r="V1302">
        <v>5.37</v>
      </c>
      <c r="X1302" t="s">
        <v>6462</v>
      </c>
      <c r="Y1302" t="s">
        <v>6449</v>
      </c>
      <c r="Z1302" t="s">
        <v>6449</v>
      </c>
      <c r="AA1302" t="s">
        <v>5497</v>
      </c>
      <c r="AB1302" t="s">
        <v>37341</v>
      </c>
      <c r="AC1302" t="s">
        <v>34465</v>
      </c>
      <c r="AD1302" t="s">
        <v>35957</v>
      </c>
      <c r="AE1302" t="s">
        <v>34673</v>
      </c>
      <c r="AF1302" t="s">
        <v>37342</v>
      </c>
      <c r="AG1302" t="s">
        <v>36902</v>
      </c>
    </row>
    <row r="1303" spans="1:33" x14ac:dyDescent="0.25">
      <c r="A1303" t="s">
        <v>34462</v>
      </c>
      <c r="B1303" t="s">
        <v>6467</v>
      </c>
      <c r="C1303" t="s">
        <v>6469</v>
      </c>
      <c r="D1303">
        <v>18.12</v>
      </c>
      <c r="F1303">
        <v>78259</v>
      </c>
      <c r="G1303">
        <v>216295</v>
      </c>
      <c r="H1303">
        <v>18.12</v>
      </c>
      <c r="I1303">
        <v>20.59</v>
      </c>
      <c r="J1303">
        <v>0.76</v>
      </c>
      <c r="K1303">
        <v>0.76</v>
      </c>
      <c r="L1303">
        <v>1</v>
      </c>
      <c r="M1303">
        <v>1</v>
      </c>
      <c r="N1303">
        <v>4.4000000000000004</v>
      </c>
      <c r="O1303">
        <v>2</v>
      </c>
      <c r="P1303">
        <v>27</v>
      </c>
      <c r="Q1303">
        <v>22</v>
      </c>
      <c r="R1303">
        <v>39</v>
      </c>
      <c r="S1303" t="s">
        <v>37330</v>
      </c>
      <c r="U1303">
        <v>0.33069300000000001</v>
      </c>
      <c r="V1303">
        <v>4.99</v>
      </c>
      <c r="X1303" t="s">
        <v>6466</v>
      </c>
      <c r="Y1303" t="s">
        <v>6449</v>
      </c>
      <c r="Z1303" t="s">
        <v>6449</v>
      </c>
      <c r="AA1303" t="s">
        <v>5497</v>
      </c>
      <c r="AB1303" t="s">
        <v>37343</v>
      </c>
      <c r="AC1303" t="s">
        <v>34465</v>
      </c>
      <c r="AD1303" t="s">
        <v>35957</v>
      </c>
      <c r="AE1303" t="s">
        <v>34676</v>
      </c>
      <c r="AF1303" t="s">
        <v>37333</v>
      </c>
      <c r="AG1303" t="s">
        <v>36902</v>
      </c>
    </row>
    <row r="1304" spans="1:33" x14ac:dyDescent="0.25">
      <c r="A1304" t="s">
        <v>34462</v>
      </c>
      <c r="B1304" t="s">
        <v>6471</v>
      </c>
      <c r="C1304" t="s">
        <v>6474</v>
      </c>
      <c r="D1304">
        <v>28.99</v>
      </c>
      <c r="E1304">
        <v>24</v>
      </c>
      <c r="F1304">
        <v>1333464</v>
      </c>
      <c r="G1304">
        <v>1641652</v>
      </c>
      <c r="H1304">
        <v>36.92</v>
      </c>
      <c r="I1304">
        <v>37.56</v>
      </c>
      <c r="J1304">
        <v>0.01</v>
      </c>
      <c r="K1304">
        <v>1</v>
      </c>
      <c r="L1304">
        <v>2</v>
      </c>
      <c r="M1304">
        <v>2</v>
      </c>
      <c r="N1304">
        <v>3.9</v>
      </c>
      <c r="O1304">
        <v>0</v>
      </c>
      <c r="P1304">
        <v>3</v>
      </c>
      <c r="Q1304">
        <v>1</v>
      </c>
      <c r="R1304">
        <v>6</v>
      </c>
      <c r="S1304" t="s">
        <v>37344</v>
      </c>
      <c r="U1304">
        <v>0.29982831999999998</v>
      </c>
      <c r="V1304">
        <v>4.67</v>
      </c>
      <c r="W1304">
        <v>4.93</v>
      </c>
      <c r="X1304" t="s">
        <v>6470</v>
      </c>
      <c r="AA1304" t="s">
        <v>6475</v>
      </c>
      <c r="AB1304" t="s">
        <v>37345</v>
      </c>
      <c r="AC1304" t="s">
        <v>34465</v>
      </c>
      <c r="AD1304" t="s">
        <v>7965</v>
      </c>
      <c r="AE1304" t="s">
        <v>14701</v>
      </c>
      <c r="AF1304" t="s">
        <v>37346</v>
      </c>
    </row>
    <row r="1305" spans="1:33" x14ac:dyDescent="0.25">
      <c r="A1305" t="s">
        <v>34462</v>
      </c>
      <c r="B1305" t="s">
        <v>6477</v>
      </c>
      <c r="C1305" t="s">
        <v>6479</v>
      </c>
      <c r="D1305">
        <v>33.24</v>
      </c>
      <c r="F1305">
        <v>1333464</v>
      </c>
      <c r="G1305">
        <v>1664375</v>
      </c>
      <c r="H1305">
        <v>33.24</v>
      </c>
      <c r="I1305">
        <v>32.53</v>
      </c>
      <c r="J1305">
        <v>0.23</v>
      </c>
      <c r="K1305">
        <v>1</v>
      </c>
      <c r="L1305">
        <v>2</v>
      </c>
      <c r="M1305">
        <v>1</v>
      </c>
      <c r="N1305">
        <v>3.9</v>
      </c>
      <c r="O1305">
        <v>0</v>
      </c>
      <c r="P1305">
        <v>3</v>
      </c>
      <c r="Q1305">
        <v>1</v>
      </c>
      <c r="R1305">
        <v>5</v>
      </c>
      <c r="S1305" t="s">
        <v>37344</v>
      </c>
      <c r="X1305" t="s">
        <v>6476</v>
      </c>
      <c r="AA1305" t="s">
        <v>6475</v>
      </c>
      <c r="AB1305" t="s">
        <v>37347</v>
      </c>
      <c r="AC1305" t="s">
        <v>34465</v>
      </c>
      <c r="AD1305" t="s">
        <v>7965</v>
      </c>
      <c r="AE1305" t="s">
        <v>34525</v>
      </c>
      <c r="AF1305" t="s">
        <v>37346</v>
      </c>
    </row>
    <row r="1306" spans="1:33" x14ac:dyDescent="0.25">
      <c r="A1306" t="s">
        <v>34462</v>
      </c>
      <c r="B1306" t="s">
        <v>6482</v>
      </c>
      <c r="C1306" t="s">
        <v>6484</v>
      </c>
      <c r="D1306">
        <v>45.98</v>
      </c>
      <c r="F1306">
        <v>1333464</v>
      </c>
      <c r="G1306">
        <v>1651833</v>
      </c>
      <c r="H1306">
        <v>45.98</v>
      </c>
      <c r="I1306">
        <v>45.98</v>
      </c>
      <c r="J1306">
        <v>0.48</v>
      </c>
      <c r="K1306">
        <v>1</v>
      </c>
      <c r="L1306">
        <v>1</v>
      </c>
      <c r="N1306">
        <v>4.0999999999999996</v>
      </c>
      <c r="O1306">
        <v>0</v>
      </c>
      <c r="P1306">
        <v>4</v>
      </c>
      <c r="Q1306">
        <v>2</v>
      </c>
      <c r="R1306">
        <v>6</v>
      </c>
      <c r="S1306" t="s">
        <v>37344</v>
      </c>
      <c r="X1306" t="s">
        <v>6481</v>
      </c>
      <c r="AA1306" t="s">
        <v>6475</v>
      </c>
      <c r="AB1306" t="s">
        <v>37348</v>
      </c>
      <c r="AC1306" t="s">
        <v>34465</v>
      </c>
      <c r="AD1306" t="s">
        <v>7965</v>
      </c>
      <c r="AE1306" t="s">
        <v>34649</v>
      </c>
      <c r="AF1306" t="s">
        <v>37346</v>
      </c>
    </row>
    <row r="1307" spans="1:33" x14ac:dyDescent="0.25">
      <c r="A1307" t="s">
        <v>34462</v>
      </c>
      <c r="B1307" t="s">
        <v>6486</v>
      </c>
      <c r="C1307" t="s">
        <v>6489</v>
      </c>
      <c r="D1307">
        <v>18.37</v>
      </c>
      <c r="E1307">
        <v>18.37</v>
      </c>
      <c r="F1307">
        <v>2112772</v>
      </c>
      <c r="G1307">
        <v>380761</v>
      </c>
      <c r="H1307">
        <v>28.27</v>
      </c>
      <c r="I1307">
        <v>14.5</v>
      </c>
      <c r="J1307">
        <v>0.94</v>
      </c>
      <c r="K1307">
        <v>0.94</v>
      </c>
      <c r="L1307">
        <v>1</v>
      </c>
      <c r="Q1307">
        <v>0</v>
      </c>
      <c r="R1307">
        <v>0</v>
      </c>
      <c r="S1307" t="s">
        <v>37349</v>
      </c>
      <c r="U1307">
        <v>0.25132668000000002</v>
      </c>
      <c r="V1307">
        <v>4.67</v>
      </c>
      <c r="W1307">
        <v>3.12</v>
      </c>
      <c r="X1307" t="s">
        <v>6485</v>
      </c>
      <c r="Y1307" t="s">
        <v>6490</v>
      </c>
      <c r="Z1307" t="s">
        <v>6490</v>
      </c>
      <c r="AA1307" t="s">
        <v>546</v>
      </c>
      <c r="AB1307" t="s">
        <v>37350</v>
      </c>
      <c r="AC1307" t="s">
        <v>34484</v>
      </c>
      <c r="AD1307" t="s">
        <v>8087</v>
      </c>
      <c r="AE1307" t="s">
        <v>34474</v>
      </c>
      <c r="AF1307" t="s">
        <v>37351</v>
      </c>
      <c r="AG1307" t="s">
        <v>37352</v>
      </c>
    </row>
    <row r="1308" spans="1:33" x14ac:dyDescent="0.25">
      <c r="A1308" t="s">
        <v>34462</v>
      </c>
      <c r="B1308" t="s">
        <v>6492</v>
      </c>
      <c r="C1308" t="s">
        <v>6494</v>
      </c>
      <c r="D1308">
        <v>14.7</v>
      </c>
      <c r="E1308">
        <v>14.7</v>
      </c>
      <c r="F1308">
        <v>2040160</v>
      </c>
      <c r="G1308">
        <v>4347757</v>
      </c>
      <c r="H1308">
        <v>21.12</v>
      </c>
      <c r="I1308">
        <v>19</v>
      </c>
      <c r="J1308">
        <v>0</v>
      </c>
      <c r="K1308">
        <v>0</v>
      </c>
      <c r="L1308">
        <v>1</v>
      </c>
      <c r="M1308">
        <v>1</v>
      </c>
      <c r="Q1308">
        <v>2</v>
      </c>
      <c r="R1308">
        <v>4</v>
      </c>
      <c r="S1308" t="s">
        <v>37353</v>
      </c>
      <c r="U1308">
        <v>0.3086468</v>
      </c>
      <c r="V1308">
        <v>3.42</v>
      </c>
      <c r="W1308">
        <v>0.74</v>
      </c>
      <c r="X1308" t="s">
        <v>6491</v>
      </c>
      <c r="Y1308" t="s">
        <v>6490</v>
      </c>
      <c r="Z1308" t="s">
        <v>6490</v>
      </c>
      <c r="AA1308" t="s">
        <v>4045</v>
      </c>
      <c r="AB1308" t="s">
        <v>37354</v>
      </c>
      <c r="AC1308" t="s">
        <v>34493</v>
      </c>
      <c r="AD1308" t="s">
        <v>8087</v>
      </c>
      <c r="AE1308" t="s">
        <v>14701</v>
      </c>
      <c r="AF1308" t="s">
        <v>37355</v>
      </c>
      <c r="AG1308" t="s">
        <v>37352</v>
      </c>
    </row>
    <row r="1309" spans="1:33" x14ac:dyDescent="0.25">
      <c r="A1309" t="s">
        <v>34462</v>
      </c>
      <c r="B1309" t="s">
        <v>6496</v>
      </c>
      <c r="C1309" t="s">
        <v>6498</v>
      </c>
      <c r="D1309">
        <v>31.91</v>
      </c>
      <c r="F1309">
        <v>2112772</v>
      </c>
      <c r="G1309">
        <v>2039576</v>
      </c>
      <c r="I1309">
        <v>31.91</v>
      </c>
      <c r="J1309">
        <v>1</v>
      </c>
      <c r="K1309">
        <v>1</v>
      </c>
      <c r="O1309">
        <v>0</v>
      </c>
      <c r="Q1309">
        <v>1</v>
      </c>
      <c r="R1309">
        <v>1</v>
      </c>
      <c r="S1309" t="s">
        <v>37349</v>
      </c>
      <c r="U1309">
        <v>0.31966990000000001</v>
      </c>
      <c r="V1309">
        <v>5.12</v>
      </c>
      <c r="X1309" t="s">
        <v>6495</v>
      </c>
      <c r="Y1309" t="s">
        <v>6490</v>
      </c>
      <c r="Z1309" t="s">
        <v>6490</v>
      </c>
      <c r="AA1309" t="s">
        <v>546</v>
      </c>
      <c r="AB1309" t="s">
        <v>37356</v>
      </c>
      <c r="AC1309" t="s">
        <v>34465</v>
      </c>
      <c r="AD1309" t="s">
        <v>8087</v>
      </c>
      <c r="AE1309" t="s">
        <v>14701</v>
      </c>
      <c r="AF1309" t="s">
        <v>37351</v>
      </c>
      <c r="AG1309" t="s">
        <v>37352</v>
      </c>
    </row>
    <row r="1310" spans="1:33" x14ac:dyDescent="0.25">
      <c r="A1310" t="s">
        <v>34462</v>
      </c>
      <c r="B1310" t="s">
        <v>6500</v>
      </c>
      <c r="C1310" t="s">
        <v>6502</v>
      </c>
      <c r="D1310">
        <v>14.7</v>
      </c>
      <c r="E1310">
        <v>14.7</v>
      </c>
      <c r="F1310">
        <v>2112772</v>
      </c>
      <c r="G1310">
        <v>443481</v>
      </c>
      <c r="H1310">
        <v>14.7</v>
      </c>
      <c r="I1310">
        <v>14.31</v>
      </c>
      <c r="J1310">
        <v>1</v>
      </c>
      <c r="K1310">
        <v>1</v>
      </c>
      <c r="L1310">
        <v>1</v>
      </c>
      <c r="Q1310">
        <v>0</v>
      </c>
      <c r="R1310">
        <v>0</v>
      </c>
      <c r="S1310" t="s">
        <v>37349</v>
      </c>
      <c r="U1310">
        <v>0.3086468</v>
      </c>
      <c r="V1310">
        <v>4.67</v>
      </c>
      <c r="W1310">
        <v>2.5</v>
      </c>
      <c r="X1310" t="s">
        <v>6499</v>
      </c>
      <c r="Y1310" t="s">
        <v>6490</v>
      </c>
      <c r="Z1310" t="s">
        <v>6490</v>
      </c>
      <c r="AA1310" t="s">
        <v>4045</v>
      </c>
      <c r="AB1310" t="s">
        <v>37357</v>
      </c>
      <c r="AC1310" t="s">
        <v>34484</v>
      </c>
      <c r="AD1310" t="s">
        <v>8087</v>
      </c>
      <c r="AE1310" t="s">
        <v>34525</v>
      </c>
      <c r="AF1310" t="s">
        <v>37355</v>
      </c>
    </row>
    <row r="1311" spans="1:33" x14ac:dyDescent="0.25">
      <c r="A1311" t="s">
        <v>34462</v>
      </c>
      <c r="B1311" t="s">
        <v>6504</v>
      </c>
      <c r="C1311" t="s">
        <v>6506</v>
      </c>
      <c r="D1311">
        <v>8.7100000000000009</v>
      </c>
      <c r="E1311">
        <v>8.7100000000000009</v>
      </c>
      <c r="F1311">
        <v>2112772</v>
      </c>
      <c r="G1311">
        <v>1940959</v>
      </c>
      <c r="H1311">
        <v>10.87</v>
      </c>
      <c r="I1311">
        <v>10.25</v>
      </c>
      <c r="J1311">
        <v>0.11</v>
      </c>
      <c r="K1311">
        <v>0.11</v>
      </c>
      <c r="L1311">
        <v>1</v>
      </c>
      <c r="Q1311">
        <v>2</v>
      </c>
      <c r="R1311">
        <v>4</v>
      </c>
      <c r="S1311" t="s">
        <v>37349</v>
      </c>
      <c r="U1311">
        <v>0.33510224</v>
      </c>
      <c r="V1311">
        <v>5.13</v>
      </c>
      <c r="W1311">
        <v>0.44</v>
      </c>
      <c r="X1311" t="s">
        <v>6503</v>
      </c>
      <c r="Y1311" t="s">
        <v>6490</v>
      </c>
      <c r="Z1311" t="s">
        <v>6490</v>
      </c>
      <c r="AA1311" t="s">
        <v>546</v>
      </c>
      <c r="AB1311" t="s">
        <v>37358</v>
      </c>
      <c r="AC1311" t="s">
        <v>34493</v>
      </c>
      <c r="AD1311" t="s">
        <v>8087</v>
      </c>
      <c r="AE1311" t="s">
        <v>34525</v>
      </c>
      <c r="AF1311" t="s">
        <v>37351</v>
      </c>
      <c r="AG1311" t="s">
        <v>37352</v>
      </c>
    </row>
    <row r="1312" spans="1:33" x14ac:dyDescent="0.25">
      <c r="A1312" t="s">
        <v>34462</v>
      </c>
      <c r="B1312" t="s">
        <v>6508</v>
      </c>
      <c r="C1312" t="s">
        <v>6510</v>
      </c>
      <c r="D1312">
        <v>14.7</v>
      </c>
      <c r="E1312">
        <v>14.7</v>
      </c>
      <c r="F1312">
        <v>2112772</v>
      </c>
      <c r="G1312">
        <v>1782880</v>
      </c>
      <c r="H1312">
        <v>27.68</v>
      </c>
      <c r="I1312">
        <v>22.54</v>
      </c>
      <c r="J1312">
        <v>0</v>
      </c>
      <c r="K1312">
        <v>0</v>
      </c>
      <c r="L1312">
        <v>1</v>
      </c>
      <c r="M1312">
        <v>1</v>
      </c>
      <c r="Q1312">
        <v>2</v>
      </c>
      <c r="R1312">
        <v>5</v>
      </c>
      <c r="S1312" t="s">
        <v>37349</v>
      </c>
      <c r="U1312">
        <v>0.33510224</v>
      </c>
      <c r="V1312">
        <v>5.9</v>
      </c>
      <c r="W1312">
        <v>0.74</v>
      </c>
      <c r="X1312" t="s">
        <v>6507</v>
      </c>
      <c r="Y1312" t="s">
        <v>6490</v>
      </c>
      <c r="Z1312" t="s">
        <v>6490</v>
      </c>
      <c r="AA1312" t="s">
        <v>4045</v>
      </c>
      <c r="AB1312" t="s">
        <v>37359</v>
      </c>
      <c r="AC1312" t="s">
        <v>34493</v>
      </c>
      <c r="AD1312" t="s">
        <v>8087</v>
      </c>
      <c r="AE1312" t="s">
        <v>34649</v>
      </c>
      <c r="AF1312" t="s">
        <v>37355</v>
      </c>
      <c r="AG1312" t="s">
        <v>37352</v>
      </c>
    </row>
    <row r="1313" spans="1:33" x14ac:dyDescent="0.25">
      <c r="A1313" t="s">
        <v>34462</v>
      </c>
      <c r="B1313" t="s">
        <v>6512</v>
      </c>
      <c r="C1313" t="s">
        <v>6514</v>
      </c>
      <c r="D1313">
        <v>9.8800000000000008</v>
      </c>
      <c r="F1313">
        <v>2112772</v>
      </c>
      <c r="G1313">
        <v>1776556</v>
      </c>
      <c r="I1313">
        <v>9.8800000000000008</v>
      </c>
      <c r="J1313">
        <v>1</v>
      </c>
      <c r="K1313">
        <v>1</v>
      </c>
      <c r="Q1313">
        <v>1</v>
      </c>
      <c r="R1313">
        <v>1</v>
      </c>
      <c r="S1313" t="s">
        <v>37349</v>
      </c>
      <c r="U1313">
        <v>0.26234977999999998</v>
      </c>
      <c r="V1313">
        <v>5.13</v>
      </c>
      <c r="X1313" t="s">
        <v>6511</v>
      </c>
      <c r="Y1313" t="s">
        <v>6490</v>
      </c>
      <c r="Z1313" t="s">
        <v>6490</v>
      </c>
      <c r="AA1313" t="s">
        <v>546</v>
      </c>
      <c r="AB1313" t="s">
        <v>37360</v>
      </c>
      <c r="AC1313" t="s">
        <v>34465</v>
      </c>
      <c r="AD1313" t="s">
        <v>8087</v>
      </c>
      <c r="AE1313" t="s">
        <v>34649</v>
      </c>
      <c r="AF1313" t="s">
        <v>37351</v>
      </c>
      <c r="AG1313" t="s">
        <v>37352</v>
      </c>
    </row>
    <row r="1314" spans="1:33" x14ac:dyDescent="0.25">
      <c r="A1314" t="s">
        <v>34462</v>
      </c>
      <c r="B1314" t="s">
        <v>6516</v>
      </c>
      <c r="C1314" t="s">
        <v>6519</v>
      </c>
      <c r="D1314">
        <v>46.01</v>
      </c>
      <c r="E1314">
        <v>46.01</v>
      </c>
      <c r="F1314">
        <v>116143</v>
      </c>
      <c r="G1314">
        <v>118216</v>
      </c>
      <c r="H1314">
        <v>54.66</v>
      </c>
      <c r="I1314">
        <v>57.6</v>
      </c>
      <c r="J1314">
        <v>0</v>
      </c>
      <c r="K1314">
        <v>0</v>
      </c>
      <c r="L1314">
        <v>16</v>
      </c>
      <c r="M1314">
        <v>25</v>
      </c>
      <c r="N1314">
        <v>4.7</v>
      </c>
      <c r="O1314">
        <v>0</v>
      </c>
      <c r="P1314">
        <v>61</v>
      </c>
      <c r="Q1314">
        <v>40</v>
      </c>
      <c r="R1314">
        <v>100</v>
      </c>
      <c r="S1314" t="s">
        <v>37361</v>
      </c>
      <c r="U1314">
        <v>1.0031021</v>
      </c>
      <c r="V1314">
        <v>7.56</v>
      </c>
      <c r="W1314">
        <v>7.83</v>
      </c>
      <c r="X1314" t="s">
        <v>6515</v>
      </c>
      <c r="Y1314" t="s">
        <v>37362</v>
      </c>
      <c r="Z1314" t="s">
        <v>6520</v>
      </c>
      <c r="AA1314" t="s">
        <v>6521</v>
      </c>
      <c r="AB1314" t="s">
        <v>37363</v>
      </c>
      <c r="AC1314" t="s">
        <v>34493</v>
      </c>
      <c r="AD1314" t="s">
        <v>8078</v>
      </c>
      <c r="AE1314" t="s">
        <v>34533</v>
      </c>
      <c r="AF1314" t="s">
        <v>37364</v>
      </c>
      <c r="AG1314" t="s">
        <v>37365</v>
      </c>
    </row>
    <row r="1315" spans="1:33" x14ac:dyDescent="0.25">
      <c r="A1315" t="s">
        <v>34462</v>
      </c>
      <c r="B1315" t="s">
        <v>6523</v>
      </c>
      <c r="C1315" t="s">
        <v>6525</v>
      </c>
      <c r="D1315">
        <v>27</v>
      </c>
      <c r="E1315">
        <v>27</v>
      </c>
      <c r="F1315">
        <v>113321</v>
      </c>
      <c r="G1315">
        <v>118780</v>
      </c>
      <c r="H1315">
        <v>47.98</v>
      </c>
      <c r="I1315">
        <v>50.76</v>
      </c>
      <c r="J1315">
        <v>0</v>
      </c>
      <c r="K1315">
        <v>0</v>
      </c>
      <c r="L1315">
        <v>6</v>
      </c>
      <c r="M1315">
        <v>5</v>
      </c>
      <c r="N1315">
        <v>4.7</v>
      </c>
      <c r="O1315">
        <v>1</v>
      </c>
      <c r="P1315">
        <v>61</v>
      </c>
      <c r="Q1315">
        <v>34</v>
      </c>
      <c r="R1315">
        <v>96</v>
      </c>
      <c r="S1315" t="s">
        <v>37361</v>
      </c>
      <c r="U1315">
        <v>0.95900969999999996</v>
      </c>
      <c r="V1315">
        <v>7.24</v>
      </c>
      <c r="W1315">
        <v>4.59</v>
      </c>
      <c r="X1315" t="s">
        <v>6522</v>
      </c>
      <c r="Y1315" t="s">
        <v>6520</v>
      </c>
      <c r="Z1315" t="s">
        <v>6520</v>
      </c>
      <c r="AA1315" t="s">
        <v>6526</v>
      </c>
      <c r="AB1315" t="s">
        <v>37366</v>
      </c>
      <c r="AC1315" t="s">
        <v>34493</v>
      </c>
      <c r="AD1315" t="s">
        <v>8078</v>
      </c>
      <c r="AE1315" t="s">
        <v>34533</v>
      </c>
      <c r="AF1315" t="s">
        <v>37367</v>
      </c>
      <c r="AG1315" t="s">
        <v>37365</v>
      </c>
    </row>
    <row r="1316" spans="1:33" x14ac:dyDescent="0.25">
      <c r="A1316" t="s">
        <v>34462</v>
      </c>
      <c r="B1316" t="s">
        <v>6528</v>
      </c>
      <c r="C1316" t="s">
        <v>6530</v>
      </c>
      <c r="D1316">
        <v>37.46</v>
      </c>
      <c r="E1316">
        <v>37.46</v>
      </c>
      <c r="F1316">
        <v>113321</v>
      </c>
      <c r="G1316">
        <v>120833</v>
      </c>
      <c r="H1316">
        <v>45.9</v>
      </c>
      <c r="I1316">
        <v>43.37</v>
      </c>
      <c r="J1316">
        <v>0</v>
      </c>
      <c r="K1316">
        <v>0</v>
      </c>
      <c r="L1316">
        <v>12</v>
      </c>
      <c r="M1316">
        <v>15</v>
      </c>
      <c r="N1316">
        <v>4.7</v>
      </c>
      <c r="O1316">
        <v>1</v>
      </c>
      <c r="P1316">
        <v>61</v>
      </c>
      <c r="Q1316">
        <v>39</v>
      </c>
      <c r="R1316">
        <v>109</v>
      </c>
      <c r="S1316" t="s">
        <v>37361</v>
      </c>
      <c r="U1316">
        <v>0.94798660000000001</v>
      </c>
      <c r="V1316">
        <v>6.81</v>
      </c>
      <c r="W1316">
        <v>6.37</v>
      </c>
      <c r="X1316" t="s">
        <v>6527</v>
      </c>
      <c r="Y1316" t="s">
        <v>6520</v>
      </c>
      <c r="Z1316" t="s">
        <v>6520</v>
      </c>
      <c r="AA1316" t="s">
        <v>6531</v>
      </c>
      <c r="AB1316" t="s">
        <v>37368</v>
      </c>
      <c r="AC1316" t="s">
        <v>34493</v>
      </c>
      <c r="AD1316" t="s">
        <v>8078</v>
      </c>
      <c r="AE1316" t="s">
        <v>34533</v>
      </c>
      <c r="AF1316" t="s">
        <v>37369</v>
      </c>
      <c r="AG1316" t="s">
        <v>37365</v>
      </c>
    </row>
    <row r="1317" spans="1:33" x14ac:dyDescent="0.25">
      <c r="A1317" t="s">
        <v>34462</v>
      </c>
      <c r="B1317" t="s">
        <v>6533</v>
      </c>
      <c r="C1317" t="s">
        <v>6535</v>
      </c>
      <c r="D1317">
        <v>27</v>
      </c>
      <c r="E1317">
        <v>27</v>
      </c>
      <c r="F1317">
        <v>102323</v>
      </c>
      <c r="G1317">
        <v>119198</v>
      </c>
      <c r="H1317">
        <v>48.21</v>
      </c>
      <c r="I1317">
        <v>47.73</v>
      </c>
      <c r="J1317">
        <v>0</v>
      </c>
      <c r="K1317">
        <v>0</v>
      </c>
      <c r="L1317">
        <v>9</v>
      </c>
      <c r="M1317">
        <v>13</v>
      </c>
      <c r="N1317">
        <v>4.7</v>
      </c>
      <c r="O1317">
        <v>1</v>
      </c>
      <c r="P1317">
        <v>61</v>
      </c>
      <c r="Q1317">
        <v>41</v>
      </c>
      <c r="R1317">
        <v>115</v>
      </c>
      <c r="S1317" t="s">
        <v>37361</v>
      </c>
      <c r="U1317">
        <v>0.97003280000000003</v>
      </c>
      <c r="V1317">
        <v>7.18</v>
      </c>
      <c r="W1317">
        <v>4.59</v>
      </c>
      <c r="X1317" t="s">
        <v>6532</v>
      </c>
      <c r="Y1317" t="s">
        <v>6520</v>
      </c>
      <c r="Z1317" t="s">
        <v>6520</v>
      </c>
      <c r="AA1317" t="s">
        <v>6536</v>
      </c>
      <c r="AB1317" t="s">
        <v>37370</v>
      </c>
      <c r="AC1317" t="s">
        <v>34493</v>
      </c>
      <c r="AD1317" t="s">
        <v>8078</v>
      </c>
      <c r="AE1317" t="s">
        <v>34533</v>
      </c>
      <c r="AF1317" t="s">
        <v>37371</v>
      </c>
      <c r="AG1317" t="s">
        <v>37365</v>
      </c>
    </row>
    <row r="1318" spans="1:33" x14ac:dyDescent="0.25">
      <c r="A1318" t="s">
        <v>34462</v>
      </c>
      <c r="B1318" t="s">
        <v>6538</v>
      </c>
      <c r="C1318" t="s">
        <v>6541</v>
      </c>
      <c r="D1318">
        <v>6.87</v>
      </c>
      <c r="E1318">
        <v>6.87</v>
      </c>
      <c r="F1318">
        <v>207327</v>
      </c>
      <c r="G1318">
        <v>258297</v>
      </c>
      <c r="H1318">
        <v>10.36</v>
      </c>
      <c r="I1318">
        <v>11.12</v>
      </c>
      <c r="J1318">
        <v>0</v>
      </c>
      <c r="K1318">
        <v>0</v>
      </c>
      <c r="L1318">
        <v>1</v>
      </c>
      <c r="M1318">
        <v>1</v>
      </c>
      <c r="N1318">
        <v>4.7</v>
      </c>
      <c r="O1318">
        <v>0</v>
      </c>
      <c r="P1318">
        <v>16</v>
      </c>
      <c r="Q1318">
        <v>17</v>
      </c>
      <c r="R1318">
        <v>48</v>
      </c>
      <c r="S1318" t="s">
        <v>37372</v>
      </c>
      <c r="U1318">
        <v>0.70988764000000004</v>
      </c>
      <c r="V1318">
        <v>3.78</v>
      </c>
      <c r="W1318">
        <v>1.03</v>
      </c>
      <c r="X1318" t="s">
        <v>6537</v>
      </c>
      <c r="Y1318" t="s">
        <v>6542</v>
      </c>
      <c r="Z1318" t="s">
        <v>6542</v>
      </c>
      <c r="AA1318" t="s">
        <v>76</v>
      </c>
      <c r="AB1318" t="s">
        <v>37373</v>
      </c>
      <c r="AC1318" t="s">
        <v>34493</v>
      </c>
      <c r="AD1318" t="s">
        <v>35670</v>
      </c>
      <c r="AE1318" t="s">
        <v>34516</v>
      </c>
      <c r="AF1318" t="s">
        <v>37374</v>
      </c>
      <c r="AG1318" t="s">
        <v>37375</v>
      </c>
    </row>
    <row r="1319" spans="1:33" x14ac:dyDescent="0.25">
      <c r="A1319" t="s">
        <v>34462</v>
      </c>
      <c r="B1319" t="s">
        <v>6544</v>
      </c>
      <c r="C1319" t="s">
        <v>6546</v>
      </c>
      <c r="D1319">
        <v>6.87</v>
      </c>
      <c r="E1319">
        <v>6.87</v>
      </c>
      <c r="F1319">
        <v>192545</v>
      </c>
      <c r="G1319">
        <v>255106</v>
      </c>
      <c r="H1319">
        <v>12.19</v>
      </c>
      <c r="I1319">
        <v>13.61</v>
      </c>
      <c r="J1319">
        <v>0</v>
      </c>
      <c r="K1319">
        <v>0</v>
      </c>
      <c r="L1319">
        <v>1</v>
      </c>
      <c r="M1319">
        <v>1</v>
      </c>
      <c r="N1319">
        <v>4.7</v>
      </c>
      <c r="O1319">
        <v>1</v>
      </c>
      <c r="P1319">
        <v>16</v>
      </c>
      <c r="Q1319">
        <v>11</v>
      </c>
      <c r="R1319">
        <v>32</v>
      </c>
      <c r="S1319" t="s">
        <v>37372</v>
      </c>
      <c r="U1319">
        <v>0.67902295999999995</v>
      </c>
      <c r="V1319">
        <v>5</v>
      </c>
      <c r="W1319">
        <v>1.03</v>
      </c>
      <c r="X1319" t="s">
        <v>6543</v>
      </c>
      <c r="Y1319" t="s">
        <v>6547</v>
      </c>
      <c r="Z1319" t="s">
        <v>6547</v>
      </c>
      <c r="AA1319" t="s">
        <v>76</v>
      </c>
      <c r="AB1319" t="s">
        <v>37376</v>
      </c>
      <c r="AC1319" t="s">
        <v>34493</v>
      </c>
      <c r="AD1319" t="s">
        <v>35670</v>
      </c>
      <c r="AE1319" t="s">
        <v>34521</v>
      </c>
      <c r="AF1319" t="s">
        <v>37374</v>
      </c>
      <c r="AG1319" t="s">
        <v>37375</v>
      </c>
    </row>
    <row r="1320" spans="1:33" x14ac:dyDescent="0.25">
      <c r="A1320" t="s">
        <v>34462</v>
      </c>
      <c r="B1320" t="s">
        <v>6549</v>
      </c>
      <c r="C1320" t="s">
        <v>6551</v>
      </c>
      <c r="D1320">
        <v>6.87</v>
      </c>
      <c r="E1320">
        <v>6.87</v>
      </c>
      <c r="F1320">
        <v>192545</v>
      </c>
      <c r="G1320">
        <v>268917</v>
      </c>
      <c r="H1320">
        <v>13.44</v>
      </c>
      <c r="I1320">
        <v>14.69</v>
      </c>
      <c r="J1320">
        <v>0</v>
      </c>
      <c r="K1320">
        <v>0</v>
      </c>
      <c r="L1320">
        <v>1</v>
      </c>
      <c r="M1320">
        <v>1</v>
      </c>
      <c r="N1320">
        <v>4.7</v>
      </c>
      <c r="O1320">
        <v>0</v>
      </c>
      <c r="P1320">
        <v>16</v>
      </c>
      <c r="Q1320">
        <v>15</v>
      </c>
      <c r="R1320">
        <v>37</v>
      </c>
      <c r="S1320" t="s">
        <v>37372</v>
      </c>
      <c r="U1320">
        <v>0.74957079999999998</v>
      </c>
      <c r="V1320">
        <v>6.05</v>
      </c>
      <c r="W1320">
        <v>1.03</v>
      </c>
      <c r="X1320" t="s">
        <v>6548</v>
      </c>
      <c r="Y1320" t="s">
        <v>6552</v>
      </c>
      <c r="Z1320" t="s">
        <v>6552</v>
      </c>
      <c r="AA1320" t="s">
        <v>76</v>
      </c>
      <c r="AB1320" t="s">
        <v>37377</v>
      </c>
      <c r="AC1320" t="s">
        <v>34493</v>
      </c>
      <c r="AD1320" t="s">
        <v>35670</v>
      </c>
      <c r="AE1320" t="s">
        <v>34576</v>
      </c>
      <c r="AF1320" t="s">
        <v>37374</v>
      </c>
      <c r="AG1320" t="s">
        <v>37375</v>
      </c>
    </row>
    <row r="1321" spans="1:33" x14ac:dyDescent="0.25">
      <c r="A1321" t="s">
        <v>34462</v>
      </c>
      <c r="B1321" t="s">
        <v>6554</v>
      </c>
      <c r="C1321" t="s">
        <v>6556</v>
      </c>
      <c r="D1321">
        <v>6.87</v>
      </c>
      <c r="E1321">
        <v>6.87</v>
      </c>
      <c r="F1321">
        <v>211251</v>
      </c>
      <c r="G1321">
        <v>271050</v>
      </c>
      <c r="H1321">
        <v>14.13</v>
      </c>
      <c r="I1321">
        <v>15.29</v>
      </c>
      <c r="J1321">
        <v>0</v>
      </c>
      <c r="K1321">
        <v>0</v>
      </c>
      <c r="L1321">
        <v>1</v>
      </c>
      <c r="M1321">
        <v>1</v>
      </c>
      <c r="N1321">
        <v>4.7</v>
      </c>
      <c r="O1321">
        <v>0</v>
      </c>
      <c r="P1321">
        <v>16</v>
      </c>
      <c r="Q1321">
        <v>20</v>
      </c>
      <c r="R1321">
        <v>50</v>
      </c>
      <c r="S1321" t="s">
        <v>37372</v>
      </c>
      <c r="U1321">
        <v>0.76941238000000001</v>
      </c>
      <c r="V1321">
        <v>4.5999999999999996</v>
      </c>
      <c r="W1321">
        <v>1.03</v>
      </c>
      <c r="X1321" t="s">
        <v>6553</v>
      </c>
      <c r="Y1321" t="s">
        <v>6557</v>
      </c>
      <c r="Z1321" t="s">
        <v>6557</v>
      </c>
      <c r="AA1321" t="s">
        <v>76</v>
      </c>
      <c r="AB1321" t="s">
        <v>37378</v>
      </c>
      <c r="AC1321" t="s">
        <v>34493</v>
      </c>
      <c r="AD1321" t="s">
        <v>35670</v>
      </c>
      <c r="AE1321" t="s">
        <v>34582</v>
      </c>
      <c r="AF1321" t="s">
        <v>37379</v>
      </c>
      <c r="AG1321" t="s">
        <v>37375</v>
      </c>
    </row>
    <row r="1322" spans="1:33" x14ac:dyDescent="0.25">
      <c r="A1322" t="s">
        <v>34462</v>
      </c>
      <c r="B1322" t="s">
        <v>6559</v>
      </c>
      <c r="C1322" t="s">
        <v>6561</v>
      </c>
      <c r="D1322">
        <v>6.87</v>
      </c>
      <c r="E1322">
        <v>6.87</v>
      </c>
      <c r="F1322">
        <v>192545</v>
      </c>
      <c r="G1322">
        <v>264084</v>
      </c>
      <c r="H1322">
        <v>14.35</v>
      </c>
      <c r="I1322">
        <v>16.239999999999998</v>
      </c>
      <c r="J1322">
        <v>0</v>
      </c>
      <c r="K1322">
        <v>0</v>
      </c>
      <c r="L1322">
        <v>1</v>
      </c>
      <c r="M1322">
        <v>1</v>
      </c>
      <c r="N1322">
        <v>4.9000000000000004</v>
      </c>
      <c r="O1322">
        <v>3</v>
      </c>
      <c r="P1322">
        <v>15</v>
      </c>
      <c r="Q1322">
        <v>17</v>
      </c>
      <c r="R1322">
        <v>38</v>
      </c>
      <c r="S1322" t="s">
        <v>37372</v>
      </c>
      <c r="U1322">
        <v>0.83996022000000004</v>
      </c>
      <c r="V1322">
        <v>5.87</v>
      </c>
      <c r="W1322">
        <v>1.03</v>
      </c>
      <c r="X1322" t="s">
        <v>6558</v>
      </c>
      <c r="Y1322" t="s">
        <v>6562</v>
      </c>
      <c r="Z1322" t="s">
        <v>6562</v>
      </c>
      <c r="AA1322" t="s">
        <v>76</v>
      </c>
      <c r="AB1322" t="s">
        <v>37380</v>
      </c>
      <c r="AC1322" t="s">
        <v>34493</v>
      </c>
      <c r="AD1322" t="s">
        <v>35670</v>
      </c>
      <c r="AE1322" t="s">
        <v>34586</v>
      </c>
      <c r="AF1322" t="s">
        <v>37374</v>
      </c>
      <c r="AG1322" t="s">
        <v>37375</v>
      </c>
    </row>
    <row r="1323" spans="1:33" x14ac:dyDescent="0.25">
      <c r="A1323" t="s">
        <v>34462</v>
      </c>
      <c r="B1323" t="s">
        <v>6564</v>
      </c>
      <c r="C1323" t="s">
        <v>6566</v>
      </c>
      <c r="D1323">
        <v>6.87</v>
      </c>
      <c r="E1323">
        <v>6.87</v>
      </c>
      <c r="F1323">
        <v>211251</v>
      </c>
      <c r="G1323">
        <v>267029</v>
      </c>
      <c r="H1323">
        <v>14.42</v>
      </c>
      <c r="I1323">
        <v>16.059999999999999</v>
      </c>
      <c r="J1323">
        <v>0</v>
      </c>
      <c r="K1323">
        <v>0</v>
      </c>
      <c r="L1323">
        <v>1</v>
      </c>
      <c r="M1323">
        <v>1</v>
      </c>
      <c r="N1323">
        <v>4.7</v>
      </c>
      <c r="O1323">
        <v>0</v>
      </c>
      <c r="P1323">
        <v>16</v>
      </c>
      <c r="Q1323">
        <v>18</v>
      </c>
      <c r="R1323">
        <v>47</v>
      </c>
      <c r="S1323" t="s">
        <v>37372</v>
      </c>
      <c r="U1323">
        <v>0.89948496</v>
      </c>
      <c r="V1323">
        <v>4.75</v>
      </c>
      <c r="W1323">
        <v>1.03</v>
      </c>
      <c r="X1323" t="s">
        <v>6563</v>
      </c>
      <c r="Y1323" t="s">
        <v>6567</v>
      </c>
      <c r="Z1323" t="s">
        <v>6567</v>
      </c>
      <c r="AA1323" t="s">
        <v>76</v>
      </c>
      <c r="AB1323" t="s">
        <v>37381</v>
      </c>
      <c r="AC1323" t="s">
        <v>34493</v>
      </c>
      <c r="AD1323" t="s">
        <v>35670</v>
      </c>
      <c r="AE1323" t="s">
        <v>34589</v>
      </c>
      <c r="AF1323" t="s">
        <v>37374</v>
      </c>
      <c r="AG1323" t="s">
        <v>37375</v>
      </c>
    </row>
    <row r="1324" spans="1:33" x14ac:dyDescent="0.25">
      <c r="A1324" t="s">
        <v>34462</v>
      </c>
      <c r="B1324" t="s">
        <v>6569</v>
      </c>
      <c r="C1324" t="s">
        <v>6571</v>
      </c>
      <c r="D1324">
        <v>6.87</v>
      </c>
      <c r="E1324">
        <v>6.87</v>
      </c>
      <c r="F1324">
        <v>211251</v>
      </c>
      <c r="G1324">
        <v>251018</v>
      </c>
      <c r="H1324">
        <v>14.3</v>
      </c>
      <c r="I1324">
        <v>14.13</v>
      </c>
      <c r="J1324">
        <v>0</v>
      </c>
      <c r="K1324">
        <v>0</v>
      </c>
      <c r="L1324">
        <v>1</v>
      </c>
      <c r="M1324">
        <v>1</v>
      </c>
      <c r="N1324">
        <v>4.7</v>
      </c>
      <c r="O1324">
        <v>0</v>
      </c>
      <c r="P1324">
        <v>16</v>
      </c>
      <c r="Q1324">
        <v>11</v>
      </c>
      <c r="R1324">
        <v>36</v>
      </c>
      <c r="S1324" t="s">
        <v>37372</v>
      </c>
      <c r="U1324">
        <v>0.89948496</v>
      </c>
      <c r="V1324">
        <v>4.75</v>
      </c>
      <c r="W1324">
        <v>1.03</v>
      </c>
      <c r="X1324" t="s">
        <v>6568</v>
      </c>
      <c r="Y1324" t="s">
        <v>6572</v>
      </c>
      <c r="Z1324" t="s">
        <v>6572</v>
      </c>
      <c r="AA1324" t="s">
        <v>76</v>
      </c>
      <c r="AB1324" t="s">
        <v>37382</v>
      </c>
      <c r="AC1324" t="s">
        <v>34493</v>
      </c>
      <c r="AD1324" t="s">
        <v>35670</v>
      </c>
      <c r="AE1324" t="s">
        <v>35663</v>
      </c>
      <c r="AF1324" t="s">
        <v>37374</v>
      </c>
      <c r="AG1324" t="s">
        <v>37375</v>
      </c>
    </row>
    <row r="1325" spans="1:33" x14ac:dyDescent="0.25">
      <c r="A1325" t="s">
        <v>34462</v>
      </c>
      <c r="B1325" t="s">
        <v>6574</v>
      </c>
      <c r="C1325" t="s">
        <v>6576</v>
      </c>
      <c r="D1325">
        <v>6.87</v>
      </c>
      <c r="E1325">
        <v>6.87</v>
      </c>
      <c r="F1325">
        <v>211251</v>
      </c>
      <c r="G1325">
        <v>258875</v>
      </c>
      <c r="H1325">
        <v>14.33</v>
      </c>
      <c r="I1325">
        <v>18.16</v>
      </c>
      <c r="J1325">
        <v>0</v>
      </c>
      <c r="K1325">
        <v>0</v>
      </c>
      <c r="L1325">
        <v>1</v>
      </c>
      <c r="M1325">
        <v>1</v>
      </c>
      <c r="N1325">
        <v>4.9000000000000004</v>
      </c>
      <c r="O1325">
        <v>3</v>
      </c>
      <c r="P1325">
        <v>14</v>
      </c>
      <c r="Q1325">
        <v>14</v>
      </c>
      <c r="R1325">
        <v>53</v>
      </c>
      <c r="S1325" t="s">
        <v>37372</v>
      </c>
      <c r="U1325">
        <v>1.0141252000000001</v>
      </c>
      <c r="V1325">
        <v>6.39</v>
      </c>
      <c r="W1325">
        <v>1.03</v>
      </c>
      <c r="X1325" t="s">
        <v>6573</v>
      </c>
      <c r="Y1325" t="s">
        <v>6577</v>
      </c>
      <c r="Z1325" t="s">
        <v>6577</v>
      </c>
      <c r="AA1325" t="s">
        <v>76</v>
      </c>
      <c r="AB1325" t="s">
        <v>37383</v>
      </c>
      <c r="AC1325" t="s">
        <v>34493</v>
      </c>
      <c r="AD1325" t="s">
        <v>35670</v>
      </c>
      <c r="AE1325" t="s">
        <v>35665</v>
      </c>
      <c r="AF1325" t="s">
        <v>37374</v>
      </c>
      <c r="AG1325" t="s">
        <v>37375</v>
      </c>
    </row>
    <row r="1326" spans="1:33" x14ac:dyDescent="0.25">
      <c r="A1326" t="s">
        <v>34462</v>
      </c>
      <c r="B1326" t="s">
        <v>6579</v>
      </c>
      <c r="C1326" t="s">
        <v>6582</v>
      </c>
      <c r="D1326">
        <v>41.7</v>
      </c>
      <c r="E1326">
        <v>41.7</v>
      </c>
      <c r="F1326">
        <v>798</v>
      </c>
      <c r="G1326">
        <v>310</v>
      </c>
      <c r="H1326">
        <v>41.17</v>
      </c>
      <c r="I1326">
        <v>41.83</v>
      </c>
      <c r="J1326">
        <v>0</v>
      </c>
      <c r="K1326">
        <v>0</v>
      </c>
      <c r="L1326">
        <v>1</v>
      </c>
      <c r="M1326">
        <v>1</v>
      </c>
      <c r="N1326">
        <v>4.5</v>
      </c>
      <c r="O1326">
        <v>0</v>
      </c>
      <c r="P1326">
        <v>47608</v>
      </c>
      <c r="Q1326">
        <v>30</v>
      </c>
      <c r="R1326">
        <v>79</v>
      </c>
      <c r="S1326" t="s">
        <v>36428</v>
      </c>
      <c r="U1326">
        <v>1.2125410000000001</v>
      </c>
      <c r="V1326">
        <v>6.6</v>
      </c>
      <c r="W1326">
        <v>7.09</v>
      </c>
      <c r="X1326" t="s">
        <v>6578</v>
      </c>
      <c r="Y1326" t="s">
        <v>6583</v>
      </c>
      <c r="Z1326" t="s">
        <v>6583</v>
      </c>
      <c r="AA1326" t="s">
        <v>6584</v>
      </c>
      <c r="AB1326" t="s">
        <v>37384</v>
      </c>
      <c r="AC1326" t="s">
        <v>34493</v>
      </c>
      <c r="AD1326" t="s">
        <v>10970</v>
      </c>
      <c r="AE1326" t="s">
        <v>34545</v>
      </c>
      <c r="AF1326" t="s">
        <v>37385</v>
      </c>
      <c r="AG1326" t="s">
        <v>36431</v>
      </c>
    </row>
    <row r="1327" spans="1:33" x14ac:dyDescent="0.25">
      <c r="A1327" t="s">
        <v>34462</v>
      </c>
      <c r="B1327" t="s">
        <v>6586</v>
      </c>
      <c r="C1327" t="s">
        <v>6588</v>
      </c>
      <c r="D1327">
        <v>41.7</v>
      </c>
      <c r="E1327">
        <v>41.7</v>
      </c>
      <c r="F1327">
        <v>846</v>
      </c>
      <c r="G1327">
        <v>311</v>
      </c>
      <c r="H1327">
        <v>40.020000000000003</v>
      </c>
      <c r="I1327">
        <v>39.619999999999997</v>
      </c>
      <c r="J1327">
        <v>0</v>
      </c>
      <c r="K1327">
        <v>0</v>
      </c>
      <c r="L1327">
        <v>1</v>
      </c>
      <c r="M1327">
        <v>1</v>
      </c>
      <c r="N1327">
        <v>4.5</v>
      </c>
      <c r="O1327">
        <v>0</v>
      </c>
      <c r="P1327">
        <v>47353</v>
      </c>
      <c r="Q1327">
        <v>39</v>
      </c>
      <c r="R1327">
        <v>78</v>
      </c>
      <c r="S1327" t="s">
        <v>36428</v>
      </c>
      <c r="U1327">
        <v>1.3227720000000001</v>
      </c>
      <c r="V1327">
        <v>7.08</v>
      </c>
      <c r="W1327">
        <v>7.09</v>
      </c>
      <c r="X1327" t="s">
        <v>6585</v>
      </c>
      <c r="Y1327" t="s">
        <v>6583</v>
      </c>
      <c r="Z1327" t="s">
        <v>6583</v>
      </c>
      <c r="AA1327" t="s">
        <v>6584</v>
      </c>
      <c r="AB1327" t="s">
        <v>37386</v>
      </c>
      <c r="AC1327" t="s">
        <v>34493</v>
      </c>
      <c r="AD1327" t="s">
        <v>10970</v>
      </c>
      <c r="AE1327" t="s">
        <v>34550</v>
      </c>
      <c r="AF1327" t="s">
        <v>37385</v>
      </c>
      <c r="AG1327" t="s">
        <v>36431</v>
      </c>
    </row>
    <row r="1328" spans="1:33" x14ac:dyDescent="0.25">
      <c r="A1328" t="s">
        <v>34462</v>
      </c>
      <c r="B1328" t="s">
        <v>6590</v>
      </c>
      <c r="C1328" t="s">
        <v>6592</v>
      </c>
      <c r="D1328">
        <v>41.7</v>
      </c>
      <c r="E1328">
        <v>41.7</v>
      </c>
      <c r="F1328">
        <v>846</v>
      </c>
      <c r="G1328">
        <v>310</v>
      </c>
      <c r="H1328">
        <v>44.29</v>
      </c>
      <c r="I1328">
        <v>46.69</v>
      </c>
      <c r="J1328">
        <v>0</v>
      </c>
      <c r="K1328">
        <v>0</v>
      </c>
      <c r="L1328">
        <v>1</v>
      </c>
      <c r="M1328">
        <v>1</v>
      </c>
      <c r="N1328">
        <v>4.5</v>
      </c>
      <c r="O1328">
        <v>0</v>
      </c>
      <c r="P1328">
        <v>47534</v>
      </c>
      <c r="Q1328">
        <v>35</v>
      </c>
      <c r="R1328">
        <v>91</v>
      </c>
      <c r="S1328" t="s">
        <v>36428</v>
      </c>
      <c r="U1328">
        <v>1.3822967399999999</v>
      </c>
      <c r="V1328">
        <v>6.6</v>
      </c>
      <c r="W1328">
        <v>7.09</v>
      </c>
      <c r="X1328" t="s">
        <v>6589</v>
      </c>
      <c r="Y1328" t="s">
        <v>37387</v>
      </c>
      <c r="Z1328" t="s">
        <v>6583</v>
      </c>
      <c r="AA1328" t="s">
        <v>6584</v>
      </c>
      <c r="AB1328" t="s">
        <v>37388</v>
      </c>
      <c r="AC1328" t="s">
        <v>34493</v>
      </c>
      <c r="AD1328" t="s">
        <v>10970</v>
      </c>
      <c r="AE1328" t="s">
        <v>36440</v>
      </c>
      <c r="AF1328" t="s">
        <v>37385</v>
      </c>
      <c r="AG1328" t="s">
        <v>36431</v>
      </c>
    </row>
    <row r="1329" spans="1:33" x14ac:dyDescent="0.25">
      <c r="A1329" t="s">
        <v>34462</v>
      </c>
      <c r="B1329" t="s">
        <v>6594</v>
      </c>
      <c r="C1329" t="s">
        <v>6596</v>
      </c>
      <c r="D1329">
        <v>41.7</v>
      </c>
      <c r="E1329">
        <v>41.7</v>
      </c>
      <c r="F1329">
        <v>758</v>
      </c>
      <c r="G1329">
        <v>313</v>
      </c>
      <c r="H1329">
        <v>41.42</v>
      </c>
      <c r="I1329">
        <v>42.44</v>
      </c>
      <c r="J1329">
        <v>0</v>
      </c>
      <c r="K1329">
        <v>0</v>
      </c>
      <c r="L1329">
        <v>1</v>
      </c>
      <c r="M1329">
        <v>1</v>
      </c>
      <c r="N1329">
        <v>4.5</v>
      </c>
      <c r="O1329">
        <v>1</v>
      </c>
      <c r="P1329">
        <v>47534</v>
      </c>
      <c r="Q1329">
        <v>35</v>
      </c>
      <c r="R1329">
        <v>101</v>
      </c>
      <c r="S1329" t="s">
        <v>36428</v>
      </c>
      <c r="U1329">
        <v>1.3889106</v>
      </c>
      <c r="V1329">
        <v>6.81</v>
      </c>
      <c r="W1329">
        <v>7.09</v>
      </c>
      <c r="X1329" t="s">
        <v>6593</v>
      </c>
      <c r="Y1329" t="s">
        <v>37387</v>
      </c>
      <c r="Z1329" t="s">
        <v>6583</v>
      </c>
      <c r="AA1329" t="s">
        <v>6584</v>
      </c>
      <c r="AB1329" t="s">
        <v>37389</v>
      </c>
      <c r="AC1329" t="s">
        <v>34493</v>
      </c>
      <c r="AD1329" t="s">
        <v>10970</v>
      </c>
      <c r="AE1329" t="s">
        <v>34564</v>
      </c>
      <c r="AF1329" t="s">
        <v>37385</v>
      </c>
      <c r="AG1329" t="s">
        <v>36431</v>
      </c>
    </row>
    <row r="1330" spans="1:33" x14ac:dyDescent="0.25">
      <c r="A1330" t="s">
        <v>34462</v>
      </c>
      <c r="B1330" t="s">
        <v>6598</v>
      </c>
      <c r="C1330" t="s">
        <v>6600</v>
      </c>
      <c r="D1330">
        <v>41.7</v>
      </c>
      <c r="E1330">
        <v>41.7</v>
      </c>
      <c r="F1330">
        <v>846</v>
      </c>
      <c r="G1330">
        <v>311</v>
      </c>
      <c r="H1330">
        <v>41.41</v>
      </c>
      <c r="I1330">
        <v>41.96</v>
      </c>
      <c r="J1330">
        <v>0</v>
      </c>
      <c r="K1330">
        <v>0</v>
      </c>
      <c r="L1330">
        <v>1</v>
      </c>
      <c r="M1330">
        <v>1</v>
      </c>
      <c r="N1330">
        <v>4.5</v>
      </c>
      <c r="O1330">
        <v>0</v>
      </c>
      <c r="P1330">
        <v>47549</v>
      </c>
      <c r="Q1330">
        <v>41</v>
      </c>
      <c r="R1330">
        <v>106</v>
      </c>
      <c r="S1330" t="s">
        <v>36428</v>
      </c>
      <c r="U1330">
        <v>1.7284220800000001</v>
      </c>
      <c r="V1330">
        <v>7.08</v>
      </c>
      <c r="W1330">
        <v>7.09</v>
      </c>
      <c r="X1330" t="s">
        <v>6597</v>
      </c>
      <c r="Y1330" t="s">
        <v>6583</v>
      </c>
      <c r="Z1330" t="s">
        <v>6583</v>
      </c>
      <c r="AA1330" t="s">
        <v>6584</v>
      </c>
      <c r="AB1330" t="s">
        <v>37390</v>
      </c>
      <c r="AC1330" t="s">
        <v>34493</v>
      </c>
      <c r="AD1330" t="s">
        <v>10970</v>
      </c>
      <c r="AE1330" t="s">
        <v>36476</v>
      </c>
      <c r="AF1330" t="s">
        <v>37385</v>
      </c>
      <c r="AG1330" t="s">
        <v>36431</v>
      </c>
    </row>
    <row r="1331" spans="1:33" x14ac:dyDescent="0.25">
      <c r="A1331" t="s">
        <v>34462</v>
      </c>
      <c r="B1331" t="s">
        <v>6602</v>
      </c>
      <c r="C1331" t="s">
        <v>6604</v>
      </c>
      <c r="D1331">
        <v>41.79</v>
      </c>
      <c r="E1331">
        <v>41.79</v>
      </c>
      <c r="F1331">
        <v>758</v>
      </c>
      <c r="G1331">
        <v>309</v>
      </c>
      <c r="H1331">
        <v>41.85</v>
      </c>
      <c r="I1331">
        <v>46.16</v>
      </c>
      <c r="J1331">
        <v>0</v>
      </c>
      <c r="K1331">
        <v>0</v>
      </c>
      <c r="L1331">
        <v>1</v>
      </c>
      <c r="M1331">
        <v>1</v>
      </c>
      <c r="N1331">
        <v>4.5</v>
      </c>
      <c r="O1331">
        <v>0</v>
      </c>
      <c r="P1331">
        <v>47534</v>
      </c>
      <c r="Q1331">
        <v>35</v>
      </c>
      <c r="R1331">
        <v>98</v>
      </c>
      <c r="S1331" t="s">
        <v>36428</v>
      </c>
      <c r="U1331">
        <v>1.7240128400000001</v>
      </c>
      <c r="V1331">
        <v>6.81</v>
      </c>
      <c r="W1331">
        <v>7.1</v>
      </c>
      <c r="X1331" t="s">
        <v>6601</v>
      </c>
      <c r="Y1331" t="s">
        <v>6605</v>
      </c>
      <c r="Z1331" t="s">
        <v>6605</v>
      </c>
      <c r="AA1331" t="s">
        <v>6606</v>
      </c>
      <c r="AB1331" t="s">
        <v>37391</v>
      </c>
      <c r="AC1331" t="s">
        <v>34493</v>
      </c>
      <c r="AD1331" t="s">
        <v>10970</v>
      </c>
      <c r="AE1331" t="s">
        <v>36476</v>
      </c>
      <c r="AF1331" t="s">
        <v>37392</v>
      </c>
      <c r="AG1331" t="s">
        <v>36431</v>
      </c>
    </row>
    <row r="1332" spans="1:33" x14ac:dyDescent="0.25">
      <c r="A1332" t="s">
        <v>34462</v>
      </c>
      <c r="B1332" t="s">
        <v>6608</v>
      </c>
      <c r="C1332" t="s">
        <v>6610</v>
      </c>
      <c r="D1332">
        <v>41.7</v>
      </c>
      <c r="E1332">
        <v>41.7</v>
      </c>
      <c r="F1332">
        <v>846</v>
      </c>
      <c r="G1332">
        <v>309</v>
      </c>
      <c r="H1332">
        <v>37.6</v>
      </c>
      <c r="I1332">
        <v>35.21</v>
      </c>
      <c r="J1332">
        <v>0</v>
      </c>
      <c r="K1332">
        <v>0</v>
      </c>
      <c r="L1332">
        <v>1</v>
      </c>
      <c r="M1332">
        <v>1</v>
      </c>
      <c r="N1332">
        <v>4.5</v>
      </c>
      <c r="O1332">
        <v>1</v>
      </c>
      <c r="P1332">
        <v>47558</v>
      </c>
      <c r="Q1332">
        <v>46</v>
      </c>
      <c r="R1332">
        <v>112</v>
      </c>
      <c r="S1332" t="s">
        <v>36428</v>
      </c>
      <c r="U1332">
        <v>1.433003</v>
      </c>
      <c r="V1332">
        <v>6.81</v>
      </c>
      <c r="W1332">
        <v>7.09</v>
      </c>
      <c r="X1332" t="s">
        <v>6607</v>
      </c>
      <c r="Y1332" t="s">
        <v>6583</v>
      </c>
      <c r="Z1332" t="s">
        <v>6583</v>
      </c>
      <c r="AA1332" t="s">
        <v>6584</v>
      </c>
      <c r="AB1332" t="s">
        <v>37393</v>
      </c>
      <c r="AC1332" t="s">
        <v>34493</v>
      </c>
      <c r="AD1332" t="s">
        <v>10970</v>
      </c>
      <c r="AE1332" t="s">
        <v>34568</v>
      </c>
      <c r="AF1332" t="s">
        <v>37385</v>
      </c>
      <c r="AG1332" t="s">
        <v>36431</v>
      </c>
    </row>
    <row r="1333" spans="1:33" x14ac:dyDescent="0.25">
      <c r="A1333" t="s">
        <v>34462</v>
      </c>
      <c r="B1333" t="s">
        <v>6612</v>
      </c>
      <c r="C1333" t="s">
        <v>6614</v>
      </c>
      <c r="D1333">
        <v>55.97</v>
      </c>
      <c r="E1333">
        <v>55.67</v>
      </c>
      <c r="F1333">
        <v>758</v>
      </c>
      <c r="G1333">
        <v>308</v>
      </c>
      <c r="H1333">
        <v>53.34</v>
      </c>
      <c r="I1333">
        <v>50.47</v>
      </c>
      <c r="J1333">
        <v>0</v>
      </c>
      <c r="K1333">
        <v>0</v>
      </c>
      <c r="L1333">
        <v>3</v>
      </c>
      <c r="M1333">
        <v>3</v>
      </c>
      <c r="N1333">
        <v>4.5</v>
      </c>
      <c r="O1333">
        <v>2</v>
      </c>
      <c r="P1333">
        <v>47604</v>
      </c>
      <c r="Q1333">
        <v>53</v>
      </c>
      <c r="R1333">
        <v>160</v>
      </c>
      <c r="S1333" t="s">
        <v>36428</v>
      </c>
      <c r="U1333">
        <v>1.7592867599999999</v>
      </c>
      <c r="V1333">
        <v>7.02</v>
      </c>
      <c r="W1333">
        <v>9.52</v>
      </c>
      <c r="X1333" t="s">
        <v>6611</v>
      </c>
      <c r="Y1333" t="s">
        <v>37394</v>
      </c>
      <c r="Z1333" t="s">
        <v>6615</v>
      </c>
      <c r="AA1333" t="s">
        <v>6616</v>
      </c>
      <c r="AB1333" t="s">
        <v>37395</v>
      </c>
      <c r="AC1333" t="s">
        <v>34493</v>
      </c>
      <c r="AD1333" t="s">
        <v>10970</v>
      </c>
      <c r="AE1333" t="s">
        <v>34572</v>
      </c>
      <c r="AF1333" t="s">
        <v>37396</v>
      </c>
      <c r="AG1333" t="s">
        <v>36431</v>
      </c>
    </row>
    <row r="1334" spans="1:33" x14ac:dyDescent="0.25">
      <c r="A1334" t="s">
        <v>34462</v>
      </c>
      <c r="B1334" t="s">
        <v>6618</v>
      </c>
      <c r="C1334" t="s">
        <v>6620</v>
      </c>
      <c r="D1334">
        <v>43.02</v>
      </c>
      <c r="E1334">
        <v>43.02</v>
      </c>
      <c r="F1334">
        <v>846</v>
      </c>
      <c r="G1334">
        <v>311</v>
      </c>
      <c r="H1334">
        <v>47.05</v>
      </c>
      <c r="I1334">
        <v>49.52</v>
      </c>
      <c r="J1334">
        <v>0</v>
      </c>
      <c r="K1334">
        <v>0</v>
      </c>
      <c r="L1334">
        <v>1</v>
      </c>
      <c r="M1334">
        <v>1</v>
      </c>
      <c r="N1334">
        <v>4.5</v>
      </c>
      <c r="O1334">
        <v>0</v>
      </c>
      <c r="P1334">
        <v>47534</v>
      </c>
      <c r="Q1334">
        <v>47</v>
      </c>
      <c r="R1334">
        <v>126</v>
      </c>
      <c r="S1334" t="s">
        <v>36428</v>
      </c>
      <c r="U1334">
        <v>1.9554979400000001</v>
      </c>
      <c r="V1334">
        <v>7.08</v>
      </c>
      <c r="W1334">
        <v>7.31</v>
      </c>
      <c r="X1334" t="s">
        <v>6617</v>
      </c>
      <c r="Y1334" t="s">
        <v>6621</v>
      </c>
      <c r="Z1334" t="s">
        <v>6621</v>
      </c>
      <c r="AA1334" t="s">
        <v>6622</v>
      </c>
      <c r="AB1334" t="s">
        <v>37397</v>
      </c>
      <c r="AC1334" t="s">
        <v>34493</v>
      </c>
      <c r="AD1334" t="s">
        <v>10970</v>
      </c>
      <c r="AE1334" t="s">
        <v>34572</v>
      </c>
      <c r="AF1334" t="s">
        <v>37398</v>
      </c>
      <c r="AG1334" t="s">
        <v>36431</v>
      </c>
    </row>
    <row r="1335" spans="1:33" x14ac:dyDescent="0.25">
      <c r="A1335" t="s">
        <v>34462</v>
      </c>
      <c r="B1335" t="s">
        <v>6624</v>
      </c>
      <c r="C1335" t="s">
        <v>6626</v>
      </c>
      <c r="D1335">
        <v>41.14</v>
      </c>
      <c r="E1335">
        <v>41.14</v>
      </c>
      <c r="F1335">
        <v>846</v>
      </c>
      <c r="G1335">
        <v>310</v>
      </c>
      <c r="H1335">
        <v>42.92</v>
      </c>
      <c r="I1335">
        <v>45.86</v>
      </c>
      <c r="J1335">
        <v>0</v>
      </c>
      <c r="K1335">
        <v>0</v>
      </c>
      <c r="L1335">
        <v>1</v>
      </c>
      <c r="M1335">
        <v>1</v>
      </c>
      <c r="N1335">
        <v>4.5</v>
      </c>
      <c r="O1335">
        <v>0</v>
      </c>
      <c r="P1335">
        <v>47534</v>
      </c>
      <c r="Q1335">
        <v>41</v>
      </c>
      <c r="R1335">
        <v>125</v>
      </c>
      <c r="S1335" t="s">
        <v>36428</v>
      </c>
      <c r="U1335">
        <v>1.7857422000000001</v>
      </c>
      <c r="V1335">
        <v>6.81</v>
      </c>
      <c r="W1335">
        <v>6.99</v>
      </c>
      <c r="X1335" t="s">
        <v>6623</v>
      </c>
      <c r="Y1335" t="s">
        <v>6605</v>
      </c>
      <c r="Z1335" t="s">
        <v>6605</v>
      </c>
      <c r="AA1335" t="s">
        <v>6606</v>
      </c>
      <c r="AB1335" t="s">
        <v>37399</v>
      </c>
      <c r="AC1335" t="s">
        <v>34493</v>
      </c>
      <c r="AD1335" t="s">
        <v>10970</v>
      </c>
      <c r="AE1335" t="s">
        <v>34572</v>
      </c>
      <c r="AF1335" t="s">
        <v>37392</v>
      </c>
      <c r="AG1335" t="s">
        <v>36431</v>
      </c>
    </row>
    <row r="1336" spans="1:33" x14ac:dyDescent="0.25">
      <c r="A1336" t="s">
        <v>34462</v>
      </c>
      <c r="B1336" t="s">
        <v>6628</v>
      </c>
      <c r="C1336" t="s">
        <v>6631</v>
      </c>
      <c r="D1336">
        <v>54.99</v>
      </c>
      <c r="E1336">
        <v>54.99</v>
      </c>
      <c r="F1336">
        <v>10520</v>
      </c>
      <c r="G1336">
        <v>4442</v>
      </c>
      <c r="H1336">
        <v>35.46</v>
      </c>
      <c r="I1336">
        <v>40.39</v>
      </c>
      <c r="J1336">
        <v>0</v>
      </c>
      <c r="K1336">
        <v>0</v>
      </c>
      <c r="L1336">
        <v>3</v>
      </c>
      <c r="M1336">
        <v>2</v>
      </c>
      <c r="N1336">
        <v>4.5999999999999996</v>
      </c>
      <c r="O1336">
        <v>30</v>
      </c>
      <c r="P1336">
        <v>5702</v>
      </c>
      <c r="Q1336">
        <v>51</v>
      </c>
      <c r="R1336">
        <v>156</v>
      </c>
      <c r="S1336" t="s">
        <v>37400</v>
      </c>
      <c r="T1336">
        <v>50</v>
      </c>
      <c r="U1336">
        <v>1.6953527799999999</v>
      </c>
      <c r="V1336">
        <v>6.05</v>
      </c>
      <c r="W1336">
        <v>9.35</v>
      </c>
      <c r="X1336" t="s">
        <v>6627</v>
      </c>
      <c r="Y1336" t="s">
        <v>37401</v>
      </c>
      <c r="Z1336" t="s">
        <v>6632</v>
      </c>
      <c r="AA1336" t="s">
        <v>6633</v>
      </c>
      <c r="AB1336" t="s">
        <v>37402</v>
      </c>
      <c r="AC1336" t="s">
        <v>34493</v>
      </c>
      <c r="AD1336" t="s">
        <v>36294</v>
      </c>
      <c r="AE1336" t="s">
        <v>34694</v>
      </c>
      <c r="AF1336" t="s">
        <v>37403</v>
      </c>
      <c r="AG1336" t="s">
        <v>36297</v>
      </c>
    </row>
    <row r="1337" spans="1:33" x14ac:dyDescent="0.25">
      <c r="A1337" t="s">
        <v>34462</v>
      </c>
      <c r="B1337" t="s">
        <v>6635</v>
      </c>
      <c r="C1337" t="s">
        <v>6637</v>
      </c>
      <c r="D1337">
        <v>54.99</v>
      </c>
      <c r="E1337">
        <v>54.98</v>
      </c>
      <c r="F1337">
        <v>10520</v>
      </c>
      <c r="G1337">
        <v>4404</v>
      </c>
      <c r="H1337">
        <v>35.450000000000003</v>
      </c>
      <c r="I1337">
        <v>40.98</v>
      </c>
      <c r="J1337">
        <v>0</v>
      </c>
      <c r="K1337">
        <v>0</v>
      </c>
      <c r="L1337">
        <v>3</v>
      </c>
      <c r="M1337">
        <v>2</v>
      </c>
      <c r="N1337">
        <v>4.5999999999999996</v>
      </c>
      <c r="O1337">
        <v>11</v>
      </c>
      <c r="P1337">
        <v>5701</v>
      </c>
      <c r="Q1337">
        <v>62</v>
      </c>
      <c r="R1337">
        <v>144</v>
      </c>
      <c r="S1337" t="s">
        <v>37400</v>
      </c>
      <c r="U1337">
        <v>1.79896992</v>
      </c>
      <c r="V1337">
        <v>6.05</v>
      </c>
      <c r="W1337">
        <v>9.35</v>
      </c>
      <c r="X1337" t="s">
        <v>6634</v>
      </c>
      <c r="Y1337" t="s">
        <v>37404</v>
      </c>
      <c r="Z1337" t="s">
        <v>6632</v>
      </c>
      <c r="AA1337" t="s">
        <v>6633</v>
      </c>
      <c r="AB1337" t="s">
        <v>37405</v>
      </c>
      <c r="AC1337" t="s">
        <v>34493</v>
      </c>
      <c r="AD1337" t="s">
        <v>36294</v>
      </c>
      <c r="AE1337" t="s">
        <v>34570</v>
      </c>
      <c r="AF1337" t="s">
        <v>37403</v>
      </c>
      <c r="AG1337" t="s">
        <v>36297</v>
      </c>
    </row>
    <row r="1338" spans="1:33" x14ac:dyDescent="0.25">
      <c r="A1338" t="s">
        <v>34462</v>
      </c>
      <c r="B1338" t="s">
        <v>6639</v>
      </c>
      <c r="C1338" t="s">
        <v>6641</v>
      </c>
      <c r="D1338">
        <v>54.99</v>
      </c>
      <c r="E1338">
        <v>44.1</v>
      </c>
      <c r="F1338">
        <v>11476</v>
      </c>
      <c r="G1338">
        <v>4435</v>
      </c>
      <c r="H1338">
        <v>41.88</v>
      </c>
      <c r="I1338">
        <v>42.31</v>
      </c>
      <c r="J1338">
        <v>0</v>
      </c>
      <c r="K1338">
        <v>0</v>
      </c>
      <c r="L1338">
        <v>3</v>
      </c>
      <c r="M1338">
        <v>3</v>
      </c>
      <c r="N1338">
        <v>4.5999999999999996</v>
      </c>
      <c r="O1338">
        <v>23</v>
      </c>
      <c r="P1338">
        <v>5699</v>
      </c>
      <c r="Q1338">
        <v>44</v>
      </c>
      <c r="R1338">
        <v>142</v>
      </c>
      <c r="S1338" t="s">
        <v>37400</v>
      </c>
      <c r="U1338">
        <v>1.7394451799999999</v>
      </c>
      <c r="V1338">
        <v>6.48</v>
      </c>
      <c r="W1338">
        <v>9.35</v>
      </c>
      <c r="X1338" t="s">
        <v>6638</v>
      </c>
      <c r="Y1338" t="s">
        <v>37406</v>
      </c>
      <c r="Z1338" t="s">
        <v>6642</v>
      </c>
      <c r="AA1338" t="s">
        <v>6643</v>
      </c>
      <c r="AB1338" t="s">
        <v>37407</v>
      </c>
      <c r="AC1338" t="s">
        <v>34493</v>
      </c>
      <c r="AD1338" t="s">
        <v>36294</v>
      </c>
      <c r="AE1338" t="s">
        <v>35202</v>
      </c>
      <c r="AF1338" t="s">
        <v>37408</v>
      </c>
      <c r="AG1338" t="s">
        <v>36297</v>
      </c>
    </row>
    <row r="1339" spans="1:33" x14ac:dyDescent="0.25">
      <c r="A1339" t="s">
        <v>34462</v>
      </c>
      <c r="B1339" t="s">
        <v>6645</v>
      </c>
      <c r="C1339" t="s">
        <v>6647</v>
      </c>
      <c r="D1339">
        <v>54.99</v>
      </c>
      <c r="E1339">
        <v>54.99</v>
      </c>
      <c r="F1339">
        <v>10520</v>
      </c>
      <c r="G1339">
        <v>4435</v>
      </c>
      <c r="H1339">
        <v>35.32</v>
      </c>
      <c r="I1339">
        <v>37.11</v>
      </c>
      <c r="J1339">
        <v>0</v>
      </c>
      <c r="K1339">
        <v>0</v>
      </c>
      <c r="L1339">
        <v>3</v>
      </c>
      <c r="M1339">
        <v>2</v>
      </c>
      <c r="N1339">
        <v>4.5999999999999996</v>
      </c>
      <c r="O1339">
        <v>10</v>
      </c>
      <c r="P1339">
        <v>5701</v>
      </c>
      <c r="Q1339">
        <v>45</v>
      </c>
      <c r="R1339">
        <v>150</v>
      </c>
      <c r="S1339" t="s">
        <v>37400</v>
      </c>
      <c r="U1339">
        <v>1.79896992</v>
      </c>
      <c r="V1339">
        <v>6.05</v>
      </c>
      <c r="W1339">
        <v>9.35</v>
      </c>
      <c r="X1339" t="s">
        <v>6644</v>
      </c>
      <c r="Y1339" t="s">
        <v>37409</v>
      </c>
      <c r="Z1339" t="s">
        <v>6632</v>
      </c>
      <c r="AA1339" t="s">
        <v>6633</v>
      </c>
      <c r="AB1339" t="s">
        <v>37410</v>
      </c>
      <c r="AC1339" t="s">
        <v>34493</v>
      </c>
      <c r="AD1339" t="s">
        <v>36294</v>
      </c>
      <c r="AE1339" t="s">
        <v>35202</v>
      </c>
      <c r="AF1339" t="s">
        <v>37403</v>
      </c>
      <c r="AG1339" t="s">
        <v>36297</v>
      </c>
    </row>
    <row r="1340" spans="1:33" x14ac:dyDescent="0.25">
      <c r="A1340" t="s">
        <v>34462</v>
      </c>
      <c r="B1340" t="s">
        <v>6649</v>
      </c>
      <c r="C1340" t="s">
        <v>6651</v>
      </c>
      <c r="D1340">
        <v>38.69</v>
      </c>
      <c r="E1340">
        <v>38.69</v>
      </c>
      <c r="F1340">
        <v>11476</v>
      </c>
      <c r="G1340">
        <v>4456</v>
      </c>
      <c r="H1340">
        <v>32.53</v>
      </c>
      <c r="I1340">
        <v>38.56</v>
      </c>
      <c r="J1340">
        <v>0</v>
      </c>
      <c r="K1340">
        <v>0</v>
      </c>
      <c r="L1340">
        <v>2</v>
      </c>
      <c r="M1340">
        <v>1</v>
      </c>
      <c r="N1340">
        <v>4.5999999999999996</v>
      </c>
      <c r="O1340">
        <v>15</v>
      </c>
      <c r="P1340">
        <v>5702</v>
      </c>
      <c r="Q1340">
        <v>44</v>
      </c>
      <c r="R1340">
        <v>133</v>
      </c>
      <c r="S1340" t="s">
        <v>37400</v>
      </c>
      <c r="U1340">
        <v>1.7394451799999999</v>
      </c>
      <c r="V1340">
        <v>6.86</v>
      </c>
      <c r="W1340">
        <v>6.58</v>
      </c>
      <c r="X1340" t="s">
        <v>6648</v>
      </c>
      <c r="Y1340" t="s">
        <v>37411</v>
      </c>
      <c r="Z1340" t="s">
        <v>6652</v>
      </c>
      <c r="AA1340" t="s">
        <v>6653</v>
      </c>
      <c r="AB1340" t="s">
        <v>37412</v>
      </c>
      <c r="AC1340" t="s">
        <v>34493</v>
      </c>
      <c r="AD1340" t="s">
        <v>36294</v>
      </c>
      <c r="AE1340" t="s">
        <v>35202</v>
      </c>
      <c r="AF1340" t="s">
        <v>37413</v>
      </c>
      <c r="AG1340" t="s">
        <v>36297</v>
      </c>
    </row>
    <row r="1341" spans="1:33" x14ac:dyDescent="0.25">
      <c r="A1341" t="s">
        <v>34462</v>
      </c>
      <c r="B1341" t="s">
        <v>6655</v>
      </c>
      <c r="C1341" t="s">
        <v>6657</v>
      </c>
      <c r="D1341">
        <v>54.99</v>
      </c>
      <c r="E1341">
        <v>54.99</v>
      </c>
      <c r="F1341">
        <v>11476</v>
      </c>
      <c r="G1341">
        <v>60733</v>
      </c>
      <c r="H1341">
        <v>39.04</v>
      </c>
      <c r="I1341">
        <v>39.729999999999997</v>
      </c>
      <c r="J1341">
        <v>0</v>
      </c>
      <c r="K1341">
        <v>0</v>
      </c>
      <c r="L1341">
        <v>2</v>
      </c>
      <c r="M1341">
        <v>1</v>
      </c>
      <c r="N1341">
        <v>4.5999999999999996</v>
      </c>
      <c r="O1341">
        <v>6</v>
      </c>
      <c r="P1341">
        <v>5702</v>
      </c>
      <c r="Q1341">
        <v>47</v>
      </c>
      <c r="R1341">
        <v>134</v>
      </c>
      <c r="S1341" t="s">
        <v>37400</v>
      </c>
      <c r="U1341">
        <v>1.7967652999999999</v>
      </c>
      <c r="V1341">
        <v>6.48</v>
      </c>
      <c r="W1341">
        <v>9.35</v>
      </c>
      <c r="X1341" t="s">
        <v>6654</v>
      </c>
      <c r="Y1341" t="s">
        <v>37414</v>
      </c>
      <c r="Z1341" t="s">
        <v>6632</v>
      </c>
      <c r="AA1341" t="s">
        <v>6633</v>
      </c>
      <c r="AB1341" t="s">
        <v>37415</v>
      </c>
      <c r="AC1341" t="s">
        <v>34493</v>
      </c>
      <c r="AD1341" t="s">
        <v>36294</v>
      </c>
      <c r="AE1341" t="s">
        <v>34572</v>
      </c>
      <c r="AF1341" t="s">
        <v>37403</v>
      </c>
      <c r="AG1341" t="s">
        <v>36297</v>
      </c>
    </row>
    <row r="1342" spans="1:33" x14ac:dyDescent="0.25">
      <c r="A1342" t="s">
        <v>34462</v>
      </c>
      <c r="B1342" t="s">
        <v>6659</v>
      </c>
      <c r="C1342" t="s">
        <v>6662</v>
      </c>
      <c r="D1342">
        <v>44</v>
      </c>
      <c r="E1342">
        <v>36.01</v>
      </c>
      <c r="F1342">
        <v>4880</v>
      </c>
      <c r="G1342">
        <v>1389</v>
      </c>
      <c r="H1342">
        <v>62.58</v>
      </c>
      <c r="I1342">
        <v>69.959999999999994</v>
      </c>
      <c r="J1342">
        <v>0.02</v>
      </c>
      <c r="K1342">
        <v>1</v>
      </c>
      <c r="L1342">
        <v>3</v>
      </c>
      <c r="M1342">
        <v>4</v>
      </c>
      <c r="O1342">
        <v>0</v>
      </c>
      <c r="Q1342">
        <v>61</v>
      </c>
      <c r="R1342">
        <v>183</v>
      </c>
      <c r="S1342" t="s">
        <v>37416</v>
      </c>
      <c r="U1342">
        <v>1.0141252000000001</v>
      </c>
      <c r="V1342">
        <v>7.72</v>
      </c>
      <c r="W1342">
        <v>7.48</v>
      </c>
      <c r="X1342" t="s">
        <v>6658</v>
      </c>
      <c r="Y1342" t="s">
        <v>37417</v>
      </c>
      <c r="Z1342" t="s">
        <v>6663</v>
      </c>
      <c r="AA1342" t="s">
        <v>6664</v>
      </c>
      <c r="AB1342" t="s">
        <v>37418</v>
      </c>
      <c r="AC1342" t="s">
        <v>34465</v>
      </c>
      <c r="AD1342" t="s">
        <v>9232</v>
      </c>
      <c r="AE1342" t="s">
        <v>8439</v>
      </c>
      <c r="AF1342" t="s">
        <v>37419</v>
      </c>
      <c r="AG1342" t="s">
        <v>37420</v>
      </c>
    </row>
    <row r="1343" spans="1:33" x14ac:dyDescent="0.25">
      <c r="A1343" t="s">
        <v>34462</v>
      </c>
      <c r="B1343" t="s">
        <v>6666</v>
      </c>
      <c r="C1343" t="s">
        <v>6669</v>
      </c>
      <c r="D1343">
        <v>24.5</v>
      </c>
      <c r="E1343">
        <v>24.5</v>
      </c>
      <c r="F1343">
        <v>303411</v>
      </c>
      <c r="G1343">
        <v>929300</v>
      </c>
      <c r="H1343">
        <v>32.590000000000003</v>
      </c>
      <c r="I1343">
        <v>32.770000000000003</v>
      </c>
      <c r="J1343">
        <v>0</v>
      </c>
      <c r="K1343">
        <v>0</v>
      </c>
      <c r="L1343">
        <v>1</v>
      </c>
      <c r="M1343">
        <v>1</v>
      </c>
      <c r="N1343">
        <v>4.5</v>
      </c>
      <c r="O1343">
        <v>0</v>
      </c>
      <c r="P1343">
        <v>4</v>
      </c>
      <c r="Q1343">
        <v>3</v>
      </c>
      <c r="R1343">
        <v>21</v>
      </c>
      <c r="S1343" t="s">
        <v>37421</v>
      </c>
      <c r="U1343">
        <v>0.31085141999999999</v>
      </c>
      <c r="V1343">
        <v>5.9</v>
      </c>
      <c r="W1343">
        <v>4.17</v>
      </c>
      <c r="X1343" t="s">
        <v>6665</v>
      </c>
      <c r="Y1343" t="s">
        <v>6670</v>
      </c>
      <c r="Z1343" t="s">
        <v>6670</v>
      </c>
      <c r="AA1343" t="s">
        <v>856</v>
      </c>
      <c r="AB1343" t="s">
        <v>37422</v>
      </c>
      <c r="AC1343" t="s">
        <v>34493</v>
      </c>
      <c r="AD1343" t="s">
        <v>7954</v>
      </c>
      <c r="AE1343" t="s">
        <v>34474</v>
      </c>
      <c r="AF1343" t="s">
        <v>37423</v>
      </c>
      <c r="AG1343" t="s">
        <v>36696</v>
      </c>
    </row>
    <row r="1344" spans="1:33" x14ac:dyDescent="0.25">
      <c r="A1344" t="s">
        <v>34462</v>
      </c>
      <c r="B1344" t="s">
        <v>6672</v>
      </c>
      <c r="C1344" t="s">
        <v>6674</v>
      </c>
      <c r="D1344">
        <v>24.5</v>
      </c>
      <c r="E1344">
        <v>24.5</v>
      </c>
      <c r="F1344">
        <v>303411</v>
      </c>
      <c r="G1344">
        <v>1451770</v>
      </c>
      <c r="H1344">
        <v>36.17</v>
      </c>
      <c r="I1344">
        <v>28.88</v>
      </c>
      <c r="J1344">
        <v>0</v>
      </c>
      <c r="K1344">
        <v>0</v>
      </c>
      <c r="L1344">
        <v>2</v>
      </c>
      <c r="M1344">
        <v>1</v>
      </c>
      <c r="N1344">
        <v>4.5</v>
      </c>
      <c r="O1344">
        <v>1</v>
      </c>
      <c r="P1344">
        <v>4</v>
      </c>
      <c r="Q1344">
        <v>3</v>
      </c>
      <c r="R1344">
        <v>11</v>
      </c>
      <c r="S1344" t="s">
        <v>37421</v>
      </c>
      <c r="U1344">
        <v>0.29100984000000002</v>
      </c>
      <c r="V1344">
        <v>5.9</v>
      </c>
      <c r="W1344">
        <v>4.17</v>
      </c>
      <c r="X1344" t="s">
        <v>6671</v>
      </c>
      <c r="Y1344" t="s">
        <v>6670</v>
      </c>
      <c r="Z1344" t="s">
        <v>6670</v>
      </c>
      <c r="AA1344" t="s">
        <v>76</v>
      </c>
      <c r="AB1344" t="s">
        <v>37424</v>
      </c>
      <c r="AC1344" t="s">
        <v>34493</v>
      </c>
      <c r="AD1344" t="s">
        <v>7954</v>
      </c>
      <c r="AE1344" t="s">
        <v>34474</v>
      </c>
      <c r="AF1344" t="s">
        <v>37425</v>
      </c>
      <c r="AG1344" t="s">
        <v>36696</v>
      </c>
    </row>
    <row r="1345" spans="1:33" x14ac:dyDescent="0.25">
      <c r="A1345" t="s">
        <v>34462</v>
      </c>
      <c r="B1345" t="s">
        <v>6676</v>
      </c>
      <c r="C1345" t="s">
        <v>6678</v>
      </c>
      <c r="D1345">
        <v>34.229999999999997</v>
      </c>
      <c r="E1345">
        <v>34.229999999999997</v>
      </c>
      <c r="F1345">
        <v>303411</v>
      </c>
      <c r="G1345">
        <v>1414727</v>
      </c>
      <c r="H1345">
        <v>35.51</v>
      </c>
      <c r="I1345">
        <v>29.35</v>
      </c>
      <c r="J1345">
        <v>0.22</v>
      </c>
      <c r="K1345">
        <v>0.32</v>
      </c>
      <c r="L1345">
        <v>4</v>
      </c>
      <c r="M1345">
        <v>1</v>
      </c>
      <c r="O1345">
        <v>0</v>
      </c>
      <c r="Q1345">
        <v>3</v>
      </c>
      <c r="R1345">
        <v>12</v>
      </c>
      <c r="S1345" t="s">
        <v>37421</v>
      </c>
      <c r="U1345">
        <v>0.29100984000000002</v>
      </c>
      <c r="V1345">
        <v>5.9</v>
      </c>
      <c r="X1345" t="s">
        <v>6675</v>
      </c>
      <c r="Y1345" t="s">
        <v>6670</v>
      </c>
      <c r="Z1345" t="s">
        <v>6670</v>
      </c>
      <c r="AA1345" t="s">
        <v>76</v>
      </c>
      <c r="AB1345" t="s">
        <v>37426</v>
      </c>
      <c r="AC1345" t="s">
        <v>34465</v>
      </c>
      <c r="AD1345" t="s">
        <v>7954</v>
      </c>
      <c r="AE1345" t="s">
        <v>34533</v>
      </c>
      <c r="AF1345" t="s">
        <v>37425</v>
      </c>
      <c r="AG1345" t="s">
        <v>36696</v>
      </c>
    </row>
    <row r="1346" spans="1:33" x14ac:dyDescent="0.25">
      <c r="A1346" t="s">
        <v>34462</v>
      </c>
      <c r="B1346" t="s">
        <v>6680</v>
      </c>
      <c r="C1346" t="s">
        <v>6682</v>
      </c>
      <c r="D1346">
        <v>24.5</v>
      </c>
      <c r="E1346">
        <v>24.5</v>
      </c>
      <c r="F1346">
        <v>303411</v>
      </c>
      <c r="G1346">
        <v>927539</v>
      </c>
      <c r="H1346">
        <v>36.51</v>
      </c>
      <c r="I1346">
        <v>30.76</v>
      </c>
      <c r="J1346">
        <v>0</v>
      </c>
      <c r="K1346">
        <v>0</v>
      </c>
      <c r="L1346">
        <v>1</v>
      </c>
      <c r="M1346">
        <v>1</v>
      </c>
      <c r="N1346">
        <v>4.5</v>
      </c>
      <c r="O1346">
        <v>1</v>
      </c>
      <c r="P1346">
        <v>4</v>
      </c>
      <c r="Q1346">
        <v>3</v>
      </c>
      <c r="R1346">
        <v>25</v>
      </c>
      <c r="S1346" t="s">
        <v>37421</v>
      </c>
      <c r="U1346">
        <v>0.3086468</v>
      </c>
      <c r="V1346">
        <v>6.6</v>
      </c>
      <c r="W1346">
        <v>4.17</v>
      </c>
      <c r="X1346" t="s">
        <v>6679</v>
      </c>
      <c r="Y1346" t="s">
        <v>6670</v>
      </c>
      <c r="Z1346" t="s">
        <v>6670</v>
      </c>
      <c r="AA1346" t="s">
        <v>856</v>
      </c>
      <c r="AB1346" t="s">
        <v>37427</v>
      </c>
      <c r="AC1346" t="s">
        <v>34493</v>
      </c>
      <c r="AD1346" t="s">
        <v>7954</v>
      </c>
      <c r="AE1346" t="s">
        <v>34533</v>
      </c>
      <c r="AF1346" t="s">
        <v>37423</v>
      </c>
      <c r="AG1346" t="s">
        <v>36696</v>
      </c>
    </row>
    <row r="1347" spans="1:33" x14ac:dyDescent="0.25">
      <c r="A1347" t="s">
        <v>34462</v>
      </c>
      <c r="B1347" t="s">
        <v>6684</v>
      </c>
      <c r="C1347" t="s">
        <v>6686</v>
      </c>
      <c r="D1347">
        <v>24.5</v>
      </c>
      <c r="E1347">
        <v>24.5</v>
      </c>
      <c r="F1347">
        <v>303411</v>
      </c>
      <c r="G1347">
        <v>954171</v>
      </c>
      <c r="H1347">
        <v>37.14</v>
      </c>
      <c r="I1347">
        <v>30.89</v>
      </c>
      <c r="J1347">
        <v>0</v>
      </c>
      <c r="K1347">
        <v>0</v>
      </c>
      <c r="L1347">
        <v>2</v>
      </c>
      <c r="M1347">
        <v>1</v>
      </c>
      <c r="N1347">
        <v>4.5999999999999996</v>
      </c>
      <c r="O1347">
        <v>1</v>
      </c>
      <c r="P1347">
        <v>5</v>
      </c>
      <c r="Q1347">
        <v>3</v>
      </c>
      <c r="R1347">
        <v>18</v>
      </c>
      <c r="S1347" t="s">
        <v>37421</v>
      </c>
      <c r="U1347">
        <v>0.33069300000000001</v>
      </c>
      <c r="V1347">
        <v>6.14</v>
      </c>
      <c r="W1347">
        <v>4.17</v>
      </c>
      <c r="X1347" t="s">
        <v>6683</v>
      </c>
      <c r="Y1347" t="s">
        <v>6670</v>
      </c>
      <c r="Z1347" t="s">
        <v>6670</v>
      </c>
      <c r="AA1347" t="s">
        <v>856</v>
      </c>
      <c r="AB1347" t="s">
        <v>37428</v>
      </c>
      <c r="AC1347" t="s">
        <v>34493</v>
      </c>
      <c r="AD1347" t="s">
        <v>7954</v>
      </c>
      <c r="AE1347" t="s">
        <v>14701</v>
      </c>
      <c r="AF1347" t="s">
        <v>37423</v>
      </c>
      <c r="AG1347" t="s">
        <v>36696</v>
      </c>
    </row>
    <row r="1348" spans="1:33" x14ac:dyDescent="0.25">
      <c r="A1348" t="s">
        <v>34462</v>
      </c>
      <c r="B1348" t="s">
        <v>6688</v>
      </c>
      <c r="C1348" t="s">
        <v>6690</v>
      </c>
      <c r="D1348">
        <v>24.5</v>
      </c>
      <c r="E1348">
        <v>24.5</v>
      </c>
      <c r="F1348">
        <v>303411</v>
      </c>
      <c r="G1348">
        <v>1469680</v>
      </c>
      <c r="H1348">
        <v>38.369999999999997</v>
      </c>
      <c r="I1348">
        <v>32.86</v>
      </c>
      <c r="J1348">
        <v>0</v>
      </c>
      <c r="K1348">
        <v>0</v>
      </c>
      <c r="L1348">
        <v>5</v>
      </c>
      <c r="M1348">
        <v>3</v>
      </c>
      <c r="N1348">
        <v>4.5</v>
      </c>
      <c r="O1348">
        <v>0</v>
      </c>
      <c r="P1348">
        <v>4</v>
      </c>
      <c r="Q1348">
        <v>4</v>
      </c>
      <c r="R1348">
        <v>13</v>
      </c>
      <c r="S1348" t="s">
        <v>37421</v>
      </c>
      <c r="U1348">
        <v>0.33069300000000001</v>
      </c>
      <c r="V1348">
        <v>5.9</v>
      </c>
      <c r="W1348">
        <v>4.17</v>
      </c>
      <c r="X1348" t="s">
        <v>6687</v>
      </c>
      <c r="Y1348" t="s">
        <v>6670</v>
      </c>
      <c r="Z1348" t="s">
        <v>6670</v>
      </c>
      <c r="AA1348" t="s">
        <v>76</v>
      </c>
      <c r="AB1348" t="s">
        <v>37429</v>
      </c>
      <c r="AC1348" t="s">
        <v>34493</v>
      </c>
      <c r="AD1348" t="s">
        <v>7954</v>
      </c>
      <c r="AE1348" t="s">
        <v>14701</v>
      </c>
      <c r="AF1348" t="s">
        <v>37425</v>
      </c>
      <c r="AG1348" t="s">
        <v>36696</v>
      </c>
    </row>
    <row r="1349" spans="1:33" x14ac:dyDescent="0.25">
      <c r="A1349" t="s">
        <v>34462</v>
      </c>
      <c r="B1349" t="s">
        <v>6692</v>
      </c>
      <c r="C1349" t="s">
        <v>6694</v>
      </c>
      <c r="D1349">
        <v>24.5</v>
      </c>
      <c r="E1349">
        <v>24.5</v>
      </c>
      <c r="F1349">
        <v>303411</v>
      </c>
      <c r="G1349">
        <v>870183</v>
      </c>
      <c r="H1349">
        <v>42.65</v>
      </c>
      <c r="I1349">
        <v>34.479999999999997</v>
      </c>
      <c r="J1349">
        <v>0</v>
      </c>
      <c r="K1349">
        <v>0</v>
      </c>
      <c r="L1349">
        <v>1</v>
      </c>
      <c r="M1349">
        <v>1</v>
      </c>
      <c r="N1349">
        <v>4</v>
      </c>
      <c r="O1349">
        <v>0</v>
      </c>
      <c r="P1349">
        <v>1</v>
      </c>
      <c r="Q1349">
        <v>3</v>
      </c>
      <c r="R1349">
        <v>17</v>
      </c>
      <c r="S1349" t="s">
        <v>37421</v>
      </c>
      <c r="U1349">
        <v>0.35053457999999998</v>
      </c>
      <c r="V1349">
        <v>7.24</v>
      </c>
      <c r="W1349">
        <v>4.17</v>
      </c>
      <c r="X1349" t="s">
        <v>6691</v>
      </c>
      <c r="Y1349" t="s">
        <v>6670</v>
      </c>
      <c r="Z1349" t="s">
        <v>6670</v>
      </c>
      <c r="AA1349" t="s">
        <v>856</v>
      </c>
      <c r="AB1349" t="s">
        <v>37430</v>
      </c>
      <c r="AC1349" t="s">
        <v>34493</v>
      </c>
      <c r="AD1349" t="s">
        <v>7954</v>
      </c>
      <c r="AE1349" t="s">
        <v>34525</v>
      </c>
      <c r="AF1349" t="s">
        <v>37423</v>
      </c>
      <c r="AG1349" t="s">
        <v>36696</v>
      </c>
    </row>
    <row r="1350" spans="1:33" x14ac:dyDescent="0.25">
      <c r="A1350" t="s">
        <v>34462</v>
      </c>
      <c r="B1350" t="s">
        <v>6696</v>
      </c>
      <c r="C1350" t="s">
        <v>6698</v>
      </c>
      <c r="D1350">
        <v>50.18</v>
      </c>
      <c r="E1350">
        <v>42.23</v>
      </c>
      <c r="F1350">
        <v>303411</v>
      </c>
      <c r="G1350">
        <v>1424739</v>
      </c>
      <c r="H1350">
        <v>43.86</v>
      </c>
      <c r="I1350">
        <v>34.200000000000003</v>
      </c>
      <c r="J1350">
        <v>0.35</v>
      </c>
      <c r="K1350">
        <v>0.43</v>
      </c>
      <c r="L1350">
        <v>4</v>
      </c>
      <c r="M1350">
        <v>1</v>
      </c>
      <c r="N1350">
        <v>4.4000000000000004</v>
      </c>
      <c r="O1350">
        <v>1</v>
      </c>
      <c r="P1350">
        <v>3</v>
      </c>
      <c r="Q1350">
        <v>0</v>
      </c>
      <c r="R1350">
        <v>8</v>
      </c>
      <c r="S1350" t="s">
        <v>37421</v>
      </c>
      <c r="U1350">
        <v>0.29100984000000002</v>
      </c>
      <c r="V1350">
        <v>6.14</v>
      </c>
      <c r="W1350">
        <v>8.5399999999999991</v>
      </c>
      <c r="X1350" t="s">
        <v>6695</v>
      </c>
      <c r="Y1350" t="s">
        <v>6670</v>
      </c>
      <c r="Z1350" t="s">
        <v>6670</v>
      </c>
      <c r="AA1350" t="s">
        <v>76</v>
      </c>
      <c r="AB1350" t="s">
        <v>37431</v>
      </c>
      <c r="AC1350" t="s">
        <v>34465</v>
      </c>
      <c r="AD1350" t="s">
        <v>7954</v>
      </c>
      <c r="AE1350" t="s">
        <v>34525</v>
      </c>
      <c r="AF1350" t="s">
        <v>37432</v>
      </c>
      <c r="AG1350" t="s">
        <v>36696</v>
      </c>
    </row>
    <row r="1351" spans="1:33" x14ac:dyDescent="0.25">
      <c r="A1351" t="s">
        <v>34462</v>
      </c>
      <c r="B1351" t="s">
        <v>6700</v>
      </c>
      <c r="C1351" t="s">
        <v>6702</v>
      </c>
      <c r="D1351">
        <v>24.5</v>
      </c>
      <c r="E1351">
        <v>24.5</v>
      </c>
      <c r="F1351">
        <v>303411</v>
      </c>
      <c r="G1351">
        <v>904714</v>
      </c>
      <c r="H1351">
        <v>45.34</v>
      </c>
      <c r="I1351">
        <v>45.95</v>
      </c>
      <c r="J1351">
        <v>0</v>
      </c>
      <c r="K1351">
        <v>0</v>
      </c>
      <c r="L1351">
        <v>1</v>
      </c>
      <c r="M1351">
        <v>1</v>
      </c>
      <c r="N1351">
        <v>4</v>
      </c>
      <c r="O1351">
        <v>0</v>
      </c>
      <c r="P1351">
        <v>1</v>
      </c>
      <c r="Q1351">
        <v>3</v>
      </c>
      <c r="R1351">
        <v>18</v>
      </c>
      <c r="S1351" t="s">
        <v>37421</v>
      </c>
      <c r="U1351">
        <v>0.37037616000000001</v>
      </c>
      <c r="V1351">
        <v>5.9</v>
      </c>
      <c r="W1351">
        <v>4.17</v>
      </c>
      <c r="X1351" t="s">
        <v>6699</v>
      </c>
      <c r="Y1351" t="s">
        <v>6670</v>
      </c>
      <c r="Z1351" t="s">
        <v>6670</v>
      </c>
      <c r="AA1351" t="s">
        <v>856</v>
      </c>
      <c r="AB1351" t="s">
        <v>37433</v>
      </c>
      <c r="AC1351" t="s">
        <v>34493</v>
      </c>
      <c r="AD1351" t="s">
        <v>7954</v>
      </c>
      <c r="AE1351" t="s">
        <v>34649</v>
      </c>
      <c r="AF1351" t="s">
        <v>37423</v>
      </c>
      <c r="AG1351" t="s">
        <v>36696</v>
      </c>
    </row>
    <row r="1352" spans="1:33" x14ac:dyDescent="0.25">
      <c r="A1352" t="s">
        <v>34462</v>
      </c>
      <c r="B1352" t="s">
        <v>6704</v>
      </c>
      <c r="C1352" t="s">
        <v>6706</v>
      </c>
      <c r="D1352">
        <v>24.5</v>
      </c>
      <c r="E1352">
        <v>24.5</v>
      </c>
      <c r="F1352">
        <v>1902779</v>
      </c>
      <c r="G1352">
        <v>1483501</v>
      </c>
      <c r="H1352">
        <v>46.25</v>
      </c>
      <c r="I1352">
        <v>37.880000000000003</v>
      </c>
      <c r="J1352">
        <v>0</v>
      </c>
      <c r="K1352">
        <v>0</v>
      </c>
      <c r="L1352">
        <v>3</v>
      </c>
      <c r="M1352">
        <v>1</v>
      </c>
      <c r="N1352">
        <v>4.5</v>
      </c>
      <c r="O1352">
        <v>0</v>
      </c>
      <c r="P1352">
        <v>4</v>
      </c>
      <c r="Q1352">
        <v>3</v>
      </c>
      <c r="R1352">
        <v>10</v>
      </c>
      <c r="S1352" t="s">
        <v>37421</v>
      </c>
      <c r="U1352">
        <v>0.37037616000000001</v>
      </c>
      <c r="V1352">
        <v>5.9</v>
      </c>
      <c r="W1352">
        <v>4.17</v>
      </c>
      <c r="X1352" t="s">
        <v>6703</v>
      </c>
      <c r="Y1352" t="s">
        <v>6670</v>
      </c>
      <c r="Z1352" t="s">
        <v>6670</v>
      </c>
      <c r="AA1352" t="s">
        <v>76</v>
      </c>
      <c r="AB1352" t="s">
        <v>37434</v>
      </c>
      <c r="AC1352" t="s">
        <v>34493</v>
      </c>
      <c r="AD1352" t="s">
        <v>7954</v>
      </c>
      <c r="AE1352" t="s">
        <v>34649</v>
      </c>
      <c r="AF1352" t="s">
        <v>37425</v>
      </c>
      <c r="AG1352" t="s">
        <v>36696</v>
      </c>
    </row>
    <row r="1353" spans="1:33" x14ac:dyDescent="0.25">
      <c r="A1353" t="s">
        <v>34462</v>
      </c>
      <c r="B1353" t="s">
        <v>6708</v>
      </c>
      <c r="C1353" t="s">
        <v>6711</v>
      </c>
      <c r="D1353">
        <v>171.94</v>
      </c>
      <c r="F1353">
        <v>3639163</v>
      </c>
      <c r="G1353">
        <v>2653455</v>
      </c>
      <c r="I1353">
        <v>171.94</v>
      </c>
      <c r="J1353">
        <v>1</v>
      </c>
      <c r="K1353">
        <v>1</v>
      </c>
      <c r="N1353">
        <v>3.7</v>
      </c>
      <c r="O1353">
        <v>0</v>
      </c>
      <c r="P1353">
        <v>9</v>
      </c>
      <c r="Q1353">
        <v>1</v>
      </c>
      <c r="R1353">
        <v>2</v>
      </c>
      <c r="S1353" t="s">
        <v>37435</v>
      </c>
      <c r="U1353">
        <v>3.28047456</v>
      </c>
      <c r="V1353">
        <v>16.45</v>
      </c>
      <c r="X1353" t="s">
        <v>6707</v>
      </c>
      <c r="Y1353" t="s">
        <v>6712</v>
      </c>
      <c r="Z1353" t="s">
        <v>6712</v>
      </c>
      <c r="AA1353" t="s">
        <v>76</v>
      </c>
      <c r="AB1353" t="s">
        <v>37436</v>
      </c>
      <c r="AC1353" t="s">
        <v>34465</v>
      </c>
      <c r="AD1353" t="s">
        <v>34796</v>
      </c>
      <c r="AE1353" t="s">
        <v>34533</v>
      </c>
      <c r="AF1353" t="s">
        <v>37437</v>
      </c>
      <c r="AG1353" t="s">
        <v>37438</v>
      </c>
    </row>
    <row r="1354" spans="1:33" x14ac:dyDescent="0.25">
      <c r="A1354" t="s">
        <v>34462</v>
      </c>
      <c r="B1354" t="s">
        <v>6714</v>
      </c>
      <c r="C1354" t="s">
        <v>6716</v>
      </c>
      <c r="D1354">
        <v>146.62</v>
      </c>
      <c r="E1354">
        <v>146.62</v>
      </c>
      <c r="F1354">
        <v>3639163</v>
      </c>
      <c r="G1354">
        <v>2560233</v>
      </c>
      <c r="H1354">
        <v>131.91</v>
      </c>
      <c r="I1354">
        <v>144.76</v>
      </c>
      <c r="J1354">
        <v>0</v>
      </c>
      <c r="K1354">
        <v>0</v>
      </c>
      <c r="L1354">
        <v>1</v>
      </c>
      <c r="M1354">
        <v>1</v>
      </c>
      <c r="N1354">
        <v>3.7</v>
      </c>
      <c r="O1354">
        <v>0</v>
      </c>
      <c r="P1354">
        <v>9</v>
      </c>
      <c r="Q1354">
        <v>1</v>
      </c>
      <c r="R1354">
        <v>2</v>
      </c>
      <c r="S1354" t="s">
        <v>37435</v>
      </c>
      <c r="U1354">
        <v>3.2628376000000001</v>
      </c>
      <c r="V1354">
        <v>21.39</v>
      </c>
      <c r="W1354">
        <v>24.93</v>
      </c>
      <c r="X1354" t="s">
        <v>6713</v>
      </c>
      <c r="Y1354" t="s">
        <v>6712</v>
      </c>
      <c r="Z1354" t="s">
        <v>6712</v>
      </c>
      <c r="AA1354" t="s">
        <v>6717</v>
      </c>
      <c r="AB1354" t="s">
        <v>37439</v>
      </c>
      <c r="AC1354" t="s">
        <v>34493</v>
      </c>
      <c r="AD1354" t="s">
        <v>34796</v>
      </c>
      <c r="AE1354" t="s">
        <v>34533</v>
      </c>
      <c r="AF1354" t="s">
        <v>37440</v>
      </c>
      <c r="AG1354" t="s">
        <v>37438</v>
      </c>
    </row>
    <row r="1355" spans="1:33" x14ac:dyDescent="0.25">
      <c r="A1355" t="s">
        <v>34462</v>
      </c>
      <c r="B1355" t="s">
        <v>6719</v>
      </c>
      <c r="C1355" t="s">
        <v>6721</v>
      </c>
      <c r="D1355">
        <v>128.1</v>
      </c>
      <c r="E1355">
        <v>128.1</v>
      </c>
      <c r="F1355">
        <v>3639163</v>
      </c>
      <c r="G1355">
        <v>2585826</v>
      </c>
      <c r="H1355">
        <v>110.26</v>
      </c>
      <c r="I1355">
        <v>149.51</v>
      </c>
      <c r="J1355">
        <v>0</v>
      </c>
      <c r="K1355">
        <v>0</v>
      </c>
      <c r="L1355">
        <v>1</v>
      </c>
      <c r="M1355">
        <v>1</v>
      </c>
      <c r="N1355">
        <v>3.7</v>
      </c>
      <c r="O1355">
        <v>2</v>
      </c>
      <c r="P1355">
        <v>9</v>
      </c>
      <c r="Q1355">
        <v>1</v>
      </c>
      <c r="R1355">
        <v>2</v>
      </c>
      <c r="S1355" t="s">
        <v>37435</v>
      </c>
      <c r="U1355">
        <v>3.2959068999999999</v>
      </c>
      <c r="V1355">
        <v>20.25</v>
      </c>
      <c r="W1355">
        <v>21.78</v>
      </c>
      <c r="X1355" t="s">
        <v>6718</v>
      </c>
      <c r="Y1355" t="s">
        <v>6712</v>
      </c>
      <c r="Z1355" t="s">
        <v>6712</v>
      </c>
      <c r="AA1355" t="s">
        <v>138</v>
      </c>
      <c r="AB1355" t="s">
        <v>37441</v>
      </c>
      <c r="AC1355" t="s">
        <v>34493</v>
      </c>
      <c r="AD1355" t="s">
        <v>34796</v>
      </c>
      <c r="AE1355" t="s">
        <v>34533</v>
      </c>
      <c r="AF1355" t="s">
        <v>37442</v>
      </c>
      <c r="AG1355" t="s">
        <v>37438</v>
      </c>
    </row>
    <row r="1356" spans="1:33" x14ac:dyDescent="0.25">
      <c r="A1356" t="s">
        <v>34462</v>
      </c>
      <c r="B1356" t="s">
        <v>6723</v>
      </c>
      <c r="C1356" t="s">
        <v>6725</v>
      </c>
      <c r="F1356">
        <v>3639163</v>
      </c>
      <c r="G1356">
        <v>2729813</v>
      </c>
      <c r="J1356">
        <v>1</v>
      </c>
      <c r="K1356">
        <v>1</v>
      </c>
      <c r="N1356">
        <v>3.7</v>
      </c>
      <c r="O1356">
        <v>0</v>
      </c>
      <c r="P1356">
        <v>9</v>
      </c>
      <c r="Q1356">
        <v>0</v>
      </c>
      <c r="R1356">
        <v>1</v>
      </c>
      <c r="S1356" t="s">
        <v>37435</v>
      </c>
      <c r="U1356">
        <v>3.28047456</v>
      </c>
      <c r="V1356">
        <v>16.45</v>
      </c>
      <c r="X1356" t="s">
        <v>6722</v>
      </c>
      <c r="Y1356" t="s">
        <v>6712</v>
      </c>
      <c r="Z1356" t="s">
        <v>6712</v>
      </c>
      <c r="AA1356" t="s">
        <v>76</v>
      </c>
      <c r="AB1356" t="s">
        <v>37443</v>
      </c>
      <c r="AC1356" t="s">
        <v>34465</v>
      </c>
      <c r="AD1356" t="s">
        <v>34796</v>
      </c>
      <c r="AE1356" t="s">
        <v>14701</v>
      </c>
      <c r="AF1356" t="s">
        <v>37437</v>
      </c>
      <c r="AG1356" t="s">
        <v>37438</v>
      </c>
    </row>
    <row r="1357" spans="1:33" x14ac:dyDescent="0.25">
      <c r="A1357" t="s">
        <v>34462</v>
      </c>
      <c r="B1357" t="s">
        <v>6727</v>
      </c>
      <c r="C1357" t="s">
        <v>6729</v>
      </c>
      <c r="D1357">
        <v>60</v>
      </c>
      <c r="E1357">
        <v>60</v>
      </c>
      <c r="F1357">
        <v>3641509</v>
      </c>
      <c r="G1357">
        <v>2152612</v>
      </c>
      <c r="H1357">
        <v>75.97</v>
      </c>
      <c r="I1357">
        <v>125.12</v>
      </c>
      <c r="J1357">
        <v>0.25</v>
      </c>
      <c r="K1357">
        <v>0.31</v>
      </c>
      <c r="L1357">
        <v>1</v>
      </c>
      <c r="M1357">
        <v>1</v>
      </c>
      <c r="N1357">
        <v>3.7</v>
      </c>
      <c r="O1357">
        <v>0</v>
      </c>
      <c r="P1357">
        <v>9</v>
      </c>
      <c r="Q1357">
        <v>1</v>
      </c>
      <c r="R1357">
        <v>2</v>
      </c>
      <c r="S1357" t="s">
        <v>37435</v>
      </c>
      <c r="U1357">
        <v>3.28047456</v>
      </c>
      <c r="V1357">
        <v>16.45</v>
      </c>
      <c r="X1357" t="s">
        <v>6726</v>
      </c>
      <c r="Y1357" t="s">
        <v>6712</v>
      </c>
      <c r="Z1357" t="s">
        <v>6712</v>
      </c>
      <c r="AA1357" t="s">
        <v>6717</v>
      </c>
      <c r="AB1357" t="s">
        <v>37444</v>
      </c>
      <c r="AC1357" t="s">
        <v>34465</v>
      </c>
      <c r="AD1357" t="s">
        <v>34796</v>
      </c>
      <c r="AE1357" t="s">
        <v>14701</v>
      </c>
      <c r="AF1357" t="s">
        <v>37445</v>
      </c>
      <c r="AG1357" t="s">
        <v>37438</v>
      </c>
    </row>
    <row r="1358" spans="1:33" x14ac:dyDescent="0.25">
      <c r="A1358" t="s">
        <v>34462</v>
      </c>
      <c r="B1358" t="s">
        <v>6731</v>
      </c>
      <c r="C1358" t="s">
        <v>6733</v>
      </c>
      <c r="D1358">
        <v>189.99</v>
      </c>
      <c r="F1358">
        <v>3639163</v>
      </c>
      <c r="G1358">
        <v>2740471</v>
      </c>
      <c r="I1358">
        <v>189.99</v>
      </c>
      <c r="J1358">
        <v>1</v>
      </c>
      <c r="K1358">
        <v>1</v>
      </c>
      <c r="N1358">
        <v>3.7</v>
      </c>
      <c r="O1358">
        <v>0</v>
      </c>
      <c r="P1358">
        <v>9</v>
      </c>
      <c r="Q1358">
        <v>0</v>
      </c>
      <c r="R1358">
        <v>1</v>
      </c>
      <c r="S1358" t="s">
        <v>37435</v>
      </c>
      <c r="U1358">
        <v>3.4392071999999998</v>
      </c>
      <c r="V1358">
        <v>18.350000000000001</v>
      </c>
      <c r="X1358" t="s">
        <v>6730</v>
      </c>
      <c r="Y1358" t="s">
        <v>6712</v>
      </c>
      <c r="Z1358" t="s">
        <v>6712</v>
      </c>
      <c r="AA1358" t="s">
        <v>138</v>
      </c>
      <c r="AB1358" t="s">
        <v>37446</v>
      </c>
      <c r="AC1358" t="s">
        <v>34465</v>
      </c>
      <c r="AD1358" t="s">
        <v>34796</v>
      </c>
      <c r="AE1358" t="s">
        <v>14701</v>
      </c>
      <c r="AF1358" t="s">
        <v>37447</v>
      </c>
      <c r="AG1358" t="s">
        <v>37438</v>
      </c>
    </row>
    <row r="1359" spans="1:33" x14ac:dyDescent="0.25">
      <c r="A1359" t="s">
        <v>34462</v>
      </c>
      <c r="B1359" t="s">
        <v>6735</v>
      </c>
      <c r="C1359" t="s">
        <v>6737</v>
      </c>
      <c r="D1359">
        <v>185.77</v>
      </c>
      <c r="F1359">
        <v>3639163</v>
      </c>
      <c r="G1359">
        <v>2710292</v>
      </c>
      <c r="I1359">
        <v>185.77</v>
      </c>
      <c r="J1359">
        <v>1</v>
      </c>
      <c r="K1359">
        <v>1</v>
      </c>
      <c r="N1359">
        <v>3.7</v>
      </c>
      <c r="O1359">
        <v>1</v>
      </c>
      <c r="P1359">
        <v>9</v>
      </c>
      <c r="Q1359">
        <v>0</v>
      </c>
      <c r="R1359">
        <v>1</v>
      </c>
      <c r="S1359" t="s">
        <v>37435</v>
      </c>
      <c r="U1359">
        <v>3.28047456</v>
      </c>
      <c r="V1359">
        <v>16.45</v>
      </c>
      <c r="X1359" t="s">
        <v>6734</v>
      </c>
      <c r="Y1359" t="s">
        <v>6712</v>
      </c>
      <c r="Z1359" t="s">
        <v>6712</v>
      </c>
      <c r="AA1359" t="s">
        <v>76</v>
      </c>
      <c r="AB1359" t="s">
        <v>37448</v>
      </c>
      <c r="AC1359" t="s">
        <v>34465</v>
      </c>
      <c r="AD1359" t="s">
        <v>34796</v>
      </c>
      <c r="AE1359" t="s">
        <v>34525</v>
      </c>
      <c r="AF1359" t="s">
        <v>37437</v>
      </c>
      <c r="AG1359" t="s">
        <v>37438</v>
      </c>
    </row>
    <row r="1360" spans="1:33" x14ac:dyDescent="0.25">
      <c r="A1360" t="s">
        <v>34462</v>
      </c>
      <c r="B1360" t="s">
        <v>6739</v>
      </c>
      <c r="C1360" t="s">
        <v>6741</v>
      </c>
      <c r="D1360">
        <v>162.57</v>
      </c>
      <c r="F1360">
        <v>3639163</v>
      </c>
      <c r="G1360">
        <v>2722082</v>
      </c>
      <c r="I1360">
        <v>162.57</v>
      </c>
      <c r="J1360">
        <v>1</v>
      </c>
      <c r="K1360">
        <v>1</v>
      </c>
      <c r="N1360">
        <v>3.7</v>
      </c>
      <c r="O1360">
        <v>1</v>
      </c>
      <c r="P1360">
        <v>9</v>
      </c>
      <c r="Q1360">
        <v>0</v>
      </c>
      <c r="R1360">
        <v>1</v>
      </c>
      <c r="S1360" t="s">
        <v>37435</v>
      </c>
      <c r="U1360">
        <v>3.28047456</v>
      </c>
      <c r="V1360">
        <v>16.45</v>
      </c>
      <c r="X1360" t="s">
        <v>6738</v>
      </c>
      <c r="Y1360" t="s">
        <v>6712</v>
      </c>
      <c r="Z1360" t="s">
        <v>6712</v>
      </c>
      <c r="AA1360" t="s">
        <v>6717</v>
      </c>
      <c r="AB1360" t="s">
        <v>37449</v>
      </c>
      <c r="AC1360" t="s">
        <v>34465</v>
      </c>
      <c r="AD1360" t="s">
        <v>34796</v>
      </c>
      <c r="AE1360" t="s">
        <v>34525</v>
      </c>
      <c r="AF1360" t="s">
        <v>37445</v>
      </c>
      <c r="AG1360" t="s">
        <v>37438</v>
      </c>
    </row>
    <row r="1361" spans="1:33" x14ac:dyDescent="0.25">
      <c r="A1361" t="s">
        <v>34462</v>
      </c>
      <c r="B1361" t="s">
        <v>6743</v>
      </c>
      <c r="C1361" t="s">
        <v>6746</v>
      </c>
      <c r="D1361">
        <v>22.13</v>
      </c>
      <c r="E1361">
        <v>22.13</v>
      </c>
      <c r="F1361">
        <v>3283714</v>
      </c>
      <c r="G1361">
        <v>2527792</v>
      </c>
      <c r="H1361">
        <v>32.07</v>
      </c>
      <c r="I1361">
        <v>33.99</v>
      </c>
      <c r="J1361">
        <v>0</v>
      </c>
      <c r="K1361">
        <v>1</v>
      </c>
      <c r="L1361">
        <v>2</v>
      </c>
      <c r="M1361">
        <v>2</v>
      </c>
      <c r="Q1361">
        <v>0</v>
      </c>
      <c r="R1361">
        <v>3</v>
      </c>
      <c r="S1361" t="s">
        <v>37450</v>
      </c>
      <c r="U1361">
        <v>0.72972921999999996</v>
      </c>
      <c r="V1361">
        <v>6.14</v>
      </c>
      <c r="W1361">
        <v>3.76</v>
      </c>
      <c r="X1361" t="s">
        <v>6742</v>
      </c>
      <c r="Y1361" t="s">
        <v>37451</v>
      </c>
      <c r="AA1361" t="s">
        <v>6747</v>
      </c>
      <c r="AB1361" t="s">
        <v>37452</v>
      </c>
      <c r="AC1361" t="s">
        <v>34465</v>
      </c>
      <c r="AD1361" t="s">
        <v>11335</v>
      </c>
      <c r="AE1361" t="s">
        <v>34474</v>
      </c>
      <c r="AF1361" t="s">
        <v>37453</v>
      </c>
    </row>
    <row r="1362" spans="1:33" x14ac:dyDescent="0.25">
      <c r="A1362" t="s">
        <v>34462</v>
      </c>
      <c r="B1362" t="s">
        <v>6749</v>
      </c>
      <c r="C1362" t="s">
        <v>6751</v>
      </c>
      <c r="D1362">
        <v>40.24</v>
      </c>
      <c r="E1362">
        <v>32.29</v>
      </c>
      <c r="F1362">
        <v>3283714</v>
      </c>
      <c r="G1362">
        <v>2464012</v>
      </c>
      <c r="H1362">
        <v>63.53</v>
      </c>
      <c r="I1362">
        <v>46.42</v>
      </c>
      <c r="J1362">
        <v>0</v>
      </c>
      <c r="K1362">
        <v>1</v>
      </c>
      <c r="L1362">
        <v>3</v>
      </c>
      <c r="M1362">
        <v>3</v>
      </c>
      <c r="Q1362">
        <v>0</v>
      </c>
      <c r="R1362">
        <v>3</v>
      </c>
      <c r="S1362" t="s">
        <v>37450</v>
      </c>
      <c r="U1362">
        <v>0.93034963999999998</v>
      </c>
      <c r="V1362">
        <v>6.14</v>
      </c>
      <c r="W1362">
        <v>6.84</v>
      </c>
      <c r="X1362" t="s">
        <v>6748</v>
      </c>
      <c r="Y1362" t="s">
        <v>37451</v>
      </c>
      <c r="AA1362" t="s">
        <v>6747</v>
      </c>
      <c r="AB1362" t="s">
        <v>37454</v>
      </c>
      <c r="AC1362" t="s">
        <v>34465</v>
      </c>
      <c r="AD1362" t="s">
        <v>11335</v>
      </c>
      <c r="AE1362" t="s">
        <v>34525</v>
      </c>
      <c r="AF1362" t="s">
        <v>37453</v>
      </c>
    </row>
    <row r="1363" spans="1:33" x14ac:dyDescent="0.25">
      <c r="A1363" t="s">
        <v>34462</v>
      </c>
      <c r="B1363" t="s">
        <v>6753</v>
      </c>
      <c r="C1363" t="s">
        <v>6755</v>
      </c>
      <c r="D1363">
        <v>40.24</v>
      </c>
      <c r="E1363">
        <v>32.29</v>
      </c>
      <c r="F1363">
        <v>3280441</v>
      </c>
      <c r="G1363">
        <v>2478345</v>
      </c>
      <c r="H1363">
        <v>47.62</v>
      </c>
      <c r="I1363">
        <v>40.01</v>
      </c>
      <c r="J1363">
        <v>0</v>
      </c>
      <c r="K1363">
        <v>1</v>
      </c>
      <c r="L1363">
        <v>3</v>
      </c>
      <c r="M1363">
        <v>2</v>
      </c>
      <c r="Q1363">
        <v>0</v>
      </c>
      <c r="R1363">
        <v>3</v>
      </c>
      <c r="S1363" t="s">
        <v>37450</v>
      </c>
      <c r="U1363">
        <v>0.95019122</v>
      </c>
      <c r="V1363">
        <v>6.14</v>
      </c>
      <c r="W1363">
        <v>6.84</v>
      </c>
      <c r="X1363" t="s">
        <v>6752</v>
      </c>
      <c r="Y1363" t="s">
        <v>37451</v>
      </c>
      <c r="AA1363" t="s">
        <v>6747</v>
      </c>
      <c r="AB1363" t="s">
        <v>37455</v>
      </c>
      <c r="AC1363" t="s">
        <v>34465</v>
      </c>
      <c r="AD1363" t="s">
        <v>11335</v>
      </c>
      <c r="AE1363" t="s">
        <v>34649</v>
      </c>
      <c r="AF1363" t="s">
        <v>37453</v>
      </c>
    </row>
    <row r="1364" spans="1:33" x14ac:dyDescent="0.25">
      <c r="A1364" t="s">
        <v>34462</v>
      </c>
      <c r="B1364" t="s">
        <v>6757</v>
      </c>
      <c r="C1364" t="s">
        <v>6760</v>
      </c>
      <c r="J1364">
        <v>1</v>
      </c>
      <c r="K1364">
        <v>1</v>
      </c>
      <c r="O1364">
        <v>0</v>
      </c>
      <c r="Q1364">
        <v>-1</v>
      </c>
      <c r="R1364">
        <v>-1</v>
      </c>
      <c r="S1364" t="s">
        <v>37456</v>
      </c>
      <c r="X1364" t="s">
        <v>6756</v>
      </c>
      <c r="Y1364" t="s">
        <v>37457</v>
      </c>
      <c r="AB1364" t="s">
        <v>37458</v>
      </c>
      <c r="AC1364" t="s">
        <v>34465</v>
      </c>
      <c r="AD1364" t="s">
        <v>37459</v>
      </c>
      <c r="AE1364" t="s">
        <v>37460</v>
      </c>
      <c r="AF1364" t="s">
        <v>37461</v>
      </c>
      <c r="AG1364" t="s">
        <v>37462</v>
      </c>
    </row>
    <row r="1365" spans="1:33" x14ac:dyDescent="0.25">
      <c r="A1365" t="s">
        <v>34462</v>
      </c>
      <c r="B1365" t="s">
        <v>6762</v>
      </c>
      <c r="C1365" t="s">
        <v>6765</v>
      </c>
      <c r="D1365">
        <v>20.64</v>
      </c>
      <c r="E1365">
        <v>20.64</v>
      </c>
      <c r="F1365">
        <v>495232</v>
      </c>
      <c r="G1365">
        <v>560538</v>
      </c>
      <c r="H1365">
        <v>21.02</v>
      </c>
      <c r="I1365">
        <v>21.02</v>
      </c>
      <c r="J1365">
        <v>0.25</v>
      </c>
      <c r="K1365">
        <v>0.25</v>
      </c>
      <c r="L1365">
        <v>1</v>
      </c>
      <c r="M1365">
        <v>1</v>
      </c>
      <c r="N1365">
        <v>4.2</v>
      </c>
      <c r="O1365">
        <v>12</v>
      </c>
      <c r="P1365">
        <v>27</v>
      </c>
      <c r="Q1365">
        <v>9</v>
      </c>
      <c r="R1365">
        <v>30</v>
      </c>
      <c r="S1365" t="s">
        <v>37463</v>
      </c>
      <c r="U1365">
        <v>0.24030357999999999</v>
      </c>
      <c r="V1365">
        <v>4.45</v>
      </c>
      <c r="W1365">
        <v>3.51</v>
      </c>
      <c r="X1365" t="s">
        <v>6761</v>
      </c>
      <c r="Y1365" t="s">
        <v>6766</v>
      </c>
      <c r="Z1365" t="s">
        <v>6766</v>
      </c>
      <c r="AA1365" t="s">
        <v>76</v>
      </c>
      <c r="AB1365" t="s">
        <v>37464</v>
      </c>
      <c r="AC1365" t="s">
        <v>34493</v>
      </c>
      <c r="AD1365" t="s">
        <v>15980</v>
      </c>
      <c r="AE1365" t="s">
        <v>36238</v>
      </c>
      <c r="AF1365" t="s">
        <v>37465</v>
      </c>
      <c r="AG1365" t="s">
        <v>37466</v>
      </c>
    </row>
    <row r="1366" spans="1:33" x14ac:dyDescent="0.25">
      <c r="A1366" t="s">
        <v>34462</v>
      </c>
      <c r="B1366" t="s">
        <v>6768</v>
      </c>
      <c r="C1366" t="s">
        <v>6770</v>
      </c>
      <c r="D1366">
        <v>19.68</v>
      </c>
      <c r="E1366">
        <v>19.68</v>
      </c>
      <c r="F1366">
        <v>816541</v>
      </c>
      <c r="G1366">
        <v>529049</v>
      </c>
      <c r="H1366">
        <v>18.73</v>
      </c>
      <c r="I1366">
        <v>20.440000000000001</v>
      </c>
      <c r="J1366">
        <v>0.14000000000000001</v>
      </c>
      <c r="K1366">
        <v>0.14000000000000001</v>
      </c>
      <c r="L1366">
        <v>1</v>
      </c>
      <c r="M1366">
        <v>1</v>
      </c>
      <c r="N1366">
        <v>4.2</v>
      </c>
      <c r="O1366">
        <v>4</v>
      </c>
      <c r="P1366">
        <v>27</v>
      </c>
      <c r="Q1366">
        <v>11</v>
      </c>
      <c r="R1366">
        <v>32</v>
      </c>
      <c r="S1366" t="s">
        <v>37463</v>
      </c>
      <c r="U1366">
        <v>0.24030357999999999</v>
      </c>
      <c r="V1366">
        <v>4.45</v>
      </c>
      <c r="W1366">
        <v>1.97</v>
      </c>
      <c r="X1366" t="s">
        <v>6767</v>
      </c>
      <c r="Y1366" t="s">
        <v>6771</v>
      </c>
      <c r="Z1366" t="s">
        <v>6771</v>
      </c>
      <c r="AA1366" t="s">
        <v>76</v>
      </c>
      <c r="AB1366" t="s">
        <v>37467</v>
      </c>
      <c r="AC1366" t="s">
        <v>34493</v>
      </c>
      <c r="AD1366" t="s">
        <v>15980</v>
      </c>
      <c r="AE1366" t="s">
        <v>36242</v>
      </c>
      <c r="AF1366" t="s">
        <v>37465</v>
      </c>
      <c r="AG1366" t="s">
        <v>37466</v>
      </c>
    </row>
    <row r="1367" spans="1:33" x14ac:dyDescent="0.25">
      <c r="A1367" t="s">
        <v>34462</v>
      </c>
      <c r="B1367" t="s">
        <v>6773</v>
      </c>
      <c r="C1367" t="s">
        <v>6775</v>
      </c>
      <c r="D1367">
        <v>20.46</v>
      </c>
      <c r="E1367">
        <v>20.46</v>
      </c>
      <c r="F1367">
        <v>873587</v>
      </c>
      <c r="G1367">
        <v>573071</v>
      </c>
      <c r="H1367">
        <v>19.260000000000002</v>
      </c>
      <c r="I1367">
        <v>20.86</v>
      </c>
      <c r="J1367">
        <v>0.03</v>
      </c>
      <c r="K1367">
        <v>0.03</v>
      </c>
      <c r="L1367">
        <v>1</v>
      </c>
      <c r="M1367">
        <v>1</v>
      </c>
      <c r="N1367">
        <v>4.2</v>
      </c>
      <c r="O1367">
        <v>5</v>
      </c>
      <c r="P1367">
        <v>27</v>
      </c>
      <c r="Q1367">
        <v>16</v>
      </c>
      <c r="R1367">
        <v>36</v>
      </c>
      <c r="S1367" t="s">
        <v>37463</v>
      </c>
      <c r="U1367">
        <v>0.24030357999999999</v>
      </c>
      <c r="V1367">
        <v>4.45</v>
      </c>
      <c r="W1367">
        <v>3.48</v>
      </c>
      <c r="X1367" t="s">
        <v>6772</v>
      </c>
      <c r="Y1367" t="s">
        <v>6776</v>
      </c>
      <c r="Z1367" t="s">
        <v>6776</v>
      </c>
      <c r="AA1367" t="s">
        <v>76</v>
      </c>
      <c r="AB1367" t="s">
        <v>37468</v>
      </c>
      <c r="AC1367" t="s">
        <v>34493</v>
      </c>
      <c r="AD1367" t="s">
        <v>15980</v>
      </c>
      <c r="AE1367" t="s">
        <v>36678</v>
      </c>
      <c r="AF1367" t="s">
        <v>37465</v>
      </c>
      <c r="AG1367" t="s">
        <v>37466</v>
      </c>
    </row>
    <row r="1368" spans="1:33" x14ac:dyDescent="0.25">
      <c r="A1368" t="s">
        <v>34462</v>
      </c>
      <c r="B1368" t="s">
        <v>6778</v>
      </c>
      <c r="C1368" t="s">
        <v>6780</v>
      </c>
      <c r="D1368">
        <v>20.079999999999998</v>
      </c>
      <c r="E1368">
        <v>20.079999999999998</v>
      </c>
      <c r="F1368">
        <v>936815</v>
      </c>
      <c r="G1368">
        <v>533945</v>
      </c>
      <c r="H1368">
        <v>19.690000000000001</v>
      </c>
      <c r="I1368">
        <v>19.690000000000001</v>
      </c>
      <c r="J1368">
        <v>0.25</v>
      </c>
      <c r="K1368">
        <v>0.25</v>
      </c>
      <c r="L1368">
        <v>1</v>
      </c>
      <c r="M1368">
        <v>1</v>
      </c>
      <c r="N1368">
        <v>4.2</v>
      </c>
      <c r="O1368">
        <v>3</v>
      </c>
      <c r="P1368">
        <v>27</v>
      </c>
      <c r="Q1368">
        <v>7</v>
      </c>
      <c r="R1368">
        <v>17</v>
      </c>
      <c r="S1368" t="s">
        <v>37463</v>
      </c>
      <c r="U1368">
        <v>0.24030357999999999</v>
      </c>
      <c r="V1368">
        <v>4.45</v>
      </c>
      <c r="W1368">
        <v>3.41</v>
      </c>
      <c r="X1368" t="s">
        <v>6777</v>
      </c>
      <c r="Y1368" t="s">
        <v>6781</v>
      </c>
      <c r="Z1368" t="s">
        <v>6781</v>
      </c>
      <c r="AA1368" t="s">
        <v>76</v>
      </c>
      <c r="AB1368" t="s">
        <v>37469</v>
      </c>
      <c r="AC1368" t="s">
        <v>34493</v>
      </c>
      <c r="AD1368" t="s">
        <v>15980</v>
      </c>
      <c r="AE1368" t="s">
        <v>37470</v>
      </c>
      <c r="AF1368" t="s">
        <v>37465</v>
      </c>
      <c r="AG1368" t="s">
        <v>37466</v>
      </c>
    </row>
    <row r="1369" spans="1:33" x14ac:dyDescent="0.25">
      <c r="A1369" t="s">
        <v>34462</v>
      </c>
      <c r="B1369" t="s">
        <v>6783</v>
      </c>
      <c r="C1369" t="s">
        <v>6786</v>
      </c>
      <c r="D1369">
        <v>16.989999999999998</v>
      </c>
      <c r="E1369">
        <v>16.989999999999998</v>
      </c>
      <c r="F1369">
        <v>294910</v>
      </c>
      <c r="G1369">
        <v>147891</v>
      </c>
      <c r="H1369">
        <v>16.93</v>
      </c>
      <c r="I1369">
        <v>19.059999999999999</v>
      </c>
      <c r="J1369">
        <v>0</v>
      </c>
      <c r="K1369">
        <v>1</v>
      </c>
      <c r="L1369">
        <v>3</v>
      </c>
      <c r="M1369">
        <v>2</v>
      </c>
      <c r="N1369">
        <v>4.8</v>
      </c>
      <c r="O1369">
        <v>0</v>
      </c>
      <c r="P1369">
        <v>2059</v>
      </c>
      <c r="Q1369">
        <v>30</v>
      </c>
      <c r="R1369">
        <v>86</v>
      </c>
      <c r="S1369" t="s">
        <v>37471</v>
      </c>
      <c r="U1369">
        <v>0.70106915999999997</v>
      </c>
      <c r="V1369">
        <v>5.82</v>
      </c>
      <c r="X1369" t="s">
        <v>6782</v>
      </c>
      <c r="AA1369" t="s">
        <v>6787</v>
      </c>
      <c r="AB1369" t="s">
        <v>37472</v>
      </c>
      <c r="AC1369" t="s">
        <v>34465</v>
      </c>
      <c r="AD1369" t="s">
        <v>11496</v>
      </c>
      <c r="AE1369" t="s">
        <v>34826</v>
      </c>
      <c r="AF1369" t="s">
        <v>37473</v>
      </c>
    </row>
    <row r="1370" spans="1:33" x14ac:dyDescent="0.25">
      <c r="A1370" t="s">
        <v>34462</v>
      </c>
      <c r="B1370" t="s">
        <v>6789</v>
      </c>
      <c r="C1370" t="s">
        <v>6791</v>
      </c>
      <c r="D1370">
        <v>13.49</v>
      </c>
      <c r="E1370">
        <v>13.49</v>
      </c>
      <c r="F1370">
        <v>168880</v>
      </c>
      <c r="G1370">
        <v>146862</v>
      </c>
      <c r="H1370">
        <v>14.45</v>
      </c>
      <c r="I1370">
        <v>17.91</v>
      </c>
      <c r="J1370">
        <v>0</v>
      </c>
      <c r="K1370">
        <v>1</v>
      </c>
      <c r="L1370">
        <v>9</v>
      </c>
      <c r="M1370">
        <v>9</v>
      </c>
      <c r="N1370">
        <v>4.8</v>
      </c>
      <c r="O1370">
        <v>0</v>
      </c>
      <c r="P1370">
        <v>2059</v>
      </c>
      <c r="Q1370">
        <v>34</v>
      </c>
      <c r="R1370">
        <v>100</v>
      </c>
      <c r="S1370" t="s">
        <v>37471</v>
      </c>
      <c r="U1370">
        <v>0.70106915999999997</v>
      </c>
      <c r="V1370">
        <v>5.82</v>
      </c>
      <c r="W1370">
        <v>0.67</v>
      </c>
      <c r="X1370" t="s">
        <v>6788</v>
      </c>
      <c r="AA1370" t="s">
        <v>6787</v>
      </c>
      <c r="AB1370" t="s">
        <v>37474</v>
      </c>
      <c r="AC1370" t="s">
        <v>34465</v>
      </c>
      <c r="AD1370" t="s">
        <v>11496</v>
      </c>
      <c r="AE1370" t="s">
        <v>34506</v>
      </c>
      <c r="AF1370" t="s">
        <v>37475</v>
      </c>
    </row>
    <row r="1371" spans="1:33" x14ac:dyDescent="0.25">
      <c r="A1371" t="s">
        <v>34462</v>
      </c>
      <c r="B1371" t="s">
        <v>6793</v>
      </c>
      <c r="C1371" t="s">
        <v>6796</v>
      </c>
      <c r="D1371">
        <v>32</v>
      </c>
      <c r="E1371">
        <v>32</v>
      </c>
      <c r="H1371">
        <v>33.659999999999997</v>
      </c>
      <c r="I1371">
        <v>33.659999999999997</v>
      </c>
      <c r="J1371">
        <v>0</v>
      </c>
      <c r="K1371">
        <v>1</v>
      </c>
      <c r="L1371">
        <v>3</v>
      </c>
      <c r="M1371">
        <v>3</v>
      </c>
      <c r="Q1371">
        <v>-1</v>
      </c>
      <c r="R1371">
        <v>-1</v>
      </c>
      <c r="U1371">
        <v>0.28660059999999998</v>
      </c>
      <c r="V1371">
        <v>4.45</v>
      </c>
      <c r="W1371">
        <v>5.44</v>
      </c>
      <c r="X1371" t="s">
        <v>6792</v>
      </c>
      <c r="Y1371" t="s">
        <v>6797</v>
      </c>
      <c r="Z1371" t="s">
        <v>6797</v>
      </c>
      <c r="AA1371" t="s">
        <v>6798</v>
      </c>
      <c r="AB1371" t="s">
        <v>37476</v>
      </c>
      <c r="AC1371" t="s">
        <v>34465</v>
      </c>
      <c r="AD1371" t="s">
        <v>7947</v>
      </c>
      <c r="AE1371" t="s">
        <v>34649</v>
      </c>
      <c r="AF1371" t="s">
        <v>37477</v>
      </c>
      <c r="AG1371" t="s">
        <v>37478</v>
      </c>
    </row>
    <row r="1372" spans="1:33" x14ac:dyDescent="0.25">
      <c r="A1372" t="s">
        <v>34462</v>
      </c>
      <c r="B1372" t="s">
        <v>6800</v>
      </c>
      <c r="C1372" t="s">
        <v>6803</v>
      </c>
      <c r="D1372">
        <v>13</v>
      </c>
      <c r="E1372">
        <v>13</v>
      </c>
      <c r="F1372">
        <v>1034251</v>
      </c>
      <c r="G1372">
        <v>574896</v>
      </c>
      <c r="H1372">
        <v>12</v>
      </c>
      <c r="I1372">
        <v>11.56</v>
      </c>
      <c r="J1372">
        <v>0</v>
      </c>
      <c r="K1372">
        <v>1</v>
      </c>
      <c r="L1372">
        <v>34</v>
      </c>
      <c r="M1372">
        <v>31</v>
      </c>
      <c r="N1372">
        <v>4.2</v>
      </c>
      <c r="O1372">
        <v>73</v>
      </c>
      <c r="P1372">
        <v>75</v>
      </c>
      <c r="Q1372">
        <v>29</v>
      </c>
      <c r="R1372">
        <v>71</v>
      </c>
      <c r="S1372" t="s">
        <v>37479</v>
      </c>
      <c r="U1372">
        <v>8.8184800000000008E-2</v>
      </c>
      <c r="V1372">
        <v>4.45</v>
      </c>
      <c r="X1372" t="s">
        <v>6799</v>
      </c>
      <c r="Y1372" t="s">
        <v>6805</v>
      </c>
      <c r="Z1372" t="s">
        <v>6805</v>
      </c>
      <c r="AA1372" t="s">
        <v>76</v>
      </c>
      <c r="AB1372" t="s">
        <v>37480</v>
      </c>
      <c r="AC1372" t="s">
        <v>34465</v>
      </c>
      <c r="AD1372" t="s">
        <v>7947</v>
      </c>
      <c r="AE1372" t="s">
        <v>34862</v>
      </c>
      <c r="AF1372" t="s">
        <v>37481</v>
      </c>
      <c r="AG1372" t="s">
        <v>37482</v>
      </c>
    </row>
    <row r="1373" spans="1:33" x14ac:dyDescent="0.25">
      <c r="A1373" t="s">
        <v>34462</v>
      </c>
      <c r="B1373" t="s">
        <v>6807</v>
      </c>
      <c r="C1373" t="s">
        <v>6810</v>
      </c>
      <c r="D1373">
        <v>12.69</v>
      </c>
      <c r="E1373">
        <v>12.69</v>
      </c>
      <c r="H1373">
        <v>12.69</v>
      </c>
      <c r="I1373">
        <v>12.69</v>
      </c>
      <c r="J1373">
        <v>0</v>
      </c>
      <c r="K1373">
        <v>1</v>
      </c>
      <c r="L1373">
        <v>2</v>
      </c>
      <c r="M1373">
        <v>2</v>
      </c>
      <c r="N1373">
        <v>4.4000000000000004</v>
      </c>
      <c r="P1373">
        <v>2</v>
      </c>
      <c r="Q1373">
        <v>0</v>
      </c>
      <c r="R1373">
        <v>0</v>
      </c>
      <c r="U1373">
        <v>0.80248167999999998</v>
      </c>
      <c r="V1373">
        <v>5.35</v>
      </c>
      <c r="X1373" t="s">
        <v>6806</v>
      </c>
      <c r="AA1373" t="s">
        <v>76</v>
      </c>
      <c r="AB1373" t="s">
        <v>37483</v>
      </c>
      <c r="AC1373" t="s">
        <v>34465</v>
      </c>
      <c r="AD1373" t="s">
        <v>8087</v>
      </c>
      <c r="AE1373" t="s">
        <v>776</v>
      </c>
      <c r="AF1373" t="s">
        <v>37484</v>
      </c>
    </row>
    <row r="1374" spans="1:33" x14ac:dyDescent="0.25">
      <c r="A1374" t="s">
        <v>34462</v>
      </c>
      <c r="B1374" t="s">
        <v>6812</v>
      </c>
      <c r="C1374" t="s">
        <v>6815</v>
      </c>
      <c r="D1374">
        <v>28.96</v>
      </c>
      <c r="E1374">
        <v>28.39</v>
      </c>
      <c r="F1374">
        <v>7231</v>
      </c>
      <c r="G1374">
        <v>3269</v>
      </c>
      <c r="H1374">
        <v>28.09</v>
      </c>
      <c r="I1374">
        <v>27.35</v>
      </c>
      <c r="J1374">
        <v>0</v>
      </c>
      <c r="K1374">
        <v>0</v>
      </c>
      <c r="L1374">
        <v>4</v>
      </c>
      <c r="M1374">
        <v>4</v>
      </c>
      <c r="N1374">
        <v>4.5</v>
      </c>
      <c r="O1374">
        <v>5</v>
      </c>
      <c r="P1374">
        <v>9079</v>
      </c>
      <c r="Q1374">
        <v>47</v>
      </c>
      <c r="R1374">
        <v>156</v>
      </c>
      <c r="S1374" t="s">
        <v>37485</v>
      </c>
      <c r="U1374">
        <v>0.71209226000000003</v>
      </c>
      <c r="V1374">
        <v>6.05</v>
      </c>
      <c r="W1374">
        <v>4.92</v>
      </c>
      <c r="X1374" t="s">
        <v>6811</v>
      </c>
      <c r="Y1374" t="s">
        <v>37486</v>
      </c>
      <c r="Z1374" t="s">
        <v>6816</v>
      </c>
      <c r="AA1374" t="s">
        <v>6817</v>
      </c>
      <c r="AB1374" t="s">
        <v>37487</v>
      </c>
      <c r="AC1374" t="s">
        <v>34493</v>
      </c>
      <c r="AD1374" t="s">
        <v>11335</v>
      </c>
      <c r="AE1374" t="s">
        <v>34474</v>
      </c>
      <c r="AF1374" t="s">
        <v>37488</v>
      </c>
      <c r="AG1374" t="s">
        <v>37489</v>
      </c>
    </row>
    <row r="1375" spans="1:33" x14ac:dyDescent="0.25">
      <c r="A1375" t="s">
        <v>34462</v>
      </c>
      <c r="B1375" t="s">
        <v>6819</v>
      </c>
      <c r="C1375" t="s">
        <v>6822</v>
      </c>
      <c r="D1375">
        <v>37.72</v>
      </c>
      <c r="E1375">
        <v>29.77</v>
      </c>
      <c r="F1375">
        <v>93241</v>
      </c>
      <c r="G1375">
        <v>194924</v>
      </c>
      <c r="H1375">
        <v>35.68</v>
      </c>
      <c r="I1375">
        <v>29.95</v>
      </c>
      <c r="J1375">
        <v>0.09</v>
      </c>
      <c r="K1375">
        <v>0.31</v>
      </c>
      <c r="L1375">
        <v>2</v>
      </c>
      <c r="M1375">
        <v>2</v>
      </c>
      <c r="N1375">
        <v>4.4000000000000004</v>
      </c>
      <c r="O1375">
        <v>1</v>
      </c>
      <c r="P1375">
        <v>163</v>
      </c>
      <c r="Q1375">
        <v>25</v>
      </c>
      <c r="R1375">
        <v>56</v>
      </c>
      <c r="S1375" t="s">
        <v>35063</v>
      </c>
      <c r="U1375">
        <v>0.26014515999999999</v>
      </c>
      <c r="V1375">
        <v>6.14</v>
      </c>
      <c r="W1375">
        <v>6.42</v>
      </c>
      <c r="X1375" t="s">
        <v>6818</v>
      </c>
      <c r="Y1375" t="s">
        <v>37490</v>
      </c>
      <c r="Z1375" t="s">
        <v>1222</v>
      </c>
      <c r="AA1375" t="s">
        <v>1406</v>
      </c>
      <c r="AB1375" t="s">
        <v>37491</v>
      </c>
      <c r="AC1375" t="s">
        <v>34465</v>
      </c>
      <c r="AD1375" t="s">
        <v>7954</v>
      </c>
      <c r="AE1375" t="s">
        <v>34474</v>
      </c>
      <c r="AF1375" t="s">
        <v>37492</v>
      </c>
      <c r="AG1375" t="s">
        <v>35066</v>
      </c>
    </row>
    <row r="1376" spans="1:33" x14ac:dyDescent="0.25">
      <c r="A1376" t="s">
        <v>34462</v>
      </c>
      <c r="B1376" t="s">
        <v>6824</v>
      </c>
      <c r="C1376" t="s">
        <v>6826</v>
      </c>
      <c r="D1376">
        <v>65.260000000000005</v>
      </c>
      <c r="E1376">
        <v>65.260000000000005</v>
      </c>
      <c r="F1376">
        <v>120493</v>
      </c>
      <c r="G1376">
        <v>191557</v>
      </c>
      <c r="H1376">
        <v>53.3</v>
      </c>
      <c r="I1376">
        <v>41.84</v>
      </c>
      <c r="J1376">
        <v>0</v>
      </c>
      <c r="K1376">
        <v>1</v>
      </c>
      <c r="L1376">
        <v>2</v>
      </c>
      <c r="M1376">
        <v>2</v>
      </c>
      <c r="N1376">
        <v>4.5</v>
      </c>
      <c r="O1376">
        <v>1</v>
      </c>
      <c r="P1376">
        <v>164</v>
      </c>
      <c r="Q1376">
        <v>26</v>
      </c>
      <c r="R1376">
        <v>59</v>
      </c>
      <c r="S1376" t="s">
        <v>35063</v>
      </c>
      <c r="U1376">
        <v>0.27557749999999998</v>
      </c>
      <c r="V1376">
        <v>6.6</v>
      </c>
      <c r="X1376" t="s">
        <v>6823</v>
      </c>
      <c r="Y1376" t="s">
        <v>37490</v>
      </c>
      <c r="Z1376" t="s">
        <v>1222</v>
      </c>
      <c r="AA1376" t="s">
        <v>1406</v>
      </c>
      <c r="AB1376" t="s">
        <v>37493</v>
      </c>
      <c r="AC1376" t="s">
        <v>34465</v>
      </c>
      <c r="AD1376" t="s">
        <v>7954</v>
      </c>
      <c r="AE1376" t="s">
        <v>34533</v>
      </c>
      <c r="AF1376" t="s">
        <v>37492</v>
      </c>
      <c r="AG1376" t="s">
        <v>35066</v>
      </c>
    </row>
    <row r="1377" spans="1:33" x14ac:dyDescent="0.25">
      <c r="A1377" t="s">
        <v>34462</v>
      </c>
      <c r="B1377" t="s">
        <v>6828</v>
      </c>
      <c r="C1377" t="s">
        <v>6831</v>
      </c>
      <c r="D1377">
        <v>35</v>
      </c>
      <c r="E1377">
        <v>35</v>
      </c>
      <c r="F1377">
        <v>334434</v>
      </c>
      <c r="G1377">
        <v>168536</v>
      </c>
      <c r="H1377">
        <v>33.72</v>
      </c>
      <c r="I1377">
        <v>25.96</v>
      </c>
      <c r="J1377">
        <v>0</v>
      </c>
      <c r="K1377">
        <v>0</v>
      </c>
      <c r="L1377">
        <v>2</v>
      </c>
      <c r="M1377">
        <v>1</v>
      </c>
      <c r="N1377">
        <v>4.0999999999999996</v>
      </c>
      <c r="O1377">
        <v>0</v>
      </c>
      <c r="P1377">
        <v>10</v>
      </c>
      <c r="Q1377">
        <v>18</v>
      </c>
      <c r="R1377">
        <v>52</v>
      </c>
      <c r="S1377" t="s">
        <v>37494</v>
      </c>
      <c r="U1377">
        <v>0.33069300000000001</v>
      </c>
      <c r="V1377">
        <v>5.9</v>
      </c>
      <c r="W1377">
        <v>5.95</v>
      </c>
      <c r="X1377" t="s">
        <v>6827</v>
      </c>
      <c r="Y1377" t="s">
        <v>6832</v>
      </c>
      <c r="Z1377" t="s">
        <v>6832</v>
      </c>
      <c r="AA1377" t="s">
        <v>6833</v>
      </c>
      <c r="AB1377" t="s">
        <v>37495</v>
      </c>
      <c r="AC1377" t="s">
        <v>34493</v>
      </c>
      <c r="AD1377" t="s">
        <v>8078</v>
      </c>
      <c r="AE1377" t="s">
        <v>8439</v>
      </c>
      <c r="AF1377" t="s">
        <v>37496</v>
      </c>
      <c r="AG1377" t="s">
        <v>37497</v>
      </c>
    </row>
    <row r="1378" spans="1:33" x14ac:dyDescent="0.25">
      <c r="A1378" t="s">
        <v>34462</v>
      </c>
      <c r="B1378" t="s">
        <v>6835</v>
      </c>
      <c r="C1378" t="s">
        <v>6837</v>
      </c>
      <c r="D1378">
        <v>35</v>
      </c>
      <c r="E1378">
        <v>35</v>
      </c>
      <c r="F1378">
        <v>148818</v>
      </c>
      <c r="G1378">
        <v>177724</v>
      </c>
      <c r="H1378">
        <v>33.46</v>
      </c>
      <c r="I1378">
        <v>26.98</v>
      </c>
      <c r="J1378">
        <v>0</v>
      </c>
      <c r="K1378">
        <v>0</v>
      </c>
      <c r="L1378">
        <v>2</v>
      </c>
      <c r="M1378">
        <v>1</v>
      </c>
      <c r="N1378">
        <v>4.0999999999999996</v>
      </c>
      <c r="O1378">
        <v>0</v>
      </c>
      <c r="P1378">
        <v>10</v>
      </c>
      <c r="Q1378">
        <v>14</v>
      </c>
      <c r="R1378">
        <v>47</v>
      </c>
      <c r="S1378" t="s">
        <v>37494</v>
      </c>
      <c r="U1378">
        <v>0.35053457999999998</v>
      </c>
      <c r="V1378">
        <v>5.12</v>
      </c>
      <c r="W1378">
        <v>5.95</v>
      </c>
      <c r="X1378" t="s">
        <v>6834</v>
      </c>
      <c r="Y1378" t="s">
        <v>6832</v>
      </c>
      <c r="Z1378" t="s">
        <v>6832</v>
      </c>
      <c r="AA1378" t="s">
        <v>6833</v>
      </c>
      <c r="AB1378" t="s">
        <v>37498</v>
      </c>
      <c r="AC1378" t="s">
        <v>34493</v>
      </c>
      <c r="AD1378" t="s">
        <v>8078</v>
      </c>
      <c r="AE1378" t="s">
        <v>8451</v>
      </c>
      <c r="AF1378" t="s">
        <v>37496</v>
      </c>
      <c r="AG1378" t="s">
        <v>37497</v>
      </c>
    </row>
    <row r="1379" spans="1:33" x14ac:dyDescent="0.25">
      <c r="A1379" t="s">
        <v>34462</v>
      </c>
      <c r="B1379" t="s">
        <v>6839</v>
      </c>
      <c r="C1379" t="s">
        <v>6842</v>
      </c>
      <c r="D1379">
        <v>8.24</v>
      </c>
      <c r="E1379">
        <v>8.24</v>
      </c>
      <c r="F1379">
        <v>1154</v>
      </c>
      <c r="G1379">
        <v>52316</v>
      </c>
      <c r="H1379">
        <v>14.17</v>
      </c>
      <c r="I1379">
        <v>15.17</v>
      </c>
      <c r="J1379">
        <v>0</v>
      </c>
      <c r="K1379">
        <v>0</v>
      </c>
      <c r="L1379">
        <v>4</v>
      </c>
      <c r="M1379">
        <v>4</v>
      </c>
      <c r="N1379">
        <v>4.5999999999999996</v>
      </c>
      <c r="O1379">
        <v>227</v>
      </c>
      <c r="P1379">
        <v>355</v>
      </c>
      <c r="Q1379">
        <v>56</v>
      </c>
      <c r="R1379">
        <v>167</v>
      </c>
      <c r="T1379">
        <v>600</v>
      </c>
      <c r="U1379">
        <v>0.89948496</v>
      </c>
      <c r="V1379">
        <v>6.31</v>
      </c>
      <c r="W1379">
        <v>1.24</v>
      </c>
      <c r="X1379" t="s">
        <v>6838</v>
      </c>
      <c r="Y1379" t="s">
        <v>6844</v>
      </c>
      <c r="Z1379" t="s">
        <v>6844</v>
      </c>
      <c r="AA1379" t="s">
        <v>278</v>
      </c>
      <c r="AB1379" t="s">
        <v>37499</v>
      </c>
      <c r="AC1379" t="s">
        <v>34493</v>
      </c>
      <c r="AD1379" t="s">
        <v>24519</v>
      </c>
      <c r="AE1379" t="s">
        <v>37500</v>
      </c>
      <c r="AF1379" t="s">
        <v>37501</v>
      </c>
      <c r="AG1379" t="s">
        <v>37502</v>
      </c>
    </row>
    <row r="1380" spans="1:33" x14ac:dyDescent="0.25">
      <c r="A1380" t="s">
        <v>34462</v>
      </c>
      <c r="B1380" t="s">
        <v>6846</v>
      </c>
      <c r="C1380" t="s">
        <v>6849</v>
      </c>
      <c r="D1380">
        <v>67.81</v>
      </c>
      <c r="E1380">
        <v>67.81</v>
      </c>
      <c r="F1380">
        <v>7589106</v>
      </c>
      <c r="G1380">
        <v>7157642</v>
      </c>
      <c r="H1380">
        <v>78.540000000000006</v>
      </c>
      <c r="I1380">
        <v>79.08</v>
      </c>
      <c r="J1380">
        <v>0</v>
      </c>
      <c r="K1380">
        <v>1</v>
      </c>
      <c r="L1380">
        <v>3</v>
      </c>
      <c r="M1380">
        <v>3</v>
      </c>
      <c r="O1380">
        <v>0</v>
      </c>
      <c r="Q1380">
        <v>0</v>
      </c>
      <c r="R1380">
        <v>0</v>
      </c>
      <c r="U1380">
        <v>0.35053457999999998</v>
      </c>
      <c r="V1380">
        <v>3.42</v>
      </c>
      <c r="X1380" t="s">
        <v>6845</v>
      </c>
      <c r="Y1380" t="s">
        <v>37503</v>
      </c>
      <c r="Z1380" t="s">
        <v>6850</v>
      </c>
      <c r="AA1380" t="s">
        <v>6851</v>
      </c>
      <c r="AB1380" t="s">
        <v>37504</v>
      </c>
      <c r="AC1380" t="s">
        <v>34465</v>
      </c>
      <c r="AD1380" t="s">
        <v>36639</v>
      </c>
      <c r="AE1380" t="s">
        <v>34533</v>
      </c>
      <c r="AF1380" t="s">
        <v>37505</v>
      </c>
      <c r="AG1380" t="s">
        <v>37506</v>
      </c>
    </row>
    <row r="1381" spans="1:33" x14ac:dyDescent="0.25">
      <c r="A1381" t="s">
        <v>34462</v>
      </c>
      <c r="B1381" t="s">
        <v>6853</v>
      </c>
      <c r="C1381" t="s">
        <v>6855</v>
      </c>
      <c r="D1381">
        <v>69.569999999999993</v>
      </c>
      <c r="E1381">
        <v>67.81</v>
      </c>
      <c r="F1381">
        <v>1242702</v>
      </c>
      <c r="G1381">
        <v>985794</v>
      </c>
      <c r="H1381">
        <v>78.88</v>
      </c>
      <c r="I1381">
        <v>79.430000000000007</v>
      </c>
      <c r="J1381">
        <v>0</v>
      </c>
      <c r="K1381">
        <v>1</v>
      </c>
      <c r="L1381">
        <v>4</v>
      </c>
      <c r="M1381">
        <v>3</v>
      </c>
      <c r="N1381">
        <v>4</v>
      </c>
      <c r="O1381">
        <v>0</v>
      </c>
      <c r="P1381">
        <v>7</v>
      </c>
      <c r="Q1381">
        <v>5</v>
      </c>
      <c r="R1381">
        <v>16</v>
      </c>
      <c r="S1381" t="s">
        <v>37507</v>
      </c>
      <c r="U1381">
        <v>0.50044874000000006</v>
      </c>
      <c r="V1381">
        <v>6.14</v>
      </c>
      <c r="W1381">
        <v>11.83</v>
      </c>
      <c r="X1381" t="s">
        <v>6852</v>
      </c>
      <c r="Y1381" t="s">
        <v>37508</v>
      </c>
      <c r="Z1381" t="s">
        <v>6856</v>
      </c>
      <c r="AA1381" t="s">
        <v>6857</v>
      </c>
      <c r="AB1381" t="s">
        <v>37509</v>
      </c>
      <c r="AC1381" t="s">
        <v>34465</v>
      </c>
      <c r="AD1381" t="s">
        <v>36639</v>
      </c>
      <c r="AE1381" t="s">
        <v>34533</v>
      </c>
      <c r="AF1381" t="s">
        <v>37510</v>
      </c>
      <c r="AG1381" t="s">
        <v>37506</v>
      </c>
    </row>
    <row r="1382" spans="1:33" x14ac:dyDescent="0.25">
      <c r="A1382" t="s">
        <v>34462</v>
      </c>
      <c r="B1382" t="s">
        <v>6859</v>
      </c>
      <c r="C1382" t="s">
        <v>6861</v>
      </c>
      <c r="D1382">
        <v>67.81</v>
      </c>
      <c r="E1382">
        <v>67.81</v>
      </c>
      <c r="F1382">
        <v>1181584</v>
      </c>
      <c r="G1382">
        <v>905205</v>
      </c>
      <c r="H1382">
        <v>69.86</v>
      </c>
      <c r="I1382">
        <v>75.62</v>
      </c>
      <c r="J1382">
        <v>0</v>
      </c>
      <c r="K1382">
        <v>1</v>
      </c>
      <c r="L1382">
        <v>4</v>
      </c>
      <c r="M1382">
        <v>5</v>
      </c>
      <c r="N1382">
        <v>4</v>
      </c>
      <c r="O1382">
        <v>0</v>
      </c>
      <c r="P1382">
        <v>7</v>
      </c>
      <c r="Q1382">
        <v>6</v>
      </c>
      <c r="R1382">
        <v>16</v>
      </c>
      <c r="S1382" t="s">
        <v>37507</v>
      </c>
      <c r="U1382">
        <v>0.35053457999999998</v>
      </c>
      <c r="V1382">
        <v>3.42</v>
      </c>
      <c r="X1382" t="s">
        <v>6858</v>
      </c>
      <c r="Y1382" t="s">
        <v>37511</v>
      </c>
      <c r="Z1382" t="s">
        <v>6862</v>
      </c>
      <c r="AA1382" t="s">
        <v>6863</v>
      </c>
      <c r="AB1382" t="s">
        <v>37512</v>
      </c>
      <c r="AC1382" t="s">
        <v>34465</v>
      </c>
      <c r="AD1382" t="s">
        <v>36639</v>
      </c>
      <c r="AE1382" t="s">
        <v>34533</v>
      </c>
      <c r="AF1382" t="s">
        <v>37513</v>
      </c>
      <c r="AG1382" t="s">
        <v>37506</v>
      </c>
    </row>
    <row r="1383" spans="1:33" x14ac:dyDescent="0.25">
      <c r="A1383" t="s">
        <v>34462</v>
      </c>
      <c r="B1383" t="s">
        <v>6865</v>
      </c>
      <c r="C1383" t="s">
        <v>6867</v>
      </c>
      <c r="D1383">
        <v>79.95</v>
      </c>
      <c r="E1383">
        <v>79.95</v>
      </c>
      <c r="F1383">
        <v>1218303</v>
      </c>
      <c r="G1383">
        <v>853181</v>
      </c>
      <c r="H1383">
        <v>78.25</v>
      </c>
      <c r="I1383">
        <v>78.34</v>
      </c>
      <c r="J1383">
        <v>0</v>
      </c>
      <c r="K1383">
        <v>1</v>
      </c>
      <c r="L1383">
        <v>2</v>
      </c>
      <c r="M1383">
        <v>1</v>
      </c>
      <c r="N1383">
        <v>4</v>
      </c>
      <c r="O1383">
        <v>4</v>
      </c>
      <c r="P1383">
        <v>7</v>
      </c>
      <c r="Q1383">
        <v>6</v>
      </c>
      <c r="R1383">
        <v>17</v>
      </c>
      <c r="S1383" t="s">
        <v>37507</v>
      </c>
      <c r="U1383">
        <v>0.39903622</v>
      </c>
      <c r="V1383">
        <v>5.12</v>
      </c>
      <c r="W1383">
        <v>13.59</v>
      </c>
      <c r="X1383" t="s">
        <v>6864</v>
      </c>
      <c r="Y1383" t="s">
        <v>37514</v>
      </c>
      <c r="Z1383" t="s">
        <v>6862</v>
      </c>
      <c r="AA1383" t="s">
        <v>6863</v>
      </c>
      <c r="AB1383" t="s">
        <v>37515</v>
      </c>
      <c r="AC1383" t="s">
        <v>34465</v>
      </c>
      <c r="AD1383" t="s">
        <v>36639</v>
      </c>
      <c r="AE1383" t="s">
        <v>14701</v>
      </c>
      <c r="AF1383" t="s">
        <v>37513</v>
      </c>
      <c r="AG1383" t="s">
        <v>37506</v>
      </c>
    </row>
    <row r="1384" spans="1:33" x14ac:dyDescent="0.25">
      <c r="A1384" t="s">
        <v>34462</v>
      </c>
      <c r="B1384" t="s">
        <v>6869</v>
      </c>
      <c r="C1384" t="s">
        <v>6871</v>
      </c>
      <c r="D1384">
        <v>79.95</v>
      </c>
      <c r="E1384">
        <v>79.95</v>
      </c>
      <c r="F1384">
        <v>1242702</v>
      </c>
      <c r="G1384">
        <v>952776</v>
      </c>
      <c r="H1384">
        <v>79.95</v>
      </c>
      <c r="I1384">
        <v>79.959999999999994</v>
      </c>
      <c r="J1384">
        <v>0.3</v>
      </c>
      <c r="K1384">
        <v>1</v>
      </c>
      <c r="L1384">
        <v>1</v>
      </c>
      <c r="O1384">
        <v>0</v>
      </c>
      <c r="Q1384">
        <v>6</v>
      </c>
      <c r="R1384">
        <v>13</v>
      </c>
      <c r="S1384" t="s">
        <v>37507</v>
      </c>
      <c r="U1384">
        <v>0.39903622</v>
      </c>
      <c r="V1384">
        <v>5.9</v>
      </c>
      <c r="W1384">
        <v>13.59</v>
      </c>
      <c r="X1384" t="s">
        <v>6868</v>
      </c>
      <c r="Y1384" t="s">
        <v>37516</v>
      </c>
      <c r="Z1384" t="s">
        <v>6862</v>
      </c>
      <c r="AA1384" t="s">
        <v>6863</v>
      </c>
      <c r="AB1384" t="s">
        <v>37517</v>
      </c>
      <c r="AC1384" t="s">
        <v>34465</v>
      </c>
      <c r="AD1384" t="s">
        <v>36639</v>
      </c>
      <c r="AE1384" t="s">
        <v>34525</v>
      </c>
      <c r="AF1384" t="s">
        <v>37513</v>
      </c>
      <c r="AG1384" t="s">
        <v>37506</v>
      </c>
    </row>
    <row r="1385" spans="1:33" x14ac:dyDescent="0.25">
      <c r="A1385" t="s">
        <v>34462</v>
      </c>
      <c r="B1385" t="s">
        <v>6873</v>
      </c>
      <c r="C1385" t="s">
        <v>6876</v>
      </c>
      <c r="D1385">
        <v>10.5</v>
      </c>
      <c r="E1385">
        <v>10.5</v>
      </c>
      <c r="F1385">
        <v>73148</v>
      </c>
      <c r="G1385">
        <v>140549</v>
      </c>
      <c r="H1385">
        <v>19.72</v>
      </c>
      <c r="I1385">
        <v>20.51</v>
      </c>
      <c r="J1385">
        <v>0</v>
      </c>
      <c r="K1385">
        <v>0</v>
      </c>
      <c r="L1385">
        <v>2</v>
      </c>
      <c r="M1385">
        <v>1</v>
      </c>
      <c r="N1385">
        <v>4.5</v>
      </c>
      <c r="O1385">
        <v>2</v>
      </c>
      <c r="P1385">
        <v>2366</v>
      </c>
      <c r="Q1385">
        <v>20</v>
      </c>
      <c r="R1385">
        <v>64</v>
      </c>
      <c r="S1385" t="s">
        <v>37518</v>
      </c>
      <c r="U1385">
        <v>0.24912206000000001</v>
      </c>
      <c r="V1385">
        <v>4.45</v>
      </c>
      <c r="W1385">
        <v>0.53</v>
      </c>
      <c r="X1385" t="s">
        <v>6872</v>
      </c>
      <c r="Y1385" t="s">
        <v>37519</v>
      </c>
      <c r="Z1385" t="s">
        <v>6878</v>
      </c>
      <c r="AA1385" t="s">
        <v>76</v>
      </c>
      <c r="AB1385" t="s">
        <v>37520</v>
      </c>
      <c r="AC1385" t="s">
        <v>34493</v>
      </c>
      <c r="AD1385" t="s">
        <v>7954</v>
      </c>
      <c r="AE1385" t="s">
        <v>37129</v>
      </c>
      <c r="AF1385" t="s">
        <v>37521</v>
      </c>
      <c r="AG1385" t="s">
        <v>37522</v>
      </c>
    </row>
    <row r="1386" spans="1:33" x14ac:dyDescent="0.25">
      <c r="A1386" t="s">
        <v>34462</v>
      </c>
      <c r="B1386" t="s">
        <v>6880</v>
      </c>
      <c r="C1386" t="s">
        <v>6882</v>
      </c>
      <c r="D1386">
        <v>10.5</v>
      </c>
      <c r="E1386">
        <v>10.5</v>
      </c>
      <c r="F1386">
        <v>75336</v>
      </c>
      <c r="G1386">
        <v>138643</v>
      </c>
      <c r="H1386">
        <v>18.329999999999998</v>
      </c>
      <c r="I1386">
        <v>18.62</v>
      </c>
      <c r="J1386">
        <v>0</v>
      </c>
      <c r="K1386">
        <v>0</v>
      </c>
      <c r="L1386">
        <v>2</v>
      </c>
      <c r="M1386">
        <v>1</v>
      </c>
      <c r="N1386">
        <v>4.5</v>
      </c>
      <c r="O1386">
        <v>8</v>
      </c>
      <c r="P1386">
        <v>2366</v>
      </c>
      <c r="Q1386">
        <v>22</v>
      </c>
      <c r="R1386">
        <v>58</v>
      </c>
      <c r="S1386" t="s">
        <v>37518</v>
      </c>
      <c r="U1386">
        <v>0.31966990000000001</v>
      </c>
      <c r="V1386">
        <v>4.6100000000000003</v>
      </c>
      <c r="W1386">
        <v>1.79</v>
      </c>
      <c r="X1386" t="s">
        <v>6879</v>
      </c>
      <c r="Y1386" t="s">
        <v>37519</v>
      </c>
      <c r="Z1386" t="s">
        <v>6878</v>
      </c>
      <c r="AA1386" t="s">
        <v>76</v>
      </c>
      <c r="AB1386" t="s">
        <v>37523</v>
      </c>
      <c r="AC1386" t="s">
        <v>34493</v>
      </c>
      <c r="AD1386" t="s">
        <v>7954</v>
      </c>
      <c r="AE1386" t="s">
        <v>37133</v>
      </c>
      <c r="AF1386" t="s">
        <v>37521</v>
      </c>
      <c r="AG1386" t="s">
        <v>37522</v>
      </c>
    </row>
    <row r="1387" spans="1:33" x14ac:dyDescent="0.25">
      <c r="A1387" t="s">
        <v>34462</v>
      </c>
      <c r="B1387" t="s">
        <v>6885</v>
      </c>
      <c r="C1387" t="s">
        <v>6887</v>
      </c>
      <c r="D1387">
        <v>10.5</v>
      </c>
      <c r="E1387">
        <v>10.5</v>
      </c>
      <c r="F1387">
        <v>75336</v>
      </c>
      <c r="G1387">
        <v>138613</v>
      </c>
      <c r="H1387">
        <v>19.690000000000001</v>
      </c>
      <c r="I1387">
        <v>19.78</v>
      </c>
      <c r="J1387">
        <v>0</v>
      </c>
      <c r="K1387">
        <v>0</v>
      </c>
      <c r="L1387">
        <v>2</v>
      </c>
      <c r="M1387">
        <v>1</v>
      </c>
      <c r="N1387">
        <v>4.5</v>
      </c>
      <c r="O1387">
        <v>5</v>
      </c>
      <c r="P1387">
        <v>2366</v>
      </c>
      <c r="Q1387">
        <v>34</v>
      </c>
      <c r="R1387">
        <v>97</v>
      </c>
      <c r="S1387" t="s">
        <v>37518</v>
      </c>
      <c r="U1387">
        <v>0.34612534</v>
      </c>
      <c r="V1387">
        <v>4.6100000000000003</v>
      </c>
      <c r="W1387">
        <v>1.79</v>
      </c>
      <c r="X1387" t="s">
        <v>6884</v>
      </c>
      <c r="Y1387" t="s">
        <v>37519</v>
      </c>
      <c r="Z1387" t="s">
        <v>6878</v>
      </c>
      <c r="AA1387" t="s">
        <v>76</v>
      </c>
      <c r="AB1387" t="s">
        <v>37524</v>
      </c>
      <c r="AC1387" t="s">
        <v>34493</v>
      </c>
      <c r="AD1387" t="s">
        <v>7954</v>
      </c>
      <c r="AE1387" t="s">
        <v>37135</v>
      </c>
      <c r="AF1387" t="s">
        <v>37521</v>
      </c>
      <c r="AG1387" t="s">
        <v>37522</v>
      </c>
    </row>
    <row r="1388" spans="1:33" x14ac:dyDescent="0.25">
      <c r="A1388" t="s">
        <v>34462</v>
      </c>
      <c r="B1388" t="s">
        <v>6890</v>
      </c>
      <c r="C1388" t="s">
        <v>6892</v>
      </c>
      <c r="D1388">
        <v>10.5</v>
      </c>
      <c r="E1388">
        <v>10.5</v>
      </c>
      <c r="F1388">
        <v>73148</v>
      </c>
      <c r="G1388">
        <v>137537</v>
      </c>
      <c r="H1388">
        <v>19.91</v>
      </c>
      <c r="I1388">
        <v>21.98</v>
      </c>
      <c r="J1388">
        <v>0</v>
      </c>
      <c r="K1388">
        <v>0</v>
      </c>
      <c r="L1388">
        <v>2</v>
      </c>
      <c r="M1388">
        <v>2</v>
      </c>
      <c r="N1388">
        <v>4.5</v>
      </c>
      <c r="O1388">
        <v>14</v>
      </c>
      <c r="P1388">
        <v>2366</v>
      </c>
      <c r="Q1388">
        <v>20</v>
      </c>
      <c r="R1388">
        <v>79</v>
      </c>
      <c r="S1388" t="s">
        <v>37518</v>
      </c>
      <c r="U1388">
        <v>0.37478539999999999</v>
      </c>
      <c r="V1388">
        <v>6.6</v>
      </c>
      <c r="W1388">
        <v>1.79</v>
      </c>
      <c r="X1388" t="s">
        <v>6889</v>
      </c>
      <c r="Y1388" t="s">
        <v>37519</v>
      </c>
      <c r="Z1388" t="s">
        <v>6878</v>
      </c>
      <c r="AA1388" t="s">
        <v>76</v>
      </c>
      <c r="AB1388" t="s">
        <v>37525</v>
      </c>
      <c r="AC1388" t="s">
        <v>34493</v>
      </c>
      <c r="AD1388" t="s">
        <v>7954</v>
      </c>
      <c r="AE1388" t="s">
        <v>37526</v>
      </c>
      <c r="AF1388" t="s">
        <v>37527</v>
      </c>
      <c r="AG1388" t="s">
        <v>37522</v>
      </c>
    </row>
    <row r="1389" spans="1:33" x14ac:dyDescent="0.25">
      <c r="A1389" t="s">
        <v>34462</v>
      </c>
      <c r="B1389" t="s">
        <v>6895</v>
      </c>
      <c r="C1389" t="s">
        <v>6898</v>
      </c>
      <c r="D1389">
        <v>42</v>
      </c>
      <c r="E1389">
        <v>42</v>
      </c>
      <c r="F1389">
        <v>473134</v>
      </c>
      <c r="G1389">
        <v>471174</v>
      </c>
      <c r="H1389">
        <v>36.71</v>
      </c>
      <c r="I1389">
        <v>33.28</v>
      </c>
      <c r="J1389">
        <v>0</v>
      </c>
      <c r="K1389">
        <v>0.7</v>
      </c>
      <c r="L1389">
        <v>1</v>
      </c>
      <c r="M1389">
        <v>1</v>
      </c>
      <c r="N1389">
        <v>4.5</v>
      </c>
      <c r="O1389">
        <v>0</v>
      </c>
      <c r="P1389">
        <v>15</v>
      </c>
      <c r="Q1389">
        <v>8</v>
      </c>
      <c r="R1389">
        <v>32</v>
      </c>
      <c r="S1389" t="s">
        <v>37528</v>
      </c>
      <c r="U1389">
        <v>0.41887780000000002</v>
      </c>
      <c r="V1389">
        <v>5.9</v>
      </c>
      <c r="W1389">
        <v>7.14</v>
      </c>
      <c r="X1389" t="s">
        <v>6894</v>
      </c>
      <c r="Y1389" t="s">
        <v>6899</v>
      </c>
      <c r="Z1389" t="s">
        <v>6899</v>
      </c>
      <c r="AA1389" t="s">
        <v>6900</v>
      </c>
      <c r="AB1389" t="s">
        <v>37529</v>
      </c>
      <c r="AC1389" t="s">
        <v>34465</v>
      </c>
      <c r="AD1389" t="s">
        <v>9232</v>
      </c>
      <c r="AE1389" t="s">
        <v>34533</v>
      </c>
      <c r="AF1389" t="s">
        <v>37530</v>
      </c>
      <c r="AG1389" t="s">
        <v>37531</v>
      </c>
    </row>
    <row r="1390" spans="1:33" x14ac:dyDescent="0.25">
      <c r="A1390" t="s">
        <v>34462</v>
      </c>
      <c r="B1390" t="s">
        <v>6902</v>
      </c>
      <c r="C1390" t="s">
        <v>6904</v>
      </c>
      <c r="D1390">
        <v>36.479999999999997</v>
      </c>
      <c r="E1390">
        <v>29.99</v>
      </c>
      <c r="F1390">
        <v>473134</v>
      </c>
      <c r="G1390">
        <v>469333</v>
      </c>
      <c r="H1390">
        <v>30.64</v>
      </c>
      <c r="I1390">
        <v>33.57</v>
      </c>
      <c r="J1390">
        <v>0</v>
      </c>
      <c r="K1390">
        <v>0.12</v>
      </c>
      <c r="L1390">
        <v>2</v>
      </c>
      <c r="M1390">
        <v>2</v>
      </c>
      <c r="N1390">
        <v>4.5</v>
      </c>
      <c r="O1390">
        <v>0</v>
      </c>
      <c r="P1390">
        <v>15</v>
      </c>
      <c r="Q1390">
        <v>10</v>
      </c>
      <c r="R1390">
        <v>34</v>
      </c>
      <c r="S1390" t="s">
        <v>37528</v>
      </c>
      <c r="U1390">
        <v>0.41887780000000002</v>
      </c>
      <c r="V1390">
        <v>5.9</v>
      </c>
      <c r="W1390">
        <v>6.2</v>
      </c>
      <c r="X1390" t="s">
        <v>6901</v>
      </c>
      <c r="Y1390" t="s">
        <v>6899</v>
      </c>
      <c r="Z1390" t="s">
        <v>6899</v>
      </c>
      <c r="AA1390" t="s">
        <v>6905</v>
      </c>
      <c r="AB1390" t="s">
        <v>37532</v>
      </c>
      <c r="AC1390" t="s">
        <v>34493</v>
      </c>
      <c r="AD1390" t="s">
        <v>9232</v>
      </c>
      <c r="AE1390" t="s">
        <v>34533</v>
      </c>
      <c r="AF1390" t="s">
        <v>37533</v>
      </c>
      <c r="AG1390" t="s">
        <v>37531</v>
      </c>
    </row>
    <row r="1391" spans="1:33" x14ac:dyDescent="0.25">
      <c r="A1391" t="s">
        <v>34462</v>
      </c>
      <c r="B1391" t="s">
        <v>6907</v>
      </c>
      <c r="C1391" t="s">
        <v>6909</v>
      </c>
      <c r="D1391">
        <v>36.479999999999997</v>
      </c>
      <c r="E1391">
        <v>28.12</v>
      </c>
      <c r="F1391">
        <v>283935</v>
      </c>
      <c r="G1391">
        <v>436169</v>
      </c>
      <c r="H1391">
        <v>31.28</v>
      </c>
      <c r="I1391">
        <v>31.82</v>
      </c>
      <c r="J1391">
        <v>0</v>
      </c>
      <c r="K1391">
        <v>0.66</v>
      </c>
      <c r="L1391">
        <v>2</v>
      </c>
      <c r="M1391">
        <v>1</v>
      </c>
      <c r="N1391">
        <v>4.5</v>
      </c>
      <c r="O1391">
        <v>1</v>
      </c>
      <c r="P1391">
        <v>15</v>
      </c>
      <c r="Q1391">
        <v>9</v>
      </c>
      <c r="R1391">
        <v>30</v>
      </c>
      <c r="S1391" t="s">
        <v>37528</v>
      </c>
      <c r="U1391">
        <v>0.47399330000000001</v>
      </c>
      <c r="V1391">
        <v>6.14</v>
      </c>
      <c r="W1391">
        <v>6.2</v>
      </c>
      <c r="X1391" t="s">
        <v>6906</v>
      </c>
      <c r="Y1391" t="s">
        <v>6899</v>
      </c>
      <c r="Z1391" t="s">
        <v>6899</v>
      </c>
      <c r="AA1391" t="s">
        <v>6905</v>
      </c>
      <c r="AB1391" t="s">
        <v>37534</v>
      </c>
      <c r="AC1391" t="s">
        <v>34484</v>
      </c>
      <c r="AD1391" t="s">
        <v>9232</v>
      </c>
      <c r="AE1391" t="s">
        <v>14701</v>
      </c>
      <c r="AF1391" t="s">
        <v>37535</v>
      </c>
      <c r="AG1391" t="s">
        <v>37531</v>
      </c>
    </row>
    <row r="1392" spans="1:33" x14ac:dyDescent="0.25">
      <c r="A1392" t="s">
        <v>34462</v>
      </c>
      <c r="B1392" t="s">
        <v>6911</v>
      </c>
      <c r="C1392" t="s">
        <v>6913</v>
      </c>
      <c r="D1392">
        <v>24.36</v>
      </c>
      <c r="E1392">
        <v>24.36</v>
      </c>
      <c r="F1392">
        <v>473134</v>
      </c>
      <c r="G1392">
        <v>479966</v>
      </c>
      <c r="H1392">
        <v>26</v>
      </c>
      <c r="I1392">
        <v>27.61</v>
      </c>
      <c r="J1392">
        <v>0</v>
      </c>
      <c r="K1392">
        <v>0</v>
      </c>
      <c r="L1392">
        <v>1</v>
      </c>
      <c r="M1392">
        <v>1</v>
      </c>
      <c r="N1392">
        <v>4.5</v>
      </c>
      <c r="O1392">
        <v>1</v>
      </c>
      <c r="P1392">
        <v>15</v>
      </c>
      <c r="Q1392">
        <v>13</v>
      </c>
      <c r="R1392">
        <v>29</v>
      </c>
      <c r="S1392" t="s">
        <v>37528</v>
      </c>
      <c r="U1392">
        <v>0.44092399999999998</v>
      </c>
      <c r="V1392">
        <v>5.9</v>
      </c>
      <c r="W1392">
        <v>4.1399999999999997</v>
      </c>
      <c r="X1392" t="s">
        <v>6910</v>
      </c>
      <c r="Y1392" t="s">
        <v>6899</v>
      </c>
      <c r="Z1392" t="s">
        <v>6899</v>
      </c>
      <c r="AA1392" t="s">
        <v>6900</v>
      </c>
      <c r="AB1392" t="s">
        <v>37536</v>
      </c>
      <c r="AC1392" t="s">
        <v>34484</v>
      </c>
      <c r="AD1392" t="s">
        <v>9232</v>
      </c>
      <c r="AE1392" t="s">
        <v>14701</v>
      </c>
      <c r="AF1392" t="s">
        <v>37537</v>
      </c>
      <c r="AG1392" t="s">
        <v>37531</v>
      </c>
    </row>
    <row r="1393" spans="1:33" x14ac:dyDescent="0.25">
      <c r="A1393" t="s">
        <v>34462</v>
      </c>
      <c r="B1393" t="s">
        <v>6915</v>
      </c>
      <c r="C1393" t="s">
        <v>6917</v>
      </c>
      <c r="D1393">
        <v>37.25</v>
      </c>
      <c r="E1393">
        <v>29.99</v>
      </c>
      <c r="F1393">
        <v>283935</v>
      </c>
      <c r="G1393">
        <v>438666</v>
      </c>
      <c r="H1393">
        <v>33.549999999999997</v>
      </c>
      <c r="I1393">
        <v>33.11</v>
      </c>
      <c r="J1393">
        <v>0</v>
      </c>
      <c r="K1393">
        <v>0.24</v>
      </c>
      <c r="L1393">
        <v>2</v>
      </c>
      <c r="M1393">
        <v>2</v>
      </c>
      <c r="N1393">
        <v>4.5</v>
      </c>
      <c r="O1393">
        <v>0</v>
      </c>
      <c r="P1393">
        <v>15</v>
      </c>
      <c r="Q1393">
        <v>12</v>
      </c>
      <c r="R1393">
        <v>39</v>
      </c>
      <c r="S1393" t="s">
        <v>37528</v>
      </c>
      <c r="U1393">
        <v>0.4629702</v>
      </c>
      <c r="V1393">
        <v>5.12</v>
      </c>
      <c r="W1393">
        <v>6.33</v>
      </c>
      <c r="X1393" t="s">
        <v>6914</v>
      </c>
      <c r="Y1393" t="s">
        <v>6899</v>
      </c>
      <c r="Z1393" t="s">
        <v>6899</v>
      </c>
      <c r="AA1393" t="s">
        <v>6905</v>
      </c>
      <c r="AB1393" t="s">
        <v>37538</v>
      </c>
      <c r="AC1393" t="s">
        <v>34493</v>
      </c>
      <c r="AD1393" t="s">
        <v>9232</v>
      </c>
      <c r="AE1393" t="s">
        <v>34525</v>
      </c>
      <c r="AF1393" t="s">
        <v>37533</v>
      </c>
      <c r="AG1393" t="s">
        <v>37531</v>
      </c>
    </row>
    <row r="1394" spans="1:33" x14ac:dyDescent="0.25">
      <c r="A1394" t="s">
        <v>34462</v>
      </c>
      <c r="B1394" t="s">
        <v>6919</v>
      </c>
      <c r="C1394" t="s">
        <v>6921</v>
      </c>
      <c r="D1394">
        <v>42.41</v>
      </c>
      <c r="E1394">
        <v>42.41</v>
      </c>
      <c r="F1394">
        <v>700034</v>
      </c>
      <c r="G1394">
        <v>483693</v>
      </c>
      <c r="H1394">
        <v>22.5</v>
      </c>
      <c r="I1394">
        <v>26.57</v>
      </c>
      <c r="J1394">
        <v>0.75</v>
      </c>
      <c r="K1394">
        <v>0.81</v>
      </c>
      <c r="L1394">
        <v>1</v>
      </c>
      <c r="N1394">
        <v>4.5</v>
      </c>
      <c r="O1394">
        <v>0</v>
      </c>
      <c r="P1394">
        <v>15</v>
      </c>
      <c r="Q1394">
        <v>8</v>
      </c>
      <c r="R1394">
        <v>27</v>
      </c>
      <c r="S1394" t="s">
        <v>37528</v>
      </c>
      <c r="U1394">
        <v>0.4629702</v>
      </c>
      <c r="V1394">
        <v>5.12</v>
      </c>
      <c r="X1394" t="s">
        <v>6918</v>
      </c>
      <c r="Y1394" t="s">
        <v>6899</v>
      </c>
      <c r="Z1394" t="s">
        <v>6899</v>
      </c>
      <c r="AA1394" t="s">
        <v>6900</v>
      </c>
      <c r="AB1394" t="s">
        <v>37539</v>
      </c>
      <c r="AC1394" t="s">
        <v>34465</v>
      </c>
      <c r="AD1394" t="s">
        <v>9232</v>
      </c>
      <c r="AE1394" t="s">
        <v>34525</v>
      </c>
      <c r="AF1394" t="s">
        <v>37537</v>
      </c>
      <c r="AG1394" t="s">
        <v>37531</v>
      </c>
    </row>
    <row r="1395" spans="1:33" x14ac:dyDescent="0.25">
      <c r="A1395" t="s">
        <v>34462</v>
      </c>
      <c r="B1395" t="s">
        <v>6923</v>
      </c>
      <c r="C1395" t="s">
        <v>6926</v>
      </c>
      <c r="D1395">
        <v>42</v>
      </c>
      <c r="E1395">
        <v>42</v>
      </c>
      <c r="F1395">
        <v>126330</v>
      </c>
      <c r="G1395">
        <v>157689</v>
      </c>
      <c r="H1395">
        <v>39.840000000000003</v>
      </c>
      <c r="I1395">
        <v>43.67</v>
      </c>
      <c r="J1395">
        <v>0.05</v>
      </c>
      <c r="K1395">
        <v>1</v>
      </c>
      <c r="L1395">
        <v>1</v>
      </c>
      <c r="M1395">
        <v>1</v>
      </c>
      <c r="N1395">
        <v>4.5999999999999996</v>
      </c>
      <c r="O1395">
        <v>1</v>
      </c>
      <c r="P1395">
        <v>377</v>
      </c>
      <c r="Q1395">
        <v>25</v>
      </c>
      <c r="R1395">
        <v>55</v>
      </c>
      <c r="S1395" t="s">
        <v>37540</v>
      </c>
      <c r="U1395">
        <v>0.70988764000000004</v>
      </c>
      <c r="V1395">
        <v>5.37</v>
      </c>
      <c r="W1395">
        <v>6.3</v>
      </c>
      <c r="X1395" t="s">
        <v>6922</v>
      </c>
      <c r="Y1395" t="s">
        <v>37541</v>
      </c>
      <c r="Z1395" t="s">
        <v>6927</v>
      </c>
      <c r="AA1395" t="s">
        <v>6928</v>
      </c>
      <c r="AB1395" t="s">
        <v>37542</v>
      </c>
      <c r="AC1395" t="s">
        <v>34465</v>
      </c>
      <c r="AD1395" t="s">
        <v>24627</v>
      </c>
      <c r="AE1395" t="s">
        <v>34521</v>
      </c>
      <c r="AF1395" t="s">
        <v>37543</v>
      </c>
      <c r="AG1395" t="s">
        <v>37544</v>
      </c>
    </row>
    <row r="1396" spans="1:33" x14ac:dyDescent="0.25">
      <c r="A1396" t="s">
        <v>34462</v>
      </c>
      <c r="B1396" t="s">
        <v>6930</v>
      </c>
      <c r="C1396" t="s">
        <v>6933</v>
      </c>
      <c r="D1396">
        <v>37.1</v>
      </c>
      <c r="E1396">
        <v>29.15</v>
      </c>
      <c r="F1396">
        <v>860519</v>
      </c>
      <c r="G1396">
        <v>1586270</v>
      </c>
      <c r="H1396">
        <v>48.04</v>
      </c>
      <c r="I1396">
        <v>48.31</v>
      </c>
      <c r="J1396">
        <v>0</v>
      </c>
      <c r="K1396">
        <v>0</v>
      </c>
      <c r="L1396">
        <v>5</v>
      </c>
      <c r="M1396">
        <v>5</v>
      </c>
      <c r="O1396">
        <v>0</v>
      </c>
      <c r="Q1396">
        <v>4</v>
      </c>
      <c r="R1396">
        <v>7</v>
      </c>
      <c r="S1396" t="s">
        <v>37545</v>
      </c>
      <c r="U1396">
        <v>0.87082490000000001</v>
      </c>
      <c r="V1396">
        <v>7.08</v>
      </c>
      <c r="W1396">
        <v>6.31</v>
      </c>
      <c r="X1396" t="s">
        <v>6929</v>
      </c>
      <c r="Y1396" t="s">
        <v>6934</v>
      </c>
      <c r="Z1396" t="s">
        <v>6934</v>
      </c>
      <c r="AA1396" t="s">
        <v>6935</v>
      </c>
      <c r="AB1396" t="s">
        <v>37546</v>
      </c>
      <c r="AC1396" t="s">
        <v>34493</v>
      </c>
      <c r="AD1396" t="s">
        <v>8078</v>
      </c>
      <c r="AE1396" t="s">
        <v>8427</v>
      </c>
      <c r="AF1396" t="s">
        <v>37547</v>
      </c>
      <c r="AG1396" t="s">
        <v>37548</v>
      </c>
    </row>
    <row r="1397" spans="1:33" x14ac:dyDescent="0.25">
      <c r="A1397" t="s">
        <v>34462</v>
      </c>
      <c r="B1397" t="s">
        <v>6937</v>
      </c>
      <c r="C1397" t="s">
        <v>6939</v>
      </c>
      <c r="D1397">
        <v>19.5</v>
      </c>
      <c r="E1397">
        <v>19.5</v>
      </c>
      <c r="F1397">
        <v>743804</v>
      </c>
      <c r="G1397">
        <v>1567486</v>
      </c>
      <c r="H1397">
        <v>38.4</v>
      </c>
      <c r="I1397">
        <v>42.61</v>
      </c>
      <c r="J1397">
        <v>0</v>
      </c>
      <c r="K1397">
        <v>0</v>
      </c>
      <c r="L1397">
        <v>5</v>
      </c>
      <c r="M1397">
        <v>4</v>
      </c>
      <c r="O1397">
        <v>0</v>
      </c>
      <c r="Q1397">
        <v>5</v>
      </c>
      <c r="R1397">
        <v>8</v>
      </c>
      <c r="S1397" t="s">
        <v>37545</v>
      </c>
      <c r="U1397">
        <v>0.84216484000000003</v>
      </c>
      <c r="V1397">
        <v>6.14</v>
      </c>
      <c r="W1397">
        <v>1.95</v>
      </c>
      <c r="X1397" t="s">
        <v>6936</v>
      </c>
      <c r="Y1397" t="s">
        <v>6934</v>
      </c>
      <c r="Z1397" t="s">
        <v>6934</v>
      </c>
      <c r="AA1397" t="s">
        <v>1859</v>
      </c>
      <c r="AB1397" t="s">
        <v>37549</v>
      </c>
      <c r="AC1397" t="s">
        <v>34493</v>
      </c>
      <c r="AD1397" t="s">
        <v>8078</v>
      </c>
      <c r="AE1397" t="s">
        <v>8427</v>
      </c>
      <c r="AF1397" t="s">
        <v>37550</v>
      </c>
      <c r="AG1397" t="s">
        <v>37548</v>
      </c>
    </row>
    <row r="1398" spans="1:33" x14ac:dyDescent="0.25">
      <c r="A1398" t="s">
        <v>34462</v>
      </c>
      <c r="B1398" t="s">
        <v>6941</v>
      </c>
      <c r="C1398" t="s">
        <v>6943</v>
      </c>
      <c r="D1398">
        <v>38.97</v>
      </c>
      <c r="E1398">
        <v>38.97</v>
      </c>
      <c r="F1398">
        <v>826304</v>
      </c>
      <c r="G1398">
        <v>1596965</v>
      </c>
      <c r="H1398">
        <v>48</v>
      </c>
      <c r="I1398">
        <v>47.5</v>
      </c>
      <c r="J1398">
        <v>0</v>
      </c>
      <c r="K1398">
        <v>0</v>
      </c>
      <c r="L1398">
        <v>5</v>
      </c>
      <c r="M1398">
        <v>4</v>
      </c>
      <c r="N1398">
        <v>5</v>
      </c>
      <c r="O1398">
        <v>1</v>
      </c>
      <c r="P1398">
        <v>1</v>
      </c>
      <c r="Q1398">
        <v>6</v>
      </c>
      <c r="R1398">
        <v>10</v>
      </c>
      <c r="S1398" t="s">
        <v>37545</v>
      </c>
      <c r="U1398">
        <v>0.70547840000000006</v>
      </c>
      <c r="V1398">
        <v>6.81</v>
      </c>
      <c r="W1398">
        <v>6.62</v>
      </c>
      <c r="X1398" t="s">
        <v>6940</v>
      </c>
      <c r="Y1398" t="s">
        <v>6934</v>
      </c>
      <c r="Z1398" t="s">
        <v>6934</v>
      </c>
      <c r="AA1398" t="s">
        <v>6935</v>
      </c>
      <c r="AB1398" t="s">
        <v>37551</v>
      </c>
      <c r="AC1398" t="s">
        <v>34493</v>
      </c>
      <c r="AD1398" t="s">
        <v>8078</v>
      </c>
      <c r="AE1398" t="s">
        <v>8439</v>
      </c>
      <c r="AF1398" t="s">
        <v>37547</v>
      </c>
      <c r="AG1398" t="s">
        <v>37548</v>
      </c>
    </row>
    <row r="1399" spans="1:33" x14ac:dyDescent="0.25">
      <c r="A1399" t="s">
        <v>34462</v>
      </c>
      <c r="B1399" t="s">
        <v>6945</v>
      </c>
      <c r="C1399" t="s">
        <v>6947</v>
      </c>
      <c r="D1399">
        <v>19.5</v>
      </c>
      <c r="E1399">
        <v>19.5</v>
      </c>
      <c r="F1399">
        <v>826304</v>
      </c>
      <c r="G1399">
        <v>1597489</v>
      </c>
      <c r="H1399">
        <v>38.869999999999997</v>
      </c>
      <c r="I1399">
        <v>42.44</v>
      </c>
      <c r="J1399">
        <v>0</v>
      </c>
      <c r="K1399">
        <v>0</v>
      </c>
      <c r="L1399">
        <v>4</v>
      </c>
      <c r="M1399">
        <v>4</v>
      </c>
      <c r="O1399">
        <v>0</v>
      </c>
      <c r="Q1399">
        <v>5</v>
      </c>
      <c r="R1399">
        <v>8</v>
      </c>
      <c r="S1399" t="s">
        <v>37545</v>
      </c>
      <c r="U1399">
        <v>0.70547840000000006</v>
      </c>
      <c r="V1399">
        <v>6.6</v>
      </c>
      <c r="W1399">
        <v>1.95</v>
      </c>
      <c r="X1399" t="s">
        <v>6944</v>
      </c>
      <c r="Y1399" t="s">
        <v>6934</v>
      </c>
      <c r="Z1399" t="s">
        <v>6934</v>
      </c>
      <c r="AA1399" t="s">
        <v>1859</v>
      </c>
      <c r="AB1399" t="s">
        <v>37552</v>
      </c>
      <c r="AC1399" t="s">
        <v>34493</v>
      </c>
      <c r="AD1399" t="s">
        <v>8078</v>
      </c>
      <c r="AE1399" t="s">
        <v>8439</v>
      </c>
      <c r="AF1399" t="s">
        <v>37550</v>
      </c>
      <c r="AG1399" t="s">
        <v>37548</v>
      </c>
    </row>
    <row r="1400" spans="1:33" x14ac:dyDescent="0.25">
      <c r="A1400" t="s">
        <v>34462</v>
      </c>
      <c r="B1400" t="s">
        <v>6949</v>
      </c>
      <c r="C1400" t="s">
        <v>6951</v>
      </c>
      <c r="D1400">
        <v>19.5</v>
      </c>
      <c r="E1400">
        <v>19.5</v>
      </c>
      <c r="F1400">
        <v>546812</v>
      </c>
      <c r="G1400">
        <v>1624587</v>
      </c>
      <c r="H1400">
        <v>41.19</v>
      </c>
      <c r="I1400">
        <v>43.31</v>
      </c>
      <c r="J1400">
        <v>0</v>
      </c>
      <c r="K1400">
        <v>0</v>
      </c>
      <c r="L1400">
        <v>4</v>
      </c>
      <c r="M1400">
        <v>4</v>
      </c>
      <c r="N1400">
        <v>5</v>
      </c>
      <c r="O1400">
        <v>1</v>
      </c>
      <c r="P1400">
        <v>1</v>
      </c>
      <c r="Q1400">
        <v>5</v>
      </c>
      <c r="R1400">
        <v>9</v>
      </c>
      <c r="S1400" t="s">
        <v>37545</v>
      </c>
      <c r="U1400">
        <v>0.83775560000000004</v>
      </c>
      <c r="V1400">
        <v>6.6</v>
      </c>
      <c r="W1400">
        <v>1.95</v>
      </c>
      <c r="X1400" t="s">
        <v>6948</v>
      </c>
      <c r="Y1400" t="s">
        <v>6934</v>
      </c>
      <c r="Z1400" t="s">
        <v>6934</v>
      </c>
      <c r="AA1400" t="s">
        <v>1859</v>
      </c>
      <c r="AB1400" t="s">
        <v>37553</v>
      </c>
      <c r="AC1400" t="s">
        <v>34484</v>
      </c>
      <c r="AD1400" t="s">
        <v>8078</v>
      </c>
      <c r="AE1400" t="s">
        <v>8451</v>
      </c>
      <c r="AF1400" t="s">
        <v>37554</v>
      </c>
      <c r="AG1400" t="s">
        <v>37548</v>
      </c>
    </row>
    <row r="1401" spans="1:33" x14ac:dyDescent="0.25">
      <c r="A1401" t="s">
        <v>34462</v>
      </c>
      <c r="B1401" t="s">
        <v>6953</v>
      </c>
      <c r="C1401" t="s">
        <v>6955</v>
      </c>
      <c r="D1401">
        <v>38.97</v>
      </c>
      <c r="E1401">
        <v>31.94</v>
      </c>
      <c r="F1401">
        <v>743804</v>
      </c>
      <c r="G1401">
        <v>1593538</v>
      </c>
      <c r="H1401">
        <v>48.4</v>
      </c>
      <c r="I1401">
        <v>48.68</v>
      </c>
      <c r="J1401">
        <v>0</v>
      </c>
      <c r="K1401">
        <v>0</v>
      </c>
      <c r="L1401">
        <v>6</v>
      </c>
      <c r="M1401">
        <v>6</v>
      </c>
      <c r="O1401">
        <v>0</v>
      </c>
      <c r="Q1401">
        <v>6</v>
      </c>
      <c r="R1401">
        <v>9</v>
      </c>
      <c r="S1401" t="s">
        <v>37545</v>
      </c>
      <c r="U1401">
        <v>1.0141252000000001</v>
      </c>
      <c r="V1401">
        <v>6.6</v>
      </c>
      <c r="W1401">
        <v>6.62</v>
      </c>
      <c r="X1401" t="s">
        <v>6952</v>
      </c>
      <c r="Y1401" t="s">
        <v>6934</v>
      </c>
      <c r="Z1401" t="s">
        <v>6934</v>
      </c>
      <c r="AA1401" t="s">
        <v>6935</v>
      </c>
      <c r="AB1401" t="s">
        <v>37555</v>
      </c>
      <c r="AC1401" t="s">
        <v>34493</v>
      </c>
      <c r="AD1401" t="s">
        <v>8078</v>
      </c>
      <c r="AE1401" t="s">
        <v>8451</v>
      </c>
      <c r="AF1401" t="s">
        <v>37547</v>
      </c>
      <c r="AG1401" t="s">
        <v>37548</v>
      </c>
    </row>
    <row r="1402" spans="1:33" x14ac:dyDescent="0.25">
      <c r="A1402" t="s">
        <v>34462</v>
      </c>
      <c r="B1402" t="s">
        <v>6957</v>
      </c>
      <c r="C1402" t="s">
        <v>6960</v>
      </c>
      <c r="D1402">
        <v>9.43</v>
      </c>
      <c r="E1402">
        <v>9.43</v>
      </c>
      <c r="F1402">
        <v>4388103</v>
      </c>
      <c r="G1402">
        <v>291747</v>
      </c>
      <c r="H1402">
        <v>14.27</v>
      </c>
      <c r="I1402">
        <v>17.43</v>
      </c>
      <c r="J1402">
        <v>0</v>
      </c>
      <c r="K1402">
        <v>0</v>
      </c>
      <c r="L1402">
        <v>1</v>
      </c>
      <c r="M1402">
        <v>1</v>
      </c>
      <c r="N1402">
        <v>4.5999999999999996</v>
      </c>
      <c r="O1402">
        <v>1</v>
      </c>
      <c r="P1402">
        <v>417</v>
      </c>
      <c r="Q1402">
        <v>3</v>
      </c>
      <c r="R1402">
        <v>27</v>
      </c>
      <c r="U1402">
        <v>0.28660059999999998</v>
      </c>
      <c r="V1402">
        <v>4.6100000000000003</v>
      </c>
      <c r="W1402">
        <v>0.47</v>
      </c>
      <c r="X1402" t="s">
        <v>6956</v>
      </c>
      <c r="Y1402" t="s">
        <v>6961</v>
      </c>
      <c r="Z1402" t="s">
        <v>6961</v>
      </c>
      <c r="AA1402" t="s">
        <v>6962</v>
      </c>
      <c r="AB1402" t="s">
        <v>37556</v>
      </c>
      <c r="AC1402" t="s">
        <v>34493</v>
      </c>
      <c r="AD1402" t="s">
        <v>36414</v>
      </c>
      <c r="AE1402" t="s">
        <v>34826</v>
      </c>
      <c r="AF1402" t="s">
        <v>37557</v>
      </c>
      <c r="AG1402" t="s">
        <v>37558</v>
      </c>
    </row>
    <row r="1403" spans="1:33" x14ac:dyDescent="0.25">
      <c r="A1403" t="s">
        <v>34462</v>
      </c>
      <c r="B1403" t="s">
        <v>6964</v>
      </c>
      <c r="C1403" t="s">
        <v>6966</v>
      </c>
      <c r="D1403">
        <v>9.43</v>
      </c>
      <c r="E1403">
        <v>9.43</v>
      </c>
      <c r="F1403">
        <v>1892129</v>
      </c>
      <c r="G1403">
        <v>343185</v>
      </c>
      <c r="H1403">
        <v>14.61</v>
      </c>
      <c r="I1403">
        <v>17.920000000000002</v>
      </c>
      <c r="J1403">
        <v>0</v>
      </c>
      <c r="K1403">
        <v>0</v>
      </c>
      <c r="L1403">
        <v>1</v>
      </c>
      <c r="M1403">
        <v>1</v>
      </c>
      <c r="N1403">
        <v>4.5999999999999996</v>
      </c>
      <c r="O1403">
        <v>0</v>
      </c>
      <c r="P1403">
        <v>432</v>
      </c>
      <c r="Q1403">
        <v>2</v>
      </c>
      <c r="R1403">
        <v>19</v>
      </c>
      <c r="U1403">
        <v>0.22046199999999999</v>
      </c>
      <c r="V1403">
        <v>3.84</v>
      </c>
      <c r="W1403">
        <v>0.47</v>
      </c>
      <c r="X1403" t="s">
        <v>6963</v>
      </c>
      <c r="Y1403" t="s">
        <v>6961</v>
      </c>
      <c r="Z1403" t="s">
        <v>6961</v>
      </c>
      <c r="AA1403" t="s">
        <v>6962</v>
      </c>
      <c r="AB1403" t="s">
        <v>37559</v>
      </c>
      <c r="AC1403" t="s">
        <v>34493</v>
      </c>
      <c r="AD1403" t="s">
        <v>36414</v>
      </c>
      <c r="AE1403" t="s">
        <v>34510</v>
      </c>
      <c r="AF1403" t="s">
        <v>37560</v>
      </c>
      <c r="AG1403" t="s">
        <v>37558</v>
      </c>
    </row>
    <row r="1404" spans="1:33" x14ac:dyDescent="0.25">
      <c r="A1404" t="s">
        <v>34462</v>
      </c>
      <c r="B1404" t="s">
        <v>6968</v>
      </c>
      <c r="C1404" t="s">
        <v>6970</v>
      </c>
      <c r="D1404">
        <v>9.43</v>
      </c>
      <c r="E1404">
        <v>9.43</v>
      </c>
      <c r="F1404">
        <v>730419</v>
      </c>
      <c r="G1404">
        <v>337111</v>
      </c>
      <c r="H1404">
        <v>14.29</v>
      </c>
      <c r="I1404">
        <v>18.04</v>
      </c>
      <c r="J1404">
        <v>0</v>
      </c>
      <c r="K1404">
        <v>0</v>
      </c>
      <c r="L1404">
        <v>1</v>
      </c>
      <c r="M1404">
        <v>1</v>
      </c>
      <c r="N1404">
        <v>4.5999999999999996</v>
      </c>
      <c r="O1404">
        <v>0</v>
      </c>
      <c r="P1404">
        <v>423</v>
      </c>
      <c r="Q1404">
        <v>3</v>
      </c>
      <c r="R1404">
        <v>28</v>
      </c>
      <c r="U1404">
        <v>0.28660059999999998</v>
      </c>
      <c r="V1404">
        <v>4.6100000000000003</v>
      </c>
      <c r="W1404">
        <v>0.47</v>
      </c>
      <c r="X1404" t="s">
        <v>6967</v>
      </c>
      <c r="Y1404" t="s">
        <v>6961</v>
      </c>
      <c r="Z1404" t="s">
        <v>6961</v>
      </c>
      <c r="AA1404" t="s">
        <v>6962</v>
      </c>
      <c r="AB1404" t="s">
        <v>37561</v>
      </c>
      <c r="AC1404" t="s">
        <v>34493</v>
      </c>
      <c r="AD1404" t="s">
        <v>36414</v>
      </c>
      <c r="AE1404" t="s">
        <v>34506</v>
      </c>
      <c r="AF1404" t="s">
        <v>37560</v>
      </c>
      <c r="AG1404" t="s">
        <v>37558</v>
      </c>
    </row>
    <row r="1405" spans="1:33" x14ac:dyDescent="0.25">
      <c r="A1405" t="s">
        <v>34462</v>
      </c>
      <c r="B1405" t="s">
        <v>6972</v>
      </c>
      <c r="C1405" t="s">
        <v>6974</v>
      </c>
      <c r="D1405">
        <v>9.43</v>
      </c>
      <c r="E1405">
        <v>9.43</v>
      </c>
      <c r="F1405">
        <v>27956</v>
      </c>
      <c r="G1405">
        <v>331658</v>
      </c>
      <c r="H1405">
        <v>14.58</v>
      </c>
      <c r="I1405">
        <v>18.63</v>
      </c>
      <c r="J1405">
        <v>0</v>
      </c>
      <c r="K1405">
        <v>0</v>
      </c>
      <c r="L1405">
        <v>1</v>
      </c>
      <c r="M1405">
        <v>1</v>
      </c>
      <c r="N1405">
        <v>4.5999999999999996</v>
      </c>
      <c r="O1405">
        <v>0</v>
      </c>
      <c r="P1405">
        <v>417</v>
      </c>
      <c r="Q1405">
        <v>2</v>
      </c>
      <c r="R1405">
        <v>20</v>
      </c>
      <c r="U1405">
        <v>0.24250820000000001</v>
      </c>
      <c r="V1405">
        <v>3.84</v>
      </c>
      <c r="W1405">
        <v>0.47</v>
      </c>
      <c r="X1405" t="s">
        <v>6971</v>
      </c>
      <c r="Y1405" t="s">
        <v>6961</v>
      </c>
      <c r="Z1405" t="s">
        <v>6961</v>
      </c>
      <c r="AA1405" t="s">
        <v>6962</v>
      </c>
      <c r="AB1405" t="s">
        <v>37562</v>
      </c>
      <c r="AC1405" t="s">
        <v>34493</v>
      </c>
      <c r="AD1405" t="s">
        <v>36414</v>
      </c>
      <c r="AE1405" t="s">
        <v>34512</v>
      </c>
      <c r="AF1405" t="s">
        <v>37560</v>
      </c>
      <c r="AG1405" t="s">
        <v>37558</v>
      </c>
    </row>
    <row r="1406" spans="1:33" x14ac:dyDescent="0.25">
      <c r="A1406" t="s">
        <v>34462</v>
      </c>
      <c r="B1406" t="s">
        <v>6976</v>
      </c>
      <c r="C1406" t="s">
        <v>6978</v>
      </c>
      <c r="D1406">
        <v>9.43</v>
      </c>
      <c r="E1406">
        <v>9.43</v>
      </c>
      <c r="F1406">
        <v>1045862</v>
      </c>
      <c r="G1406">
        <v>418028</v>
      </c>
      <c r="H1406">
        <v>14.27</v>
      </c>
      <c r="I1406">
        <v>17.670000000000002</v>
      </c>
      <c r="J1406">
        <v>0</v>
      </c>
      <c r="K1406">
        <v>0</v>
      </c>
      <c r="L1406">
        <v>1</v>
      </c>
      <c r="M1406">
        <v>1</v>
      </c>
      <c r="O1406">
        <v>0</v>
      </c>
      <c r="Q1406">
        <v>2</v>
      </c>
      <c r="R1406">
        <v>31</v>
      </c>
      <c r="U1406">
        <v>0.28660059999999998</v>
      </c>
      <c r="V1406">
        <v>3.84</v>
      </c>
      <c r="W1406">
        <v>0.47</v>
      </c>
      <c r="X1406" t="s">
        <v>6975</v>
      </c>
      <c r="Y1406" t="s">
        <v>6961</v>
      </c>
      <c r="Z1406" t="s">
        <v>6961</v>
      </c>
      <c r="AA1406" t="s">
        <v>6962</v>
      </c>
      <c r="AB1406" t="s">
        <v>37563</v>
      </c>
      <c r="AC1406" t="s">
        <v>34493</v>
      </c>
      <c r="AD1406" t="s">
        <v>36414</v>
      </c>
      <c r="AE1406" t="s">
        <v>34832</v>
      </c>
      <c r="AF1406" t="s">
        <v>37560</v>
      </c>
      <c r="AG1406" t="s">
        <v>37558</v>
      </c>
    </row>
    <row r="1407" spans="1:33" x14ac:dyDescent="0.25">
      <c r="A1407" t="s">
        <v>34462</v>
      </c>
      <c r="B1407" t="s">
        <v>6980</v>
      </c>
      <c r="C1407" t="s">
        <v>6982</v>
      </c>
      <c r="D1407">
        <v>9.43</v>
      </c>
      <c r="E1407">
        <v>9.43</v>
      </c>
      <c r="F1407">
        <v>912805</v>
      </c>
      <c r="G1407">
        <v>311373</v>
      </c>
      <c r="H1407">
        <v>14.38</v>
      </c>
      <c r="I1407">
        <v>17.739999999999998</v>
      </c>
      <c r="J1407">
        <v>0</v>
      </c>
      <c r="K1407">
        <v>0</v>
      </c>
      <c r="L1407">
        <v>1</v>
      </c>
      <c r="M1407">
        <v>1</v>
      </c>
      <c r="N1407">
        <v>4.5999999999999996</v>
      </c>
      <c r="O1407">
        <v>1</v>
      </c>
      <c r="P1407">
        <v>423</v>
      </c>
      <c r="Q1407">
        <v>3</v>
      </c>
      <c r="R1407">
        <v>35</v>
      </c>
      <c r="U1407">
        <v>0.28660059999999998</v>
      </c>
      <c r="V1407">
        <v>4.28</v>
      </c>
      <c r="W1407">
        <v>0.47</v>
      </c>
      <c r="X1407" t="s">
        <v>6979</v>
      </c>
      <c r="Y1407" t="s">
        <v>6961</v>
      </c>
      <c r="Z1407" t="s">
        <v>6961</v>
      </c>
      <c r="AA1407" t="s">
        <v>6962</v>
      </c>
      <c r="AB1407" t="s">
        <v>37564</v>
      </c>
      <c r="AC1407" t="s">
        <v>34493</v>
      </c>
      <c r="AD1407" t="s">
        <v>36414</v>
      </c>
      <c r="AE1407" t="s">
        <v>34835</v>
      </c>
      <c r="AF1407" t="s">
        <v>37560</v>
      </c>
      <c r="AG1407" t="s">
        <v>37558</v>
      </c>
    </row>
    <row r="1408" spans="1:33" x14ac:dyDescent="0.25">
      <c r="A1408" t="s">
        <v>34462</v>
      </c>
      <c r="B1408" t="s">
        <v>6984</v>
      </c>
      <c r="C1408" t="s">
        <v>6986</v>
      </c>
      <c r="D1408">
        <v>9.43</v>
      </c>
      <c r="E1408">
        <v>9.43</v>
      </c>
      <c r="F1408">
        <v>867320</v>
      </c>
      <c r="G1408">
        <v>365469</v>
      </c>
      <c r="H1408">
        <v>14.37</v>
      </c>
      <c r="I1408">
        <v>17.760000000000002</v>
      </c>
      <c r="J1408">
        <v>0</v>
      </c>
      <c r="K1408">
        <v>0</v>
      </c>
      <c r="L1408">
        <v>1</v>
      </c>
      <c r="M1408">
        <v>1</v>
      </c>
      <c r="N1408">
        <v>4.5999999999999996</v>
      </c>
      <c r="O1408">
        <v>1</v>
      </c>
      <c r="P1408">
        <v>432</v>
      </c>
      <c r="Q1408">
        <v>2</v>
      </c>
      <c r="R1408">
        <v>18</v>
      </c>
      <c r="U1408">
        <v>0.31966990000000001</v>
      </c>
      <c r="V1408">
        <v>4.6100000000000003</v>
      </c>
      <c r="W1408">
        <v>0.47</v>
      </c>
      <c r="X1408" t="s">
        <v>6983</v>
      </c>
      <c r="Y1408" t="s">
        <v>6961</v>
      </c>
      <c r="Z1408" t="s">
        <v>6961</v>
      </c>
      <c r="AA1408" t="s">
        <v>6962</v>
      </c>
      <c r="AB1408" t="s">
        <v>37565</v>
      </c>
      <c r="AC1408" t="s">
        <v>34493</v>
      </c>
      <c r="AD1408" t="s">
        <v>36414</v>
      </c>
      <c r="AE1408" t="s">
        <v>36383</v>
      </c>
      <c r="AF1408" t="s">
        <v>37560</v>
      </c>
      <c r="AG1408" t="s">
        <v>37558</v>
      </c>
    </row>
    <row r="1409" spans="1:33" x14ac:dyDescent="0.25">
      <c r="A1409" t="s">
        <v>34462</v>
      </c>
      <c r="B1409" t="s">
        <v>6988</v>
      </c>
      <c r="C1409" t="s">
        <v>6991</v>
      </c>
      <c r="D1409">
        <v>63.58</v>
      </c>
      <c r="E1409">
        <v>63.58</v>
      </c>
      <c r="F1409">
        <v>588617</v>
      </c>
      <c r="G1409">
        <v>2106475</v>
      </c>
      <c r="H1409">
        <v>74.8</v>
      </c>
      <c r="I1409">
        <v>74.900000000000006</v>
      </c>
      <c r="J1409">
        <v>0</v>
      </c>
      <c r="K1409">
        <v>1</v>
      </c>
      <c r="L1409">
        <v>4</v>
      </c>
      <c r="M1409">
        <v>3</v>
      </c>
      <c r="O1409">
        <v>0</v>
      </c>
      <c r="Q1409">
        <v>7</v>
      </c>
      <c r="R1409">
        <v>13</v>
      </c>
      <c r="S1409" t="s">
        <v>37566</v>
      </c>
      <c r="U1409">
        <v>0.35053457999999998</v>
      </c>
      <c r="V1409">
        <v>3.42</v>
      </c>
      <c r="X1409" t="s">
        <v>6987</v>
      </c>
      <c r="Y1409" t="s">
        <v>37567</v>
      </c>
      <c r="Z1409" t="s">
        <v>6992</v>
      </c>
      <c r="AA1409" t="s">
        <v>6857</v>
      </c>
      <c r="AB1409" t="s">
        <v>37568</v>
      </c>
      <c r="AC1409" t="s">
        <v>34465</v>
      </c>
      <c r="AD1409" t="s">
        <v>36639</v>
      </c>
      <c r="AE1409" t="s">
        <v>34533</v>
      </c>
      <c r="AF1409" t="s">
        <v>37569</v>
      </c>
      <c r="AG1409" t="s">
        <v>37570</v>
      </c>
    </row>
    <row r="1410" spans="1:33" x14ac:dyDescent="0.25">
      <c r="A1410" t="s">
        <v>34462</v>
      </c>
      <c r="B1410" t="s">
        <v>6994</v>
      </c>
      <c r="C1410" t="s">
        <v>6996</v>
      </c>
      <c r="D1410">
        <v>74.989999999999995</v>
      </c>
      <c r="E1410">
        <v>63.58</v>
      </c>
      <c r="H1410">
        <v>74.989999999999995</v>
      </c>
      <c r="I1410">
        <v>74.989999999999995</v>
      </c>
      <c r="J1410">
        <v>0</v>
      </c>
      <c r="K1410">
        <v>1</v>
      </c>
      <c r="L1410">
        <v>4</v>
      </c>
      <c r="M1410">
        <v>4</v>
      </c>
      <c r="Q1410">
        <v>0</v>
      </c>
      <c r="R1410">
        <v>0</v>
      </c>
      <c r="V1410">
        <v>3.58</v>
      </c>
      <c r="X1410" t="s">
        <v>6993</v>
      </c>
      <c r="Y1410" t="s">
        <v>37571</v>
      </c>
      <c r="AA1410" t="s">
        <v>6851</v>
      </c>
      <c r="AB1410" t="s">
        <v>37572</v>
      </c>
      <c r="AC1410" t="s">
        <v>34465</v>
      </c>
      <c r="AD1410" t="s">
        <v>36639</v>
      </c>
      <c r="AE1410" t="s">
        <v>34533</v>
      </c>
      <c r="AF1410" t="s">
        <v>37573</v>
      </c>
      <c r="AG1410" t="s">
        <v>37570</v>
      </c>
    </row>
    <row r="1411" spans="1:33" x14ac:dyDescent="0.25">
      <c r="A1411" t="s">
        <v>34462</v>
      </c>
      <c r="B1411" t="s">
        <v>6998</v>
      </c>
      <c r="C1411" t="s">
        <v>7000</v>
      </c>
      <c r="D1411">
        <v>69.05</v>
      </c>
      <c r="E1411">
        <v>69.05</v>
      </c>
      <c r="F1411">
        <v>13774998</v>
      </c>
      <c r="G1411">
        <v>13187199</v>
      </c>
      <c r="H1411">
        <v>74.989999999999995</v>
      </c>
      <c r="I1411">
        <v>74.989999999999995</v>
      </c>
      <c r="J1411">
        <v>0</v>
      </c>
      <c r="K1411">
        <v>1</v>
      </c>
      <c r="L1411">
        <v>4</v>
      </c>
      <c r="M1411">
        <v>3</v>
      </c>
      <c r="Q1411">
        <v>0</v>
      </c>
      <c r="R1411">
        <v>0</v>
      </c>
      <c r="U1411">
        <v>0.35053457999999998</v>
      </c>
      <c r="V1411">
        <v>3.42</v>
      </c>
      <c r="W1411">
        <v>11.74</v>
      </c>
      <c r="X1411" t="s">
        <v>6997</v>
      </c>
      <c r="Y1411" t="s">
        <v>37574</v>
      </c>
      <c r="Z1411" t="s">
        <v>7001</v>
      </c>
      <c r="AA1411" t="s">
        <v>76</v>
      </c>
      <c r="AB1411" t="s">
        <v>37575</v>
      </c>
      <c r="AC1411" t="s">
        <v>34465</v>
      </c>
      <c r="AD1411" t="s">
        <v>36639</v>
      </c>
      <c r="AE1411" t="s">
        <v>34533</v>
      </c>
      <c r="AF1411" t="s">
        <v>37576</v>
      </c>
      <c r="AG1411" t="s">
        <v>37570</v>
      </c>
    </row>
    <row r="1412" spans="1:33" x14ac:dyDescent="0.25">
      <c r="A1412" t="s">
        <v>34462</v>
      </c>
      <c r="B1412" t="s">
        <v>7003</v>
      </c>
      <c r="C1412" t="s">
        <v>7005</v>
      </c>
      <c r="D1412">
        <v>74.95</v>
      </c>
      <c r="E1412">
        <v>63.58</v>
      </c>
      <c r="F1412">
        <v>6281581</v>
      </c>
      <c r="G1412">
        <v>5909443</v>
      </c>
      <c r="H1412">
        <v>74.95</v>
      </c>
      <c r="I1412">
        <v>74.97</v>
      </c>
      <c r="J1412">
        <v>0</v>
      </c>
      <c r="K1412">
        <v>1</v>
      </c>
      <c r="L1412">
        <v>4</v>
      </c>
      <c r="M1412">
        <v>5</v>
      </c>
      <c r="O1412">
        <v>0</v>
      </c>
      <c r="Q1412">
        <v>0</v>
      </c>
      <c r="R1412">
        <v>0</v>
      </c>
      <c r="U1412">
        <v>0.35053457999999998</v>
      </c>
      <c r="V1412">
        <v>3.42</v>
      </c>
      <c r="W1412">
        <v>12.74</v>
      </c>
      <c r="X1412" t="s">
        <v>7002</v>
      </c>
      <c r="Y1412" t="s">
        <v>37577</v>
      </c>
      <c r="Z1412" t="s">
        <v>7006</v>
      </c>
      <c r="AA1412" t="s">
        <v>6851</v>
      </c>
      <c r="AB1412" t="s">
        <v>37578</v>
      </c>
      <c r="AC1412" t="s">
        <v>34465</v>
      </c>
      <c r="AD1412" t="s">
        <v>36639</v>
      </c>
      <c r="AE1412" t="s">
        <v>14701</v>
      </c>
      <c r="AF1412" t="s">
        <v>37573</v>
      </c>
      <c r="AG1412" t="s">
        <v>37570</v>
      </c>
    </row>
    <row r="1413" spans="1:33" x14ac:dyDescent="0.25">
      <c r="A1413" t="s">
        <v>34462</v>
      </c>
      <c r="B1413" t="s">
        <v>7008</v>
      </c>
      <c r="C1413" t="s">
        <v>7010</v>
      </c>
      <c r="D1413">
        <v>70.900000000000006</v>
      </c>
      <c r="E1413">
        <v>65.78</v>
      </c>
      <c r="F1413">
        <v>5408275</v>
      </c>
      <c r="G1413">
        <v>5466697</v>
      </c>
      <c r="H1413">
        <v>71.5</v>
      </c>
      <c r="I1413">
        <v>73.42</v>
      </c>
      <c r="J1413">
        <v>0</v>
      </c>
      <c r="K1413">
        <v>1</v>
      </c>
      <c r="L1413">
        <v>4</v>
      </c>
      <c r="M1413">
        <v>3</v>
      </c>
      <c r="N1413">
        <v>1</v>
      </c>
      <c r="O1413">
        <v>0</v>
      </c>
      <c r="P1413">
        <v>1</v>
      </c>
      <c r="Q1413">
        <v>0</v>
      </c>
      <c r="R1413">
        <v>1</v>
      </c>
      <c r="U1413">
        <v>0.29982831999999998</v>
      </c>
      <c r="V1413">
        <v>3.42</v>
      </c>
      <c r="W1413">
        <v>12.05</v>
      </c>
      <c r="X1413" t="s">
        <v>7007</v>
      </c>
      <c r="Y1413" t="s">
        <v>37579</v>
      </c>
      <c r="Z1413" t="s">
        <v>6992</v>
      </c>
      <c r="AA1413" t="s">
        <v>6857</v>
      </c>
      <c r="AB1413" t="s">
        <v>37580</v>
      </c>
      <c r="AC1413" t="s">
        <v>34465</v>
      </c>
      <c r="AD1413" t="s">
        <v>36639</v>
      </c>
      <c r="AE1413" t="s">
        <v>14701</v>
      </c>
      <c r="AF1413" t="s">
        <v>37569</v>
      </c>
      <c r="AG1413" t="s">
        <v>37570</v>
      </c>
    </row>
    <row r="1414" spans="1:33" x14ac:dyDescent="0.25">
      <c r="A1414" t="s">
        <v>34462</v>
      </c>
      <c r="B1414" t="s">
        <v>7012</v>
      </c>
      <c r="C1414" t="s">
        <v>7014</v>
      </c>
      <c r="D1414">
        <v>65.41</v>
      </c>
      <c r="E1414">
        <v>64.12</v>
      </c>
      <c r="F1414">
        <v>6674889</v>
      </c>
      <c r="G1414">
        <v>6285340</v>
      </c>
      <c r="H1414">
        <v>67.930000000000007</v>
      </c>
      <c r="I1414">
        <v>71.459999999999994</v>
      </c>
      <c r="J1414">
        <v>0</v>
      </c>
      <c r="K1414">
        <v>1</v>
      </c>
      <c r="L1414">
        <v>4</v>
      </c>
      <c r="M1414">
        <v>3</v>
      </c>
      <c r="O1414">
        <v>0</v>
      </c>
      <c r="Q1414">
        <v>0</v>
      </c>
      <c r="R1414">
        <v>0</v>
      </c>
      <c r="U1414">
        <v>0.29982831999999998</v>
      </c>
      <c r="V1414">
        <v>3.42</v>
      </c>
      <c r="W1414">
        <v>11.12</v>
      </c>
      <c r="X1414" t="s">
        <v>7011</v>
      </c>
      <c r="Y1414" t="s">
        <v>37581</v>
      </c>
      <c r="Z1414" t="s">
        <v>7015</v>
      </c>
      <c r="AA1414" t="s">
        <v>6863</v>
      </c>
      <c r="AB1414" t="s">
        <v>37582</v>
      </c>
      <c r="AC1414" t="s">
        <v>34465</v>
      </c>
      <c r="AD1414" t="s">
        <v>36639</v>
      </c>
      <c r="AE1414" t="s">
        <v>14701</v>
      </c>
      <c r="AF1414" t="s">
        <v>37583</v>
      </c>
      <c r="AG1414" t="s">
        <v>37584</v>
      </c>
    </row>
    <row r="1415" spans="1:33" x14ac:dyDescent="0.25">
      <c r="A1415" t="s">
        <v>34462</v>
      </c>
      <c r="B1415" t="s">
        <v>7017</v>
      </c>
      <c r="C1415" t="s">
        <v>7019</v>
      </c>
      <c r="D1415">
        <v>69.05</v>
      </c>
      <c r="E1415">
        <v>69.05</v>
      </c>
      <c r="F1415">
        <v>4671080</v>
      </c>
      <c r="G1415">
        <v>3117910</v>
      </c>
      <c r="H1415">
        <v>34.119999999999997</v>
      </c>
      <c r="I1415">
        <v>36.159999999999997</v>
      </c>
      <c r="J1415">
        <v>0</v>
      </c>
      <c r="K1415">
        <v>1</v>
      </c>
      <c r="L1415">
        <v>4</v>
      </c>
      <c r="M1415">
        <v>4</v>
      </c>
      <c r="N1415">
        <v>5</v>
      </c>
      <c r="P1415">
        <v>1</v>
      </c>
      <c r="Q1415">
        <v>0</v>
      </c>
      <c r="R1415">
        <v>4</v>
      </c>
      <c r="V1415">
        <v>3.42</v>
      </c>
      <c r="W1415">
        <v>11.74</v>
      </c>
      <c r="X1415" t="s">
        <v>7016</v>
      </c>
      <c r="Y1415" t="s">
        <v>37585</v>
      </c>
      <c r="AA1415" t="s">
        <v>76</v>
      </c>
      <c r="AB1415" t="s">
        <v>37586</v>
      </c>
      <c r="AC1415" t="s">
        <v>34465</v>
      </c>
      <c r="AD1415" t="s">
        <v>36639</v>
      </c>
      <c r="AE1415" t="s">
        <v>14701</v>
      </c>
      <c r="AF1415" t="s">
        <v>37576</v>
      </c>
      <c r="AG1415" t="s">
        <v>37570</v>
      </c>
    </row>
    <row r="1416" spans="1:33" x14ac:dyDescent="0.25">
      <c r="A1416" t="s">
        <v>34462</v>
      </c>
      <c r="B1416" t="s">
        <v>7021</v>
      </c>
      <c r="C1416" t="s">
        <v>7023</v>
      </c>
      <c r="D1416">
        <v>67.95</v>
      </c>
      <c r="E1416">
        <v>67.95</v>
      </c>
      <c r="F1416">
        <v>5013296</v>
      </c>
      <c r="G1416">
        <v>2221600</v>
      </c>
      <c r="H1416">
        <v>37.119999999999997</v>
      </c>
      <c r="I1416">
        <v>32.67</v>
      </c>
      <c r="J1416">
        <v>0</v>
      </c>
      <c r="K1416">
        <v>1</v>
      </c>
      <c r="L1416">
        <v>2</v>
      </c>
      <c r="M1416">
        <v>1</v>
      </c>
      <c r="N1416">
        <v>4</v>
      </c>
      <c r="O1416">
        <v>1</v>
      </c>
      <c r="P1416">
        <v>1</v>
      </c>
      <c r="Q1416">
        <v>0</v>
      </c>
      <c r="R1416">
        <v>7</v>
      </c>
      <c r="V1416">
        <v>3.42</v>
      </c>
      <c r="X1416" t="s">
        <v>7020</v>
      </c>
      <c r="Y1416" t="s">
        <v>37587</v>
      </c>
      <c r="Z1416" t="s">
        <v>7015</v>
      </c>
      <c r="AA1416" t="s">
        <v>6863</v>
      </c>
      <c r="AB1416" t="s">
        <v>37588</v>
      </c>
      <c r="AC1416" t="s">
        <v>34465</v>
      </c>
      <c r="AD1416" t="s">
        <v>36639</v>
      </c>
      <c r="AE1416" t="s">
        <v>34469</v>
      </c>
      <c r="AF1416" t="s">
        <v>37583</v>
      </c>
      <c r="AG1416" t="s">
        <v>37589</v>
      </c>
    </row>
    <row r="1417" spans="1:33" x14ac:dyDescent="0.25">
      <c r="A1417" t="s">
        <v>34462</v>
      </c>
      <c r="B1417" t="s">
        <v>7025</v>
      </c>
      <c r="C1417" t="s">
        <v>7028</v>
      </c>
      <c r="D1417">
        <v>19.39</v>
      </c>
      <c r="E1417">
        <v>19.39</v>
      </c>
      <c r="F1417">
        <v>53837</v>
      </c>
      <c r="G1417">
        <v>60892</v>
      </c>
      <c r="H1417">
        <v>17.02</v>
      </c>
      <c r="I1417">
        <v>19.149999999999999</v>
      </c>
      <c r="J1417">
        <v>0</v>
      </c>
      <c r="K1417">
        <v>1</v>
      </c>
      <c r="L1417">
        <v>7</v>
      </c>
      <c r="M1417">
        <v>6</v>
      </c>
      <c r="N1417">
        <v>4.8</v>
      </c>
      <c r="O1417">
        <v>0</v>
      </c>
      <c r="P1417">
        <v>569</v>
      </c>
      <c r="Q1417">
        <v>32</v>
      </c>
      <c r="R1417">
        <v>90</v>
      </c>
      <c r="S1417" t="s">
        <v>35922</v>
      </c>
      <c r="U1417">
        <v>0.33069300000000001</v>
      </c>
      <c r="V1417">
        <v>4.6100000000000003</v>
      </c>
      <c r="W1417">
        <v>1.94</v>
      </c>
      <c r="X1417" t="s">
        <v>7024</v>
      </c>
      <c r="Z1417" t="s">
        <v>4680</v>
      </c>
      <c r="AA1417" t="s">
        <v>7029</v>
      </c>
      <c r="AB1417" t="s">
        <v>37590</v>
      </c>
      <c r="AC1417" t="s">
        <v>34465</v>
      </c>
      <c r="AD1417" t="s">
        <v>11496</v>
      </c>
      <c r="AE1417" t="s">
        <v>34506</v>
      </c>
      <c r="AF1417" t="s">
        <v>37591</v>
      </c>
      <c r="AG1417" t="s">
        <v>36003</v>
      </c>
    </row>
    <row r="1418" spans="1:33" x14ac:dyDescent="0.25">
      <c r="A1418" t="s">
        <v>34462</v>
      </c>
      <c r="B1418" t="s">
        <v>7031</v>
      </c>
      <c r="C1418" t="s">
        <v>7033</v>
      </c>
      <c r="D1418">
        <v>21</v>
      </c>
      <c r="E1418">
        <v>21</v>
      </c>
      <c r="F1418">
        <v>53837</v>
      </c>
      <c r="G1418">
        <v>59902</v>
      </c>
      <c r="H1418">
        <v>20.03</v>
      </c>
      <c r="I1418">
        <v>21.75</v>
      </c>
      <c r="J1418">
        <v>0</v>
      </c>
      <c r="K1418">
        <v>1</v>
      </c>
      <c r="L1418">
        <v>10</v>
      </c>
      <c r="M1418">
        <v>7</v>
      </c>
      <c r="N1418">
        <v>4.8</v>
      </c>
      <c r="O1418">
        <v>0</v>
      </c>
      <c r="P1418">
        <v>569</v>
      </c>
      <c r="Q1418">
        <v>29</v>
      </c>
      <c r="R1418">
        <v>103</v>
      </c>
      <c r="S1418" t="s">
        <v>35922</v>
      </c>
      <c r="U1418">
        <v>0.33069300000000001</v>
      </c>
      <c r="V1418">
        <v>4.6100000000000003</v>
      </c>
      <c r="W1418">
        <v>3.57</v>
      </c>
      <c r="X1418" t="s">
        <v>7030</v>
      </c>
      <c r="Z1418" t="s">
        <v>4680</v>
      </c>
      <c r="AA1418" t="s">
        <v>7029</v>
      </c>
      <c r="AB1418" t="s">
        <v>37592</v>
      </c>
      <c r="AC1418" t="s">
        <v>34465</v>
      </c>
      <c r="AD1418" t="s">
        <v>11496</v>
      </c>
      <c r="AE1418" t="s">
        <v>34512</v>
      </c>
      <c r="AF1418" t="s">
        <v>37593</v>
      </c>
      <c r="AG1418" t="s">
        <v>36003</v>
      </c>
    </row>
    <row r="1419" spans="1:33" x14ac:dyDescent="0.25">
      <c r="A1419" t="s">
        <v>34462</v>
      </c>
      <c r="B1419" t="s">
        <v>7035</v>
      </c>
      <c r="C1419" t="s">
        <v>7037</v>
      </c>
      <c r="D1419">
        <v>21.99</v>
      </c>
      <c r="E1419">
        <v>21.99</v>
      </c>
      <c r="F1419">
        <v>53837</v>
      </c>
      <c r="G1419">
        <v>62103</v>
      </c>
      <c r="H1419">
        <v>19.21</v>
      </c>
      <c r="I1419">
        <v>21.19</v>
      </c>
      <c r="J1419">
        <v>0</v>
      </c>
      <c r="K1419">
        <v>1</v>
      </c>
      <c r="L1419">
        <v>11</v>
      </c>
      <c r="M1419">
        <v>10</v>
      </c>
      <c r="N1419">
        <v>4.8</v>
      </c>
      <c r="O1419">
        <v>0</v>
      </c>
      <c r="P1419">
        <v>569</v>
      </c>
      <c r="Q1419">
        <v>24</v>
      </c>
      <c r="R1419">
        <v>103</v>
      </c>
      <c r="S1419" t="s">
        <v>35922</v>
      </c>
      <c r="U1419">
        <v>0.33069300000000001</v>
      </c>
      <c r="V1419">
        <v>4.6100000000000003</v>
      </c>
      <c r="W1419">
        <v>3.74</v>
      </c>
      <c r="X1419" t="s">
        <v>7034</v>
      </c>
      <c r="Y1419" t="s">
        <v>37594</v>
      </c>
      <c r="Z1419" t="s">
        <v>4680</v>
      </c>
      <c r="AA1419" t="s">
        <v>7029</v>
      </c>
      <c r="AB1419" t="s">
        <v>37595</v>
      </c>
      <c r="AC1419" t="s">
        <v>34465</v>
      </c>
      <c r="AD1419" t="s">
        <v>11496</v>
      </c>
      <c r="AE1419" t="s">
        <v>34832</v>
      </c>
      <c r="AF1419" t="s">
        <v>37591</v>
      </c>
      <c r="AG1419" t="s">
        <v>36003</v>
      </c>
    </row>
    <row r="1420" spans="1:33" x14ac:dyDescent="0.25">
      <c r="A1420" t="s">
        <v>34462</v>
      </c>
      <c r="B1420" t="s">
        <v>7039</v>
      </c>
      <c r="C1420" t="s">
        <v>7042</v>
      </c>
      <c r="D1420">
        <v>22.46</v>
      </c>
      <c r="E1420">
        <v>22.46</v>
      </c>
      <c r="F1420">
        <v>483707</v>
      </c>
      <c r="G1420">
        <v>832719</v>
      </c>
      <c r="H1420">
        <v>32.26</v>
      </c>
      <c r="I1420">
        <v>31.66</v>
      </c>
      <c r="J1420">
        <v>0</v>
      </c>
      <c r="K1420">
        <v>1</v>
      </c>
      <c r="L1420">
        <v>5</v>
      </c>
      <c r="M1420">
        <v>5</v>
      </c>
      <c r="N1420">
        <v>3.5</v>
      </c>
      <c r="O1420">
        <v>0</v>
      </c>
      <c r="P1420">
        <v>3</v>
      </c>
      <c r="Q1420">
        <v>6</v>
      </c>
      <c r="R1420">
        <v>21</v>
      </c>
      <c r="S1420" t="s">
        <v>37596</v>
      </c>
      <c r="U1420">
        <v>0.70988764000000004</v>
      </c>
      <c r="V1420">
        <v>6.6</v>
      </c>
      <c r="W1420">
        <v>3.82</v>
      </c>
      <c r="X1420" t="s">
        <v>7038</v>
      </c>
      <c r="Y1420" t="s">
        <v>7043</v>
      </c>
      <c r="Z1420" t="s">
        <v>7043</v>
      </c>
      <c r="AA1420" t="s">
        <v>7044</v>
      </c>
      <c r="AB1420" t="s">
        <v>37597</v>
      </c>
      <c r="AC1420" t="s">
        <v>34465</v>
      </c>
      <c r="AD1420" t="s">
        <v>8081</v>
      </c>
      <c r="AE1420" t="s">
        <v>34474</v>
      </c>
      <c r="AF1420" t="s">
        <v>37598</v>
      </c>
      <c r="AG1420" t="s">
        <v>37599</v>
      </c>
    </row>
    <row r="1421" spans="1:33" x14ac:dyDescent="0.25">
      <c r="A1421" t="s">
        <v>34462</v>
      </c>
      <c r="B1421" t="s">
        <v>7046</v>
      </c>
      <c r="C1421" t="s">
        <v>7049</v>
      </c>
      <c r="D1421">
        <v>6.17</v>
      </c>
      <c r="E1421">
        <v>6.17</v>
      </c>
      <c r="F1421">
        <v>976</v>
      </c>
      <c r="G1421">
        <v>41964</v>
      </c>
      <c r="H1421">
        <v>13.97</v>
      </c>
      <c r="I1421">
        <v>14.18</v>
      </c>
      <c r="J1421">
        <v>0</v>
      </c>
      <c r="K1421">
        <v>0</v>
      </c>
      <c r="L1421">
        <v>10</v>
      </c>
      <c r="M1421">
        <v>10</v>
      </c>
      <c r="N1421">
        <v>4.5</v>
      </c>
      <c r="O1421">
        <v>199</v>
      </c>
      <c r="P1421">
        <v>248</v>
      </c>
      <c r="Q1421">
        <v>65</v>
      </c>
      <c r="R1421">
        <v>183</v>
      </c>
      <c r="T1421">
        <v>1000</v>
      </c>
      <c r="U1421">
        <v>0.94798660000000001</v>
      </c>
      <c r="V1421">
        <v>5</v>
      </c>
      <c r="W1421">
        <v>0.93</v>
      </c>
      <c r="X1421" t="s">
        <v>7045</v>
      </c>
      <c r="Y1421" t="s">
        <v>7050</v>
      </c>
      <c r="Z1421" t="s">
        <v>7050</v>
      </c>
      <c r="AA1421" t="s">
        <v>7051</v>
      </c>
      <c r="AB1421" t="s">
        <v>37600</v>
      </c>
      <c r="AC1421" t="s">
        <v>36628</v>
      </c>
      <c r="AD1421" t="s">
        <v>24519</v>
      </c>
      <c r="AE1421" t="s">
        <v>37601</v>
      </c>
      <c r="AF1421" t="s">
        <v>37602</v>
      </c>
      <c r="AG1421" t="s">
        <v>37603</v>
      </c>
    </row>
    <row r="1422" spans="1:33" x14ac:dyDescent="0.25">
      <c r="A1422" t="s">
        <v>34462</v>
      </c>
      <c r="B1422" t="s">
        <v>7053</v>
      </c>
      <c r="C1422" t="s">
        <v>7056</v>
      </c>
      <c r="D1422">
        <v>33.909999999999997</v>
      </c>
      <c r="E1422">
        <v>30.6</v>
      </c>
      <c r="F1422">
        <v>89212</v>
      </c>
      <c r="G1422">
        <v>47133</v>
      </c>
      <c r="H1422">
        <v>36.28</v>
      </c>
      <c r="I1422">
        <v>36.380000000000003</v>
      </c>
      <c r="J1422">
        <v>0</v>
      </c>
      <c r="K1422">
        <v>0</v>
      </c>
      <c r="L1422">
        <v>10</v>
      </c>
      <c r="M1422">
        <v>12</v>
      </c>
      <c r="N1422">
        <v>4.5999999999999996</v>
      </c>
      <c r="O1422">
        <v>33</v>
      </c>
      <c r="P1422">
        <v>528</v>
      </c>
      <c r="Q1422">
        <v>30</v>
      </c>
      <c r="R1422">
        <v>102</v>
      </c>
      <c r="S1422" t="s">
        <v>37604</v>
      </c>
      <c r="U1422">
        <v>0.52910880000000005</v>
      </c>
      <c r="V1422">
        <v>6.81</v>
      </c>
      <c r="W1422">
        <v>5.76</v>
      </c>
      <c r="X1422" t="s">
        <v>7052</v>
      </c>
      <c r="Y1422" t="s">
        <v>7058</v>
      </c>
      <c r="Z1422" t="s">
        <v>7058</v>
      </c>
      <c r="AA1422" t="s">
        <v>6140</v>
      </c>
      <c r="AB1422" t="s">
        <v>37605</v>
      </c>
      <c r="AC1422" t="s">
        <v>34493</v>
      </c>
      <c r="AD1422" t="s">
        <v>8078</v>
      </c>
      <c r="AE1422" t="s">
        <v>34533</v>
      </c>
      <c r="AF1422" t="s">
        <v>37606</v>
      </c>
      <c r="AG1422" t="s">
        <v>37607</v>
      </c>
    </row>
    <row r="1423" spans="1:33" x14ac:dyDescent="0.25">
      <c r="A1423" t="s">
        <v>34462</v>
      </c>
      <c r="B1423" t="s">
        <v>7060</v>
      </c>
      <c r="C1423" t="s">
        <v>7063</v>
      </c>
      <c r="D1423">
        <v>20.399999999999999</v>
      </c>
      <c r="E1423">
        <v>19.54</v>
      </c>
      <c r="F1423">
        <v>391381</v>
      </c>
      <c r="G1423">
        <v>283821</v>
      </c>
      <c r="H1423">
        <v>17.46</v>
      </c>
      <c r="I1423">
        <v>18.010000000000002</v>
      </c>
      <c r="J1423">
        <v>0</v>
      </c>
      <c r="K1423">
        <v>0</v>
      </c>
      <c r="L1423">
        <v>3</v>
      </c>
      <c r="M1423">
        <v>2</v>
      </c>
      <c r="N1423">
        <v>4.5</v>
      </c>
      <c r="O1423">
        <v>1</v>
      </c>
      <c r="P1423">
        <v>408</v>
      </c>
      <c r="Q1423">
        <v>20</v>
      </c>
      <c r="R1423">
        <v>63</v>
      </c>
      <c r="S1423" t="s">
        <v>37608</v>
      </c>
      <c r="U1423">
        <v>0.37037616000000001</v>
      </c>
      <c r="V1423">
        <v>4.6100000000000003</v>
      </c>
      <c r="W1423">
        <v>3.47</v>
      </c>
      <c r="X1423" t="s">
        <v>7059</v>
      </c>
      <c r="Y1423" t="s">
        <v>37609</v>
      </c>
      <c r="Z1423" t="s">
        <v>7064</v>
      </c>
      <c r="AA1423" t="s">
        <v>7065</v>
      </c>
      <c r="AB1423" t="s">
        <v>37610</v>
      </c>
      <c r="AC1423" t="s">
        <v>34493</v>
      </c>
      <c r="AD1423" t="s">
        <v>7954</v>
      </c>
      <c r="AE1423" t="s">
        <v>14701</v>
      </c>
      <c r="AF1423" t="s">
        <v>37611</v>
      </c>
      <c r="AG1423" t="s">
        <v>37612</v>
      </c>
    </row>
    <row r="1424" spans="1:33" x14ac:dyDescent="0.25">
      <c r="A1424" t="s">
        <v>34462</v>
      </c>
      <c r="B1424" t="s">
        <v>7067</v>
      </c>
      <c r="C1424" t="s">
        <v>7063</v>
      </c>
      <c r="D1424">
        <v>19.54</v>
      </c>
      <c r="E1424">
        <v>19.54</v>
      </c>
      <c r="F1424">
        <v>384180</v>
      </c>
      <c r="G1424">
        <v>211402</v>
      </c>
      <c r="H1424">
        <v>18.93</v>
      </c>
      <c r="I1424">
        <v>18.72</v>
      </c>
      <c r="J1424">
        <v>0.03</v>
      </c>
      <c r="K1424">
        <v>0.3</v>
      </c>
      <c r="L1424">
        <v>2</v>
      </c>
      <c r="M1424">
        <v>1</v>
      </c>
      <c r="N1424">
        <v>4.5</v>
      </c>
      <c r="O1424">
        <v>2</v>
      </c>
      <c r="P1424">
        <v>408</v>
      </c>
      <c r="Q1424">
        <v>23</v>
      </c>
      <c r="R1424">
        <v>61</v>
      </c>
      <c r="S1424" t="s">
        <v>37608</v>
      </c>
      <c r="U1424">
        <v>0.31085141999999999</v>
      </c>
      <c r="V1424">
        <v>4.6100000000000003</v>
      </c>
      <c r="X1424" t="s">
        <v>7066</v>
      </c>
      <c r="Y1424" t="s">
        <v>37609</v>
      </c>
      <c r="Z1424" t="s">
        <v>7064</v>
      </c>
      <c r="AA1424" t="s">
        <v>7065</v>
      </c>
      <c r="AB1424" t="s">
        <v>37613</v>
      </c>
      <c r="AC1424" t="s">
        <v>34465</v>
      </c>
      <c r="AD1424" t="s">
        <v>7954</v>
      </c>
      <c r="AE1424" t="s">
        <v>34525</v>
      </c>
      <c r="AF1424" t="s">
        <v>37611</v>
      </c>
      <c r="AG1424" t="s">
        <v>37612</v>
      </c>
    </row>
    <row r="1425" spans="1:33" x14ac:dyDescent="0.25">
      <c r="A1425" t="s">
        <v>34462</v>
      </c>
      <c r="B1425" t="s">
        <v>7070</v>
      </c>
      <c r="C1425" t="s">
        <v>7063</v>
      </c>
      <c r="D1425">
        <v>20.399999999999999</v>
      </c>
      <c r="E1425">
        <v>20.399999999999999</v>
      </c>
      <c r="F1425">
        <v>391381</v>
      </c>
      <c r="G1425">
        <v>206338</v>
      </c>
      <c r="H1425">
        <v>18.899999999999999</v>
      </c>
      <c r="I1425">
        <v>18.78</v>
      </c>
      <c r="J1425">
        <v>0</v>
      </c>
      <c r="K1425">
        <v>0</v>
      </c>
      <c r="L1425">
        <v>2</v>
      </c>
      <c r="M1425">
        <v>2</v>
      </c>
      <c r="N1425">
        <v>4.5</v>
      </c>
      <c r="O1425">
        <v>0</v>
      </c>
      <c r="P1425">
        <v>408</v>
      </c>
      <c r="Q1425">
        <v>17</v>
      </c>
      <c r="R1425">
        <v>47</v>
      </c>
      <c r="S1425" t="s">
        <v>37608</v>
      </c>
      <c r="U1425">
        <v>0.39242236000000003</v>
      </c>
      <c r="V1425">
        <v>5.05</v>
      </c>
      <c r="W1425">
        <v>3.47</v>
      </c>
      <c r="X1425" t="s">
        <v>7069</v>
      </c>
      <c r="Y1425" t="s">
        <v>37609</v>
      </c>
      <c r="Z1425" t="s">
        <v>7064</v>
      </c>
      <c r="AA1425" t="s">
        <v>7065</v>
      </c>
      <c r="AB1425" t="s">
        <v>37614</v>
      </c>
      <c r="AC1425" t="s">
        <v>34493</v>
      </c>
      <c r="AD1425" t="s">
        <v>7954</v>
      </c>
      <c r="AE1425" t="s">
        <v>34649</v>
      </c>
      <c r="AF1425" t="s">
        <v>37611</v>
      </c>
      <c r="AG1425" t="s">
        <v>37612</v>
      </c>
    </row>
    <row r="1426" spans="1:33" x14ac:dyDescent="0.25">
      <c r="A1426" t="s">
        <v>34462</v>
      </c>
      <c r="B1426" t="s">
        <v>7073</v>
      </c>
      <c r="C1426" t="s">
        <v>7076</v>
      </c>
      <c r="D1426">
        <v>52.75</v>
      </c>
      <c r="F1426">
        <v>176662</v>
      </c>
      <c r="G1426">
        <v>112961</v>
      </c>
      <c r="H1426">
        <v>52.75</v>
      </c>
      <c r="I1426">
        <v>46.62</v>
      </c>
      <c r="J1426">
        <v>0.16</v>
      </c>
      <c r="K1426">
        <v>0.16</v>
      </c>
      <c r="L1426">
        <v>1</v>
      </c>
      <c r="N1426">
        <v>3.4</v>
      </c>
      <c r="O1426">
        <v>0</v>
      </c>
      <c r="P1426">
        <v>188</v>
      </c>
      <c r="Q1426">
        <v>19</v>
      </c>
      <c r="R1426">
        <v>50</v>
      </c>
      <c r="S1426" t="s">
        <v>37615</v>
      </c>
      <c r="U1426">
        <v>1.33159048</v>
      </c>
      <c r="V1426">
        <v>7.4</v>
      </c>
      <c r="X1426" t="s">
        <v>7072</v>
      </c>
      <c r="Y1426" t="s">
        <v>7077</v>
      </c>
      <c r="Z1426" t="s">
        <v>7077</v>
      </c>
      <c r="AA1426" t="s">
        <v>7078</v>
      </c>
      <c r="AB1426" t="s">
        <v>37616</v>
      </c>
      <c r="AC1426" t="s">
        <v>34465</v>
      </c>
      <c r="AD1426" t="s">
        <v>10970</v>
      </c>
      <c r="AE1426" t="s">
        <v>36015</v>
      </c>
      <c r="AF1426" t="s">
        <v>37617</v>
      </c>
      <c r="AG1426" t="s">
        <v>37618</v>
      </c>
    </row>
    <row r="1427" spans="1:33" x14ac:dyDescent="0.25">
      <c r="A1427" t="s">
        <v>34462</v>
      </c>
      <c r="B1427" t="s">
        <v>7080</v>
      </c>
      <c r="C1427" t="s">
        <v>7082</v>
      </c>
      <c r="D1427">
        <v>56.45</v>
      </c>
      <c r="E1427">
        <v>56.45</v>
      </c>
      <c r="F1427">
        <v>151512</v>
      </c>
      <c r="G1427">
        <v>111529</v>
      </c>
      <c r="H1427">
        <v>53.05</v>
      </c>
      <c r="I1427">
        <v>47.18</v>
      </c>
      <c r="J1427">
        <v>0.05</v>
      </c>
      <c r="K1427">
        <v>0.05</v>
      </c>
      <c r="L1427">
        <v>1</v>
      </c>
      <c r="M1427">
        <v>1</v>
      </c>
      <c r="N1427">
        <v>3.4</v>
      </c>
      <c r="O1427">
        <v>2</v>
      </c>
      <c r="P1427">
        <v>188</v>
      </c>
      <c r="Q1427">
        <v>28</v>
      </c>
      <c r="R1427">
        <v>69</v>
      </c>
      <c r="S1427" t="s">
        <v>37615</v>
      </c>
      <c r="U1427">
        <v>1.3668644000000001</v>
      </c>
      <c r="V1427">
        <v>11.13</v>
      </c>
      <c r="W1427">
        <v>9.6</v>
      </c>
      <c r="X1427" t="s">
        <v>7079</v>
      </c>
      <c r="Y1427" t="s">
        <v>7077</v>
      </c>
      <c r="Z1427" t="s">
        <v>7077</v>
      </c>
      <c r="AA1427" t="s">
        <v>7078</v>
      </c>
      <c r="AB1427" t="s">
        <v>37619</v>
      </c>
      <c r="AC1427" t="s">
        <v>34493</v>
      </c>
      <c r="AD1427" t="s">
        <v>10970</v>
      </c>
      <c r="AE1427" t="s">
        <v>36025</v>
      </c>
      <c r="AF1427" t="s">
        <v>37617</v>
      </c>
      <c r="AG1427" t="s">
        <v>37618</v>
      </c>
    </row>
    <row r="1428" spans="1:33" x14ac:dyDescent="0.25">
      <c r="A1428" t="s">
        <v>34462</v>
      </c>
      <c r="B1428" t="s">
        <v>7084</v>
      </c>
      <c r="C1428" t="s">
        <v>7086</v>
      </c>
      <c r="D1428">
        <v>56.45</v>
      </c>
      <c r="E1428">
        <v>56.45</v>
      </c>
      <c r="F1428">
        <v>176662</v>
      </c>
      <c r="G1428">
        <v>113925</v>
      </c>
      <c r="H1428">
        <v>53.35</v>
      </c>
      <c r="I1428">
        <v>47.57</v>
      </c>
      <c r="J1428">
        <v>0</v>
      </c>
      <c r="K1428">
        <v>0</v>
      </c>
      <c r="L1428">
        <v>1</v>
      </c>
      <c r="M1428">
        <v>1</v>
      </c>
      <c r="N1428">
        <v>3.4</v>
      </c>
      <c r="O1428">
        <v>0</v>
      </c>
      <c r="P1428">
        <v>188</v>
      </c>
      <c r="Q1428">
        <v>22</v>
      </c>
      <c r="R1428">
        <v>53</v>
      </c>
      <c r="S1428" t="s">
        <v>37615</v>
      </c>
      <c r="U1428">
        <v>1.3955244600000001</v>
      </c>
      <c r="V1428">
        <v>7.08</v>
      </c>
      <c r="W1428">
        <v>9.6</v>
      </c>
      <c r="X1428" t="s">
        <v>7083</v>
      </c>
      <c r="Y1428" t="s">
        <v>7077</v>
      </c>
      <c r="Z1428" t="s">
        <v>7077</v>
      </c>
      <c r="AA1428" t="s">
        <v>7078</v>
      </c>
      <c r="AB1428" t="s">
        <v>37620</v>
      </c>
      <c r="AC1428" t="s">
        <v>34493</v>
      </c>
      <c r="AD1428" t="s">
        <v>10970</v>
      </c>
      <c r="AE1428" t="s">
        <v>36033</v>
      </c>
      <c r="AF1428" t="s">
        <v>37617</v>
      </c>
      <c r="AG1428" t="s">
        <v>37618</v>
      </c>
    </row>
    <row r="1429" spans="1:33" x14ac:dyDescent="0.25">
      <c r="A1429" t="s">
        <v>34462</v>
      </c>
      <c r="B1429" t="s">
        <v>7088</v>
      </c>
      <c r="C1429" t="s">
        <v>7090</v>
      </c>
      <c r="D1429">
        <v>56.45</v>
      </c>
      <c r="E1429">
        <v>56.45</v>
      </c>
      <c r="F1429">
        <v>176662</v>
      </c>
      <c r="G1429">
        <v>112708</v>
      </c>
      <c r="H1429">
        <v>53.13</v>
      </c>
      <c r="I1429">
        <v>46.85</v>
      </c>
      <c r="J1429">
        <v>0</v>
      </c>
      <c r="K1429">
        <v>0</v>
      </c>
      <c r="L1429">
        <v>1</v>
      </c>
      <c r="M1429">
        <v>1</v>
      </c>
      <c r="N1429">
        <v>3.4</v>
      </c>
      <c r="O1429">
        <v>0</v>
      </c>
      <c r="P1429">
        <v>188</v>
      </c>
      <c r="Q1429">
        <v>19</v>
      </c>
      <c r="R1429">
        <v>39</v>
      </c>
      <c r="S1429" t="s">
        <v>37615</v>
      </c>
      <c r="U1429">
        <v>1.9731349</v>
      </c>
      <c r="V1429">
        <v>7.08</v>
      </c>
      <c r="W1429">
        <v>9.6</v>
      </c>
      <c r="X1429" t="s">
        <v>7087</v>
      </c>
      <c r="Y1429" t="s">
        <v>7077</v>
      </c>
      <c r="Z1429" t="s">
        <v>7077</v>
      </c>
      <c r="AA1429" t="s">
        <v>7078</v>
      </c>
      <c r="AB1429" t="s">
        <v>37621</v>
      </c>
      <c r="AC1429" t="s">
        <v>34493</v>
      </c>
      <c r="AD1429" t="s">
        <v>10970</v>
      </c>
      <c r="AE1429" t="s">
        <v>36043</v>
      </c>
      <c r="AF1429" t="s">
        <v>37617</v>
      </c>
      <c r="AG1429" t="s">
        <v>37618</v>
      </c>
    </row>
    <row r="1430" spans="1:33" x14ac:dyDescent="0.25">
      <c r="A1430" t="s">
        <v>34462</v>
      </c>
      <c r="B1430" t="s">
        <v>7092</v>
      </c>
      <c r="C1430" t="s">
        <v>7094</v>
      </c>
      <c r="D1430">
        <v>56.45</v>
      </c>
      <c r="E1430">
        <v>56.45</v>
      </c>
      <c r="F1430">
        <v>176662</v>
      </c>
      <c r="G1430">
        <v>114793</v>
      </c>
      <c r="H1430">
        <v>53.37</v>
      </c>
      <c r="I1430">
        <v>47.09</v>
      </c>
      <c r="J1430">
        <v>0</v>
      </c>
      <c r="K1430">
        <v>0</v>
      </c>
      <c r="L1430">
        <v>1</v>
      </c>
      <c r="M1430">
        <v>1</v>
      </c>
      <c r="N1430">
        <v>3.4</v>
      </c>
      <c r="O1430">
        <v>1</v>
      </c>
      <c r="P1430">
        <v>183</v>
      </c>
      <c r="Q1430">
        <v>14</v>
      </c>
      <c r="R1430">
        <v>30</v>
      </c>
      <c r="S1430" t="s">
        <v>37615</v>
      </c>
      <c r="U1430">
        <v>1.4594584399999999</v>
      </c>
      <c r="V1430">
        <v>11.13</v>
      </c>
      <c r="W1430">
        <v>9.6</v>
      </c>
      <c r="X1430" t="s">
        <v>7091</v>
      </c>
      <c r="Y1430" t="s">
        <v>7077</v>
      </c>
      <c r="Z1430" t="s">
        <v>7077</v>
      </c>
      <c r="AA1430" t="s">
        <v>7078</v>
      </c>
      <c r="AB1430" t="s">
        <v>37622</v>
      </c>
      <c r="AC1430" t="s">
        <v>34493</v>
      </c>
      <c r="AD1430" t="s">
        <v>10970</v>
      </c>
      <c r="AE1430" t="s">
        <v>34839</v>
      </c>
      <c r="AF1430" t="s">
        <v>37617</v>
      </c>
      <c r="AG1430" t="s">
        <v>37618</v>
      </c>
    </row>
    <row r="1431" spans="1:33" x14ac:dyDescent="0.25">
      <c r="A1431" t="s">
        <v>34462</v>
      </c>
      <c r="B1431" t="s">
        <v>7096</v>
      </c>
      <c r="C1431" t="s">
        <v>7099</v>
      </c>
      <c r="F1431">
        <v>636391</v>
      </c>
      <c r="G1431">
        <v>663186</v>
      </c>
      <c r="J1431">
        <v>1</v>
      </c>
      <c r="K1431">
        <v>1</v>
      </c>
      <c r="N1431">
        <v>3.5</v>
      </c>
      <c r="O1431">
        <v>11</v>
      </c>
      <c r="P1431">
        <v>11</v>
      </c>
      <c r="Q1431">
        <v>1</v>
      </c>
      <c r="R1431">
        <v>1</v>
      </c>
      <c r="U1431">
        <v>3.26063298</v>
      </c>
      <c r="V1431">
        <v>8.1999999999999993</v>
      </c>
      <c r="X1431" t="s">
        <v>7095</v>
      </c>
      <c r="Y1431" t="s">
        <v>37623</v>
      </c>
      <c r="AB1431" t="s">
        <v>37624</v>
      </c>
      <c r="AC1431" t="s">
        <v>34465</v>
      </c>
      <c r="AD1431" t="s">
        <v>25188</v>
      </c>
      <c r="AF1431" t="s">
        <v>37625</v>
      </c>
      <c r="AG1431" t="s">
        <v>37626</v>
      </c>
    </row>
    <row r="1432" spans="1:33" x14ac:dyDescent="0.25">
      <c r="A1432" t="s">
        <v>34462</v>
      </c>
      <c r="B1432" t="s">
        <v>7102</v>
      </c>
      <c r="C1432" t="s">
        <v>7105</v>
      </c>
      <c r="D1432">
        <v>21.94</v>
      </c>
      <c r="E1432">
        <v>21</v>
      </c>
      <c r="F1432">
        <v>196251</v>
      </c>
      <c r="G1432">
        <v>132745</v>
      </c>
      <c r="H1432">
        <v>16.91</v>
      </c>
      <c r="I1432">
        <v>12.51</v>
      </c>
      <c r="J1432">
        <v>0</v>
      </c>
      <c r="K1432">
        <v>0.27</v>
      </c>
      <c r="L1432">
        <v>10</v>
      </c>
      <c r="M1432">
        <v>7</v>
      </c>
      <c r="N1432">
        <v>4.5999999999999996</v>
      </c>
      <c r="P1432">
        <v>304</v>
      </c>
      <c r="Q1432">
        <v>49</v>
      </c>
      <c r="R1432">
        <v>120</v>
      </c>
      <c r="U1432">
        <v>0.74957079999999998</v>
      </c>
      <c r="V1432">
        <v>6.62</v>
      </c>
      <c r="W1432">
        <v>3.29</v>
      </c>
      <c r="X1432" t="s">
        <v>7101</v>
      </c>
      <c r="Y1432" t="s">
        <v>7107</v>
      </c>
      <c r="Z1432" t="s">
        <v>7107</v>
      </c>
      <c r="AA1432" t="s">
        <v>145</v>
      </c>
      <c r="AB1432" t="s">
        <v>37627</v>
      </c>
      <c r="AC1432" t="s">
        <v>34465</v>
      </c>
      <c r="AD1432" t="s">
        <v>25190</v>
      </c>
      <c r="AE1432" t="s">
        <v>37628</v>
      </c>
      <c r="AF1432" t="s">
        <v>37629</v>
      </c>
      <c r="AG1432" t="s">
        <v>37630</v>
      </c>
    </row>
    <row r="1433" spans="1:33" x14ac:dyDescent="0.25">
      <c r="A1433" t="s">
        <v>34462</v>
      </c>
      <c r="B1433" t="s">
        <v>7109</v>
      </c>
      <c r="C1433" t="s">
        <v>7112</v>
      </c>
      <c r="D1433">
        <v>20.399999999999999</v>
      </c>
      <c r="E1433">
        <v>20.399999999999999</v>
      </c>
      <c r="F1433">
        <v>1698494</v>
      </c>
      <c r="G1433">
        <v>1736117</v>
      </c>
      <c r="H1433">
        <v>26.55</v>
      </c>
      <c r="I1433">
        <v>31.85</v>
      </c>
      <c r="J1433">
        <v>0</v>
      </c>
      <c r="K1433">
        <v>1</v>
      </c>
      <c r="L1433">
        <v>1</v>
      </c>
      <c r="M1433">
        <v>1</v>
      </c>
      <c r="N1433">
        <v>5</v>
      </c>
      <c r="O1433">
        <v>0</v>
      </c>
      <c r="P1433">
        <v>4</v>
      </c>
      <c r="Q1433">
        <v>4</v>
      </c>
      <c r="R1433">
        <v>15</v>
      </c>
      <c r="S1433" t="s">
        <v>37631</v>
      </c>
      <c r="U1433">
        <v>0.57099657999999998</v>
      </c>
      <c r="V1433">
        <v>5.52</v>
      </c>
      <c r="X1433" t="s">
        <v>7108</v>
      </c>
      <c r="Y1433" t="s">
        <v>7113</v>
      </c>
      <c r="Z1433" t="s">
        <v>7113</v>
      </c>
      <c r="AA1433" t="s">
        <v>4659</v>
      </c>
      <c r="AB1433" t="s">
        <v>37632</v>
      </c>
      <c r="AC1433" t="s">
        <v>34465</v>
      </c>
      <c r="AD1433" t="s">
        <v>25207</v>
      </c>
      <c r="AF1433" t="s">
        <v>37633</v>
      </c>
      <c r="AG1433" t="s">
        <v>37634</v>
      </c>
    </row>
    <row r="1434" spans="1:33" x14ac:dyDescent="0.25">
      <c r="A1434" t="s">
        <v>34462</v>
      </c>
      <c r="B1434" t="s">
        <v>7115</v>
      </c>
      <c r="C1434" t="s">
        <v>7118</v>
      </c>
      <c r="D1434">
        <v>24.75</v>
      </c>
      <c r="E1434">
        <v>24.75</v>
      </c>
      <c r="F1434">
        <v>1282059</v>
      </c>
      <c r="G1434">
        <v>819253</v>
      </c>
      <c r="H1434">
        <v>46.68</v>
      </c>
      <c r="I1434">
        <v>49.62</v>
      </c>
      <c r="J1434">
        <v>0</v>
      </c>
      <c r="K1434">
        <v>0</v>
      </c>
      <c r="L1434">
        <v>4</v>
      </c>
      <c r="M1434">
        <v>3</v>
      </c>
      <c r="N1434">
        <v>3.6</v>
      </c>
      <c r="O1434">
        <v>0</v>
      </c>
      <c r="P1434">
        <v>3</v>
      </c>
      <c r="Q1434">
        <v>8</v>
      </c>
      <c r="R1434">
        <v>28</v>
      </c>
      <c r="S1434" t="s">
        <v>37635</v>
      </c>
      <c r="U1434">
        <v>1.0097159600000001</v>
      </c>
      <c r="V1434">
        <v>11.51</v>
      </c>
      <c r="W1434">
        <v>4.21</v>
      </c>
      <c r="X1434" t="s">
        <v>7114</v>
      </c>
      <c r="Y1434" t="s">
        <v>7119</v>
      </c>
      <c r="Z1434" t="s">
        <v>7119</v>
      </c>
      <c r="AA1434" t="s">
        <v>7120</v>
      </c>
      <c r="AB1434" t="s">
        <v>37636</v>
      </c>
      <c r="AC1434" t="s">
        <v>34493</v>
      </c>
      <c r="AD1434" t="s">
        <v>9232</v>
      </c>
      <c r="AE1434" t="s">
        <v>34533</v>
      </c>
      <c r="AF1434" t="s">
        <v>37637</v>
      </c>
      <c r="AG1434" t="s">
        <v>37638</v>
      </c>
    </row>
    <row r="1435" spans="1:33" x14ac:dyDescent="0.25">
      <c r="A1435" t="s">
        <v>34462</v>
      </c>
      <c r="B1435" t="s">
        <v>7122</v>
      </c>
      <c r="C1435" t="s">
        <v>7124</v>
      </c>
      <c r="D1435">
        <v>24.75</v>
      </c>
      <c r="E1435">
        <v>24.75</v>
      </c>
      <c r="F1435">
        <v>2043990</v>
      </c>
      <c r="G1435">
        <v>1145008</v>
      </c>
      <c r="H1435">
        <v>28.76</v>
      </c>
      <c r="I1435">
        <v>37.369999999999997</v>
      </c>
      <c r="J1435">
        <v>0</v>
      </c>
      <c r="K1435">
        <v>0</v>
      </c>
      <c r="L1435">
        <v>2</v>
      </c>
      <c r="M1435">
        <v>2</v>
      </c>
      <c r="N1435">
        <v>5</v>
      </c>
      <c r="O1435">
        <v>0</v>
      </c>
      <c r="P1435">
        <v>1</v>
      </c>
      <c r="Q1435">
        <v>4</v>
      </c>
      <c r="R1435">
        <v>13</v>
      </c>
      <c r="S1435" t="s">
        <v>37639</v>
      </c>
      <c r="U1435">
        <v>0.98987438000000005</v>
      </c>
      <c r="V1435">
        <v>11.89</v>
      </c>
      <c r="W1435">
        <v>4.21</v>
      </c>
      <c r="X1435" t="s">
        <v>7121</v>
      </c>
      <c r="Y1435" t="s">
        <v>7119</v>
      </c>
      <c r="Z1435" t="s">
        <v>7119</v>
      </c>
      <c r="AA1435" t="s">
        <v>3219</v>
      </c>
      <c r="AB1435" t="s">
        <v>37640</v>
      </c>
      <c r="AC1435" t="s">
        <v>34493</v>
      </c>
      <c r="AD1435" t="s">
        <v>9232</v>
      </c>
      <c r="AE1435" t="s">
        <v>34533</v>
      </c>
      <c r="AF1435" t="s">
        <v>37641</v>
      </c>
      <c r="AG1435" t="s">
        <v>37638</v>
      </c>
    </row>
    <row r="1436" spans="1:33" x14ac:dyDescent="0.25">
      <c r="A1436" t="s">
        <v>34462</v>
      </c>
      <c r="B1436" t="s">
        <v>7126</v>
      </c>
      <c r="C1436" t="s">
        <v>7128</v>
      </c>
      <c r="D1436">
        <v>24.75</v>
      </c>
      <c r="E1436">
        <v>24.75</v>
      </c>
      <c r="F1436">
        <v>2043990</v>
      </c>
      <c r="G1436">
        <v>1146843</v>
      </c>
      <c r="H1436">
        <v>28.81</v>
      </c>
      <c r="I1436">
        <v>36.82</v>
      </c>
      <c r="J1436">
        <v>0</v>
      </c>
      <c r="K1436">
        <v>0</v>
      </c>
      <c r="L1436">
        <v>2</v>
      </c>
      <c r="M1436">
        <v>2</v>
      </c>
      <c r="N1436">
        <v>5</v>
      </c>
      <c r="O1436">
        <v>0</v>
      </c>
      <c r="P1436">
        <v>1</v>
      </c>
      <c r="Q1436">
        <v>5</v>
      </c>
      <c r="R1436">
        <v>18</v>
      </c>
      <c r="S1436" t="s">
        <v>37639</v>
      </c>
      <c r="U1436">
        <v>1.06042222</v>
      </c>
      <c r="V1436">
        <v>11.51</v>
      </c>
      <c r="W1436">
        <v>4.21</v>
      </c>
      <c r="X1436" t="s">
        <v>7125</v>
      </c>
      <c r="Y1436" t="s">
        <v>7119</v>
      </c>
      <c r="Z1436" t="s">
        <v>7119</v>
      </c>
      <c r="AA1436" t="s">
        <v>3219</v>
      </c>
      <c r="AB1436" t="s">
        <v>37642</v>
      </c>
      <c r="AC1436" t="s">
        <v>34493</v>
      </c>
      <c r="AD1436" t="s">
        <v>9232</v>
      </c>
      <c r="AE1436" t="s">
        <v>14701</v>
      </c>
      <c r="AF1436" t="s">
        <v>37643</v>
      </c>
      <c r="AG1436" t="s">
        <v>37638</v>
      </c>
    </row>
    <row r="1437" spans="1:33" x14ac:dyDescent="0.25">
      <c r="A1437" t="s">
        <v>34462</v>
      </c>
      <c r="B1437" t="s">
        <v>7130</v>
      </c>
      <c r="C1437" t="s">
        <v>7132</v>
      </c>
      <c r="D1437">
        <v>24.75</v>
      </c>
      <c r="E1437">
        <v>24.75</v>
      </c>
      <c r="F1437">
        <v>2043990</v>
      </c>
      <c r="G1437">
        <v>1151372</v>
      </c>
      <c r="H1437">
        <v>29.66</v>
      </c>
      <c r="I1437">
        <v>37.96</v>
      </c>
      <c r="J1437">
        <v>0</v>
      </c>
      <c r="K1437">
        <v>0.01</v>
      </c>
      <c r="L1437">
        <v>2</v>
      </c>
      <c r="M1437">
        <v>1</v>
      </c>
      <c r="N1437">
        <v>5</v>
      </c>
      <c r="O1437">
        <v>0</v>
      </c>
      <c r="P1437">
        <v>1</v>
      </c>
      <c r="Q1437">
        <v>5</v>
      </c>
      <c r="R1437">
        <v>17</v>
      </c>
      <c r="S1437" t="s">
        <v>37639</v>
      </c>
      <c r="U1437">
        <v>1.10010538</v>
      </c>
      <c r="V1437">
        <v>7.72</v>
      </c>
      <c r="W1437">
        <v>4.21</v>
      </c>
      <c r="X1437" t="s">
        <v>7129</v>
      </c>
      <c r="Y1437" t="s">
        <v>7119</v>
      </c>
      <c r="Z1437" t="s">
        <v>7119</v>
      </c>
      <c r="AA1437" t="s">
        <v>3219</v>
      </c>
      <c r="AB1437" t="s">
        <v>37644</v>
      </c>
      <c r="AC1437" t="s">
        <v>34493</v>
      </c>
      <c r="AD1437" t="s">
        <v>9232</v>
      </c>
      <c r="AE1437" t="s">
        <v>34525</v>
      </c>
      <c r="AF1437" t="s">
        <v>37641</v>
      </c>
      <c r="AG1437" t="s">
        <v>37638</v>
      </c>
    </row>
    <row r="1438" spans="1:33" x14ac:dyDescent="0.25">
      <c r="A1438" t="s">
        <v>34462</v>
      </c>
      <c r="B1438" t="s">
        <v>7134</v>
      </c>
      <c r="C1438" t="s">
        <v>7136</v>
      </c>
      <c r="D1438">
        <v>52.65</v>
      </c>
      <c r="E1438">
        <v>52.65</v>
      </c>
      <c r="F1438">
        <v>1282059</v>
      </c>
      <c r="G1438">
        <v>819032</v>
      </c>
      <c r="H1438">
        <v>30.18</v>
      </c>
      <c r="I1438">
        <v>39.909999999999997</v>
      </c>
      <c r="J1438">
        <v>0.4</v>
      </c>
      <c r="K1438">
        <v>0.45</v>
      </c>
      <c r="L1438">
        <v>2</v>
      </c>
      <c r="M1438">
        <v>1</v>
      </c>
      <c r="N1438">
        <v>1</v>
      </c>
      <c r="O1438">
        <v>0</v>
      </c>
      <c r="P1438">
        <v>1</v>
      </c>
      <c r="Q1438">
        <v>3</v>
      </c>
      <c r="R1438">
        <v>15</v>
      </c>
      <c r="S1438" t="s">
        <v>37635</v>
      </c>
      <c r="U1438">
        <v>1.10010538</v>
      </c>
      <c r="V1438">
        <v>8.1999999999999993</v>
      </c>
      <c r="X1438" t="s">
        <v>7133</v>
      </c>
      <c r="Y1438" t="s">
        <v>7119</v>
      </c>
      <c r="Z1438" t="s">
        <v>7119</v>
      </c>
      <c r="AA1438" t="s">
        <v>7137</v>
      </c>
      <c r="AB1438" t="s">
        <v>37645</v>
      </c>
      <c r="AC1438" t="s">
        <v>34465</v>
      </c>
      <c r="AD1438" t="s">
        <v>9232</v>
      </c>
      <c r="AE1438" t="s">
        <v>34525</v>
      </c>
      <c r="AF1438" t="s">
        <v>37646</v>
      </c>
      <c r="AG1438" t="s">
        <v>37638</v>
      </c>
    </row>
    <row r="1439" spans="1:33" x14ac:dyDescent="0.25">
      <c r="A1439" t="s">
        <v>34462</v>
      </c>
      <c r="B1439" t="s">
        <v>7139</v>
      </c>
      <c r="C1439" t="s">
        <v>7142</v>
      </c>
      <c r="D1439">
        <v>27.05</v>
      </c>
      <c r="E1439">
        <v>19.100000000000001</v>
      </c>
      <c r="F1439">
        <v>1160188</v>
      </c>
      <c r="G1439">
        <v>1492080</v>
      </c>
      <c r="H1439">
        <v>29.01</v>
      </c>
      <c r="I1439">
        <v>25.79</v>
      </c>
      <c r="J1439">
        <v>0</v>
      </c>
      <c r="K1439">
        <v>1</v>
      </c>
      <c r="L1439">
        <v>1</v>
      </c>
      <c r="M1439">
        <v>1</v>
      </c>
      <c r="N1439">
        <v>5</v>
      </c>
      <c r="O1439">
        <v>0</v>
      </c>
      <c r="P1439">
        <v>6</v>
      </c>
      <c r="Q1439">
        <v>6</v>
      </c>
      <c r="R1439">
        <v>11</v>
      </c>
      <c r="S1439" t="s">
        <v>37647</v>
      </c>
      <c r="U1439">
        <v>0.35053457999999998</v>
      </c>
      <c r="V1439">
        <v>6.14</v>
      </c>
      <c r="W1439">
        <v>4.5999999999999996</v>
      </c>
      <c r="X1439" t="s">
        <v>7138</v>
      </c>
      <c r="Y1439" t="s">
        <v>37648</v>
      </c>
      <c r="AA1439" t="s">
        <v>76</v>
      </c>
      <c r="AB1439" t="s">
        <v>37649</v>
      </c>
      <c r="AC1439" t="s">
        <v>34465</v>
      </c>
      <c r="AD1439" t="s">
        <v>12519</v>
      </c>
      <c r="AE1439" t="s">
        <v>34525</v>
      </c>
      <c r="AF1439" t="s">
        <v>37650</v>
      </c>
      <c r="AG1439" t="s">
        <v>37651</v>
      </c>
    </row>
    <row r="1440" spans="1:33" x14ac:dyDescent="0.25">
      <c r="A1440" t="s">
        <v>34462</v>
      </c>
      <c r="B1440" t="s">
        <v>7144</v>
      </c>
      <c r="C1440" t="s">
        <v>7147</v>
      </c>
      <c r="D1440">
        <v>7.2</v>
      </c>
      <c r="E1440">
        <v>7.2</v>
      </c>
      <c r="F1440">
        <v>1972270</v>
      </c>
      <c r="G1440">
        <v>2139225</v>
      </c>
      <c r="H1440">
        <v>12.89</v>
      </c>
      <c r="I1440">
        <v>14.3</v>
      </c>
      <c r="J1440">
        <v>0</v>
      </c>
      <c r="K1440">
        <v>0.36</v>
      </c>
      <c r="L1440">
        <v>3</v>
      </c>
      <c r="M1440">
        <v>3</v>
      </c>
      <c r="N1440">
        <v>1</v>
      </c>
      <c r="O1440">
        <v>0</v>
      </c>
      <c r="P1440">
        <v>1</v>
      </c>
      <c r="Q1440">
        <v>2</v>
      </c>
      <c r="R1440">
        <v>4</v>
      </c>
      <c r="S1440" t="s">
        <v>37652</v>
      </c>
      <c r="U1440">
        <v>0.1543234</v>
      </c>
      <c r="V1440">
        <v>3.68</v>
      </c>
      <c r="W1440">
        <v>0.36</v>
      </c>
      <c r="X1440" t="s">
        <v>7143</v>
      </c>
      <c r="Y1440" t="s">
        <v>37653</v>
      </c>
      <c r="Z1440" t="s">
        <v>7148</v>
      </c>
      <c r="AA1440" t="s">
        <v>7149</v>
      </c>
      <c r="AB1440" t="s">
        <v>37654</v>
      </c>
      <c r="AC1440" t="s">
        <v>34493</v>
      </c>
      <c r="AD1440" t="s">
        <v>10820</v>
      </c>
      <c r="AE1440" t="s">
        <v>34533</v>
      </c>
      <c r="AF1440" t="s">
        <v>37655</v>
      </c>
      <c r="AG1440" t="s">
        <v>37656</v>
      </c>
    </row>
    <row r="1441" spans="1:33" x14ac:dyDescent="0.25">
      <c r="A1441" t="s">
        <v>34462</v>
      </c>
      <c r="B1441" t="s">
        <v>7151</v>
      </c>
      <c r="C1441" t="s">
        <v>7153</v>
      </c>
      <c r="D1441">
        <v>7.2</v>
      </c>
      <c r="E1441">
        <v>7.2</v>
      </c>
      <c r="F1441">
        <v>2014125</v>
      </c>
      <c r="G1441">
        <v>2175193</v>
      </c>
      <c r="H1441">
        <v>13.4</v>
      </c>
      <c r="I1441">
        <v>14.3</v>
      </c>
      <c r="J1441">
        <v>0</v>
      </c>
      <c r="K1441">
        <v>0</v>
      </c>
      <c r="L1441">
        <v>2</v>
      </c>
      <c r="M1441">
        <v>2</v>
      </c>
      <c r="N1441">
        <v>1</v>
      </c>
      <c r="O1441">
        <v>1</v>
      </c>
      <c r="P1441">
        <v>1</v>
      </c>
      <c r="Q1441">
        <v>2</v>
      </c>
      <c r="R1441">
        <v>4</v>
      </c>
      <c r="S1441" t="s">
        <v>37652</v>
      </c>
      <c r="U1441">
        <v>0.1543234</v>
      </c>
      <c r="V1441">
        <v>5.13</v>
      </c>
      <c r="W1441">
        <v>0.36</v>
      </c>
      <c r="X1441" t="s">
        <v>7150</v>
      </c>
      <c r="Y1441" t="s">
        <v>37657</v>
      </c>
      <c r="Z1441" t="s">
        <v>7154</v>
      </c>
      <c r="AA1441" t="s">
        <v>7149</v>
      </c>
      <c r="AB1441" t="s">
        <v>37658</v>
      </c>
      <c r="AC1441" t="s">
        <v>34493</v>
      </c>
      <c r="AD1441" t="s">
        <v>10820</v>
      </c>
      <c r="AE1441" t="s">
        <v>14701</v>
      </c>
      <c r="AF1441" t="s">
        <v>37655</v>
      </c>
      <c r="AG1441" t="s">
        <v>37659</v>
      </c>
    </row>
    <row r="1442" spans="1:33" x14ac:dyDescent="0.25">
      <c r="A1442" t="s">
        <v>34462</v>
      </c>
      <c r="B1442" t="s">
        <v>7156</v>
      </c>
      <c r="C1442" t="s">
        <v>7159</v>
      </c>
      <c r="D1442">
        <v>32.07</v>
      </c>
      <c r="E1442">
        <v>32.07</v>
      </c>
      <c r="F1442">
        <v>24289</v>
      </c>
      <c r="G1442">
        <v>12562</v>
      </c>
      <c r="H1442">
        <v>32.450000000000003</v>
      </c>
      <c r="I1442">
        <v>33.67</v>
      </c>
      <c r="J1442">
        <v>0</v>
      </c>
      <c r="K1442">
        <v>0</v>
      </c>
      <c r="L1442">
        <v>2</v>
      </c>
      <c r="M1442">
        <v>2</v>
      </c>
      <c r="N1442">
        <v>4.4000000000000004</v>
      </c>
      <c r="O1442">
        <v>16</v>
      </c>
      <c r="P1442">
        <v>2300</v>
      </c>
      <c r="Q1442">
        <v>33</v>
      </c>
      <c r="R1442">
        <v>120</v>
      </c>
      <c r="S1442" t="s">
        <v>37660</v>
      </c>
      <c r="U1442">
        <v>1.2808842199999999</v>
      </c>
      <c r="V1442">
        <v>6.86</v>
      </c>
      <c r="W1442">
        <v>5.45</v>
      </c>
      <c r="X1442" t="s">
        <v>7155</v>
      </c>
      <c r="Y1442" t="s">
        <v>37661</v>
      </c>
      <c r="Z1442" t="s">
        <v>7160</v>
      </c>
      <c r="AA1442" t="s">
        <v>7161</v>
      </c>
      <c r="AB1442" t="s">
        <v>37662</v>
      </c>
      <c r="AC1442" t="s">
        <v>34493</v>
      </c>
      <c r="AD1442" t="s">
        <v>8979</v>
      </c>
      <c r="AE1442" t="s">
        <v>36033</v>
      </c>
      <c r="AF1442" t="s">
        <v>37663</v>
      </c>
      <c r="AG1442" t="s">
        <v>37664</v>
      </c>
    </row>
    <row r="1443" spans="1:33" x14ac:dyDescent="0.25">
      <c r="A1443" t="s">
        <v>34462</v>
      </c>
      <c r="B1443" t="s">
        <v>7163</v>
      </c>
      <c r="C1443" t="s">
        <v>7165</v>
      </c>
      <c r="D1443">
        <v>32.07</v>
      </c>
      <c r="E1443">
        <v>32.07</v>
      </c>
      <c r="F1443">
        <v>24289</v>
      </c>
      <c r="G1443">
        <v>12480</v>
      </c>
      <c r="H1443">
        <v>32.6</v>
      </c>
      <c r="I1443">
        <v>33.86</v>
      </c>
      <c r="J1443">
        <v>0</v>
      </c>
      <c r="K1443">
        <v>0.01</v>
      </c>
      <c r="L1443">
        <v>2</v>
      </c>
      <c r="M1443">
        <v>2</v>
      </c>
      <c r="N1443">
        <v>4.4000000000000004</v>
      </c>
      <c r="O1443">
        <v>4</v>
      </c>
      <c r="P1443">
        <v>2300</v>
      </c>
      <c r="Q1443">
        <v>38</v>
      </c>
      <c r="R1443">
        <v>133</v>
      </c>
      <c r="S1443" t="s">
        <v>37660</v>
      </c>
      <c r="U1443">
        <v>1.3867059799999999</v>
      </c>
      <c r="V1443">
        <v>6.67</v>
      </c>
      <c r="W1443">
        <v>5.45</v>
      </c>
      <c r="X1443" t="s">
        <v>7162</v>
      </c>
      <c r="Y1443" t="s">
        <v>37665</v>
      </c>
      <c r="Z1443" t="s">
        <v>7160</v>
      </c>
      <c r="AA1443" t="s">
        <v>7161</v>
      </c>
      <c r="AB1443" t="s">
        <v>37666</v>
      </c>
      <c r="AC1443" t="s">
        <v>34493</v>
      </c>
      <c r="AD1443" t="s">
        <v>8979</v>
      </c>
      <c r="AE1443" t="s">
        <v>36043</v>
      </c>
      <c r="AF1443" t="s">
        <v>37663</v>
      </c>
      <c r="AG1443" t="s">
        <v>37664</v>
      </c>
    </row>
    <row r="1444" spans="1:33" x14ac:dyDescent="0.25">
      <c r="A1444" t="s">
        <v>34462</v>
      </c>
      <c r="B1444" t="s">
        <v>7167</v>
      </c>
      <c r="C1444" t="s">
        <v>7169</v>
      </c>
      <c r="D1444">
        <v>33.99</v>
      </c>
      <c r="E1444">
        <v>33.99</v>
      </c>
      <c r="F1444">
        <v>24851</v>
      </c>
      <c r="G1444">
        <v>12465</v>
      </c>
      <c r="H1444">
        <v>33.89</v>
      </c>
      <c r="I1444">
        <v>35.299999999999997</v>
      </c>
      <c r="J1444">
        <v>0</v>
      </c>
      <c r="K1444">
        <v>0</v>
      </c>
      <c r="L1444">
        <v>1</v>
      </c>
      <c r="M1444">
        <v>1</v>
      </c>
      <c r="N1444">
        <v>4.4000000000000004</v>
      </c>
      <c r="O1444">
        <v>3</v>
      </c>
      <c r="P1444">
        <v>2299</v>
      </c>
      <c r="Q1444">
        <v>26</v>
      </c>
      <c r="R1444">
        <v>96</v>
      </c>
      <c r="S1444" t="s">
        <v>37660</v>
      </c>
      <c r="U1444">
        <v>1.25883802</v>
      </c>
      <c r="V1444">
        <v>6.05</v>
      </c>
      <c r="W1444">
        <v>5.78</v>
      </c>
      <c r="X1444" t="s">
        <v>7166</v>
      </c>
      <c r="Y1444" t="s">
        <v>37667</v>
      </c>
      <c r="Z1444" t="s">
        <v>7160</v>
      </c>
      <c r="AA1444" t="s">
        <v>7170</v>
      </c>
      <c r="AB1444" t="s">
        <v>37668</v>
      </c>
      <c r="AC1444" t="s">
        <v>34493</v>
      </c>
      <c r="AD1444" t="s">
        <v>8979</v>
      </c>
      <c r="AE1444" t="s">
        <v>36043</v>
      </c>
      <c r="AF1444" t="s">
        <v>37669</v>
      </c>
      <c r="AG1444" t="s">
        <v>37664</v>
      </c>
    </row>
    <row r="1445" spans="1:33" x14ac:dyDescent="0.25">
      <c r="A1445" t="s">
        <v>34462</v>
      </c>
      <c r="B1445" t="s">
        <v>7172</v>
      </c>
      <c r="C1445" t="s">
        <v>7174</v>
      </c>
      <c r="D1445">
        <v>32.07</v>
      </c>
      <c r="E1445">
        <v>32.07</v>
      </c>
      <c r="F1445">
        <v>24289</v>
      </c>
      <c r="G1445">
        <v>12479</v>
      </c>
      <c r="H1445">
        <v>32.659999999999997</v>
      </c>
      <c r="I1445">
        <v>33.880000000000003</v>
      </c>
      <c r="J1445">
        <v>0</v>
      </c>
      <c r="K1445">
        <v>0.01</v>
      </c>
      <c r="L1445">
        <v>2</v>
      </c>
      <c r="M1445">
        <v>2</v>
      </c>
      <c r="N1445">
        <v>4.4000000000000004</v>
      </c>
      <c r="O1445">
        <v>5</v>
      </c>
      <c r="P1445">
        <v>2300</v>
      </c>
      <c r="Q1445">
        <v>33</v>
      </c>
      <c r="R1445">
        <v>109</v>
      </c>
      <c r="S1445" t="s">
        <v>37660</v>
      </c>
      <c r="U1445">
        <v>1.433003</v>
      </c>
      <c r="V1445">
        <v>6.67</v>
      </c>
      <c r="W1445">
        <v>5.45</v>
      </c>
      <c r="X1445" t="s">
        <v>7171</v>
      </c>
      <c r="Y1445" t="s">
        <v>37670</v>
      </c>
      <c r="Z1445" t="s">
        <v>7160</v>
      </c>
      <c r="AA1445" t="s">
        <v>7161</v>
      </c>
      <c r="AB1445" t="s">
        <v>37671</v>
      </c>
      <c r="AC1445" t="s">
        <v>34493</v>
      </c>
      <c r="AD1445" t="s">
        <v>8979</v>
      </c>
      <c r="AE1445" t="s">
        <v>34839</v>
      </c>
      <c r="AF1445" t="s">
        <v>37663</v>
      </c>
      <c r="AG1445" t="s">
        <v>37664</v>
      </c>
    </row>
    <row r="1446" spans="1:33" x14ac:dyDescent="0.25">
      <c r="A1446" t="s">
        <v>34462</v>
      </c>
      <c r="B1446" t="s">
        <v>7176</v>
      </c>
      <c r="C1446" t="s">
        <v>7178</v>
      </c>
      <c r="D1446">
        <v>33.99</v>
      </c>
      <c r="E1446">
        <v>33.99</v>
      </c>
      <c r="F1446">
        <v>24851</v>
      </c>
      <c r="G1446">
        <v>12481</v>
      </c>
      <c r="H1446">
        <v>33.799999999999997</v>
      </c>
      <c r="I1446">
        <v>34.090000000000003</v>
      </c>
      <c r="J1446">
        <v>0</v>
      </c>
      <c r="K1446">
        <v>0</v>
      </c>
      <c r="L1446">
        <v>1</v>
      </c>
      <c r="M1446">
        <v>1</v>
      </c>
      <c r="N1446">
        <v>4.4000000000000004</v>
      </c>
      <c r="O1446">
        <v>1</v>
      </c>
      <c r="P1446">
        <v>2300</v>
      </c>
      <c r="Q1446">
        <v>31</v>
      </c>
      <c r="R1446">
        <v>95</v>
      </c>
      <c r="S1446" t="s">
        <v>37660</v>
      </c>
      <c r="U1446">
        <v>0.87302952</v>
      </c>
      <c r="V1446">
        <v>5.82</v>
      </c>
      <c r="W1446">
        <v>5.78</v>
      </c>
      <c r="X1446" t="s">
        <v>7175</v>
      </c>
      <c r="Y1446" t="s">
        <v>37672</v>
      </c>
      <c r="Z1446" t="s">
        <v>7160</v>
      </c>
      <c r="AA1446" t="s">
        <v>7170</v>
      </c>
      <c r="AB1446" t="s">
        <v>37673</v>
      </c>
      <c r="AC1446" t="s">
        <v>34493</v>
      </c>
      <c r="AD1446" t="s">
        <v>8979</v>
      </c>
      <c r="AE1446" t="s">
        <v>34839</v>
      </c>
      <c r="AF1446" t="s">
        <v>37669</v>
      </c>
      <c r="AG1446" t="s">
        <v>37664</v>
      </c>
    </row>
    <row r="1447" spans="1:33" x14ac:dyDescent="0.25">
      <c r="A1447" t="s">
        <v>34462</v>
      </c>
      <c r="B1447" t="s">
        <v>7180</v>
      </c>
      <c r="C1447" t="s">
        <v>7182</v>
      </c>
      <c r="D1447">
        <v>31.95</v>
      </c>
      <c r="E1447">
        <v>31.95</v>
      </c>
      <c r="F1447">
        <v>24289</v>
      </c>
      <c r="G1447">
        <v>12528</v>
      </c>
      <c r="H1447">
        <v>32.96</v>
      </c>
      <c r="I1447">
        <v>35.81</v>
      </c>
      <c r="J1447">
        <v>0</v>
      </c>
      <c r="K1447">
        <v>0</v>
      </c>
      <c r="L1447">
        <v>2</v>
      </c>
      <c r="M1447">
        <v>2</v>
      </c>
      <c r="N1447">
        <v>4.4000000000000004</v>
      </c>
      <c r="O1447">
        <v>5</v>
      </c>
      <c r="P1447">
        <v>2300</v>
      </c>
      <c r="Q1447">
        <v>40</v>
      </c>
      <c r="R1447">
        <v>126</v>
      </c>
      <c r="S1447" t="s">
        <v>37660</v>
      </c>
      <c r="U1447">
        <v>1.37347826</v>
      </c>
      <c r="V1447">
        <v>6.67</v>
      </c>
      <c r="W1447">
        <v>5.43</v>
      </c>
      <c r="X1447" t="s">
        <v>7179</v>
      </c>
      <c r="Y1447" t="s">
        <v>37674</v>
      </c>
      <c r="Z1447" t="s">
        <v>7160</v>
      </c>
      <c r="AA1447" t="s">
        <v>7183</v>
      </c>
      <c r="AB1447" t="s">
        <v>37675</v>
      </c>
      <c r="AC1447" t="s">
        <v>34493</v>
      </c>
      <c r="AD1447" t="s">
        <v>8979</v>
      </c>
      <c r="AE1447" t="s">
        <v>34839</v>
      </c>
      <c r="AF1447" t="s">
        <v>37676</v>
      </c>
      <c r="AG1447" t="s">
        <v>37664</v>
      </c>
    </row>
    <row r="1448" spans="1:33" x14ac:dyDescent="0.25">
      <c r="A1448" t="s">
        <v>34462</v>
      </c>
      <c r="B1448" t="s">
        <v>7185</v>
      </c>
      <c r="C1448" t="s">
        <v>7188</v>
      </c>
      <c r="D1448">
        <v>32.49</v>
      </c>
      <c r="E1448">
        <v>32.49</v>
      </c>
      <c r="F1448">
        <v>765174</v>
      </c>
      <c r="G1448">
        <v>706308</v>
      </c>
      <c r="H1448">
        <v>74.959999999999994</v>
      </c>
      <c r="I1448">
        <v>81.2</v>
      </c>
      <c r="J1448">
        <v>0</v>
      </c>
      <c r="K1448">
        <v>0</v>
      </c>
      <c r="L1448">
        <v>5</v>
      </c>
      <c r="M1448">
        <v>5</v>
      </c>
      <c r="N1448">
        <v>4.3</v>
      </c>
      <c r="O1448">
        <v>0</v>
      </c>
      <c r="P1448">
        <v>6</v>
      </c>
      <c r="Q1448">
        <v>15</v>
      </c>
      <c r="R1448">
        <v>35</v>
      </c>
      <c r="S1448" t="s">
        <v>37677</v>
      </c>
      <c r="U1448">
        <v>3.8602896200000001</v>
      </c>
      <c r="V1448">
        <v>8.52</v>
      </c>
      <c r="W1448">
        <v>4.87</v>
      </c>
      <c r="X1448" t="s">
        <v>7184</v>
      </c>
      <c r="Y1448" t="s">
        <v>7189</v>
      </c>
      <c r="Z1448" t="s">
        <v>7189</v>
      </c>
      <c r="AA1448" t="s">
        <v>7190</v>
      </c>
      <c r="AB1448" t="s">
        <v>37678</v>
      </c>
      <c r="AC1448" t="s">
        <v>34493</v>
      </c>
      <c r="AD1448" t="s">
        <v>8301</v>
      </c>
      <c r="AE1448" t="s">
        <v>106</v>
      </c>
      <c r="AF1448" t="s">
        <v>37679</v>
      </c>
      <c r="AG1448" t="s">
        <v>37680</v>
      </c>
    </row>
    <row r="1449" spans="1:33" x14ac:dyDescent="0.25">
      <c r="A1449" t="s">
        <v>34462</v>
      </c>
      <c r="B1449" t="s">
        <v>7192</v>
      </c>
      <c r="C1449" t="s">
        <v>7194</v>
      </c>
      <c r="D1449">
        <v>32.49</v>
      </c>
      <c r="E1449">
        <v>32.49</v>
      </c>
      <c r="F1449">
        <v>765174</v>
      </c>
      <c r="G1449">
        <v>731538</v>
      </c>
      <c r="H1449">
        <v>58.07</v>
      </c>
      <c r="I1449">
        <v>72.67</v>
      </c>
      <c r="J1449">
        <v>0</v>
      </c>
      <c r="K1449">
        <v>0</v>
      </c>
      <c r="L1449">
        <v>4</v>
      </c>
      <c r="M1449">
        <v>4</v>
      </c>
      <c r="N1449">
        <v>4.7</v>
      </c>
      <c r="O1449">
        <v>0</v>
      </c>
      <c r="P1449">
        <v>4</v>
      </c>
      <c r="Q1449">
        <v>15</v>
      </c>
      <c r="R1449">
        <v>36</v>
      </c>
      <c r="S1449" t="s">
        <v>37677</v>
      </c>
      <c r="U1449">
        <v>3.9198143600000002</v>
      </c>
      <c r="V1449">
        <v>8.44</v>
      </c>
      <c r="W1449">
        <v>4.87</v>
      </c>
      <c r="X1449" t="s">
        <v>7191</v>
      </c>
      <c r="Y1449" t="s">
        <v>7189</v>
      </c>
      <c r="Z1449" t="s">
        <v>7189</v>
      </c>
      <c r="AA1449" t="s">
        <v>7190</v>
      </c>
      <c r="AB1449" t="s">
        <v>37681</v>
      </c>
      <c r="AC1449" t="s">
        <v>34493</v>
      </c>
      <c r="AD1449" t="s">
        <v>8301</v>
      </c>
      <c r="AE1449" t="s">
        <v>11421</v>
      </c>
      <c r="AF1449" t="s">
        <v>37679</v>
      </c>
      <c r="AG1449" t="s">
        <v>37680</v>
      </c>
    </row>
    <row r="1450" spans="1:33" x14ac:dyDescent="0.25">
      <c r="A1450" t="s">
        <v>34462</v>
      </c>
      <c r="B1450" t="s">
        <v>7196</v>
      </c>
      <c r="C1450" t="s">
        <v>7198</v>
      </c>
      <c r="D1450">
        <v>32.49</v>
      </c>
      <c r="E1450">
        <v>32.49</v>
      </c>
      <c r="F1450">
        <v>765174</v>
      </c>
      <c r="G1450">
        <v>737254</v>
      </c>
      <c r="H1450">
        <v>64.209999999999994</v>
      </c>
      <c r="I1450">
        <v>77.099999999999994</v>
      </c>
      <c r="J1450">
        <v>0</v>
      </c>
      <c r="K1450">
        <v>0</v>
      </c>
      <c r="L1450">
        <v>4</v>
      </c>
      <c r="M1450">
        <v>4</v>
      </c>
      <c r="N1450">
        <v>4.3</v>
      </c>
      <c r="O1450">
        <v>0</v>
      </c>
      <c r="P1450">
        <v>5</v>
      </c>
      <c r="Q1450">
        <v>20</v>
      </c>
      <c r="R1450">
        <v>45</v>
      </c>
      <c r="S1450" t="s">
        <v>37677</v>
      </c>
      <c r="U1450">
        <v>3.9506790399999998</v>
      </c>
      <c r="V1450">
        <v>8.52</v>
      </c>
      <c r="W1450">
        <v>4.88</v>
      </c>
      <c r="X1450" t="s">
        <v>7195</v>
      </c>
      <c r="Y1450" t="s">
        <v>7189</v>
      </c>
      <c r="Z1450" t="s">
        <v>7189</v>
      </c>
      <c r="AA1450" t="s">
        <v>7190</v>
      </c>
      <c r="AB1450" t="s">
        <v>37682</v>
      </c>
      <c r="AC1450" t="s">
        <v>34493</v>
      </c>
      <c r="AD1450" t="s">
        <v>8301</v>
      </c>
      <c r="AE1450" t="s">
        <v>88</v>
      </c>
      <c r="AF1450" t="s">
        <v>37679</v>
      </c>
      <c r="AG1450" t="s">
        <v>37680</v>
      </c>
    </row>
    <row r="1451" spans="1:33" x14ac:dyDescent="0.25">
      <c r="A1451" t="s">
        <v>34462</v>
      </c>
      <c r="B1451" t="s">
        <v>7200</v>
      </c>
      <c r="C1451" t="s">
        <v>7202</v>
      </c>
      <c r="D1451">
        <v>32.49</v>
      </c>
      <c r="E1451">
        <v>32.49</v>
      </c>
      <c r="F1451">
        <v>694537</v>
      </c>
      <c r="G1451">
        <v>730768</v>
      </c>
      <c r="H1451">
        <v>64.39</v>
      </c>
      <c r="I1451">
        <v>76.03</v>
      </c>
      <c r="J1451">
        <v>0</v>
      </c>
      <c r="K1451">
        <v>0</v>
      </c>
      <c r="L1451">
        <v>4</v>
      </c>
      <c r="M1451">
        <v>4</v>
      </c>
      <c r="N1451">
        <v>4.3</v>
      </c>
      <c r="O1451">
        <v>1</v>
      </c>
      <c r="P1451">
        <v>6</v>
      </c>
      <c r="Q1451">
        <v>16</v>
      </c>
      <c r="R1451">
        <v>42</v>
      </c>
      <c r="S1451" t="s">
        <v>37677</v>
      </c>
      <c r="U1451">
        <v>3.8999727800000001</v>
      </c>
      <c r="V1451">
        <v>12.65</v>
      </c>
      <c r="W1451">
        <v>4.87</v>
      </c>
      <c r="X1451" t="s">
        <v>7199</v>
      </c>
      <c r="Y1451" t="s">
        <v>7189</v>
      </c>
      <c r="Z1451" t="s">
        <v>7189</v>
      </c>
      <c r="AA1451" t="s">
        <v>7190</v>
      </c>
      <c r="AB1451" t="s">
        <v>37683</v>
      </c>
      <c r="AC1451" t="s">
        <v>34493</v>
      </c>
      <c r="AD1451" t="s">
        <v>8301</v>
      </c>
      <c r="AE1451" t="s">
        <v>7966</v>
      </c>
      <c r="AF1451" t="s">
        <v>37684</v>
      </c>
      <c r="AG1451" t="s">
        <v>37680</v>
      </c>
    </row>
    <row r="1452" spans="1:33" x14ac:dyDescent="0.25">
      <c r="A1452" t="s">
        <v>34462</v>
      </c>
      <c r="B1452" t="s">
        <v>7204</v>
      </c>
      <c r="C1452" t="s">
        <v>7206</v>
      </c>
      <c r="D1452">
        <v>32.49</v>
      </c>
      <c r="E1452">
        <v>32.49</v>
      </c>
      <c r="F1452">
        <v>765174</v>
      </c>
      <c r="G1452">
        <v>726582</v>
      </c>
      <c r="H1452">
        <v>71.5</v>
      </c>
      <c r="I1452">
        <v>80.040000000000006</v>
      </c>
      <c r="J1452">
        <v>0</v>
      </c>
      <c r="K1452">
        <v>0</v>
      </c>
      <c r="L1452">
        <v>5</v>
      </c>
      <c r="M1452">
        <v>4</v>
      </c>
      <c r="N1452">
        <v>4.3</v>
      </c>
      <c r="O1452">
        <v>0</v>
      </c>
      <c r="P1452">
        <v>6</v>
      </c>
      <c r="Q1452">
        <v>15</v>
      </c>
      <c r="R1452">
        <v>43</v>
      </c>
      <c r="S1452" t="s">
        <v>37677</v>
      </c>
      <c r="U1452">
        <v>3.9903621999999999</v>
      </c>
      <c r="V1452">
        <v>8.6</v>
      </c>
      <c r="W1452">
        <v>4.87</v>
      </c>
      <c r="X1452" t="s">
        <v>7203</v>
      </c>
      <c r="Y1452" t="s">
        <v>7189</v>
      </c>
      <c r="Z1452" t="s">
        <v>7189</v>
      </c>
      <c r="AA1452" t="s">
        <v>7190</v>
      </c>
      <c r="AB1452" t="s">
        <v>37685</v>
      </c>
      <c r="AC1452" t="s">
        <v>34493</v>
      </c>
      <c r="AD1452" t="s">
        <v>8301</v>
      </c>
      <c r="AE1452" t="s">
        <v>131</v>
      </c>
      <c r="AF1452" t="s">
        <v>37679</v>
      </c>
      <c r="AG1452" t="s">
        <v>37680</v>
      </c>
    </row>
    <row r="1453" spans="1:33" x14ac:dyDescent="0.25">
      <c r="A1453" t="s">
        <v>34462</v>
      </c>
      <c r="B1453" t="s">
        <v>7208</v>
      </c>
      <c r="C1453" t="s">
        <v>7210</v>
      </c>
      <c r="D1453">
        <v>32.49</v>
      </c>
      <c r="E1453">
        <v>32.49</v>
      </c>
      <c r="F1453">
        <v>765174</v>
      </c>
      <c r="G1453">
        <v>732329</v>
      </c>
      <c r="H1453">
        <v>67.05</v>
      </c>
      <c r="I1453">
        <v>77.989999999999995</v>
      </c>
      <c r="J1453">
        <v>0</v>
      </c>
      <c r="K1453">
        <v>0</v>
      </c>
      <c r="L1453">
        <v>5</v>
      </c>
      <c r="M1453">
        <v>4</v>
      </c>
      <c r="N1453">
        <v>4.3</v>
      </c>
      <c r="O1453">
        <v>1</v>
      </c>
      <c r="P1453">
        <v>5</v>
      </c>
      <c r="Q1453">
        <v>14</v>
      </c>
      <c r="R1453">
        <v>35</v>
      </c>
      <c r="S1453" t="s">
        <v>37677</v>
      </c>
      <c r="U1453">
        <v>4.3210552</v>
      </c>
      <c r="V1453">
        <v>8.6</v>
      </c>
      <c r="W1453">
        <v>4.87</v>
      </c>
      <c r="X1453" t="s">
        <v>7207</v>
      </c>
      <c r="Y1453" t="s">
        <v>7189</v>
      </c>
      <c r="Z1453" t="s">
        <v>7189</v>
      </c>
      <c r="AA1453" t="s">
        <v>7190</v>
      </c>
      <c r="AB1453" t="s">
        <v>37686</v>
      </c>
      <c r="AC1453" t="s">
        <v>34493</v>
      </c>
      <c r="AD1453" t="s">
        <v>8301</v>
      </c>
      <c r="AE1453" t="s">
        <v>7967</v>
      </c>
      <c r="AF1453" t="s">
        <v>37679</v>
      </c>
      <c r="AG1453" t="s">
        <v>37680</v>
      </c>
    </row>
    <row r="1454" spans="1:33" x14ac:dyDescent="0.25">
      <c r="A1454" t="s">
        <v>34462</v>
      </c>
      <c r="B1454" t="s">
        <v>7212</v>
      </c>
      <c r="C1454" t="s">
        <v>7215</v>
      </c>
      <c r="D1454">
        <v>25.54</v>
      </c>
      <c r="E1454">
        <v>25.54</v>
      </c>
      <c r="F1454">
        <v>3437320</v>
      </c>
      <c r="G1454">
        <v>606525</v>
      </c>
      <c r="H1454">
        <v>25.98</v>
      </c>
      <c r="I1454">
        <v>26.91</v>
      </c>
      <c r="J1454">
        <v>0</v>
      </c>
      <c r="K1454">
        <v>1</v>
      </c>
      <c r="L1454">
        <v>2</v>
      </c>
      <c r="M1454">
        <v>2</v>
      </c>
      <c r="O1454">
        <v>0</v>
      </c>
      <c r="Q1454">
        <v>6</v>
      </c>
      <c r="R1454">
        <v>76</v>
      </c>
      <c r="U1454">
        <v>0.39903622</v>
      </c>
      <c r="V1454">
        <v>4.3899999999999997</v>
      </c>
      <c r="W1454">
        <v>4.34</v>
      </c>
      <c r="X1454" t="s">
        <v>7211</v>
      </c>
      <c r="AA1454" t="s">
        <v>7216</v>
      </c>
      <c r="AB1454" t="s">
        <v>37687</v>
      </c>
      <c r="AC1454" t="s">
        <v>34465</v>
      </c>
      <c r="AD1454" t="s">
        <v>11496</v>
      </c>
      <c r="AE1454" t="s">
        <v>34832</v>
      </c>
      <c r="AF1454" t="s">
        <v>37688</v>
      </c>
    </row>
    <row r="1455" spans="1:33" x14ac:dyDescent="0.25">
      <c r="A1455" t="s">
        <v>34462</v>
      </c>
      <c r="B1455" t="s">
        <v>7218</v>
      </c>
      <c r="C1455" t="s">
        <v>7221</v>
      </c>
      <c r="D1455">
        <v>17.940000000000001</v>
      </c>
      <c r="E1455">
        <v>9.9499999999999993</v>
      </c>
      <c r="F1455">
        <v>3478016</v>
      </c>
      <c r="G1455">
        <v>2600963</v>
      </c>
      <c r="H1455">
        <v>21.48</v>
      </c>
      <c r="I1455">
        <v>27.84</v>
      </c>
      <c r="J1455">
        <v>0</v>
      </c>
      <c r="K1455">
        <v>1</v>
      </c>
      <c r="L1455">
        <v>2</v>
      </c>
      <c r="M1455">
        <v>1</v>
      </c>
      <c r="N1455">
        <v>4</v>
      </c>
      <c r="O1455">
        <v>0</v>
      </c>
      <c r="P1455">
        <v>1</v>
      </c>
      <c r="Q1455">
        <v>0</v>
      </c>
      <c r="R1455">
        <v>3</v>
      </c>
      <c r="S1455" t="s">
        <v>37689</v>
      </c>
      <c r="U1455">
        <v>0.74957079999999998</v>
      </c>
      <c r="V1455">
        <v>5.9</v>
      </c>
      <c r="W1455">
        <v>1.79</v>
      </c>
      <c r="X1455" t="s">
        <v>7217</v>
      </c>
      <c r="Y1455" t="s">
        <v>37690</v>
      </c>
      <c r="Z1455" t="s">
        <v>7222</v>
      </c>
      <c r="AA1455" t="s">
        <v>76</v>
      </c>
      <c r="AB1455" t="s">
        <v>37691</v>
      </c>
      <c r="AC1455" t="s">
        <v>34465</v>
      </c>
      <c r="AD1455" t="s">
        <v>16164</v>
      </c>
      <c r="AE1455" t="s">
        <v>14701</v>
      </c>
      <c r="AF1455" t="s">
        <v>37692</v>
      </c>
      <c r="AG1455" t="s">
        <v>37693</v>
      </c>
    </row>
    <row r="1456" spans="1:33" x14ac:dyDescent="0.25">
      <c r="A1456" t="s">
        <v>34462</v>
      </c>
      <c r="B1456" t="s">
        <v>7224</v>
      </c>
      <c r="C1456" t="s">
        <v>7221</v>
      </c>
      <c r="D1456">
        <v>9.9499999999999993</v>
      </c>
      <c r="E1456">
        <v>9.9499999999999993</v>
      </c>
      <c r="H1456">
        <v>17.940000000000001</v>
      </c>
      <c r="I1456">
        <v>17.940000000000001</v>
      </c>
      <c r="J1456">
        <v>0</v>
      </c>
      <c r="K1456">
        <v>1</v>
      </c>
      <c r="L1456">
        <v>2</v>
      </c>
      <c r="M1456">
        <v>1</v>
      </c>
      <c r="N1456">
        <v>4</v>
      </c>
      <c r="O1456">
        <v>0</v>
      </c>
      <c r="P1456">
        <v>1</v>
      </c>
      <c r="Q1456">
        <v>-1</v>
      </c>
      <c r="R1456">
        <v>-1</v>
      </c>
      <c r="S1456" t="s">
        <v>37689</v>
      </c>
      <c r="U1456">
        <v>0.71870612</v>
      </c>
      <c r="V1456">
        <v>5.9</v>
      </c>
      <c r="X1456" t="s">
        <v>7223</v>
      </c>
      <c r="Y1456" t="s">
        <v>7226</v>
      </c>
      <c r="Z1456" t="s">
        <v>7226</v>
      </c>
      <c r="AA1456" t="s">
        <v>76</v>
      </c>
      <c r="AB1456" t="s">
        <v>37694</v>
      </c>
      <c r="AC1456" t="s">
        <v>34465</v>
      </c>
      <c r="AD1456" t="s">
        <v>16164</v>
      </c>
      <c r="AE1456" t="s">
        <v>34525</v>
      </c>
      <c r="AF1456" t="s">
        <v>37692</v>
      </c>
      <c r="AG1456" t="s">
        <v>37693</v>
      </c>
    </row>
    <row r="1457" spans="1:33" x14ac:dyDescent="0.25">
      <c r="A1457" t="s">
        <v>34462</v>
      </c>
      <c r="B1457" t="s">
        <v>7228</v>
      </c>
      <c r="C1457" t="s">
        <v>7231</v>
      </c>
      <c r="D1457">
        <v>26.95</v>
      </c>
      <c r="E1457">
        <v>26.95</v>
      </c>
      <c r="F1457">
        <v>1376983</v>
      </c>
      <c r="G1457">
        <v>1619902</v>
      </c>
      <c r="I1457">
        <v>30.27</v>
      </c>
      <c r="J1457">
        <v>0</v>
      </c>
      <c r="K1457">
        <v>1</v>
      </c>
      <c r="L1457">
        <v>2</v>
      </c>
      <c r="M1457">
        <v>2</v>
      </c>
      <c r="N1457">
        <v>4.9000000000000004</v>
      </c>
      <c r="O1457">
        <v>0</v>
      </c>
      <c r="P1457">
        <v>23</v>
      </c>
      <c r="Q1457">
        <v>3</v>
      </c>
      <c r="R1457">
        <v>32</v>
      </c>
      <c r="S1457" t="s">
        <v>37695</v>
      </c>
      <c r="U1457">
        <v>0.50044874000000006</v>
      </c>
      <c r="V1457">
        <v>6.05</v>
      </c>
      <c r="X1457" t="s">
        <v>7227</v>
      </c>
      <c r="AA1457" t="s">
        <v>935</v>
      </c>
      <c r="AB1457" t="s">
        <v>37696</v>
      </c>
      <c r="AC1457" t="s">
        <v>34465</v>
      </c>
      <c r="AD1457" t="s">
        <v>11496</v>
      </c>
      <c r="AE1457" t="s">
        <v>34826</v>
      </c>
      <c r="AF1457" t="s">
        <v>37697</v>
      </c>
      <c r="AG1457" t="s">
        <v>37698</v>
      </c>
    </row>
    <row r="1458" spans="1:33" x14ac:dyDescent="0.25">
      <c r="A1458" t="s">
        <v>34462</v>
      </c>
      <c r="B1458" t="s">
        <v>7233</v>
      </c>
      <c r="C1458" t="s">
        <v>7235</v>
      </c>
      <c r="D1458">
        <v>28.9</v>
      </c>
      <c r="E1458">
        <v>28.8</v>
      </c>
      <c r="H1458">
        <v>30.79</v>
      </c>
      <c r="I1458">
        <v>30.68</v>
      </c>
      <c r="J1458">
        <v>0</v>
      </c>
      <c r="K1458">
        <v>1</v>
      </c>
      <c r="L1458">
        <v>2</v>
      </c>
      <c r="M1458">
        <v>3</v>
      </c>
      <c r="N1458">
        <v>4.9000000000000004</v>
      </c>
      <c r="O1458">
        <v>0</v>
      </c>
      <c r="P1458">
        <v>23</v>
      </c>
      <c r="Q1458">
        <v>0</v>
      </c>
      <c r="R1458">
        <v>0</v>
      </c>
      <c r="S1458" t="s">
        <v>37695</v>
      </c>
      <c r="U1458">
        <v>0.50044874000000006</v>
      </c>
      <c r="V1458">
        <v>6.28</v>
      </c>
      <c r="W1458">
        <v>4.91</v>
      </c>
      <c r="X1458" t="s">
        <v>7232</v>
      </c>
      <c r="AA1458" t="s">
        <v>935</v>
      </c>
      <c r="AB1458" t="s">
        <v>37699</v>
      </c>
      <c r="AC1458" t="s">
        <v>34465</v>
      </c>
      <c r="AD1458" t="s">
        <v>11496</v>
      </c>
      <c r="AE1458" t="s">
        <v>34506</v>
      </c>
      <c r="AF1458" t="s">
        <v>37697</v>
      </c>
      <c r="AG1458" t="s">
        <v>37698</v>
      </c>
    </row>
    <row r="1459" spans="1:33" x14ac:dyDescent="0.25">
      <c r="A1459" t="s">
        <v>34462</v>
      </c>
      <c r="B1459" t="s">
        <v>7237</v>
      </c>
      <c r="C1459" t="s">
        <v>7240</v>
      </c>
      <c r="D1459">
        <v>29.95</v>
      </c>
      <c r="E1459">
        <v>29.95</v>
      </c>
      <c r="F1459">
        <v>431543</v>
      </c>
      <c r="G1459">
        <v>160691</v>
      </c>
      <c r="H1459">
        <v>29.95</v>
      </c>
      <c r="I1459">
        <v>30.69</v>
      </c>
      <c r="J1459">
        <v>0</v>
      </c>
      <c r="K1459">
        <v>1</v>
      </c>
      <c r="L1459">
        <v>2</v>
      </c>
      <c r="M1459">
        <v>2</v>
      </c>
      <c r="N1459">
        <v>4.8</v>
      </c>
      <c r="O1459">
        <v>0</v>
      </c>
      <c r="P1459">
        <v>49</v>
      </c>
      <c r="Q1459">
        <v>14</v>
      </c>
      <c r="R1459">
        <v>45</v>
      </c>
      <c r="S1459" t="s">
        <v>34946</v>
      </c>
      <c r="U1459">
        <v>0.65036289999999997</v>
      </c>
      <c r="V1459">
        <v>6.05</v>
      </c>
      <c r="W1459">
        <v>5.09</v>
      </c>
      <c r="X1459" t="s">
        <v>7236</v>
      </c>
      <c r="AA1459" t="s">
        <v>7241</v>
      </c>
      <c r="AB1459" t="s">
        <v>37700</v>
      </c>
      <c r="AC1459" t="s">
        <v>34465</v>
      </c>
      <c r="AD1459" t="s">
        <v>11496</v>
      </c>
      <c r="AE1459" t="s">
        <v>37701</v>
      </c>
      <c r="AF1459" t="s">
        <v>37702</v>
      </c>
    </row>
    <row r="1460" spans="1:33" x14ac:dyDescent="0.25">
      <c r="A1460" t="s">
        <v>34462</v>
      </c>
      <c r="B1460" t="s">
        <v>7243</v>
      </c>
      <c r="C1460" t="s">
        <v>7246</v>
      </c>
      <c r="D1460">
        <v>18</v>
      </c>
      <c r="E1460">
        <v>18</v>
      </c>
      <c r="G1460">
        <v>63052</v>
      </c>
      <c r="H1460">
        <v>18</v>
      </c>
      <c r="I1460">
        <v>18</v>
      </c>
      <c r="J1460">
        <v>0</v>
      </c>
      <c r="K1460">
        <v>1</v>
      </c>
      <c r="L1460">
        <v>1</v>
      </c>
      <c r="M1460">
        <v>1</v>
      </c>
      <c r="O1460">
        <v>0</v>
      </c>
      <c r="Q1460">
        <v>0</v>
      </c>
      <c r="R1460">
        <v>0</v>
      </c>
      <c r="X1460" t="s">
        <v>7242</v>
      </c>
      <c r="Z1460" t="s">
        <v>7247</v>
      </c>
      <c r="AA1460" t="s">
        <v>7248</v>
      </c>
      <c r="AB1460" t="s">
        <v>37703</v>
      </c>
      <c r="AC1460" t="s">
        <v>34465</v>
      </c>
      <c r="AD1460" t="s">
        <v>11496</v>
      </c>
      <c r="AE1460" t="s">
        <v>34510</v>
      </c>
      <c r="AF1460" t="s">
        <v>37704</v>
      </c>
      <c r="AG1460" t="s">
        <v>37705</v>
      </c>
    </row>
    <row r="1461" spans="1:33" x14ac:dyDescent="0.25">
      <c r="A1461" t="s">
        <v>34462</v>
      </c>
      <c r="B1461" t="s">
        <v>7250</v>
      </c>
      <c r="C1461" t="s">
        <v>7252</v>
      </c>
      <c r="D1461">
        <v>18</v>
      </c>
      <c r="E1461">
        <v>18</v>
      </c>
      <c r="G1461">
        <v>63052</v>
      </c>
      <c r="H1461">
        <v>18</v>
      </c>
      <c r="I1461">
        <v>18</v>
      </c>
      <c r="J1461">
        <v>0</v>
      </c>
      <c r="K1461">
        <v>1</v>
      </c>
      <c r="L1461">
        <v>1</v>
      </c>
      <c r="M1461">
        <v>1</v>
      </c>
      <c r="O1461">
        <v>0</v>
      </c>
      <c r="Q1461">
        <v>0</v>
      </c>
      <c r="R1461">
        <v>0</v>
      </c>
      <c r="X1461" t="s">
        <v>7249</v>
      </c>
      <c r="Z1461" t="s">
        <v>7247</v>
      </c>
      <c r="AA1461" t="s">
        <v>7248</v>
      </c>
      <c r="AB1461" t="s">
        <v>37706</v>
      </c>
      <c r="AC1461" t="s">
        <v>34465</v>
      </c>
      <c r="AD1461" t="s">
        <v>11496</v>
      </c>
      <c r="AE1461" t="s">
        <v>34832</v>
      </c>
      <c r="AF1461" t="s">
        <v>37704</v>
      </c>
      <c r="AG1461" t="s">
        <v>37705</v>
      </c>
    </row>
    <row r="1462" spans="1:33" x14ac:dyDescent="0.25">
      <c r="A1462" t="s">
        <v>34462</v>
      </c>
      <c r="B1462" t="s">
        <v>7254</v>
      </c>
      <c r="C1462" t="s">
        <v>7257</v>
      </c>
      <c r="D1462">
        <v>23.99</v>
      </c>
      <c r="E1462">
        <v>23.99</v>
      </c>
      <c r="F1462">
        <v>690855</v>
      </c>
      <c r="G1462">
        <v>477173</v>
      </c>
      <c r="H1462">
        <v>29.13</v>
      </c>
      <c r="I1462">
        <v>34.65</v>
      </c>
      <c r="J1462">
        <v>0</v>
      </c>
      <c r="K1462">
        <v>0</v>
      </c>
      <c r="L1462">
        <v>10</v>
      </c>
      <c r="M1462">
        <v>10</v>
      </c>
      <c r="N1462">
        <v>4.5999999999999996</v>
      </c>
      <c r="O1462">
        <v>3</v>
      </c>
      <c r="P1462">
        <v>208</v>
      </c>
      <c r="Q1462">
        <v>8</v>
      </c>
      <c r="R1462">
        <v>40</v>
      </c>
      <c r="S1462" t="s">
        <v>37707</v>
      </c>
      <c r="U1462">
        <v>1.1706532199999999</v>
      </c>
      <c r="V1462">
        <v>5.87</v>
      </c>
      <c r="W1462">
        <v>3.6</v>
      </c>
      <c r="X1462" t="s">
        <v>7253</v>
      </c>
      <c r="Y1462" t="s">
        <v>37708</v>
      </c>
      <c r="Z1462" t="s">
        <v>7258</v>
      </c>
      <c r="AA1462" t="s">
        <v>1490</v>
      </c>
      <c r="AB1462" t="s">
        <v>37709</v>
      </c>
      <c r="AC1462" t="s">
        <v>34493</v>
      </c>
      <c r="AD1462" t="s">
        <v>17415</v>
      </c>
      <c r="AE1462" t="s">
        <v>34521</v>
      </c>
      <c r="AF1462" t="s">
        <v>37710</v>
      </c>
      <c r="AG1462" t="s">
        <v>37711</v>
      </c>
    </row>
    <row r="1463" spans="1:33" x14ac:dyDescent="0.25">
      <c r="A1463" t="s">
        <v>34462</v>
      </c>
      <c r="B1463" t="s">
        <v>7260</v>
      </c>
      <c r="C1463" t="s">
        <v>7262</v>
      </c>
      <c r="D1463">
        <v>42.77</v>
      </c>
      <c r="E1463">
        <v>42.46</v>
      </c>
      <c r="F1463">
        <v>1552230</v>
      </c>
      <c r="G1463">
        <v>1266285</v>
      </c>
      <c r="H1463">
        <v>41.59</v>
      </c>
      <c r="I1463">
        <v>42.13</v>
      </c>
      <c r="J1463">
        <v>0</v>
      </c>
      <c r="K1463">
        <v>1</v>
      </c>
      <c r="L1463">
        <v>4</v>
      </c>
      <c r="M1463">
        <v>4</v>
      </c>
      <c r="N1463">
        <v>4.4000000000000004</v>
      </c>
      <c r="O1463">
        <v>0</v>
      </c>
      <c r="P1463">
        <v>87</v>
      </c>
      <c r="Q1463">
        <v>0</v>
      </c>
      <c r="R1463">
        <v>4</v>
      </c>
      <c r="S1463" t="s">
        <v>37712</v>
      </c>
      <c r="U1463">
        <v>2.0943890000000001</v>
      </c>
      <c r="V1463">
        <v>8.1999999999999993</v>
      </c>
      <c r="W1463">
        <v>6.42</v>
      </c>
      <c r="X1463" t="s">
        <v>7259</v>
      </c>
      <c r="Y1463" t="s">
        <v>37713</v>
      </c>
      <c r="Z1463" t="s">
        <v>7258</v>
      </c>
      <c r="AA1463" t="s">
        <v>1675</v>
      </c>
      <c r="AB1463" t="s">
        <v>37714</v>
      </c>
      <c r="AC1463" t="s">
        <v>34465</v>
      </c>
      <c r="AD1463" t="s">
        <v>17415</v>
      </c>
      <c r="AE1463" t="s">
        <v>34521</v>
      </c>
      <c r="AF1463" t="s">
        <v>37715</v>
      </c>
      <c r="AG1463" t="s">
        <v>37711</v>
      </c>
    </row>
    <row r="1464" spans="1:33" x14ac:dyDescent="0.25">
      <c r="A1464" t="s">
        <v>34462</v>
      </c>
      <c r="B1464" t="s">
        <v>7264</v>
      </c>
      <c r="C1464" t="s">
        <v>7266</v>
      </c>
      <c r="D1464">
        <v>39.979999999999997</v>
      </c>
      <c r="E1464">
        <v>34.99</v>
      </c>
      <c r="F1464">
        <v>690855</v>
      </c>
      <c r="G1464">
        <v>463372</v>
      </c>
      <c r="H1464">
        <v>40.06</v>
      </c>
      <c r="I1464">
        <v>44.36</v>
      </c>
      <c r="J1464">
        <v>0</v>
      </c>
      <c r="K1464">
        <v>0</v>
      </c>
      <c r="L1464">
        <v>6</v>
      </c>
      <c r="M1464">
        <v>6</v>
      </c>
      <c r="N1464">
        <v>4.5999999999999996</v>
      </c>
      <c r="O1464">
        <v>8</v>
      </c>
      <c r="P1464">
        <v>206</v>
      </c>
      <c r="Q1464">
        <v>7</v>
      </c>
      <c r="R1464">
        <v>42</v>
      </c>
      <c r="S1464" t="s">
        <v>37707</v>
      </c>
      <c r="U1464">
        <v>1.0802638</v>
      </c>
      <c r="V1464">
        <v>5.77</v>
      </c>
      <c r="W1464">
        <v>6</v>
      </c>
      <c r="X1464" t="s">
        <v>7263</v>
      </c>
      <c r="Y1464" t="s">
        <v>37716</v>
      </c>
      <c r="Z1464" t="s">
        <v>7258</v>
      </c>
      <c r="AA1464" t="s">
        <v>76</v>
      </c>
      <c r="AB1464" t="s">
        <v>37717</v>
      </c>
      <c r="AC1464" t="s">
        <v>34493</v>
      </c>
      <c r="AD1464" t="s">
        <v>17415</v>
      </c>
      <c r="AE1464" t="s">
        <v>34521</v>
      </c>
      <c r="AF1464" t="s">
        <v>37718</v>
      </c>
      <c r="AG1464" t="s">
        <v>37711</v>
      </c>
    </row>
    <row r="1465" spans="1:33" x14ac:dyDescent="0.25">
      <c r="A1465" t="s">
        <v>34462</v>
      </c>
      <c r="B1465" t="s">
        <v>7268</v>
      </c>
      <c r="C1465" t="s">
        <v>7270</v>
      </c>
      <c r="D1465">
        <v>40.200000000000003</v>
      </c>
      <c r="E1465">
        <v>34.99</v>
      </c>
      <c r="F1465">
        <v>623727</v>
      </c>
      <c r="G1465">
        <v>485237</v>
      </c>
      <c r="H1465">
        <v>40.47</v>
      </c>
      <c r="I1465">
        <v>42.13</v>
      </c>
      <c r="J1465">
        <v>0</v>
      </c>
      <c r="K1465">
        <v>0</v>
      </c>
      <c r="L1465">
        <v>6</v>
      </c>
      <c r="M1465">
        <v>6</v>
      </c>
      <c r="N1465">
        <v>4.5999999999999996</v>
      </c>
      <c r="O1465">
        <v>13</v>
      </c>
      <c r="P1465">
        <v>206</v>
      </c>
      <c r="Q1465">
        <v>5</v>
      </c>
      <c r="R1465">
        <v>26</v>
      </c>
      <c r="S1465" t="s">
        <v>37707</v>
      </c>
      <c r="U1465">
        <v>1.2610426400000001</v>
      </c>
      <c r="V1465">
        <v>5.87</v>
      </c>
      <c r="W1465">
        <v>6.03</v>
      </c>
      <c r="X1465" t="s">
        <v>7267</v>
      </c>
      <c r="Y1465" t="s">
        <v>37716</v>
      </c>
      <c r="Z1465" t="s">
        <v>7258</v>
      </c>
      <c r="AA1465" t="s">
        <v>76</v>
      </c>
      <c r="AB1465" t="s">
        <v>37719</v>
      </c>
      <c r="AC1465" t="s">
        <v>34493</v>
      </c>
      <c r="AD1465" t="s">
        <v>17415</v>
      </c>
      <c r="AE1465" t="s">
        <v>34576</v>
      </c>
      <c r="AF1465" t="s">
        <v>37718</v>
      </c>
      <c r="AG1465" t="s">
        <v>37711</v>
      </c>
    </row>
    <row r="1466" spans="1:33" x14ac:dyDescent="0.25">
      <c r="A1466" t="s">
        <v>34462</v>
      </c>
      <c r="B1466" t="s">
        <v>7272</v>
      </c>
      <c r="C1466" t="s">
        <v>7274</v>
      </c>
      <c r="D1466">
        <v>24.99</v>
      </c>
      <c r="E1466">
        <v>24.99</v>
      </c>
      <c r="F1466">
        <v>623727</v>
      </c>
      <c r="G1466">
        <v>499685</v>
      </c>
      <c r="H1466">
        <v>29.46</v>
      </c>
      <c r="I1466">
        <v>34.65</v>
      </c>
      <c r="J1466">
        <v>0</v>
      </c>
      <c r="K1466">
        <v>0</v>
      </c>
      <c r="L1466">
        <v>10</v>
      </c>
      <c r="M1466">
        <v>9</v>
      </c>
      <c r="N1466">
        <v>4.5999999999999996</v>
      </c>
      <c r="O1466">
        <v>6</v>
      </c>
      <c r="P1466">
        <v>207</v>
      </c>
      <c r="Q1466">
        <v>5</v>
      </c>
      <c r="R1466">
        <v>29</v>
      </c>
      <c r="S1466" t="s">
        <v>37707</v>
      </c>
      <c r="U1466">
        <v>1.2566333999999999</v>
      </c>
      <c r="V1466">
        <v>6.05</v>
      </c>
      <c r="W1466">
        <v>3.75</v>
      </c>
      <c r="X1466" t="s">
        <v>7271</v>
      </c>
      <c r="Y1466" t="s">
        <v>37708</v>
      </c>
      <c r="Z1466" t="s">
        <v>7258</v>
      </c>
      <c r="AA1466" t="s">
        <v>1490</v>
      </c>
      <c r="AB1466" t="s">
        <v>37720</v>
      </c>
      <c r="AC1466" t="s">
        <v>34493</v>
      </c>
      <c r="AD1466" t="s">
        <v>17415</v>
      </c>
      <c r="AE1466" t="s">
        <v>34576</v>
      </c>
      <c r="AF1466" t="s">
        <v>37710</v>
      </c>
      <c r="AG1466" t="s">
        <v>37711</v>
      </c>
    </row>
    <row r="1467" spans="1:33" x14ac:dyDescent="0.25">
      <c r="A1467" t="s">
        <v>34462</v>
      </c>
      <c r="B1467" t="s">
        <v>7276</v>
      </c>
      <c r="C1467" t="s">
        <v>7278</v>
      </c>
      <c r="D1467">
        <v>42.46</v>
      </c>
      <c r="E1467">
        <v>42.46</v>
      </c>
      <c r="F1467">
        <v>1548234</v>
      </c>
      <c r="G1467">
        <v>1272365</v>
      </c>
      <c r="H1467">
        <v>41.53</v>
      </c>
      <c r="I1467">
        <v>43.29</v>
      </c>
      <c r="J1467">
        <v>0</v>
      </c>
      <c r="K1467">
        <v>1</v>
      </c>
      <c r="L1467">
        <v>5</v>
      </c>
      <c r="M1467">
        <v>5</v>
      </c>
      <c r="N1467">
        <v>4.4000000000000004</v>
      </c>
      <c r="O1467">
        <v>0</v>
      </c>
      <c r="P1467">
        <v>87</v>
      </c>
      <c r="Q1467">
        <v>0</v>
      </c>
      <c r="R1467">
        <v>4</v>
      </c>
      <c r="S1467" t="s">
        <v>37712</v>
      </c>
      <c r="U1467">
        <v>1.1706532199999999</v>
      </c>
      <c r="V1467">
        <v>5.77</v>
      </c>
      <c r="W1467">
        <v>6.37</v>
      </c>
      <c r="X1467" t="s">
        <v>7275</v>
      </c>
      <c r="Y1467" t="s">
        <v>37713</v>
      </c>
      <c r="Z1467" t="s">
        <v>7258</v>
      </c>
      <c r="AA1467" t="s">
        <v>1675</v>
      </c>
      <c r="AB1467" t="s">
        <v>37721</v>
      </c>
      <c r="AC1467" t="s">
        <v>34465</v>
      </c>
      <c r="AD1467" t="s">
        <v>17415</v>
      </c>
      <c r="AE1467" t="s">
        <v>34576</v>
      </c>
      <c r="AF1467" t="s">
        <v>37715</v>
      </c>
      <c r="AG1467" t="s">
        <v>37711</v>
      </c>
    </row>
    <row r="1468" spans="1:33" x14ac:dyDescent="0.25">
      <c r="A1468" t="s">
        <v>34462</v>
      </c>
      <c r="B1468" t="s">
        <v>7280</v>
      </c>
      <c r="C1468" t="s">
        <v>7282</v>
      </c>
      <c r="D1468">
        <v>28.95</v>
      </c>
      <c r="E1468">
        <v>28.95</v>
      </c>
      <c r="F1468">
        <v>1548234</v>
      </c>
      <c r="G1468">
        <v>1275974</v>
      </c>
      <c r="H1468">
        <v>34.29</v>
      </c>
      <c r="I1468">
        <v>39.17</v>
      </c>
      <c r="J1468">
        <v>0</v>
      </c>
      <c r="K1468">
        <v>1</v>
      </c>
      <c r="L1468">
        <v>5</v>
      </c>
      <c r="M1468">
        <v>5</v>
      </c>
      <c r="N1468">
        <v>4.4000000000000004</v>
      </c>
      <c r="O1468">
        <v>3</v>
      </c>
      <c r="P1468">
        <v>87</v>
      </c>
      <c r="Q1468">
        <v>0</v>
      </c>
      <c r="R1468">
        <v>4</v>
      </c>
      <c r="S1468" t="s">
        <v>37712</v>
      </c>
      <c r="U1468">
        <v>1.32056738</v>
      </c>
      <c r="V1468">
        <v>5.87</v>
      </c>
      <c r="W1468">
        <v>4.34</v>
      </c>
      <c r="X1468" t="s">
        <v>7279</v>
      </c>
      <c r="Y1468" t="s">
        <v>37713</v>
      </c>
      <c r="Z1468" t="s">
        <v>7258</v>
      </c>
      <c r="AA1468" t="s">
        <v>1675</v>
      </c>
      <c r="AB1468" t="s">
        <v>37722</v>
      </c>
      <c r="AC1468" t="s">
        <v>34465</v>
      </c>
      <c r="AD1468" t="s">
        <v>17415</v>
      </c>
      <c r="AE1468" t="s">
        <v>34582</v>
      </c>
      <c r="AF1468" t="s">
        <v>37715</v>
      </c>
      <c r="AG1468" t="s">
        <v>37711</v>
      </c>
    </row>
    <row r="1469" spans="1:33" x14ac:dyDescent="0.25">
      <c r="A1469" t="s">
        <v>34462</v>
      </c>
      <c r="B1469" t="s">
        <v>7284</v>
      </c>
      <c r="C1469" t="s">
        <v>7286</v>
      </c>
      <c r="D1469">
        <v>24.45</v>
      </c>
      <c r="E1469">
        <v>24.44</v>
      </c>
      <c r="F1469">
        <v>1548234</v>
      </c>
      <c r="G1469">
        <v>1283930</v>
      </c>
      <c r="H1469">
        <v>25.78</v>
      </c>
      <c r="I1469">
        <v>35.29</v>
      </c>
      <c r="J1469">
        <v>0</v>
      </c>
      <c r="K1469">
        <v>1</v>
      </c>
      <c r="L1469">
        <v>5</v>
      </c>
      <c r="M1469">
        <v>5</v>
      </c>
      <c r="N1469">
        <v>4.4000000000000004</v>
      </c>
      <c r="O1469">
        <v>2</v>
      </c>
      <c r="P1469">
        <v>87</v>
      </c>
      <c r="Q1469">
        <v>0</v>
      </c>
      <c r="R1469">
        <v>4</v>
      </c>
      <c r="S1469" t="s">
        <v>37712</v>
      </c>
      <c r="U1469">
        <v>1.36906902</v>
      </c>
      <c r="V1469">
        <v>6.05</v>
      </c>
      <c r="W1469">
        <v>3.67</v>
      </c>
      <c r="X1469" t="s">
        <v>7283</v>
      </c>
      <c r="Y1469" t="s">
        <v>37713</v>
      </c>
      <c r="Z1469" t="s">
        <v>7258</v>
      </c>
      <c r="AA1469" t="s">
        <v>1675</v>
      </c>
      <c r="AB1469" t="s">
        <v>37723</v>
      </c>
      <c r="AC1469" t="s">
        <v>34465</v>
      </c>
      <c r="AD1469" t="s">
        <v>17415</v>
      </c>
      <c r="AE1469" t="s">
        <v>34586</v>
      </c>
      <c r="AF1469" t="s">
        <v>37715</v>
      </c>
      <c r="AG1469" t="s">
        <v>37711</v>
      </c>
    </row>
    <row r="1470" spans="1:33" x14ac:dyDescent="0.25">
      <c r="A1470" t="s">
        <v>34462</v>
      </c>
      <c r="B1470" t="s">
        <v>7288</v>
      </c>
      <c r="C1470" t="s">
        <v>7291</v>
      </c>
      <c r="D1470">
        <v>73.19</v>
      </c>
      <c r="E1470">
        <v>73.19</v>
      </c>
      <c r="H1470">
        <v>29.95</v>
      </c>
      <c r="I1470">
        <v>29.95</v>
      </c>
      <c r="J1470">
        <v>0.14000000000000001</v>
      </c>
      <c r="K1470">
        <v>1</v>
      </c>
      <c r="L1470">
        <v>1</v>
      </c>
      <c r="M1470">
        <v>1</v>
      </c>
      <c r="Q1470">
        <v>-1</v>
      </c>
      <c r="R1470">
        <v>-1</v>
      </c>
      <c r="U1470">
        <v>0.56217810000000001</v>
      </c>
      <c r="V1470">
        <v>6.14</v>
      </c>
      <c r="X1470" t="s">
        <v>7287</v>
      </c>
      <c r="AB1470" t="s">
        <v>37724</v>
      </c>
      <c r="AC1470" t="s">
        <v>34465</v>
      </c>
      <c r="AD1470" t="s">
        <v>9535</v>
      </c>
      <c r="AF1470" t="s">
        <v>37725</v>
      </c>
      <c r="AG1470" t="s">
        <v>36942</v>
      </c>
    </row>
    <row r="1471" spans="1:33" x14ac:dyDescent="0.25">
      <c r="A1471" t="s">
        <v>34462</v>
      </c>
      <c r="B1471" t="s">
        <v>7293</v>
      </c>
      <c r="C1471" t="s">
        <v>7295</v>
      </c>
      <c r="D1471">
        <v>29.01</v>
      </c>
      <c r="E1471">
        <v>29</v>
      </c>
      <c r="H1471">
        <v>31.33</v>
      </c>
      <c r="I1471">
        <v>34.06</v>
      </c>
      <c r="J1471">
        <v>0</v>
      </c>
      <c r="K1471">
        <v>1</v>
      </c>
      <c r="L1471">
        <v>4</v>
      </c>
      <c r="M1471">
        <v>4</v>
      </c>
      <c r="Q1471">
        <v>-1</v>
      </c>
      <c r="R1471">
        <v>-1</v>
      </c>
      <c r="S1471" t="s">
        <v>37726</v>
      </c>
      <c r="U1471">
        <v>0.56217810000000001</v>
      </c>
      <c r="V1471">
        <v>6.14</v>
      </c>
      <c r="W1471">
        <v>4.93</v>
      </c>
      <c r="X1471" t="s">
        <v>7292</v>
      </c>
      <c r="AA1471" t="s">
        <v>7296</v>
      </c>
      <c r="AB1471" t="s">
        <v>37727</v>
      </c>
      <c r="AC1471" t="s">
        <v>34465</v>
      </c>
      <c r="AD1471" t="s">
        <v>9535</v>
      </c>
      <c r="AE1471" t="s">
        <v>36949</v>
      </c>
      <c r="AF1471" t="s">
        <v>37728</v>
      </c>
    </row>
    <row r="1472" spans="1:33" x14ac:dyDescent="0.25">
      <c r="A1472" t="s">
        <v>34462</v>
      </c>
      <c r="B1472" t="s">
        <v>7298</v>
      </c>
      <c r="C1472" t="s">
        <v>7301</v>
      </c>
      <c r="D1472">
        <v>18.03</v>
      </c>
      <c r="E1472">
        <v>14.95</v>
      </c>
      <c r="F1472">
        <v>2134802</v>
      </c>
      <c r="G1472">
        <v>2045030</v>
      </c>
      <c r="H1472">
        <v>19.760000000000002</v>
      </c>
      <c r="I1472">
        <v>19.809999999999999</v>
      </c>
      <c r="J1472">
        <v>0</v>
      </c>
      <c r="K1472">
        <v>0.28000000000000003</v>
      </c>
      <c r="L1472">
        <v>7</v>
      </c>
      <c r="M1472">
        <v>6</v>
      </c>
      <c r="N1472">
        <v>4.7</v>
      </c>
      <c r="P1472">
        <v>4</v>
      </c>
      <c r="Q1472">
        <v>0</v>
      </c>
      <c r="R1472">
        <v>0</v>
      </c>
      <c r="U1472">
        <v>3.9683160000000002E-2</v>
      </c>
      <c r="V1472">
        <v>4.1500000000000004</v>
      </c>
      <c r="W1472">
        <v>2.7</v>
      </c>
      <c r="X1472" t="s">
        <v>7297</v>
      </c>
      <c r="Y1472" t="s">
        <v>7303</v>
      </c>
      <c r="Z1472" t="s">
        <v>7303</v>
      </c>
      <c r="AA1472" t="s">
        <v>935</v>
      </c>
      <c r="AB1472" t="s">
        <v>37729</v>
      </c>
      <c r="AC1472" t="s">
        <v>34465</v>
      </c>
      <c r="AD1472" t="s">
        <v>34724</v>
      </c>
      <c r="AF1472" t="s">
        <v>37730</v>
      </c>
      <c r="AG1472" t="s">
        <v>37731</v>
      </c>
    </row>
    <row r="1473" spans="1:33" x14ac:dyDescent="0.25">
      <c r="A1473" t="s">
        <v>34462</v>
      </c>
      <c r="B1473" t="s">
        <v>7305</v>
      </c>
      <c r="C1473" t="s">
        <v>7308</v>
      </c>
      <c r="D1473">
        <v>18.79</v>
      </c>
      <c r="E1473">
        <v>18.79</v>
      </c>
      <c r="F1473">
        <v>343152</v>
      </c>
      <c r="G1473">
        <v>254660</v>
      </c>
      <c r="H1473">
        <v>19.16</v>
      </c>
      <c r="I1473">
        <v>26.59</v>
      </c>
      <c r="J1473">
        <v>0</v>
      </c>
      <c r="K1473">
        <v>1</v>
      </c>
      <c r="L1473">
        <v>5</v>
      </c>
      <c r="M1473">
        <v>7</v>
      </c>
      <c r="N1473">
        <v>4.5999999999999996</v>
      </c>
      <c r="O1473">
        <v>1</v>
      </c>
      <c r="P1473">
        <v>563</v>
      </c>
      <c r="Q1473">
        <v>25</v>
      </c>
      <c r="R1473">
        <v>102</v>
      </c>
      <c r="S1473" t="s">
        <v>37732</v>
      </c>
      <c r="U1473">
        <v>0.42990089999999997</v>
      </c>
      <c r="V1473">
        <v>5.05</v>
      </c>
      <c r="W1473">
        <v>1.88</v>
      </c>
      <c r="X1473" t="s">
        <v>7304</v>
      </c>
      <c r="AA1473" t="s">
        <v>7309</v>
      </c>
      <c r="AB1473" t="s">
        <v>37733</v>
      </c>
      <c r="AC1473" t="s">
        <v>34465</v>
      </c>
      <c r="AD1473" t="s">
        <v>11381</v>
      </c>
      <c r="AE1473" t="s">
        <v>14701</v>
      </c>
      <c r="AF1473" t="s">
        <v>37734</v>
      </c>
    </row>
    <row r="1474" spans="1:33" x14ac:dyDescent="0.25">
      <c r="A1474" t="s">
        <v>34462</v>
      </c>
      <c r="B1474" t="s">
        <v>7311</v>
      </c>
      <c r="C1474" t="s">
        <v>7314</v>
      </c>
      <c r="D1474">
        <v>33.729999999999997</v>
      </c>
      <c r="F1474">
        <v>313973</v>
      </c>
      <c r="G1474">
        <v>581161</v>
      </c>
      <c r="H1474">
        <v>33.729999999999997</v>
      </c>
      <c r="I1474">
        <v>33.25</v>
      </c>
      <c r="J1474">
        <v>0.89</v>
      </c>
      <c r="K1474">
        <v>1</v>
      </c>
      <c r="L1474">
        <v>1</v>
      </c>
      <c r="N1474">
        <v>4.5999999999999996</v>
      </c>
      <c r="O1474">
        <v>0</v>
      </c>
      <c r="P1474">
        <v>355</v>
      </c>
      <c r="Q1474">
        <v>2</v>
      </c>
      <c r="R1474">
        <v>20</v>
      </c>
      <c r="S1474" t="s">
        <v>34946</v>
      </c>
      <c r="U1474">
        <v>0.65036289999999997</v>
      </c>
      <c r="V1474">
        <v>6.05</v>
      </c>
      <c r="X1474" t="s">
        <v>7310</v>
      </c>
      <c r="AA1474" t="s">
        <v>7316</v>
      </c>
      <c r="AB1474" t="s">
        <v>37735</v>
      </c>
      <c r="AC1474" t="s">
        <v>34465</v>
      </c>
      <c r="AD1474" t="s">
        <v>11496</v>
      </c>
      <c r="AE1474" t="s">
        <v>164</v>
      </c>
      <c r="AF1474" t="s">
        <v>37736</v>
      </c>
      <c r="AG1474" t="s">
        <v>34945</v>
      </c>
    </row>
    <row r="1475" spans="1:33" x14ac:dyDescent="0.25">
      <c r="A1475" t="s">
        <v>34462</v>
      </c>
      <c r="B1475" t="s">
        <v>7318</v>
      </c>
      <c r="C1475" t="s">
        <v>7321</v>
      </c>
      <c r="D1475">
        <v>28</v>
      </c>
      <c r="E1475">
        <v>28</v>
      </c>
      <c r="F1475">
        <v>2596124</v>
      </c>
      <c r="G1475">
        <v>1657160</v>
      </c>
      <c r="H1475">
        <v>40.11</v>
      </c>
      <c r="I1475">
        <v>39.24</v>
      </c>
      <c r="J1475">
        <v>0</v>
      </c>
      <c r="K1475">
        <v>0</v>
      </c>
      <c r="L1475">
        <v>4</v>
      </c>
      <c r="M1475">
        <v>3</v>
      </c>
      <c r="Q1475">
        <v>2</v>
      </c>
      <c r="R1475">
        <v>11</v>
      </c>
      <c r="S1475" t="s">
        <v>34873</v>
      </c>
      <c r="U1475">
        <v>0.39903622</v>
      </c>
      <c r="V1475">
        <v>3.42</v>
      </c>
      <c r="W1475">
        <v>4.76</v>
      </c>
      <c r="X1475" t="s">
        <v>7317</v>
      </c>
      <c r="Y1475" t="s">
        <v>855</v>
      </c>
      <c r="Z1475" t="s">
        <v>855</v>
      </c>
      <c r="AA1475" t="s">
        <v>278</v>
      </c>
      <c r="AB1475" t="s">
        <v>37737</v>
      </c>
      <c r="AC1475" t="s">
        <v>34493</v>
      </c>
      <c r="AD1475" t="s">
        <v>7954</v>
      </c>
      <c r="AE1475" t="s">
        <v>34474</v>
      </c>
      <c r="AF1475" t="s">
        <v>37738</v>
      </c>
      <c r="AG1475" t="s">
        <v>34876</v>
      </c>
    </row>
    <row r="1476" spans="1:33" x14ac:dyDescent="0.25">
      <c r="A1476" t="s">
        <v>34462</v>
      </c>
      <c r="B1476" t="s">
        <v>7323</v>
      </c>
      <c r="C1476" t="s">
        <v>7325</v>
      </c>
      <c r="D1476">
        <v>28</v>
      </c>
      <c r="E1476">
        <v>28</v>
      </c>
      <c r="F1476">
        <v>2582815</v>
      </c>
      <c r="G1476">
        <v>1641493</v>
      </c>
      <c r="H1476">
        <v>31.4</v>
      </c>
      <c r="I1476">
        <v>32.99</v>
      </c>
      <c r="J1476">
        <v>0</v>
      </c>
      <c r="K1476">
        <v>0</v>
      </c>
      <c r="L1476">
        <v>4</v>
      </c>
      <c r="M1476">
        <v>4</v>
      </c>
      <c r="Q1476">
        <v>2</v>
      </c>
      <c r="R1476">
        <v>10</v>
      </c>
      <c r="S1476" t="s">
        <v>34873</v>
      </c>
      <c r="U1476">
        <v>0.44974248</v>
      </c>
      <c r="V1476">
        <v>5.12</v>
      </c>
      <c r="W1476">
        <v>4.76</v>
      </c>
      <c r="X1476" t="s">
        <v>7322</v>
      </c>
      <c r="Y1476" t="s">
        <v>855</v>
      </c>
      <c r="Z1476" t="s">
        <v>855</v>
      </c>
      <c r="AA1476" t="s">
        <v>278</v>
      </c>
      <c r="AB1476" t="s">
        <v>37739</v>
      </c>
      <c r="AC1476" t="s">
        <v>34493</v>
      </c>
      <c r="AD1476" t="s">
        <v>7954</v>
      </c>
      <c r="AE1476" t="s">
        <v>34533</v>
      </c>
      <c r="AF1476" t="s">
        <v>37740</v>
      </c>
      <c r="AG1476" t="s">
        <v>34876</v>
      </c>
    </row>
    <row r="1477" spans="1:33" x14ac:dyDescent="0.25">
      <c r="A1477" t="s">
        <v>34462</v>
      </c>
      <c r="B1477" t="s">
        <v>7327</v>
      </c>
      <c r="C1477" t="s">
        <v>7329</v>
      </c>
      <c r="D1477">
        <v>28</v>
      </c>
      <c r="E1477">
        <v>28</v>
      </c>
      <c r="F1477">
        <v>2605453</v>
      </c>
      <c r="G1477">
        <v>1643236</v>
      </c>
      <c r="H1477">
        <v>45.84</v>
      </c>
      <c r="I1477">
        <v>47.3</v>
      </c>
      <c r="J1477">
        <v>0</v>
      </c>
      <c r="K1477">
        <v>0</v>
      </c>
      <c r="L1477">
        <v>5</v>
      </c>
      <c r="M1477">
        <v>5</v>
      </c>
      <c r="Q1477">
        <v>2</v>
      </c>
      <c r="R1477">
        <v>10</v>
      </c>
      <c r="S1477" t="s">
        <v>34873</v>
      </c>
      <c r="U1477">
        <v>0.50706260000000003</v>
      </c>
      <c r="V1477">
        <v>6.14</v>
      </c>
      <c r="W1477">
        <v>4.76</v>
      </c>
      <c r="X1477" t="s">
        <v>7326</v>
      </c>
      <c r="Y1477" t="s">
        <v>855</v>
      </c>
      <c r="Z1477" t="s">
        <v>855</v>
      </c>
      <c r="AA1477" t="s">
        <v>278</v>
      </c>
      <c r="AB1477" t="s">
        <v>37741</v>
      </c>
      <c r="AC1477" t="s">
        <v>34493</v>
      </c>
      <c r="AD1477" t="s">
        <v>7954</v>
      </c>
      <c r="AE1477" t="s">
        <v>14701</v>
      </c>
      <c r="AF1477" t="s">
        <v>37738</v>
      </c>
      <c r="AG1477" t="s">
        <v>34876</v>
      </c>
    </row>
    <row r="1478" spans="1:33" x14ac:dyDescent="0.25">
      <c r="A1478" t="s">
        <v>34462</v>
      </c>
      <c r="B1478" t="s">
        <v>7331</v>
      </c>
      <c r="C1478" t="s">
        <v>7333</v>
      </c>
      <c r="D1478">
        <v>59.97</v>
      </c>
      <c r="E1478">
        <v>59.97</v>
      </c>
      <c r="F1478">
        <v>2605453</v>
      </c>
      <c r="G1478">
        <v>1598589</v>
      </c>
      <c r="I1478">
        <v>40.56</v>
      </c>
      <c r="J1478">
        <v>0</v>
      </c>
      <c r="K1478">
        <v>1</v>
      </c>
      <c r="L1478">
        <v>4</v>
      </c>
      <c r="M1478">
        <v>3</v>
      </c>
      <c r="Q1478">
        <v>2</v>
      </c>
      <c r="R1478">
        <v>10</v>
      </c>
      <c r="S1478" t="s">
        <v>34873</v>
      </c>
      <c r="U1478">
        <v>0.54895037999999996</v>
      </c>
      <c r="V1478">
        <v>3.72</v>
      </c>
      <c r="X1478" t="s">
        <v>7330</v>
      </c>
      <c r="Y1478" t="s">
        <v>855</v>
      </c>
      <c r="Z1478" t="s">
        <v>855</v>
      </c>
      <c r="AA1478" t="s">
        <v>278</v>
      </c>
      <c r="AB1478" t="s">
        <v>37742</v>
      </c>
      <c r="AC1478" t="s">
        <v>34465</v>
      </c>
      <c r="AD1478" t="s">
        <v>7954</v>
      </c>
      <c r="AE1478" t="s">
        <v>34525</v>
      </c>
      <c r="AF1478" t="s">
        <v>37738</v>
      </c>
      <c r="AG1478" t="s">
        <v>34876</v>
      </c>
    </row>
    <row r="1479" spans="1:33" x14ac:dyDescent="0.25">
      <c r="A1479" t="s">
        <v>34462</v>
      </c>
      <c r="B1479" t="s">
        <v>7335</v>
      </c>
      <c r="C1479" t="s">
        <v>7337</v>
      </c>
      <c r="D1479">
        <v>28</v>
      </c>
      <c r="E1479">
        <v>28</v>
      </c>
      <c r="F1479">
        <v>2570747</v>
      </c>
      <c r="G1479">
        <v>1688759</v>
      </c>
      <c r="H1479">
        <v>47.23</v>
      </c>
      <c r="I1479">
        <v>42.5</v>
      </c>
      <c r="J1479">
        <v>0</v>
      </c>
      <c r="K1479">
        <v>0</v>
      </c>
      <c r="L1479">
        <v>5</v>
      </c>
      <c r="M1479">
        <v>5</v>
      </c>
      <c r="Q1479">
        <v>2</v>
      </c>
      <c r="R1479">
        <v>11</v>
      </c>
      <c r="S1479" t="s">
        <v>34873</v>
      </c>
      <c r="U1479">
        <v>0.59965663999999996</v>
      </c>
      <c r="V1479">
        <v>4.67</v>
      </c>
      <c r="W1479">
        <v>4.76</v>
      </c>
      <c r="X1479" t="s">
        <v>7334</v>
      </c>
      <c r="Y1479" t="s">
        <v>855</v>
      </c>
      <c r="Z1479" t="s">
        <v>855</v>
      </c>
      <c r="AA1479" t="s">
        <v>278</v>
      </c>
      <c r="AB1479" t="s">
        <v>37743</v>
      </c>
      <c r="AC1479" t="s">
        <v>34493</v>
      </c>
      <c r="AD1479" t="s">
        <v>7954</v>
      </c>
      <c r="AE1479" t="s">
        <v>34649</v>
      </c>
      <c r="AF1479" t="s">
        <v>37738</v>
      </c>
      <c r="AG1479" t="s">
        <v>34876</v>
      </c>
    </row>
    <row r="1480" spans="1:33" x14ac:dyDescent="0.25">
      <c r="A1480" t="s">
        <v>34462</v>
      </c>
      <c r="B1480" t="s">
        <v>7339</v>
      </c>
      <c r="C1480" t="s">
        <v>7342</v>
      </c>
      <c r="D1480">
        <v>52.8</v>
      </c>
      <c r="E1480">
        <v>44.81</v>
      </c>
      <c r="F1480">
        <v>457858</v>
      </c>
      <c r="G1480">
        <v>819353</v>
      </c>
      <c r="H1480">
        <v>57.68</v>
      </c>
      <c r="I1480">
        <v>60.36</v>
      </c>
      <c r="J1480">
        <v>0.15</v>
      </c>
      <c r="K1480">
        <v>1</v>
      </c>
      <c r="L1480">
        <v>1</v>
      </c>
      <c r="M1480">
        <v>1</v>
      </c>
      <c r="O1480">
        <v>0</v>
      </c>
      <c r="Q1480">
        <v>7</v>
      </c>
      <c r="R1480">
        <v>24</v>
      </c>
      <c r="S1480" t="s">
        <v>36857</v>
      </c>
      <c r="U1480">
        <v>6.1729359999999997E-2</v>
      </c>
      <c r="V1480">
        <v>4.25</v>
      </c>
      <c r="W1480">
        <v>8.98</v>
      </c>
      <c r="X1480" t="s">
        <v>7338</v>
      </c>
      <c r="Y1480" t="s">
        <v>7343</v>
      </c>
      <c r="Z1480" t="s">
        <v>7343</v>
      </c>
      <c r="AA1480" t="s">
        <v>5401</v>
      </c>
      <c r="AB1480" t="s">
        <v>37744</v>
      </c>
      <c r="AC1480" t="s">
        <v>34465</v>
      </c>
      <c r="AD1480" t="s">
        <v>9232</v>
      </c>
      <c r="AE1480" t="s">
        <v>5401</v>
      </c>
      <c r="AF1480" t="s">
        <v>36859</v>
      </c>
    </row>
    <row r="1481" spans="1:33" x14ac:dyDescent="0.25">
      <c r="A1481" t="s">
        <v>34462</v>
      </c>
      <c r="B1481" t="s">
        <v>7345</v>
      </c>
      <c r="C1481" t="s">
        <v>7347</v>
      </c>
      <c r="D1481">
        <v>52.8</v>
      </c>
      <c r="E1481">
        <v>44.81</v>
      </c>
      <c r="F1481">
        <v>993985</v>
      </c>
      <c r="G1481">
        <v>734701</v>
      </c>
      <c r="H1481">
        <v>57.66</v>
      </c>
      <c r="I1481">
        <v>57.66</v>
      </c>
      <c r="J1481">
        <v>0.43</v>
      </c>
      <c r="K1481">
        <v>1</v>
      </c>
      <c r="L1481">
        <v>2</v>
      </c>
      <c r="M1481">
        <v>1</v>
      </c>
      <c r="O1481">
        <v>0</v>
      </c>
      <c r="Q1481">
        <v>4</v>
      </c>
      <c r="R1481">
        <v>14</v>
      </c>
      <c r="S1481" t="s">
        <v>36853</v>
      </c>
      <c r="U1481">
        <v>6.1729359999999997E-2</v>
      </c>
      <c r="V1481">
        <v>4.25</v>
      </c>
      <c r="W1481">
        <v>8.98</v>
      </c>
      <c r="X1481" t="s">
        <v>7344</v>
      </c>
      <c r="Y1481" t="s">
        <v>7343</v>
      </c>
      <c r="Z1481" t="s">
        <v>7343</v>
      </c>
      <c r="AA1481" t="s">
        <v>2924</v>
      </c>
      <c r="AB1481" t="s">
        <v>37745</v>
      </c>
      <c r="AC1481" t="s">
        <v>34465</v>
      </c>
      <c r="AD1481" t="s">
        <v>9232</v>
      </c>
      <c r="AE1481" t="s">
        <v>8427</v>
      </c>
      <c r="AF1481" t="s">
        <v>36855</v>
      </c>
    </row>
    <row r="1482" spans="1:33" x14ac:dyDescent="0.25">
      <c r="A1482" t="s">
        <v>34462</v>
      </c>
      <c r="B1482" t="s">
        <v>7349</v>
      </c>
      <c r="C1482" t="s">
        <v>7352</v>
      </c>
      <c r="D1482">
        <v>18.899999999999999</v>
      </c>
      <c r="E1482">
        <v>18.899999999999999</v>
      </c>
      <c r="H1482">
        <v>28.39</v>
      </c>
      <c r="I1482">
        <v>30.63</v>
      </c>
      <c r="J1482">
        <v>0</v>
      </c>
      <c r="K1482">
        <v>1</v>
      </c>
      <c r="L1482">
        <v>2</v>
      </c>
      <c r="M1482">
        <v>2</v>
      </c>
      <c r="O1482">
        <v>0</v>
      </c>
      <c r="Q1482">
        <v>0</v>
      </c>
      <c r="R1482">
        <v>0</v>
      </c>
      <c r="U1482">
        <v>0.39903622</v>
      </c>
      <c r="V1482">
        <v>3.42</v>
      </c>
      <c r="W1482">
        <v>1.89</v>
      </c>
      <c r="X1482" t="s">
        <v>7348</v>
      </c>
      <c r="AA1482" t="s">
        <v>7353</v>
      </c>
      <c r="AB1482" t="s">
        <v>37746</v>
      </c>
      <c r="AC1482" t="s">
        <v>34465</v>
      </c>
      <c r="AD1482" t="s">
        <v>11496</v>
      </c>
      <c r="AE1482" t="s">
        <v>34826</v>
      </c>
      <c r="AG1482" t="s">
        <v>35921</v>
      </c>
    </row>
    <row r="1483" spans="1:33" x14ac:dyDescent="0.25">
      <c r="A1483" t="s">
        <v>34462</v>
      </c>
      <c r="B1483" t="s">
        <v>7355</v>
      </c>
      <c r="C1483" t="s">
        <v>7358</v>
      </c>
      <c r="D1483">
        <v>39.869999999999997</v>
      </c>
      <c r="E1483">
        <v>39.869999999999997</v>
      </c>
      <c r="F1483">
        <v>4402912</v>
      </c>
      <c r="G1483">
        <v>2561916</v>
      </c>
      <c r="H1483">
        <v>36.71</v>
      </c>
      <c r="I1483">
        <v>33.700000000000003</v>
      </c>
      <c r="J1483">
        <v>0</v>
      </c>
      <c r="K1483">
        <v>1</v>
      </c>
      <c r="L1483">
        <v>1</v>
      </c>
      <c r="M1483">
        <v>1</v>
      </c>
      <c r="Q1483">
        <v>0</v>
      </c>
      <c r="R1483">
        <v>3</v>
      </c>
      <c r="S1483" t="s">
        <v>37747</v>
      </c>
      <c r="U1483">
        <v>0.65918138000000004</v>
      </c>
      <c r="V1483">
        <v>7.24</v>
      </c>
      <c r="W1483">
        <v>6.78</v>
      </c>
      <c r="X1483" t="s">
        <v>7354</v>
      </c>
      <c r="Y1483" t="s">
        <v>7359</v>
      </c>
      <c r="Z1483" t="s">
        <v>7359</v>
      </c>
      <c r="AA1483" t="s">
        <v>76</v>
      </c>
      <c r="AB1483" t="s">
        <v>37748</v>
      </c>
      <c r="AC1483" t="s">
        <v>34465</v>
      </c>
      <c r="AD1483" t="s">
        <v>8081</v>
      </c>
      <c r="AE1483" t="s">
        <v>34533</v>
      </c>
      <c r="AF1483" t="s">
        <v>37749</v>
      </c>
      <c r="AG1483" t="s">
        <v>37750</v>
      </c>
    </row>
    <row r="1484" spans="1:33" x14ac:dyDescent="0.25">
      <c r="A1484" t="s">
        <v>34462</v>
      </c>
      <c r="B1484" t="s">
        <v>7361</v>
      </c>
      <c r="C1484" t="s">
        <v>7363</v>
      </c>
      <c r="D1484">
        <v>39.869999999999997</v>
      </c>
      <c r="E1484">
        <v>39.869999999999997</v>
      </c>
      <c r="F1484">
        <v>4409386</v>
      </c>
      <c r="G1484">
        <v>2565045</v>
      </c>
      <c r="H1484">
        <v>37.76</v>
      </c>
      <c r="I1484">
        <v>34.22</v>
      </c>
      <c r="J1484">
        <v>0</v>
      </c>
      <c r="K1484">
        <v>1</v>
      </c>
      <c r="L1484">
        <v>4</v>
      </c>
      <c r="M1484">
        <v>5</v>
      </c>
      <c r="Q1484">
        <v>0</v>
      </c>
      <c r="R1484">
        <v>3</v>
      </c>
      <c r="S1484" t="s">
        <v>37747</v>
      </c>
      <c r="U1484">
        <v>0.72972921999999996</v>
      </c>
      <c r="V1484">
        <v>7.08</v>
      </c>
      <c r="W1484">
        <v>6.78</v>
      </c>
      <c r="X1484" t="s">
        <v>7360</v>
      </c>
      <c r="Y1484" t="s">
        <v>7359</v>
      </c>
      <c r="Z1484" t="s">
        <v>7359</v>
      </c>
      <c r="AA1484" t="s">
        <v>76</v>
      </c>
      <c r="AB1484" t="s">
        <v>37751</v>
      </c>
      <c r="AC1484" t="s">
        <v>34465</v>
      </c>
      <c r="AD1484" t="s">
        <v>8081</v>
      </c>
      <c r="AE1484" t="s">
        <v>14701</v>
      </c>
      <c r="AF1484" t="s">
        <v>37749</v>
      </c>
      <c r="AG1484" t="s">
        <v>37750</v>
      </c>
    </row>
    <row r="1485" spans="1:33" x14ac:dyDescent="0.25">
      <c r="A1485" t="s">
        <v>34462</v>
      </c>
      <c r="B1485" t="s">
        <v>7365</v>
      </c>
      <c r="C1485" t="s">
        <v>7367</v>
      </c>
      <c r="D1485">
        <v>39.869999999999997</v>
      </c>
      <c r="E1485">
        <v>39.869999999999997</v>
      </c>
      <c r="F1485">
        <v>4402912</v>
      </c>
      <c r="G1485">
        <v>2577707</v>
      </c>
      <c r="H1485">
        <v>37.729999999999997</v>
      </c>
      <c r="I1485">
        <v>34.229999999999997</v>
      </c>
      <c r="J1485">
        <v>0</v>
      </c>
      <c r="K1485">
        <v>1</v>
      </c>
      <c r="L1485">
        <v>3</v>
      </c>
      <c r="M1485">
        <v>4</v>
      </c>
      <c r="Q1485">
        <v>0</v>
      </c>
      <c r="R1485">
        <v>3</v>
      </c>
      <c r="S1485" t="s">
        <v>37747</v>
      </c>
      <c r="U1485">
        <v>0.76941238000000001</v>
      </c>
      <c r="V1485">
        <v>7.24</v>
      </c>
      <c r="W1485">
        <v>6.78</v>
      </c>
      <c r="X1485" t="s">
        <v>7364</v>
      </c>
      <c r="Y1485" t="s">
        <v>7359</v>
      </c>
      <c r="Z1485" t="s">
        <v>7359</v>
      </c>
      <c r="AA1485" t="s">
        <v>76</v>
      </c>
      <c r="AB1485" t="s">
        <v>37752</v>
      </c>
      <c r="AC1485" t="s">
        <v>34465</v>
      </c>
      <c r="AD1485" t="s">
        <v>8081</v>
      </c>
      <c r="AE1485" t="s">
        <v>34525</v>
      </c>
      <c r="AF1485" t="s">
        <v>37749</v>
      </c>
      <c r="AG1485" t="s">
        <v>37750</v>
      </c>
    </row>
    <row r="1486" spans="1:33" x14ac:dyDescent="0.25">
      <c r="A1486" t="s">
        <v>34462</v>
      </c>
      <c r="B1486" t="s">
        <v>7369</v>
      </c>
      <c r="C1486" t="s">
        <v>7371</v>
      </c>
      <c r="D1486">
        <v>46.4</v>
      </c>
      <c r="E1486">
        <v>38.409999999999997</v>
      </c>
      <c r="F1486">
        <v>4409386</v>
      </c>
      <c r="G1486">
        <v>2846454</v>
      </c>
      <c r="H1486">
        <v>74.16</v>
      </c>
      <c r="I1486">
        <v>49.27</v>
      </c>
      <c r="J1486">
        <v>0.33</v>
      </c>
      <c r="K1486">
        <v>1</v>
      </c>
      <c r="L1486">
        <v>3</v>
      </c>
      <c r="M1486">
        <v>3</v>
      </c>
      <c r="Q1486">
        <v>0</v>
      </c>
      <c r="R1486">
        <v>4</v>
      </c>
      <c r="S1486" t="s">
        <v>37747</v>
      </c>
      <c r="U1486">
        <v>0.82011864000000001</v>
      </c>
      <c r="V1486">
        <v>7.4</v>
      </c>
      <c r="W1486">
        <v>7.89</v>
      </c>
      <c r="X1486" t="s">
        <v>7368</v>
      </c>
      <c r="Y1486" t="s">
        <v>7359</v>
      </c>
      <c r="Z1486" t="s">
        <v>7359</v>
      </c>
      <c r="AA1486" t="s">
        <v>76</v>
      </c>
      <c r="AB1486" t="s">
        <v>37753</v>
      </c>
      <c r="AC1486" t="s">
        <v>34465</v>
      </c>
      <c r="AD1486" t="s">
        <v>8081</v>
      </c>
      <c r="AE1486" t="s">
        <v>34649</v>
      </c>
      <c r="AF1486" t="s">
        <v>37749</v>
      </c>
      <c r="AG1486" t="s">
        <v>37750</v>
      </c>
    </row>
    <row r="1487" spans="1:33" x14ac:dyDescent="0.25">
      <c r="A1487" t="s">
        <v>34462</v>
      </c>
      <c r="B1487" t="s">
        <v>7373</v>
      </c>
      <c r="C1487" t="s">
        <v>7376</v>
      </c>
      <c r="D1487">
        <v>38.57</v>
      </c>
      <c r="E1487">
        <v>38.57</v>
      </c>
      <c r="F1487">
        <v>109227</v>
      </c>
      <c r="G1487">
        <v>75490</v>
      </c>
      <c r="H1487">
        <v>42.44</v>
      </c>
      <c r="I1487">
        <v>45.78</v>
      </c>
      <c r="J1487">
        <v>0</v>
      </c>
      <c r="K1487">
        <v>0</v>
      </c>
      <c r="L1487">
        <v>1</v>
      </c>
      <c r="M1487">
        <v>1</v>
      </c>
      <c r="N1487">
        <v>4.4000000000000004</v>
      </c>
      <c r="O1487">
        <v>1</v>
      </c>
      <c r="P1487">
        <v>464</v>
      </c>
      <c r="Q1487">
        <v>15</v>
      </c>
      <c r="R1487">
        <v>51</v>
      </c>
      <c r="S1487" t="s">
        <v>37754</v>
      </c>
      <c r="U1487">
        <v>0.55115499999999995</v>
      </c>
      <c r="V1487">
        <v>6.05</v>
      </c>
      <c r="W1487">
        <v>6.56</v>
      </c>
      <c r="X1487" t="s">
        <v>7372</v>
      </c>
      <c r="Y1487" t="s">
        <v>7377</v>
      </c>
      <c r="Z1487" t="s">
        <v>7377</v>
      </c>
      <c r="AA1487" t="s">
        <v>7378</v>
      </c>
      <c r="AB1487" t="s">
        <v>37755</v>
      </c>
      <c r="AC1487" t="s">
        <v>34493</v>
      </c>
      <c r="AD1487" t="s">
        <v>10970</v>
      </c>
      <c r="AE1487" t="s">
        <v>34533</v>
      </c>
      <c r="AF1487" t="s">
        <v>37756</v>
      </c>
      <c r="AG1487" t="s">
        <v>37757</v>
      </c>
    </row>
    <row r="1488" spans="1:33" x14ac:dyDescent="0.25">
      <c r="A1488" t="s">
        <v>34462</v>
      </c>
      <c r="B1488" t="s">
        <v>7380</v>
      </c>
      <c r="C1488" t="s">
        <v>7382</v>
      </c>
      <c r="D1488">
        <v>50.65</v>
      </c>
      <c r="F1488">
        <v>109227</v>
      </c>
      <c r="G1488">
        <v>75002</v>
      </c>
      <c r="I1488">
        <v>50.65</v>
      </c>
      <c r="J1488">
        <v>1</v>
      </c>
      <c r="K1488">
        <v>1</v>
      </c>
      <c r="N1488">
        <v>4.4000000000000004</v>
      </c>
      <c r="O1488">
        <v>0</v>
      </c>
      <c r="P1488">
        <v>419</v>
      </c>
      <c r="Q1488">
        <v>1</v>
      </c>
      <c r="R1488">
        <v>5</v>
      </c>
      <c r="S1488" t="s">
        <v>37754</v>
      </c>
      <c r="U1488">
        <v>0.55776886000000003</v>
      </c>
      <c r="V1488">
        <v>6.67</v>
      </c>
      <c r="X1488" t="s">
        <v>7379</v>
      </c>
      <c r="Y1488" t="s">
        <v>7383</v>
      </c>
      <c r="Z1488" t="s">
        <v>7383</v>
      </c>
      <c r="AA1488" t="s">
        <v>7384</v>
      </c>
      <c r="AB1488" t="s">
        <v>37758</v>
      </c>
      <c r="AC1488" t="s">
        <v>34465</v>
      </c>
      <c r="AD1488" t="s">
        <v>10970</v>
      </c>
      <c r="AE1488" t="s">
        <v>34533</v>
      </c>
      <c r="AF1488" t="s">
        <v>37759</v>
      </c>
      <c r="AG1488" t="s">
        <v>37760</v>
      </c>
    </row>
    <row r="1489" spans="1:33" x14ac:dyDescent="0.25">
      <c r="A1489" t="s">
        <v>34462</v>
      </c>
      <c r="B1489" t="s">
        <v>7386</v>
      </c>
      <c r="C1489" t="s">
        <v>7388</v>
      </c>
      <c r="D1489">
        <v>41.67</v>
      </c>
      <c r="F1489">
        <v>109227</v>
      </c>
      <c r="G1489">
        <v>76529</v>
      </c>
      <c r="H1489">
        <v>41.67</v>
      </c>
      <c r="I1489">
        <v>45.85</v>
      </c>
      <c r="J1489">
        <v>7.0000000000000007E-2</v>
      </c>
      <c r="K1489">
        <v>7.0000000000000007E-2</v>
      </c>
      <c r="L1489">
        <v>1</v>
      </c>
      <c r="M1489">
        <v>1</v>
      </c>
      <c r="N1489">
        <v>4.4000000000000004</v>
      </c>
      <c r="O1489">
        <v>0</v>
      </c>
      <c r="P1489">
        <v>462</v>
      </c>
      <c r="Q1489">
        <v>21</v>
      </c>
      <c r="R1489">
        <v>58</v>
      </c>
      <c r="S1489" t="s">
        <v>37754</v>
      </c>
      <c r="U1489">
        <v>0.63933980000000001</v>
      </c>
      <c r="V1489">
        <v>6.14</v>
      </c>
      <c r="X1489" t="s">
        <v>7385</v>
      </c>
      <c r="Y1489" t="s">
        <v>7383</v>
      </c>
      <c r="Z1489" t="s">
        <v>7383</v>
      </c>
      <c r="AA1489" t="s">
        <v>7384</v>
      </c>
      <c r="AB1489" t="s">
        <v>37761</v>
      </c>
      <c r="AC1489" t="s">
        <v>34465</v>
      </c>
      <c r="AD1489" t="s">
        <v>10970</v>
      </c>
      <c r="AE1489" t="s">
        <v>14701</v>
      </c>
      <c r="AF1489" t="s">
        <v>37762</v>
      </c>
      <c r="AG1489" t="s">
        <v>37757</v>
      </c>
    </row>
    <row r="1490" spans="1:33" x14ac:dyDescent="0.25">
      <c r="A1490" t="s">
        <v>34462</v>
      </c>
      <c r="B1490" t="s">
        <v>7390</v>
      </c>
      <c r="C1490" t="s">
        <v>7392</v>
      </c>
      <c r="D1490">
        <v>31.3</v>
      </c>
      <c r="E1490">
        <v>31.3</v>
      </c>
      <c r="F1490">
        <v>109227</v>
      </c>
      <c r="G1490">
        <v>75573</v>
      </c>
      <c r="H1490">
        <v>42.02</v>
      </c>
      <c r="I1490">
        <v>42.96</v>
      </c>
      <c r="J1490">
        <v>0.08</v>
      </c>
      <c r="K1490">
        <v>0.08</v>
      </c>
      <c r="L1490">
        <v>1</v>
      </c>
      <c r="M1490">
        <v>1</v>
      </c>
      <c r="N1490">
        <v>4.4000000000000004</v>
      </c>
      <c r="O1490">
        <v>2</v>
      </c>
      <c r="P1490">
        <v>462</v>
      </c>
      <c r="Q1490">
        <v>18</v>
      </c>
      <c r="R1490">
        <v>48</v>
      </c>
      <c r="S1490" t="s">
        <v>37754</v>
      </c>
      <c r="U1490">
        <v>0.60406588000000006</v>
      </c>
      <c r="V1490">
        <v>6.05</v>
      </c>
      <c r="W1490">
        <v>3.12</v>
      </c>
      <c r="X1490" t="s">
        <v>7389</v>
      </c>
      <c r="Y1490" t="s">
        <v>7383</v>
      </c>
      <c r="Z1490" t="s">
        <v>7383</v>
      </c>
      <c r="AA1490" t="s">
        <v>7384</v>
      </c>
      <c r="AB1490" t="s">
        <v>37763</v>
      </c>
      <c r="AC1490" t="s">
        <v>34484</v>
      </c>
      <c r="AD1490" t="s">
        <v>10970</v>
      </c>
      <c r="AE1490" t="s">
        <v>34525</v>
      </c>
      <c r="AF1490" t="s">
        <v>37762</v>
      </c>
      <c r="AG1490" t="s">
        <v>37757</v>
      </c>
    </row>
    <row r="1491" spans="1:33" x14ac:dyDescent="0.25">
      <c r="A1491" t="s">
        <v>34462</v>
      </c>
      <c r="B1491" t="s">
        <v>7394</v>
      </c>
      <c r="C1491" t="s">
        <v>7397</v>
      </c>
      <c r="D1491">
        <v>27.05</v>
      </c>
      <c r="E1491">
        <v>19.100000000000001</v>
      </c>
      <c r="F1491">
        <v>8074036</v>
      </c>
      <c r="G1491">
        <v>7628740</v>
      </c>
      <c r="H1491">
        <v>27.51</v>
      </c>
      <c r="I1491">
        <v>27.85</v>
      </c>
      <c r="J1491">
        <v>0</v>
      </c>
      <c r="K1491">
        <v>1</v>
      </c>
      <c r="L1491">
        <v>1</v>
      </c>
      <c r="M1491">
        <v>1</v>
      </c>
      <c r="O1491">
        <v>0</v>
      </c>
      <c r="Q1491">
        <v>0</v>
      </c>
      <c r="R1491">
        <v>0</v>
      </c>
      <c r="U1491">
        <v>0.31085141999999999</v>
      </c>
      <c r="V1491">
        <v>5.12</v>
      </c>
      <c r="W1491">
        <v>4.5999999999999996</v>
      </c>
      <c r="X1491" t="s">
        <v>7393</v>
      </c>
      <c r="Y1491" t="s">
        <v>7398</v>
      </c>
      <c r="Z1491" t="s">
        <v>7398</v>
      </c>
      <c r="AA1491" t="s">
        <v>7399</v>
      </c>
      <c r="AB1491" t="s">
        <v>37764</v>
      </c>
      <c r="AC1491" t="s">
        <v>34465</v>
      </c>
      <c r="AD1491" t="s">
        <v>12519</v>
      </c>
      <c r="AE1491" t="s">
        <v>37765</v>
      </c>
      <c r="AF1491" t="s">
        <v>37766</v>
      </c>
    </row>
    <row r="1492" spans="1:33" x14ac:dyDescent="0.25">
      <c r="A1492" t="s">
        <v>34462</v>
      </c>
      <c r="B1492" t="s">
        <v>7401</v>
      </c>
      <c r="C1492" t="s">
        <v>7403</v>
      </c>
      <c r="D1492">
        <v>29.05</v>
      </c>
      <c r="E1492">
        <v>21.1</v>
      </c>
      <c r="F1492">
        <v>3711169</v>
      </c>
      <c r="G1492">
        <v>3601117</v>
      </c>
      <c r="H1492">
        <v>38.61</v>
      </c>
      <c r="I1492">
        <v>38</v>
      </c>
      <c r="J1492">
        <v>0</v>
      </c>
      <c r="K1492">
        <v>1</v>
      </c>
      <c r="L1492">
        <v>2</v>
      </c>
      <c r="M1492">
        <v>2</v>
      </c>
      <c r="N1492">
        <v>5</v>
      </c>
      <c r="O1492">
        <v>0</v>
      </c>
      <c r="P1492">
        <v>1</v>
      </c>
      <c r="Q1492">
        <v>1</v>
      </c>
      <c r="R1492">
        <v>2</v>
      </c>
      <c r="U1492">
        <v>0.35053457999999998</v>
      </c>
      <c r="V1492">
        <v>5.12</v>
      </c>
      <c r="W1492">
        <v>4.9400000000000004</v>
      </c>
      <c r="X1492" t="s">
        <v>7400</v>
      </c>
      <c r="Y1492" t="s">
        <v>7398</v>
      </c>
      <c r="Z1492" t="s">
        <v>7398</v>
      </c>
      <c r="AA1492" t="s">
        <v>1675</v>
      </c>
      <c r="AB1492" t="s">
        <v>37767</v>
      </c>
      <c r="AC1492" t="s">
        <v>34465</v>
      </c>
      <c r="AD1492" t="s">
        <v>12519</v>
      </c>
      <c r="AE1492" t="s">
        <v>37768</v>
      </c>
      <c r="AF1492" t="s">
        <v>37766</v>
      </c>
    </row>
    <row r="1493" spans="1:33" x14ac:dyDescent="0.25">
      <c r="A1493" t="s">
        <v>34462</v>
      </c>
      <c r="B1493" t="s">
        <v>7405</v>
      </c>
      <c r="C1493" t="s">
        <v>7408</v>
      </c>
      <c r="D1493">
        <v>89.99</v>
      </c>
      <c r="H1493">
        <v>89.99</v>
      </c>
      <c r="I1493">
        <v>89.99</v>
      </c>
      <c r="J1493">
        <v>0.38</v>
      </c>
      <c r="K1493">
        <v>1</v>
      </c>
      <c r="L1493">
        <v>1</v>
      </c>
      <c r="M1493">
        <v>1</v>
      </c>
      <c r="Q1493">
        <v>-1</v>
      </c>
      <c r="R1493">
        <v>-1</v>
      </c>
      <c r="X1493" t="s">
        <v>7404</v>
      </c>
      <c r="AB1493" t="s">
        <v>37769</v>
      </c>
      <c r="AC1493" t="s">
        <v>34465</v>
      </c>
      <c r="AD1493" t="s">
        <v>34993</v>
      </c>
      <c r="AF1493" t="s">
        <v>37770</v>
      </c>
      <c r="AG1493" t="s">
        <v>37771</v>
      </c>
    </row>
    <row r="1494" spans="1:33" x14ac:dyDescent="0.25">
      <c r="A1494" t="s">
        <v>34462</v>
      </c>
      <c r="B1494" t="s">
        <v>7410</v>
      </c>
      <c r="C1494" t="s">
        <v>7413</v>
      </c>
      <c r="D1494">
        <v>39.369999999999997</v>
      </c>
      <c r="E1494">
        <v>39.369999999999997</v>
      </c>
      <c r="F1494">
        <v>183575</v>
      </c>
      <c r="G1494">
        <v>115689</v>
      </c>
      <c r="H1494">
        <v>72.040000000000006</v>
      </c>
      <c r="I1494">
        <v>70.66</v>
      </c>
      <c r="J1494">
        <v>0</v>
      </c>
      <c r="K1494">
        <v>0</v>
      </c>
      <c r="L1494">
        <v>2</v>
      </c>
      <c r="M1494">
        <v>2</v>
      </c>
      <c r="N1494">
        <v>4.5</v>
      </c>
      <c r="O1494">
        <v>33</v>
      </c>
      <c r="P1494">
        <v>1872</v>
      </c>
      <c r="Q1494">
        <v>24</v>
      </c>
      <c r="R1494">
        <v>54</v>
      </c>
      <c r="S1494" t="s">
        <v>37772</v>
      </c>
      <c r="U1494">
        <v>3.0600125600000001</v>
      </c>
      <c r="V1494">
        <v>13.79</v>
      </c>
      <c r="W1494">
        <v>6.69</v>
      </c>
      <c r="X1494" t="s">
        <v>7409</v>
      </c>
      <c r="Y1494" t="s">
        <v>37773</v>
      </c>
      <c r="Z1494" t="s">
        <v>7414</v>
      </c>
      <c r="AA1494" t="s">
        <v>76</v>
      </c>
      <c r="AB1494" t="s">
        <v>37774</v>
      </c>
      <c r="AC1494" t="s">
        <v>34493</v>
      </c>
      <c r="AD1494" t="s">
        <v>10970</v>
      </c>
      <c r="AE1494" t="s">
        <v>34533</v>
      </c>
      <c r="AF1494" t="s">
        <v>37775</v>
      </c>
      <c r="AG1494" t="s">
        <v>37776</v>
      </c>
    </row>
    <row r="1495" spans="1:33" x14ac:dyDescent="0.25">
      <c r="A1495" t="s">
        <v>34462</v>
      </c>
      <c r="B1495" t="s">
        <v>7416</v>
      </c>
      <c r="C1495" t="s">
        <v>7419</v>
      </c>
      <c r="D1495">
        <v>11.5</v>
      </c>
      <c r="E1495">
        <v>11.5</v>
      </c>
      <c r="F1495">
        <v>104726</v>
      </c>
      <c r="G1495">
        <v>97391</v>
      </c>
      <c r="H1495">
        <v>11.9</v>
      </c>
      <c r="I1495">
        <v>11.53</v>
      </c>
      <c r="J1495">
        <v>0</v>
      </c>
      <c r="K1495">
        <v>0.51</v>
      </c>
      <c r="L1495">
        <v>6</v>
      </c>
      <c r="M1495">
        <v>3</v>
      </c>
      <c r="N1495">
        <v>4</v>
      </c>
      <c r="O1495">
        <v>74</v>
      </c>
      <c r="P1495">
        <v>276</v>
      </c>
      <c r="Q1495">
        <v>46</v>
      </c>
      <c r="R1495">
        <v>115</v>
      </c>
      <c r="S1495" t="s">
        <v>37777</v>
      </c>
      <c r="U1495">
        <v>2.5992469800000002</v>
      </c>
      <c r="V1495">
        <v>8.1199999999999992</v>
      </c>
      <c r="W1495">
        <v>1.73</v>
      </c>
      <c r="X1495" t="s">
        <v>7415</v>
      </c>
      <c r="Y1495" t="s">
        <v>7420</v>
      </c>
      <c r="Z1495" t="s">
        <v>7420</v>
      </c>
      <c r="AA1495" t="s">
        <v>1453</v>
      </c>
      <c r="AB1495" t="s">
        <v>37778</v>
      </c>
      <c r="AC1495" t="s">
        <v>34465</v>
      </c>
      <c r="AD1495" t="s">
        <v>25190</v>
      </c>
      <c r="AE1495" t="s">
        <v>34525</v>
      </c>
      <c r="AF1495" t="s">
        <v>37779</v>
      </c>
      <c r="AG1495" t="s">
        <v>37780</v>
      </c>
    </row>
    <row r="1496" spans="1:33" x14ac:dyDescent="0.25">
      <c r="A1496" t="s">
        <v>34462</v>
      </c>
      <c r="B1496" t="s">
        <v>7422</v>
      </c>
      <c r="C1496" t="s">
        <v>7425</v>
      </c>
      <c r="D1496">
        <v>14</v>
      </c>
      <c r="E1496">
        <v>14</v>
      </c>
      <c r="H1496">
        <v>15.65</v>
      </c>
      <c r="I1496">
        <v>15.65</v>
      </c>
      <c r="J1496">
        <v>0</v>
      </c>
      <c r="K1496">
        <v>1</v>
      </c>
      <c r="L1496">
        <v>2</v>
      </c>
      <c r="M1496">
        <v>2</v>
      </c>
      <c r="N1496">
        <v>4.8</v>
      </c>
      <c r="O1496">
        <v>0</v>
      </c>
      <c r="P1496">
        <v>870</v>
      </c>
      <c r="Q1496">
        <v>0</v>
      </c>
      <c r="R1496">
        <v>0</v>
      </c>
      <c r="U1496">
        <v>0.22928048000000001</v>
      </c>
      <c r="V1496">
        <v>4.67</v>
      </c>
      <c r="W1496">
        <v>1.4</v>
      </c>
      <c r="X1496" t="s">
        <v>7421</v>
      </c>
      <c r="AB1496" t="s">
        <v>37781</v>
      </c>
      <c r="AC1496" t="s">
        <v>34465</v>
      </c>
      <c r="AD1496" t="s">
        <v>11496</v>
      </c>
      <c r="AG1496" t="s">
        <v>37782</v>
      </c>
    </row>
    <row r="1497" spans="1:33" x14ac:dyDescent="0.25">
      <c r="A1497" t="s">
        <v>34462</v>
      </c>
      <c r="B1497" t="s">
        <v>7427</v>
      </c>
      <c r="C1497" t="s">
        <v>7429</v>
      </c>
      <c r="D1497">
        <v>14</v>
      </c>
      <c r="E1497">
        <v>14</v>
      </c>
      <c r="G1497">
        <v>4356142</v>
      </c>
      <c r="H1497">
        <v>17.68</v>
      </c>
      <c r="I1497">
        <v>23.35</v>
      </c>
      <c r="J1497">
        <v>0</v>
      </c>
      <c r="K1497">
        <v>1</v>
      </c>
      <c r="L1497">
        <v>6</v>
      </c>
      <c r="M1497">
        <v>5</v>
      </c>
      <c r="O1497">
        <v>0</v>
      </c>
      <c r="Q1497">
        <v>0</v>
      </c>
      <c r="R1497">
        <v>1</v>
      </c>
      <c r="U1497">
        <v>0.22928048000000001</v>
      </c>
      <c r="V1497">
        <v>4.67</v>
      </c>
      <c r="W1497">
        <v>1.4</v>
      </c>
      <c r="X1497" t="s">
        <v>7426</v>
      </c>
      <c r="AA1497" t="s">
        <v>7430</v>
      </c>
      <c r="AB1497" t="s">
        <v>37783</v>
      </c>
      <c r="AC1497" t="s">
        <v>34465</v>
      </c>
      <c r="AD1497" t="s">
        <v>11496</v>
      </c>
      <c r="AF1497" t="s">
        <v>37784</v>
      </c>
      <c r="AG1497" t="s">
        <v>34709</v>
      </c>
    </row>
    <row r="1498" spans="1:33" x14ac:dyDescent="0.25">
      <c r="A1498" t="s">
        <v>34462</v>
      </c>
      <c r="B1498" t="s">
        <v>7432</v>
      </c>
      <c r="C1498" t="s">
        <v>7434</v>
      </c>
      <c r="D1498">
        <v>12.97</v>
      </c>
      <c r="E1498">
        <v>12.97</v>
      </c>
      <c r="F1498">
        <v>3532628</v>
      </c>
      <c r="G1498">
        <v>1442772</v>
      </c>
      <c r="H1498">
        <v>17.329999999999998</v>
      </c>
      <c r="I1498">
        <v>22.22</v>
      </c>
      <c r="J1498">
        <v>0</v>
      </c>
      <c r="K1498">
        <v>1</v>
      </c>
      <c r="L1498">
        <v>13</v>
      </c>
      <c r="M1498">
        <v>12</v>
      </c>
      <c r="O1498">
        <v>0</v>
      </c>
      <c r="Q1498">
        <v>5</v>
      </c>
      <c r="R1498">
        <v>49</v>
      </c>
      <c r="U1498">
        <v>0.22928048000000001</v>
      </c>
      <c r="V1498">
        <v>4.6100000000000003</v>
      </c>
      <c r="W1498">
        <v>0.65</v>
      </c>
      <c r="X1498" t="s">
        <v>7431</v>
      </c>
      <c r="Z1498" t="s">
        <v>1452</v>
      </c>
      <c r="AA1498" t="s">
        <v>7430</v>
      </c>
      <c r="AB1498" t="s">
        <v>37785</v>
      </c>
      <c r="AC1498" t="s">
        <v>34465</v>
      </c>
      <c r="AD1498" t="s">
        <v>11496</v>
      </c>
      <c r="AE1498" t="s">
        <v>34512</v>
      </c>
      <c r="AF1498" t="s">
        <v>37786</v>
      </c>
      <c r="AG1498" t="s">
        <v>37787</v>
      </c>
    </row>
    <row r="1499" spans="1:33" x14ac:dyDescent="0.25">
      <c r="A1499" t="s">
        <v>34462</v>
      </c>
      <c r="B1499" t="s">
        <v>7436</v>
      </c>
      <c r="C1499" t="s">
        <v>7439</v>
      </c>
      <c r="J1499">
        <v>1</v>
      </c>
      <c r="K1499">
        <v>1</v>
      </c>
      <c r="Q1499">
        <v>-1</v>
      </c>
      <c r="R1499">
        <v>-1</v>
      </c>
      <c r="X1499" t="s">
        <v>7435</v>
      </c>
      <c r="Y1499" t="s">
        <v>36951</v>
      </c>
      <c r="AB1499" t="s">
        <v>37788</v>
      </c>
      <c r="AC1499" t="s">
        <v>34465</v>
      </c>
      <c r="AD1499" t="s">
        <v>37789</v>
      </c>
      <c r="AF1499" t="s">
        <v>37790</v>
      </c>
    </row>
    <row r="1500" spans="1:33" x14ac:dyDescent="0.25">
      <c r="A1500" t="s">
        <v>34462</v>
      </c>
      <c r="B1500" t="s">
        <v>7441</v>
      </c>
      <c r="C1500" t="s">
        <v>7443</v>
      </c>
      <c r="J1500">
        <v>1</v>
      </c>
      <c r="K1500">
        <v>1</v>
      </c>
      <c r="Q1500">
        <v>-1</v>
      </c>
      <c r="R1500">
        <v>-1</v>
      </c>
      <c r="X1500" t="s">
        <v>7440</v>
      </c>
      <c r="Y1500" t="s">
        <v>36951</v>
      </c>
      <c r="AB1500" t="s">
        <v>37791</v>
      </c>
      <c r="AC1500" t="s">
        <v>34465</v>
      </c>
      <c r="AD1500" t="s">
        <v>37789</v>
      </c>
      <c r="AF1500" t="s">
        <v>37792</v>
      </c>
    </row>
    <row r="1501" spans="1:33" x14ac:dyDescent="0.25">
      <c r="A1501" t="s">
        <v>34462</v>
      </c>
      <c r="B1501" t="s">
        <v>7445</v>
      </c>
      <c r="C1501" t="s">
        <v>7448</v>
      </c>
      <c r="D1501">
        <v>31.5</v>
      </c>
      <c r="E1501">
        <v>31.5</v>
      </c>
      <c r="F1501">
        <v>826894</v>
      </c>
      <c r="G1501">
        <v>476884</v>
      </c>
      <c r="H1501">
        <v>32.54</v>
      </c>
      <c r="I1501">
        <v>43.78</v>
      </c>
      <c r="J1501">
        <v>0</v>
      </c>
      <c r="K1501">
        <v>0</v>
      </c>
      <c r="L1501">
        <v>2</v>
      </c>
      <c r="M1501">
        <v>1</v>
      </c>
      <c r="N1501">
        <v>5</v>
      </c>
      <c r="O1501">
        <v>0</v>
      </c>
      <c r="P1501">
        <v>6</v>
      </c>
      <c r="Q1501">
        <v>7</v>
      </c>
      <c r="R1501">
        <v>31</v>
      </c>
      <c r="S1501" t="s">
        <v>36060</v>
      </c>
      <c r="U1501">
        <v>0.78264010000000006</v>
      </c>
      <c r="V1501">
        <v>12.65</v>
      </c>
      <c r="W1501">
        <v>5.36</v>
      </c>
      <c r="X1501" t="s">
        <v>7444</v>
      </c>
      <c r="Y1501" t="s">
        <v>7449</v>
      </c>
      <c r="Z1501" t="s">
        <v>7449</v>
      </c>
      <c r="AA1501" t="s">
        <v>3530</v>
      </c>
      <c r="AB1501" t="s">
        <v>37793</v>
      </c>
      <c r="AC1501" t="s">
        <v>34493</v>
      </c>
      <c r="AD1501" t="s">
        <v>9232</v>
      </c>
      <c r="AE1501" t="s">
        <v>8427</v>
      </c>
      <c r="AF1501" t="s">
        <v>36074</v>
      </c>
    </row>
    <row r="1502" spans="1:33" x14ac:dyDescent="0.25">
      <c r="A1502" t="s">
        <v>34462</v>
      </c>
      <c r="B1502" t="s">
        <v>7451</v>
      </c>
      <c r="C1502" t="s">
        <v>7453</v>
      </c>
      <c r="D1502">
        <v>30</v>
      </c>
      <c r="E1502">
        <v>30</v>
      </c>
      <c r="F1502">
        <v>826894</v>
      </c>
      <c r="G1502">
        <v>428846</v>
      </c>
      <c r="H1502">
        <v>60.75</v>
      </c>
      <c r="I1502">
        <v>63.12</v>
      </c>
      <c r="J1502">
        <v>0</v>
      </c>
      <c r="K1502">
        <v>0</v>
      </c>
      <c r="L1502">
        <v>1</v>
      </c>
      <c r="M1502">
        <v>1</v>
      </c>
      <c r="O1502">
        <v>0</v>
      </c>
      <c r="Q1502">
        <v>13</v>
      </c>
      <c r="R1502">
        <v>38</v>
      </c>
      <c r="S1502" t="s">
        <v>36060</v>
      </c>
      <c r="U1502">
        <v>1.0097159600000001</v>
      </c>
      <c r="V1502">
        <v>12.27</v>
      </c>
      <c r="W1502">
        <v>5.0999999999999996</v>
      </c>
      <c r="X1502" t="s">
        <v>7450</v>
      </c>
      <c r="Y1502" t="s">
        <v>7449</v>
      </c>
      <c r="Z1502" t="s">
        <v>7449</v>
      </c>
      <c r="AA1502" t="s">
        <v>7454</v>
      </c>
      <c r="AB1502" t="s">
        <v>37794</v>
      </c>
      <c r="AC1502" t="s">
        <v>34493</v>
      </c>
      <c r="AD1502" t="s">
        <v>9232</v>
      </c>
      <c r="AE1502" t="s">
        <v>8427</v>
      </c>
      <c r="AF1502" t="s">
        <v>37795</v>
      </c>
    </row>
    <row r="1503" spans="1:33" x14ac:dyDescent="0.25">
      <c r="A1503" t="s">
        <v>34462</v>
      </c>
      <c r="B1503" t="s">
        <v>7456</v>
      </c>
      <c r="C1503" t="s">
        <v>7458</v>
      </c>
      <c r="D1503">
        <v>48.16</v>
      </c>
      <c r="E1503">
        <v>48.16</v>
      </c>
      <c r="F1503">
        <v>826894</v>
      </c>
      <c r="G1503">
        <v>446794</v>
      </c>
      <c r="H1503">
        <v>45.52</v>
      </c>
      <c r="I1503">
        <v>53.57</v>
      </c>
      <c r="J1503">
        <v>0</v>
      </c>
      <c r="K1503">
        <v>0</v>
      </c>
      <c r="L1503">
        <v>1</v>
      </c>
      <c r="M1503">
        <v>1</v>
      </c>
      <c r="N1503">
        <v>5</v>
      </c>
      <c r="O1503">
        <v>0</v>
      </c>
      <c r="P1503">
        <v>5</v>
      </c>
      <c r="Q1503">
        <v>11</v>
      </c>
      <c r="R1503">
        <v>39</v>
      </c>
      <c r="S1503" t="s">
        <v>36060</v>
      </c>
      <c r="U1503">
        <v>1.0097159600000001</v>
      </c>
      <c r="V1503">
        <v>8.52</v>
      </c>
      <c r="W1503">
        <v>8.19</v>
      </c>
      <c r="X1503" t="s">
        <v>7455</v>
      </c>
      <c r="Y1503" t="s">
        <v>7449</v>
      </c>
      <c r="Z1503" t="s">
        <v>7449</v>
      </c>
      <c r="AA1503" t="s">
        <v>3535</v>
      </c>
      <c r="AB1503" t="s">
        <v>37796</v>
      </c>
      <c r="AC1503" t="s">
        <v>34493</v>
      </c>
      <c r="AD1503" t="s">
        <v>9232</v>
      </c>
      <c r="AE1503" t="s">
        <v>8427</v>
      </c>
      <c r="AF1503" t="s">
        <v>36079</v>
      </c>
      <c r="AG1503" t="s">
        <v>35103</v>
      </c>
    </row>
    <row r="1504" spans="1:33" x14ac:dyDescent="0.25">
      <c r="A1504" t="s">
        <v>34462</v>
      </c>
      <c r="B1504" t="s">
        <v>7460</v>
      </c>
      <c r="C1504" t="s">
        <v>7462</v>
      </c>
      <c r="D1504">
        <v>47.78</v>
      </c>
      <c r="E1504">
        <v>47.78</v>
      </c>
      <c r="F1504">
        <v>826894</v>
      </c>
      <c r="G1504">
        <v>477852</v>
      </c>
      <c r="H1504">
        <v>40.22</v>
      </c>
      <c r="I1504">
        <v>47.23</v>
      </c>
      <c r="J1504">
        <v>0</v>
      </c>
      <c r="K1504">
        <v>0</v>
      </c>
      <c r="L1504">
        <v>2</v>
      </c>
      <c r="M1504">
        <v>1</v>
      </c>
      <c r="N1504">
        <v>4.5</v>
      </c>
      <c r="O1504">
        <v>0</v>
      </c>
      <c r="P1504">
        <v>9</v>
      </c>
      <c r="Q1504">
        <v>11</v>
      </c>
      <c r="R1504">
        <v>41</v>
      </c>
      <c r="S1504" t="s">
        <v>36060</v>
      </c>
      <c r="U1504">
        <v>0.98987438000000005</v>
      </c>
      <c r="V1504">
        <v>13.03</v>
      </c>
      <c r="W1504">
        <v>8.1199999999999992</v>
      </c>
      <c r="X1504" t="s">
        <v>7459</v>
      </c>
      <c r="Y1504" t="s">
        <v>7449</v>
      </c>
      <c r="Z1504" t="s">
        <v>7449</v>
      </c>
      <c r="AA1504" t="s">
        <v>3500</v>
      </c>
      <c r="AB1504" t="s">
        <v>37797</v>
      </c>
      <c r="AC1504" t="s">
        <v>34493</v>
      </c>
      <c r="AD1504" t="s">
        <v>9232</v>
      </c>
      <c r="AE1504" t="s">
        <v>8427</v>
      </c>
      <c r="AF1504" t="s">
        <v>36070</v>
      </c>
      <c r="AG1504" t="s">
        <v>36063</v>
      </c>
    </row>
    <row r="1505" spans="1:33" x14ac:dyDescent="0.25">
      <c r="A1505" t="s">
        <v>34462</v>
      </c>
      <c r="B1505" t="s">
        <v>7464</v>
      </c>
      <c r="C1505" t="s">
        <v>7466</v>
      </c>
      <c r="D1505">
        <v>34.33</v>
      </c>
      <c r="F1505">
        <v>826894</v>
      </c>
      <c r="G1505">
        <v>411314</v>
      </c>
      <c r="H1505">
        <v>34.33</v>
      </c>
      <c r="I1505">
        <v>49.45</v>
      </c>
      <c r="J1505">
        <v>0.5</v>
      </c>
      <c r="K1505">
        <v>0.5</v>
      </c>
      <c r="L1505">
        <v>1</v>
      </c>
      <c r="O1505">
        <v>1</v>
      </c>
      <c r="Q1505">
        <v>6</v>
      </c>
      <c r="R1505">
        <v>25</v>
      </c>
      <c r="S1505" t="s">
        <v>36060</v>
      </c>
      <c r="U1505">
        <v>1.06042222</v>
      </c>
      <c r="V1505">
        <v>6.14</v>
      </c>
      <c r="X1505" t="s">
        <v>7463</v>
      </c>
      <c r="Y1505" t="s">
        <v>7449</v>
      </c>
      <c r="Z1505" t="s">
        <v>7449</v>
      </c>
      <c r="AA1505" t="s">
        <v>3505</v>
      </c>
      <c r="AB1505" t="s">
        <v>37798</v>
      </c>
      <c r="AC1505" t="s">
        <v>34465</v>
      </c>
      <c r="AD1505" t="s">
        <v>9232</v>
      </c>
      <c r="AE1505" t="s">
        <v>8427</v>
      </c>
      <c r="AF1505" t="s">
        <v>36065</v>
      </c>
    </row>
    <row r="1506" spans="1:33" x14ac:dyDescent="0.25">
      <c r="A1506" t="s">
        <v>34462</v>
      </c>
      <c r="B1506" t="s">
        <v>7468</v>
      </c>
      <c r="C1506" t="s">
        <v>7470</v>
      </c>
      <c r="D1506">
        <v>30</v>
      </c>
      <c r="E1506">
        <v>30</v>
      </c>
      <c r="F1506">
        <v>826894</v>
      </c>
      <c r="G1506">
        <v>479228</v>
      </c>
      <c r="H1506">
        <v>60.82</v>
      </c>
      <c r="I1506">
        <v>63.4</v>
      </c>
      <c r="J1506">
        <v>0</v>
      </c>
      <c r="K1506">
        <v>0</v>
      </c>
      <c r="L1506">
        <v>1</v>
      </c>
      <c r="M1506">
        <v>1</v>
      </c>
      <c r="O1506">
        <v>0</v>
      </c>
      <c r="Q1506">
        <v>13</v>
      </c>
      <c r="R1506">
        <v>42</v>
      </c>
      <c r="S1506" t="s">
        <v>36060</v>
      </c>
      <c r="U1506">
        <v>0.83775560000000004</v>
      </c>
      <c r="V1506">
        <v>12.65</v>
      </c>
      <c r="W1506">
        <v>5.0999999999999996</v>
      </c>
      <c r="X1506" t="s">
        <v>7467</v>
      </c>
      <c r="Y1506" t="s">
        <v>7449</v>
      </c>
      <c r="Z1506" t="s">
        <v>7449</v>
      </c>
      <c r="AA1506" t="s">
        <v>7454</v>
      </c>
      <c r="AB1506" t="s">
        <v>37799</v>
      </c>
      <c r="AC1506" t="s">
        <v>34493</v>
      </c>
      <c r="AD1506" t="s">
        <v>9232</v>
      </c>
      <c r="AE1506" t="s">
        <v>8439</v>
      </c>
      <c r="AF1506" t="s">
        <v>37795</v>
      </c>
      <c r="AG1506" t="s">
        <v>36063</v>
      </c>
    </row>
    <row r="1507" spans="1:33" x14ac:dyDescent="0.25">
      <c r="A1507" t="s">
        <v>34462</v>
      </c>
      <c r="B1507" t="s">
        <v>7472</v>
      </c>
      <c r="C1507" t="s">
        <v>7474</v>
      </c>
      <c r="D1507">
        <v>31.5</v>
      </c>
      <c r="E1507">
        <v>31.5</v>
      </c>
      <c r="F1507">
        <v>826894</v>
      </c>
      <c r="G1507">
        <v>438973</v>
      </c>
      <c r="H1507">
        <v>32.17</v>
      </c>
      <c r="I1507">
        <v>42.27</v>
      </c>
      <c r="J1507">
        <v>0</v>
      </c>
      <c r="K1507">
        <v>0</v>
      </c>
      <c r="L1507">
        <v>2</v>
      </c>
      <c r="M1507">
        <v>1</v>
      </c>
      <c r="O1507">
        <v>0</v>
      </c>
      <c r="Q1507">
        <v>13</v>
      </c>
      <c r="R1507">
        <v>34</v>
      </c>
      <c r="S1507" t="s">
        <v>36060</v>
      </c>
      <c r="U1507">
        <v>1.10010538</v>
      </c>
      <c r="V1507">
        <v>8.36</v>
      </c>
      <c r="W1507">
        <v>5.36</v>
      </c>
      <c r="X1507" t="s">
        <v>7471</v>
      </c>
      <c r="Y1507" t="s">
        <v>7449</v>
      </c>
      <c r="Z1507" t="s">
        <v>7449</v>
      </c>
      <c r="AA1507" t="s">
        <v>3530</v>
      </c>
      <c r="AB1507" t="s">
        <v>37800</v>
      </c>
      <c r="AC1507" t="s">
        <v>34493</v>
      </c>
      <c r="AD1507" t="s">
        <v>9232</v>
      </c>
      <c r="AE1507" t="s">
        <v>8439</v>
      </c>
      <c r="AF1507" t="s">
        <v>36074</v>
      </c>
    </row>
    <row r="1508" spans="1:33" x14ac:dyDescent="0.25">
      <c r="A1508" t="s">
        <v>34462</v>
      </c>
      <c r="B1508" t="s">
        <v>7476</v>
      </c>
      <c r="C1508" t="s">
        <v>7478</v>
      </c>
      <c r="D1508">
        <v>56.39</v>
      </c>
      <c r="E1508">
        <v>56.39</v>
      </c>
      <c r="F1508">
        <v>815706</v>
      </c>
      <c r="G1508">
        <v>482088</v>
      </c>
      <c r="H1508">
        <v>47.88</v>
      </c>
      <c r="I1508">
        <v>53.78</v>
      </c>
      <c r="J1508">
        <v>0</v>
      </c>
      <c r="K1508">
        <v>0</v>
      </c>
      <c r="L1508">
        <v>1</v>
      </c>
      <c r="M1508">
        <v>1</v>
      </c>
      <c r="N1508">
        <v>5</v>
      </c>
      <c r="O1508">
        <v>0</v>
      </c>
      <c r="P1508">
        <v>2</v>
      </c>
      <c r="Q1508">
        <v>7</v>
      </c>
      <c r="R1508">
        <v>17</v>
      </c>
      <c r="S1508" t="s">
        <v>36060</v>
      </c>
      <c r="U1508">
        <v>1.11994696</v>
      </c>
      <c r="V1508">
        <v>12.27</v>
      </c>
      <c r="W1508">
        <v>9.59</v>
      </c>
      <c r="X1508" t="s">
        <v>7475</v>
      </c>
      <c r="Y1508" t="s">
        <v>7449</v>
      </c>
      <c r="Z1508" t="s">
        <v>7449</v>
      </c>
      <c r="AA1508" t="s">
        <v>3535</v>
      </c>
      <c r="AB1508" t="s">
        <v>37801</v>
      </c>
      <c r="AC1508" t="s">
        <v>34493</v>
      </c>
      <c r="AD1508" t="s">
        <v>9232</v>
      </c>
      <c r="AE1508" t="s">
        <v>8439</v>
      </c>
      <c r="AF1508" t="s">
        <v>36079</v>
      </c>
    </row>
    <row r="1509" spans="1:33" x14ac:dyDescent="0.25">
      <c r="A1509" t="s">
        <v>34462</v>
      </c>
      <c r="B1509" t="s">
        <v>7480</v>
      </c>
      <c r="C1509" t="s">
        <v>7482</v>
      </c>
      <c r="D1509">
        <v>76.040000000000006</v>
      </c>
      <c r="E1509">
        <v>76.040000000000006</v>
      </c>
      <c r="F1509">
        <v>826894</v>
      </c>
      <c r="G1509">
        <v>440475</v>
      </c>
      <c r="H1509">
        <v>37.380000000000003</v>
      </c>
      <c r="I1509">
        <v>43.24</v>
      </c>
      <c r="J1509">
        <v>0</v>
      </c>
      <c r="K1509">
        <v>0.04</v>
      </c>
      <c r="L1509">
        <v>2</v>
      </c>
      <c r="M1509">
        <v>1</v>
      </c>
      <c r="N1509">
        <v>4.7</v>
      </c>
      <c r="O1509">
        <v>0</v>
      </c>
      <c r="P1509">
        <v>8</v>
      </c>
      <c r="Q1509">
        <v>14</v>
      </c>
      <c r="R1509">
        <v>39</v>
      </c>
      <c r="S1509" t="s">
        <v>36060</v>
      </c>
      <c r="U1509">
        <v>1.0802638</v>
      </c>
      <c r="V1509">
        <v>12.65</v>
      </c>
      <c r="X1509" t="s">
        <v>7479</v>
      </c>
      <c r="Y1509" t="s">
        <v>7449</v>
      </c>
      <c r="Z1509" t="s">
        <v>7449</v>
      </c>
      <c r="AA1509" t="s">
        <v>3500</v>
      </c>
      <c r="AB1509" t="s">
        <v>37802</v>
      </c>
      <c r="AC1509" t="s">
        <v>34465</v>
      </c>
      <c r="AD1509" t="s">
        <v>9232</v>
      </c>
      <c r="AE1509" t="s">
        <v>8439</v>
      </c>
      <c r="AF1509" t="s">
        <v>36070</v>
      </c>
      <c r="AG1509" t="s">
        <v>36063</v>
      </c>
    </row>
    <row r="1510" spans="1:33" x14ac:dyDescent="0.25">
      <c r="A1510" t="s">
        <v>34462</v>
      </c>
      <c r="B1510" t="s">
        <v>7484</v>
      </c>
      <c r="C1510" t="s">
        <v>7486</v>
      </c>
      <c r="D1510">
        <v>31.5</v>
      </c>
      <c r="E1510">
        <v>31.5</v>
      </c>
      <c r="F1510">
        <v>826894</v>
      </c>
      <c r="G1510">
        <v>464999</v>
      </c>
      <c r="H1510">
        <v>32.92</v>
      </c>
      <c r="I1510">
        <v>42.07</v>
      </c>
      <c r="J1510">
        <v>0</v>
      </c>
      <c r="K1510">
        <v>0</v>
      </c>
      <c r="L1510">
        <v>1</v>
      </c>
      <c r="M1510">
        <v>1</v>
      </c>
      <c r="O1510">
        <v>0</v>
      </c>
      <c r="Q1510">
        <v>7</v>
      </c>
      <c r="R1510">
        <v>24</v>
      </c>
      <c r="S1510" t="s">
        <v>36060</v>
      </c>
      <c r="U1510">
        <v>1.10010538</v>
      </c>
      <c r="V1510">
        <v>13.41</v>
      </c>
      <c r="W1510">
        <v>5.36</v>
      </c>
      <c r="X1510" t="s">
        <v>7483</v>
      </c>
      <c r="Y1510" t="s">
        <v>7449</v>
      </c>
      <c r="Z1510" t="s">
        <v>7449</v>
      </c>
      <c r="AA1510" t="s">
        <v>3505</v>
      </c>
      <c r="AB1510" t="s">
        <v>37803</v>
      </c>
      <c r="AC1510" t="s">
        <v>34493</v>
      </c>
      <c r="AD1510" t="s">
        <v>9232</v>
      </c>
      <c r="AE1510" t="s">
        <v>8439</v>
      </c>
      <c r="AF1510" t="s">
        <v>36065</v>
      </c>
    </row>
    <row r="1511" spans="1:33" x14ac:dyDescent="0.25">
      <c r="A1511" t="s">
        <v>34462</v>
      </c>
      <c r="B1511" t="s">
        <v>7488</v>
      </c>
      <c r="C1511" t="s">
        <v>7490</v>
      </c>
      <c r="D1511">
        <v>60.8</v>
      </c>
      <c r="E1511">
        <v>52.81</v>
      </c>
      <c r="F1511">
        <v>815706</v>
      </c>
      <c r="G1511">
        <v>469874</v>
      </c>
      <c r="H1511">
        <v>67.38</v>
      </c>
      <c r="I1511">
        <v>66.92</v>
      </c>
      <c r="J1511">
        <v>0.63</v>
      </c>
      <c r="K1511">
        <v>1</v>
      </c>
      <c r="L1511">
        <v>1</v>
      </c>
      <c r="M1511">
        <v>1</v>
      </c>
      <c r="N1511">
        <v>4.5</v>
      </c>
      <c r="O1511">
        <v>0</v>
      </c>
      <c r="P1511">
        <v>9</v>
      </c>
      <c r="Q1511">
        <v>6</v>
      </c>
      <c r="R1511">
        <v>22</v>
      </c>
      <c r="S1511" t="s">
        <v>36060</v>
      </c>
      <c r="U1511">
        <v>1.21033638</v>
      </c>
      <c r="V1511">
        <v>13.03</v>
      </c>
      <c r="W1511">
        <v>10.34</v>
      </c>
      <c r="X1511" t="s">
        <v>7487</v>
      </c>
      <c r="Y1511" t="s">
        <v>7449</v>
      </c>
      <c r="Z1511" t="s">
        <v>7449</v>
      </c>
      <c r="AA1511" t="s">
        <v>3505</v>
      </c>
      <c r="AB1511" t="s">
        <v>37804</v>
      </c>
      <c r="AC1511" t="s">
        <v>34465</v>
      </c>
      <c r="AD1511" t="s">
        <v>9232</v>
      </c>
      <c r="AE1511" t="s">
        <v>8451</v>
      </c>
      <c r="AF1511" t="s">
        <v>36065</v>
      </c>
      <c r="AG1511" t="s">
        <v>36063</v>
      </c>
    </row>
    <row r="1512" spans="1:33" x14ac:dyDescent="0.25">
      <c r="A1512" t="s">
        <v>34462</v>
      </c>
      <c r="B1512" t="s">
        <v>7492</v>
      </c>
      <c r="C1512" t="s">
        <v>7494</v>
      </c>
      <c r="D1512">
        <v>31.5</v>
      </c>
      <c r="E1512">
        <v>31.5</v>
      </c>
      <c r="F1512">
        <v>815706</v>
      </c>
      <c r="G1512">
        <v>428105</v>
      </c>
      <c r="H1512">
        <v>32.840000000000003</v>
      </c>
      <c r="I1512">
        <v>40.659999999999997</v>
      </c>
      <c r="J1512">
        <v>0</v>
      </c>
      <c r="K1512">
        <v>0</v>
      </c>
      <c r="L1512">
        <v>2</v>
      </c>
      <c r="M1512">
        <v>1</v>
      </c>
      <c r="N1512">
        <v>5</v>
      </c>
      <c r="O1512">
        <v>0</v>
      </c>
      <c r="P1512">
        <v>6</v>
      </c>
      <c r="Q1512">
        <v>12</v>
      </c>
      <c r="R1512">
        <v>34</v>
      </c>
      <c r="S1512" t="s">
        <v>36060</v>
      </c>
      <c r="U1512">
        <v>1.1904948</v>
      </c>
      <c r="V1512">
        <v>13.03</v>
      </c>
      <c r="W1512">
        <v>5.36</v>
      </c>
      <c r="X1512" t="s">
        <v>7491</v>
      </c>
      <c r="Y1512" t="s">
        <v>7449</v>
      </c>
      <c r="Z1512" t="s">
        <v>7449</v>
      </c>
      <c r="AA1512" t="s">
        <v>3530</v>
      </c>
      <c r="AB1512" t="s">
        <v>37805</v>
      </c>
      <c r="AC1512" t="s">
        <v>34493</v>
      </c>
      <c r="AD1512" t="s">
        <v>9232</v>
      </c>
      <c r="AE1512" t="s">
        <v>8451</v>
      </c>
      <c r="AF1512" t="s">
        <v>36074</v>
      </c>
      <c r="AG1512" t="s">
        <v>36063</v>
      </c>
    </row>
    <row r="1513" spans="1:33" x14ac:dyDescent="0.25">
      <c r="A1513" t="s">
        <v>34462</v>
      </c>
      <c r="B1513" t="s">
        <v>7496</v>
      </c>
      <c r="C1513" t="s">
        <v>7498</v>
      </c>
      <c r="D1513">
        <v>76.040000000000006</v>
      </c>
      <c r="E1513">
        <v>76.040000000000006</v>
      </c>
      <c r="F1513">
        <v>826894</v>
      </c>
      <c r="G1513">
        <v>434256</v>
      </c>
      <c r="H1513">
        <v>70</v>
      </c>
      <c r="I1513">
        <v>65.87</v>
      </c>
      <c r="J1513">
        <v>0.51</v>
      </c>
      <c r="K1513">
        <v>0.63</v>
      </c>
      <c r="L1513">
        <v>2</v>
      </c>
      <c r="M1513">
        <v>1</v>
      </c>
      <c r="N1513">
        <v>5</v>
      </c>
      <c r="O1513">
        <v>0</v>
      </c>
      <c r="P1513">
        <v>5</v>
      </c>
      <c r="Q1513">
        <v>4</v>
      </c>
      <c r="R1513">
        <v>23</v>
      </c>
      <c r="S1513" t="s">
        <v>36060</v>
      </c>
      <c r="U1513">
        <v>1.0141252000000001</v>
      </c>
      <c r="V1513">
        <v>12.65</v>
      </c>
      <c r="X1513" t="s">
        <v>7495</v>
      </c>
      <c r="Y1513" t="s">
        <v>7449</v>
      </c>
      <c r="Z1513" t="s">
        <v>7449</v>
      </c>
      <c r="AA1513" t="s">
        <v>7454</v>
      </c>
      <c r="AB1513" t="s">
        <v>37806</v>
      </c>
      <c r="AC1513" t="s">
        <v>34465</v>
      </c>
      <c r="AD1513" t="s">
        <v>9232</v>
      </c>
      <c r="AE1513" t="s">
        <v>8451</v>
      </c>
      <c r="AF1513" t="s">
        <v>37795</v>
      </c>
    </row>
    <row r="1514" spans="1:33" x14ac:dyDescent="0.25">
      <c r="A1514" t="s">
        <v>34462</v>
      </c>
      <c r="B1514" t="s">
        <v>7500</v>
      </c>
      <c r="C1514" t="s">
        <v>7502</v>
      </c>
      <c r="D1514">
        <v>47.68</v>
      </c>
      <c r="E1514">
        <v>47.68</v>
      </c>
      <c r="F1514">
        <v>815706</v>
      </c>
      <c r="G1514">
        <v>493688</v>
      </c>
      <c r="H1514">
        <v>45.88</v>
      </c>
      <c r="I1514">
        <v>50.44</v>
      </c>
      <c r="J1514">
        <v>0</v>
      </c>
      <c r="K1514">
        <v>0</v>
      </c>
      <c r="L1514">
        <v>1</v>
      </c>
      <c r="M1514">
        <v>1</v>
      </c>
      <c r="O1514">
        <v>0</v>
      </c>
      <c r="Q1514">
        <v>9</v>
      </c>
      <c r="R1514">
        <v>23</v>
      </c>
      <c r="S1514" t="s">
        <v>36060</v>
      </c>
      <c r="U1514">
        <v>0.81570940000000003</v>
      </c>
      <c r="V1514">
        <v>12.65</v>
      </c>
      <c r="W1514">
        <v>8.11</v>
      </c>
      <c r="X1514" t="s">
        <v>7499</v>
      </c>
      <c r="Y1514" t="s">
        <v>7449</v>
      </c>
      <c r="Z1514" t="s">
        <v>7449</v>
      </c>
      <c r="AA1514" t="s">
        <v>3535</v>
      </c>
      <c r="AB1514" t="s">
        <v>37807</v>
      </c>
      <c r="AC1514" t="s">
        <v>34493</v>
      </c>
      <c r="AD1514" t="s">
        <v>9232</v>
      </c>
      <c r="AE1514" t="s">
        <v>8451</v>
      </c>
      <c r="AF1514" t="s">
        <v>36079</v>
      </c>
      <c r="AG1514" t="s">
        <v>36063</v>
      </c>
    </row>
    <row r="1515" spans="1:33" x14ac:dyDescent="0.25">
      <c r="A1515" t="s">
        <v>34462</v>
      </c>
      <c r="B1515" t="s">
        <v>7504</v>
      </c>
      <c r="C1515" t="s">
        <v>7506</v>
      </c>
      <c r="D1515">
        <v>76.040000000000006</v>
      </c>
      <c r="E1515">
        <v>76.040000000000006</v>
      </c>
      <c r="F1515">
        <v>826894</v>
      </c>
      <c r="G1515">
        <v>473759</v>
      </c>
      <c r="H1515">
        <v>35</v>
      </c>
      <c r="I1515">
        <v>43.43</v>
      </c>
      <c r="J1515">
        <v>0.49</v>
      </c>
      <c r="K1515">
        <v>0.69</v>
      </c>
      <c r="L1515">
        <v>1</v>
      </c>
      <c r="M1515">
        <v>1</v>
      </c>
      <c r="N1515">
        <v>5</v>
      </c>
      <c r="O1515">
        <v>1</v>
      </c>
      <c r="P1515">
        <v>7</v>
      </c>
      <c r="Q1515">
        <v>7</v>
      </c>
      <c r="R1515">
        <v>37</v>
      </c>
      <c r="S1515" t="s">
        <v>36060</v>
      </c>
      <c r="U1515">
        <v>1.1706532199999999</v>
      </c>
      <c r="V1515">
        <v>13.03</v>
      </c>
      <c r="X1515" t="s">
        <v>7503</v>
      </c>
      <c r="Y1515" t="s">
        <v>7449</v>
      </c>
      <c r="Z1515" t="s">
        <v>7449</v>
      </c>
      <c r="AA1515" t="s">
        <v>3500</v>
      </c>
      <c r="AB1515" t="s">
        <v>37808</v>
      </c>
      <c r="AC1515" t="s">
        <v>34465</v>
      </c>
      <c r="AD1515" t="s">
        <v>9232</v>
      </c>
      <c r="AE1515" t="s">
        <v>8451</v>
      </c>
      <c r="AF1515" t="s">
        <v>36070</v>
      </c>
      <c r="AG1515" t="s">
        <v>36063</v>
      </c>
    </row>
    <row r="1516" spans="1:33" x14ac:dyDescent="0.25">
      <c r="A1516" t="s">
        <v>34462</v>
      </c>
      <c r="B1516" t="s">
        <v>7508</v>
      </c>
      <c r="C1516" t="s">
        <v>7511</v>
      </c>
      <c r="D1516">
        <v>24.88</v>
      </c>
      <c r="E1516">
        <v>24.88</v>
      </c>
      <c r="F1516">
        <v>44269</v>
      </c>
      <c r="G1516">
        <v>39536</v>
      </c>
      <c r="H1516">
        <v>27.13</v>
      </c>
      <c r="I1516">
        <v>25.94</v>
      </c>
      <c r="J1516">
        <v>0</v>
      </c>
      <c r="K1516">
        <v>0</v>
      </c>
      <c r="L1516">
        <v>1</v>
      </c>
      <c r="M1516">
        <v>1</v>
      </c>
      <c r="N1516">
        <v>4.5</v>
      </c>
      <c r="O1516">
        <v>0</v>
      </c>
      <c r="P1516">
        <v>908</v>
      </c>
      <c r="Q1516">
        <v>24</v>
      </c>
      <c r="R1516">
        <v>77</v>
      </c>
      <c r="S1516" t="s">
        <v>37809</v>
      </c>
      <c r="U1516">
        <v>0.29982831999999998</v>
      </c>
      <c r="V1516">
        <v>3.42</v>
      </c>
      <c r="W1516">
        <v>4.2300000000000004</v>
      </c>
      <c r="X1516" t="s">
        <v>7507</v>
      </c>
      <c r="Y1516" t="s">
        <v>7512</v>
      </c>
      <c r="Z1516" t="s">
        <v>7512</v>
      </c>
      <c r="AA1516" t="s">
        <v>7513</v>
      </c>
      <c r="AB1516" t="s">
        <v>37810</v>
      </c>
      <c r="AC1516" t="s">
        <v>34493</v>
      </c>
      <c r="AD1516" t="s">
        <v>10970</v>
      </c>
      <c r="AE1516" t="s">
        <v>34533</v>
      </c>
      <c r="AF1516" t="s">
        <v>37811</v>
      </c>
      <c r="AG1516" t="s">
        <v>37812</v>
      </c>
    </row>
    <row r="1517" spans="1:33" x14ac:dyDescent="0.25">
      <c r="A1517" t="s">
        <v>34462</v>
      </c>
      <c r="B1517" t="s">
        <v>7515</v>
      </c>
      <c r="C1517" t="s">
        <v>7517</v>
      </c>
      <c r="D1517">
        <v>26.4</v>
      </c>
      <c r="E1517">
        <v>26.4</v>
      </c>
      <c r="F1517">
        <v>44825</v>
      </c>
      <c r="G1517">
        <v>39644</v>
      </c>
      <c r="H1517">
        <v>27.11</v>
      </c>
      <c r="I1517">
        <v>21.96</v>
      </c>
      <c r="J1517">
        <v>0</v>
      </c>
      <c r="K1517">
        <v>0</v>
      </c>
      <c r="L1517">
        <v>1</v>
      </c>
      <c r="M1517">
        <v>1</v>
      </c>
      <c r="N1517">
        <v>4.5</v>
      </c>
      <c r="O1517">
        <v>0</v>
      </c>
      <c r="P1517">
        <v>907</v>
      </c>
      <c r="Q1517">
        <v>27</v>
      </c>
      <c r="R1517">
        <v>79</v>
      </c>
      <c r="S1517" t="s">
        <v>37809</v>
      </c>
      <c r="U1517">
        <v>6.6138600000000006E-2</v>
      </c>
      <c r="V1517">
        <v>5.9</v>
      </c>
      <c r="W1517">
        <v>4.49</v>
      </c>
      <c r="X1517" t="s">
        <v>7514</v>
      </c>
      <c r="Y1517" t="s">
        <v>7518</v>
      </c>
      <c r="Z1517" t="s">
        <v>7518</v>
      </c>
      <c r="AA1517" t="s">
        <v>7519</v>
      </c>
      <c r="AB1517" t="s">
        <v>37813</v>
      </c>
      <c r="AC1517" t="s">
        <v>34493</v>
      </c>
      <c r="AD1517" t="s">
        <v>10970</v>
      </c>
      <c r="AE1517" t="s">
        <v>34533</v>
      </c>
      <c r="AF1517" t="s">
        <v>37814</v>
      </c>
      <c r="AG1517" t="s">
        <v>37812</v>
      </c>
    </row>
    <row r="1518" spans="1:33" x14ac:dyDescent="0.25">
      <c r="A1518" t="s">
        <v>34462</v>
      </c>
      <c r="B1518" t="s">
        <v>7521</v>
      </c>
      <c r="C1518" t="s">
        <v>7523</v>
      </c>
      <c r="D1518">
        <v>29.78</v>
      </c>
      <c r="E1518">
        <v>29.78</v>
      </c>
      <c r="F1518">
        <v>45010</v>
      </c>
      <c r="G1518">
        <v>38926</v>
      </c>
      <c r="H1518">
        <v>34.340000000000003</v>
      </c>
      <c r="I1518">
        <v>35.590000000000003</v>
      </c>
      <c r="J1518">
        <v>0</v>
      </c>
      <c r="K1518">
        <v>0</v>
      </c>
      <c r="L1518">
        <v>1</v>
      </c>
      <c r="M1518">
        <v>1</v>
      </c>
      <c r="N1518">
        <v>4.5</v>
      </c>
      <c r="O1518">
        <v>1</v>
      </c>
      <c r="P1518">
        <v>907</v>
      </c>
      <c r="Q1518">
        <v>28</v>
      </c>
      <c r="R1518">
        <v>78</v>
      </c>
      <c r="S1518" t="s">
        <v>37809</v>
      </c>
      <c r="U1518">
        <v>0.42108242000000001</v>
      </c>
      <c r="V1518">
        <v>5.9</v>
      </c>
      <c r="W1518">
        <v>5.0599999999999996</v>
      </c>
      <c r="X1518" t="s">
        <v>7520</v>
      </c>
      <c r="Y1518" t="s">
        <v>7524</v>
      </c>
      <c r="Z1518" t="s">
        <v>7524</v>
      </c>
      <c r="AA1518" t="s">
        <v>7525</v>
      </c>
      <c r="AB1518" t="s">
        <v>37815</v>
      </c>
      <c r="AC1518" t="s">
        <v>34493</v>
      </c>
      <c r="AD1518" t="s">
        <v>10970</v>
      </c>
      <c r="AE1518" t="s">
        <v>34533</v>
      </c>
      <c r="AF1518" t="s">
        <v>37816</v>
      </c>
      <c r="AG1518" t="s">
        <v>37812</v>
      </c>
    </row>
    <row r="1519" spans="1:33" x14ac:dyDescent="0.25">
      <c r="A1519" t="s">
        <v>34462</v>
      </c>
      <c r="B1519" t="s">
        <v>7527</v>
      </c>
      <c r="C1519" t="s">
        <v>7529</v>
      </c>
      <c r="D1519">
        <v>31.61</v>
      </c>
      <c r="E1519">
        <v>31.61</v>
      </c>
      <c r="F1519">
        <v>15052966</v>
      </c>
      <c r="G1519">
        <v>14630416</v>
      </c>
      <c r="H1519">
        <v>35.93</v>
      </c>
      <c r="I1519">
        <v>42.59</v>
      </c>
      <c r="J1519">
        <v>0</v>
      </c>
      <c r="K1519">
        <v>1</v>
      </c>
      <c r="L1519">
        <v>1</v>
      </c>
      <c r="M1519">
        <v>1</v>
      </c>
      <c r="O1519">
        <v>0</v>
      </c>
      <c r="Q1519">
        <v>0</v>
      </c>
      <c r="R1519">
        <v>0</v>
      </c>
      <c r="U1519">
        <v>0.33069300000000001</v>
      </c>
      <c r="V1519">
        <v>10.37</v>
      </c>
      <c r="W1519">
        <v>5.37</v>
      </c>
      <c r="X1519" t="s">
        <v>7526</v>
      </c>
      <c r="Y1519" t="s">
        <v>7530</v>
      </c>
      <c r="Z1519" t="s">
        <v>7530</v>
      </c>
      <c r="AA1519" t="s">
        <v>7531</v>
      </c>
      <c r="AB1519" t="s">
        <v>37817</v>
      </c>
      <c r="AC1519" t="s">
        <v>34465</v>
      </c>
      <c r="AD1519" t="s">
        <v>10970</v>
      </c>
      <c r="AE1519" t="s">
        <v>34533</v>
      </c>
      <c r="AF1519" t="s">
        <v>37818</v>
      </c>
      <c r="AG1519" t="s">
        <v>37819</v>
      </c>
    </row>
    <row r="1520" spans="1:33" x14ac:dyDescent="0.25">
      <c r="A1520" t="s">
        <v>34462</v>
      </c>
      <c r="B1520" t="s">
        <v>7533</v>
      </c>
      <c r="C1520" t="s">
        <v>7535</v>
      </c>
      <c r="D1520">
        <v>17.440000000000001</v>
      </c>
      <c r="E1520">
        <v>17.440000000000001</v>
      </c>
      <c r="H1520">
        <v>29.15</v>
      </c>
      <c r="I1520">
        <v>35.14</v>
      </c>
      <c r="J1520">
        <v>0</v>
      </c>
      <c r="K1520">
        <v>1</v>
      </c>
      <c r="L1520">
        <v>1</v>
      </c>
      <c r="M1520">
        <v>1</v>
      </c>
      <c r="Q1520">
        <v>0</v>
      </c>
      <c r="R1520">
        <v>0</v>
      </c>
      <c r="U1520">
        <v>0.35053457999999998</v>
      </c>
      <c r="V1520">
        <v>5.9</v>
      </c>
      <c r="W1520">
        <v>1.74</v>
      </c>
      <c r="X1520" t="s">
        <v>7532</v>
      </c>
      <c r="Y1520" t="s">
        <v>7536</v>
      </c>
      <c r="Z1520" t="s">
        <v>7536</v>
      </c>
      <c r="AA1520" t="s">
        <v>7537</v>
      </c>
      <c r="AB1520" t="s">
        <v>37820</v>
      </c>
      <c r="AC1520" t="s">
        <v>34465</v>
      </c>
      <c r="AD1520" t="s">
        <v>10970</v>
      </c>
      <c r="AE1520" t="s">
        <v>34533</v>
      </c>
      <c r="AF1520" t="s">
        <v>37821</v>
      </c>
      <c r="AG1520" t="s">
        <v>37819</v>
      </c>
    </row>
    <row r="1521" spans="1:33" x14ac:dyDescent="0.25">
      <c r="A1521" t="s">
        <v>34462</v>
      </c>
      <c r="B1521" t="s">
        <v>7539</v>
      </c>
      <c r="C1521" t="s">
        <v>7542</v>
      </c>
      <c r="D1521">
        <v>20.22</v>
      </c>
      <c r="E1521">
        <v>20.22</v>
      </c>
      <c r="F1521">
        <v>20349</v>
      </c>
      <c r="G1521">
        <v>16736</v>
      </c>
      <c r="H1521">
        <v>20.92</v>
      </c>
      <c r="I1521">
        <v>23.49</v>
      </c>
      <c r="J1521">
        <v>0.05</v>
      </c>
      <c r="K1521">
        <v>0.05</v>
      </c>
      <c r="L1521">
        <v>1</v>
      </c>
      <c r="M1521">
        <v>1</v>
      </c>
      <c r="N1521">
        <v>4.5999999999999996</v>
      </c>
      <c r="O1521">
        <v>2</v>
      </c>
      <c r="P1521">
        <v>495</v>
      </c>
      <c r="Q1521">
        <v>31</v>
      </c>
      <c r="R1521">
        <v>108</v>
      </c>
      <c r="S1521" t="s">
        <v>37822</v>
      </c>
      <c r="U1521">
        <v>0.51588107999999999</v>
      </c>
      <c r="V1521">
        <v>6.05</v>
      </c>
      <c r="W1521">
        <v>3.44</v>
      </c>
      <c r="X1521" t="s">
        <v>7538</v>
      </c>
      <c r="Y1521" t="s">
        <v>7543</v>
      </c>
      <c r="Z1521" t="s">
        <v>7543</v>
      </c>
      <c r="AA1521" t="s">
        <v>7544</v>
      </c>
      <c r="AB1521" t="s">
        <v>37823</v>
      </c>
      <c r="AC1521" t="s">
        <v>34493</v>
      </c>
      <c r="AD1521" t="s">
        <v>12519</v>
      </c>
      <c r="AE1521" t="s">
        <v>100</v>
      </c>
      <c r="AF1521" t="s">
        <v>37824</v>
      </c>
      <c r="AG1521" t="s">
        <v>37825</v>
      </c>
    </row>
    <row r="1522" spans="1:33" x14ac:dyDescent="0.25">
      <c r="A1522" t="s">
        <v>34462</v>
      </c>
      <c r="B1522" t="s">
        <v>7546</v>
      </c>
      <c r="C1522" t="s">
        <v>7548</v>
      </c>
      <c r="D1522">
        <v>22</v>
      </c>
      <c r="E1522">
        <v>22</v>
      </c>
      <c r="F1522">
        <v>24129</v>
      </c>
      <c r="G1522">
        <v>16553</v>
      </c>
      <c r="H1522">
        <v>20.010000000000002</v>
      </c>
      <c r="I1522">
        <v>22.32</v>
      </c>
      <c r="J1522">
        <v>0</v>
      </c>
      <c r="K1522">
        <v>0</v>
      </c>
      <c r="L1522">
        <v>1</v>
      </c>
      <c r="M1522">
        <v>1</v>
      </c>
      <c r="N1522">
        <v>4.7</v>
      </c>
      <c r="O1522">
        <v>2</v>
      </c>
      <c r="P1522">
        <v>494</v>
      </c>
      <c r="Q1522">
        <v>15</v>
      </c>
      <c r="R1522">
        <v>61</v>
      </c>
      <c r="S1522" t="s">
        <v>37822</v>
      </c>
      <c r="U1522">
        <v>0.50706260000000003</v>
      </c>
      <c r="V1522">
        <v>6.05</v>
      </c>
      <c r="W1522">
        <v>3.74</v>
      </c>
      <c r="X1522" t="s">
        <v>7545</v>
      </c>
      <c r="Y1522" t="s">
        <v>7549</v>
      </c>
      <c r="Z1522" t="s">
        <v>7549</v>
      </c>
      <c r="AA1522" t="s">
        <v>7550</v>
      </c>
      <c r="AB1522" t="s">
        <v>37826</v>
      </c>
      <c r="AC1522" t="s">
        <v>34493</v>
      </c>
      <c r="AD1522" t="s">
        <v>12519</v>
      </c>
      <c r="AE1522" t="s">
        <v>100</v>
      </c>
      <c r="AF1522" t="s">
        <v>37827</v>
      </c>
      <c r="AG1522" t="s">
        <v>37825</v>
      </c>
    </row>
    <row r="1523" spans="1:33" x14ac:dyDescent="0.25">
      <c r="A1523" t="s">
        <v>34462</v>
      </c>
      <c r="B1523" t="s">
        <v>7552</v>
      </c>
      <c r="C1523" t="s">
        <v>7554</v>
      </c>
      <c r="D1523">
        <v>20.82</v>
      </c>
      <c r="E1523">
        <v>20.82</v>
      </c>
      <c r="F1523">
        <v>20349</v>
      </c>
      <c r="G1523">
        <v>16451</v>
      </c>
      <c r="H1523">
        <v>21.54</v>
      </c>
      <c r="I1523">
        <v>24.02</v>
      </c>
      <c r="J1523">
        <v>0</v>
      </c>
      <c r="K1523">
        <v>0</v>
      </c>
      <c r="L1523">
        <v>1</v>
      </c>
      <c r="M1523">
        <v>1</v>
      </c>
      <c r="N1523">
        <v>4.7</v>
      </c>
      <c r="O1523">
        <v>3</v>
      </c>
      <c r="P1523">
        <v>495</v>
      </c>
      <c r="Q1523">
        <v>25</v>
      </c>
      <c r="R1523">
        <v>77</v>
      </c>
      <c r="S1523" t="s">
        <v>37822</v>
      </c>
      <c r="T1523">
        <v>50</v>
      </c>
      <c r="U1523">
        <v>0.52910880000000005</v>
      </c>
      <c r="V1523">
        <v>6.14</v>
      </c>
      <c r="W1523">
        <v>3.54</v>
      </c>
      <c r="X1523" t="s">
        <v>7551</v>
      </c>
      <c r="Y1523" t="s">
        <v>7543</v>
      </c>
      <c r="Z1523" t="s">
        <v>7543</v>
      </c>
      <c r="AA1523" t="s">
        <v>7544</v>
      </c>
      <c r="AB1523" t="s">
        <v>37828</v>
      </c>
      <c r="AC1523" t="s">
        <v>34493</v>
      </c>
      <c r="AD1523" t="s">
        <v>12519</v>
      </c>
      <c r="AE1523" t="s">
        <v>106</v>
      </c>
      <c r="AF1523" t="s">
        <v>37824</v>
      </c>
      <c r="AG1523" t="s">
        <v>37825</v>
      </c>
    </row>
    <row r="1524" spans="1:33" x14ac:dyDescent="0.25">
      <c r="A1524" t="s">
        <v>34462</v>
      </c>
      <c r="B1524" t="s">
        <v>7556</v>
      </c>
      <c r="C1524" t="s">
        <v>7558</v>
      </c>
      <c r="D1524">
        <v>20.440000000000001</v>
      </c>
      <c r="E1524">
        <v>20.440000000000001</v>
      </c>
      <c r="F1524">
        <v>24129</v>
      </c>
      <c r="G1524">
        <v>16744</v>
      </c>
      <c r="H1524">
        <v>21.53</v>
      </c>
      <c r="I1524">
        <v>23.93</v>
      </c>
      <c r="J1524">
        <v>0</v>
      </c>
      <c r="K1524">
        <v>0</v>
      </c>
      <c r="L1524">
        <v>1</v>
      </c>
      <c r="M1524">
        <v>1</v>
      </c>
      <c r="N1524">
        <v>4.7</v>
      </c>
      <c r="O1524">
        <v>6</v>
      </c>
      <c r="P1524">
        <v>495</v>
      </c>
      <c r="Q1524">
        <v>27</v>
      </c>
      <c r="R1524">
        <v>81</v>
      </c>
      <c r="S1524" t="s">
        <v>37822</v>
      </c>
      <c r="T1524">
        <v>50</v>
      </c>
      <c r="U1524">
        <v>0.57099657999999998</v>
      </c>
      <c r="V1524">
        <v>6.48</v>
      </c>
      <c r="W1524">
        <v>3.47</v>
      </c>
      <c r="X1524" t="s">
        <v>7555</v>
      </c>
      <c r="Y1524" t="s">
        <v>7543</v>
      </c>
      <c r="Z1524" t="s">
        <v>7543</v>
      </c>
      <c r="AA1524" t="s">
        <v>7544</v>
      </c>
      <c r="AB1524" t="s">
        <v>37829</v>
      </c>
      <c r="AC1524" t="s">
        <v>34493</v>
      </c>
      <c r="AD1524" t="s">
        <v>12519</v>
      </c>
      <c r="AE1524" t="s">
        <v>88</v>
      </c>
      <c r="AF1524" t="s">
        <v>37824</v>
      </c>
      <c r="AG1524" t="s">
        <v>37825</v>
      </c>
    </row>
    <row r="1525" spans="1:33" x14ac:dyDescent="0.25">
      <c r="A1525" t="s">
        <v>34462</v>
      </c>
      <c r="B1525" t="s">
        <v>7560</v>
      </c>
      <c r="C1525" t="s">
        <v>7563</v>
      </c>
      <c r="F1525">
        <v>9683578</v>
      </c>
      <c r="G1525">
        <v>9047224</v>
      </c>
      <c r="J1525">
        <v>1</v>
      </c>
      <c r="K1525">
        <v>1</v>
      </c>
      <c r="N1525">
        <v>4.7</v>
      </c>
      <c r="O1525">
        <v>0</v>
      </c>
      <c r="P1525">
        <v>73077</v>
      </c>
      <c r="Q1525">
        <v>0</v>
      </c>
      <c r="R1525">
        <v>0</v>
      </c>
      <c r="U1525">
        <v>2.4691744</v>
      </c>
      <c r="V1525">
        <v>6.48</v>
      </c>
      <c r="X1525" t="s">
        <v>7559</v>
      </c>
      <c r="AA1525" t="s">
        <v>6025</v>
      </c>
      <c r="AB1525" t="s">
        <v>37830</v>
      </c>
      <c r="AC1525" t="s">
        <v>34465</v>
      </c>
      <c r="AD1525" t="s">
        <v>7965</v>
      </c>
      <c r="AE1525" t="s">
        <v>282</v>
      </c>
      <c r="AF1525" t="s">
        <v>37141</v>
      </c>
      <c r="AG1525" t="s">
        <v>37831</v>
      </c>
    </row>
    <row r="1526" spans="1:33" x14ac:dyDescent="0.25">
      <c r="A1526" t="s">
        <v>34462</v>
      </c>
      <c r="B1526" t="s">
        <v>7565</v>
      </c>
      <c r="C1526" t="s">
        <v>7568</v>
      </c>
      <c r="J1526">
        <v>1</v>
      </c>
      <c r="K1526">
        <v>1</v>
      </c>
      <c r="N1526">
        <v>2</v>
      </c>
      <c r="P1526">
        <v>1</v>
      </c>
      <c r="Q1526">
        <v>0</v>
      </c>
      <c r="R1526">
        <v>0</v>
      </c>
      <c r="U1526">
        <v>9.0389419999999998E-2</v>
      </c>
      <c r="V1526">
        <v>3.68</v>
      </c>
      <c r="X1526" t="s">
        <v>7564</v>
      </c>
      <c r="Y1526" t="s">
        <v>7569</v>
      </c>
      <c r="Z1526" t="s">
        <v>7569</v>
      </c>
      <c r="AA1526" t="s">
        <v>7570</v>
      </c>
      <c r="AB1526" t="s">
        <v>37832</v>
      </c>
      <c r="AC1526" t="s">
        <v>34465</v>
      </c>
      <c r="AD1526" t="s">
        <v>35233</v>
      </c>
      <c r="AF1526" t="s">
        <v>37833</v>
      </c>
      <c r="AG1526" t="s">
        <v>37834</v>
      </c>
    </row>
    <row r="1527" spans="1:33" x14ac:dyDescent="0.25">
      <c r="A1527" t="s">
        <v>34462</v>
      </c>
      <c r="B1527" t="s">
        <v>7572</v>
      </c>
      <c r="C1527" t="s">
        <v>7575</v>
      </c>
      <c r="D1527">
        <v>24</v>
      </c>
      <c r="E1527">
        <v>24</v>
      </c>
      <c r="H1527">
        <v>24</v>
      </c>
      <c r="I1527">
        <v>24</v>
      </c>
      <c r="J1527">
        <v>0</v>
      </c>
      <c r="K1527">
        <v>1</v>
      </c>
      <c r="L1527">
        <v>3</v>
      </c>
      <c r="M1527">
        <v>3</v>
      </c>
      <c r="Q1527">
        <v>-1</v>
      </c>
      <c r="R1527">
        <v>-1</v>
      </c>
      <c r="X1527" t="s">
        <v>7571</v>
      </c>
      <c r="AB1527" t="s">
        <v>37835</v>
      </c>
      <c r="AC1527" t="s">
        <v>34465</v>
      </c>
      <c r="AD1527" t="s">
        <v>8081</v>
      </c>
      <c r="AF1527" t="s">
        <v>37836</v>
      </c>
      <c r="AG1527" t="s">
        <v>37837</v>
      </c>
    </row>
    <row r="1528" spans="1:33" x14ac:dyDescent="0.25">
      <c r="A1528" t="s">
        <v>34462</v>
      </c>
      <c r="B1528" t="s">
        <v>7577</v>
      </c>
      <c r="C1528" t="s">
        <v>7580</v>
      </c>
      <c r="D1528">
        <v>59.99</v>
      </c>
      <c r="F1528">
        <v>10509</v>
      </c>
      <c r="G1528">
        <v>7353</v>
      </c>
      <c r="H1528">
        <v>58.64</v>
      </c>
      <c r="I1528">
        <v>57.74</v>
      </c>
      <c r="J1528">
        <v>0.21</v>
      </c>
      <c r="K1528">
        <v>0.08</v>
      </c>
      <c r="L1528">
        <v>1</v>
      </c>
      <c r="M1528">
        <v>1</v>
      </c>
      <c r="N1528">
        <v>4.4000000000000004</v>
      </c>
      <c r="O1528">
        <v>0</v>
      </c>
      <c r="P1528">
        <v>4362</v>
      </c>
      <c r="Q1528">
        <v>67</v>
      </c>
      <c r="R1528">
        <v>155</v>
      </c>
      <c r="S1528" t="s">
        <v>37838</v>
      </c>
      <c r="U1528">
        <v>1.1441977800000001</v>
      </c>
      <c r="V1528">
        <v>6.6</v>
      </c>
      <c r="W1528">
        <v>10.199999999999999</v>
      </c>
      <c r="X1528" t="s">
        <v>7576</v>
      </c>
      <c r="Y1528" t="s">
        <v>7581</v>
      </c>
      <c r="Z1528" t="s">
        <v>7581</v>
      </c>
      <c r="AA1528" t="s">
        <v>7582</v>
      </c>
      <c r="AB1528" t="s">
        <v>37839</v>
      </c>
      <c r="AC1528" t="s">
        <v>34493</v>
      </c>
      <c r="AD1528" t="s">
        <v>10970</v>
      </c>
      <c r="AE1528" t="s">
        <v>36440</v>
      </c>
      <c r="AF1528" t="s">
        <v>37840</v>
      </c>
      <c r="AG1528" t="s">
        <v>37841</v>
      </c>
    </row>
    <row r="1529" spans="1:33" x14ac:dyDescent="0.25">
      <c r="A1529" t="s">
        <v>34462</v>
      </c>
      <c r="B1529" t="s">
        <v>7584</v>
      </c>
      <c r="C1529" t="s">
        <v>7586</v>
      </c>
      <c r="D1529">
        <v>60.94</v>
      </c>
      <c r="F1529">
        <v>11973</v>
      </c>
      <c r="G1529">
        <v>8000</v>
      </c>
      <c r="I1529">
        <v>60.94</v>
      </c>
      <c r="J1529">
        <v>1</v>
      </c>
      <c r="K1529">
        <v>1</v>
      </c>
      <c r="N1529">
        <v>4.4000000000000004</v>
      </c>
      <c r="O1529">
        <v>0</v>
      </c>
      <c r="P1529">
        <v>4155</v>
      </c>
      <c r="Q1529">
        <v>2</v>
      </c>
      <c r="R1529">
        <v>5</v>
      </c>
      <c r="S1529" t="s">
        <v>37838</v>
      </c>
      <c r="U1529">
        <v>1.1309700600000001</v>
      </c>
      <c r="V1529">
        <v>7.08</v>
      </c>
      <c r="X1529" t="s">
        <v>7583</v>
      </c>
      <c r="Y1529" t="s">
        <v>7581</v>
      </c>
      <c r="Z1529" t="s">
        <v>7581</v>
      </c>
      <c r="AA1529" t="s">
        <v>7582</v>
      </c>
      <c r="AB1529" t="s">
        <v>37842</v>
      </c>
      <c r="AC1529" t="s">
        <v>34465</v>
      </c>
      <c r="AD1529" t="s">
        <v>10970</v>
      </c>
      <c r="AE1529" t="s">
        <v>34552</v>
      </c>
      <c r="AF1529" t="s">
        <v>37843</v>
      </c>
      <c r="AG1529" t="s">
        <v>37841</v>
      </c>
    </row>
    <row r="1530" spans="1:33" x14ac:dyDescent="0.25">
      <c r="A1530" t="s">
        <v>34462</v>
      </c>
      <c r="B1530" t="s">
        <v>7588</v>
      </c>
      <c r="C1530" t="s">
        <v>7590</v>
      </c>
      <c r="D1530">
        <v>59.99</v>
      </c>
      <c r="E1530">
        <v>59.99</v>
      </c>
      <c r="F1530">
        <v>11973</v>
      </c>
      <c r="G1530">
        <v>7328</v>
      </c>
      <c r="H1530">
        <v>58.71</v>
      </c>
      <c r="I1530">
        <v>57.88</v>
      </c>
      <c r="J1530">
        <v>0</v>
      </c>
      <c r="K1530">
        <v>0</v>
      </c>
      <c r="L1530">
        <v>1</v>
      </c>
      <c r="M1530">
        <v>1</v>
      </c>
      <c r="N1530">
        <v>4.4000000000000004</v>
      </c>
      <c r="O1530">
        <v>0</v>
      </c>
      <c r="P1530">
        <v>4362</v>
      </c>
      <c r="Q1530">
        <v>48</v>
      </c>
      <c r="R1530">
        <v>108</v>
      </c>
      <c r="S1530" t="s">
        <v>37838</v>
      </c>
      <c r="U1530">
        <v>1.1441977800000001</v>
      </c>
      <c r="V1530">
        <v>7.08</v>
      </c>
      <c r="W1530">
        <v>10.199999999999999</v>
      </c>
      <c r="X1530" t="s">
        <v>7587</v>
      </c>
      <c r="Y1530" t="s">
        <v>7581</v>
      </c>
      <c r="Z1530" t="s">
        <v>7581</v>
      </c>
      <c r="AA1530" t="s">
        <v>7582</v>
      </c>
      <c r="AB1530" t="s">
        <v>37844</v>
      </c>
      <c r="AC1530" t="s">
        <v>34493</v>
      </c>
      <c r="AD1530" t="s">
        <v>10970</v>
      </c>
      <c r="AE1530" t="s">
        <v>34554</v>
      </c>
      <c r="AF1530" t="s">
        <v>37840</v>
      </c>
      <c r="AG1530" t="s">
        <v>37841</v>
      </c>
    </row>
    <row r="1531" spans="1:33" x14ac:dyDescent="0.25">
      <c r="A1531" t="s">
        <v>34462</v>
      </c>
      <c r="B1531" t="s">
        <v>7592</v>
      </c>
      <c r="C1531" t="s">
        <v>7594</v>
      </c>
      <c r="D1531">
        <v>59.99</v>
      </c>
      <c r="E1531">
        <v>59.99</v>
      </c>
      <c r="F1531">
        <v>12238</v>
      </c>
      <c r="G1531">
        <v>7373</v>
      </c>
      <c r="H1531">
        <v>58.73</v>
      </c>
      <c r="I1531">
        <v>57.64</v>
      </c>
      <c r="J1531">
        <v>0</v>
      </c>
      <c r="K1531">
        <v>0</v>
      </c>
      <c r="L1531">
        <v>1</v>
      </c>
      <c r="M1531">
        <v>1</v>
      </c>
      <c r="N1531">
        <v>4.4000000000000004</v>
      </c>
      <c r="O1531">
        <v>0</v>
      </c>
      <c r="P1531">
        <v>4353</v>
      </c>
      <c r="Q1531">
        <v>40</v>
      </c>
      <c r="R1531">
        <v>89</v>
      </c>
      <c r="S1531" t="s">
        <v>37838</v>
      </c>
      <c r="U1531">
        <v>1.1706532199999999</v>
      </c>
      <c r="V1531">
        <v>6.81</v>
      </c>
      <c r="W1531">
        <v>10.199999999999999</v>
      </c>
      <c r="X1531" t="s">
        <v>7591</v>
      </c>
      <c r="Y1531" t="s">
        <v>7581</v>
      </c>
      <c r="Z1531" t="s">
        <v>7581</v>
      </c>
      <c r="AA1531" t="s">
        <v>7582</v>
      </c>
      <c r="AB1531" t="s">
        <v>37845</v>
      </c>
      <c r="AC1531" t="s">
        <v>34493</v>
      </c>
      <c r="AD1531" t="s">
        <v>10970</v>
      </c>
      <c r="AE1531" t="s">
        <v>35118</v>
      </c>
      <c r="AF1531" t="s">
        <v>37840</v>
      </c>
      <c r="AG1531" t="s">
        <v>37841</v>
      </c>
    </row>
    <row r="1532" spans="1:33" x14ac:dyDescent="0.25">
      <c r="A1532" t="s">
        <v>34462</v>
      </c>
      <c r="B1532" t="s">
        <v>7596</v>
      </c>
      <c r="C1532" t="s">
        <v>7598</v>
      </c>
      <c r="F1532">
        <v>11973</v>
      </c>
      <c r="G1532">
        <v>8227</v>
      </c>
      <c r="J1532">
        <v>1</v>
      </c>
      <c r="K1532">
        <v>1</v>
      </c>
      <c r="N1532">
        <v>4.5</v>
      </c>
      <c r="O1532">
        <v>0</v>
      </c>
      <c r="P1532">
        <v>3985</v>
      </c>
      <c r="Q1532">
        <v>1</v>
      </c>
      <c r="R1532">
        <v>2</v>
      </c>
      <c r="S1532" t="s">
        <v>37838</v>
      </c>
      <c r="U1532">
        <v>1.25001954</v>
      </c>
      <c r="V1532">
        <v>6.14</v>
      </c>
      <c r="X1532" t="s">
        <v>7595</v>
      </c>
      <c r="Y1532" t="s">
        <v>7581</v>
      </c>
      <c r="Z1532" t="s">
        <v>7581</v>
      </c>
      <c r="AA1532" t="s">
        <v>7582</v>
      </c>
      <c r="AB1532" t="s">
        <v>37846</v>
      </c>
      <c r="AC1532" t="s">
        <v>34465</v>
      </c>
      <c r="AD1532" t="s">
        <v>10970</v>
      </c>
      <c r="AE1532" t="s">
        <v>34556</v>
      </c>
      <c r="AF1532" t="s">
        <v>37843</v>
      </c>
      <c r="AG1532" t="s">
        <v>37841</v>
      </c>
    </row>
    <row r="1533" spans="1:33" x14ac:dyDescent="0.25">
      <c r="A1533" t="s">
        <v>34462</v>
      </c>
      <c r="B1533" t="s">
        <v>7600</v>
      </c>
      <c r="C1533" t="s">
        <v>7602</v>
      </c>
      <c r="D1533">
        <v>59.99</v>
      </c>
      <c r="E1533">
        <v>59.99</v>
      </c>
      <c r="F1533">
        <v>11973</v>
      </c>
      <c r="G1533">
        <v>7436</v>
      </c>
      <c r="H1533">
        <v>58.42</v>
      </c>
      <c r="I1533">
        <v>57.3</v>
      </c>
      <c r="J1533">
        <v>0</v>
      </c>
      <c r="K1533">
        <v>0</v>
      </c>
      <c r="L1533">
        <v>1</v>
      </c>
      <c r="M1533">
        <v>1</v>
      </c>
      <c r="N1533">
        <v>4.4000000000000004</v>
      </c>
      <c r="O1533">
        <v>0</v>
      </c>
      <c r="P1533">
        <v>4357</v>
      </c>
      <c r="Q1533">
        <v>35</v>
      </c>
      <c r="R1533">
        <v>87</v>
      </c>
      <c r="S1533" t="s">
        <v>37838</v>
      </c>
      <c r="U1533">
        <v>1.2478149199999999</v>
      </c>
      <c r="V1533">
        <v>7.08</v>
      </c>
      <c r="W1533">
        <v>10.199999999999999</v>
      </c>
      <c r="X1533" t="s">
        <v>7599</v>
      </c>
      <c r="Y1533" t="s">
        <v>7581</v>
      </c>
      <c r="Z1533" t="s">
        <v>7581</v>
      </c>
      <c r="AA1533" t="s">
        <v>7582</v>
      </c>
      <c r="AB1533" t="s">
        <v>37847</v>
      </c>
      <c r="AC1533" t="s">
        <v>34493</v>
      </c>
      <c r="AD1533" t="s">
        <v>10970</v>
      </c>
      <c r="AE1533" t="s">
        <v>34558</v>
      </c>
      <c r="AF1533" t="s">
        <v>37848</v>
      </c>
      <c r="AG1533" t="s">
        <v>37841</v>
      </c>
    </row>
    <row r="1534" spans="1:33" x14ac:dyDescent="0.25">
      <c r="A1534" t="s">
        <v>34462</v>
      </c>
      <c r="B1534" t="s">
        <v>7604</v>
      </c>
      <c r="C1534" t="s">
        <v>7606</v>
      </c>
      <c r="D1534">
        <v>59.99</v>
      </c>
      <c r="E1534">
        <v>59.99</v>
      </c>
      <c r="F1534">
        <v>11181</v>
      </c>
      <c r="G1534">
        <v>7817</v>
      </c>
      <c r="H1534">
        <v>56.53</v>
      </c>
      <c r="I1534">
        <v>58.26</v>
      </c>
      <c r="J1534">
        <v>0.86</v>
      </c>
      <c r="K1534">
        <v>0.86</v>
      </c>
      <c r="L1534">
        <v>1</v>
      </c>
      <c r="N1534">
        <v>4.4000000000000004</v>
      </c>
      <c r="O1534">
        <v>0</v>
      </c>
      <c r="P1534">
        <v>4353</v>
      </c>
      <c r="Q1534">
        <v>8</v>
      </c>
      <c r="R1534">
        <v>22</v>
      </c>
      <c r="S1534" t="s">
        <v>37838</v>
      </c>
      <c r="U1534">
        <v>1.21033638</v>
      </c>
      <c r="V1534">
        <v>5.9</v>
      </c>
      <c r="W1534">
        <v>10.199999999999999</v>
      </c>
      <c r="X1534" t="s">
        <v>7603</v>
      </c>
      <c r="Y1534" t="s">
        <v>7581</v>
      </c>
      <c r="Z1534" t="s">
        <v>7581</v>
      </c>
      <c r="AA1534" t="s">
        <v>7582</v>
      </c>
      <c r="AB1534" t="s">
        <v>37849</v>
      </c>
      <c r="AC1534" t="s">
        <v>34493</v>
      </c>
      <c r="AD1534" t="s">
        <v>10970</v>
      </c>
      <c r="AE1534" t="s">
        <v>36295</v>
      </c>
      <c r="AF1534" t="s">
        <v>37840</v>
      </c>
      <c r="AG1534" t="s">
        <v>37841</v>
      </c>
    </row>
    <row r="1535" spans="1:33" x14ac:dyDescent="0.25">
      <c r="A1535" t="s">
        <v>34462</v>
      </c>
      <c r="B1535" t="s">
        <v>7608</v>
      </c>
      <c r="C1535" t="s">
        <v>7610</v>
      </c>
      <c r="D1535">
        <v>59.99</v>
      </c>
      <c r="E1535">
        <v>59.99</v>
      </c>
      <c r="F1535">
        <v>11181</v>
      </c>
      <c r="G1535">
        <v>7261</v>
      </c>
      <c r="H1535">
        <v>57.95</v>
      </c>
      <c r="I1535">
        <v>56.01</v>
      </c>
      <c r="J1535">
        <v>0</v>
      </c>
      <c r="K1535">
        <v>0</v>
      </c>
      <c r="L1535">
        <v>1</v>
      </c>
      <c r="M1535">
        <v>1</v>
      </c>
      <c r="N1535">
        <v>4.4000000000000004</v>
      </c>
      <c r="O1535">
        <v>0</v>
      </c>
      <c r="P1535">
        <v>4359</v>
      </c>
      <c r="Q1535">
        <v>50</v>
      </c>
      <c r="R1535">
        <v>139</v>
      </c>
      <c r="S1535" t="s">
        <v>37838</v>
      </c>
      <c r="U1535">
        <v>1.2676565</v>
      </c>
      <c r="V1535">
        <v>6.6</v>
      </c>
      <c r="W1535">
        <v>10.199999999999999</v>
      </c>
      <c r="X1535" t="s">
        <v>7607</v>
      </c>
      <c r="Y1535" t="s">
        <v>7581</v>
      </c>
      <c r="Z1535" t="s">
        <v>7581</v>
      </c>
      <c r="AA1535" t="s">
        <v>7582</v>
      </c>
      <c r="AB1535" t="s">
        <v>37850</v>
      </c>
      <c r="AC1535" t="s">
        <v>34493</v>
      </c>
      <c r="AD1535" t="s">
        <v>10970</v>
      </c>
      <c r="AE1535" t="s">
        <v>36300</v>
      </c>
      <c r="AF1535" t="s">
        <v>37840</v>
      </c>
      <c r="AG1535" t="s">
        <v>37841</v>
      </c>
    </row>
    <row r="1536" spans="1:33" x14ac:dyDescent="0.25">
      <c r="A1536" t="s">
        <v>34462</v>
      </c>
      <c r="B1536" t="s">
        <v>7612</v>
      </c>
      <c r="C1536" t="s">
        <v>7614</v>
      </c>
      <c r="D1536">
        <v>59.86</v>
      </c>
      <c r="F1536">
        <v>11973</v>
      </c>
      <c r="G1536">
        <v>8184</v>
      </c>
      <c r="I1536">
        <v>59.86</v>
      </c>
      <c r="J1536">
        <v>1</v>
      </c>
      <c r="K1536">
        <v>1</v>
      </c>
      <c r="N1536">
        <v>4.4000000000000004</v>
      </c>
      <c r="O1536">
        <v>1</v>
      </c>
      <c r="P1536">
        <v>4177</v>
      </c>
      <c r="Q1536">
        <v>1</v>
      </c>
      <c r="R1536">
        <v>4</v>
      </c>
      <c r="S1536" t="s">
        <v>37838</v>
      </c>
      <c r="U1536">
        <v>1.2852934600000001</v>
      </c>
      <c r="V1536">
        <v>6.86</v>
      </c>
      <c r="X1536" t="s">
        <v>7611</v>
      </c>
      <c r="Y1536" t="s">
        <v>7581</v>
      </c>
      <c r="Z1536" t="s">
        <v>7581</v>
      </c>
      <c r="AA1536" t="s">
        <v>7582</v>
      </c>
      <c r="AB1536" t="s">
        <v>37851</v>
      </c>
      <c r="AC1536" t="s">
        <v>34465</v>
      </c>
      <c r="AD1536" t="s">
        <v>10970</v>
      </c>
      <c r="AE1536" t="s">
        <v>34561</v>
      </c>
      <c r="AF1536" t="s">
        <v>37843</v>
      </c>
      <c r="AG1536" t="s">
        <v>37841</v>
      </c>
    </row>
    <row r="1537" spans="1:33" x14ac:dyDescent="0.25">
      <c r="A1537" t="s">
        <v>34462</v>
      </c>
      <c r="B1537" t="s">
        <v>7616</v>
      </c>
      <c r="C1537" t="s">
        <v>7618</v>
      </c>
      <c r="D1537">
        <v>52.05</v>
      </c>
      <c r="F1537">
        <v>11973</v>
      </c>
      <c r="G1537">
        <v>6900</v>
      </c>
      <c r="H1537">
        <v>52.05</v>
      </c>
      <c r="I1537">
        <v>55.59</v>
      </c>
      <c r="J1537">
        <v>0.8</v>
      </c>
      <c r="K1537">
        <v>0.8</v>
      </c>
      <c r="L1537">
        <v>1</v>
      </c>
      <c r="N1537">
        <v>4.4000000000000004</v>
      </c>
      <c r="O1537">
        <v>1</v>
      </c>
      <c r="P1537">
        <v>4296</v>
      </c>
      <c r="Q1537">
        <v>5</v>
      </c>
      <c r="R1537">
        <v>34</v>
      </c>
      <c r="S1537" t="s">
        <v>37838</v>
      </c>
      <c r="U1537">
        <v>1.2897027000000001</v>
      </c>
      <c r="V1537">
        <v>6.81</v>
      </c>
      <c r="X1537" t="s">
        <v>7615</v>
      </c>
      <c r="Y1537" t="s">
        <v>7581</v>
      </c>
      <c r="Z1537" t="s">
        <v>7581</v>
      </c>
      <c r="AA1537" t="s">
        <v>7582</v>
      </c>
      <c r="AB1537" t="s">
        <v>37852</v>
      </c>
      <c r="AC1537" t="s">
        <v>34465</v>
      </c>
      <c r="AD1537" t="s">
        <v>10970</v>
      </c>
      <c r="AE1537" t="s">
        <v>34566</v>
      </c>
      <c r="AF1537" t="s">
        <v>37843</v>
      </c>
      <c r="AG1537" t="s">
        <v>37841</v>
      </c>
    </row>
    <row r="1538" spans="1:33" x14ac:dyDescent="0.25">
      <c r="A1538" t="s">
        <v>34462</v>
      </c>
      <c r="B1538" t="s">
        <v>7620</v>
      </c>
      <c r="C1538" t="s">
        <v>7623</v>
      </c>
      <c r="D1538">
        <v>16.420000000000002</v>
      </c>
      <c r="E1538">
        <v>16.420000000000002</v>
      </c>
      <c r="F1538">
        <v>36069</v>
      </c>
      <c r="G1538">
        <v>34520</v>
      </c>
      <c r="H1538">
        <v>22.56</v>
      </c>
      <c r="I1538">
        <v>22.33</v>
      </c>
      <c r="J1538">
        <v>0</v>
      </c>
      <c r="K1538">
        <v>0</v>
      </c>
      <c r="L1538">
        <v>1</v>
      </c>
      <c r="M1538">
        <v>1</v>
      </c>
      <c r="N1538">
        <v>4.0999999999999996</v>
      </c>
      <c r="O1538">
        <v>6</v>
      </c>
      <c r="P1538">
        <v>88</v>
      </c>
      <c r="Q1538">
        <v>33</v>
      </c>
      <c r="R1538">
        <v>70</v>
      </c>
      <c r="S1538" t="s">
        <v>37853</v>
      </c>
      <c r="U1538">
        <v>0.83775560000000004</v>
      </c>
      <c r="V1538">
        <v>6.21</v>
      </c>
      <c r="W1538">
        <v>2.46</v>
      </c>
      <c r="X1538" t="s">
        <v>7619</v>
      </c>
      <c r="Y1538" t="s">
        <v>7624</v>
      </c>
      <c r="Z1538" t="s">
        <v>7624</v>
      </c>
      <c r="AA1538" t="s">
        <v>7625</v>
      </c>
      <c r="AB1538" t="s">
        <v>37854</v>
      </c>
      <c r="AC1538" t="s">
        <v>34493</v>
      </c>
      <c r="AD1538" t="s">
        <v>10317</v>
      </c>
      <c r="AE1538" t="s">
        <v>37855</v>
      </c>
      <c r="AF1538" t="s">
        <v>37856</v>
      </c>
      <c r="AG1538" t="s">
        <v>37857</v>
      </c>
    </row>
    <row r="1539" spans="1:33" x14ac:dyDescent="0.25">
      <c r="A1539" t="s">
        <v>34462</v>
      </c>
      <c r="B1539" t="s">
        <v>7627</v>
      </c>
      <c r="C1539" t="s">
        <v>7630</v>
      </c>
      <c r="D1539">
        <v>19.989999999999998</v>
      </c>
      <c r="E1539">
        <v>19.989999999999998</v>
      </c>
      <c r="F1539">
        <v>2080541</v>
      </c>
      <c r="G1539">
        <v>1832823</v>
      </c>
      <c r="H1539">
        <v>19.989999999999998</v>
      </c>
      <c r="I1539">
        <v>19.989999999999998</v>
      </c>
      <c r="J1539">
        <v>0</v>
      </c>
      <c r="K1539">
        <v>1</v>
      </c>
      <c r="L1539">
        <v>1</v>
      </c>
      <c r="M1539">
        <v>1</v>
      </c>
      <c r="N1539">
        <v>5</v>
      </c>
      <c r="O1539">
        <v>0</v>
      </c>
      <c r="P1539">
        <v>7</v>
      </c>
      <c r="Q1539">
        <v>1</v>
      </c>
      <c r="R1539">
        <v>1</v>
      </c>
      <c r="S1539" t="s">
        <v>37858</v>
      </c>
      <c r="X1539" t="s">
        <v>7626</v>
      </c>
      <c r="AA1539" t="s">
        <v>76</v>
      </c>
      <c r="AB1539" t="s">
        <v>37859</v>
      </c>
      <c r="AC1539" t="s">
        <v>34465</v>
      </c>
      <c r="AD1539" t="s">
        <v>18241</v>
      </c>
      <c r="AE1539" t="s">
        <v>8804</v>
      </c>
      <c r="AF1539" t="s">
        <v>37860</v>
      </c>
      <c r="AG1539" t="s">
        <v>37861</v>
      </c>
    </row>
    <row r="1540" spans="1:33" x14ac:dyDescent="0.25">
      <c r="A1540" t="s">
        <v>34462</v>
      </c>
      <c r="B1540" t="s">
        <v>7632</v>
      </c>
      <c r="C1540" t="s">
        <v>7635</v>
      </c>
      <c r="F1540">
        <v>38432</v>
      </c>
      <c r="G1540">
        <v>32356</v>
      </c>
      <c r="J1540">
        <v>1</v>
      </c>
      <c r="K1540">
        <v>1</v>
      </c>
      <c r="Q1540">
        <v>1</v>
      </c>
      <c r="R1540">
        <v>1</v>
      </c>
      <c r="S1540" t="s">
        <v>37862</v>
      </c>
      <c r="U1540">
        <v>0.20062041999999999</v>
      </c>
      <c r="V1540">
        <v>4.08</v>
      </c>
      <c r="X1540" t="s">
        <v>7631</v>
      </c>
      <c r="Z1540" t="s">
        <v>7636</v>
      </c>
      <c r="AA1540" t="s">
        <v>1556</v>
      </c>
      <c r="AB1540" t="s">
        <v>37863</v>
      </c>
      <c r="AC1540" t="s">
        <v>34465</v>
      </c>
      <c r="AD1540" t="s">
        <v>27698</v>
      </c>
      <c r="AE1540" t="s">
        <v>37864</v>
      </c>
      <c r="AF1540" t="s">
        <v>37865</v>
      </c>
    </row>
    <row r="1541" spans="1:33" x14ac:dyDescent="0.25">
      <c r="A1541" t="s">
        <v>34462</v>
      </c>
      <c r="B1541" t="s">
        <v>7638</v>
      </c>
      <c r="C1541" t="s">
        <v>7640</v>
      </c>
      <c r="F1541">
        <v>32745</v>
      </c>
      <c r="G1541">
        <v>29993</v>
      </c>
      <c r="J1541">
        <v>1</v>
      </c>
      <c r="K1541">
        <v>1</v>
      </c>
      <c r="N1541">
        <v>5</v>
      </c>
      <c r="P1541">
        <v>1</v>
      </c>
      <c r="Q1541">
        <v>2</v>
      </c>
      <c r="R1541">
        <v>2</v>
      </c>
      <c r="S1541" t="s">
        <v>37862</v>
      </c>
      <c r="U1541">
        <v>0.20943890000000001</v>
      </c>
      <c r="V1541">
        <v>4.55</v>
      </c>
      <c r="X1541" t="s">
        <v>7637</v>
      </c>
      <c r="Z1541" t="s">
        <v>7641</v>
      </c>
      <c r="AA1541" t="s">
        <v>1562</v>
      </c>
      <c r="AB1541" t="s">
        <v>37866</v>
      </c>
      <c r="AC1541" t="s">
        <v>34465</v>
      </c>
      <c r="AD1541" t="s">
        <v>27698</v>
      </c>
      <c r="AE1541" t="s">
        <v>37864</v>
      </c>
      <c r="AF1541" t="s">
        <v>37867</v>
      </c>
      <c r="AG1541" t="s">
        <v>37868</v>
      </c>
    </row>
    <row r="1542" spans="1:33" x14ac:dyDescent="0.25">
      <c r="A1542" t="s">
        <v>34462</v>
      </c>
      <c r="B1542" t="s">
        <v>7643</v>
      </c>
      <c r="C1542" t="s">
        <v>7645</v>
      </c>
      <c r="F1542">
        <v>38432</v>
      </c>
      <c r="G1542">
        <v>35379</v>
      </c>
      <c r="J1542">
        <v>1</v>
      </c>
      <c r="K1542">
        <v>1</v>
      </c>
      <c r="Q1542">
        <v>0</v>
      </c>
      <c r="R1542">
        <v>0</v>
      </c>
      <c r="S1542" t="s">
        <v>37862</v>
      </c>
      <c r="U1542">
        <v>0.31085141999999999</v>
      </c>
      <c r="V1542">
        <v>4.99</v>
      </c>
      <c r="X1542" t="s">
        <v>7642</v>
      </c>
      <c r="Z1542" t="s">
        <v>7646</v>
      </c>
      <c r="AA1542" t="s">
        <v>1556</v>
      </c>
      <c r="AB1542" t="s">
        <v>37869</v>
      </c>
      <c r="AC1542" t="s">
        <v>34465</v>
      </c>
      <c r="AD1542" t="s">
        <v>27698</v>
      </c>
      <c r="AE1542" t="s">
        <v>37870</v>
      </c>
      <c r="AF1542" t="s">
        <v>37871</v>
      </c>
    </row>
    <row r="1543" spans="1:33" x14ac:dyDescent="0.25">
      <c r="A1543" t="s">
        <v>34462</v>
      </c>
      <c r="B1543" t="s">
        <v>7648</v>
      </c>
      <c r="C1543" t="s">
        <v>7650</v>
      </c>
      <c r="F1543">
        <v>38432</v>
      </c>
      <c r="G1543">
        <v>34142</v>
      </c>
      <c r="J1543">
        <v>1</v>
      </c>
      <c r="K1543">
        <v>1</v>
      </c>
      <c r="Q1543">
        <v>1</v>
      </c>
      <c r="R1543">
        <v>1</v>
      </c>
      <c r="S1543" t="s">
        <v>37862</v>
      </c>
      <c r="U1543">
        <v>0.31085141999999999</v>
      </c>
      <c r="V1543">
        <v>5.52</v>
      </c>
      <c r="X1543" t="s">
        <v>7647</v>
      </c>
      <c r="Z1543" t="s">
        <v>7651</v>
      </c>
      <c r="AA1543" t="s">
        <v>1562</v>
      </c>
      <c r="AB1543" t="s">
        <v>37872</v>
      </c>
      <c r="AC1543" t="s">
        <v>34465</v>
      </c>
      <c r="AD1543" t="s">
        <v>27698</v>
      </c>
      <c r="AE1543" t="s">
        <v>37870</v>
      </c>
      <c r="AF1543" t="s">
        <v>37867</v>
      </c>
    </row>
    <row r="1544" spans="1:33" x14ac:dyDescent="0.25">
      <c r="A1544" t="s">
        <v>34462</v>
      </c>
      <c r="B1544" t="s">
        <v>7653</v>
      </c>
      <c r="C1544" t="s">
        <v>7655</v>
      </c>
      <c r="F1544">
        <v>36797</v>
      </c>
      <c r="G1544">
        <v>331161</v>
      </c>
      <c r="J1544">
        <v>1</v>
      </c>
      <c r="K1544">
        <v>1</v>
      </c>
      <c r="N1544">
        <v>5</v>
      </c>
      <c r="O1544">
        <v>1</v>
      </c>
      <c r="P1544">
        <v>2</v>
      </c>
      <c r="Q1544">
        <v>5</v>
      </c>
      <c r="R1544">
        <v>5</v>
      </c>
      <c r="S1544" t="s">
        <v>37862</v>
      </c>
      <c r="U1544">
        <v>0.52910880000000005</v>
      </c>
      <c r="V1544">
        <v>4.99</v>
      </c>
      <c r="X1544" t="s">
        <v>7652</v>
      </c>
      <c r="Z1544" t="s">
        <v>7656</v>
      </c>
      <c r="AA1544" t="s">
        <v>1562</v>
      </c>
      <c r="AB1544" t="s">
        <v>37873</v>
      </c>
      <c r="AC1544" t="s">
        <v>34465</v>
      </c>
      <c r="AD1544" t="s">
        <v>27698</v>
      </c>
      <c r="AE1544" t="s">
        <v>37874</v>
      </c>
      <c r="AF1544" t="s">
        <v>37865</v>
      </c>
    </row>
    <row r="1545" spans="1:33" x14ac:dyDescent="0.25">
      <c r="A1545" t="s">
        <v>34462</v>
      </c>
      <c r="B1545" t="s">
        <v>7658</v>
      </c>
      <c r="C1545" t="s">
        <v>7660</v>
      </c>
      <c r="F1545">
        <v>38432</v>
      </c>
      <c r="G1545">
        <v>31617</v>
      </c>
      <c r="J1545">
        <v>1</v>
      </c>
      <c r="K1545">
        <v>1</v>
      </c>
      <c r="Q1545">
        <v>2</v>
      </c>
      <c r="R1545">
        <v>2</v>
      </c>
      <c r="S1545" t="s">
        <v>37862</v>
      </c>
      <c r="X1545" t="s">
        <v>7657</v>
      </c>
      <c r="Z1545" t="s">
        <v>7661</v>
      </c>
      <c r="AA1545" t="s">
        <v>1556</v>
      </c>
      <c r="AB1545" t="s">
        <v>37875</v>
      </c>
      <c r="AC1545" t="s">
        <v>34465</v>
      </c>
      <c r="AD1545" t="s">
        <v>27698</v>
      </c>
      <c r="AE1545" t="s">
        <v>37874</v>
      </c>
      <c r="AF1545" t="s">
        <v>37865</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Sourcing</vt:lpstr>
      <vt:lpstr>Data</vt:lpstr>
      <vt:lpstr>Keepa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Ronald Skolnik</dc:creator>
  <cp:lastModifiedBy>Ronald Skolnik</cp:lastModifiedBy>
  <cp:revision>3</cp:revision>
  <dcterms:created xsi:type="dcterms:W3CDTF">2022-08-17T20:24:27Z</dcterms:created>
  <dcterms:modified xsi:type="dcterms:W3CDTF">2024-06-03T18:09:03Z</dcterms:modified>
  <dc:language>en-US</dc:language>
</cp:coreProperties>
</file>